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2.xml" ContentType="application/vnd.ms-excel.threaded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2.xml" ContentType="application/vnd.openxmlformats-officedocument.drawing+xml"/>
  <Override PartName="/xl/comments9.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defaultThemeVersion="124226"/>
  <mc:AlternateContent xmlns:mc="http://schemas.openxmlformats.org/markup-compatibility/2006">
    <mc:Choice Requires="x15">
      <x15ac:absPath xmlns:x15ac="http://schemas.microsoft.com/office/spreadsheetml/2010/11/ac" url="T:\Legal Max\Prior Year Legal Max\"/>
    </mc:Choice>
  </mc:AlternateContent>
  <xr:revisionPtr revIDLastSave="0" documentId="13_ncr:1_{95B4751A-E8A8-4FA5-A98C-F82065D366FF}" xr6:coauthVersionLast="47" xr6:coauthVersionMax="47" xr10:uidLastSave="{00000000-0000-0000-0000-000000000000}"/>
  <bookViews>
    <workbookView xWindow="9495" yWindow="-16470" windowWidth="29040" windowHeight="15720" tabRatio="898" xr2:uid="{00000000-000D-0000-FFFF-FFFF00000000}"/>
  </bookViews>
  <sheets>
    <sheet name="2024 Legal Max" sheetId="3" r:id="rId1"/>
    <sheet name="Weighting Factors" sheetId="9" r:id="rId2"/>
    <sheet name="Transportation" sheetId="18" r:id="rId3"/>
    <sheet name="Required Transfers" sheetId="23" r:id="rId4"/>
    <sheet name="LOB%" sheetId="20" r:id="rId5"/>
    <sheet name="Military Provision" sheetId="14" r:id="rId6"/>
    <sheet name="Audit Values" sheetId="10" r:id="rId7"/>
    <sheet name="Audit HD AR - School Level" sheetId="17" r:id="rId8"/>
    <sheet name="Exceptions" sheetId="6" state="hidden" r:id="rId9"/>
    <sheet name="Preliminary SO66" sheetId="11" r:id="rId10"/>
    <sheet name="PreliminaryHD AR - School Level" sheetId="15" r:id="rId11"/>
    <sheet name="Low-High ENRL- 2023 HSubSB 113" sheetId="24" r:id="rId12"/>
    <sheet name="Validations" sheetId="21" state="hidden" r:id="rId13"/>
    <sheet name="Notes" sheetId="22" state="hidden" r:id="rId14"/>
  </sheets>
  <definedNames>
    <definedName name="_xlnm._FilterDatabase" localSheetId="0" hidden="1">'2024 Legal Max'!$A$4:$CW$290</definedName>
    <definedName name="_xlnm._FilterDatabase" localSheetId="7" hidden="1">'Audit HD AR - School Level'!$A$4:$T$1294</definedName>
    <definedName name="_xlnm._FilterDatabase" localSheetId="6" hidden="1">'Audit Values'!$A$3:$CI$290</definedName>
    <definedName name="_xlnm._FilterDatabase" localSheetId="4" hidden="1">'LOB%'!$A$2:$F$288</definedName>
    <definedName name="_xlnm._FilterDatabase" localSheetId="11" hidden="1">'Low-High ENRL- 2023 HSubSB 113'!$A$6:$O$293</definedName>
    <definedName name="_xlnm._FilterDatabase" localSheetId="5" hidden="1">'Military Provision'!$A$4:$I$290</definedName>
    <definedName name="_xlnm._FilterDatabase" localSheetId="9" hidden="1">'Preliminary SO66'!$A$3:$BE$289</definedName>
    <definedName name="_xlnm._FilterDatabase" localSheetId="10" hidden="1">'PreliminaryHD AR - School Level'!$A$4:$M$1347</definedName>
    <definedName name="_xlnm._FilterDatabase" localSheetId="3" hidden="1">'Required Transfers'!$A$4:$O$290</definedName>
    <definedName name="_xlnm._FilterDatabase" localSheetId="2" hidden="1">Transportation!$A$4:$H$290</definedName>
    <definedName name="_xlnm._FilterDatabase" localSheetId="1" hidden="1">'Weighting Factors'!$A$4:$I$290</definedName>
    <definedName name="_xlnm.Database">'2024 Legal Max'!$BE$273:$BJ$285</definedName>
    <definedName name="_xlnm.Print_Area" localSheetId="0">'2024 Legal Max'!$A$1:$BP$293</definedName>
    <definedName name="_xlnm.Print_Titles" localSheetId="0">'2024 Legal Max'!$A:$A,'2024 Legal Max'!$1:$4</definedName>
    <definedName name="_xlnm.Print_Titles" localSheetId="4">'LOB%'!$1:$2</definedName>
    <definedName name="_xlnm.Print_Titles" localSheetId="10">'PreliminaryHD AR - School Level'!$1:$4</definedName>
    <definedName name="_xlnm.Print_Titles" localSheetId="3">'Required Transfers'!$1:$4</definedName>
    <definedName name="_xlnm.Print_Titles" localSheetId="2">Transportation!$1:$4</definedName>
  </definedNames>
  <calcPr calcId="191029" iterate="1" iterateCount="1" iterateDelta="0"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291" i="17" l="1"/>
  <c r="M1291" i="17"/>
  <c r="R1291" i="17"/>
  <c r="L1292" i="17"/>
  <c r="M1292" i="17"/>
  <c r="R1292" i="17"/>
  <c r="L1293" i="17"/>
  <c r="M1293" i="17"/>
  <c r="R1293" i="17"/>
  <c r="L1294" i="17"/>
  <c r="M1294" i="17"/>
  <c r="R1294" i="17"/>
  <c r="BX290" i="10"/>
  <c r="BA290" i="10"/>
  <c r="BF290" i="10"/>
  <c r="BG290" i="10"/>
  <c r="BI290" i="10"/>
  <c r="BJ290" i="10"/>
  <c r="BK290" i="10"/>
  <c r="BL290" i="10"/>
  <c r="BM290" i="10"/>
  <c r="BN290" i="10"/>
  <c r="BO290" i="10"/>
  <c r="BP290" i="10"/>
  <c r="BQ290" i="10"/>
  <c r="BR290" i="10"/>
  <c r="BT290" i="10"/>
  <c r="BU290" i="10"/>
  <c r="N1292" i="17" l="1"/>
  <c r="O1292" i="17" s="1"/>
  <c r="N1294" i="17"/>
  <c r="O1294" i="17" s="1"/>
  <c r="N1291" i="17"/>
  <c r="O1291" i="17" s="1"/>
  <c r="N1293" i="17"/>
  <c r="P1293" i="17" s="1"/>
  <c r="BW290" i="10"/>
  <c r="L1282" i="17"/>
  <c r="M1282" i="17"/>
  <c r="R1282" i="17"/>
  <c r="L1283" i="17"/>
  <c r="M1283" i="17"/>
  <c r="R1283" i="17"/>
  <c r="L1284" i="17"/>
  <c r="M1284" i="17"/>
  <c r="R1284" i="17"/>
  <c r="L1285" i="17"/>
  <c r="M1285" i="17"/>
  <c r="R1285" i="17"/>
  <c r="L1286" i="17"/>
  <c r="M1286" i="17"/>
  <c r="R1286" i="17"/>
  <c r="L1287" i="17"/>
  <c r="M1287" i="17"/>
  <c r="R1287" i="17"/>
  <c r="L1288" i="17"/>
  <c r="M1288" i="17"/>
  <c r="R1288" i="17"/>
  <c r="L1289" i="17"/>
  <c r="M1289" i="17"/>
  <c r="R1289" i="17"/>
  <c r="L1290" i="17"/>
  <c r="M1290" i="17"/>
  <c r="R1290" i="17"/>
  <c r="BX289" i="10"/>
  <c r="BA289" i="10"/>
  <c r="BF289" i="10"/>
  <c r="BG289" i="10"/>
  <c r="BI289" i="10"/>
  <c r="BJ289" i="10"/>
  <c r="BK289" i="10"/>
  <c r="BL289" i="10"/>
  <c r="BM289" i="10"/>
  <c r="BN289" i="10"/>
  <c r="BO289" i="10"/>
  <c r="BP289" i="10"/>
  <c r="BQ289" i="10"/>
  <c r="BR289" i="10"/>
  <c r="BT289" i="10"/>
  <c r="BU289" i="10"/>
  <c r="P1292" i="17" l="1"/>
  <c r="Q1292" i="17" s="1"/>
  <c r="P1291" i="17"/>
  <c r="Q1291" i="17" s="1"/>
  <c r="O1293" i="17"/>
  <c r="Q1293" i="17" s="1"/>
  <c r="P1294" i="17"/>
  <c r="Q1294" i="17" s="1"/>
  <c r="N1287" i="17"/>
  <c r="O1287" i="17" s="1"/>
  <c r="N1283" i="17"/>
  <c r="O1283" i="17" s="1"/>
  <c r="N1282" i="17"/>
  <c r="O1282" i="17" s="1"/>
  <c r="N1288" i="17"/>
  <c r="P1288" i="17" s="1"/>
  <c r="N1284" i="17"/>
  <c r="P1284" i="17" s="1"/>
  <c r="N1289" i="17"/>
  <c r="O1289" i="17" s="1"/>
  <c r="N1286" i="17"/>
  <c r="O1286" i="17" s="1"/>
  <c r="N1290" i="17"/>
  <c r="P1290" i="17" s="1"/>
  <c r="N1285" i="17"/>
  <c r="P1285" i="17" s="1"/>
  <c r="BW289" i="10"/>
  <c r="L1278" i="17"/>
  <c r="M1278" i="17"/>
  <c r="R1278" i="17"/>
  <c r="L1279" i="17"/>
  <c r="M1279" i="17"/>
  <c r="R1279" i="17"/>
  <c r="L1280" i="17"/>
  <c r="M1280" i="17"/>
  <c r="R1280" i="17"/>
  <c r="L1281" i="17"/>
  <c r="M1281" i="17"/>
  <c r="R1281" i="17"/>
  <c r="BA288" i="10"/>
  <c r="BF288" i="10"/>
  <c r="BG288" i="10"/>
  <c r="BI288" i="10"/>
  <c r="BJ288" i="10"/>
  <c r="BK288" i="10"/>
  <c r="BL288" i="10"/>
  <c r="BM288" i="10"/>
  <c r="BN288" i="10"/>
  <c r="BO288" i="10"/>
  <c r="BP288" i="10"/>
  <c r="BQ288" i="10"/>
  <c r="BR288" i="10"/>
  <c r="BT288" i="10"/>
  <c r="BU288" i="10"/>
  <c r="BX288" i="10"/>
  <c r="O1288" i="17" l="1"/>
  <c r="Q1288" i="17" s="1"/>
  <c r="P1287" i="17"/>
  <c r="Q1287" i="17" s="1"/>
  <c r="P1283" i="17"/>
  <c r="Q1283" i="17" s="1"/>
  <c r="P1286" i="17"/>
  <c r="Q1286" i="17" s="1"/>
  <c r="P1282" i="17"/>
  <c r="Q1282" i="17" s="1"/>
  <c r="O1290" i="17"/>
  <c r="Q1290" i="17" s="1"/>
  <c r="P1289" i="17"/>
  <c r="Q1289" i="17" s="1"/>
  <c r="O1284" i="17"/>
  <c r="Q1284" i="17" s="1"/>
  <c r="O1285" i="17"/>
  <c r="Q1285" i="17" s="1"/>
  <c r="N1279" i="17"/>
  <c r="O1279" i="17" s="1"/>
  <c r="N1280" i="17"/>
  <c r="O1280" i="17" s="1"/>
  <c r="N1281" i="17"/>
  <c r="O1281" i="17" s="1"/>
  <c r="N1278" i="17"/>
  <c r="O1278" i="17" s="1"/>
  <c r="BW288" i="10"/>
  <c r="BM277" i="10"/>
  <c r="BK277" i="10"/>
  <c r="L1268" i="17"/>
  <c r="M1268" i="17"/>
  <c r="R1268" i="17"/>
  <c r="L1269" i="17"/>
  <c r="M1269" i="17"/>
  <c r="R1269" i="17"/>
  <c r="L1270" i="17"/>
  <c r="M1270" i="17"/>
  <c r="R1270" i="17"/>
  <c r="L1271" i="17"/>
  <c r="M1271" i="17"/>
  <c r="R1271" i="17"/>
  <c r="L1272" i="17"/>
  <c r="M1272" i="17"/>
  <c r="R1272" i="17"/>
  <c r="L1273" i="17"/>
  <c r="M1273" i="17"/>
  <c r="R1273" i="17"/>
  <c r="L1274" i="17"/>
  <c r="M1274" i="17"/>
  <c r="R1274" i="17"/>
  <c r="L1275" i="17"/>
  <c r="M1275" i="17"/>
  <c r="R1275" i="17"/>
  <c r="L1276" i="17"/>
  <c r="M1276" i="17"/>
  <c r="R1276" i="17"/>
  <c r="L1277" i="17"/>
  <c r="M1277" i="17"/>
  <c r="R1277" i="17"/>
  <c r="BA284" i="10"/>
  <c r="BF284" i="10"/>
  <c r="BG284" i="10"/>
  <c r="BI284" i="10"/>
  <c r="BJ284" i="10"/>
  <c r="BK284" i="10"/>
  <c r="BL284" i="10"/>
  <c r="BM284" i="10"/>
  <c r="BN284" i="10"/>
  <c r="BO284" i="10"/>
  <c r="BP284" i="10"/>
  <c r="BQ284" i="10"/>
  <c r="BR284" i="10"/>
  <c r="BT284" i="10"/>
  <c r="BU284" i="10"/>
  <c r="BX284" i="10"/>
  <c r="BA285" i="10"/>
  <c r="BF285" i="10"/>
  <c r="BG285" i="10"/>
  <c r="BI285" i="10"/>
  <c r="BJ285" i="10"/>
  <c r="BK285" i="10"/>
  <c r="BL285" i="10"/>
  <c r="BM285" i="10"/>
  <c r="BN285" i="10"/>
  <c r="BO285" i="10"/>
  <c r="BP285" i="10"/>
  <c r="BQ285" i="10"/>
  <c r="BR285" i="10"/>
  <c r="BT285" i="10"/>
  <c r="BU285" i="10"/>
  <c r="BX285" i="10"/>
  <c r="BA286" i="10"/>
  <c r="BF286" i="10"/>
  <c r="BG286" i="10"/>
  <c r="BI286" i="10"/>
  <c r="BJ286" i="10"/>
  <c r="BK286" i="10"/>
  <c r="BL286" i="10"/>
  <c r="BM286" i="10"/>
  <c r="BN286" i="10"/>
  <c r="BO286" i="10"/>
  <c r="BP286" i="10"/>
  <c r="BQ286" i="10"/>
  <c r="BR286" i="10"/>
  <c r="BT286" i="10"/>
  <c r="BU286" i="10"/>
  <c r="BX286" i="10"/>
  <c r="BA287" i="10"/>
  <c r="BF287" i="10"/>
  <c r="BG287" i="10"/>
  <c r="BI287" i="10"/>
  <c r="BJ287" i="10"/>
  <c r="BK287" i="10"/>
  <c r="BL287" i="10"/>
  <c r="BM287" i="10"/>
  <c r="BN287" i="10"/>
  <c r="BO287" i="10"/>
  <c r="BP287" i="10"/>
  <c r="BQ287" i="10"/>
  <c r="BR287" i="10"/>
  <c r="BT287" i="10"/>
  <c r="BU287" i="10"/>
  <c r="BX287" i="10"/>
  <c r="P1279" i="17" l="1"/>
  <c r="Q1279" i="17" s="1"/>
  <c r="P1278" i="17"/>
  <c r="Q1278" i="17" s="1"/>
  <c r="P1280" i="17"/>
  <c r="Q1280" i="17" s="1"/>
  <c r="P1281" i="17"/>
  <c r="Q1281" i="17" s="1"/>
  <c r="N1272" i="17"/>
  <c r="O1272" i="17" s="1"/>
  <c r="N1269" i="17"/>
  <c r="O1269" i="17" s="1"/>
  <c r="N1275" i="17"/>
  <c r="P1275" i="17" s="1"/>
  <c r="N1274" i="17"/>
  <c r="P1274" i="17" s="1"/>
  <c r="N1271" i="17"/>
  <c r="O1271" i="17" s="1"/>
  <c r="N1268" i="17"/>
  <c r="P1268" i="17" s="1"/>
  <c r="N1276" i="17"/>
  <c r="O1276" i="17" s="1"/>
  <c r="N1277" i="17"/>
  <c r="P1277" i="17" s="1"/>
  <c r="N1270" i="17"/>
  <c r="P1270" i="17" s="1"/>
  <c r="N1273" i="17"/>
  <c r="O1273" i="17" s="1"/>
  <c r="BW287" i="10"/>
  <c r="BW284" i="10"/>
  <c r="BW286" i="10"/>
  <c r="BW285" i="10"/>
  <c r="L1107" i="17"/>
  <c r="M1107" i="17"/>
  <c r="R1107" i="17"/>
  <c r="L1108" i="17"/>
  <c r="M1108" i="17"/>
  <c r="R1108" i="17"/>
  <c r="L1109" i="17"/>
  <c r="M1109" i="17"/>
  <c r="R1109" i="17"/>
  <c r="L1110" i="17"/>
  <c r="M1110" i="17"/>
  <c r="R1110" i="17"/>
  <c r="L1111" i="17"/>
  <c r="M1111" i="17"/>
  <c r="R1111" i="17"/>
  <c r="L1112" i="17"/>
  <c r="M1112" i="17"/>
  <c r="R1112" i="17"/>
  <c r="L1113" i="17"/>
  <c r="M1113" i="17"/>
  <c r="R1113" i="17"/>
  <c r="L1114" i="17"/>
  <c r="M1114" i="17"/>
  <c r="R1114" i="17"/>
  <c r="L1115" i="17"/>
  <c r="M1115" i="17"/>
  <c r="R1115" i="17"/>
  <c r="L1116" i="17"/>
  <c r="M1116" i="17"/>
  <c r="R1116" i="17"/>
  <c r="L1117" i="17"/>
  <c r="M1117" i="17"/>
  <c r="R1117" i="17"/>
  <c r="L1118" i="17"/>
  <c r="M1118" i="17"/>
  <c r="R1118" i="17"/>
  <c r="L1119" i="17"/>
  <c r="M1119" i="17"/>
  <c r="R1119" i="17"/>
  <c r="L1120" i="17"/>
  <c r="M1120" i="17"/>
  <c r="R1120" i="17"/>
  <c r="L1121" i="17"/>
  <c r="M1121" i="17"/>
  <c r="R1121" i="17"/>
  <c r="L1122" i="17"/>
  <c r="M1122" i="17"/>
  <c r="R1122" i="17"/>
  <c r="L1123" i="17"/>
  <c r="M1123" i="17"/>
  <c r="R1123" i="17"/>
  <c r="L1124" i="17"/>
  <c r="M1124" i="17"/>
  <c r="R1124" i="17"/>
  <c r="L1125" i="17"/>
  <c r="M1125" i="17"/>
  <c r="R1125" i="17"/>
  <c r="L1126" i="17"/>
  <c r="M1126" i="17"/>
  <c r="R1126" i="17"/>
  <c r="L1127" i="17"/>
  <c r="M1127" i="17"/>
  <c r="R1127" i="17"/>
  <c r="L1128" i="17"/>
  <c r="M1128" i="17"/>
  <c r="R1128" i="17"/>
  <c r="L1129" i="17"/>
  <c r="M1129" i="17"/>
  <c r="R1129" i="17"/>
  <c r="L1130" i="17"/>
  <c r="M1130" i="17"/>
  <c r="R1130" i="17"/>
  <c r="L1131" i="17"/>
  <c r="M1131" i="17"/>
  <c r="R1131" i="17"/>
  <c r="L1132" i="17"/>
  <c r="M1132" i="17"/>
  <c r="R1132" i="17"/>
  <c r="L1133" i="17"/>
  <c r="M1133" i="17"/>
  <c r="R1133" i="17"/>
  <c r="L1134" i="17"/>
  <c r="M1134" i="17"/>
  <c r="R1134" i="17"/>
  <c r="L1135" i="17"/>
  <c r="M1135" i="17"/>
  <c r="R1135" i="17"/>
  <c r="L1136" i="17"/>
  <c r="M1136" i="17"/>
  <c r="R1136" i="17"/>
  <c r="L1137" i="17"/>
  <c r="M1137" i="17"/>
  <c r="R1137" i="17"/>
  <c r="L1138" i="17"/>
  <c r="M1138" i="17"/>
  <c r="R1138" i="17"/>
  <c r="L1139" i="17"/>
  <c r="M1139" i="17"/>
  <c r="R1139" i="17"/>
  <c r="L1140" i="17"/>
  <c r="M1140" i="17"/>
  <c r="R1140" i="17"/>
  <c r="L1141" i="17"/>
  <c r="M1141" i="17"/>
  <c r="R1141" i="17"/>
  <c r="L1142" i="17"/>
  <c r="M1142" i="17"/>
  <c r="R1142" i="17"/>
  <c r="L1143" i="17"/>
  <c r="M1143" i="17"/>
  <c r="R1143" i="17"/>
  <c r="L1144" i="17"/>
  <c r="M1144" i="17"/>
  <c r="R1144" i="17"/>
  <c r="L1145" i="17"/>
  <c r="M1145" i="17"/>
  <c r="R1145" i="17"/>
  <c r="L1146" i="17"/>
  <c r="M1146" i="17"/>
  <c r="R1146" i="17"/>
  <c r="L1147" i="17"/>
  <c r="M1147" i="17"/>
  <c r="R1147" i="17"/>
  <c r="L1148" i="17"/>
  <c r="M1148" i="17"/>
  <c r="R1148" i="17"/>
  <c r="L1149" i="17"/>
  <c r="M1149" i="17"/>
  <c r="R1149" i="17"/>
  <c r="L1150" i="17"/>
  <c r="M1150" i="17"/>
  <c r="R1150" i="17"/>
  <c r="L1151" i="17"/>
  <c r="M1151" i="17"/>
  <c r="R1151" i="17"/>
  <c r="L1152" i="17"/>
  <c r="M1152" i="17"/>
  <c r="R1152" i="17"/>
  <c r="L1153" i="17"/>
  <c r="M1153" i="17"/>
  <c r="R1153" i="17"/>
  <c r="L1154" i="17"/>
  <c r="M1154" i="17"/>
  <c r="R1154" i="17"/>
  <c r="L1155" i="17"/>
  <c r="M1155" i="17"/>
  <c r="R1155" i="17"/>
  <c r="L1156" i="17"/>
  <c r="M1156" i="17"/>
  <c r="R1156" i="17"/>
  <c r="L1157" i="17"/>
  <c r="M1157" i="17"/>
  <c r="R1157" i="17"/>
  <c r="L1158" i="17"/>
  <c r="M1158" i="17"/>
  <c r="R1158" i="17"/>
  <c r="L1159" i="17"/>
  <c r="M1159" i="17"/>
  <c r="R1159" i="17"/>
  <c r="L1160" i="17"/>
  <c r="M1160" i="17"/>
  <c r="R1160" i="17"/>
  <c r="L1161" i="17"/>
  <c r="M1161" i="17"/>
  <c r="R1161" i="17"/>
  <c r="L1162" i="17"/>
  <c r="M1162" i="17"/>
  <c r="R1162" i="17"/>
  <c r="L1163" i="17"/>
  <c r="M1163" i="17"/>
  <c r="R1163" i="17"/>
  <c r="L1164" i="17"/>
  <c r="M1164" i="17"/>
  <c r="R1164" i="17"/>
  <c r="L1165" i="17"/>
  <c r="M1165" i="17"/>
  <c r="R1165" i="17"/>
  <c r="L1166" i="17"/>
  <c r="M1166" i="17"/>
  <c r="R1166" i="17"/>
  <c r="L1167" i="17"/>
  <c r="M1167" i="17"/>
  <c r="R1167" i="17"/>
  <c r="L1168" i="17"/>
  <c r="M1168" i="17"/>
  <c r="R1168" i="17"/>
  <c r="L1169" i="17"/>
  <c r="M1169" i="17"/>
  <c r="R1169" i="17"/>
  <c r="L1170" i="17"/>
  <c r="M1170" i="17"/>
  <c r="R1170" i="17"/>
  <c r="L1171" i="17"/>
  <c r="M1171" i="17"/>
  <c r="R1171" i="17"/>
  <c r="L1172" i="17"/>
  <c r="M1172" i="17"/>
  <c r="R1172" i="17"/>
  <c r="L1173" i="17"/>
  <c r="M1173" i="17"/>
  <c r="R1173" i="17"/>
  <c r="L1174" i="17"/>
  <c r="M1174" i="17"/>
  <c r="R1174" i="17"/>
  <c r="L1175" i="17"/>
  <c r="M1175" i="17"/>
  <c r="R1175" i="17"/>
  <c r="L1176" i="17"/>
  <c r="M1176" i="17"/>
  <c r="R1176" i="17"/>
  <c r="L1177" i="17"/>
  <c r="M1177" i="17"/>
  <c r="R1177" i="17"/>
  <c r="L1178" i="17"/>
  <c r="M1178" i="17"/>
  <c r="R1178" i="17"/>
  <c r="L1179" i="17"/>
  <c r="M1179" i="17"/>
  <c r="R1179" i="17"/>
  <c r="L1180" i="17"/>
  <c r="M1180" i="17"/>
  <c r="R1180" i="17"/>
  <c r="L1181" i="17"/>
  <c r="M1181" i="17"/>
  <c r="R1181" i="17"/>
  <c r="L1182" i="17"/>
  <c r="M1182" i="17"/>
  <c r="R1182" i="17"/>
  <c r="L1183" i="17"/>
  <c r="M1183" i="17"/>
  <c r="R1183" i="17"/>
  <c r="L1184" i="17"/>
  <c r="M1184" i="17"/>
  <c r="R1184" i="17"/>
  <c r="L1185" i="17"/>
  <c r="M1185" i="17"/>
  <c r="R1185" i="17"/>
  <c r="L1186" i="17"/>
  <c r="M1186" i="17"/>
  <c r="R1186" i="17"/>
  <c r="L1187" i="17"/>
  <c r="M1187" i="17"/>
  <c r="R1187" i="17"/>
  <c r="L1188" i="17"/>
  <c r="M1188" i="17"/>
  <c r="R1188" i="17"/>
  <c r="L1189" i="17"/>
  <c r="M1189" i="17"/>
  <c r="R1189" i="17"/>
  <c r="L1190" i="17"/>
  <c r="M1190" i="17"/>
  <c r="R1190" i="17"/>
  <c r="L1191" i="17"/>
  <c r="M1191" i="17"/>
  <c r="R1191" i="17"/>
  <c r="L1192" i="17"/>
  <c r="M1192" i="17"/>
  <c r="R1192" i="17"/>
  <c r="L1193" i="17"/>
  <c r="M1193" i="17"/>
  <c r="R1193" i="17"/>
  <c r="L1194" i="17"/>
  <c r="M1194" i="17"/>
  <c r="R1194" i="17"/>
  <c r="L1195" i="17"/>
  <c r="M1195" i="17"/>
  <c r="R1195" i="17"/>
  <c r="L1196" i="17"/>
  <c r="M1196" i="17"/>
  <c r="R1196" i="17"/>
  <c r="L1197" i="17"/>
  <c r="M1197" i="17"/>
  <c r="R1197" i="17"/>
  <c r="L1198" i="17"/>
  <c r="M1198" i="17"/>
  <c r="R1198" i="17"/>
  <c r="L1199" i="17"/>
  <c r="M1199" i="17"/>
  <c r="R1199" i="17"/>
  <c r="L1200" i="17"/>
  <c r="M1200" i="17"/>
  <c r="R1200" i="17"/>
  <c r="L1201" i="17"/>
  <c r="M1201" i="17"/>
  <c r="R1201" i="17"/>
  <c r="L1202" i="17"/>
  <c r="M1202" i="17"/>
  <c r="R1202" i="17"/>
  <c r="L1203" i="17"/>
  <c r="M1203" i="17"/>
  <c r="R1203" i="17"/>
  <c r="L1204" i="17"/>
  <c r="M1204" i="17"/>
  <c r="R1204" i="17"/>
  <c r="L1205" i="17"/>
  <c r="M1205" i="17"/>
  <c r="R1205" i="17"/>
  <c r="L1206" i="17"/>
  <c r="M1206" i="17"/>
  <c r="R1206" i="17"/>
  <c r="L1207" i="17"/>
  <c r="M1207" i="17"/>
  <c r="R1207" i="17"/>
  <c r="L1208" i="17"/>
  <c r="M1208" i="17"/>
  <c r="R1208" i="17"/>
  <c r="L1209" i="17"/>
  <c r="M1209" i="17"/>
  <c r="R1209" i="17"/>
  <c r="L1210" i="17"/>
  <c r="M1210" i="17"/>
  <c r="R1210" i="17"/>
  <c r="L1211" i="17"/>
  <c r="M1211" i="17"/>
  <c r="R1211" i="17"/>
  <c r="L1212" i="17"/>
  <c r="M1212" i="17"/>
  <c r="R1212" i="17"/>
  <c r="L1213" i="17"/>
  <c r="M1213" i="17"/>
  <c r="R1213" i="17"/>
  <c r="L1214" i="17"/>
  <c r="M1214" i="17"/>
  <c r="R1214" i="17"/>
  <c r="L1215" i="17"/>
  <c r="M1215" i="17"/>
  <c r="R1215" i="17"/>
  <c r="L1216" i="17"/>
  <c r="M1216" i="17"/>
  <c r="R1216" i="17"/>
  <c r="L1217" i="17"/>
  <c r="M1217" i="17"/>
  <c r="R1217" i="17"/>
  <c r="L1218" i="17"/>
  <c r="M1218" i="17"/>
  <c r="R1218" i="17"/>
  <c r="L1219" i="17"/>
  <c r="M1219" i="17"/>
  <c r="R1219" i="17"/>
  <c r="L1220" i="17"/>
  <c r="M1220" i="17"/>
  <c r="R1220" i="17"/>
  <c r="L1221" i="17"/>
  <c r="M1221" i="17"/>
  <c r="R1221" i="17"/>
  <c r="L1222" i="17"/>
  <c r="M1222" i="17"/>
  <c r="R1222" i="17"/>
  <c r="L1223" i="17"/>
  <c r="M1223" i="17"/>
  <c r="R1223" i="17"/>
  <c r="L1224" i="17"/>
  <c r="M1224" i="17"/>
  <c r="R1224" i="17"/>
  <c r="L1225" i="17"/>
  <c r="M1225" i="17"/>
  <c r="R1225" i="17"/>
  <c r="L1226" i="17"/>
  <c r="M1226" i="17"/>
  <c r="R1226" i="17"/>
  <c r="L1227" i="17"/>
  <c r="M1227" i="17"/>
  <c r="R1227" i="17"/>
  <c r="L1228" i="17"/>
  <c r="M1228" i="17"/>
  <c r="R1228" i="17"/>
  <c r="L1229" i="17"/>
  <c r="M1229" i="17"/>
  <c r="R1229" i="17"/>
  <c r="L1230" i="17"/>
  <c r="M1230" i="17"/>
  <c r="R1230" i="17"/>
  <c r="L1231" i="17"/>
  <c r="M1231" i="17"/>
  <c r="R1231" i="17"/>
  <c r="L1232" i="17"/>
  <c r="M1232" i="17"/>
  <c r="R1232" i="17"/>
  <c r="L1233" i="17"/>
  <c r="M1233" i="17"/>
  <c r="R1233" i="17"/>
  <c r="L1234" i="17"/>
  <c r="M1234" i="17"/>
  <c r="R1234" i="17"/>
  <c r="L1235" i="17"/>
  <c r="M1235" i="17"/>
  <c r="R1235" i="17"/>
  <c r="L1236" i="17"/>
  <c r="M1236" i="17"/>
  <c r="R1236" i="17"/>
  <c r="L1237" i="17"/>
  <c r="M1237" i="17"/>
  <c r="R1237" i="17"/>
  <c r="L1238" i="17"/>
  <c r="M1238" i="17"/>
  <c r="R1238" i="17"/>
  <c r="L1239" i="17"/>
  <c r="M1239" i="17"/>
  <c r="R1239" i="17"/>
  <c r="L1240" i="17"/>
  <c r="M1240" i="17"/>
  <c r="R1240" i="17"/>
  <c r="L1241" i="17"/>
  <c r="M1241" i="17"/>
  <c r="R1241" i="17"/>
  <c r="L1242" i="17"/>
  <c r="M1242" i="17"/>
  <c r="R1242" i="17"/>
  <c r="L1243" i="17"/>
  <c r="M1243" i="17"/>
  <c r="R1243" i="17"/>
  <c r="L1244" i="17"/>
  <c r="M1244" i="17"/>
  <c r="R1244" i="17"/>
  <c r="L1245" i="17"/>
  <c r="M1245" i="17"/>
  <c r="R1245" i="17"/>
  <c r="L1246" i="17"/>
  <c r="M1246" i="17"/>
  <c r="R1246" i="17"/>
  <c r="L1247" i="17"/>
  <c r="M1247" i="17"/>
  <c r="R1247" i="17"/>
  <c r="L1248" i="17"/>
  <c r="M1248" i="17"/>
  <c r="R1248" i="17"/>
  <c r="L1249" i="17"/>
  <c r="M1249" i="17"/>
  <c r="R1249" i="17"/>
  <c r="L1250" i="17"/>
  <c r="M1250" i="17"/>
  <c r="R1250" i="17"/>
  <c r="L1251" i="17"/>
  <c r="M1251" i="17"/>
  <c r="R1251" i="17"/>
  <c r="L1252" i="17"/>
  <c r="M1252" i="17"/>
  <c r="R1252" i="17"/>
  <c r="L1253" i="17"/>
  <c r="M1253" i="17"/>
  <c r="R1253" i="17"/>
  <c r="L1254" i="17"/>
  <c r="M1254" i="17"/>
  <c r="R1254" i="17"/>
  <c r="L1255" i="17"/>
  <c r="M1255" i="17"/>
  <c r="R1255" i="17"/>
  <c r="L1256" i="17"/>
  <c r="M1256" i="17"/>
  <c r="R1256" i="17"/>
  <c r="L1257" i="17"/>
  <c r="M1257" i="17"/>
  <c r="R1257" i="17"/>
  <c r="L1258" i="17"/>
  <c r="M1258" i="17"/>
  <c r="R1258" i="17"/>
  <c r="L1259" i="17"/>
  <c r="M1259" i="17"/>
  <c r="R1259" i="17"/>
  <c r="L1260" i="17"/>
  <c r="M1260" i="17"/>
  <c r="R1260" i="17"/>
  <c r="L1261" i="17"/>
  <c r="M1261" i="17"/>
  <c r="R1261" i="17"/>
  <c r="L1262" i="17"/>
  <c r="M1262" i="17"/>
  <c r="R1262" i="17"/>
  <c r="L1263" i="17"/>
  <c r="M1263" i="17"/>
  <c r="R1263" i="17"/>
  <c r="L1264" i="17"/>
  <c r="M1264" i="17"/>
  <c r="R1264" i="17"/>
  <c r="L1265" i="17"/>
  <c r="M1265" i="17"/>
  <c r="R1265" i="17"/>
  <c r="L1266" i="17"/>
  <c r="M1266" i="17"/>
  <c r="R1266" i="17"/>
  <c r="L1267" i="17"/>
  <c r="M1267" i="17"/>
  <c r="R1267" i="17"/>
  <c r="BA268" i="10"/>
  <c r="BF268" i="10"/>
  <c r="BG268" i="10"/>
  <c r="BI268" i="10"/>
  <c r="BJ268" i="10"/>
  <c r="BK268" i="10"/>
  <c r="BL268" i="10"/>
  <c r="BM268" i="10"/>
  <c r="BN268" i="10"/>
  <c r="BO268" i="10"/>
  <c r="BP268" i="10"/>
  <c r="BQ268" i="10"/>
  <c r="BR268" i="10"/>
  <c r="BT268" i="10"/>
  <c r="BU268" i="10"/>
  <c r="BX268" i="10"/>
  <c r="BA269" i="10"/>
  <c r="BF269" i="10"/>
  <c r="BG269" i="10"/>
  <c r="BI269" i="10"/>
  <c r="BJ269" i="10"/>
  <c r="BK269" i="10"/>
  <c r="BL269" i="10"/>
  <c r="BM269" i="10"/>
  <c r="BN269" i="10"/>
  <c r="BO269" i="10"/>
  <c r="BP269" i="10"/>
  <c r="BQ269" i="10"/>
  <c r="BR269" i="10"/>
  <c r="BT269" i="10"/>
  <c r="BU269" i="10"/>
  <c r="BX269" i="10"/>
  <c r="BA270" i="10"/>
  <c r="BF270" i="10"/>
  <c r="BG270" i="10"/>
  <c r="BI270" i="10"/>
  <c r="BJ270" i="10"/>
  <c r="BK270" i="10"/>
  <c r="BL270" i="10"/>
  <c r="BM270" i="10"/>
  <c r="BN270" i="10"/>
  <c r="BO270" i="10"/>
  <c r="BP270" i="10"/>
  <c r="BQ270" i="10"/>
  <c r="BR270" i="10"/>
  <c r="BT270" i="10"/>
  <c r="BU270" i="10"/>
  <c r="BX270" i="10"/>
  <c r="BA271" i="10"/>
  <c r="BF271" i="10"/>
  <c r="BG271" i="10"/>
  <c r="BI271" i="10"/>
  <c r="BJ271" i="10"/>
  <c r="BK271" i="10"/>
  <c r="BL271" i="10"/>
  <c r="BM271" i="10"/>
  <c r="BN271" i="10"/>
  <c r="BO271" i="10"/>
  <c r="BP271" i="10"/>
  <c r="BQ271" i="10"/>
  <c r="BR271" i="10"/>
  <c r="BT271" i="10"/>
  <c r="BU271" i="10"/>
  <c r="BX271" i="10"/>
  <c r="BA272" i="10"/>
  <c r="BF272" i="10"/>
  <c r="BG272" i="10"/>
  <c r="BI272" i="10"/>
  <c r="BJ272" i="10"/>
  <c r="BK272" i="10"/>
  <c r="BL272" i="10"/>
  <c r="BM272" i="10"/>
  <c r="BN272" i="10"/>
  <c r="BO272" i="10"/>
  <c r="BP272" i="10"/>
  <c r="BQ272" i="10"/>
  <c r="BR272" i="10"/>
  <c r="BT272" i="10"/>
  <c r="BU272" i="10"/>
  <c r="BX272" i="10"/>
  <c r="BA273" i="10"/>
  <c r="BF273" i="10"/>
  <c r="BG273" i="10"/>
  <c r="BI273" i="10"/>
  <c r="BJ273" i="10"/>
  <c r="BK273" i="10"/>
  <c r="BL273" i="10"/>
  <c r="BM273" i="10"/>
  <c r="BN273" i="10"/>
  <c r="BO273" i="10"/>
  <c r="BP273" i="10"/>
  <c r="BQ273" i="10"/>
  <c r="BR273" i="10"/>
  <c r="BT273" i="10"/>
  <c r="BU273" i="10"/>
  <c r="BX273" i="10"/>
  <c r="BA274" i="10"/>
  <c r="BF274" i="10"/>
  <c r="BG274" i="10"/>
  <c r="BI274" i="10"/>
  <c r="BJ274" i="10"/>
  <c r="BK274" i="10"/>
  <c r="BL274" i="10"/>
  <c r="BM274" i="10"/>
  <c r="BN274" i="10"/>
  <c r="BO274" i="10"/>
  <c r="BP274" i="10"/>
  <c r="BQ274" i="10"/>
  <c r="BR274" i="10"/>
  <c r="BT274" i="10"/>
  <c r="BU274" i="10"/>
  <c r="BX274" i="10"/>
  <c r="BA275" i="10"/>
  <c r="BF275" i="10"/>
  <c r="BG275" i="10"/>
  <c r="BI275" i="10"/>
  <c r="BJ275" i="10"/>
  <c r="BK275" i="10"/>
  <c r="BL275" i="10"/>
  <c r="BM275" i="10"/>
  <c r="BN275" i="10"/>
  <c r="BO275" i="10"/>
  <c r="BP275" i="10"/>
  <c r="BQ275" i="10"/>
  <c r="BR275" i="10"/>
  <c r="BT275" i="10"/>
  <c r="BU275" i="10"/>
  <c r="BX275" i="10"/>
  <c r="BA276" i="10"/>
  <c r="BF276" i="10"/>
  <c r="BG276" i="10"/>
  <c r="BI276" i="10"/>
  <c r="BJ276" i="10"/>
  <c r="BK276" i="10"/>
  <c r="BL276" i="10"/>
  <c r="BM276" i="10"/>
  <c r="BN276" i="10"/>
  <c r="BO276" i="10"/>
  <c r="BP276" i="10"/>
  <c r="BQ276" i="10"/>
  <c r="BR276" i="10"/>
  <c r="BT276" i="10"/>
  <c r="BU276" i="10"/>
  <c r="BX276" i="10"/>
  <c r="BA277" i="10"/>
  <c r="BF277" i="10"/>
  <c r="BG277" i="10"/>
  <c r="BI277" i="10"/>
  <c r="BJ277" i="10"/>
  <c r="BL277" i="10"/>
  <c r="BN277" i="10"/>
  <c r="BO277" i="10"/>
  <c r="BP277" i="10"/>
  <c r="BQ277" i="10"/>
  <c r="BR277" i="10"/>
  <c r="BT277" i="10"/>
  <c r="BU277" i="10"/>
  <c r="BX277" i="10"/>
  <c r="BA278" i="10"/>
  <c r="BF278" i="10"/>
  <c r="BG278" i="10"/>
  <c r="BI278" i="10"/>
  <c r="BJ278" i="10"/>
  <c r="BK278" i="10"/>
  <c r="BL278" i="10"/>
  <c r="BM278" i="10"/>
  <c r="BN278" i="10"/>
  <c r="BO278" i="10"/>
  <c r="BP278" i="10"/>
  <c r="BQ278" i="10"/>
  <c r="BR278" i="10"/>
  <c r="BT278" i="10"/>
  <c r="BU278" i="10"/>
  <c r="BX278" i="10"/>
  <c r="BA279" i="10"/>
  <c r="BF279" i="10"/>
  <c r="BG279" i="10"/>
  <c r="BI279" i="10"/>
  <c r="BJ279" i="10"/>
  <c r="BK279" i="10"/>
  <c r="BL279" i="10"/>
  <c r="BM279" i="10"/>
  <c r="BN279" i="10"/>
  <c r="BO279" i="10"/>
  <c r="BP279" i="10"/>
  <c r="BQ279" i="10"/>
  <c r="BR279" i="10"/>
  <c r="BT279" i="10"/>
  <c r="BU279" i="10"/>
  <c r="BX279" i="10"/>
  <c r="BA280" i="10"/>
  <c r="BF280" i="10"/>
  <c r="BG280" i="10"/>
  <c r="BI280" i="10"/>
  <c r="BJ280" i="10"/>
  <c r="BK280" i="10"/>
  <c r="BL280" i="10"/>
  <c r="BM280" i="10"/>
  <c r="BN280" i="10"/>
  <c r="BO280" i="10"/>
  <c r="BP280" i="10"/>
  <c r="BQ280" i="10"/>
  <c r="BR280" i="10"/>
  <c r="BT280" i="10"/>
  <c r="BU280" i="10"/>
  <c r="BX280" i="10"/>
  <c r="BA281" i="10"/>
  <c r="BF281" i="10"/>
  <c r="BG281" i="10"/>
  <c r="BI281" i="10"/>
  <c r="BJ281" i="10"/>
  <c r="BK281" i="10"/>
  <c r="BL281" i="10"/>
  <c r="BM281" i="10"/>
  <c r="BN281" i="10"/>
  <c r="BO281" i="10"/>
  <c r="BP281" i="10"/>
  <c r="BQ281" i="10"/>
  <c r="BR281" i="10"/>
  <c r="BT281" i="10"/>
  <c r="BU281" i="10"/>
  <c r="BX281" i="10"/>
  <c r="BA282" i="10"/>
  <c r="BF282" i="10"/>
  <c r="BG282" i="10"/>
  <c r="BI282" i="10"/>
  <c r="BJ282" i="10"/>
  <c r="BK282" i="10"/>
  <c r="BL282" i="10"/>
  <c r="BM282" i="10"/>
  <c r="BN282" i="10"/>
  <c r="BO282" i="10"/>
  <c r="BP282" i="10"/>
  <c r="BQ282" i="10"/>
  <c r="BR282" i="10"/>
  <c r="BT282" i="10"/>
  <c r="BU282" i="10"/>
  <c r="BX282" i="10"/>
  <c r="BA283" i="10"/>
  <c r="BF283" i="10"/>
  <c r="BG283" i="10"/>
  <c r="BI283" i="10"/>
  <c r="BJ283" i="10"/>
  <c r="BK283" i="10"/>
  <c r="BL283" i="10"/>
  <c r="BM283" i="10"/>
  <c r="BN283" i="10"/>
  <c r="BO283" i="10"/>
  <c r="BP283" i="10"/>
  <c r="BQ283" i="10"/>
  <c r="BR283" i="10"/>
  <c r="BT283" i="10"/>
  <c r="BU283" i="10"/>
  <c r="BX283" i="10"/>
  <c r="P1272" i="17" l="1"/>
  <c r="Q1272" i="17" s="1"/>
  <c r="P1269" i="17"/>
  <c r="Q1269" i="17" s="1"/>
  <c r="O1274" i="17"/>
  <c r="Q1274" i="17" s="1"/>
  <c r="O1275" i="17"/>
  <c r="Q1275" i="17" s="1"/>
  <c r="P1271" i="17"/>
  <c r="Q1271" i="17" s="1"/>
  <c r="P1276" i="17"/>
  <c r="Q1276" i="17" s="1"/>
  <c r="O1268" i="17"/>
  <c r="Q1268" i="17" s="1"/>
  <c r="O1277" i="17"/>
  <c r="Q1277" i="17" s="1"/>
  <c r="O1270" i="17"/>
  <c r="Q1270" i="17" s="1"/>
  <c r="P1273" i="17"/>
  <c r="Q1273" i="17" s="1"/>
  <c r="N1108" i="17"/>
  <c r="O1108" i="17" s="1"/>
  <c r="N1114" i="17"/>
  <c r="P1114" i="17" s="1"/>
  <c r="N1119" i="17"/>
  <c r="O1119" i="17" s="1"/>
  <c r="N1123" i="17"/>
  <c r="P1123" i="17" s="1"/>
  <c r="N1115" i="17"/>
  <c r="O1115" i="17" s="1"/>
  <c r="N1109" i="17"/>
  <c r="O1109" i="17" s="1"/>
  <c r="N1257" i="17"/>
  <c r="P1257" i="17" s="1"/>
  <c r="N1118" i="17"/>
  <c r="O1118" i="17" s="1"/>
  <c r="N1111" i="17"/>
  <c r="O1111" i="17" s="1"/>
  <c r="N1113" i="17"/>
  <c r="O1113" i="17" s="1"/>
  <c r="N1172" i="17"/>
  <c r="O1172" i="17" s="1"/>
  <c r="N1223" i="17"/>
  <c r="O1223" i="17" s="1"/>
  <c r="N1199" i="17"/>
  <c r="P1199" i="17" s="1"/>
  <c r="N1187" i="17"/>
  <c r="O1187" i="17" s="1"/>
  <c r="N1181" i="17"/>
  <c r="O1181" i="17" s="1"/>
  <c r="N1175" i="17"/>
  <c r="O1175" i="17" s="1"/>
  <c r="N1161" i="17"/>
  <c r="O1161" i="17" s="1"/>
  <c r="N1155" i="17"/>
  <c r="O1155" i="17" s="1"/>
  <c r="N1149" i="17"/>
  <c r="O1149" i="17" s="1"/>
  <c r="N1249" i="17"/>
  <c r="P1249" i="17" s="1"/>
  <c r="N1211" i="17"/>
  <c r="P1211" i="17" s="1"/>
  <c r="N1171" i="17"/>
  <c r="P1171" i="17" s="1"/>
  <c r="N1165" i="17"/>
  <c r="P1165" i="17" s="1"/>
  <c r="N1153" i="17"/>
  <c r="P1153" i="17" s="1"/>
  <c r="N1133" i="17"/>
  <c r="P1133" i="17" s="1"/>
  <c r="N1129" i="17"/>
  <c r="P1129" i="17" s="1"/>
  <c r="N1135" i="17"/>
  <c r="O1135" i="17" s="1"/>
  <c r="N1192" i="17"/>
  <c r="O1192" i="17" s="1"/>
  <c r="N1267" i="17"/>
  <c r="O1267" i="17" s="1"/>
  <c r="N1251" i="17"/>
  <c r="O1251" i="17" s="1"/>
  <c r="N1264" i="17"/>
  <c r="O1264" i="17" s="1"/>
  <c r="N1143" i="17"/>
  <c r="O1143" i="17" s="1"/>
  <c r="N1260" i="17"/>
  <c r="P1260" i="17" s="1"/>
  <c r="N1255" i="17"/>
  <c r="O1255" i="17" s="1"/>
  <c r="N1204" i="17"/>
  <c r="O1204" i="17" s="1"/>
  <c r="N1164" i="17"/>
  <c r="O1164" i="17" s="1"/>
  <c r="N1152" i="17"/>
  <c r="O1152" i="17" s="1"/>
  <c r="N1141" i="17"/>
  <c r="P1141" i="17" s="1"/>
  <c r="N1112" i="17"/>
  <c r="O1112" i="17" s="1"/>
  <c r="N1230" i="17"/>
  <c r="P1230" i="17" s="1"/>
  <c r="N1219" i="17"/>
  <c r="P1219" i="17" s="1"/>
  <c r="N1180" i="17"/>
  <c r="O1180" i="17" s="1"/>
  <c r="N1166" i="17"/>
  <c r="O1166" i="17" s="1"/>
  <c r="N1146" i="17"/>
  <c r="O1146" i="17" s="1"/>
  <c r="N1174" i="17"/>
  <c r="O1174" i="17" s="1"/>
  <c r="N1154" i="17"/>
  <c r="O1154" i="17" s="1"/>
  <c r="N1237" i="17"/>
  <c r="O1237" i="17" s="1"/>
  <c r="N1224" i="17"/>
  <c r="P1224" i="17" s="1"/>
  <c r="N1200" i="17"/>
  <c r="P1200" i="17" s="1"/>
  <c r="N1144" i="17"/>
  <c r="P1144" i="17" s="1"/>
  <c r="N1139" i="17"/>
  <c r="P1139" i="17" s="1"/>
  <c r="N1134" i="17"/>
  <c r="O1134" i="17" s="1"/>
  <c r="N1193" i="17"/>
  <c r="O1193" i="17" s="1"/>
  <c r="N1247" i="17"/>
  <c r="O1247" i="17" s="1"/>
  <c r="N1220" i="17"/>
  <c r="O1220" i="17" s="1"/>
  <c r="N1185" i="17"/>
  <c r="N1158" i="17"/>
  <c r="O1158" i="17" s="1"/>
  <c r="N1131" i="17"/>
  <c r="O1131" i="17" s="1"/>
  <c r="N1110" i="17"/>
  <c r="O1110" i="17" s="1"/>
  <c r="N1184" i="17"/>
  <c r="O1184" i="17" s="1"/>
  <c r="N1190" i="17"/>
  <c r="P1190" i="17" s="1"/>
  <c r="N1182" i="17"/>
  <c r="P1182" i="17" s="1"/>
  <c r="N1256" i="17"/>
  <c r="O1256" i="17" s="1"/>
  <c r="N1248" i="17"/>
  <c r="P1248" i="17" s="1"/>
  <c r="N1216" i="17"/>
  <c r="P1216" i="17" s="1"/>
  <c r="N1203" i="17"/>
  <c r="P1203" i="17" s="1"/>
  <c r="N1145" i="17"/>
  <c r="P1145" i="17" s="1"/>
  <c r="N1142" i="17"/>
  <c r="O1142" i="17" s="1"/>
  <c r="N1265" i="17"/>
  <c r="O1265" i="17" s="1"/>
  <c r="N1266" i="17"/>
  <c r="O1266" i="17" s="1"/>
  <c r="N1258" i="17"/>
  <c r="O1258" i="17" s="1"/>
  <c r="N1250" i="17"/>
  <c r="P1250" i="17" s="1"/>
  <c r="N1234" i="17"/>
  <c r="P1234" i="17" s="1"/>
  <c r="N1226" i="17"/>
  <c r="O1226" i="17" s="1"/>
  <c r="N1215" i="17"/>
  <c r="O1215" i="17" s="1"/>
  <c r="N1210" i="17"/>
  <c r="O1210" i="17" s="1"/>
  <c r="N1177" i="17"/>
  <c r="O1177" i="17" s="1"/>
  <c r="N1242" i="17"/>
  <c r="O1242" i="17" s="1"/>
  <c r="N1178" i="17"/>
  <c r="O1178" i="17" s="1"/>
  <c r="N1231" i="17"/>
  <c r="P1231" i="17" s="1"/>
  <c r="N1140" i="17"/>
  <c r="O1140" i="17" s="1"/>
  <c r="N1207" i="17"/>
  <c r="O1207" i="17" s="1"/>
  <c r="N1196" i="17"/>
  <c r="P1196" i="17" s="1"/>
  <c r="N1137" i="17"/>
  <c r="O1137" i="17" s="1"/>
  <c r="N1194" i="17"/>
  <c r="O1194" i="17" s="1"/>
  <c r="N1263" i="17"/>
  <c r="O1263" i="17" s="1"/>
  <c r="N1225" i="17"/>
  <c r="O1225" i="17" s="1"/>
  <c r="N1169" i="17"/>
  <c r="O1169" i="17" s="1"/>
  <c r="N1167" i="17"/>
  <c r="N1157" i="17"/>
  <c r="P1157" i="17" s="1"/>
  <c r="N1132" i="17"/>
  <c r="O1132" i="17" s="1"/>
  <c r="N1253" i="17"/>
  <c r="O1253" i="17" s="1"/>
  <c r="N1235" i="17"/>
  <c r="O1235" i="17" s="1"/>
  <c r="N1148" i="17"/>
  <c r="O1148" i="17" s="1"/>
  <c r="N1128" i="17"/>
  <c r="O1128" i="17" s="1"/>
  <c r="N1124" i="17"/>
  <c r="P1124" i="17" s="1"/>
  <c r="N1240" i="17"/>
  <c r="P1240" i="17" s="1"/>
  <c r="N1221" i="17"/>
  <c r="O1221" i="17" s="1"/>
  <c r="N1213" i="17"/>
  <c r="O1213" i="17" s="1"/>
  <c r="N1197" i="17"/>
  <c r="P1197" i="17" s="1"/>
  <c r="N1186" i="17"/>
  <c r="O1186" i="17" s="1"/>
  <c r="N1168" i="17"/>
  <c r="O1168" i="17" s="1"/>
  <c r="N1130" i="17"/>
  <c r="O1130" i="17" s="1"/>
  <c r="N1127" i="17"/>
  <c r="O1127" i="17" s="1"/>
  <c r="N1121" i="17"/>
  <c r="O1121" i="17" s="1"/>
  <c r="N1107" i="17"/>
  <c r="O1107" i="17" s="1"/>
  <c r="N1208" i="17"/>
  <c r="N1262" i="17"/>
  <c r="O1262" i="17" s="1"/>
  <c r="N1252" i="17"/>
  <c r="O1252" i="17" s="1"/>
  <c r="N1245" i="17"/>
  <c r="P1245" i="17" s="1"/>
  <c r="N1238" i="17"/>
  <c r="P1238" i="17" s="1"/>
  <c r="N1229" i="17"/>
  <c r="P1229" i="17" s="1"/>
  <c r="N1212" i="17"/>
  <c r="O1212" i="17" s="1"/>
  <c r="N1201" i="17"/>
  <c r="O1201" i="17" s="1"/>
  <c r="N1189" i="17"/>
  <c r="P1189" i="17" s="1"/>
  <c r="N1159" i="17"/>
  <c r="P1159" i="17" s="1"/>
  <c r="N1259" i="17"/>
  <c r="O1259" i="17" s="1"/>
  <c r="N1173" i="17"/>
  <c r="N1116" i="17"/>
  <c r="N1254" i="17"/>
  <c r="O1254" i="17" s="1"/>
  <c r="N1244" i="17"/>
  <c r="O1244" i="17" s="1"/>
  <c r="N1233" i="17"/>
  <c r="P1233" i="17" s="1"/>
  <c r="N1209" i="17"/>
  <c r="O1209" i="17" s="1"/>
  <c r="N1205" i="17"/>
  <c r="N1191" i="17"/>
  <c r="P1191" i="17" s="1"/>
  <c r="N1179" i="17"/>
  <c r="P1179" i="17" s="1"/>
  <c r="N1163" i="17"/>
  <c r="O1163" i="17" s="1"/>
  <c r="N1151" i="17"/>
  <c r="O1151" i="17" s="1"/>
  <c r="N1125" i="17"/>
  <c r="P1125" i="17" s="1"/>
  <c r="N1120" i="17"/>
  <c r="P1120" i="17" s="1"/>
  <c r="N1227" i="17"/>
  <c r="O1227" i="17" s="1"/>
  <c r="N1261" i="17"/>
  <c r="O1261" i="17" s="1"/>
  <c r="N1246" i="17"/>
  <c r="P1246" i="17" s="1"/>
  <c r="N1232" i="17"/>
  <c r="O1232" i="17" s="1"/>
  <c r="N1218" i="17"/>
  <c r="O1218" i="17" s="1"/>
  <c r="N1198" i="17"/>
  <c r="N1188" i="17"/>
  <c r="O1188" i="17" s="1"/>
  <c r="N1170" i="17"/>
  <c r="O1170" i="17" s="1"/>
  <c r="N1160" i="17"/>
  <c r="O1160" i="17" s="1"/>
  <c r="N1147" i="17"/>
  <c r="P1147" i="17" s="1"/>
  <c r="N1117" i="17"/>
  <c r="O1117" i="17" s="1"/>
  <c r="N1243" i="17"/>
  <c r="P1243" i="17" s="1"/>
  <c r="N1241" i="17"/>
  <c r="P1241" i="17" s="1"/>
  <c r="N1239" i="17"/>
  <c r="P1239" i="17" s="1"/>
  <c r="N1206" i="17"/>
  <c r="O1206" i="17" s="1"/>
  <c r="N1202" i="17"/>
  <c r="P1202" i="17" s="1"/>
  <c r="N1195" i="17"/>
  <c r="O1195" i="17" s="1"/>
  <c r="N1183" i="17"/>
  <c r="O1183" i="17" s="1"/>
  <c r="N1138" i="17"/>
  <c r="P1138" i="17" s="1"/>
  <c r="N1122" i="17"/>
  <c r="P1122" i="17" s="1"/>
  <c r="N1217" i="17"/>
  <c r="N1156" i="17"/>
  <c r="N1236" i="17"/>
  <c r="N1222" i="17"/>
  <c r="N1214" i="17"/>
  <c r="N1150" i="17"/>
  <c r="N1126" i="17"/>
  <c r="N1176" i="17"/>
  <c r="N1228" i="17"/>
  <c r="N1136" i="17"/>
  <c r="N1162" i="17"/>
  <c r="BW283" i="10"/>
  <c r="BW276" i="10"/>
  <c r="BW275" i="10"/>
  <c r="BW272" i="10"/>
  <c r="BW271" i="10"/>
  <c r="BW281" i="10"/>
  <c r="BW280" i="10"/>
  <c r="BW279" i="10"/>
  <c r="BW278" i="10"/>
  <c r="BW274" i="10"/>
  <c r="BW273" i="10"/>
  <c r="BW268" i="10"/>
  <c r="BW270" i="10"/>
  <c r="BW269" i="10"/>
  <c r="BW282" i="10"/>
  <c r="BW277" i="10"/>
  <c r="BM267" i="10"/>
  <c r="O1114" i="17" l="1"/>
  <c r="Q1114" i="17" s="1"/>
  <c r="P1108" i="17"/>
  <c r="Q1108" i="17" s="1"/>
  <c r="P1115" i="17"/>
  <c r="Q1115" i="17" s="1"/>
  <c r="O1257" i="17"/>
  <c r="Q1257" i="17" s="1"/>
  <c r="P1109" i="17"/>
  <c r="Q1109" i="17" s="1"/>
  <c r="O1199" i="17"/>
  <c r="Q1199" i="17" s="1"/>
  <c r="O1123" i="17"/>
  <c r="Q1123" i="17" s="1"/>
  <c r="P1119" i="17"/>
  <c r="Q1119" i="17" s="1"/>
  <c r="O1182" i="17"/>
  <c r="Q1182" i="17" s="1"/>
  <c r="P1118" i="17"/>
  <c r="Q1118" i="17" s="1"/>
  <c r="P1164" i="17"/>
  <c r="Q1164" i="17" s="1"/>
  <c r="P1112" i="17"/>
  <c r="Q1112" i="17" s="1"/>
  <c r="P1113" i="17"/>
  <c r="Q1113" i="17" s="1"/>
  <c r="O1144" i="17"/>
  <c r="Q1144" i="17" s="1"/>
  <c r="P1134" i="17"/>
  <c r="Q1134" i="17" s="1"/>
  <c r="O1133" i="17"/>
  <c r="Q1133" i="17" s="1"/>
  <c r="P1110" i="17"/>
  <c r="Q1110" i="17" s="1"/>
  <c r="O1245" i="17"/>
  <c r="Q1245" i="17" s="1"/>
  <c r="P1223" i="17"/>
  <c r="Q1223" i="17" s="1"/>
  <c r="P1267" i="17"/>
  <c r="Q1267" i="17" s="1"/>
  <c r="P1111" i="17"/>
  <c r="Q1111" i="17" s="1"/>
  <c r="P1166" i="17"/>
  <c r="Q1166" i="17" s="1"/>
  <c r="P1265" i="17"/>
  <c r="Q1265" i="17" s="1"/>
  <c r="P1149" i="17"/>
  <c r="Q1149" i="17" s="1"/>
  <c r="P1181" i="17"/>
  <c r="Q1181" i="17" s="1"/>
  <c r="P1186" i="17"/>
  <c r="Q1186" i="17" s="1"/>
  <c r="P1175" i="17"/>
  <c r="Q1175" i="17" s="1"/>
  <c r="O1211" i="17"/>
  <c r="Q1211" i="17" s="1"/>
  <c r="O1125" i="17"/>
  <c r="Q1125" i="17" s="1"/>
  <c r="P1184" i="17"/>
  <c r="Q1184" i="17" s="1"/>
  <c r="O1200" i="17"/>
  <c r="Q1200" i="17" s="1"/>
  <c r="P1264" i="17"/>
  <c r="Q1264" i="17" s="1"/>
  <c r="P1143" i="17"/>
  <c r="Q1143" i="17" s="1"/>
  <c r="P1192" i="17"/>
  <c r="Q1192" i="17" s="1"/>
  <c r="P1127" i="17"/>
  <c r="Q1127" i="17" s="1"/>
  <c r="P1155" i="17"/>
  <c r="Q1155" i="17" s="1"/>
  <c r="O1190" i="17"/>
  <c r="Q1190" i="17" s="1"/>
  <c r="P1161" i="17"/>
  <c r="Q1161" i="17" s="1"/>
  <c r="O1153" i="17"/>
  <c r="Q1153" i="17" s="1"/>
  <c r="O1230" i="17"/>
  <c r="Q1230" i="17" s="1"/>
  <c r="P1220" i="17"/>
  <c r="Q1220" i="17" s="1"/>
  <c r="P1172" i="17"/>
  <c r="Q1172" i="17" s="1"/>
  <c r="P1177" i="17"/>
  <c r="Q1177" i="17" s="1"/>
  <c r="P1251" i="17"/>
  <c r="Q1251" i="17" s="1"/>
  <c r="O1157" i="17"/>
  <c r="Q1157" i="17" s="1"/>
  <c r="P1187" i="17"/>
  <c r="Q1187" i="17" s="1"/>
  <c r="O1197" i="17"/>
  <c r="Q1197" i="17" s="1"/>
  <c r="O1165" i="17"/>
  <c r="Q1165" i="17" s="1"/>
  <c r="P1256" i="17"/>
  <c r="Q1256" i="17" s="1"/>
  <c r="O1171" i="17"/>
  <c r="Q1171" i="17" s="1"/>
  <c r="O1249" i="17"/>
  <c r="Q1249" i="17" s="1"/>
  <c r="O1145" i="17"/>
  <c r="Q1145" i="17" s="1"/>
  <c r="P1244" i="17"/>
  <c r="Q1244" i="17" s="1"/>
  <c r="P1174" i="17"/>
  <c r="Q1174" i="17" s="1"/>
  <c r="P1259" i="17"/>
  <c r="Q1259" i="17" s="1"/>
  <c r="O1129" i="17"/>
  <c r="Q1129" i="17" s="1"/>
  <c r="P1242" i="17"/>
  <c r="Q1242" i="17" s="1"/>
  <c r="O1189" i="17"/>
  <c r="Q1189" i="17" s="1"/>
  <c r="P1254" i="17"/>
  <c r="Q1254" i="17" s="1"/>
  <c r="P1135" i="17"/>
  <c r="Q1135" i="17" s="1"/>
  <c r="O1246" i="17"/>
  <c r="Q1246" i="17" s="1"/>
  <c r="P1121" i="17"/>
  <c r="Q1121" i="17" s="1"/>
  <c r="O1219" i="17"/>
  <c r="Q1219" i="17" s="1"/>
  <c r="P1255" i="17"/>
  <c r="Q1255" i="17" s="1"/>
  <c r="P1194" i="17"/>
  <c r="Q1194" i="17" s="1"/>
  <c r="P1225" i="17"/>
  <c r="Q1225" i="17" s="1"/>
  <c r="P1237" i="17"/>
  <c r="Q1237" i="17" s="1"/>
  <c r="O1260" i="17"/>
  <c r="Q1260" i="17" s="1"/>
  <c r="O1120" i="17"/>
  <c r="Q1120" i="17" s="1"/>
  <c r="P1107" i="17"/>
  <c r="Q1107" i="17" s="1"/>
  <c r="O1233" i="17"/>
  <c r="Q1233" i="17" s="1"/>
  <c r="P1210" i="17"/>
  <c r="Q1210" i="17" s="1"/>
  <c r="P1226" i="17"/>
  <c r="Q1226" i="17" s="1"/>
  <c r="P1142" i="17"/>
  <c r="Q1142" i="17" s="1"/>
  <c r="P1227" i="17"/>
  <c r="Q1227" i="17" s="1"/>
  <c r="O1124" i="17"/>
  <c r="Q1124" i="17" s="1"/>
  <c r="P1247" i="17"/>
  <c r="Q1247" i="17" s="1"/>
  <c r="P1180" i="17"/>
  <c r="Q1180" i="17" s="1"/>
  <c r="P1204" i="17"/>
  <c r="Q1204" i="17" s="1"/>
  <c r="P1215" i="17"/>
  <c r="Q1215" i="17" s="1"/>
  <c r="P1212" i="17"/>
  <c r="Q1212" i="17" s="1"/>
  <c r="O1179" i="17"/>
  <c r="Q1179" i="17" s="1"/>
  <c r="P1154" i="17"/>
  <c r="Q1154" i="17" s="1"/>
  <c r="O1224" i="17"/>
  <c r="Q1224" i="17" s="1"/>
  <c r="O1139" i="17"/>
  <c r="Q1139" i="17" s="1"/>
  <c r="O1141" i="17"/>
  <c r="Q1141" i="17" s="1"/>
  <c r="P1188" i="17"/>
  <c r="Q1188" i="17" s="1"/>
  <c r="P1148" i="17"/>
  <c r="Q1148" i="17" s="1"/>
  <c r="P1158" i="17"/>
  <c r="Q1158" i="17" s="1"/>
  <c r="O1138" i="17"/>
  <c r="Q1138" i="17" s="1"/>
  <c r="P1140" i="17"/>
  <c r="Q1140" i="17" s="1"/>
  <c r="P1137" i="17"/>
  <c r="Q1137" i="17" s="1"/>
  <c r="P1152" i="17"/>
  <c r="Q1152" i="17" s="1"/>
  <c r="O1239" i="17"/>
  <c r="Q1239" i="17" s="1"/>
  <c r="P1252" i="17"/>
  <c r="Q1252" i="17" s="1"/>
  <c r="P1266" i="17"/>
  <c r="Q1266" i="17" s="1"/>
  <c r="P1258" i="17"/>
  <c r="Q1258" i="17" s="1"/>
  <c r="P1193" i="17"/>
  <c r="Q1193" i="17" s="1"/>
  <c r="O1243" i="17"/>
  <c r="Q1243" i="17" s="1"/>
  <c r="P1146" i="17"/>
  <c r="Q1146" i="17" s="1"/>
  <c r="O1231" i="17"/>
  <c r="Q1231" i="17" s="1"/>
  <c r="P1169" i="17"/>
  <c r="Q1169" i="17" s="1"/>
  <c r="O1159" i="17"/>
  <c r="Q1159" i="17" s="1"/>
  <c r="O1216" i="17"/>
  <c r="Q1216" i="17" s="1"/>
  <c r="O1234" i="17"/>
  <c r="Q1234" i="17" s="1"/>
  <c r="P1130" i="17"/>
  <c r="Q1130" i="17" s="1"/>
  <c r="P1253" i="17"/>
  <c r="Q1253" i="17" s="1"/>
  <c r="O1250" i="17"/>
  <c r="Q1250" i="17" s="1"/>
  <c r="O1248" i="17"/>
  <c r="Q1248" i="17" s="1"/>
  <c r="P1185" i="17"/>
  <c r="O1185" i="17"/>
  <c r="P1160" i="17"/>
  <c r="Q1160" i="17" s="1"/>
  <c r="P1207" i="17"/>
  <c r="Q1207" i="17" s="1"/>
  <c r="P1170" i="17"/>
  <c r="Q1170" i="17" s="1"/>
  <c r="O1229" i="17"/>
  <c r="Q1229" i="17" s="1"/>
  <c r="P1131" i="17"/>
  <c r="Q1131" i="17" s="1"/>
  <c r="O1238" i="17"/>
  <c r="Q1238" i="17" s="1"/>
  <c r="P1235" i="17"/>
  <c r="Q1235" i="17" s="1"/>
  <c r="O1196" i="17"/>
  <c r="Q1196" i="17" s="1"/>
  <c r="P1151" i="17"/>
  <c r="Q1151" i="17" s="1"/>
  <c r="P1221" i="17"/>
  <c r="Q1221" i="17" s="1"/>
  <c r="O1203" i="17"/>
  <c r="Q1203" i="17" s="1"/>
  <c r="P1128" i="17"/>
  <c r="Q1128" i="17" s="1"/>
  <c r="P1168" i="17"/>
  <c r="Q1168" i="17" s="1"/>
  <c r="P1132" i="17"/>
  <c r="Q1132" i="17" s="1"/>
  <c r="O1122" i="17"/>
  <c r="Q1122" i="17" s="1"/>
  <c r="P1178" i="17"/>
  <c r="Q1178" i="17" s="1"/>
  <c r="O1240" i="17"/>
  <c r="Q1240" i="17" s="1"/>
  <c r="P1117" i="17"/>
  <c r="Q1117" i="17" s="1"/>
  <c r="P1195" i="17"/>
  <c r="Q1195" i="17" s="1"/>
  <c r="P1263" i="17"/>
  <c r="Q1263" i="17" s="1"/>
  <c r="P1218" i="17"/>
  <c r="Q1218" i="17" s="1"/>
  <c r="O1147" i="17"/>
  <c r="Q1147" i="17" s="1"/>
  <c r="P1167" i="17"/>
  <c r="O1167" i="17"/>
  <c r="P1213" i="17"/>
  <c r="Q1213" i="17" s="1"/>
  <c r="P1209" i="17"/>
  <c r="Q1209" i="17" s="1"/>
  <c r="O1202" i="17"/>
  <c r="Q1202" i="17" s="1"/>
  <c r="P1232" i="17"/>
  <c r="Q1232" i="17" s="1"/>
  <c r="O1241" i="17"/>
  <c r="Q1241" i="17" s="1"/>
  <c r="P1206" i="17"/>
  <c r="Q1206" i="17" s="1"/>
  <c r="O1191" i="17"/>
  <c r="Q1191" i="17" s="1"/>
  <c r="O1116" i="17"/>
  <c r="P1116" i="17"/>
  <c r="P1173" i="17"/>
  <c r="O1173" i="17"/>
  <c r="P1208" i="17"/>
  <c r="O1208" i="17"/>
  <c r="P1183" i="17"/>
  <c r="Q1183" i="17" s="1"/>
  <c r="P1163" i="17"/>
  <c r="Q1163" i="17" s="1"/>
  <c r="P1261" i="17"/>
  <c r="Q1261" i="17" s="1"/>
  <c r="O1198" i="17"/>
  <c r="P1198" i="17"/>
  <c r="P1205" i="17"/>
  <c r="O1205" i="17"/>
  <c r="P1201" i="17"/>
  <c r="Q1201" i="17" s="1"/>
  <c r="P1262" i="17"/>
  <c r="Q1262" i="17" s="1"/>
  <c r="O1162" i="17"/>
  <c r="P1162" i="17"/>
  <c r="O1228" i="17"/>
  <c r="P1228" i="17"/>
  <c r="O1136" i="17"/>
  <c r="P1136" i="17"/>
  <c r="O1176" i="17"/>
  <c r="P1176" i="17"/>
  <c r="O1150" i="17"/>
  <c r="P1150" i="17"/>
  <c r="O1156" i="17"/>
  <c r="P1156" i="17"/>
  <c r="O1214" i="17"/>
  <c r="P1214" i="17"/>
  <c r="O1222" i="17"/>
  <c r="P1222" i="17"/>
  <c r="O1217" i="17"/>
  <c r="P1217" i="17"/>
  <c r="O1126" i="17"/>
  <c r="P1126" i="17"/>
  <c r="O1236" i="17"/>
  <c r="P1236" i="17"/>
  <c r="BL267" i="10"/>
  <c r="BS288" i="10" l="1"/>
  <c r="Q1173" i="17"/>
  <c r="Q1205" i="17"/>
  <c r="Q1208" i="17"/>
  <c r="Q1176" i="17"/>
  <c r="Q1185" i="17"/>
  <c r="Q1167" i="17"/>
  <c r="Q1126" i="17"/>
  <c r="Q1217" i="17"/>
  <c r="Q1198" i="17"/>
  <c r="Q1156" i="17"/>
  <c r="Q1116" i="17"/>
  <c r="Q1162" i="17"/>
  <c r="Q1222" i="17"/>
  <c r="Q1150" i="17"/>
  <c r="Q1136" i="17"/>
  <c r="Q1214" i="17"/>
  <c r="Q1236" i="17"/>
  <c r="Q1228" i="17"/>
  <c r="BA267" i="10"/>
  <c r="BF267" i="10"/>
  <c r="BG267" i="10"/>
  <c r="BI267" i="10"/>
  <c r="BJ267" i="10"/>
  <c r="BK267" i="10"/>
  <c r="BN267" i="10"/>
  <c r="BO267" i="10"/>
  <c r="BP267" i="10"/>
  <c r="BQ267" i="10"/>
  <c r="BR267" i="10"/>
  <c r="BT267" i="10"/>
  <c r="BU267" i="10"/>
  <c r="BX267" i="10"/>
  <c r="BW267" i="10" l="1"/>
  <c r="L1092" i="17"/>
  <c r="M1092" i="17"/>
  <c r="R1092" i="17"/>
  <c r="L1093" i="17"/>
  <c r="M1093" i="17"/>
  <c r="R1093" i="17"/>
  <c r="L1094" i="17"/>
  <c r="M1094" i="17"/>
  <c r="R1094" i="17"/>
  <c r="L1095" i="17"/>
  <c r="M1095" i="17"/>
  <c r="R1095" i="17"/>
  <c r="L1096" i="17"/>
  <c r="M1096" i="17"/>
  <c r="R1096" i="17"/>
  <c r="L1097" i="17"/>
  <c r="M1097" i="17"/>
  <c r="R1097" i="17"/>
  <c r="L1098" i="17"/>
  <c r="M1098" i="17"/>
  <c r="R1098" i="17"/>
  <c r="L1099" i="17"/>
  <c r="M1099" i="17"/>
  <c r="R1099" i="17"/>
  <c r="L1100" i="17"/>
  <c r="M1100" i="17"/>
  <c r="R1100" i="17"/>
  <c r="L1101" i="17"/>
  <c r="M1101" i="17"/>
  <c r="R1101" i="17"/>
  <c r="L1102" i="17"/>
  <c r="M1102" i="17"/>
  <c r="R1102" i="17"/>
  <c r="L1103" i="17"/>
  <c r="M1103" i="17"/>
  <c r="R1103" i="17"/>
  <c r="L1104" i="17"/>
  <c r="M1104" i="17"/>
  <c r="R1104" i="17"/>
  <c r="L1105" i="17"/>
  <c r="M1105" i="17"/>
  <c r="R1105" i="17"/>
  <c r="L1106" i="17"/>
  <c r="M1106" i="17"/>
  <c r="R1106" i="17"/>
  <c r="BA265" i="10"/>
  <c r="BF265" i="10"/>
  <c r="BG265" i="10"/>
  <c r="BI265" i="10"/>
  <c r="BJ265" i="10"/>
  <c r="BK265" i="10"/>
  <c r="BL265" i="10"/>
  <c r="BM265" i="10"/>
  <c r="BN265" i="10"/>
  <c r="BO265" i="10"/>
  <c r="BP265" i="10"/>
  <c r="BQ265" i="10"/>
  <c r="BR265" i="10"/>
  <c r="BT265" i="10"/>
  <c r="BU265" i="10"/>
  <c r="BX265" i="10"/>
  <c r="BA266" i="10"/>
  <c r="BF266" i="10"/>
  <c r="BG266" i="10"/>
  <c r="BI266" i="10"/>
  <c r="BJ266" i="10"/>
  <c r="BK266" i="10"/>
  <c r="BL266" i="10"/>
  <c r="BM266" i="10"/>
  <c r="BN266" i="10"/>
  <c r="BO266" i="10"/>
  <c r="BP266" i="10"/>
  <c r="BQ266" i="10"/>
  <c r="BR266" i="10"/>
  <c r="BT266" i="10"/>
  <c r="BU266" i="10"/>
  <c r="BX266" i="10"/>
  <c r="BW266" i="10" l="1"/>
  <c r="N1093" i="17"/>
  <c r="P1093" i="17" s="1"/>
  <c r="N1105" i="17"/>
  <c r="O1105" i="17" s="1"/>
  <c r="N1094" i="17"/>
  <c r="P1094" i="17" s="1"/>
  <c r="N1095" i="17"/>
  <c r="P1095" i="17" s="1"/>
  <c r="N1097" i="17"/>
  <c r="O1097" i="17" s="1"/>
  <c r="N1100" i="17"/>
  <c r="O1100" i="17" s="1"/>
  <c r="N1096" i="17"/>
  <c r="P1096" i="17" s="1"/>
  <c r="N1101" i="17"/>
  <c r="P1101" i="17" s="1"/>
  <c r="N1099" i="17"/>
  <c r="O1099" i="17" s="1"/>
  <c r="N1092" i="17"/>
  <c r="O1092" i="17" s="1"/>
  <c r="N1103" i="17"/>
  <c r="O1103" i="17" s="1"/>
  <c r="N1102" i="17"/>
  <c r="P1102" i="17" s="1"/>
  <c r="N1098" i="17"/>
  <c r="O1098" i="17" s="1"/>
  <c r="N1104" i="17"/>
  <c r="P1104" i="17" s="1"/>
  <c r="N1106" i="17"/>
  <c r="P1106" i="17" s="1"/>
  <c r="BW265" i="10"/>
  <c r="BX4" i="10"/>
  <c r="BX5" i="10"/>
  <c r="BX6" i="10"/>
  <c r="BX7" i="10"/>
  <c r="BX8" i="10"/>
  <c r="BX9" i="10"/>
  <c r="BX10" i="10"/>
  <c r="BX11" i="10"/>
  <c r="BX12" i="10"/>
  <c r="BX13" i="10"/>
  <c r="BX14" i="10"/>
  <c r="BX15" i="10"/>
  <c r="BX16" i="10"/>
  <c r="BX17" i="10"/>
  <c r="BX18" i="10"/>
  <c r="BX19" i="10"/>
  <c r="BX20" i="10"/>
  <c r="BX21" i="10"/>
  <c r="BX22" i="10"/>
  <c r="BX23" i="10"/>
  <c r="BX24" i="10"/>
  <c r="BX25" i="10"/>
  <c r="BX26" i="10"/>
  <c r="BX27" i="10"/>
  <c r="BX28" i="10"/>
  <c r="BX29" i="10"/>
  <c r="BX30" i="10"/>
  <c r="BX31" i="10"/>
  <c r="BX32" i="10"/>
  <c r="BX33" i="10"/>
  <c r="BX34" i="10"/>
  <c r="BX35" i="10"/>
  <c r="BX36" i="10"/>
  <c r="BX37" i="10"/>
  <c r="BX38" i="10"/>
  <c r="BX39" i="10"/>
  <c r="BX40" i="10"/>
  <c r="BX41" i="10"/>
  <c r="BX42" i="10"/>
  <c r="BX43" i="10"/>
  <c r="BX44" i="10"/>
  <c r="BX45" i="10"/>
  <c r="BX46" i="10"/>
  <c r="BX47" i="10"/>
  <c r="BX48" i="10"/>
  <c r="BX49" i="10"/>
  <c r="BX50" i="10"/>
  <c r="BX51" i="10"/>
  <c r="BX52" i="10"/>
  <c r="BX53" i="10"/>
  <c r="BX54" i="10"/>
  <c r="BX55" i="10"/>
  <c r="BX56" i="10"/>
  <c r="BX57" i="10"/>
  <c r="BX58" i="10"/>
  <c r="BX59" i="10"/>
  <c r="BX60" i="10"/>
  <c r="BX61" i="10"/>
  <c r="BX62" i="10"/>
  <c r="BX63" i="10"/>
  <c r="BX64" i="10"/>
  <c r="BX65" i="10"/>
  <c r="BX66" i="10"/>
  <c r="BX67" i="10"/>
  <c r="BX68" i="10"/>
  <c r="BX69" i="10"/>
  <c r="BX70" i="10"/>
  <c r="BX71" i="10"/>
  <c r="BX72" i="10"/>
  <c r="BX73" i="10"/>
  <c r="BX74" i="10"/>
  <c r="BX75" i="10"/>
  <c r="BX76" i="10"/>
  <c r="BX77" i="10"/>
  <c r="BX78" i="10"/>
  <c r="BX79" i="10"/>
  <c r="BX80" i="10"/>
  <c r="BX81" i="10"/>
  <c r="BX82" i="10"/>
  <c r="BX83" i="10"/>
  <c r="BX84" i="10"/>
  <c r="BX85" i="10"/>
  <c r="BX86" i="10"/>
  <c r="BX87" i="10"/>
  <c r="BX88" i="10"/>
  <c r="BX89" i="10"/>
  <c r="BX90" i="10"/>
  <c r="BX91" i="10"/>
  <c r="BX92" i="10"/>
  <c r="BX93" i="10"/>
  <c r="BX94" i="10"/>
  <c r="BX95" i="10"/>
  <c r="BX96" i="10"/>
  <c r="BX97" i="10"/>
  <c r="BX98" i="10"/>
  <c r="BX99" i="10"/>
  <c r="BX100" i="10"/>
  <c r="BX101" i="10"/>
  <c r="BX102" i="10"/>
  <c r="BX103" i="10"/>
  <c r="BX104" i="10"/>
  <c r="BX105" i="10"/>
  <c r="BX106" i="10"/>
  <c r="BX107" i="10"/>
  <c r="BX108" i="10"/>
  <c r="BX109" i="10"/>
  <c r="BX110" i="10"/>
  <c r="BX111" i="10"/>
  <c r="BX112" i="10"/>
  <c r="BX113" i="10"/>
  <c r="BX114" i="10"/>
  <c r="BX115" i="10"/>
  <c r="BX116" i="10"/>
  <c r="BX117" i="10"/>
  <c r="BX118" i="10"/>
  <c r="BX119" i="10"/>
  <c r="BX120" i="10"/>
  <c r="BX121" i="10"/>
  <c r="BX122" i="10"/>
  <c r="BX123" i="10"/>
  <c r="BX124" i="10"/>
  <c r="BX125" i="10"/>
  <c r="BX126" i="10"/>
  <c r="BX127" i="10"/>
  <c r="BX128" i="10"/>
  <c r="BX129" i="10"/>
  <c r="BX130" i="10"/>
  <c r="BX131" i="10"/>
  <c r="BX132" i="10"/>
  <c r="BX133" i="10"/>
  <c r="BX134" i="10"/>
  <c r="BX135" i="10"/>
  <c r="BX136" i="10"/>
  <c r="BX137" i="10"/>
  <c r="BX138" i="10"/>
  <c r="BX139" i="10"/>
  <c r="BX140" i="10"/>
  <c r="BX141" i="10"/>
  <c r="BX142" i="10"/>
  <c r="BX143" i="10"/>
  <c r="BX144" i="10"/>
  <c r="BX145" i="10"/>
  <c r="BX146" i="10"/>
  <c r="BX147" i="10"/>
  <c r="BX148" i="10"/>
  <c r="BX149" i="10"/>
  <c r="BX150" i="10"/>
  <c r="BX151" i="10"/>
  <c r="BX152" i="10"/>
  <c r="BX153" i="10"/>
  <c r="BX154" i="10"/>
  <c r="BX155" i="10"/>
  <c r="BX156" i="10"/>
  <c r="BX157" i="10"/>
  <c r="BX158" i="10"/>
  <c r="BX159" i="10"/>
  <c r="BX160" i="10"/>
  <c r="BX161" i="10"/>
  <c r="BX162" i="10"/>
  <c r="BX163" i="10"/>
  <c r="BX164" i="10"/>
  <c r="BX165" i="10"/>
  <c r="BX166" i="10"/>
  <c r="BX167" i="10"/>
  <c r="BX168" i="10"/>
  <c r="BX169" i="10"/>
  <c r="BX170" i="10"/>
  <c r="BX171" i="10"/>
  <c r="BX172" i="10"/>
  <c r="BX173" i="10"/>
  <c r="BX174" i="10"/>
  <c r="BX175" i="10"/>
  <c r="BX176" i="10"/>
  <c r="BX177" i="10"/>
  <c r="BX178" i="10"/>
  <c r="BX179" i="10"/>
  <c r="BX180" i="10"/>
  <c r="BX181" i="10"/>
  <c r="BX182" i="10"/>
  <c r="BX183" i="10"/>
  <c r="BX184" i="10"/>
  <c r="BX185" i="10"/>
  <c r="BX186" i="10"/>
  <c r="BX187" i="10"/>
  <c r="BX188" i="10"/>
  <c r="BX189" i="10"/>
  <c r="BX190" i="10"/>
  <c r="BX191" i="10"/>
  <c r="BX192" i="10"/>
  <c r="BX193" i="10"/>
  <c r="BX194" i="10"/>
  <c r="BX195" i="10"/>
  <c r="BX196" i="10"/>
  <c r="BX197" i="10"/>
  <c r="BX198" i="10"/>
  <c r="BX199" i="10"/>
  <c r="BX200" i="10"/>
  <c r="BX201" i="10"/>
  <c r="BX202" i="10"/>
  <c r="BX203" i="10"/>
  <c r="BX204" i="10"/>
  <c r="BX205" i="10"/>
  <c r="BX206" i="10"/>
  <c r="BX207" i="10"/>
  <c r="BX208" i="10"/>
  <c r="BX209" i="10"/>
  <c r="BX210" i="10"/>
  <c r="BX211" i="10"/>
  <c r="BX212" i="10"/>
  <c r="BX213" i="10"/>
  <c r="BX214" i="10"/>
  <c r="BX215" i="10"/>
  <c r="BX216" i="10"/>
  <c r="BX217" i="10"/>
  <c r="BX218" i="10"/>
  <c r="BX219" i="10"/>
  <c r="BX220" i="10"/>
  <c r="BX221" i="10"/>
  <c r="BX222" i="10"/>
  <c r="BX223" i="10"/>
  <c r="BX224" i="10"/>
  <c r="BX225" i="10"/>
  <c r="BX226" i="10"/>
  <c r="BX227" i="10"/>
  <c r="BX228" i="10"/>
  <c r="BX229" i="10"/>
  <c r="BX230" i="10"/>
  <c r="BX231" i="10"/>
  <c r="BX232" i="10"/>
  <c r="BX233" i="10"/>
  <c r="BX234" i="10"/>
  <c r="BX235" i="10"/>
  <c r="BX236" i="10"/>
  <c r="BX237" i="10"/>
  <c r="BX238" i="10"/>
  <c r="BX239" i="10"/>
  <c r="BX240" i="10"/>
  <c r="BX241" i="10"/>
  <c r="BX242" i="10"/>
  <c r="BX243" i="10"/>
  <c r="BX244" i="10"/>
  <c r="BX245" i="10"/>
  <c r="BX246" i="10"/>
  <c r="BX247" i="10"/>
  <c r="BX248" i="10"/>
  <c r="BX249" i="10"/>
  <c r="BX250" i="10"/>
  <c r="BX251" i="10"/>
  <c r="BX252" i="10"/>
  <c r="BX253" i="10"/>
  <c r="BX254" i="10"/>
  <c r="BX255" i="10"/>
  <c r="BX256" i="10"/>
  <c r="BX257" i="10"/>
  <c r="BX258" i="10"/>
  <c r="BX259" i="10"/>
  <c r="BX260" i="10"/>
  <c r="BX261" i="10"/>
  <c r="BX262" i="10"/>
  <c r="BX263" i="10"/>
  <c r="BX264" i="10"/>
  <c r="L1091" i="17"/>
  <c r="M1091" i="17"/>
  <c r="R1091" i="17"/>
  <c r="O1095" i="17" l="1"/>
  <c r="Q1095" i="17" s="1"/>
  <c r="O1093" i="17"/>
  <c r="Q1093" i="17" s="1"/>
  <c r="P1105" i="17"/>
  <c r="Q1105" i="17" s="1"/>
  <c r="P1097" i="17"/>
  <c r="Q1097" i="17" s="1"/>
  <c r="O1094" i="17"/>
  <c r="Q1094" i="17" s="1"/>
  <c r="O1101" i="17"/>
  <c r="Q1101" i="17" s="1"/>
  <c r="O1096" i="17"/>
  <c r="Q1096" i="17" s="1"/>
  <c r="O1104" i="17"/>
  <c r="Q1104" i="17" s="1"/>
  <c r="P1098" i="17"/>
  <c r="Q1098" i="17" s="1"/>
  <c r="P1103" i="17"/>
  <c r="Q1103" i="17" s="1"/>
  <c r="P1100" i="17"/>
  <c r="Q1100" i="17" s="1"/>
  <c r="P1099" i="17"/>
  <c r="Q1099" i="17" s="1"/>
  <c r="P1092" i="17"/>
  <c r="Q1092" i="17" s="1"/>
  <c r="O1102" i="17"/>
  <c r="Q1102" i="17" s="1"/>
  <c r="O1106" i="17"/>
  <c r="Q1106" i="17" s="1"/>
  <c r="N1091" i="17"/>
  <c r="P1091" i="17" s="1"/>
  <c r="O1091" i="17" l="1"/>
  <c r="Q1091" i="17" s="1"/>
  <c r="L1064" i="17"/>
  <c r="M1064" i="17"/>
  <c r="R1064" i="17"/>
  <c r="L1065" i="17"/>
  <c r="M1065" i="17"/>
  <c r="R1065" i="17"/>
  <c r="L1066" i="17"/>
  <c r="M1066" i="17"/>
  <c r="R1066" i="17"/>
  <c r="L1067" i="17"/>
  <c r="M1067" i="17"/>
  <c r="R1067" i="17"/>
  <c r="L1068" i="17"/>
  <c r="M1068" i="17"/>
  <c r="R1068" i="17"/>
  <c r="L1069" i="17"/>
  <c r="M1069" i="17"/>
  <c r="R1069" i="17"/>
  <c r="L1070" i="17"/>
  <c r="M1070" i="17"/>
  <c r="R1070" i="17"/>
  <c r="L1071" i="17"/>
  <c r="M1071" i="17"/>
  <c r="R1071" i="17"/>
  <c r="L1072" i="17"/>
  <c r="M1072" i="17"/>
  <c r="R1072" i="17"/>
  <c r="L1073" i="17"/>
  <c r="M1073" i="17"/>
  <c r="R1073" i="17"/>
  <c r="L1074" i="17"/>
  <c r="M1074" i="17"/>
  <c r="R1074" i="17"/>
  <c r="L1075" i="17"/>
  <c r="M1075" i="17"/>
  <c r="R1075" i="17"/>
  <c r="L1076" i="17"/>
  <c r="M1076" i="17"/>
  <c r="R1076" i="17"/>
  <c r="L1077" i="17"/>
  <c r="M1077" i="17"/>
  <c r="R1077" i="17"/>
  <c r="L1078" i="17"/>
  <c r="M1078" i="17"/>
  <c r="R1078" i="17"/>
  <c r="L1079" i="17"/>
  <c r="M1079" i="17"/>
  <c r="R1079" i="17"/>
  <c r="L1080" i="17"/>
  <c r="M1080" i="17"/>
  <c r="R1080" i="17"/>
  <c r="L1081" i="17"/>
  <c r="M1081" i="17"/>
  <c r="R1081" i="17"/>
  <c r="L1082" i="17"/>
  <c r="M1082" i="17"/>
  <c r="R1082" i="17"/>
  <c r="L1083" i="17"/>
  <c r="M1083" i="17"/>
  <c r="R1083" i="17"/>
  <c r="L1084" i="17"/>
  <c r="M1084" i="17"/>
  <c r="R1084" i="17"/>
  <c r="L1085" i="17"/>
  <c r="M1085" i="17"/>
  <c r="R1085" i="17"/>
  <c r="L1086" i="17"/>
  <c r="M1086" i="17"/>
  <c r="R1086" i="17"/>
  <c r="L1087" i="17"/>
  <c r="M1087" i="17"/>
  <c r="R1087" i="17"/>
  <c r="L1088" i="17"/>
  <c r="M1088" i="17"/>
  <c r="R1088" i="17"/>
  <c r="L1089" i="17"/>
  <c r="M1089" i="17"/>
  <c r="R1089" i="17"/>
  <c r="L1090" i="17"/>
  <c r="M1090" i="17"/>
  <c r="R1090" i="17"/>
  <c r="BA264" i="10"/>
  <c r="BF264" i="10"/>
  <c r="BG264" i="10"/>
  <c r="BI264" i="10"/>
  <c r="BJ264" i="10"/>
  <c r="BK264" i="10"/>
  <c r="BL264" i="10"/>
  <c r="BM264" i="10"/>
  <c r="BN264" i="10"/>
  <c r="BO264" i="10"/>
  <c r="BP264" i="10"/>
  <c r="BQ264" i="10"/>
  <c r="BR264" i="10"/>
  <c r="BT264" i="10"/>
  <c r="BU264" i="10"/>
  <c r="T258" i="3"/>
  <c r="BS280" i="10" l="1"/>
  <c r="N1065" i="17"/>
  <c r="O1065" i="17" s="1"/>
  <c r="N1066" i="17"/>
  <c r="P1066" i="17" s="1"/>
  <c r="N1073" i="17"/>
  <c r="P1073" i="17" s="1"/>
  <c r="N1089" i="17"/>
  <c r="P1089" i="17" s="1"/>
  <c r="N1081" i="17"/>
  <c r="O1081" i="17" s="1"/>
  <c r="N1086" i="17"/>
  <c r="P1086" i="17" s="1"/>
  <c r="N1083" i="17"/>
  <c r="O1083" i="17" s="1"/>
  <c r="N1071" i="17"/>
  <c r="O1071" i="17" s="1"/>
  <c r="N1067" i="17"/>
  <c r="O1067" i="17" s="1"/>
  <c r="N1070" i="17"/>
  <c r="O1070" i="17" s="1"/>
  <c r="N1074" i="17"/>
  <c r="P1074" i="17" s="1"/>
  <c r="N1069" i="17"/>
  <c r="O1069" i="17" s="1"/>
  <c r="N1087" i="17"/>
  <c r="O1087" i="17" s="1"/>
  <c r="N1079" i="17"/>
  <c r="O1079" i="17" s="1"/>
  <c r="N1072" i="17"/>
  <c r="O1072" i="17" s="1"/>
  <c r="BW264" i="10"/>
  <c r="N1078" i="17"/>
  <c r="P1078" i="17" s="1"/>
  <c r="N1088" i="17"/>
  <c r="P1088" i="17" s="1"/>
  <c r="N1076" i="17"/>
  <c r="O1076" i="17" s="1"/>
  <c r="N1075" i="17"/>
  <c r="O1075" i="17" s="1"/>
  <c r="N1068" i="17"/>
  <c r="P1068" i="17" s="1"/>
  <c r="N1084" i="17"/>
  <c r="P1084" i="17" s="1"/>
  <c r="N1090" i="17"/>
  <c r="O1090" i="17" s="1"/>
  <c r="N1085" i="17"/>
  <c r="P1085" i="17" s="1"/>
  <c r="N1080" i="17"/>
  <c r="O1080" i="17" s="1"/>
  <c r="N1082" i="17"/>
  <c r="O1082" i="17" s="1"/>
  <c r="N1077" i="17"/>
  <c r="O1077" i="17" s="1"/>
  <c r="N1064" i="17"/>
  <c r="P1064" i="17" s="1"/>
  <c r="L1046" i="17"/>
  <c r="M1046" i="17"/>
  <c r="R1046" i="17"/>
  <c r="L1047" i="17"/>
  <c r="M1047" i="17"/>
  <c r="R1047" i="17"/>
  <c r="L1048" i="17"/>
  <c r="M1048" i="17"/>
  <c r="R1048" i="17"/>
  <c r="L1049" i="17"/>
  <c r="M1049" i="17"/>
  <c r="R1049" i="17"/>
  <c r="L1050" i="17"/>
  <c r="M1050" i="17"/>
  <c r="R1050" i="17"/>
  <c r="L1051" i="17"/>
  <c r="M1051" i="17"/>
  <c r="R1051" i="17"/>
  <c r="L1052" i="17"/>
  <c r="M1052" i="17"/>
  <c r="R1052" i="17"/>
  <c r="L1053" i="17"/>
  <c r="M1053" i="17"/>
  <c r="R1053" i="17"/>
  <c r="L1054" i="17"/>
  <c r="M1054" i="17"/>
  <c r="R1054" i="17"/>
  <c r="L1055" i="17"/>
  <c r="M1055" i="17"/>
  <c r="R1055" i="17"/>
  <c r="L1056" i="17"/>
  <c r="M1056" i="17"/>
  <c r="R1056" i="17"/>
  <c r="L1057" i="17"/>
  <c r="M1057" i="17"/>
  <c r="R1057" i="17"/>
  <c r="L1058" i="17"/>
  <c r="M1058" i="17"/>
  <c r="R1058" i="17"/>
  <c r="L1059" i="17"/>
  <c r="M1059" i="17"/>
  <c r="R1059" i="17"/>
  <c r="L1060" i="17"/>
  <c r="M1060" i="17"/>
  <c r="R1060" i="17"/>
  <c r="L1061" i="17"/>
  <c r="M1061" i="17"/>
  <c r="R1061" i="17"/>
  <c r="L1062" i="17"/>
  <c r="M1062" i="17"/>
  <c r="R1062" i="17"/>
  <c r="L1063" i="17"/>
  <c r="M1063" i="17"/>
  <c r="R1063" i="17"/>
  <c r="BA263" i="10"/>
  <c r="BF263" i="10"/>
  <c r="BG263" i="10"/>
  <c r="BI263" i="10"/>
  <c r="BJ263" i="10"/>
  <c r="BK263" i="10"/>
  <c r="BL263" i="10"/>
  <c r="BM263" i="10"/>
  <c r="BN263" i="10"/>
  <c r="BO263" i="10"/>
  <c r="BP263" i="10"/>
  <c r="BQ263" i="10"/>
  <c r="BR263" i="10"/>
  <c r="BT263" i="10"/>
  <c r="BU263" i="10"/>
  <c r="O1073" i="17" l="1"/>
  <c r="Q1073" i="17" s="1"/>
  <c r="P1065" i="17"/>
  <c r="Q1065" i="17" s="1"/>
  <c r="P1070" i="17"/>
  <c r="Q1070" i="17" s="1"/>
  <c r="O1089" i="17"/>
  <c r="Q1089" i="17" s="1"/>
  <c r="O1066" i="17"/>
  <c r="Q1066" i="17" s="1"/>
  <c r="O1086" i="17"/>
  <c r="Q1086" i="17" s="1"/>
  <c r="P1090" i="17"/>
  <c r="Q1090" i="17" s="1"/>
  <c r="P1081" i="17"/>
  <c r="Q1081" i="17" s="1"/>
  <c r="P1083" i="17"/>
  <c r="Q1083" i="17" s="1"/>
  <c r="N1049" i="17"/>
  <c r="O1049" i="17" s="1"/>
  <c r="P1067" i="17"/>
  <c r="Q1067" i="17" s="1"/>
  <c r="P1071" i="17"/>
  <c r="Q1071" i="17" s="1"/>
  <c r="O1064" i="17"/>
  <c r="Q1064" i="17" s="1"/>
  <c r="P1077" i="17"/>
  <c r="Q1077" i="17" s="1"/>
  <c r="P1082" i="17"/>
  <c r="Q1082" i="17" s="1"/>
  <c r="O1068" i="17"/>
  <c r="Q1068" i="17" s="1"/>
  <c r="P1069" i="17"/>
  <c r="Q1069" i="17" s="1"/>
  <c r="P1080" i="17"/>
  <c r="Q1080" i="17" s="1"/>
  <c r="O1074" i="17"/>
  <c r="Q1074" i="17" s="1"/>
  <c r="O1085" i="17"/>
  <c r="Q1085" i="17" s="1"/>
  <c r="P1079" i="17"/>
  <c r="Q1079" i="17" s="1"/>
  <c r="P1087" i="17"/>
  <c r="Q1087" i="17" s="1"/>
  <c r="P1076" i="17"/>
  <c r="Q1076" i="17" s="1"/>
  <c r="O1078" i="17"/>
  <c r="Q1078" i="17" s="1"/>
  <c r="P1075" i="17"/>
  <c r="Q1075" i="17" s="1"/>
  <c r="P1072" i="17"/>
  <c r="Q1072" i="17" s="1"/>
  <c r="BS266" i="10"/>
  <c r="O1088" i="17"/>
  <c r="Q1088" i="17" s="1"/>
  <c r="O1084" i="17"/>
  <c r="Q1084" i="17" s="1"/>
  <c r="BS265" i="10"/>
  <c r="N1063" i="17"/>
  <c r="O1063" i="17" s="1"/>
  <c r="N1061" i="17"/>
  <c r="O1061" i="17" s="1"/>
  <c r="N1050" i="17"/>
  <c r="O1050" i="17" s="1"/>
  <c r="N1056" i="17"/>
  <c r="P1056" i="17" s="1"/>
  <c r="N1054" i="17"/>
  <c r="O1054" i="17" s="1"/>
  <c r="N1046" i="17"/>
  <c r="O1046" i="17" s="1"/>
  <c r="N1055" i="17"/>
  <c r="O1055" i="17" s="1"/>
  <c r="N1048" i="17"/>
  <c r="P1048" i="17" s="1"/>
  <c r="N1060" i="17"/>
  <c r="O1060" i="17" s="1"/>
  <c r="N1052" i="17"/>
  <c r="O1052" i="17" s="1"/>
  <c r="N1057" i="17"/>
  <c r="O1057" i="17" s="1"/>
  <c r="N1062" i="17"/>
  <c r="O1062" i="17" s="1"/>
  <c r="N1059" i="17"/>
  <c r="O1059" i="17" s="1"/>
  <c r="N1047" i="17"/>
  <c r="O1047" i="17" s="1"/>
  <c r="BW263" i="10"/>
  <c r="N1058" i="17"/>
  <c r="P1058" i="17" s="1"/>
  <c r="N1051" i="17"/>
  <c r="P1051" i="17" s="1"/>
  <c r="N1053" i="17"/>
  <c r="O1053" i="17" s="1"/>
  <c r="BS277" i="10" l="1"/>
  <c r="BS267" i="10"/>
  <c r="P1049" i="17"/>
  <c r="Q1049" i="17" s="1"/>
  <c r="P1054" i="17"/>
  <c r="Q1054" i="17" s="1"/>
  <c r="O1056" i="17"/>
  <c r="Q1056" i="17" s="1"/>
  <c r="P1050" i="17"/>
  <c r="Q1050" i="17" s="1"/>
  <c r="P1063" i="17"/>
  <c r="Q1063" i="17" s="1"/>
  <c r="O1051" i="17"/>
  <c r="Q1051" i="17" s="1"/>
  <c r="O1048" i="17"/>
  <c r="Q1048" i="17" s="1"/>
  <c r="P1061" i="17"/>
  <c r="Q1061" i="17" s="1"/>
  <c r="P1059" i="17"/>
  <c r="Q1059" i="17" s="1"/>
  <c r="P1046" i="17"/>
  <c r="Q1046" i="17" s="1"/>
  <c r="P1057" i="17"/>
  <c r="Q1057" i="17" s="1"/>
  <c r="P1052" i="17"/>
  <c r="Q1052" i="17" s="1"/>
  <c r="P1060" i="17"/>
  <c r="Q1060" i="17" s="1"/>
  <c r="P1055" i="17"/>
  <c r="Q1055" i="17" s="1"/>
  <c r="P1062" i="17"/>
  <c r="Q1062" i="17" s="1"/>
  <c r="P1053" i="17"/>
  <c r="Q1053" i="17" s="1"/>
  <c r="O1058" i="17"/>
  <c r="Q1058" i="17" s="1"/>
  <c r="P1047" i="17"/>
  <c r="Q1047" i="17" s="1"/>
  <c r="L995" i="17"/>
  <c r="M995" i="17"/>
  <c r="R995" i="17"/>
  <c r="L996" i="17"/>
  <c r="M996" i="17"/>
  <c r="R996" i="17"/>
  <c r="L997" i="17"/>
  <c r="M997" i="17"/>
  <c r="R997" i="17"/>
  <c r="L998" i="17"/>
  <c r="M998" i="17"/>
  <c r="R998" i="17"/>
  <c r="L999" i="17"/>
  <c r="M999" i="17"/>
  <c r="R999" i="17"/>
  <c r="L1000" i="17"/>
  <c r="M1000" i="17"/>
  <c r="R1000" i="17"/>
  <c r="L1001" i="17"/>
  <c r="M1001" i="17"/>
  <c r="R1001" i="17"/>
  <c r="L1002" i="17"/>
  <c r="M1002" i="17"/>
  <c r="R1002" i="17"/>
  <c r="L1003" i="17"/>
  <c r="M1003" i="17"/>
  <c r="R1003" i="17"/>
  <c r="L1004" i="17"/>
  <c r="M1004" i="17"/>
  <c r="R1004" i="17"/>
  <c r="L1005" i="17"/>
  <c r="M1005" i="17"/>
  <c r="R1005" i="17"/>
  <c r="L1006" i="17"/>
  <c r="M1006" i="17"/>
  <c r="R1006" i="17"/>
  <c r="L1007" i="17"/>
  <c r="M1007" i="17"/>
  <c r="R1007" i="17"/>
  <c r="L1008" i="17"/>
  <c r="M1008" i="17"/>
  <c r="R1008" i="17"/>
  <c r="L1009" i="17"/>
  <c r="M1009" i="17"/>
  <c r="R1009" i="17"/>
  <c r="L1010" i="17"/>
  <c r="M1010" i="17"/>
  <c r="R1010" i="17"/>
  <c r="L1011" i="17"/>
  <c r="M1011" i="17"/>
  <c r="R1011" i="17"/>
  <c r="L1012" i="17"/>
  <c r="M1012" i="17"/>
  <c r="R1012" i="17"/>
  <c r="L1013" i="17"/>
  <c r="M1013" i="17"/>
  <c r="R1013" i="17"/>
  <c r="L1014" i="17"/>
  <c r="M1014" i="17"/>
  <c r="R1014" i="17"/>
  <c r="L1015" i="17"/>
  <c r="M1015" i="17"/>
  <c r="R1015" i="17"/>
  <c r="L1016" i="17"/>
  <c r="M1016" i="17"/>
  <c r="R1016" i="17"/>
  <c r="L1017" i="17"/>
  <c r="M1017" i="17"/>
  <c r="R1017" i="17"/>
  <c r="L1018" i="17"/>
  <c r="M1018" i="17"/>
  <c r="R1018" i="17"/>
  <c r="L1019" i="17"/>
  <c r="M1019" i="17"/>
  <c r="R1019" i="17"/>
  <c r="L1020" i="17"/>
  <c r="M1020" i="17"/>
  <c r="R1020" i="17"/>
  <c r="L1021" i="17"/>
  <c r="M1021" i="17"/>
  <c r="R1021" i="17"/>
  <c r="L1022" i="17"/>
  <c r="M1022" i="17"/>
  <c r="R1022" i="17"/>
  <c r="L1023" i="17"/>
  <c r="M1023" i="17"/>
  <c r="R1023" i="17"/>
  <c r="L1024" i="17"/>
  <c r="M1024" i="17"/>
  <c r="R1024" i="17"/>
  <c r="L1025" i="17"/>
  <c r="M1025" i="17"/>
  <c r="R1025" i="17"/>
  <c r="L1026" i="17"/>
  <c r="M1026" i="17"/>
  <c r="R1026" i="17"/>
  <c r="L1027" i="17"/>
  <c r="M1027" i="17"/>
  <c r="R1027" i="17"/>
  <c r="L1028" i="17"/>
  <c r="M1028" i="17"/>
  <c r="R1028" i="17"/>
  <c r="L1029" i="17"/>
  <c r="M1029" i="17"/>
  <c r="R1029" i="17"/>
  <c r="L1030" i="17"/>
  <c r="M1030" i="17"/>
  <c r="R1030" i="17"/>
  <c r="L1031" i="17"/>
  <c r="M1031" i="17"/>
  <c r="R1031" i="17"/>
  <c r="L1032" i="17"/>
  <c r="M1032" i="17"/>
  <c r="R1032" i="17"/>
  <c r="L1033" i="17"/>
  <c r="M1033" i="17"/>
  <c r="R1033" i="17"/>
  <c r="L1034" i="17"/>
  <c r="M1034" i="17"/>
  <c r="R1034" i="17"/>
  <c r="L1035" i="17"/>
  <c r="M1035" i="17"/>
  <c r="R1035" i="17"/>
  <c r="L1036" i="17"/>
  <c r="M1036" i="17"/>
  <c r="R1036" i="17"/>
  <c r="L1037" i="17"/>
  <c r="M1037" i="17"/>
  <c r="R1037" i="17"/>
  <c r="L1038" i="17"/>
  <c r="M1038" i="17"/>
  <c r="R1038" i="17"/>
  <c r="L1039" i="17"/>
  <c r="M1039" i="17"/>
  <c r="R1039" i="17"/>
  <c r="L1040" i="17"/>
  <c r="M1040" i="17"/>
  <c r="R1040" i="17"/>
  <c r="L1041" i="17"/>
  <c r="M1041" i="17"/>
  <c r="R1041" i="17"/>
  <c r="L1042" i="17"/>
  <c r="M1042" i="17"/>
  <c r="R1042" i="17"/>
  <c r="L1043" i="17"/>
  <c r="M1043" i="17"/>
  <c r="R1043" i="17"/>
  <c r="L1044" i="17"/>
  <c r="M1044" i="17"/>
  <c r="R1044" i="17"/>
  <c r="L1045" i="17"/>
  <c r="M1045" i="17"/>
  <c r="R1045" i="17"/>
  <c r="BA262" i="10"/>
  <c r="BF262" i="10"/>
  <c r="BG262" i="10"/>
  <c r="BI262" i="10"/>
  <c r="BJ262" i="10"/>
  <c r="BK262" i="10"/>
  <c r="BL262" i="10"/>
  <c r="BM262" i="10"/>
  <c r="BN262" i="10"/>
  <c r="BO262" i="10"/>
  <c r="BP262" i="10"/>
  <c r="BQ262" i="10"/>
  <c r="BR262" i="10"/>
  <c r="BT262" i="10"/>
  <c r="BU262" i="10"/>
  <c r="L990" i="17"/>
  <c r="M990" i="17"/>
  <c r="R990" i="17"/>
  <c r="L991" i="17"/>
  <c r="M991" i="17"/>
  <c r="R991" i="17"/>
  <c r="L992" i="17"/>
  <c r="M992" i="17"/>
  <c r="R992" i="17"/>
  <c r="L993" i="17"/>
  <c r="M993" i="17"/>
  <c r="R993" i="17"/>
  <c r="L994" i="17"/>
  <c r="M994" i="17"/>
  <c r="R994" i="17"/>
  <c r="BA261" i="10"/>
  <c r="BF261" i="10"/>
  <c r="BG261" i="10"/>
  <c r="BI261" i="10"/>
  <c r="BJ261" i="10"/>
  <c r="BK261" i="10"/>
  <c r="BL261" i="10"/>
  <c r="BM261" i="10"/>
  <c r="BN261" i="10"/>
  <c r="BO261" i="10"/>
  <c r="BP261" i="10"/>
  <c r="BQ261" i="10"/>
  <c r="BR261" i="10"/>
  <c r="BT261" i="10"/>
  <c r="BU261" i="10"/>
  <c r="L983" i="17"/>
  <c r="M983" i="17"/>
  <c r="R983" i="17"/>
  <c r="L984" i="17"/>
  <c r="M984" i="17"/>
  <c r="R984" i="17"/>
  <c r="L985" i="17"/>
  <c r="M985" i="17"/>
  <c r="R985" i="17"/>
  <c r="L986" i="17"/>
  <c r="M986" i="17"/>
  <c r="R986" i="17"/>
  <c r="L987" i="17"/>
  <c r="M987" i="17"/>
  <c r="R987" i="17"/>
  <c r="L988" i="17"/>
  <c r="M988" i="17"/>
  <c r="R988" i="17"/>
  <c r="L989" i="17"/>
  <c r="M989" i="17"/>
  <c r="R989" i="17"/>
  <c r="BA259" i="10"/>
  <c r="BF259" i="10"/>
  <c r="BG259" i="10"/>
  <c r="BI259" i="10"/>
  <c r="BJ259" i="10"/>
  <c r="BK259" i="10"/>
  <c r="BL259" i="10"/>
  <c r="BM259" i="10"/>
  <c r="BN259" i="10"/>
  <c r="BO259" i="10"/>
  <c r="BP259" i="10"/>
  <c r="BQ259" i="10"/>
  <c r="BR259" i="10"/>
  <c r="BT259" i="10"/>
  <c r="BU259" i="10"/>
  <c r="BA260" i="10"/>
  <c r="BF260" i="10"/>
  <c r="BG260" i="10"/>
  <c r="BI260" i="10"/>
  <c r="BJ260" i="10"/>
  <c r="BK260" i="10"/>
  <c r="BL260" i="10"/>
  <c r="BM260" i="10"/>
  <c r="BN260" i="10"/>
  <c r="BO260" i="10"/>
  <c r="BP260" i="10"/>
  <c r="BQ260" i="10"/>
  <c r="BR260" i="10"/>
  <c r="BT260" i="10"/>
  <c r="BU260" i="10"/>
  <c r="N1006" i="17" l="1"/>
  <c r="O1006" i="17" s="1"/>
  <c r="N996" i="17"/>
  <c r="O996" i="17" s="1"/>
  <c r="N995" i="17"/>
  <c r="P995" i="17" s="1"/>
  <c r="N1022" i="17"/>
  <c r="O1022" i="17" s="1"/>
  <c r="N1003" i="17"/>
  <c r="O1003" i="17" s="1"/>
  <c r="N1036" i="17"/>
  <c r="O1036" i="17" s="1"/>
  <c r="N1028" i="17"/>
  <c r="O1028" i="17" s="1"/>
  <c r="N1020" i="17"/>
  <c r="O1020" i="17" s="1"/>
  <c r="N1001" i="17"/>
  <c r="O1001" i="17" s="1"/>
  <c r="N1033" i="17"/>
  <c r="O1033" i="17" s="1"/>
  <c r="N1007" i="17"/>
  <c r="O1007" i="17" s="1"/>
  <c r="N1041" i="17"/>
  <c r="O1041" i="17" s="1"/>
  <c r="N1017" i="17"/>
  <c r="O1017" i="17" s="1"/>
  <c r="N1009" i="17"/>
  <c r="O1009" i="17" s="1"/>
  <c r="N1038" i="17"/>
  <c r="O1038" i="17" s="1"/>
  <c r="N1045" i="17"/>
  <c r="P1045" i="17" s="1"/>
  <c r="N1023" i="17"/>
  <c r="O1023" i="17" s="1"/>
  <c r="N997" i="17"/>
  <c r="P997" i="17" s="1"/>
  <c r="N1025" i="17"/>
  <c r="O1025" i="17" s="1"/>
  <c r="N1012" i="17"/>
  <c r="O1012" i="17" s="1"/>
  <c r="N1004" i="17"/>
  <c r="O1004" i="17" s="1"/>
  <c r="N1030" i="17"/>
  <c r="P1030" i="17" s="1"/>
  <c r="N1008" i="17"/>
  <c r="O1008" i="17" s="1"/>
  <c r="N998" i="17"/>
  <c r="P998" i="17" s="1"/>
  <c r="N1040" i="17"/>
  <c r="O1040" i="17" s="1"/>
  <c r="N1015" i="17"/>
  <c r="O1015" i="17" s="1"/>
  <c r="N1037" i="17"/>
  <c r="P1037" i="17" s="1"/>
  <c r="N1024" i="17"/>
  <c r="O1024" i="17" s="1"/>
  <c r="N1014" i="17"/>
  <c r="P1014" i="17" s="1"/>
  <c r="N1005" i="17"/>
  <c r="P1005" i="17" s="1"/>
  <c r="N1000" i="17"/>
  <c r="O1000" i="17" s="1"/>
  <c r="N1029" i="17"/>
  <c r="P1029" i="17" s="1"/>
  <c r="N1044" i="17"/>
  <c r="O1044" i="17" s="1"/>
  <c r="N999" i="17"/>
  <c r="O999" i="17" s="1"/>
  <c r="N1042" i="17"/>
  <c r="P1042" i="17" s="1"/>
  <c r="N1035" i="17"/>
  <c r="P1035" i="17" s="1"/>
  <c r="N1026" i="17"/>
  <c r="O1026" i="17" s="1"/>
  <c r="N1019" i="17"/>
  <c r="P1019" i="17" s="1"/>
  <c r="N1010" i="17"/>
  <c r="O1010" i="17" s="1"/>
  <c r="N1021" i="17"/>
  <c r="P1021" i="17" s="1"/>
  <c r="N1039" i="17"/>
  <c r="O1039" i="17" s="1"/>
  <c r="N1032" i="17"/>
  <c r="O1032" i="17" s="1"/>
  <c r="N1016" i="17"/>
  <c r="O1016" i="17" s="1"/>
  <c r="N1031" i="17"/>
  <c r="O1031" i="17" s="1"/>
  <c r="N1043" i="17"/>
  <c r="P1043" i="17" s="1"/>
  <c r="N1034" i="17"/>
  <c r="O1034" i="17" s="1"/>
  <c r="N1027" i="17"/>
  <c r="O1027" i="17" s="1"/>
  <c r="N1018" i="17"/>
  <c r="O1018" i="17" s="1"/>
  <c r="N1011" i="17"/>
  <c r="O1011" i="17" s="1"/>
  <c r="N1002" i="17"/>
  <c r="O1002" i="17" s="1"/>
  <c r="N1013" i="17"/>
  <c r="P1013" i="17" s="1"/>
  <c r="BW262" i="10"/>
  <c r="N991" i="17"/>
  <c r="O991" i="17" s="1"/>
  <c r="N994" i="17"/>
  <c r="O994" i="17" s="1"/>
  <c r="N990" i="17"/>
  <c r="O990" i="17" s="1"/>
  <c r="N992" i="17"/>
  <c r="P992" i="17" s="1"/>
  <c r="N993" i="17"/>
  <c r="O993" i="17" s="1"/>
  <c r="BW261" i="10"/>
  <c r="N988" i="17"/>
  <c r="P988" i="17" s="1"/>
  <c r="N984" i="17"/>
  <c r="P984" i="17" s="1"/>
  <c r="N983" i="17"/>
  <c r="O983" i="17" s="1"/>
  <c r="N985" i="17"/>
  <c r="P985" i="17" s="1"/>
  <c r="N989" i="17"/>
  <c r="O989" i="17" s="1"/>
  <c r="N987" i="17"/>
  <c r="P987" i="17" s="1"/>
  <c r="N986" i="17"/>
  <c r="O986" i="17" s="1"/>
  <c r="BW260" i="10"/>
  <c r="BW259" i="10"/>
  <c r="L966" i="17"/>
  <c r="M966" i="17"/>
  <c r="R966" i="17"/>
  <c r="L967" i="17"/>
  <c r="M967" i="17"/>
  <c r="R967" i="17"/>
  <c r="L968" i="17"/>
  <c r="M968" i="17"/>
  <c r="R968" i="17"/>
  <c r="L969" i="17"/>
  <c r="M969" i="17"/>
  <c r="R969" i="17"/>
  <c r="L970" i="17"/>
  <c r="M970" i="17"/>
  <c r="R970" i="17"/>
  <c r="L971" i="17"/>
  <c r="M971" i="17"/>
  <c r="R971" i="17"/>
  <c r="L972" i="17"/>
  <c r="M972" i="17"/>
  <c r="R972" i="17"/>
  <c r="L973" i="17"/>
  <c r="M973" i="17"/>
  <c r="R973" i="17"/>
  <c r="L974" i="17"/>
  <c r="M974" i="17"/>
  <c r="R974" i="17"/>
  <c r="L975" i="17"/>
  <c r="M975" i="17"/>
  <c r="R975" i="17"/>
  <c r="L976" i="17"/>
  <c r="M976" i="17"/>
  <c r="R976" i="17"/>
  <c r="L977" i="17"/>
  <c r="M977" i="17"/>
  <c r="R977" i="17"/>
  <c r="L978" i="17"/>
  <c r="M978" i="17"/>
  <c r="R978" i="17"/>
  <c r="L979" i="17"/>
  <c r="M979" i="17"/>
  <c r="R979" i="17"/>
  <c r="L980" i="17"/>
  <c r="M980" i="17"/>
  <c r="R980" i="17"/>
  <c r="L981" i="17"/>
  <c r="M981" i="17"/>
  <c r="R981" i="17"/>
  <c r="L982" i="17"/>
  <c r="M982" i="17"/>
  <c r="R982" i="17"/>
  <c r="BA258" i="10"/>
  <c r="BF258" i="10"/>
  <c r="BG258" i="10"/>
  <c r="BI258" i="10"/>
  <c r="BJ258" i="10"/>
  <c r="BK258" i="10"/>
  <c r="BL258" i="10"/>
  <c r="BM258" i="10"/>
  <c r="BN258" i="10"/>
  <c r="BO258" i="10"/>
  <c r="BP258" i="10"/>
  <c r="BQ258" i="10"/>
  <c r="BR258" i="10"/>
  <c r="BT258" i="10"/>
  <c r="BU258" i="10"/>
  <c r="P1006" i="17" l="1"/>
  <c r="Q1006" i="17" s="1"/>
  <c r="O995" i="17"/>
  <c r="Q995" i="17" s="1"/>
  <c r="P1022" i="17"/>
  <c r="Q1022" i="17" s="1"/>
  <c r="P996" i="17"/>
  <c r="Q996" i="17" s="1"/>
  <c r="P1003" i="17"/>
  <c r="Q1003" i="17" s="1"/>
  <c r="P1026" i="17"/>
  <c r="Q1026" i="17" s="1"/>
  <c r="P1028" i="17"/>
  <c r="Q1028" i="17" s="1"/>
  <c r="P1036" i="17"/>
  <c r="Q1036" i="17" s="1"/>
  <c r="P1001" i="17"/>
  <c r="Q1001" i="17" s="1"/>
  <c r="P1020" i="17"/>
  <c r="Q1020" i="17" s="1"/>
  <c r="P1033" i="17"/>
  <c r="Q1033" i="17" s="1"/>
  <c r="P1044" i="17"/>
  <c r="Q1044" i="17" s="1"/>
  <c r="P1025" i="17"/>
  <c r="Q1025" i="17" s="1"/>
  <c r="P1041" i="17"/>
  <c r="Q1041" i="17" s="1"/>
  <c r="P1012" i="17"/>
  <c r="Q1012" i="17" s="1"/>
  <c r="P1023" i="17"/>
  <c r="Q1023" i="17" s="1"/>
  <c r="P1007" i="17"/>
  <c r="Q1007" i="17" s="1"/>
  <c r="O1014" i="17"/>
  <c r="Q1014" i="17" s="1"/>
  <c r="P1024" i="17"/>
  <c r="Q1024" i="17" s="1"/>
  <c r="P1017" i="17"/>
  <c r="Q1017" i="17" s="1"/>
  <c r="P1004" i="17"/>
  <c r="Q1004" i="17" s="1"/>
  <c r="P1034" i="17"/>
  <c r="Q1034" i="17" s="1"/>
  <c r="P1027" i="17"/>
  <c r="Q1027" i="17" s="1"/>
  <c r="O1045" i="17"/>
  <c r="Q1045" i="17" s="1"/>
  <c r="O1030" i="17"/>
  <c r="Q1030" i="17" s="1"/>
  <c r="P1009" i="17"/>
  <c r="Q1009" i="17" s="1"/>
  <c r="O997" i="17"/>
  <c r="Q997" i="17" s="1"/>
  <c r="P1031" i="17"/>
  <c r="Q1031" i="17" s="1"/>
  <c r="P1002" i="17"/>
  <c r="Q1002" i="17" s="1"/>
  <c r="P1039" i="17"/>
  <c r="Q1039" i="17" s="1"/>
  <c r="O1035" i="17"/>
  <c r="Q1035" i="17" s="1"/>
  <c r="P999" i="17"/>
  <c r="Q999" i="17" s="1"/>
  <c r="O1037" i="17"/>
  <c r="Q1037" i="17" s="1"/>
  <c r="O1043" i="17"/>
  <c r="Q1043" i="17" s="1"/>
  <c r="P1038" i="17"/>
  <c r="Q1038" i="17" s="1"/>
  <c r="P1008" i="17"/>
  <c r="Q1008" i="17" s="1"/>
  <c r="O1019" i="17"/>
  <c r="Q1019" i="17" s="1"/>
  <c r="P1040" i="17"/>
  <c r="Q1040" i="17" s="1"/>
  <c r="O1029" i="17"/>
  <c r="Q1029" i="17" s="1"/>
  <c r="P1032" i="17"/>
  <c r="Q1032" i="17" s="1"/>
  <c r="P1018" i="17"/>
  <c r="Q1018" i="17" s="1"/>
  <c r="O998" i="17"/>
  <c r="Q998" i="17" s="1"/>
  <c r="O1005" i="17"/>
  <c r="Q1005" i="17" s="1"/>
  <c r="P1000" i="17"/>
  <c r="Q1000" i="17" s="1"/>
  <c r="O1021" i="17"/>
  <c r="Q1021" i="17" s="1"/>
  <c r="P1010" i="17"/>
  <c r="Q1010" i="17" s="1"/>
  <c r="P1015" i="17"/>
  <c r="Q1015" i="17" s="1"/>
  <c r="O1013" i="17"/>
  <c r="Q1013" i="17" s="1"/>
  <c r="P1016" i="17"/>
  <c r="Q1016" i="17" s="1"/>
  <c r="O1042" i="17"/>
  <c r="Q1042" i="17" s="1"/>
  <c r="P1011" i="17"/>
  <c r="Q1011" i="17" s="1"/>
  <c r="P991" i="17"/>
  <c r="Q991" i="17" s="1"/>
  <c r="P994" i="17"/>
  <c r="Q994" i="17" s="1"/>
  <c r="O992" i="17"/>
  <c r="Q992" i="17" s="1"/>
  <c r="P990" i="17"/>
  <c r="Q990" i="17" s="1"/>
  <c r="P993" i="17"/>
  <c r="Q993" i="17" s="1"/>
  <c r="O988" i="17"/>
  <c r="Q988" i="17" s="1"/>
  <c r="P983" i="17"/>
  <c r="Q983" i="17" s="1"/>
  <c r="O984" i="17"/>
  <c r="Q984" i="17" s="1"/>
  <c r="P989" i="17"/>
  <c r="Q989" i="17" s="1"/>
  <c r="P986" i="17"/>
  <c r="Q986" i="17" s="1"/>
  <c r="O985" i="17"/>
  <c r="Q985" i="17" s="1"/>
  <c r="O987" i="17"/>
  <c r="Q987" i="17" s="1"/>
  <c r="BW258" i="10"/>
  <c r="N977" i="17"/>
  <c r="O977" i="17" s="1"/>
  <c r="N967" i="17"/>
  <c r="O967" i="17" s="1"/>
  <c r="N975" i="17"/>
  <c r="O975" i="17" s="1"/>
  <c r="N971" i="17"/>
  <c r="O971" i="17" s="1"/>
  <c r="N980" i="17"/>
  <c r="O980" i="17" s="1"/>
  <c r="N966" i="17"/>
  <c r="O966" i="17" s="1"/>
  <c r="N981" i="17"/>
  <c r="O981" i="17" s="1"/>
  <c r="N972" i="17"/>
  <c r="O972" i="17" s="1"/>
  <c r="N979" i="17"/>
  <c r="O979" i="17" s="1"/>
  <c r="N982" i="17"/>
  <c r="O982" i="17" s="1"/>
  <c r="N968" i="17"/>
  <c r="O968" i="17" s="1"/>
  <c r="N978" i="17"/>
  <c r="P978" i="17" s="1"/>
  <c r="N976" i="17"/>
  <c r="O976" i="17" s="1"/>
  <c r="N974" i="17"/>
  <c r="O974" i="17" s="1"/>
  <c r="N969" i="17"/>
  <c r="P969" i="17" s="1"/>
  <c r="N973" i="17"/>
  <c r="O973" i="17" s="1"/>
  <c r="N970" i="17"/>
  <c r="P970" i="17" s="1"/>
  <c r="L948" i="17"/>
  <c r="M948" i="17"/>
  <c r="R948" i="17"/>
  <c r="L949" i="17"/>
  <c r="M949" i="17"/>
  <c r="R949" i="17"/>
  <c r="L950" i="17"/>
  <c r="M950" i="17"/>
  <c r="R950" i="17"/>
  <c r="L951" i="17"/>
  <c r="M951" i="17"/>
  <c r="R951" i="17"/>
  <c r="L952" i="17"/>
  <c r="M952" i="17"/>
  <c r="R952" i="17"/>
  <c r="L953" i="17"/>
  <c r="M953" i="17"/>
  <c r="R953" i="17"/>
  <c r="L954" i="17"/>
  <c r="M954" i="17"/>
  <c r="R954" i="17"/>
  <c r="L955" i="17"/>
  <c r="M955" i="17"/>
  <c r="R955" i="17"/>
  <c r="L956" i="17"/>
  <c r="M956" i="17"/>
  <c r="R956" i="17"/>
  <c r="L957" i="17"/>
  <c r="M957" i="17"/>
  <c r="R957" i="17"/>
  <c r="L958" i="17"/>
  <c r="M958" i="17"/>
  <c r="R958" i="17"/>
  <c r="L959" i="17"/>
  <c r="M959" i="17"/>
  <c r="R959" i="17"/>
  <c r="L960" i="17"/>
  <c r="M960" i="17"/>
  <c r="R960" i="17"/>
  <c r="L961" i="17"/>
  <c r="M961" i="17"/>
  <c r="R961" i="17"/>
  <c r="L962" i="17"/>
  <c r="M962" i="17"/>
  <c r="R962" i="17"/>
  <c r="L963" i="17"/>
  <c r="M963" i="17"/>
  <c r="R963" i="17"/>
  <c r="L964" i="17"/>
  <c r="M964" i="17"/>
  <c r="R964" i="17"/>
  <c r="L965" i="17"/>
  <c r="M965" i="17"/>
  <c r="R965" i="17"/>
  <c r="BA256" i="10"/>
  <c r="BF256" i="10"/>
  <c r="BG256" i="10"/>
  <c r="BI256" i="10"/>
  <c r="BJ256" i="10"/>
  <c r="BK256" i="10"/>
  <c r="BL256" i="10"/>
  <c r="BM256" i="10"/>
  <c r="BN256" i="10"/>
  <c r="BO256" i="10"/>
  <c r="BP256" i="10"/>
  <c r="BQ256" i="10"/>
  <c r="BR256" i="10"/>
  <c r="BT256" i="10"/>
  <c r="BU256" i="10"/>
  <c r="BA257" i="10"/>
  <c r="BF257" i="10"/>
  <c r="BG257" i="10"/>
  <c r="BI257" i="10"/>
  <c r="BJ257" i="10"/>
  <c r="BK257" i="10"/>
  <c r="BL257" i="10"/>
  <c r="BM257" i="10"/>
  <c r="BN257" i="10"/>
  <c r="BO257" i="10"/>
  <c r="BP257" i="10"/>
  <c r="BQ257" i="10"/>
  <c r="BR257" i="10"/>
  <c r="BT257" i="10"/>
  <c r="BU257" i="10"/>
  <c r="BS259" i="10" l="1"/>
  <c r="BS260" i="10"/>
  <c r="P975" i="17"/>
  <c r="Q975" i="17" s="1"/>
  <c r="P977" i="17"/>
  <c r="Q977" i="17" s="1"/>
  <c r="P967" i="17"/>
  <c r="Q967" i="17" s="1"/>
  <c r="P980" i="17"/>
  <c r="Q980" i="17" s="1"/>
  <c r="P971" i="17"/>
  <c r="Q971" i="17" s="1"/>
  <c r="P979" i="17"/>
  <c r="Q979" i="17" s="1"/>
  <c r="P972" i="17"/>
  <c r="Q972" i="17" s="1"/>
  <c r="O970" i="17"/>
  <c r="Q970" i="17" s="1"/>
  <c r="P966" i="17"/>
  <c r="Q966" i="17" s="1"/>
  <c r="P968" i="17"/>
  <c r="Q968" i="17" s="1"/>
  <c r="O969" i="17"/>
  <c r="Q969" i="17" s="1"/>
  <c r="P981" i="17"/>
  <c r="Q981" i="17" s="1"/>
  <c r="O978" i="17"/>
  <c r="Q978" i="17" s="1"/>
  <c r="P976" i="17"/>
  <c r="Q976" i="17" s="1"/>
  <c r="P982" i="17"/>
  <c r="Q982" i="17" s="1"/>
  <c r="P973" i="17"/>
  <c r="Q973" i="17" s="1"/>
  <c r="P974" i="17"/>
  <c r="Q974" i="17" s="1"/>
  <c r="N956" i="17"/>
  <c r="P956" i="17" s="1"/>
  <c r="N952" i="17"/>
  <c r="P952" i="17" s="1"/>
  <c r="N957" i="17"/>
  <c r="P957" i="17" s="1"/>
  <c r="N964" i="17"/>
  <c r="P964" i="17" s="1"/>
  <c r="N949" i="17"/>
  <c r="P949" i="17" s="1"/>
  <c r="N950" i="17"/>
  <c r="P950" i="17" s="1"/>
  <c r="BW257" i="10"/>
  <c r="N965" i="17"/>
  <c r="P965" i="17" s="1"/>
  <c r="BW256" i="10"/>
  <c r="N954" i="17"/>
  <c r="O954" i="17" s="1"/>
  <c r="N960" i="17"/>
  <c r="O960" i="17" s="1"/>
  <c r="N963" i="17"/>
  <c r="O963" i="17" s="1"/>
  <c r="N953" i="17"/>
  <c r="O953" i="17" s="1"/>
  <c r="N958" i="17"/>
  <c r="O958" i="17" s="1"/>
  <c r="N951" i="17"/>
  <c r="O951" i="17" s="1"/>
  <c r="N961" i="17"/>
  <c r="O961" i="17" s="1"/>
  <c r="N955" i="17"/>
  <c r="O955" i="17" s="1"/>
  <c r="N962" i="17"/>
  <c r="O962" i="17" s="1"/>
  <c r="N948" i="17"/>
  <c r="O948" i="17" s="1"/>
  <c r="N959" i="17"/>
  <c r="O959" i="17" s="1"/>
  <c r="L940" i="17"/>
  <c r="M940" i="17"/>
  <c r="R940" i="17"/>
  <c r="L941" i="17"/>
  <c r="M941" i="17"/>
  <c r="R941" i="17"/>
  <c r="L942" i="17"/>
  <c r="M942" i="17"/>
  <c r="R942" i="17"/>
  <c r="L943" i="17"/>
  <c r="M943" i="17"/>
  <c r="R943" i="17"/>
  <c r="L944" i="17"/>
  <c r="M944" i="17"/>
  <c r="R944" i="17"/>
  <c r="L945" i="17"/>
  <c r="M945" i="17"/>
  <c r="R945" i="17"/>
  <c r="L946" i="17"/>
  <c r="M946" i="17"/>
  <c r="R946" i="17"/>
  <c r="L947" i="17"/>
  <c r="M947" i="17"/>
  <c r="R947" i="17"/>
  <c r="BA255" i="10"/>
  <c r="BF255" i="10"/>
  <c r="BG255" i="10"/>
  <c r="BI255" i="10"/>
  <c r="BJ255" i="10"/>
  <c r="BK255" i="10"/>
  <c r="BL255" i="10"/>
  <c r="BM255" i="10"/>
  <c r="BN255" i="10"/>
  <c r="BO255" i="10"/>
  <c r="BP255" i="10"/>
  <c r="BQ255" i="10"/>
  <c r="BR255" i="10"/>
  <c r="BT255" i="10"/>
  <c r="BU255" i="10"/>
  <c r="O957" i="17" l="1"/>
  <c r="Q957" i="17" s="1"/>
  <c r="O956" i="17"/>
  <c r="Q956" i="17" s="1"/>
  <c r="O964" i="17"/>
  <c r="Q964" i="17" s="1"/>
  <c r="O952" i="17"/>
  <c r="Q952" i="17" s="1"/>
  <c r="O950" i="17"/>
  <c r="Q950" i="17" s="1"/>
  <c r="O949" i="17"/>
  <c r="Q949" i="17" s="1"/>
  <c r="P951" i="17"/>
  <c r="Q951" i="17" s="1"/>
  <c r="P953" i="17"/>
  <c r="Q953" i="17" s="1"/>
  <c r="P963" i="17"/>
  <c r="Q963" i="17" s="1"/>
  <c r="O965" i="17"/>
  <c r="Q965" i="17" s="1"/>
  <c r="P960" i="17"/>
  <c r="Q960" i="17" s="1"/>
  <c r="P954" i="17"/>
  <c r="Q954" i="17" s="1"/>
  <c r="P958" i="17"/>
  <c r="Q958" i="17" s="1"/>
  <c r="P962" i="17"/>
  <c r="Q962" i="17" s="1"/>
  <c r="P959" i="17"/>
  <c r="Q959" i="17" s="1"/>
  <c r="P961" i="17"/>
  <c r="Q961" i="17" s="1"/>
  <c r="P948" i="17"/>
  <c r="Q948" i="17" s="1"/>
  <c r="P955" i="17"/>
  <c r="Q955" i="17" s="1"/>
  <c r="N940" i="17"/>
  <c r="P940" i="17" s="1"/>
  <c r="N945" i="17"/>
  <c r="O945" i="17" s="1"/>
  <c r="N941" i="17"/>
  <c r="O941" i="17" s="1"/>
  <c r="N942" i="17"/>
  <c r="P942" i="17" s="1"/>
  <c r="N947" i="17"/>
  <c r="O947" i="17" s="1"/>
  <c r="N946" i="17"/>
  <c r="P946" i="17" s="1"/>
  <c r="N944" i="17"/>
  <c r="O944" i="17" s="1"/>
  <c r="N943" i="17"/>
  <c r="O943" i="17" s="1"/>
  <c r="BW255" i="10"/>
  <c r="L926" i="17"/>
  <c r="M926" i="17"/>
  <c r="R926" i="17"/>
  <c r="L927" i="17"/>
  <c r="M927" i="17"/>
  <c r="R927" i="17"/>
  <c r="L928" i="17"/>
  <c r="M928" i="17"/>
  <c r="R928" i="17"/>
  <c r="L929" i="17"/>
  <c r="M929" i="17"/>
  <c r="R929" i="17"/>
  <c r="L930" i="17"/>
  <c r="M930" i="17"/>
  <c r="R930" i="17"/>
  <c r="L931" i="17"/>
  <c r="M931" i="17"/>
  <c r="R931" i="17"/>
  <c r="L932" i="17"/>
  <c r="M932" i="17"/>
  <c r="R932" i="17"/>
  <c r="L933" i="17"/>
  <c r="M933" i="17"/>
  <c r="R933" i="17"/>
  <c r="L934" i="17"/>
  <c r="M934" i="17"/>
  <c r="R934" i="17"/>
  <c r="L935" i="17"/>
  <c r="M935" i="17"/>
  <c r="R935" i="17"/>
  <c r="L936" i="17"/>
  <c r="M936" i="17"/>
  <c r="R936" i="17"/>
  <c r="L937" i="17"/>
  <c r="M937" i="17"/>
  <c r="R937" i="17"/>
  <c r="L938" i="17"/>
  <c r="M938" i="17"/>
  <c r="R938" i="17"/>
  <c r="L939" i="17"/>
  <c r="M939" i="17"/>
  <c r="R939" i="17"/>
  <c r="BA250" i="10"/>
  <c r="BF250" i="10"/>
  <c r="BG250" i="10"/>
  <c r="BI250" i="10"/>
  <c r="BJ250" i="10"/>
  <c r="BK250" i="10"/>
  <c r="BL250" i="10"/>
  <c r="BM250" i="10"/>
  <c r="BN250" i="10"/>
  <c r="BO250" i="10"/>
  <c r="BP250" i="10"/>
  <c r="BQ250" i="10"/>
  <c r="BR250" i="10"/>
  <c r="BT250" i="10"/>
  <c r="BU250" i="10"/>
  <c r="BA251" i="10"/>
  <c r="BF251" i="10"/>
  <c r="BG251" i="10"/>
  <c r="BI251" i="10"/>
  <c r="BJ251" i="10"/>
  <c r="BK251" i="10"/>
  <c r="BL251" i="10"/>
  <c r="BM251" i="10"/>
  <c r="BN251" i="10"/>
  <c r="BO251" i="10"/>
  <c r="BP251" i="10"/>
  <c r="BQ251" i="10"/>
  <c r="BR251" i="10"/>
  <c r="BT251" i="10"/>
  <c r="BU251" i="10"/>
  <c r="BA252" i="10"/>
  <c r="BF252" i="10"/>
  <c r="BG252" i="10"/>
  <c r="BI252" i="10"/>
  <c r="BJ252" i="10"/>
  <c r="BK252" i="10"/>
  <c r="BL252" i="10"/>
  <c r="BM252" i="10"/>
  <c r="BN252" i="10"/>
  <c r="BO252" i="10"/>
  <c r="BP252" i="10"/>
  <c r="BQ252" i="10"/>
  <c r="BR252" i="10"/>
  <c r="BT252" i="10"/>
  <c r="BU252" i="10"/>
  <c r="BA253" i="10"/>
  <c r="BF253" i="10"/>
  <c r="BG253" i="10"/>
  <c r="BI253" i="10"/>
  <c r="BJ253" i="10"/>
  <c r="BK253" i="10"/>
  <c r="BL253" i="10"/>
  <c r="BM253" i="10"/>
  <c r="BN253" i="10"/>
  <c r="BO253" i="10"/>
  <c r="BP253" i="10"/>
  <c r="BQ253" i="10"/>
  <c r="BR253" i="10"/>
  <c r="BT253" i="10"/>
  <c r="BU253" i="10"/>
  <c r="BA254" i="10"/>
  <c r="BF254" i="10"/>
  <c r="BG254" i="10"/>
  <c r="BI254" i="10"/>
  <c r="BJ254" i="10"/>
  <c r="BK254" i="10"/>
  <c r="BL254" i="10"/>
  <c r="BM254" i="10"/>
  <c r="BN254" i="10"/>
  <c r="BO254" i="10"/>
  <c r="BP254" i="10"/>
  <c r="BQ254" i="10"/>
  <c r="BR254" i="10"/>
  <c r="BT254" i="10"/>
  <c r="BU254" i="10"/>
  <c r="O940" i="17" l="1"/>
  <c r="Q940" i="17" s="1"/>
  <c r="BS256" i="10"/>
  <c r="BS257" i="10"/>
  <c r="P941" i="17"/>
  <c r="Q941" i="17" s="1"/>
  <c r="P945" i="17"/>
  <c r="Q945" i="17" s="1"/>
  <c r="O942" i="17"/>
  <c r="Q942" i="17" s="1"/>
  <c r="P943" i="17"/>
  <c r="Q943" i="17" s="1"/>
  <c r="O946" i="17"/>
  <c r="Q946" i="17" s="1"/>
  <c r="P944" i="17"/>
  <c r="Q944" i="17" s="1"/>
  <c r="P947" i="17"/>
  <c r="Q947" i="17" s="1"/>
  <c r="N927" i="17"/>
  <c r="P927" i="17" s="1"/>
  <c r="N926" i="17"/>
  <c r="P926" i="17" s="1"/>
  <c r="N928" i="17"/>
  <c r="P928" i="17" s="1"/>
  <c r="N929" i="17"/>
  <c r="P929" i="17" s="1"/>
  <c r="N931" i="17"/>
  <c r="O931" i="17" s="1"/>
  <c r="N930" i="17"/>
  <c r="P930" i="17" s="1"/>
  <c r="N936" i="17"/>
  <c r="O936" i="17" s="1"/>
  <c r="N933" i="17"/>
  <c r="O933" i="17" s="1"/>
  <c r="N934" i="17"/>
  <c r="P934" i="17" s="1"/>
  <c r="N932" i="17"/>
  <c r="O932" i="17" s="1"/>
  <c r="N939" i="17"/>
  <c r="O939" i="17" s="1"/>
  <c r="N938" i="17"/>
  <c r="O938" i="17" s="1"/>
  <c r="N935" i="17"/>
  <c r="P935" i="17" s="1"/>
  <c r="N937" i="17"/>
  <c r="O937" i="17" s="1"/>
  <c r="BW250" i="10"/>
  <c r="BW251" i="10"/>
  <c r="BW252" i="10"/>
  <c r="BW254" i="10"/>
  <c r="BW253" i="10"/>
  <c r="Q6"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95" i="3"/>
  <c r="Q196" i="3"/>
  <c r="Q197" i="3"/>
  <c r="Q198" i="3"/>
  <c r="Q199" i="3"/>
  <c r="Q200" i="3"/>
  <c r="Q201" i="3"/>
  <c r="Q202" i="3"/>
  <c r="Q203" i="3"/>
  <c r="Q204" i="3"/>
  <c r="Q205" i="3"/>
  <c r="Q206" i="3"/>
  <c r="Q207" i="3"/>
  <c r="Q208" i="3"/>
  <c r="Q209" i="3"/>
  <c r="Q210" i="3"/>
  <c r="Q211" i="3"/>
  <c r="Q212" i="3"/>
  <c r="Q213" i="3"/>
  <c r="Q214" i="3"/>
  <c r="Q215" i="3"/>
  <c r="Q216" i="3"/>
  <c r="Q217" i="3"/>
  <c r="Q218" i="3"/>
  <c r="Q219" i="3"/>
  <c r="Q220" i="3"/>
  <c r="Q221" i="3"/>
  <c r="Q222" i="3"/>
  <c r="Q223" i="3"/>
  <c r="Q224" i="3"/>
  <c r="Q225" i="3"/>
  <c r="Q226" i="3"/>
  <c r="Q227" i="3"/>
  <c r="Q228" i="3"/>
  <c r="Q229" i="3"/>
  <c r="Q230" i="3"/>
  <c r="Q231" i="3"/>
  <c r="Q232" i="3"/>
  <c r="Q233" i="3"/>
  <c r="Q234" i="3"/>
  <c r="Q235" i="3"/>
  <c r="Q236" i="3"/>
  <c r="Q237" i="3"/>
  <c r="Q238" i="3"/>
  <c r="Q239" i="3"/>
  <c r="Q240" i="3"/>
  <c r="Q241" i="3"/>
  <c r="Q242" i="3"/>
  <c r="Q243" i="3"/>
  <c r="Q244" i="3"/>
  <c r="Q245" i="3"/>
  <c r="Q246" i="3"/>
  <c r="Q247" i="3"/>
  <c r="Q248" i="3"/>
  <c r="Q249" i="3"/>
  <c r="Q250" i="3"/>
  <c r="Q251" i="3"/>
  <c r="Q252" i="3"/>
  <c r="Q253" i="3"/>
  <c r="Q254" i="3"/>
  <c r="Q255" i="3"/>
  <c r="Q256" i="3"/>
  <c r="Q257" i="3"/>
  <c r="Q258" i="3"/>
  <c r="Q259" i="3"/>
  <c r="Q260" i="3"/>
  <c r="Q261" i="3"/>
  <c r="Q262" i="3"/>
  <c r="Q263" i="3"/>
  <c r="Q264" i="3"/>
  <c r="Q265" i="3"/>
  <c r="Q266" i="3"/>
  <c r="Q267" i="3"/>
  <c r="Q268" i="3"/>
  <c r="Q269" i="3"/>
  <c r="Q270" i="3"/>
  <c r="Q271" i="3"/>
  <c r="Q272" i="3"/>
  <c r="Q273" i="3"/>
  <c r="Q274" i="3"/>
  <c r="Q275" i="3"/>
  <c r="Q276" i="3"/>
  <c r="Q277" i="3"/>
  <c r="Q278" i="3"/>
  <c r="Q279" i="3"/>
  <c r="Q280" i="3"/>
  <c r="Q281" i="3"/>
  <c r="Q282" i="3"/>
  <c r="Q283" i="3"/>
  <c r="Q284" i="3"/>
  <c r="Q285" i="3"/>
  <c r="Q286" i="3"/>
  <c r="Q287" i="3"/>
  <c r="Q288" i="3"/>
  <c r="Q289" i="3"/>
  <c r="Q290" i="3"/>
  <c r="Q5" i="3"/>
  <c r="L851" i="17"/>
  <c r="M851" i="17"/>
  <c r="R851" i="17"/>
  <c r="L852" i="17"/>
  <c r="M852" i="17"/>
  <c r="R852" i="17"/>
  <c r="L853" i="17"/>
  <c r="M853" i="17"/>
  <c r="R853" i="17"/>
  <c r="L854" i="17"/>
  <c r="M854" i="17"/>
  <c r="R854" i="17"/>
  <c r="L855" i="17"/>
  <c r="M855" i="17"/>
  <c r="R855" i="17"/>
  <c r="L856" i="17"/>
  <c r="M856" i="17"/>
  <c r="R856" i="17"/>
  <c r="L857" i="17"/>
  <c r="M857" i="17"/>
  <c r="R857" i="17"/>
  <c r="L858" i="17"/>
  <c r="M858" i="17"/>
  <c r="R858" i="17"/>
  <c r="L859" i="17"/>
  <c r="M859" i="17"/>
  <c r="R859" i="17"/>
  <c r="L860" i="17"/>
  <c r="M860" i="17"/>
  <c r="R860" i="17"/>
  <c r="L861" i="17"/>
  <c r="M861" i="17"/>
  <c r="R861" i="17"/>
  <c r="L862" i="17"/>
  <c r="M862" i="17"/>
  <c r="R862" i="17"/>
  <c r="L863" i="17"/>
  <c r="M863" i="17"/>
  <c r="R863" i="17"/>
  <c r="L864" i="17"/>
  <c r="M864" i="17"/>
  <c r="R864" i="17"/>
  <c r="L865" i="17"/>
  <c r="M865" i="17"/>
  <c r="R865" i="17"/>
  <c r="L866" i="17"/>
  <c r="M866" i="17"/>
  <c r="R866" i="17"/>
  <c r="L867" i="17"/>
  <c r="M867" i="17"/>
  <c r="R867" i="17"/>
  <c r="L868" i="17"/>
  <c r="M868" i="17"/>
  <c r="R868" i="17"/>
  <c r="L869" i="17"/>
  <c r="M869" i="17"/>
  <c r="R869" i="17"/>
  <c r="L870" i="17"/>
  <c r="M870" i="17"/>
  <c r="R870" i="17"/>
  <c r="L871" i="17"/>
  <c r="M871" i="17"/>
  <c r="R871" i="17"/>
  <c r="L872" i="17"/>
  <c r="M872" i="17"/>
  <c r="R872" i="17"/>
  <c r="L873" i="17"/>
  <c r="M873" i="17"/>
  <c r="R873" i="17"/>
  <c r="L874" i="17"/>
  <c r="M874" i="17"/>
  <c r="R874" i="17"/>
  <c r="L875" i="17"/>
  <c r="M875" i="17"/>
  <c r="R875" i="17"/>
  <c r="L876" i="17"/>
  <c r="M876" i="17"/>
  <c r="R876" i="17"/>
  <c r="L877" i="17"/>
  <c r="M877" i="17"/>
  <c r="R877" i="17"/>
  <c r="L878" i="17"/>
  <c r="M878" i="17"/>
  <c r="R878" i="17"/>
  <c r="L879" i="17"/>
  <c r="M879" i="17"/>
  <c r="R879" i="17"/>
  <c r="L880" i="17"/>
  <c r="M880" i="17"/>
  <c r="R880" i="17"/>
  <c r="L881" i="17"/>
  <c r="M881" i="17"/>
  <c r="R881" i="17"/>
  <c r="L882" i="17"/>
  <c r="M882" i="17"/>
  <c r="R882" i="17"/>
  <c r="L883" i="17"/>
  <c r="M883" i="17"/>
  <c r="R883" i="17"/>
  <c r="L884" i="17"/>
  <c r="M884" i="17"/>
  <c r="R884" i="17"/>
  <c r="L885" i="17"/>
  <c r="M885" i="17"/>
  <c r="R885" i="17"/>
  <c r="L886" i="17"/>
  <c r="M886" i="17"/>
  <c r="R886" i="17"/>
  <c r="L887" i="17"/>
  <c r="M887" i="17"/>
  <c r="R887" i="17"/>
  <c r="L888" i="17"/>
  <c r="M888" i="17"/>
  <c r="R888" i="17"/>
  <c r="L889" i="17"/>
  <c r="M889" i="17"/>
  <c r="R889" i="17"/>
  <c r="L890" i="17"/>
  <c r="M890" i="17"/>
  <c r="R890" i="17"/>
  <c r="L891" i="17"/>
  <c r="M891" i="17"/>
  <c r="R891" i="17"/>
  <c r="L892" i="17"/>
  <c r="M892" i="17"/>
  <c r="R892" i="17"/>
  <c r="L893" i="17"/>
  <c r="M893" i="17"/>
  <c r="R893" i="17"/>
  <c r="L894" i="17"/>
  <c r="M894" i="17"/>
  <c r="R894" i="17"/>
  <c r="L895" i="17"/>
  <c r="M895" i="17"/>
  <c r="R895" i="17"/>
  <c r="L896" i="17"/>
  <c r="M896" i="17"/>
  <c r="R896" i="17"/>
  <c r="L897" i="17"/>
  <c r="M897" i="17"/>
  <c r="R897" i="17"/>
  <c r="L898" i="17"/>
  <c r="M898" i="17"/>
  <c r="R898" i="17"/>
  <c r="L899" i="17"/>
  <c r="M899" i="17"/>
  <c r="R899" i="17"/>
  <c r="L900" i="17"/>
  <c r="M900" i="17"/>
  <c r="R900" i="17"/>
  <c r="L901" i="17"/>
  <c r="M901" i="17"/>
  <c r="R901" i="17"/>
  <c r="L902" i="17"/>
  <c r="M902" i="17"/>
  <c r="R902" i="17"/>
  <c r="L903" i="17"/>
  <c r="M903" i="17"/>
  <c r="R903" i="17"/>
  <c r="L904" i="17"/>
  <c r="M904" i="17"/>
  <c r="R904" i="17"/>
  <c r="L905" i="17"/>
  <c r="M905" i="17"/>
  <c r="R905" i="17"/>
  <c r="L906" i="17"/>
  <c r="M906" i="17"/>
  <c r="R906" i="17"/>
  <c r="L907" i="17"/>
  <c r="M907" i="17"/>
  <c r="R907" i="17"/>
  <c r="L908" i="17"/>
  <c r="M908" i="17"/>
  <c r="R908" i="17"/>
  <c r="L909" i="17"/>
  <c r="M909" i="17"/>
  <c r="R909" i="17"/>
  <c r="L910" i="17"/>
  <c r="M910" i="17"/>
  <c r="R910" i="17"/>
  <c r="L911" i="17"/>
  <c r="M911" i="17"/>
  <c r="R911" i="17"/>
  <c r="L912" i="17"/>
  <c r="M912" i="17"/>
  <c r="R912" i="17"/>
  <c r="L913" i="17"/>
  <c r="M913" i="17"/>
  <c r="R913" i="17"/>
  <c r="L914" i="17"/>
  <c r="M914" i="17"/>
  <c r="R914" i="17"/>
  <c r="L915" i="17"/>
  <c r="M915" i="17"/>
  <c r="R915" i="17"/>
  <c r="L916" i="17"/>
  <c r="M916" i="17"/>
  <c r="R916" i="17"/>
  <c r="L917" i="17"/>
  <c r="M917" i="17"/>
  <c r="R917" i="17"/>
  <c r="L918" i="17"/>
  <c r="M918" i="17"/>
  <c r="R918" i="17"/>
  <c r="L919" i="17"/>
  <c r="M919" i="17"/>
  <c r="R919" i="17"/>
  <c r="L920" i="17"/>
  <c r="M920" i="17"/>
  <c r="R920" i="17"/>
  <c r="L921" i="17"/>
  <c r="M921" i="17"/>
  <c r="R921" i="17"/>
  <c r="L922" i="17"/>
  <c r="M922" i="17"/>
  <c r="R922" i="17"/>
  <c r="L923" i="17"/>
  <c r="M923" i="17"/>
  <c r="R923" i="17"/>
  <c r="L924" i="17"/>
  <c r="M924" i="17"/>
  <c r="R924" i="17"/>
  <c r="L925" i="17"/>
  <c r="M925" i="17"/>
  <c r="R925" i="17"/>
  <c r="O927" i="17" l="1"/>
  <c r="Q927" i="17" s="1"/>
  <c r="O926" i="17"/>
  <c r="Q926" i="17" s="1"/>
  <c r="O930" i="17"/>
  <c r="Q930" i="17" s="1"/>
  <c r="P937" i="17"/>
  <c r="Q937" i="17" s="1"/>
  <c r="P932" i="17"/>
  <c r="Q932" i="17" s="1"/>
  <c r="BS251" i="10" s="1"/>
  <c r="O928" i="17"/>
  <c r="Q928" i="17" s="1"/>
  <c r="BS255" i="10"/>
  <c r="P931" i="17"/>
  <c r="Q931" i="17" s="1"/>
  <c r="P939" i="17"/>
  <c r="Q939" i="17" s="1"/>
  <c r="BS253" i="10" s="1"/>
  <c r="O929" i="17"/>
  <c r="Q929" i="17" s="1"/>
  <c r="P933" i="17"/>
  <c r="Q933" i="17" s="1"/>
  <c r="P938" i="17"/>
  <c r="Q938" i="17" s="1"/>
  <c r="P936" i="17"/>
  <c r="Q936" i="17" s="1"/>
  <c r="O934" i="17"/>
  <c r="Q934" i="17" s="1"/>
  <c r="O935" i="17"/>
  <c r="Q935" i="17" s="1"/>
  <c r="N852" i="17"/>
  <c r="P852" i="17" s="1"/>
  <c r="N865" i="17"/>
  <c r="P865" i="17" s="1"/>
  <c r="N897" i="17"/>
  <c r="O897" i="17" s="1"/>
  <c r="N902" i="17"/>
  <c r="P902" i="17" s="1"/>
  <c r="N888" i="17"/>
  <c r="P888" i="17" s="1"/>
  <c r="N912" i="17"/>
  <c r="P912" i="17" s="1"/>
  <c r="N921" i="17"/>
  <c r="P921" i="17" s="1"/>
  <c r="N917" i="17"/>
  <c r="P917" i="17" s="1"/>
  <c r="N855" i="17"/>
  <c r="P855" i="17" s="1"/>
  <c r="N890" i="17"/>
  <c r="P890" i="17" s="1"/>
  <c r="N875" i="17"/>
  <c r="O875" i="17" s="1"/>
  <c r="N860" i="17"/>
  <c r="O860" i="17" s="1"/>
  <c r="N903" i="17"/>
  <c r="O903" i="17" s="1"/>
  <c r="N879" i="17"/>
  <c r="P879" i="17" s="1"/>
  <c r="N924" i="17"/>
  <c r="O924" i="17" s="1"/>
  <c r="N901" i="17"/>
  <c r="O901" i="17" s="1"/>
  <c r="N864" i="17"/>
  <c r="P864" i="17" s="1"/>
  <c r="N913" i="17"/>
  <c r="P913" i="17" s="1"/>
  <c r="N907" i="17"/>
  <c r="O907" i="17" s="1"/>
  <c r="N878" i="17"/>
  <c r="O878" i="17" s="1"/>
  <c r="N922" i="17"/>
  <c r="O922" i="17" s="1"/>
  <c r="N889" i="17"/>
  <c r="P889" i="17" s="1"/>
  <c r="N854" i="17"/>
  <c r="O854" i="17" s="1"/>
  <c r="N851" i="17"/>
  <c r="O851" i="17" s="1"/>
  <c r="N893" i="17"/>
  <c r="O893" i="17" s="1"/>
  <c r="N886" i="17"/>
  <c r="O886" i="17" s="1"/>
  <c r="N883" i="17"/>
  <c r="O883" i="17" s="1"/>
  <c r="N853" i="17"/>
  <c r="O853" i="17" s="1"/>
  <c r="N911" i="17"/>
  <c r="O911" i="17" s="1"/>
  <c r="N908" i="17"/>
  <c r="P908" i="17" s="1"/>
  <c r="N863" i="17"/>
  <c r="O863" i="17" s="1"/>
  <c r="N859" i="17"/>
  <c r="P859" i="17" s="1"/>
  <c r="N891" i="17"/>
  <c r="O891" i="17" s="1"/>
  <c r="N884" i="17"/>
  <c r="O884" i="17" s="1"/>
  <c r="N876" i="17"/>
  <c r="P876" i="17" s="1"/>
  <c r="N873" i="17"/>
  <c r="O873" i="17" s="1"/>
  <c r="N862" i="17"/>
  <c r="P862" i="17" s="1"/>
  <c r="N895" i="17"/>
  <c r="P895" i="17" s="1"/>
  <c r="N923" i="17"/>
  <c r="O923" i="17" s="1"/>
  <c r="N914" i="17"/>
  <c r="O914" i="17" s="1"/>
  <c r="N894" i="17"/>
  <c r="O894" i="17" s="1"/>
  <c r="N887" i="17"/>
  <c r="P887" i="17" s="1"/>
  <c r="N881" i="17"/>
  <c r="O881" i="17" s="1"/>
  <c r="N877" i="17"/>
  <c r="O877" i="17" s="1"/>
  <c r="N872" i="17"/>
  <c r="O872" i="17" s="1"/>
  <c r="N904" i="17"/>
  <c r="O904" i="17" s="1"/>
  <c r="N866" i="17"/>
  <c r="N918" i="17"/>
  <c r="O918" i="17" s="1"/>
  <c r="N898" i="17"/>
  <c r="P898" i="17" s="1"/>
  <c r="N885" i="17"/>
  <c r="P885" i="17" s="1"/>
  <c r="N868" i="17"/>
  <c r="P868" i="17" s="1"/>
  <c r="N861" i="17"/>
  <c r="O861" i="17" s="1"/>
  <c r="N909" i="17"/>
  <c r="P909" i="17" s="1"/>
  <c r="N919" i="17"/>
  <c r="O919" i="17" s="1"/>
  <c r="N880" i="17"/>
  <c r="P880" i="17" s="1"/>
  <c r="N856" i="17"/>
  <c r="O856" i="17" s="1"/>
  <c r="N899" i="17"/>
  <c r="N915" i="17"/>
  <c r="O915" i="17" s="1"/>
  <c r="N905" i="17"/>
  <c r="P905" i="17" s="1"/>
  <c r="N900" i="17"/>
  <c r="P900" i="17" s="1"/>
  <c r="N892" i="17"/>
  <c r="P892" i="17" s="1"/>
  <c r="N867" i="17"/>
  <c r="N871" i="17"/>
  <c r="P871" i="17" s="1"/>
  <c r="N925" i="17"/>
  <c r="O925" i="17" s="1"/>
  <c r="N920" i="17"/>
  <c r="O920" i="17" s="1"/>
  <c r="N906" i="17"/>
  <c r="P906" i="17" s="1"/>
  <c r="N858" i="17"/>
  <c r="O858" i="17" s="1"/>
  <c r="N870" i="17"/>
  <c r="N916" i="17"/>
  <c r="N857" i="17"/>
  <c r="N896" i="17"/>
  <c r="N874" i="17"/>
  <c r="N869" i="17"/>
  <c r="N910" i="17"/>
  <c r="N882" i="17"/>
  <c r="BS258" i="10" l="1"/>
  <c r="BS250" i="10"/>
  <c r="BS252" i="10"/>
  <c r="O852" i="17"/>
  <c r="Q852" i="17" s="1"/>
  <c r="O917" i="17"/>
  <c r="Q917" i="17" s="1"/>
  <c r="O912" i="17"/>
  <c r="Q912" i="17" s="1"/>
  <c r="O890" i="17"/>
  <c r="Q890" i="17" s="1"/>
  <c r="P860" i="17"/>
  <c r="Q860" i="17" s="1"/>
  <c r="O864" i="17"/>
  <c r="Q864" i="17" s="1"/>
  <c r="P897" i="17"/>
  <c r="Q897" i="17" s="1"/>
  <c r="P854" i="17"/>
  <c r="Q854" i="17" s="1"/>
  <c r="O888" i="17"/>
  <c r="Q888" i="17" s="1"/>
  <c r="P878" i="17"/>
  <c r="Q878" i="17" s="1"/>
  <c r="O909" i="17"/>
  <c r="Q909" i="17" s="1"/>
  <c r="O865" i="17"/>
  <c r="Q865" i="17" s="1"/>
  <c r="P922" i="17"/>
  <c r="Q922" i="17" s="1"/>
  <c r="P918" i="17"/>
  <c r="Q918" i="17" s="1"/>
  <c r="O902" i="17"/>
  <c r="Q902" i="17" s="1"/>
  <c r="O921" i="17"/>
  <c r="Q921" i="17" s="1"/>
  <c r="P872" i="17"/>
  <c r="Q872" i="17" s="1"/>
  <c r="P915" i="17"/>
  <c r="Q915" i="17" s="1"/>
  <c r="O889" i="17"/>
  <c r="Q889" i="17" s="1"/>
  <c r="P904" i="17"/>
  <c r="Q904" i="17" s="1"/>
  <c r="O908" i="17"/>
  <c r="Q908" i="17" s="1"/>
  <c r="P883" i="17"/>
  <c r="Q883" i="17" s="1"/>
  <c r="P924" i="17"/>
  <c r="Q924" i="17" s="1"/>
  <c r="O855" i="17"/>
  <c r="Q855" i="17" s="1"/>
  <c r="P903" i="17"/>
  <c r="Q903" i="17" s="1"/>
  <c r="P893" i="17"/>
  <c r="Q893" i="17" s="1"/>
  <c r="O885" i="17"/>
  <c r="Q885" i="17" s="1"/>
  <c r="O879" i="17"/>
  <c r="Q879" i="17" s="1"/>
  <c r="O898" i="17"/>
  <c r="Q898" i="17" s="1"/>
  <c r="P884" i="17"/>
  <c r="Q884" i="17" s="1"/>
  <c r="P877" i="17"/>
  <c r="Q877" i="17" s="1"/>
  <c r="O913" i="17"/>
  <c r="Q913" i="17" s="1"/>
  <c r="P875" i="17"/>
  <c r="Q875" i="17" s="1"/>
  <c r="P911" i="17"/>
  <c r="Q911" i="17" s="1"/>
  <c r="P891" i="17"/>
  <c r="Q891" i="17" s="1"/>
  <c r="O880" i="17"/>
  <c r="Q880" i="17" s="1"/>
  <c r="O895" i="17"/>
  <c r="Q895" i="17" s="1"/>
  <c r="P851" i="17"/>
  <c r="Q851" i="17" s="1"/>
  <c r="O876" i="17"/>
  <c r="Q876" i="17" s="1"/>
  <c r="P907" i="17"/>
  <c r="Q907" i="17" s="1"/>
  <c r="P886" i="17"/>
  <c r="Q886" i="17" s="1"/>
  <c r="P901" i="17"/>
  <c r="Q901" i="17" s="1"/>
  <c r="P863" i="17"/>
  <c r="Q863" i="17" s="1"/>
  <c r="P853" i="17"/>
  <c r="Q853" i="17" s="1"/>
  <c r="O887" i="17"/>
  <c r="Q887" i="17" s="1"/>
  <c r="P861" i="17"/>
  <c r="Q861" i="17" s="1"/>
  <c r="P894" i="17"/>
  <c r="Q894" i="17" s="1"/>
  <c r="O862" i="17"/>
  <c r="Q862" i="17" s="1"/>
  <c r="O859" i="17"/>
  <c r="Q859" i="17" s="1"/>
  <c r="P923" i="17"/>
  <c r="Q923" i="17" s="1"/>
  <c r="P873" i="17"/>
  <c r="Q873" i="17" s="1"/>
  <c r="P920" i="17"/>
  <c r="Q920" i="17" s="1"/>
  <c r="O900" i="17"/>
  <c r="Q900" i="17" s="1"/>
  <c r="O868" i="17"/>
  <c r="Q868" i="17" s="1"/>
  <c r="O871" i="17"/>
  <c r="Q871" i="17" s="1"/>
  <c r="P881" i="17"/>
  <c r="Q881" i="17" s="1"/>
  <c r="P858" i="17"/>
  <c r="Q858" i="17" s="1"/>
  <c r="O892" i="17"/>
  <c r="Q892" i="17" s="1"/>
  <c r="O906" i="17"/>
  <c r="Q906" i="17" s="1"/>
  <c r="P914" i="17"/>
  <c r="Q914" i="17" s="1"/>
  <c r="P866" i="17"/>
  <c r="O866" i="17"/>
  <c r="P856" i="17"/>
  <c r="Q856" i="17" s="1"/>
  <c r="O905" i="17"/>
  <c r="Q905" i="17" s="1"/>
  <c r="O867" i="17"/>
  <c r="P867" i="17"/>
  <c r="P925" i="17"/>
  <c r="Q925" i="17" s="1"/>
  <c r="P919" i="17"/>
  <c r="Q919" i="17" s="1"/>
  <c r="O899" i="17"/>
  <c r="P899" i="17"/>
  <c r="O869" i="17"/>
  <c r="P869" i="17"/>
  <c r="O874" i="17"/>
  <c r="P874" i="17"/>
  <c r="O910" i="17"/>
  <c r="P910" i="17"/>
  <c r="O857" i="17"/>
  <c r="P857" i="17"/>
  <c r="O896" i="17"/>
  <c r="P896" i="17"/>
  <c r="O916" i="17"/>
  <c r="P916" i="17"/>
  <c r="O870" i="17"/>
  <c r="P870" i="17"/>
  <c r="O882" i="17"/>
  <c r="P882" i="17"/>
  <c r="BS290" i="10" l="1"/>
  <c r="BS279" i="10"/>
  <c r="Q867" i="17"/>
  <c r="Q882" i="17"/>
  <c r="Q866" i="17"/>
  <c r="Q896" i="17"/>
  <c r="Q869" i="17"/>
  <c r="Q899" i="17"/>
  <c r="Q857" i="17"/>
  <c r="Q870" i="17"/>
  <c r="Q874" i="17"/>
  <c r="Q916" i="17"/>
  <c r="BS264" i="10"/>
  <c r="Q910" i="17"/>
  <c r="BA231" i="10" l="1"/>
  <c r="BF231" i="10"/>
  <c r="BG231" i="10"/>
  <c r="BI231" i="10"/>
  <c r="BJ231" i="10"/>
  <c r="BK231" i="10"/>
  <c r="BL231" i="10"/>
  <c r="BM231" i="10"/>
  <c r="BN231" i="10"/>
  <c r="BO231" i="10"/>
  <c r="BP231" i="10"/>
  <c r="BQ231" i="10"/>
  <c r="BR231" i="10"/>
  <c r="BS231" i="10"/>
  <c r="BT231" i="10"/>
  <c r="BU231" i="10"/>
  <c r="BA232" i="10"/>
  <c r="BF232" i="10"/>
  <c r="BG232" i="10"/>
  <c r="BI232" i="10"/>
  <c r="BJ232" i="10"/>
  <c r="BK232" i="10"/>
  <c r="BL232" i="10"/>
  <c r="BM232" i="10"/>
  <c r="BN232" i="10"/>
  <c r="BO232" i="10"/>
  <c r="BP232" i="10"/>
  <c r="BQ232" i="10"/>
  <c r="BR232" i="10"/>
  <c r="BS232" i="10"/>
  <c r="BT232" i="10"/>
  <c r="BU232" i="10"/>
  <c r="BA233" i="10"/>
  <c r="BF233" i="10"/>
  <c r="BG233" i="10"/>
  <c r="BI233" i="10"/>
  <c r="BJ233" i="10"/>
  <c r="BK233" i="10"/>
  <c r="BL233" i="10"/>
  <c r="BM233" i="10"/>
  <c r="BN233" i="10"/>
  <c r="BO233" i="10"/>
  <c r="BP233" i="10"/>
  <c r="BQ233" i="10"/>
  <c r="BR233" i="10"/>
  <c r="BS233" i="10"/>
  <c r="BT233" i="10"/>
  <c r="BU233" i="10"/>
  <c r="BA234" i="10"/>
  <c r="BF234" i="10"/>
  <c r="BG234" i="10"/>
  <c r="BI234" i="10"/>
  <c r="BJ234" i="10"/>
  <c r="BK234" i="10"/>
  <c r="BL234" i="10"/>
  <c r="BM234" i="10"/>
  <c r="BN234" i="10"/>
  <c r="BO234" i="10"/>
  <c r="BP234" i="10"/>
  <c r="BQ234" i="10"/>
  <c r="BR234" i="10"/>
  <c r="BS234" i="10"/>
  <c r="BT234" i="10"/>
  <c r="BU234" i="10"/>
  <c r="BA235" i="10"/>
  <c r="BF235" i="10"/>
  <c r="BG235" i="10"/>
  <c r="BI235" i="10"/>
  <c r="BJ235" i="10"/>
  <c r="BK235" i="10"/>
  <c r="BL235" i="10"/>
  <c r="BM235" i="10"/>
  <c r="BN235" i="10"/>
  <c r="BO235" i="10"/>
  <c r="BP235" i="10"/>
  <c r="BQ235" i="10"/>
  <c r="BR235" i="10"/>
  <c r="BS235" i="10"/>
  <c r="BT235" i="10"/>
  <c r="BU235" i="10"/>
  <c r="BA236" i="10"/>
  <c r="BF236" i="10"/>
  <c r="BG236" i="10"/>
  <c r="BI236" i="10"/>
  <c r="BJ236" i="10"/>
  <c r="BK236" i="10"/>
  <c r="BL236" i="10"/>
  <c r="BM236" i="10"/>
  <c r="BN236" i="10"/>
  <c r="BO236" i="10"/>
  <c r="BP236" i="10"/>
  <c r="BQ236" i="10"/>
  <c r="BR236" i="10"/>
  <c r="BS236" i="10"/>
  <c r="BT236" i="10"/>
  <c r="BU236" i="10"/>
  <c r="BA237" i="10"/>
  <c r="BF237" i="10"/>
  <c r="BG237" i="10"/>
  <c r="BI237" i="10"/>
  <c r="BJ237" i="10"/>
  <c r="BK237" i="10"/>
  <c r="BL237" i="10"/>
  <c r="BM237" i="10"/>
  <c r="BN237" i="10"/>
  <c r="BO237" i="10"/>
  <c r="BP237" i="10"/>
  <c r="BQ237" i="10"/>
  <c r="BR237" i="10"/>
  <c r="BT237" i="10"/>
  <c r="BU237" i="10"/>
  <c r="BA238" i="10"/>
  <c r="BF238" i="10"/>
  <c r="BG238" i="10"/>
  <c r="BI238" i="10"/>
  <c r="BJ238" i="10"/>
  <c r="BK238" i="10"/>
  <c r="BL238" i="10"/>
  <c r="BM238" i="10"/>
  <c r="BN238" i="10"/>
  <c r="BO238" i="10"/>
  <c r="BP238" i="10"/>
  <c r="BQ238" i="10"/>
  <c r="BR238" i="10"/>
  <c r="BS238" i="10"/>
  <c r="BT238" i="10"/>
  <c r="BU238" i="10"/>
  <c r="BA239" i="10"/>
  <c r="BF239" i="10"/>
  <c r="BG239" i="10"/>
  <c r="BI239" i="10"/>
  <c r="BJ239" i="10"/>
  <c r="BK239" i="10"/>
  <c r="BL239" i="10"/>
  <c r="BM239" i="10"/>
  <c r="BN239" i="10"/>
  <c r="BO239" i="10"/>
  <c r="BP239" i="10"/>
  <c r="BQ239" i="10"/>
  <c r="BR239" i="10"/>
  <c r="BT239" i="10"/>
  <c r="BU239" i="10"/>
  <c r="BA240" i="10"/>
  <c r="BF240" i="10"/>
  <c r="BG240" i="10"/>
  <c r="BI240" i="10"/>
  <c r="BJ240" i="10"/>
  <c r="BK240" i="10"/>
  <c r="BL240" i="10"/>
  <c r="BM240" i="10"/>
  <c r="BN240" i="10"/>
  <c r="BO240" i="10"/>
  <c r="BP240" i="10"/>
  <c r="BQ240" i="10"/>
  <c r="BR240" i="10"/>
  <c r="BS240" i="10"/>
  <c r="BT240" i="10"/>
  <c r="BU240" i="10"/>
  <c r="BA241" i="10"/>
  <c r="BF241" i="10"/>
  <c r="BG241" i="10"/>
  <c r="BI241" i="10"/>
  <c r="BJ241" i="10"/>
  <c r="BK241" i="10"/>
  <c r="BL241" i="10"/>
  <c r="BM241" i="10"/>
  <c r="BN241" i="10"/>
  <c r="BO241" i="10"/>
  <c r="BP241" i="10"/>
  <c r="BQ241" i="10"/>
  <c r="BR241" i="10"/>
  <c r="BT241" i="10"/>
  <c r="BU241" i="10"/>
  <c r="BA242" i="10"/>
  <c r="BF242" i="10"/>
  <c r="BG242" i="10"/>
  <c r="BI242" i="10"/>
  <c r="BJ242" i="10"/>
  <c r="BK242" i="10"/>
  <c r="BL242" i="10"/>
  <c r="BM242" i="10"/>
  <c r="BN242" i="10"/>
  <c r="BO242" i="10"/>
  <c r="BP242" i="10"/>
  <c r="BQ242" i="10"/>
  <c r="BR242" i="10"/>
  <c r="BS242" i="10"/>
  <c r="BT242" i="10"/>
  <c r="BU242" i="10"/>
  <c r="BA243" i="10"/>
  <c r="BF243" i="10"/>
  <c r="BG243" i="10"/>
  <c r="BI243" i="10"/>
  <c r="BJ243" i="10"/>
  <c r="BK243" i="10"/>
  <c r="BL243" i="10"/>
  <c r="BM243" i="10"/>
  <c r="BN243" i="10"/>
  <c r="BO243" i="10"/>
  <c r="BP243" i="10"/>
  <c r="BQ243" i="10"/>
  <c r="BR243" i="10"/>
  <c r="BS243" i="10"/>
  <c r="BT243" i="10"/>
  <c r="BU243" i="10"/>
  <c r="BA244" i="10"/>
  <c r="BF244" i="10"/>
  <c r="BG244" i="10"/>
  <c r="BI244" i="10"/>
  <c r="BJ244" i="10"/>
  <c r="BK244" i="10"/>
  <c r="BL244" i="10"/>
  <c r="BM244" i="10"/>
  <c r="BN244" i="10"/>
  <c r="BO244" i="10"/>
  <c r="BP244" i="10"/>
  <c r="BQ244" i="10"/>
  <c r="BR244" i="10"/>
  <c r="BS244" i="10"/>
  <c r="BT244" i="10"/>
  <c r="BU244" i="10"/>
  <c r="BA245" i="10"/>
  <c r="BF245" i="10"/>
  <c r="BG245" i="10"/>
  <c r="BI245" i="10"/>
  <c r="BJ245" i="10"/>
  <c r="BK245" i="10"/>
  <c r="BL245" i="10"/>
  <c r="BM245" i="10"/>
  <c r="BN245" i="10"/>
  <c r="BO245" i="10"/>
  <c r="BP245" i="10"/>
  <c r="BQ245" i="10"/>
  <c r="BR245" i="10"/>
  <c r="BS245" i="10"/>
  <c r="BT245" i="10"/>
  <c r="BU245" i="10"/>
  <c r="BA246" i="10"/>
  <c r="BF246" i="10"/>
  <c r="BG246" i="10"/>
  <c r="BI246" i="10"/>
  <c r="BJ246" i="10"/>
  <c r="BK246" i="10"/>
  <c r="BL246" i="10"/>
  <c r="BM246" i="10"/>
  <c r="BN246" i="10"/>
  <c r="BO246" i="10"/>
  <c r="BP246" i="10"/>
  <c r="BQ246" i="10"/>
  <c r="BR246" i="10"/>
  <c r="BS246" i="10"/>
  <c r="BT246" i="10"/>
  <c r="BU246" i="10"/>
  <c r="BA247" i="10"/>
  <c r="BF247" i="10"/>
  <c r="BG247" i="10"/>
  <c r="BI247" i="10"/>
  <c r="BJ247" i="10"/>
  <c r="BK247" i="10"/>
  <c r="BL247" i="10"/>
  <c r="BM247" i="10"/>
  <c r="BN247" i="10"/>
  <c r="BO247" i="10"/>
  <c r="BP247" i="10"/>
  <c r="BQ247" i="10"/>
  <c r="BR247" i="10"/>
  <c r="BS247" i="10"/>
  <c r="BT247" i="10"/>
  <c r="BU247" i="10"/>
  <c r="BA248" i="10"/>
  <c r="BF248" i="10"/>
  <c r="BG248" i="10"/>
  <c r="BI248" i="10"/>
  <c r="BJ248" i="10"/>
  <c r="BK248" i="10"/>
  <c r="BL248" i="10"/>
  <c r="BM248" i="10"/>
  <c r="BN248" i="10"/>
  <c r="BO248" i="10"/>
  <c r="BP248" i="10"/>
  <c r="BQ248" i="10"/>
  <c r="BR248" i="10"/>
  <c r="BS248" i="10"/>
  <c r="BT248" i="10"/>
  <c r="BU248" i="10"/>
  <c r="BA249" i="10"/>
  <c r="BF249" i="10"/>
  <c r="BG249" i="10"/>
  <c r="BI249" i="10"/>
  <c r="BJ249" i="10"/>
  <c r="BK249" i="10"/>
  <c r="BL249" i="10"/>
  <c r="BM249" i="10"/>
  <c r="BN249" i="10"/>
  <c r="BO249" i="10"/>
  <c r="BP249" i="10"/>
  <c r="BQ249" i="10"/>
  <c r="BR249" i="10"/>
  <c r="BS249" i="10"/>
  <c r="BT249" i="10"/>
  <c r="BU249" i="10"/>
  <c r="BW246" i="10" l="1"/>
  <c r="BW245" i="10"/>
  <c r="BW248" i="10"/>
  <c r="BW238" i="10"/>
  <c r="BW231" i="10"/>
  <c r="BW241" i="10"/>
  <c r="BW240" i="10"/>
  <c r="BW232" i="10"/>
  <c r="BW239" i="10"/>
  <c r="BW237" i="10"/>
  <c r="BW236" i="10"/>
  <c r="BW234" i="10"/>
  <c r="BW233" i="10"/>
  <c r="BW249" i="10"/>
  <c r="BW242" i="10"/>
  <c r="BW247" i="10"/>
  <c r="BW244" i="10"/>
  <c r="BW235" i="10"/>
  <c r="BW243" i="10"/>
  <c r="L779" i="17" l="1"/>
  <c r="M779" i="17"/>
  <c r="R779" i="17"/>
  <c r="L780" i="17"/>
  <c r="M780" i="17"/>
  <c r="R780" i="17"/>
  <c r="L781" i="17"/>
  <c r="M781" i="17"/>
  <c r="R781" i="17"/>
  <c r="L782" i="17"/>
  <c r="M782" i="17"/>
  <c r="R782" i="17"/>
  <c r="L783" i="17"/>
  <c r="M783" i="17"/>
  <c r="R783" i="17"/>
  <c r="L784" i="17"/>
  <c r="M784" i="17"/>
  <c r="R784" i="17"/>
  <c r="L785" i="17"/>
  <c r="M785" i="17"/>
  <c r="R785" i="17"/>
  <c r="L786" i="17"/>
  <c r="M786" i="17"/>
  <c r="R786" i="17"/>
  <c r="L787" i="17"/>
  <c r="M787" i="17"/>
  <c r="R787" i="17"/>
  <c r="L788" i="17"/>
  <c r="M788" i="17"/>
  <c r="R788" i="17"/>
  <c r="L789" i="17"/>
  <c r="M789" i="17"/>
  <c r="R789" i="17"/>
  <c r="L790" i="17"/>
  <c r="M790" i="17"/>
  <c r="R790" i="17"/>
  <c r="L791" i="17"/>
  <c r="M791" i="17"/>
  <c r="R791" i="17"/>
  <c r="L792" i="17"/>
  <c r="M792" i="17"/>
  <c r="R792" i="17"/>
  <c r="L793" i="17"/>
  <c r="M793" i="17"/>
  <c r="R793" i="17"/>
  <c r="L794" i="17"/>
  <c r="M794" i="17"/>
  <c r="R794" i="17"/>
  <c r="L795" i="17"/>
  <c r="M795" i="17"/>
  <c r="R795" i="17"/>
  <c r="L796" i="17"/>
  <c r="M796" i="17"/>
  <c r="R796" i="17"/>
  <c r="L797" i="17"/>
  <c r="M797" i="17"/>
  <c r="R797" i="17"/>
  <c r="L798" i="17"/>
  <c r="M798" i="17"/>
  <c r="R798" i="17"/>
  <c r="L799" i="17"/>
  <c r="M799" i="17"/>
  <c r="R799" i="17"/>
  <c r="L800" i="17"/>
  <c r="M800" i="17"/>
  <c r="R800" i="17"/>
  <c r="L801" i="17"/>
  <c r="M801" i="17"/>
  <c r="R801" i="17"/>
  <c r="L802" i="17"/>
  <c r="M802" i="17"/>
  <c r="R802" i="17"/>
  <c r="L803" i="17"/>
  <c r="M803" i="17"/>
  <c r="R803" i="17"/>
  <c r="L804" i="17"/>
  <c r="M804" i="17"/>
  <c r="R804" i="17"/>
  <c r="L805" i="17"/>
  <c r="M805" i="17"/>
  <c r="R805" i="17"/>
  <c r="L806" i="17"/>
  <c r="M806" i="17"/>
  <c r="R806" i="17"/>
  <c r="L807" i="17"/>
  <c r="M807" i="17"/>
  <c r="R807" i="17"/>
  <c r="L808" i="17"/>
  <c r="M808" i="17"/>
  <c r="R808" i="17"/>
  <c r="L809" i="17"/>
  <c r="M809" i="17"/>
  <c r="R809" i="17"/>
  <c r="L810" i="17"/>
  <c r="M810" i="17"/>
  <c r="R810" i="17"/>
  <c r="L811" i="17"/>
  <c r="M811" i="17"/>
  <c r="R811" i="17"/>
  <c r="L812" i="17"/>
  <c r="M812" i="17"/>
  <c r="R812" i="17"/>
  <c r="L813" i="17"/>
  <c r="M813" i="17"/>
  <c r="R813" i="17"/>
  <c r="L814" i="17"/>
  <c r="M814" i="17"/>
  <c r="R814" i="17"/>
  <c r="L815" i="17"/>
  <c r="M815" i="17"/>
  <c r="R815" i="17"/>
  <c r="L816" i="17"/>
  <c r="M816" i="17"/>
  <c r="R816" i="17"/>
  <c r="L817" i="17"/>
  <c r="M817" i="17"/>
  <c r="R817" i="17"/>
  <c r="L818" i="17"/>
  <c r="M818" i="17"/>
  <c r="R818" i="17"/>
  <c r="L819" i="17"/>
  <c r="M819" i="17"/>
  <c r="R819" i="17"/>
  <c r="L820" i="17"/>
  <c r="M820" i="17"/>
  <c r="R820" i="17"/>
  <c r="L821" i="17"/>
  <c r="M821" i="17"/>
  <c r="R821" i="17"/>
  <c r="L822" i="17"/>
  <c r="M822" i="17"/>
  <c r="R822" i="17"/>
  <c r="L823" i="17"/>
  <c r="M823" i="17"/>
  <c r="R823" i="17"/>
  <c r="L824" i="17"/>
  <c r="M824" i="17"/>
  <c r="R824" i="17"/>
  <c r="L825" i="17"/>
  <c r="M825" i="17"/>
  <c r="R825" i="17"/>
  <c r="L826" i="17"/>
  <c r="M826" i="17"/>
  <c r="R826" i="17"/>
  <c r="L827" i="17"/>
  <c r="M827" i="17"/>
  <c r="R827" i="17"/>
  <c r="L828" i="17"/>
  <c r="M828" i="17"/>
  <c r="R828" i="17"/>
  <c r="L829" i="17"/>
  <c r="M829" i="17"/>
  <c r="R829" i="17"/>
  <c r="L830" i="17"/>
  <c r="M830" i="17"/>
  <c r="R830" i="17"/>
  <c r="L831" i="17"/>
  <c r="M831" i="17"/>
  <c r="R831" i="17"/>
  <c r="L832" i="17"/>
  <c r="M832" i="17"/>
  <c r="R832" i="17"/>
  <c r="L833" i="17"/>
  <c r="M833" i="17"/>
  <c r="R833" i="17"/>
  <c r="L834" i="17"/>
  <c r="M834" i="17"/>
  <c r="R834" i="17"/>
  <c r="L835" i="17"/>
  <c r="M835" i="17"/>
  <c r="R835" i="17"/>
  <c r="L836" i="17"/>
  <c r="M836" i="17"/>
  <c r="R836" i="17"/>
  <c r="L837" i="17"/>
  <c r="M837" i="17"/>
  <c r="R837" i="17"/>
  <c r="L838" i="17"/>
  <c r="M838" i="17"/>
  <c r="R838" i="17"/>
  <c r="L839" i="17"/>
  <c r="M839" i="17"/>
  <c r="R839" i="17"/>
  <c r="L840" i="17"/>
  <c r="M840" i="17"/>
  <c r="R840" i="17"/>
  <c r="L841" i="17"/>
  <c r="M841" i="17"/>
  <c r="R841" i="17"/>
  <c r="L842" i="17"/>
  <c r="M842" i="17"/>
  <c r="R842" i="17"/>
  <c r="L843" i="17"/>
  <c r="M843" i="17"/>
  <c r="R843" i="17"/>
  <c r="L844" i="17"/>
  <c r="M844" i="17"/>
  <c r="R844" i="17"/>
  <c r="L845" i="17"/>
  <c r="M845" i="17"/>
  <c r="R845" i="17"/>
  <c r="L846" i="17"/>
  <c r="M846" i="17"/>
  <c r="R846" i="17"/>
  <c r="L847" i="17"/>
  <c r="M847" i="17"/>
  <c r="R847" i="17"/>
  <c r="L848" i="17"/>
  <c r="M848" i="17"/>
  <c r="R848" i="17"/>
  <c r="L849" i="17"/>
  <c r="M849" i="17"/>
  <c r="R849" i="17"/>
  <c r="L850" i="17"/>
  <c r="M850" i="17"/>
  <c r="R850" i="17"/>
  <c r="BA205" i="10"/>
  <c r="BF205" i="10"/>
  <c r="BG205" i="10"/>
  <c r="BI205" i="10"/>
  <c r="BJ205" i="10"/>
  <c r="BK205" i="10"/>
  <c r="BL205" i="10"/>
  <c r="BM205" i="10"/>
  <c r="BN205" i="10"/>
  <c r="BO205" i="10"/>
  <c r="BP205" i="10"/>
  <c r="BQ205" i="10"/>
  <c r="BR205" i="10"/>
  <c r="BT205" i="10"/>
  <c r="BU205" i="10"/>
  <c r="BA206" i="10"/>
  <c r="BF206" i="10"/>
  <c r="BG206" i="10"/>
  <c r="BI206" i="10"/>
  <c r="BJ206" i="10"/>
  <c r="BK206" i="10"/>
  <c r="BL206" i="10"/>
  <c r="BM206" i="10"/>
  <c r="BN206" i="10"/>
  <c r="BO206" i="10"/>
  <c r="BP206" i="10"/>
  <c r="BQ206" i="10"/>
  <c r="BR206" i="10"/>
  <c r="BT206" i="10"/>
  <c r="BU206" i="10"/>
  <c r="BA207" i="10"/>
  <c r="BF207" i="10"/>
  <c r="BG207" i="10"/>
  <c r="BI207" i="10"/>
  <c r="BJ207" i="10"/>
  <c r="BK207" i="10"/>
  <c r="BL207" i="10"/>
  <c r="BM207" i="10"/>
  <c r="BN207" i="10"/>
  <c r="BO207" i="10"/>
  <c r="BP207" i="10"/>
  <c r="BQ207" i="10"/>
  <c r="BR207" i="10"/>
  <c r="BT207" i="10"/>
  <c r="BU207" i="10"/>
  <c r="BA208" i="10"/>
  <c r="BF208" i="10"/>
  <c r="BG208" i="10"/>
  <c r="BI208" i="10"/>
  <c r="BJ208" i="10"/>
  <c r="BK208" i="10"/>
  <c r="BL208" i="10"/>
  <c r="BM208" i="10"/>
  <c r="BN208" i="10"/>
  <c r="BO208" i="10"/>
  <c r="BP208" i="10"/>
  <c r="BQ208" i="10"/>
  <c r="BR208" i="10"/>
  <c r="BT208" i="10"/>
  <c r="BU208" i="10"/>
  <c r="BA209" i="10"/>
  <c r="BF209" i="10"/>
  <c r="BG209" i="10"/>
  <c r="BI209" i="10"/>
  <c r="BJ209" i="10"/>
  <c r="BK209" i="10"/>
  <c r="BL209" i="10"/>
  <c r="BM209" i="10"/>
  <c r="BN209" i="10"/>
  <c r="BO209" i="10"/>
  <c r="BP209" i="10"/>
  <c r="BQ209" i="10"/>
  <c r="BR209" i="10"/>
  <c r="BT209" i="10"/>
  <c r="BU209" i="10"/>
  <c r="BA210" i="10"/>
  <c r="BF210" i="10"/>
  <c r="BG210" i="10"/>
  <c r="BI210" i="10"/>
  <c r="BJ210" i="10"/>
  <c r="BK210" i="10"/>
  <c r="BL210" i="10"/>
  <c r="BM210" i="10"/>
  <c r="BN210" i="10"/>
  <c r="BO210" i="10"/>
  <c r="BP210" i="10"/>
  <c r="BQ210" i="10"/>
  <c r="BR210" i="10"/>
  <c r="BT210" i="10"/>
  <c r="BU210" i="10"/>
  <c r="BA211" i="10"/>
  <c r="BF211" i="10"/>
  <c r="BG211" i="10"/>
  <c r="BI211" i="10"/>
  <c r="BJ211" i="10"/>
  <c r="BK211" i="10"/>
  <c r="BL211" i="10"/>
  <c r="BM211" i="10"/>
  <c r="BN211" i="10"/>
  <c r="BO211" i="10"/>
  <c r="BP211" i="10"/>
  <c r="BQ211" i="10"/>
  <c r="BR211" i="10"/>
  <c r="BT211" i="10"/>
  <c r="BU211" i="10"/>
  <c r="BA212" i="10"/>
  <c r="BF212" i="10"/>
  <c r="BG212" i="10"/>
  <c r="BI212" i="10"/>
  <c r="BJ212" i="10"/>
  <c r="BK212" i="10"/>
  <c r="BL212" i="10"/>
  <c r="BM212" i="10"/>
  <c r="BN212" i="10"/>
  <c r="BO212" i="10"/>
  <c r="BP212" i="10"/>
  <c r="BQ212" i="10"/>
  <c r="BR212" i="10"/>
  <c r="BT212" i="10"/>
  <c r="BU212" i="10"/>
  <c r="BA213" i="10"/>
  <c r="BF213" i="10"/>
  <c r="BG213" i="10"/>
  <c r="BI213" i="10"/>
  <c r="BJ213" i="10"/>
  <c r="BK213" i="10"/>
  <c r="BL213" i="10"/>
  <c r="BM213" i="10"/>
  <c r="BN213" i="10"/>
  <c r="BO213" i="10"/>
  <c r="BP213" i="10"/>
  <c r="BQ213" i="10"/>
  <c r="BR213" i="10"/>
  <c r="BT213" i="10"/>
  <c r="BU213" i="10"/>
  <c r="BA214" i="10"/>
  <c r="BF214" i="10"/>
  <c r="BG214" i="10"/>
  <c r="BI214" i="10"/>
  <c r="BJ214" i="10"/>
  <c r="BK214" i="10"/>
  <c r="BL214" i="10"/>
  <c r="BM214" i="10"/>
  <c r="BN214" i="10"/>
  <c r="BO214" i="10"/>
  <c r="BP214" i="10"/>
  <c r="BQ214" i="10"/>
  <c r="BR214" i="10"/>
  <c r="BT214" i="10"/>
  <c r="BU214" i="10"/>
  <c r="BA215" i="10"/>
  <c r="BF215" i="10"/>
  <c r="BG215" i="10"/>
  <c r="BI215" i="10"/>
  <c r="BJ215" i="10"/>
  <c r="BK215" i="10"/>
  <c r="BL215" i="10"/>
  <c r="BM215" i="10"/>
  <c r="BN215" i="10"/>
  <c r="BO215" i="10"/>
  <c r="BP215" i="10"/>
  <c r="BQ215" i="10"/>
  <c r="BR215" i="10"/>
  <c r="BT215" i="10"/>
  <c r="BU215" i="10"/>
  <c r="BA216" i="10"/>
  <c r="BF216" i="10"/>
  <c r="BG216" i="10"/>
  <c r="BI216" i="10"/>
  <c r="BJ216" i="10"/>
  <c r="BK216" i="10"/>
  <c r="BL216" i="10"/>
  <c r="BM216" i="10"/>
  <c r="BN216" i="10"/>
  <c r="BO216" i="10"/>
  <c r="BP216" i="10"/>
  <c r="BQ216" i="10"/>
  <c r="BR216" i="10"/>
  <c r="BT216" i="10"/>
  <c r="BU216" i="10"/>
  <c r="BA217" i="10"/>
  <c r="BF217" i="10"/>
  <c r="BG217" i="10"/>
  <c r="BI217" i="10"/>
  <c r="BJ217" i="10"/>
  <c r="BK217" i="10"/>
  <c r="BL217" i="10"/>
  <c r="BM217" i="10"/>
  <c r="BN217" i="10"/>
  <c r="BO217" i="10"/>
  <c r="BP217" i="10"/>
  <c r="BQ217" i="10"/>
  <c r="BR217" i="10"/>
  <c r="BT217" i="10"/>
  <c r="BU217" i="10"/>
  <c r="BA218" i="10"/>
  <c r="BF218" i="10"/>
  <c r="BG218" i="10"/>
  <c r="BI218" i="10"/>
  <c r="BJ218" i="10"/>
  <c r="BK218" i="10"/>
  <c r="BL218" i="10"/>
  <c r="BM218" i="10"/>
  <c r="BN218" i="10"/>
  <c r="BO218" i="10"/>
  <c r="BP218" i="10"/>
  <c r="BQ218" i="10"/>
  <c r="BR218" i="10"/>
  <c r="BT218" i="10"/>
  <c r="BU218" i="10"/>
  <c r="BA219" i="10"/>
  <c r="BF219" i="10"/>
  <c r="BG219" i="10"/>
  <c r="BI219" i="10"/>
  <c r="BJ219" i="10"/>
  <c r="BK219" i="10"/>
  <c r="BL219" i="10"/>
  <c r="BM219" i="10"/>
  <c r="BN219" i="10"/>
  <c r="BO219" i="10"/>
  <c r="BP219" i="10"/>
  <c r="BQ219" i="10"/>
  <c r="BR219" i="10"/>
  <c r="BT219" i="10"/>
  <c r="BU219" i="10"/>
  <c r="BA220" i="10"/>
  <c r="BF220" i="10"/>
  <c r="BG220" i="10"/>
  <c r="BI220" i="10"/>
  <c r="BJ220" i="10"/>
  <c r="BK220" i="10"/>
  <c r="BL220" i="10"/>
  <c r="BM220" i="10"/>
  <c r="BN220" i="10"/>
  <c r="BO220" i="10"/>
  <c r="BP220" i="10"/>
  <c r="BQ220" i="10"/>
  <c r="BR220" i="10"/>
  <c r="BT220" i="10"/>
  <c r="BU220" i="10"/>
  <c r="BA221" i="10"/>
  <c r="BF221" i="10"/>
  <c r="BG221" i="10"/>
  <c r="BI221" i="10"/>
  <c r="BJ221" i="10"/>
  <c r="BK221" i="10"/>
  <c r="BL221" i="10"/>
  <c r="BM221" i="10"/>
  <c r="BN221" i="10"/>
  <c r="BO221" i="10"/>
  <c r="BP221" i="10"/>
  <c r="BQ221" i="10"/>
  <c r="BR221" i="10"/>
  <c r="BT221" i="10"/>
  <c r="BU221" i="10"/>
  <c r="BA222" i="10"/>
  <c r="BF222" i="10"/>
  <c r="BG222" i="10"/>
  <c r="BI222" i="10"/>
  <c r="BJ222" i="10"/>
  <c r="BK222" i="10"/>
  <c r="BL222" i="10"/>
  <c r="BM222" i="10"/>
  <c r="BN222" i="10"/>
  <c r="BO222" i="10"/>
  <c r="BP222" i="10"/>
  <c r="BQ222" i="10"/>
  <c r="BR222" i="10"/>
  <c r="BT222" i="10"/>
  <c r="BU222" i="10"/>
  <c r="BA223" i="10"/>
  <c r="BF223" i="10"/>
  <c r="BG223" i="10"/>
  <c r="BI223" i="10"/>
  <c r="BJ223" i="10"/>
  <c r="BK223" i="10"/>
  <c r="BL223" i="10"/>
  <c r="BM223" i="10"/>
  <c r="BN223" i="10"/>
  <c r="BO223" i="10"/>
  <c r="BP223" i="10"/>
  <c r="BQ223" i="10"/>
  <c r="BR223" i="10"/>
  <c r="BT223" i="10"/>
  <c r="BU223" i="10"/>
  <c r="BA224" i="10"/>
  <c r="BF224" i="10"/>
  <c r="BG224" i="10"/>
  <c r="BI224" i="10"/>
  <c r="BJ224" i="10"/>
  <c r="BK224" i="10"/>
  <c r="BL224" i="10"/>
  <c r="BM224" i="10"/>
  <c r="BN224" i="10"/>
  <c r="BO224" i="10"/>
  <c r="BP224" i="10"/>
  <c r="BQ224" i="10"/>
  <c r="BR224" i="10"/>
  <c r="BT224" i="10"/>
  <c r="BU224" i="10"/>
  <c r="BA225" i="10"/>
  <c r="BF225" i="10"/>
  <c r="BG225" i="10"/>
  <c r="BI225" i="10"/>
  <c r="BJ225" i="10"/>
  <c r="BK225" i="10"/>
  <c r="BL225" i="10"/>
  <c r="BM225" i="10"/>
  <c r="BN225" i="10"/>
  <c r="BO225" i="10"/>
  <c r="BP225" i="10"/>
  <c r="BQ225" i="10"/>
  <c r="BR225" i="10"/>
  <c r="BT225" i="10"/>
  <c r="BU225" i="10"/>
  <c r="BA226" i="10"/>
  <c r="BF226" i="10"/>
  <c r="BG226" i="10"/>
  <c r="BI226" i="10"/>
  <c r="BJ226" i="10"/>
  <c r="BK226" i="10"/>
  <c r="BL226" i="10"/>
  <c r="BM226" i="10"/>
  <c r="BN226" i="10"/>
  <c r="BO226" i="10"/>
  <c r="BP226" i="10"/>
  <c r="BQ226" i="10"/>
  <c r="BR226" i="10"/>
  <c r="BT226" i="10"/>
  <c r="BU226" i="10"/>
  <c r="BA227" i="10"/>
  <c r="BF227" i="10"/>
  <c r="BG227" i="10"/>
  <c r="BI227" i="10"/>
  <c r="BJ227" i="10"/>
  <c r="BK227" i="10"/>
  <c r="BL227" i="10"/>
  <c r="BM227" i="10"/>
  <c r="BN227" i="10"/>
  <c r="BO227" i="10"/>
  <c r="BP227" i="10"/>
  <c r="BQ227" i="10"/>
  <c r="BR227" i="10"/>
  <c r="BT227" i="10"/>
  <c r="BU227" i="10"/>
  <c r="BA228" i="10"/>
  <c r="BF228" i="10"/>
  <c r="BG228" i="10"/>
  <c r="BI228" i="10"/>
  <c r="BJ228" i="10"/>
  <c r="BK228" i="10"/>
  <c r="BL228" i="10"/>
  <c r="BM228" i="10"/>
  <c r="BN228" i="10"/>
  <c r="BO228" i="10"/>
  <c r="BP228" i="10"/>
  <c r="BQ228" i="10"/>
  <c r="BR228" i="10"/>
  <c r="BT228" i="10"/>
  <c r="BU228" i="10"/>
  <c r="BA229" i="10"/>
  <c r="BF229" i="10"/>
  <c r="BG229" i="10"/>
  <c r="BI229" i="10"/>
  <c r="BJ229" i="10"/>
  <c r="BK229" i="10"/>
  <c r="BL229" i="10"/>
  <c r="BM229" i="10"/>
  <c r="BN229" i="10"/>
  <c r="BO229" i="10"/>
  <c r="BP229" i="10"/>
  <c r="BQ229" i="10"/>
  <c r="BR229" i="10"/>
  <c r="BT229" i="10"/>
  <c r="BU229" i="10"/>
  <c r="BA230" i="10"/>
  <c r="BF230" i="10"/>
  <c r="BG230" i="10"/>
  <c r="BI230" i="10"/>
  <c r="BJ230" i="10"/>
  <c r="BK230" i="10"/>
  <c r="BL230" i="10"/>
  <c r="BM230" i="10"/>
  <c r="BN230" i="10"/>
  <c r="BO230" i="10"/>
  <c r="BP230" i="10"/>
  <c r="BQ230" i="10"/>
  <c r="BR230" i="10"/>
  <c r="BT230" i="10"/>
  <c r="BU230" i="10"/>
  <c r="N788" i="17" l="1"/>
  <c r="O788" i="17" s="1"/>
  <c r="N789" i="17"/>
  <c r="P789" i="17" s="1"/>
  <c r="BW227" i="10"/>
  <c r="BW221" i="10"/>
  <c r="BW228" i="10"/>
  <c r="BW222" i="10"/>
  <c r="N841" i="17"/>
  <c r="P841" i="17" s="1"/>
  <c r="N846" i="17"/>
  <c r="O846" i="17" s="1"/>
  <c r="N840" i="17"/>
  <c r="O840" i="17" s="1"/>
  <c r="N800" i="17"/>
  <c r="O800" i="17" s="1"/>
  <c r="N796" i="17"/>
  <c r="O796" i="17" s="1"/>
  <c r="N832" i="17"/>
  <c r="O832" i="17" s="1"/>
  <c r="N794" i="17"/>
  <c r="P794" i="17" s="1"/>
  <c r="N799" i="17"/>
  <c r="O799" i="17" s="1"/>
  <c r="N847" i="17"/>
  <c r="P847" i="17" s="1"/>
  <c r="BW220" i="10"/>
  <c r="BW219" i="10"/>
  <c r="BW217" i="10"/>
  <c r="BW216" i="10"/>
  <c r="BW215" i="10"/>
  <c r="N837" i="17"/>
  <c r="O837" i="17" s="1"/>
  <c r="N831" i="17"/>
  <c r="O831" i="17" s="1"/>
  <c r="N830" i="17"/>
  <c r="P830" i="17" s="1"/>
  <c r="N826" i="17"/>
  <c r="P826" i="17" s="1"/>
  <c r="N791" i="17"/>
  <c r="O791" i="17" s="1"/>
  <c r="N819" i="17"/>
  <c r="P819" i="17" s="1"/>
  <c r="N795" i="17"/>
  <c r="O795" i="17" s="1"/>
  <c r="N833" i="17"/>
  <c r="P833" i="17" s="1"/>
  <c r="N816" i="17"/>
  <c r="O816" i="17" s="1"/>
  <c r="N793" i="17"/>
  <c r="P793" i="17" s="1"/>
  <c r="N786" i="17"/>
  <c r="P786" i="17" s="1"/>
  <c r="N838" i="17"/>
  <c r="P838" i="17" s="1"/>
  <c r="N835" i="17"/>
  <c r="P835" i="17" s="1"/>
  <c r="N803" i="17"/>
  <c r="O803" i="17" s="1"/>
  <c r="N829" i="17"/>
  <c r="P829" i="17" s="1"/>
  <c r="N825" i="17"/>
  <c r="P825" i="17" s="1"/>
  <c r="N822" i="17"/>
  <c r="P822" i="17" s="1"/>
  <c r="N849" i="17"/>
  <c r="O849" i="17" s="1"/>
  <c r="N834" i="17"/>
  <c r="O834" i="17" s="1"/>
  <c r="N783" i="17"/>
  <c r="P783" i="17" s="1"/>
  <c r="N845" i="17"/>
  <c r="O845" i="17" s="1"/>
  <c r="N821" i="17"/>
  <c r="O821" i="17" s="1"/>
  <c r="N817" i="17"/>
  <c r="O817" i="17" s="1"/>
  <c r="N801" i="17"/>
  <c r="P801" i="17" s="1"/>
  <c r="BW230" i="10"/>
  <c r="BW229" i="10"/>
  <c r="N814" i="17"/>
  <c r="O814" i="17" s="1"/>
  <c r="N811" i="17"/>
  <c r="O811" i="17" s="1"/>
  <c r="N805" i="17"/>
  <c r="O805" i="17" s="1"/>
  <c r="N792" i="17"/>
  <c r="P792" i="17" s="1"/>
  <c r="N785" i="17"/>
  <c r="P785" i="17" s="1"/>
  <c r="N782" i="17"/>
  <c r="O782" i="17" s="1"/>
  <c r="N836" i="17"/>
  <c r="P836" i="17" s="1"/>
  <c r="N827" i="17"/>
  <c r="O827" i="17" s="1"/>
  <c r="N804" i="17"/>
  <c r="P804" i="17" s="1"/>
  <c r="N797" i="17"/>
  <c r="P797" i="17" s="1"/>
  <c r="N784" i="17"/>
  <c r="O784" i="17" s="1"/>
  <c r="N787" i="17"/>
  <c r="O787" i="17" s="1"/>
  <c r="BW226" i="10"/>
  <c r="BW225" i="10"/>
  <c r="BW223" i="10"/>
  <c r="BW206" i="10"/>
  <c r="N850" i="17"/>
  <c r="P850" i="17" s="1"/>
  <c r="N813" i="17"/>
  <c r="O813" i="17" s="1"/>
  <c r="N809" i="17"/>
  <c r="O809" i="17" s="1"/>
  <c r="N806" i="17"/>
  <c r="O806" i="17" s="1"/>
  <c r="N843" i="17"/>
  <c r="O843" i="17" s="1"/>
  <c r="N823" i="17"/>
  <c r="O823" i="17" s="1"/>
  <c r="N812" i="17"/>
  <c r="O812" i="17" s="1"/>
  <c r="N807" i="17"/>
  <c r="O807" i="17" s="1"/>
  <c r="N802" i="17"/>
  <c r="P802" i="17" s="1"/>
  <c r="N781" i="17"/>
  <c r="O781" i="17" s="1"/>
  <c r="N779" i="17"/>
  <c r="O779" i="17" s="1"/>
  <c r="N790" i="17"/>
  <c r="O790" i="17" s="1"/>
  <c r="N844" i="17"/>
  <c r="P844" i="17" s="1"/>
  <c r="N842" i="17"/>
  <c r="P842" i="17" s="1"/>
  <c r="N828" i="17"/>
  <c r="O828" i="17" s="1"/>
  <c r="N818" i="17"/>
  <c r="O818" i="17" s="1"/>
  <c r="N780" i="17"/>
  <c r="P780" i="17" s="1"/>
  <c r="N798" i="17"/>
  <c r="P798" i="17" s="1"/>
  <c r="N824" i="17"/>
  <c r="O824" i="17" s="1"/>
  <c r="N820" i="17"/>
  <c r="O820" i="17" s="1"/>
  <c r="N815" i="17"/>
  <c r="P815" i="17" s="1"/>
  <c r="N810" i="17"/>
  <c r="O810" i="17" s="1"/>
  <c r="N808" i="17"/>
  <c r="O808" i="17" s="1"/>
  <c r="BW214" i="10"/>
  <c r="BW212" i="10"/>
  <c r="BW209" i="10"/>
  <c r="BW207" i="10"/>
  <c r="BW205" i="10"/>
  <c r="N848" i="17"/>
  <c r="N839" i="17"/>
  <c r="BW224" i="10"/>
  <c r="BW218" i="10"/>
  <c r="BW213" i="10"/>
  <c r="BW211" i="10"/>
  <c r="BW210" i="10"/>
  <c r="BW208" i="10"/>
  <c r="L691" i="17"/>
  <c r="M691" i="17"/>
  <c r="R691" i="17"/>
  <c r="L692" i="17"/>
  <c r="M692" i="17"/>
  <c r="R692" i="17"/>
  <c r="L693" i="17"/>
  <c r="M693" i="17"/>
  <c r="R693" i="17"/>
  <c r="L694" i="17"/>
  <c r="M694" i="17"/>
  <c r="R694" i="17"/>
  <c r="L695" i="17"/>
  <c r="M695" i="17"/>
  <c r="R695" i="17"/>
  <c r="L696" i="17"/>
  <c r="M696" i="17"/>
  <c r="R696" i="17"/>
  <c r="L697" i="17"/>
  <c r="M697" i="17"/>
  <c r="R697" i="17"/>
  <c r="L698" i="17"/>
  <c r="M698" i="17"/>
  <c r="R698" i="17"/>
  <c r="L699" i="17"/>
  <c r="M699" i="17"/>
  <c r="R699" i="17"/>
  <c r="L700" i="17"/>
  <c r="M700" i="17"/>
  <c r="R700" i="17"/>
  <c r="L701" i="17"/>
  <c r="M701" i="17"/>
  <c r="R701" i="17"/>
  <c r="L702" i="17"/>
  <c r="M702" i="17"/>
  <c r="R702" i="17"/>
  <c r="L703" i="17"/>
  <c r="M703" i="17"/>
  <c r="R703" i="17"/>
  <c r="L704" i="17"/>
  <c r="M704" i="17"/>
  <c r="R704" i="17"/>
  <c r="L705" i="17"/>
  <c r="M705" i="17"/>
  <c r="R705" i="17"/>
  <c r="L706" i="17"/>
  <c r="M706" i="17"/>
  <c r="R706" i="17"/>
  <c r="L707" i="17"/>
  <c r="M707" i="17"/>
  <c r="R707" i="17"/>
  <c r="L708" i="17"/>
  <c r="M708" i="17"/>
  <c r="R708" i="17"/>
  <c r="L709" i="17"/>
  <c r="M709" i="17"/>
  <c r="R709" i="17"/>
  <c r="L710" i="17"/>
  <c r="M710" i="17"/>
  <c r="R710" i="17"/>
  <c r="L711" i="17"/>
  <c r="M711" i="17"/>
  <c r="R711" i="17"/>
  <c r="L712" i="17"/>
  <c r="M712" i="17"/>
  <c r="R712" i="17"/>
  <c r="L713" i="17"/>
  <c r="M713" i="17"/>
  <c r="R713" i="17"/>
  <c r="L714" i="17"/>
  <c r="M714" i="17"/>
  <c r="R714" i="17"/>
  <c r="L715" i="17"/>
  <c r="M715" i="17"/>
  <c r="R715" i="17"/>
  <c r="L716" i="17"/>
  <c r="M716" i="17"/>
  <c r="R716" i="17"/>
  <c r="L717" i="17"/>
  <c r="M717" i="17"/>
  <c r="R717" i="17"/>
  <c r="L718" i="17"/>
  <c r="M718" i="17"/>
  <c r="R718" i="17"/>
  <c r="L719" i="17"/>
  <c r="M719" i="17"/>
  <c r="R719" i="17"/>
  <c r="L720" i="17"/>
  <c r="M720" i="17"/>
  <c r="R720" i="17"/>
  <c r="L721" i="17"/>
  <c r="M721" i="17"/>
  <c r="R721" i="17"/>
  <c r="L722" i="17"/>
  <c r="M722" i="17"/>
  <c r="R722" i="17"/>
  <c r="L723" i="17"/>
  <c r="M723" i="17"/>
  <c r="R723" i="17"/>
  <c r="L724" i="17"/>
  <c r="M724" i="17"/>
  <c r="R724" i="17"/>
  <c r="L725" i="17"/>
  <c r="M725" i="17"/>
  <c r="R725" i="17"/>
  <c r="L726" i="17"/>
  <c r="M726" i="17"/>
  <c r="R726" i="17"/>
  <c r="L727" i="17"/>
  <c r="M727" i="17"/>
  <c r="R727" i="17"/>
  <c r="L728" i="17"/>
  <c r="M728" i="17"/>
  <c r="R728" i="17"/>
  <c r="L729" i="17"/>
  <c r="M729" i="17"/>
  <c r="R729" i="17"/>
  <c r="L730" i="17"/>
  <c r="M730" i="17"/>
  <c r="R730" i="17"/>
  <c r="L731" i="17"/>
  <c r="M731" i="17"/>
  <c r="R731" i="17"/>
  <c r="L732" i="17"/>
  <c r="M732" i="17"/>
  <c r="R732" i="17"/>
  <c r="L733" i="17"/>
  <c r="M733" i="17"/>
  <c r="R733" i="17"/>
  <c r="L734" i="17"/>
  <c r="M734" i="17"/>
  <c r="R734" i="17"/>
  <c r="L735" i="17"/>
  <c r="M735" i="17"/>
  <c r="R735" i="17"/>
  <c r="L736" i="17"/>
  <c r="M736" i="17"/>
  <c r="R736" i="17"/>
  <c r="L737" i="17"/>
  <c r="M737" i="17"/>
  <c r="R737" i="17"/>
  <c r="L738" i="17"/>
  <c r="M738" i="17"/>
  <c r="R738" i="17"/>
  <c r="L739" i="17"/>
  <c r="M739" i="17"/>
  <c r="R739" i="17"/>
  <c r="L740" i="17"/>
  <c r="M740" i="17"/>
  <c r="R740" i="17"/>
  <c r="L741" i="17"/>
  <c r="M741" i="17"/>
  <c r="R741" i="17"/>
  <c r="L742" i="17"/>
  <c r="M742" i="17"/>
  <c r="R742" i="17"/>
  <c r="L743" i="17"/>
  <c r="M743" i="17"/>
  <c r="R743" i="17"/>
  <c r="L744" i="17"/>
  <c r="M744" i="17"/>
  <c r="R744" i="17"/>
  <c r="L745" i="17"/>
  <c r="M745" i="17"/>
  <c r="R745" i="17"/>
  <c r="L746" i="17"/>
  <c r="M746" i="17"/>
  <c r="R746" i="17"/>
  <c r="L747" i="17"/>
  <c r="M747" i="17"/>
  <c r="R747" i="17"/>
  <c r="L748" i="17"/>
  <c r="M748" i="17"/>
  <c r="R748" i="17"/>
  <c r="L749" i="17"/>
  <c r="M749" i="17"/>
  <c r="R749" i="17"/>
  <c r="L750" i="17"/>
  <c r="M750" i="17"/>
  <c r="R750" i="17"/>
  <c r="L751" i="17"/>
  <c r="M751" i="17"/>
  <c r="R751" i="17"/>
  <c r="L752" i="17"/>
  <c r="M752" i="17"/>
  <c r="R752" i="17"/>
  <c r="L753" i="17"/>
  <c r="M753" i="17"/>
  <c r="R753" i="17"/>
  <c r="L754" i="17"/>
  <c r="M754" i="17"/>
  <c r="R754" i="17"/>
  <c r="L755" i="17"/>
  <c r="M755" i="17"/>
  <c r="R755" i="17"/>
  <c r="L756" i="17"/>
  <c r="M756" i="17"/>
  <c r="R756" i="17"/>
  <c r="L757" i="17"/>
  <c r="M757" i="17"/>
  <c r="R757" i="17"/>
  <c r="L758" i="17"/>
  <c r="M758" i="17"/>
  <c r="R758" i="17"/>
  <c r="L759" i="17"/>
  <c r="M759" i="17"/>
  <c r="R759" i="17"/>
  <c r="L760" i="17"/>
  <c r="M760" i="17"/>
  <c r="R760" i="17"/>
  <c r="L761" i="17"/>
  <c r="M761" i="17"/>
  <c r="R761" i="17"/>
  <c r="L762" i="17"/>
  <c r="M762" i="17"/>
  <c r="R762" i="17"/>
  <c r="L763" i="17"/>
  <c r="M763" i="17"/>
  <c r="R763" i="17"/>
  <c r="L764" i="17"/>
  <c r="M764" i="17"/>
  <c r="R764" i="17"/>
  <c r="L765" i="17"/>
  <c r="M765" i="17"/>
  <c r="R765" i="17"/>
  <c r="L766" i="17"/>
  <c r="M766" i="17"/>
  <c r="R766" i="17"/>
  <c r="L767" i="17"/>
  <c r="M767" i="17"/>
  <c r="R767" i="17"/>
  <c r="L768" i="17"/>
  <c r="M768" i="17"/>
  <c r="R768" i="17"/>
  <c r="L769" i="17"/>
  <c r="M769" i="17"/>
  <c r="R769" i="17"/>
  <c r="L770" i="17"/>
  <c r="M770" i="17"/>
  <c r="R770" i="17"/>
  <c r="L771" i="17"/>
  <c r="M771" i="17"/>
  <c r="R771" i="17"/>
  <c r="L772" i="17"/>
  <c r="M772" i="17"/>
  <c r="R772" i="17"/>
  <c r="L773" i="17"/>
  <c r="M773" i="17"/>
  <c r="R773" i="17"/>
  <c r="L774" i="17"/>
  <c r="M774" i="17"/>
  <c r="R774" i="17"/>
  <c r="L775" i="17"/>
  <c r="M775" i="17"/>
  <c r="R775" i="17"/>
  <c r="L776" i="17"/>
  <c r="M776" i="17"/>
  <c r="R776" i="17"/>
  <c r="L777" i="17"/>
  <c r="M777" i="17"/>
  <c r="R777" i="17"/>
  <c r="L778" i="17"/>
  <c r="M778" i="17"/>
  <c r="R778" i="17"/>
  <c r="BA176" i="10"/>
  <c r="BF176" i="10"/>
  <c r="BG176" i="10"/>
  <c r="BI176" i="10"/>
  <c r="BJ176" i="10"/>
  <c r="BK176" i="10"/>
  <c r="BL176" i="10"/>
  <c r="BM176" i="10"/>
  <c r="BN176" i="10"/>
  <c r="BO176" i="10"/>
  <c r="BP176" i="10"/>
  <c r="BQ176" i="10"/>
  <c r="BR176" i="10"/>
  <c r="BT176" i="10"/>
  <c r="BU176" i="10"/>
  <c r="BA177" i="10"/>
  <c r="BF177" i="10"/>
  <c r="BG177" i="10"/>
  <c r="BI177" i="10"/>
  <c r="BJ177" i="10"/>
  <c r="BK177" i="10"/>
  <c r="BL177" i="10"/>
  <c r="BM177" i="10"/>
  <c r="BN177" i="10"/>
  <c r="BO177" i="10"/>
  <c r="BP177" i="10"/>
  <c r="BQ177" i="10"/>
  <c r="BR177" i="10"/>
  <c r="BT177" i="10"/>
  <c r="BU177" i="10"/>
  <c r="BA178" i="10"/>
  <c r="BF178" i="10"/>
  <c r="BG178" i="10"/>
  <c r="BI178" i="10"/>
  <c r="BJ178" i="10"/>
  <c r="BK178" i="10"/>
  <c r="BL178" i="10"/>
  <c r="BM178" i="10"/>
  <c r="BN178" i="10"/>
  <c r="BO178" i="10"/>
  <c r="BP178" i="10"/>
  <c r="BQ178" i="10"/>
  <c r="BR178" i="10"/>
  <c r="BT178" i="10"/>
  <c r="BU178" i="10"/>
  <c r="BA179" i="10"/>
  <c r="BF179" i="10"/>
  <c r="BG179" i="10"/>
  <c r="BI179" i="10"/>
  <c r="BJ179" i="10"/>
  <c r="BK179" i="10"/>
  <c r="BL179" i="10"/>
  <c r="BM179" i="10"/>
  <c r="BN179" i="10"/>
  <c r="BO179" i="10"/>
  <c r="BP179" i="10"/>
  <c r="BQ179" i="10"/>
  <c r="BR179" i="10"/>
  <c r="BT179" i="10"/>
  <c r="BU179" i="10"/>
  <c r="BA180" i="10"/>
  <c r="BF180" i="10"/>
  <c r="BG180" i="10"/>
  <c r="BI180" i="10"/>
  <c r="BJ180" i="10"/>
  <c r="BK180" i="10"/>
  <c r="BL180" i="10"/>
  <c r="BM180" i="10"/>
  <c r="BN180" i="10"/>
  <c r="BO180" i="10"/>
  <c r="BP180" i="10"/>
  <c r="BQ180" i="10"/>
  <c r="BR180" i="10"/>
  <c r="BT180" i="10"/>
  <c r="BU180" i="10"/>
  <c r="BA181" i="10"/>
  <c r="BF181" i="10"/>
  <c r="BG181" i="10"/>
  <c r="BI181" i="10"/>
  <c r="BJ181" i="10"/>
  <c r="BK181" i="10"/>
  <c r="BL181" i="10"/>
  <c r="BM181" i="10"/>
  <c r="BN181" i="10"/>
  <c r="BO181" i="10"/>
  <c r="BP181" i="10"/>
  <c r="BQ181" i="10"/>
  <c r="BR181" i="10"/>
  <c r="BT181" i="10"/>
  <c r="BU181" i="10"/>
  <c r="BA182" i="10"/>
  <c r="BF182" i="10"/>
  <c r="BG182" i="10"/>
  <c r="BI182" i="10"/>
  <c r="BJ182" i="10"/>
  <c r="BK182" i="10"/>
  <c r="BL182" i="10"/>
  <c r="BM182" i="10"/>
  <c r="BN182" i="10"/>
  <c r="BO182" i="10"/>
  <c r="BP182" i="10"/>
  <c r="BQ182" i="10"/>
  <c r="BR182" i="10"/>
  <c r="BT182" i="10"/>
  <c r="BU182" i="10"/>
  <c r="BA183" i="10"/>
  <c r="BF183" i="10"/>
  <c r="BG183" i="10"/>
  <c r="BI183" i="10"/>
  <c r="BJ183" i="10"/>
  <c r="BK183" i="10"/>
  <c r="BL183" i="10"/>
  <c r="BM183" i="10"/>
  <c r="BN183" i="10"/>
  <c r="BO183" i="10"/>
  <c r="BP183" i="10"/>
  <c r="BQ183" i="10"/>
  <c r="BR183" i="10"/>
  <c r="BT183" i="10"/>
  <c r="BU183" i="10"/>
  <c r="BA184" i="10"/>
  <c r="BF184" i="10"/>
  <c r="BG184" i="10"/>
  <c r="BI184" i="10"/>
  <c r="BJ184" i="10"/>
  <c r="BK184" i="10"/>
  <c r="BL184" i="10"/>
  <c r="BM184" i="10"/>
  <c r="BN184" i="10"/>
  <c r="BO184" i="10"/>
  <c r="BP184" i="10"/>
  <c r="BQ184" i="10"/>
  <c r="BR184" i="10"/>
  <c r="BT184" i="10"/>
  <c r="BU184" i="10"/>
  <c r="BA185" i="10"/>
  <c r="BF185" i="10"/>
  <c r="BG185" i="10"/>
  <c r="BI185" i="10"/>
  <c r="BJ185" i="10"/>
  <c r="BK185" i="10"/>
  <c r="BL185" i="10"/>
  <c r="BM185" i="10"/>
  <c r="BN185" i="10"/>
  <c r="BO185" i="10"/>
  <c r="BP185" i="10"/>
  <c r="BQ185" i="10"/>
  <c r="BR185" i="10"/>
  <c r="BT185" i="10"/>
  <c r="BU185" i="10"/>
  <c r="BA186" i="10"/>
  <c r="BF186" i="10"/>
  <c r="BG186" i="10"/>
  <c r="BI186" i="10"/>
  <c r="BJ186" i="10"/>
  <c r="BK186" i="10"/>
  <c r="BL186" i="10"/>
  <c r="BM186" i="10"/>
  <c r="BN186" i="10"/>
  <c r="BO186" i="10"/>
  <c r="BP186" i="10"/>
  <c r="BQ186" i="10"/>
  <c r="BR186" i="10"/>
  <c r="BT186" i="10"/>
  <c r="BU186" i="10"/>
  <c r="BA187" i="10"/>
  <c r="BF187" i="10"/>
  <c r="BG187" i="10"/>
  <c r="BI187" i="10"/>
  <c r="BJ187" i="10"/>
  <c r="BK187" i="10"/>
  <c r="BL187" i="10"/>
  <c r="BM187" i="10"/>
  <c r="BN187" i="10"/>
  <c r="BO187" i="10"/>
  <c r="BP187" i="10"/>
  <c r="BQ187" i="10"/>
  <c r="BR187" i="10"/>
  <c r="BT187" i="10"/>
  <c r="BU187" i="10"/>
  <c r="BA188" i="10"/>
  <c r="BF188" i="10"/>
  <c r="BG188" i="10"/>
  <c r="BI188" i="10"/>
  <c r="BJ188" i="10"/>
  <c r="BK188" i="10"/>
  <c r="BL188" i="10"/>
  <c r="BM188" i="10"/>
  <c r="BN188" i="10"/>
  <c r="BO188" i="10"/>
  <c r="BP188" i="10"/>
  <c r="BQ188" i="10"/>
  <c r="BR188" i="10"/>
  <c r="BT188" i="10"/>
  <c r="BU188" i="10"/>
  <c r="BA189" i="10"/>
  <c r="BF189" i="10"/>
  <c r="BG189" i="10"/>
  <c r="BI189" i="10"/>
  <c r="BJ189" i="10"/>
  <c r="BK189" i="10"/>
  <c r="BL189" i="10"/>
  <c r="BM189" i="10"/>
  <c r="BN189" i="10"/>
  <c r="BO189" i="10"/>
  <c r="BP189" i="10"/>
  <c r="BQ189" i="10"/>
  <c r="BR189" i="10"/>
  <c r="BT189" i="10"/>
  <c r="BU189" i="10"/>
  <c r="BA190" i="10"/>
  <c r="BF190" i="10"/>
  <c r="BG190" i="10"/>
  <c r="BI190" i="10"/>
  <c r="BJ190" i="10"/>
  <c r="BK190" i="10"/>
  <c r="BL190" i="10"/>
  <c r="BM190" i="10"/>
  <c r="BN190" i="10"/>
  <c r="BO190" i="10"/>
  <c r="BP190" i="10"/>
  <c r="BQ190" i="10"/>
  <c r="BR190" i="10"/>
  <c r="BT190" i="10"/>
  <c r="BU190" i="10"/>
  <c r="BA191" i="10"/>
  <c r="BF191" i="10"/>
  <c r="BG191" i="10"/>
  <c r="BI191" i="10"/>
  <c r="BJ191" i="10"/>
  <c r="BK191" i="10"/>
  <c r="BL191" i="10"/>
  <c r="BM191" i="10"/>
  <c r="BN191" i="10"/>
  <c r="BO191" i="10"/>
  <c r="BP191" i="10"/>
  <c r="BQ191" i="10"/>
  <c r="BR191" i="10"/>
  <c r="BT191" i="10"/>
  <c r="BU191" i="10"/>
  <c r="BA192" i="10"/>
  <c r="BF192" i="10"/>
  <c r="BG192" i="10"/>
  <c r="BI192" i="10"/>
  <c r="BJ192" i="10"/>
  <c r="BK192" i="10"/>
  <c r="BL192" i="10"/>
  <c r="BM192" i="10"/>
  <c r="BN192" i="10"/>
  <c r="BO192" i="10"/>
  <c r="BP192" i="10"/>
  <c r="BQ192" i="10"/>
  <c r="BR192" i="10"/>
  <c r="BT192" i="10"/>
  <c r="BU192" i="10"/>
  <c r="BA193" i="10"/>
  <c r="BF193" i="10"/>
  <c r="BG193" i="10"/>
  <c r="BI193" i="10"/>
  <c r="BJ193" i="10"/>
  <c r="BK193" i="10"/>
  <c r="BL193" i="10"/>
  <c r="BM193" i="10"/>
  <c r="BN193" i="10"/>
  <c r="BO193" i="10"/>
  <c r="BP193" i="10"/>
  <c r="BQ193" i="10"/>
  <c r="BR193" i="10"/>
  <c r="BT193" i="10"/>
  <c r="BU193" i="10"/>
  <c r="BA194" i="10"/>
  <c r="BF194" i="10"/>
  <c r="BG194" i="10"/>
  <c r="BI194" i="10"/>
  <c r="BJ194" i="10"/>
  <c r="BK194" i="10"/>
  <c r="BL194" i="10"/>
  <c r="BM194" i="10"/>
  <c r="BN194" i="10"/>
  <c r="BO194" i="10"/>
  <c r="BP194" i="10"/>
  <c r="BQ194" i="10"/>
  <c r="BR194" i="10"/>
  <c r="BT194" i="10"/>
  <c r="BU194" i="10"/>
  <c r="BA195" i="10"/>
  <c r="BF195" i="10"/>
  <c r="BG195" i="10"/>
  <c r="BI195" i="10"/>
  <c r="BJ195" i="10"/>
  <c r="BK195" i="10"/>
  <c r="BL195" i="10"/>
  <c r="BM195" i="10"/>
  <c r="BN195" i="10"/>
  <c r="BO195" i="10"/>
  <c r="BP195" i="10"/>
  <c r="BQ195" i="10"/>
  <c r="BR195" i="10"/>
  <c r="BT195" i="10"/>
  <c r="BU195" i="10"/>
  <c r="BA196" i="10"/>
  <c r="BF196" i="10"/>
  <c r="BG196" i="10"/>
  <c r="BI196" i="10"/>
  <c r="BJ196" i="10"/>
  <c r="BK196" i="10"/>
  <c r="BL196" i="10"/>
  <c r="BM196" i="10"/>
  <c r="BN196" i="10"/>
  <c r="BO196" i="10"/>
  <c r="BP196" i="10"/>
  <c r="BQ196" i="10"/>
  <c r="BR196" i="10"/>
  <c r="BT196" i="10"/>
  <c r="BU196" i="10"/>
  <c r="BA197" i="10"/>
  <c r="BF197" i="10"/>
  <c r="BG197" i="10"/>
  <c r="BI197" i="10"/>
  <c r="BJ197" i="10"/>
  <c r="BK197" i="10"/>
  <c r="BL197" i="10"/>
  <c r="BM197" i="10"/>
  <c r="BN197" i="10"/>
  <c r="BO197" i="10"/>
  <c r="BP197" i="10"/>
  <c r="BQ197" i="10"/>
  <c r="BR197" i="10"/>
  <c r="BT197" i="10"/>
  <c r="BU197" i="10"/>
  <c r="BA198" i="10"/>
  <c r="BF198" i="10"/>
  <c r="BG198" i="10"/>
  <c r="BI198" i="10"/>
  <c r="BJ198" i="10"/>
  <c r="BK198" i="10"/>
  <c r="BL198" i="10"/>
  <c r="BM198" i="10"/>
  <c r="BN198" i="10"/>
  <c r="BO198" i="10"/>
  <c r="BP198" i="10"/>
  <c r="BQ198" i="10"/>
  <c r="BR198" i="10"/>
  <c r="BT198" i="10"/>
  <c r="BU198" i="10"/>
  <c r="BA199" i="10"/>
  <c r="BF199" i="10"/>
  <c r="BG199" i="10"/>
  <c r="BI199" i="10"/>
  <c r="BJ199" i="10"/>
  <c r="BK199" i="10"/>
  <c r="BL199" i="10"/>
  <c r="BM199" i="10"/>
  <c r="BN199" i="10"/>
  <c r="BO199" i="10"/>
  <c r="BP199" i="10"/>
  <c r="BQ199" i="10"/>
  <c r="BR199" i="10"/>
  <c r="BT199" i="10"/>
  <c r="BU199" i="10"/>
  <c r="BA200" i="10"/>
  <c r="BF200" i="10"/>
  <c r="BG200" i="10"/>
  <c r="BI200" i="10"/>
  <c r="BJ200" i="10"/>
  <c r="BK200" i="10"/>
  <c r="BL200" i="10"/>
  <c r="BM200" i="10"/>
  <c r="BN200" i="10"/>
  <c r="BO200" i="10"/>
  <c r="BP200" i="10"/>
  <c r="BQ200" i="10"/>
  <c r="BR200" i="10"/>
  <c r="BT200" i="10"/>
  <c r="BU200" i="10"/>
  <c r="BA201" i="10"/>
  <c r="BF201" i="10"/>
  <c r="BG201" i="10"/>
  <c r="BI201" i="10"/>
  <c r="BJ201" i="10"/>
  <c r="BK201" i="10"/>
  <c r="BL201" i="10"/>
  <c r="BM201" i="10"/>
  <c r="BN201" i="10"/>
  <c r="BO201" i="10"/>
  <c r="BP201" i="10"/>
  <c r="BQ201" i="10"/>
  <c r="BR201" i="10"/>
  <c r="BT201" i="10"/>
  <c r="BU201" i="10"/>
  <c r="BA202" i="10"/>
  <c r="BF202" i="10"/>
  <c r="BG202" i="10"/>
  <c r="BI202" i="10"/>
  <c r="BJ202" i="10"/>
  <c r="BK202" i="10"/>
  <c r="BL202" i="10"/>
  <c r="BM202" i="10"/>
  <c r="BN202" i="10"/>
  <c r="BO202" i="10"/>
  <c r="BP202" i="10"/>
  <c r="BQ202" i="10"/>
  <c r="BR202" i="10"/>
  <c r="BT202" i="10"/>
  <c r="BU202" i="10"/>
  <c r="BA203" i="10"/>
  <c r="BF203" i="10"/>
  <c r="BG203" i="10"/>
  <c r="BI203" i="10"/>
  <c r="BJ203" i="10"/>
  <c r="BK203" i="10"/>
  <c r="BL203" i="10"/>
  <c r="BM203" i="10"/>
  <c r="BN203" i="10"/>
  <c r="BO203" i="10"/>
  <c r="BP203" i="10"/>
  <c r="BQ203" i="10"/>
  <c r="BR203" i="10"/>
  <c r="BT203" i="10"/>
  <c r="BU203" i="10"/>
  <c r="BA204" i="10"/>
  <c r="BF204" i="10"/>
  <c r="BG204" i="10"/>
  <c r="BI204" i="10"/>
  <c r="BJ204" i="10"/>
  <c r="BK204" i="10"/>
  <c r="BL204" i="10"/>
  <c r="BM204" i="10"/>
  <c r="BN204" i="10"/>
  <c r="BO204" i="10"/>
  <c r="BP204" i="10"/>
  <c r="BQ204" i="10"/>
  <c r="BR204" i="10"/>
  <c r="BT204" i="10"/>
  <c r="BU204" i="10"/>
  <c r="P788" i="17" l="1"/>
  <c r="Q788" i="17" s="1"/>
  <c r="O789" i="17"/>
  <c r="Q789" i="17" s="1"/>
  <c r="P800" i="17"/>
  <c r="Q800" i="17" s="1"/>
  <c r="O841" i="17"/>
  <c r="Q841" i="17" s="1"/>
  <c r="P834" i="17"/>
  <c r="Q834" i="17" s="1"/>
  <c r="P806" i="17"/>
  <c r="Q806" i="17" s="1"/>
  <c r="P816" i="17"/>
  <c r="Q816" i="17" s="1"/>
  <c r="P840" i="17"/>
  <c r="Q840" i="17" s="1"/>
  <c r="P817" i="17"/>
  <c r="Q817" i="17" s="1"/>
  <c r="O801" i="17"/>
  <c r="Q801" i="17" s="1"/>
  <c r="O826" i="17"/>
  <c r="Q826" i="17" s="1"/>
  <c r="P846" i="17"/>
  <c r="Q846" i="17" s="1"/>
  <c r="P796" i="17"/>
  <c r="Q796" i="17" s="1"/>
  <c r="O838" i="17"/>
  <c r="Q838" i="17" s="1"/>
  <c r="P832" i="17"/>
  <c r="Q832" i="17" s="1"/>
  <c r="P820" i="17"/>
  <c r="Q820" i="17" s="1"/>
  <c r="P811" i="17"/>
  <c r="Q811" i="17" s="1"/>
  <c r="O797" i="17"/>
  <c r="Q797" i="17" s="1"/>
  <c r="P831" i="17"/>
  <c r="Q831" i="17" s="1"/>
  <c r="O794" i="17"/>
  <c r="Q794" i="17" s="1"/>
  <c r="P799" i="17"/>
  <c r="Q799" i="17" s="1"/>
  <c r="O786" i="17"/>
  <c r="Q786" i="17" s="1"/>
  <c r="P814" i="17"/>
  <c r="Q814" i="17" s="1"/>
  <c r="P823" i="17"/>
  <c r="Q823" i="17" s="1"/>
  <c r="O804" i="17"/>
  <c r="Q804" i="17" s="1"/>
  <c r="O819" i="17"/>
  <c r="Q819" i="17" s="1"/>
  <c r="O793" i="17"/>
  <c r="Q793" i="17" s="1"/>
  <c r="P837" i="17"/>
  <c r="Q837" i="17" s="1"/>
  <c r="P827" i="17"/>
  <c r="Q827" i="17" s="1"/>
  <c r="O802" i="17"/>
  <c r="Q802" i="17" s="1"/>
  <c r="P803" i="17"/>
  <c r="Q803" i="17" s="1"/>
  <c r="O780" i="17"/>
  <c r="Q780" i="17" s="1"/>
  <c r="P849" i="17"/>
  <c r="Q849" i="17" s="1"/>
  <c r="O842" i="17"/>
  <c r="Q842" i="17" s="1"/>
  <c r="O783" i="17"/>
  <c r="Q783" i="17" s="1"/>
  <c r="O850" i="17"/>
  <c r="Q850" i="17" s="1"/>
  <c r="P787" i="17"/>
  <c r="Q787" i="17" s="1"/>
  <c r="O847" i="17"/>
  <c r="Q847" i="17" s="1"/>
  <c r="O825" i="17"/>
  <c r="Q825" i="17" s="1"/>
  <c r="P821" i="17"/>
  <c r="Q821" i="17" s="1"/>
  <c r="O833" i="17"/>
  <c r="Q833" i="17" s="1"/>
  <c r="O798" i="17"/>
  <c r="Q798" i="17" s="1"/>
  <c r="O822" i="17"/>
  <c r="Q822" i="17" s="1"/>
  <c r="P843" i="17"/>
  <c r="Q843" i="17" s="1"/>
  <c r="O792" i="17"/>
  <c r="Q792" i="17" s="1"/>
  <c r="P781" i="17"/>
  <c r="Q781" i="17" s="1"/>
  <c r="P791" i="17"/>
  <c r="Q791" i="17" s="1"/>
  <c r="P795" i="17"/>
  <c r="Q795" i="17" s="1"/>
  <c r="P808" i="17"/>
  <c r="Q808" i="17" s="1"/>
  <c r="O830" i="17"/>
  <c r="Q830" i="17" s="1"/>
  <c r="O835" i="17"/>
  <c r="Q835" i="17" s="1"/>
  <c r="P784" i="17"/>
  <c r="Q784" i="17" s="1"/>
  <c r="P779" i="17"/>
  <c r="Q779" i="17" s="1"/>
  <c r="O844" i="17"/>
  <c r="Q844" i="17" s="1"/>
  <c r="P810" i="17"/>
  <c r="Q810" i="17" s="1"/>
  <c r="P818" i="17"/>
  <c r="Q818" i="17" s="1"/>
  <c r="P809" i="17"/>
  <c r="Q809" i="17" s="1"/>
  <c r="P805" i="17"/>
  <c r="Q805" i="17" s="1"/>
  <c r="P782" i="17"/>
  <c r="Q782" i="17" s="1"/>
  <c r="O829" i="17"/>
  <c r="Q829" i="17" s="1"/>
  <c r="P807" i="17"/>
  <c r="Q807" i="17" s="1"/>
  <c r="P812" i="17"/>
  <c r="Q812" i="17" s="1"/>
  <c r="P845" i="17"/>
  <c r="Q845" i="17" s="1"/>
  <c r="P813" i="17"/>
  <c r="Q813" i="17" s="1"/>
  <c r="O785" i="17"/>
  <c r="Q785" i="17" s="1"/>
  <c r="P824" i="17"/>
  <c r="Q824" i="17" s="1"/>
  <c r="P828" i="17"/>
  <c r="Q828" i="17" s="1"/>
  <c r="O836" i="17"/>
  <c r="Q836" i="17" s="1"/>
  <c r="O815" i="17"/>
  <c r="Q815" i="17" s="1"/>
  <c r="P790" i="17"/>
  <c r="Q790" i="17" s="1"/>
  <c r="P848" i="17"/>
  <c r="O848" i="17"/>
  <c r="O839" i="17"/>
  <c r="P839" i="17"/>
  <c r="N692" i="17"/>
  <c r="O692" i="17" s="1"/>
  <c r="N703" i="17"/>
  <c r="O703" i="17" s="1"/>
  <c r="N731" i="17"/>
  <c r="O731" i="17" s="1"/>
  <c r="N778" i="17"/>
  <c r="P778" i="17" s="1"/>
  <c r="N774" i="17"/>
  <c r="O774" i="17" s="1"/>
  <c r="N730" i="17"/>
  <c r="P730" i="17" s="1"/>
  <c r="N710" i="17"/>
  <c r="O710" i="17" s="1"/>
  <c r="N732" i="17"/>
  <c r="O732" i="17" s="1"/>
  <c r="N717" i="17"/>
  <c r="O717" i="17" s="1"/>
  <c r="N726" i="17"/>
  <c r="P726" i="17" s="1"/>
  <c r="N765" i="17"/>
  <c r="P765" i="17" s="1"/>
  <c r="N751" i="17"/>
  <c r="O751" i="17" s="1"/>
  <c r="N762" i="17"/>
  <c r="O762" i="17" s="1"/>
  <c r="N724" i="17"/>
  <c r="O724" i="17" s="1"/>
  <c r="N720" i="17"/>
  <c r="O720" i="17" s="1"/>
  <c r="N723" i="17"/>
  <c r="O723" i="17" s="1"/>
  <c r="N764" i="17"/>
  <c r="O764" i="17" s="1"/>
  <c r="N718" i="17"/>
  <c r="N705" i="17"/>
  <c r="O705" i="17" s="1"/>
  <c r="N777" i="17"/>
  <c r="O777" i="17" s="1"/>
  <c r="N769" i="17"/>
  <c r="O769" i="17" s="1"/>
  <c r="N740" i="17"/>
  <c r="O740" i="17" s="1"/>
  <c r="N775" i="17"/>
  <c r="P775" i="17" s="1"/>
  <c r="N768" i="17"/>
  <c r="P768" i="17" s="1"/>
  <c r="N713" i="17"/>
  <c r="O713" i="17" s="1"/>
  <c r="N707" i="17"/>
  <c r="O707" i="17" s="1"/>
  <c r="N745" i="17"/>
  <c r="P745" i="17" s="1"/>
  <c r="N735" i="17"/>
  <c r="P735" i="17" s="1"/>
  <c r="N722" i="17"/>
  <c r="O722" i="17" s="1"/>
  <c r="N706" i="17"/>
  <c r="O706" i="17" s="1"/>
  <c r="N736" i="17"/>
  <c r="P736" i="17" s="1"/>
  <c r="N742" i="17"/>
  <c r="O742" i="17" s="1"/>
  <c r="N716" i="17"/>
  <c r="O716" i="17" s="1"/>
  <c r="N701" i="17"/>
  <c r="O701" i="17" s="1"/>
  <c r="N725" i="17"/>
  <c r="P725" i="17" s="1"/>
  <c r="N721" i="17"/>
  <c r="P721" i="17" s="1"/>
  <c r="N712" i="17"/>
  <c r="O712" i="17" s="1"/>
  <c r="N700" i="17"/>
  <c r="O700" i="17" s="1"/>
  <c r="N693" i="17"/>
  <c r="O693" i="17" s="1"/>
  <c r="N767" i="17"/>
  <c r="O767" i="17" s="1"/>
  <c r="N741" i="17"/>
  <c r="O741" i="17" s="1"/>
  <c r="N727" i="17"/>
  <c r="N696" i="17"/>
  <c r="O696" i="17" s="1"/>
  <c r="N756" i="17"/>
  <c r="O756" i="17" s="1"/>
  <c r="N744" i="17"/>
  <c r="O744" i="17" s="1"/>
  <c r="N750" i="17"/>
  <c r="O750" i="17" s="1"/>
  <c r="N711" i="17"/>
  <c r="O711" i="17" s="1"/>
  <c r="N702" i="17"/>
  <c r="O702" i="17" s="1"/>
  <c r="N766" i="17"/>
  <c r="O766" i="17" s="1"/>
  <c r="N758" i="17"/>
  <c r="O758" i="17" s="1"/>
  <c r="N719" i="17"/>
  <c r="O719" i="17" s="1"/>
  <c r="N760" i="17"/>
  <c r="O760" i="17" s="1"/>
  <c r="N757" i="17"/>
  <c r="P757" i="17" s="1"/>
  <c r="N749" i="17"/>
  <c r="P749" i="17" s="1"/>
  <c r="N738" i="17"/>
  <c r="O738" i="17" s="1"/>
  <c r="N734" i="17"/>
  <c r="O734" i="17" s="1"/>
  <c r="N733" i="17"/>
  <c r="O733" i="17" s="1"/>
  <c r="N709" i="17"/>
  <c r="O709" i="17" s="1"/>
  <c r="N773" i="17"/>
  <c r="O773" i="17" s="1"/>
  <c r="N770" i="17"/>
  <c r="O770" i="17" s="1"/>
  <c r="N752" i="17"/>
  <c r="O752" i="17" s="1"/>
  <c r="N746" i="17"/>
  <c r="O746" i="17" s="1"/>
  <c r="N737" i="17"/>
  <c r="O737" i="17" s="1"/>
  <c r="N704" i="17"/>
  <c r="O704" i="17" s="1"/>
  <c r="N697" i="17"/>
  <c r="O697" i="17" s="1"/>
  <c r="N759" i="17"/>
  <c r="O759" i="17" s="1"/>
  <c r="N694" i="17"/>
  <c r="P694" i="17" s="1"/>
  <c r="N776" i="17"/>
  <c r="P776" i="17" s="1"/>
  <c r="N754" i="17"/>
  <c r="P754" i="17" s="1"/>
  <c r="N739" i="17"/>
  <c r="O739" i="17" s="1"/>
  <c r="N771" i="17"/>
  <c r="N763" i="17"/>
  <c r="P763" i="17" s="1"/>
  <c r="N747" i="17"/>
  <c r="O747" i="17" s="1"/>
  <c r="N743" i="17"/>
  <c r="P743" i="17" s="1"/>
  <c r="N728" i="17"/>
  <c r="O728" i="17" s="1"/>
  <c r="N698" i="17"/>
  <c r="P698" i="17" s="1"/>
  <c r="N753" i="17"/>
  <c r="N748" i="17"/>
  <c r="N729" i="17"/>
  <c r="N772" i="17"/>
  <c r="N755" i="17"/>
  <c r="N715" i="17"/>
  <c r="N708" i="17"/>
  <c r="N699" i="17"/>
  <c r="N761" i="17"/>
  <c r="N695" i="17"/>
  <c r="N714" i="17"/>
  <c r="N691" i="17"/>
  <c r="BW198" i="10"/>
  <c r="BW191" i="10"/>
  <c r="BW187" i="10"/>
  <c r="BW183" i="10"/>
  <c r="BW202" i="10"/>
  <c r="BW204" i="10"/>
  <c r="BW203" i="10"/>
  <c r="BW201" i="10"/>
  <c r="BW200" i="10"/>
  <c r="BW199" i="10"/>
  <c r="BW195" i="10"/>
  <c r="BW179" i="10"/>
  <c r="BW197" i="10"/>
  <c r="BW196" i="10"/>
  <c r="BW194" i="10"/>
  <c r="BW193" i="10"/>
  <c r="BW192" i="10"/>
  <c r="BW190" i="10"/>
  <c r="BW189" i="10"/>
  <c r="BW188" i="10"/>
  <c r="BW186" i="10"/>
  <c r="BW185" i="10"/>
  <c r="BW184" i="10"/>
  <c r="BW182" i="10"/>
  <c r="BW181" i="10"/>
  <c r="BW180" i="10"/>
  <c r="BW178" i="10"/>
  <c r="BW177" i="10"/>
  <c r="BW176" i="10"/>
  <c r="L629" i="17"/>
  <c r="M629" i="17"/>
  <c r="R629" i="17"/>
  <c r="L630" i="17"/>
  <c r="M630" i="17"/>
  <c r="R630" i="17"/>
  <c r="L631" i="17"/>
  <c r="M631" i="17"/>
  <c r="R631" i="17"/>
  <c r="L632" i="17"/>
  <c r="M632" i="17"/>
  <c r="R632" i="17"/>
  <c r="L633" i="17"/>
  <c r="M633" i="17"/>
  <c r="R633" i="17"/>
  <c r="L634" i="17"/>
  <c r="M634" i="17"/>
  <c r="R634" i="17"/>
  <c r="L635" i="17"/>
  <c r="M635" i="17"/>
  <c r="R635" i="17"/>
  <c r="L636" i="17"/>
  <c r="M636" i="17"/>
  <c r="R636" i="17"/>
  <c r="L637" i="17"/>
  <c r="M637" i="17"/>
  <c r="R637" i="17"/>
  <c r="L638" i="17"/>
  <c r="M638" i="17"/>
  <c r="R638" i="17"/>
  <c r="L639" i="17"/>
  <c r="M639" i="17"/>
  <c r="R639" i="17"/>
  <c r="L640" i="17"/>
  <c r="M640" i="17"/>
  <c r="R640" i="17"/>
  <c r="L641" i="17"/>
  <c r="M641" i="17"/>
  <c r="R641" i="17"/>
  <c r="L642" i="17"/>
  <c r="M642" i="17"/>
  <c r="R642" i="17"/>
  <c r="L643" i="17"/>
  <c r="M643" i="17"/>
  <c r="R643" i="17"/>
  <c r="L644" i="17"/>
  <c r="M644" i="17"/>
  <c r="R644" i="17"/>
  <c r="L645" i="17"/>
  <c r="M645" i="17"/>
  <c r="R645" i="17"/>
  <c r="L646" i="17"/>
  <c r="M646" i="17"/>
  <c r="R646" i="17"/>
  <c r="L647" i="17"/>
  <c r="M647" i="17"/>
  <c r="R647" i="17"/>
  <c r="L648" i="17"/>
  <c r="M648" i="17"/>
  <c r="R648" i="17"/>
  <c r="L649" i="17"/>
  <c r="M649" i="17"/>
  <c r="R649" i="17"/>
  <c r="L650" i="17"/>
  <c r="M650" i="17"/>
  <c r="R650" i="17"/>
  <c r="L651" i="17"/>
  <c r="M651" i="17"/>
  <c r="R651" i="17"/>
  <c r="L652" i="17"/>
  <c r="M652" i="17"/>
  <c r="R652" i="17"/>
  <c r="L653" i="17"/>
  <c r="M653" i="17"/>
  <c r="R653" i="17"/>
  <c r="L654" i="17"/>
  <c r="M654" i="17"/>
  <c r="R654" i="17"/>
  <c r="L655" i="17"/>
  <c r="M655" i="17"/>
  <c r="R655" i="17"/>
  <c r="L656" i="17"/>
  <c r="M656" i="17"/>
  <c r="R656" i="17"/>
  <c r="L657" i="17"/>
  <c r="M657" i="17"/>
  <c r="R657" i="17"/>
  <c r="L658" i="17"/>
  <c r="M658" i="17"/>
  <c r="R658" i="17"/>
  <c r="L659" i="17"/>
  <c r="M659" i="17"/>
  <c r="R659" i="17"/>
  <c r="L660" i="17"/>
  <c r="M660" i="17"/>
  <c r="R660" i="17"/>
  <c r="L661" i="17"/>
  <c r="M661" i="17"/>
  <c r="R661" i="17"/>
  <c r="L662" i="17"/>
  <c r="M662" i="17"/>
  <c r="R662" i="17"/>
  <c r="L663" i="17"/>
  <c r="M663" i="17"/>
  <c r="R663" i="17"/>
  <c r="L664" i="17"/>
  <c r="M664" i="17"/>
  <c r="R664" i="17"/>
  <c r="L665" i="17"/>
  <c r="M665" i="17"/>
  <c r="R665" i="17"/>
  <c r="L666" i="17"/>
  <c r="M666" i="17"/>
  <c r="R666" i="17"/>
  <c r="L667" i="17"/>
  <c r="M667" i="17"/>
  <c r="R667" i="17"/>
  <c r="L668" i="17"/>
  <c r="M668" i="17"/>
  <c r="R668" i="17"/>
  <c r="L669" i="17"/>
  <c r="M669" i="17"/>
  <c r="R669" i="17"/>
  <c r="L670" i="17"/>
  <c r="M670" i="17"/>
  <c r="R670" i="17"/>
  <c r="L671" i="17"/>
  <c r="M671" i="17"/>
  <c r="R671" i="17"/>
  <c r="L672" i="17"/>
  <c r="M672" i="17"/>
  <c r="R672" i="17"/>
  <c r="L673" i="17"/>
  <c r="M673" i="17"/>
  <c r="R673" i="17"/>
  <c r="L674" i="17"/>
  <c r="M674" i="17"/>
  <c r="R674" i="17"/>
  <c r="L675" i="17"/>
  <c r="M675" i="17"/>
  <c r="R675" i="17"/>
  <c r="L676" i="17"/>
  <c r="M676" i="17"/>
  <c r="R676" i="17"/>
  <c r="L677" i="17"/>
  <c r="M677" i="17"/>
  <c r="R677" i="17"/>
  <c r="L678" i="17"/>
  <c r="M678" i="17"/>
  <c r="R678" i="17"/>
  <c r="L679" i="17"/>
  <c r="M679" i="17"/>
  <c r="R679" i="17"/>
  <c r="L680" i="17"/>
  <c r="M680" i="17"/>
  <c r="R680" i="17"/>
  <c r="L681" i="17"/>
  <c r="M681" i="17"/>
  <c r="R681" i="17"/>
  <c r="L682" i="17"/>
  <c r="M682" i="17"/>
  <c r="R682" i="17"/>
  <c r="L683" i="17"/>
  <c r="M683" i="17"/>
  <c r="R683" i="17"/>
  <c r="L684" i="17"/>
  <c r="M684" i="17"/>
  <c r="R684" i="17"/>
  <c r="L685" i="17"/>
  <c r="M685" i="17"/>
  <c r="R685" i="17"/>
  <c r="L686" i="17"/>
  <c r="M686" i="17"/>
  <c r="R686" i="17"/>
  <c r="L687" i="17"/>
  <c r="M687" i="17"/>
  <c r="R687" i="17"/>
  <c r="L688" i="17"/>
  <c r="M688" i="17"/>
  <c r="R688" i="17"/>
  <c r="L689" i="17"/>
  <c r="M689" i="17"/>
  <c r="R689" i="17"/>
  <c r="L690" i="17"/>
  <c r="M690" i="17"/>
  <c r="R690" i="17"/>
  <c r="BA157" i="10"/>
  <c r="BF157" i="10"/>
  <c r="BG157" i="10"/>
  <c r="BI157" i="10"/>
  <c r="BJ157" i="10"/>
  <c r="BK157" i="10"/>
  <c r="BL157" i="10"/>
  <c r="BM157" i="10"/>
  <c r="BN157" i="10"/>
  <c r="BO157" i="10"/>
  <c r="BP157" i="10"/>
  <c r="BQ157" i="10"/>
  <c r="BR157" i="10"/>
  <c r="BT157" i="10"/>
  <c r="BU157" i="10"/>
  <c r="BA158" i="10"/>
  <c r="BF158" i="10"/>
  <c r="BG158" i="10"/>
  <c r="BI158" i="10"/>
  <c r="BJ158" i="10"/>
  <c r="BK158" i="10"/>
  <c r="BL158" i="10"/>
  <c r="BM158" i="10"/>
  <c r="BN158" i="10"/>
  <c r="BO158" i="10"/>
  <c r="BP158" i="10"/>
  <c r="BQ158" i="10"/>
  <c r="BR158" i="10"/>
  <c r="BT158" i="10"/>
  <c r="BU158" i="10"/>
  <c r="BA159" i="10"/>
  <c r="BF159" i="10"/>
  <c r="BG159" i="10"/>
  <c r="BI159" i="10"/>
  <c r="BJ159" i="10"/>
  <c r="BK159" i="10"/>
  <c r="BL159" i="10"/>
  <c r="BM159" i="10"/>
  <c r="BN159" i="10"/>
  <c r="BO159" i="10"/>
  <c r="BP159" i="10"/>
  <c r="BQ159" i="10"/>
  <c r="BR159" i="10"/>
  <c r="BT159" i="10"/>
  <c r="BU159" i="10"/>
  <c r="BA160" i="10"/>
  <c r="BF160" i="10"/>
  <c r="BG160" i="10"/>
  <c r="BI160" i="10"/>
  <c r="BJ160" i="10"/>
  <c r="BK160" i="10"/>
  <c r="BL160" i="10"/>
  <c r="BM160" i="10"/>
  <c r="BN160" i="10"/>
  <c r="BO160" i="10"/>
  <c r="BP160" i="10"/>
  <c r="BQ160" i="10"/>
  <c r="BR160" i="10"/>
  <c r="BT160" i="10"/>
  <c r="BU160" i="10"/>
  <c r="BA161" i="10"/>
  <c r="BF161" i="10"/>
  <c r="BG161" i="10"/>
  <c r="BI161" i="10"/>
  <c r="BJ161" i="10"/>
  <c r="BK161" i="10"/>
  <c r="BL161" i="10"/>
  <c r="BM161" i="10"/>
  <c r="BN161" i="10"/>
  <c r="BO161" i="10"/>
  <c r="BP161" i="10"/>
  <c r="BQ161" i="10"/>
  <c r="BR161" i="10"/>
  <c r="BT161" i="10"/>
  <c r="BU161" i="10"/>
  <c r="BA162" i="10"/>
  <c r="BF162" i="10"/>
  <c r="BG162" i="10"/>
  <c r="BI162" i="10"/>
  <c r="BJ162" i="10"/>
  <c r="BK162" i="10"/>
  <c r="BL162" i="10"/>
  <c r="BM162" i="10"/>
  <c r="BN162" i="10"/>
  <c r="BO162" i="10"/>
  <c r="BP162" i="10"/>
  <c r="BQ162" i="10"/>
  <c r="BR162" i="10"/>
  <c r="BT162" i="10"/>
  <c r="BU162" i="10"/>
  <c r="BA163" i="10"/>
  <c r="BF163" i="10"/>
  <c r="BG163" i="10"/>
  <c r="BI163" i="10"/>
  <c r="BJ163" i="10"/>
  <c r="BK163" i="10"/>
  <c r="BL163" i="10"/>
  <c r="BM163" i="10"/>
  <c r="BN163" i="10"/>
  <c r="BO163" i="10"/>
  <c r="BP163" i="10"/>
  <c r="BQ163" i="10"/>
  <c r="BR163" i="10"/>
  <c r="BT163" i="10"/>
  <c r="BU163" i="10"/>
  <c r="BA164" i="10"/>
  <c r="BF164" i="10"/>
  <c r="BG164" i="10"/>
  <c r="BI164" i="10"/>
  <c r="BJ164" i="10"/>
  <c r="BK164" i="10"/>
  <c r="BL164" i="10"/>
  <c r="BM164" i="10"/>
  <c r="BN164" i="10"/>
  <c r="BO164" i="10"/>
  <c r="BP164" i="10"/>
  <c r="BQ164" i="10"/>
  <c r="BR164" i="10"/>
  <c r="BT164" i="10"/>
  <c r="BU164" i="10"/>
  <c r="BA165" i="10"/>
  <c r="BF165" i="10"/>
  <c r="BG165" i="10"/>
  <c r="BI165" i="10"/>
  <c r="BJ165" i="10"/>
  <c r="BK165" i="10"/>
  <c r="BL165" i="10"/>
  <c r="BM165" i="10"/>
  <c r="BN165" i="10"/>
  <c r="BO165" i="10"/>
  <c r="BP165" i="10"/>
  <c r="BQ165" i="10"/>
  <c r="BR165" i="10"/>
  <c r="BT165" i="10"/>
  <c r="BU165" i="10"/>
  <c r="BA166" i="10"/>
  <c r="BF166" i="10"/>
  <c r="BG166" i="10"/>
  <c r="BI166" i="10"/>
  <c r="BJ166" i="10"/>
  <c r="BK166" i="10"/>
  <c r="BL166" i="10"/>
  <c r="BM166" i="10"/>
  <c r="BN166" i="10"/>
  <c r="BO166" i="10"/>
  <c r="BP166" i="10"/>
  <c r="BQ166" i="10"/>
  <c r="BR166" i="10"/>
  <c r="BT166" i="10"/>
  <c r="BU166" i="10"/>
  <c r="BA167" i="10"/>
  <c r="BF167" i="10"/>
  <c r="BG167" i="10"/>
  <c r="BI167" i="10"/>
  <c r="BJ167" i="10"/>
  <c r="BK167" i="10"/>
  <c r="BL167" i="10"/>
  <c r="BM167" i="10"/>
  <c r="BN167" i="10"/>
  <c r="BO167" i="10"/>
  <c r="BP167" i="10"/>
  <c r="BQ167" i="10"/>
  <c r="BR167" i="10"/>
  <c r="BT167" i="10"/>
  <c r="BU167" i="10"/>
  <c r="BA168" i="10"/>
  <c r="BF168" i="10"/>
  <c r="BG168" i="10"/>
  <c r="BI168" i="10"/>
  <c r="BJ168" i="10"/>
  <c r="BK168" i="10"/>
  <c r="BL168" i="10"/>
  <c r="BM168" i="10"/>
  <c r="BN168" i="10"/>
  <c r="BO168" i="10"/>
  <c r="BP168" i="10"/>
  <c r="BQ168" i="10"/>
  <c r="BR168" i="10"/>
  <c r="BT168" i="10"/>
  <c r="BU168" i="10"/>
  <c r="BA169" i="10"/>
  <c r="BF169" i="10"/>
  <c r="BG169" i="10"/>
  <c r="BI169" i="10"/>
  <c r="BJ169" i="10"/>
  <c r="BK169" i="10"/>
  <c r="BL169" i="10"/>
  <c r="BM169" i="10"/>
  <c r="BN169" i="10"/>
  <c r="BO169" i="10"/>
  <c r="BP169" i="10"/>
  <c r="BQ169" i="10"/>
  <c r="BR169" i="10"/>
  <c r="BT169" i="10"/>
  <c r="BU169" i="10"/>
  <c r="BA170" i="10"/>
  <c r="BF170" i="10"/>
  <c r="BG170" i="10"/>
  <c r="BI170" i="10"/>
  <c r="BJ170" i="10"/>
  <c r="BK170" i="10"/>
  <c r="BL170" i="10"/>
  <c r="BM170" i="10"/>
  <c r="BN170" i="10"/>
  <c r="BO170" i="10"/>
  <c r="BP170" i="10"/>
  <c r="BQ170" i="10"/>
  <c r="BR170" i="10"/>
  <c r="BT170" i="10"/>
  <c r="BU170" i="10"/>
  <c r="BA171" i="10"/>
  <c r="BF171" i="10"/>
  <c r="BG171" i="10"/>
  <c r="BI171" i="10"/>
  <c r="BJ171" i="10"/>
  <c r="BK171" i="10"/>
  <c r="BL171" i="10"/>
  <c r="BM171" i="10"/>
  <c r="BN171" i="10"/>
  <c r="BO171" i="10"/>
  <c r="BP171" i="10"/>
  <c r="BQ171" i="10"/>
  <c r="BR171" i="10"/>
  <c r="BT171" i="10"/>
  <c r="BU171" i="10"/>
  <c r="BA172" i="10"/>
  <c r="BF172" i="10"/>
  <c r="BG172" i="10"/>
  <c r="BI172" i="10"/>
  <c r="BJ172" i="10"/>
  <c r="BK172" i="10"/>
  <c r="BL172" i="10"/>
  <c r="BM172" i="10"/>
  <c r="BN172" i="10"/>
  <c r="BO172" i="10"/>
  <c r="BP172" i="10"/>
  <c r="BQ172" i="10"/>
  <c r="BR172" i="10"/>
  <c r="BT172" i="10"/>
  <c r="BU172" i="10"/>
  <c r="BA173" i="10"/>
  <c r="BF173" i="10"/>
  <c r="BG173" i="10"/>
  <c r="BI173" i="10"/>
  <c r="BJ173" i="10"/>
  <c r="BK173" i="10"/>
  <c r="BL173" i="10"/>
  <c r="BM173" i="10"/>
  <c r="BN173" i="10"/>
  <c r="BO173" i="10"/>
  <c r="BP173" i="10"/>
  <c r="BQ173" i="10"/>
  <c r="BR173" i="10"/>
  <c r="BT173" i="10"/>
  <c r="BU173" i="10"/>
  <c r="BA174" i="10"/>
  <c r="BF174" i="10"/>
  <c r="BG174" i="10"/>
  <c r="BI174" i="10"/>
  <c r="BJ174" i="10"/>
  <c r="BK174" i="10"/>
  <c r="BL174" i="10"/>
  <c r="BM174" i="10"/>
  <c r="BN174" i="10"/>
  <c r="BO174" i="10"/>
  <c r="BP174" i="10"/>
  <c r="BQ174" i="10"/>
  <c r="BR174" i="10"/>
  <c r="BT174" i="10"/>
  <c r="BU174" i="10"/>
  <c r="BA175" i="10"/>
  <c r="BF175" i="10"/>
  <c r="BG175" i="10"/>
  <c r="BI175" i="10"/>
  <c r="BJ175" i="10"/>
  <c r="BK175" i="10"/>
  <c r="BL175" i="10"/>
  <c r="BM175" i="10"/>
  <c r="BN175" i="10"/>
  <c r="BO175" i="10"/>
  <c r="BP175" i="10"/>
  <c r="BQ175" i="10"/>
  <c r="BR175" i="10"/>
  <c r="BT175" i="10"/>
  <c r="BU175" i="10"/>
  <c r="BS254" i="10" l="1"/>
  <c r="BS239" i="10"/>
  <c r="BS207" i="10"/>
  <c r="BS224" i="10"/>
  <c r="BS228" i="10"/>
  <c r="BS227" i="10"/>
  <c r="BS226" i="10"/>
  <c r="BS225" i="10"/>
  <c r="BS223" i="10"/>
  <c r="BS222" i="10"/>
  <c r="BS221" i="10"/>
  <c r="BS214" i="10"/>
  <c r="BS220" i="10"/>
  <c r="BS219" i="10"/>
  <c r="BS218" i="10"/>
  <c r="BS217" i="10"/>
  <c r="BS216" i="10"/>
  <c r="BS215" i="10"/>
  <c r="BS213" i="10"/>
  <c r="BS212" i="10"/>
  <c r="BS210" i="10"/>
  <c r="BS208" i="10"/>
  <c r="BS209" i="10"/>
  <c r="BS206" i="10"/>
  <c r="BS205" i="10"/>
  <c r="Q848" i="17"/>
  <c r="BS230" i="10" s="1"/>
  <c r="Q839" i="17"/>
  <c r="BS229" i="10" s="1"/>
  <c r="P692" i="17"/>
  <c r="Q692" i="17" s="1"/>
  <c r="P703" i="17"/>
  <c r="Q703" i="17" s="1"/>
  <c r="P732" i="17"/>
  <c r="Q732" i="17" s="1"/>
  <c r="O765" i="17"/>
  <c r="Q765" i="17" s="1"/>
  <c r="O735" i="17"/>
  <c r="Q735" i="17" s="1"/>
  <c r="O726" i="17"/>
  <c r="Q726" i="17" s="1"/>
  <c r="O778" i="17"/>
  <c r="Q778" i="17" s="1"/>
  <c r="P706" i="17"/>
  <c r="Q706" i="17" s="1"/>
  <c r="P710" i="17"/>
  <c r="Q710" i="17" s="1"/>
  <c r="P750" i="17"/>
  <c r="Q750" i="17" s="1"/>
  <c r="P731" i="17"/>
  <c r="Q731" i="17" s="1"/>
  <c r="P760" i="17"/>
  <c r="Q760" i="17" s="1"/>
  <c r="P702" i="17"/>
  <c r="Q702" i="17" s="1"/>
  <c r="P707" i="17"/>
  <c r="Q707" i="17" s="1"/>
  <c r="P751" i="17"/>
  <c r="Q751" i="17" s="1"/>
  <c r="P762" i="17"/>
  <c r="Q762" i="17" s="1"/>
  <c r="P774" i="17"/>
  <c r="Q774" i="17" s="1"/>
  <c r="O725" i="17"/>
  <c r="Q725" i="17" s="1"/>
  <c r="O775" i="17"/>
  <c r="Q775" i="17" s="1"/>
  <c r="P705" i="17"/>
  <c r="Q705" i="17" s="1"/>
  <c r="P720" i="17"/>
  <c r="Q720" i="17" s="1"/>
  <c r="P716" i="17"/>
  <c r="Q716" i="17" s="1"/>
  <c r="O730" i="17"/>
  <c r="Q730" i="17" s="1"/>
  <c r="O745" i="17"/>
  <c r="Q745" i="17" s="1"/>
  <c r="O776" i="17"/>
  <c r="Q776" i="17" s="1"/>
  <c r="P733" i="17"/>
  <c r="Q733" i="17" s="1"/>
  <c r="P713" i="17"/>
  <c r="Q713" i="17" s="1"/>
  <c r="P696" i="17"/>
  <c r="Q696" i="17" s="1"/>
  <c r="P723" i="17"/>
  <c r="Q723" i="17" s="1"/>
  <c r="P764" i="17"/>
  <c r="Q764" i="17" s="1"/>
  <c r="P717" i="17"/>
  <c r="Q717" i="17" s="1"/>
  <c r="O754" i="17"/>
  <c r="Q754" i="17" s="1"/>
  <c r="O698" i="17"/>
  <c r="Q698" i="17" s="1"/>
  <c r="P724" i="17"/>
  <c r="Q724" i="17" s="1"/>
  <c r="P777" i="17"/>
  <c r="Q777" i="17" s="1"/>
  <c r="O768" i="17"/>
  <c r="Q768" i="17" s="1"/>
  <c r="P741" i="17"/>
  <c r="Q741" i="17" s="1"/>
  <c r="P712" i="17"/>
  <c r="Q712" i="17" s="1"/>
  <c r="P756" i="17"/>
  <c r="Q756" i="17" s="1"/>
  <c r="P752" i="17"/>
  <c r="Q752" i="17" s="1"/>
  <c r="P758" i="17"/>
  <c r="Q758" i="17" s="1"/>
  <c r="P719" i="17"/>
  <c r="Q719" i="17" s="1"/>
  <c r="P740" i="17"/>
  <c r="Q740" i="17" s="1"/>
  <c r="O757" i="17"/>
  <c r="Q757" i="17" s="1"/>
  <c r="P722" i="17"/>
  <c r="Q722" i="17" s="1"/>
  <c r="P738" i="17"/>
  <c r="Q738" i="17" s="1"/>
  <c r="O721" i="17"/>
  <c r="Q721" i="17" s="1"/>
  <c r="P742" i="17"/>
  <c r="Q742" i="17" s="1"/>
  <c r="P728" i="17"/>
  <c r="Q728" i="17" s="1"/>
  <c r="P766" i="17"/>
  <c r="Q766" i="17" s="1"/>
  <c r="P700" i="17"/>
  <c r="Q700" i="17" s="1"/>
  <c r="P693" i="17"/>
  <c r="Q693" i="17" s="1"/>
  <c r="P769" i="17"/>
  <c r="Q769" i="17" s="1"/>
  <c r="O718" i="17"/>
  <c r="P718" i="17"/>
  <c r="O743" i="17"/>
  <c r="Q743" i="17" s="1"/>
  <c r="P746" i="17"/>
  <c r="Q746" i="17" s="1"/>
  <c r="O736" i="17"/>
  <c r="Q736" i="17" s="1"/>
  <c r="O763" i="17"/>
  <c r="Q763" i="17" s="1"/>
  <c r="P737" i="17"/>
  <c r="Q737" i="17" s="1"/>
  <c r="P767" i="17"/>
  <c r="Q767" i="17" s="1"/>
  <c r="P727" i="17"/>
  <c r="O727" i="17"/>
  <c r="O749" i="17"/>
  <c r="Q749" i="17" s="1"/>
  <c r="P744" i="17"/>
  <c r="Q744" i="17" s="1"/>
  <c r="P711" i="17"/>
  <c r="Q711" i="17" s="1"/>
  <c r="O694" i="17"/>
  <c r="Q694" i="17" s="1"/>
  <c r="P701" i="17"/>
  <c r="Q701" i="17" s="1"/>
  <c r="P709" i="17"/>
  <c r="Q709" i="17" s="1"/>
  <c r="P773" i="17"/>
  <c r="Q773" i="17" s="1"/>
  <c r="P747" i="17"/>
  <c r="Q747" i="17" s="1"/>
  <c r="P759" i="17"/>
  <c r="Q759" i="17" s="1"/>
  <c r="O771" i="17"/>
  <c r="P771" i="17"/>
  <c r="P739" i="17"/>
  <c r="Q739" i="17" s="1"/>
  <c r="P734" i="17"/>
  <c r="Q734" i="17" s="1"/>
  <c r="P704" i="17"/>
  <c r="Q704" i="17" s="1"/>
  <c r="P770" i="17"/>
  <c r="Q770" i="17" s="1"/>
  <c r="P697" i="17"/>
  <c r="Q697" i="17" s="1"/>
  <c r="O708" i="17"/>
  <c r="P708" i="17"/>
  <c r="O755" i="17"/>
  <c r="P755" i="17"/>
  <c r="O691" i="17"/>
  <c r="P691" i="17"/>
  <c r="O729" i="17"/>
  <c r="P729" i="17"/>
  <c r="O761" i="17"/>
  <c r="P761" i="17"/>
  <c r="O748" i="17"/>
  <c r="P748" i="17"/>
  <c r="O715" i="17"/>
  <c r="P715" i="17"/>
  <c r="O772" i="17"/>
  <c r="P772" i="17"/>
  <c r="O753" i="17"/>
  <c r="P753" i="17"/>
  <c r="O695" i="17"/>
  <c r="P695" i="17"/>
  <c r="O714" i="17"/>
  <c r="P714" i="17"/>
  <c r="O699" i="17"/>
  <c r="P699" i="17"/>
  <c r="N632" i="17"/>
  <c r="O632" i="17" s="1"/>
  <c r="N640" i="17"/>
  <c r="O640" i="17" s="1"/>
  <c r="N633" i="17"/>
  <c r="P633" i="17" s="1"/>
  <c r="N634" i="17"/>
  <c r="O634" i="17" s="1"/>
  <c r="N629" i="17"/>
  <c r="O629" i="17" s="1"/>
  <c r="BW168" i="10"/>
  <c r="BW166" i="10"/>
  <c r="BW160" i="10"/>
  <c r="N661" i="17"/>
  <c r="O661" i="17" s="1"/>
  <c r="N651" i="17"/>
  <c r="O651" i="17" s="1"/>
  <c r="N647" i="17"/>
  <c r="P647" i="17" s="1"/>
  <c r="BW175" i="10"/>
  <c r="BW173" i="10"/>
  <c r="N680" i="17"/>
  <c r="O680" i="17" s="1"/>
  <c r="N656" i="17"/>
  <c r="O656" i="17" s="1"/>
  <c r="N685" i="17"/>
  <c r="O685" i="17" s="1"/>
  <c r="N684" i="17"/>
  <c r="O684" i="17" s="1"/>
  <c r="N648" i="17"/>
  <c r="O648" i="17" s="1"/>
  <c r="N643" i="17"/>
  <c r="O643" i="17" s="1"/>
  <c r="N687" i="17"/>
  <c r="O687" i="17" s="1"/>
  <c r="N675" i="17"/>
  <c r="O675" i="17" s="1"/>
  <c r="N667" i="17"/>
  <c r="O667" i="17" s="1"/>
  <c r="N644" i="17"/>
  <c r="O644" i="17" s="1"/>
  <c r="N682" i="17"/>
  <c r="P682" i="17" s="1"/>
  <c r="N677" i="17"/>
  <c r="O677" i="17" s="1"/>
  <c r="N660" i="17"/>
  <c r="P660" i="17" s="1"/>
  <c r="N642" i="17"/>
  <c r="P642" i="17" s="1"/>
  <c r="N637" i="17"/>
  <c r="O637" i="17" s="1"/>
  <c r="N683" i="17"/>
  <c r="O683" i="17" s="1"/>
  <c r="N668" i="17"/>
  <c r="O668" i="17" s="1"/>
  <c r="N653" i="17"/>
  <c r="O653" i="17" s="1"/>
  <c r="N631" i="17"/>
  <c r="P631" i="17" s="1"/>
  <c r="N652" i="17"/>
  <c r="P652" i="17" s="1"/>
  <c r="N690" i="17"/>
  <c r="O690" i="17" s="1"/>
  <c r="N672" i="17"/>
  <c r="O672" i="17" s="1"/>
  <c r="N664" i="17"/>
  <c r="O664" i="17" s="1"/>
  <c r="N659" i="17"/>
  <c r="O659" i="17" s="1"/>
  <c r="N641" i="17"/>
  <c r="P641" i="17" s="1"/>
  <c r="N636" i="17"/>
  <c r="P636" i="17" s="1"/>
  <c r="N689" i="17"/>
  <c r="P689" i="17" s="1"/>
  <c r="N676" i="17"/>
  <c r="P676" i="17" s="1"/>
  <c r="N663" i="17"/>
  <c r="O663" i="17" s="1"/>
  <c r="N678" i="17"/>
  <c r="O678" i="17" s="1"/>
  <c r="N671" i="17"/>
  <c r="O671" i="17" s="1"/>
  <c r="N666" i="17"/>
  <c r="P666" i="17" s="1"/>
  <c r="N657" i="17"/>
  <c r="O657" i="17" s="1"/>
  <c r="N650" i="17"/>
  <c r="P650" i="17" s="1"/>
  <c r="N645" i="17"/>
  <c r="O645" i="17" s="1"/>
  <c r="N639" i="17"/>
  <c r="O639" i="17" s="1"/>
  <c r="N654" i="17"/>
  <c r="P654" i="17" s="1"/>
  <c r="N673" i="17"/>
  <c r="P673" i="17" s="1"/>
  <c r="N630" i="17"/>
  <c r="P630" i="17" s="1"/>
  <c r="N686" i="17"/>
  <c r="O686" i="17" s="1"/>
  <c r="N679" i="17"/>
  <c r="P679" i="17" s="1"/>
  <c r="N670" i="17"/>
  <c r="O670" i="17" s="1"/>
  <c r="N665" i="17"/>
  <c r="O665" i="17" s="1"/>
  <c r="N658" i="17"/>
  <c r="P658" i="17" s="1"/>
  <c r="N649" i="17"/>
  <c r="O649" i="17" s="1"/>
  <c r="N638" i="17"/>
  <c r="O638" i="17" s="1"/>
  <c r="N635" i="17"/>
  <c r="O635" i="17" s="1"/>
  <c r="N688" i="17"/>
  <c r="P688" i="17" s="1"/>
  <c r="N681" i="17"/>
  <c r="P681" i="17" s="1"/>
  <c r="N674" i="17"/>
  <c r="P674" i="17" s="1"/>
  <c r="N669" i="17"/>
  <c r="O669" i="17" s="1"/>
  <c r="N662" i="17"/>
  <c r="O662" i="17" s="1"/>
  <c r="N655" i="17"/>
  <c r="O655" i="17" s="1"/>
  <c r="N646" i="17"/>
  <c r="O646" i="17" s="1"/>
  <c r="BW165" i="10"/>
  <c r="BW164" i="10"/>
  <c r="BW172" i="10"/>
  <c r="BW171" i="10"/>
  <c r="BW157" i="10"/>
  <c r="BW170" i="10"/>
  <c r="BW169" i="10"/>
  <c r="BW158" i="10"/>
  <c r="BW163" i="10"/>
  <c r="BW174" i="10"/>
  <c r="BW162" i="10"/>
  <c r="BW161" i="10"/>
  <c r="BW167" i="10"/>
  <c r="BW159" i="10"/>
  <c r="L553" i="17"/>
  <c r="M553" i="17"/>
  <c r="R553" i="17"/>
  <c r="L554" i="17"/>
  <c r="M554" i="17"/>
  <c r="R554" i="17"/>
  <c r="L555" i="17"/>
  <c r="M555" i="17"/>
  <c r="R555" i="17"/>
  <c r="L556" i="17"/>
  <c r="M556" i="17"/>
  <c r="R556" i="17"/>
  <c r="L557" i="17"/>
  <c r="M557" i="17"/>
  <c r="R557" i="17"/>
  <c r="L558" i="17"/>
  <c r="M558" i="17"/>
  <c r="R558" i="17"/>
  <c r="L559" i="17"/>
  <c r="M559" i="17"/>
  <c r="R559" i="17"/>
  <c r="L560" i="17"/>
  <c r="M560" i="17"/>
  <c r="R560" i="17"/>
  <c r="L561" i="17"/>
  <c r="M561" i="17"/>
  <c r="R561" i="17"/>
  <c r="L562" i="17"/>
  <c r="M562" i="17"/>
  <c r="R562" i="17"/>
  <c r="L563" i="17"/>
  <c r="M563" i="17"/>
  <c r="R563" i="17"/>
  <c r="L564" i="17"/>
  <c r="M564" i="17"/>
  <c r="R564" i="17"/>
  <c r="L565" i="17"/>
  <c r="M565" i="17"/>
  <c r="R565" i="17"/>
  <c r="L566" i="17"/>
  <c r="M566" i="17"/>
  <c r="R566" i="17"/>
  <c r="L567" i="17"/>
  <c r="M567" i="17"/>
  <c r="R567" i="17"/>
  <c r="L568" i="17"/>
  <c r="M568" i="17"/>
  <c r="R568" i="17"/>
  <c r="L569" i="17"/>
  <c r="M569" i="17"/>
  <c r="R569" i="17"/>
  <c r="L570" i="17"/>
  <c r="M570" i="17"/>
  <c r="R570" i="17"/>
  <c r="L571" i="17"/>
  <c r="M571" i="17"/>
  <c r="R571" i="17"/>
  <c r="L572" i="17"/>
  <c r="M572" i="17"/>
  <c r="R572" i="17"/>
  <c r="L573" i="17"/>
  <c r="M573" i="17"/>
  <c r="R573" i="17"/>
  <c r="L574" i="17"/>
  <c r="M574" i="17"/>
  <c r="R574" i="17"/>
  <c r="L575" i="17"/>
  <c r="M575" i="17"/>
  <c r="R575" i="17"/>
  <c r="L576" i="17"/>
  <c r="M576" i="17"/>
  <c r="R576" i="17"/>
  <c r="L577" i="17"/>
  <c r="M577" i="17"/>
  <c r="R577" i="17"/>
  <c r="L578" i="17"/>
  <c r="M578" i="17"/>
  <c r="R578" i="17"/>
  <c r="L579" i="17"/>
  <c r="M579" i="17"/>
  <c r="R579" i="17"/>
  <c r="L580" i="17"/>
  <c r="M580" i="17"/>
  <c r="R580" i="17"/>
  <c r="L581" i="17"/>
  <c r="M581" i="17"/>
  <c r="R581" i="17"/>
  <c r="L582" i="17"/>
  <c r="M582" i="17"/>
  <c r="R582" i="17"/>
  <c r="L583" i="17"/>
  <c r="M583" i="17"/>
  <c r="R583" i="17"/>
  <c r="L584" i="17"/>
  <c r="M584" i="17"/>
  <c r="R584" i="17"/>
  <c r="L585" i="17"/>
  <c r="M585" i="17"/>
  <c r="R585" i="17"/>
  <c r="L586" i="17"/>
  <c r="M586" i="17"/>
  <c r="R586" i="17"/>
  <c r="L587" i="17"/>
  <c r="M587" i="17"/>
  <c r="R587" i="17"/>
  <c r="L588" i="17"/>
  <c r="M588" i="17"/>
  <c r="R588" i="17"/>
  <c r="L589" i="17"/>
  <c r="M589" i="17"/>
  <c r="R589" i="17"/>
  <c r="L590" i="17"/>
  <c r="M590" i="17"/>
  <c r="R590" i="17"/>
  <c r="L591" i="17"/>
  <c r="M591" i="17"/>
  <c r="R591" i="17"/>
  <c r="L592" i="17"/>
  <c r="M592" i="17"/>
  <c r="R592" i="17"/>
  <c r="L593" i="17"/>
  <c r="M593" i="17"/>
  <c r="R593" i="17"/>
  <c r="L594" i="17"/>
  <c r="M594" i="17"/>
  <c r="R594" i="17"/>
  <c r="L595" i="17"/>
  <c r="M595" i="17"/>
  <c r="R595" i="17"/>
  <c r="L596" i="17"/>
  <c r="M596" i="17"/>
  <c r="R596" i="17"/>
  <c r="L597" i="17"/>
  <c r="M597" i="17"/>
  <c r="R597" i="17"/>
  <c r="L598" i="17"/>
  <c r="M598" i="17"/>
  <c r="R598" i="17"/>
  <c r="L599" i="17"/>
  <c r="M599" i="17"/>
  <c r="R599" i="17"/>
  <c r="L600" i="17"/>
  <c r="M600" i="17"/>
  <c r="R600" i="17"/>
  <c r="L601" i="17"/>
  <c r="M601" i="17"/>
  <c r="R601" i="17"/>
  <c r="L602" i="17"/>
  <c r="M602" i="17"/>
  <c r="R602" i="17"/>
  <c r="L603" i="17"/>
  <c r="M603" i="17"/>
  <c r="R603" i="17"/>
  <c r="L604" i="17"/>
  <c r="M604" i="17"/>
  <c r="R604" i="17"/>
  <c r="L605" i="17"/>
  <c r="M605" i="17"/>
  <c r="R605" i="17"/>
  <c r="L606" i="17"/>
  <c r="M606" i="17"/>
  <c r="R606" i="17"/>
  <c r="L607" i="17"/>
  <c r="M607" i="17"/>
  <c r="R607" i="17"/>
  <c r="L608" i="17"/>
  <c r="M608" i="17"/>
  <c r="R608" i="17"/>
  <c r="L609" i="17"/>
  <c r="M609" i="17"/>
  <c r="R609" i="17"/>
  <c r="L610" i="17"/>
  <c r="M610" i="17"/>
  <c r="R610" i="17"/>
  <c r="L611" i="17"/>
  <c r="M611" i="17"/>
  <c r="R611" i="17"/>
  <c r="L612" i="17"/>
  <c r="M612" i="17"/>
  <c r="R612" i="17"/>
  <c r="L613" i="17"/>
  <c r="M613" i="17"/>
  <c r="R613" i="17"/>
  <c r="L614" i="17"/>
  <c r="M614" i="17"/>
  <c r="R614" i="17"/>
  <c r="L615" i="17"/>
  <c r="M615" i="17"/>
  <c r="R615" i="17"/>
  <c r="L616" i="17"/>
  <c r="M616" i="17"/>
  <c r="R616" i="17"/>
  <c r="L617" i="17"/>
  <c r="M617" i="17"/>
  <c r="R617" i="17"/>
  <c r="L618" i="17"/>
  <c r="M618" i="17"/>
  <c r="R618" i="17"/>
  <c r="L619" i="17"/>
  <c r="M619" i="17"/>
  <c r="R619" i="17"/>
  <c r="L620" i="17"/>
  <c r="M620" i="17"/>
  <c r="R620" i="17"/>
  <c r="L621" i="17"/>
  <c r="M621" i="17"/>
  <c r="R621" i="17"/>
  <c r="L622" i="17"/>
  <c r="M622" i="17"/>
  <c r="R622" i="17"/>
  <c r="L623" i="17"/>
  <c r="M623" i="17"/>
  <c r="R623" i="17"/>
  <c r="L624" i="17"/>
  <c r="M624" i="17"/>
  <c r="R624" i="17"/>
  <c r="L625" i="17"/>
  <c r="M625" i="17"/>
  <c r="R625" i="17"/>
  <c r="L626" i="17"/>
  <c r="M626" i="17"/>
  <c r="R626" i="17"/>
  <c r="L627" i="17"/>
  <c r="M627" i="17"/>
  <c r="R627" i="17"/>
  <c r="L628" i="17"/>
  <c r="M628" i="17"/>
  <c r="R628" i="17"/>
  <c r="BS204" i="10" l="1"/>
  <c r="BS202" i="10"/>
  <c r="BS196" i="10"/>
  <c r="BS194" i="10"/>
  <c r="BS193" i="10"/>
  <c r="BS191" i="10"/>
  <c r="BS190" i="10"/>
  <c r="BS187" i="10"/>
  <c r="BS181" i="10"/>
  <c r="Q715" i="17"/>
  <c r="BS177" i="10"/>
  <c r="Q718" i="17"/>
  <c r="BS185" i="10" s="1"/>
  <c r="Q727" i="17"/>
  <c r="BS188" i="10" s="1"/>
  <c r="BS192" i="10"/>
  <c r="Q771" i="17"/>
  <c r="BS182" i="10"/>
  <c r="Q714" i="17"/>
  <c r="BS200" i="10"/>
  <c r="Q761" i="17"/>
  <c r="Q755" i="17"/>
  <c r="BS179" i="10"/>
  <c r="Q753" i="17"/>
  <c r="BS197" i="10" s="1"/>
  <c r="Q729" i="17"/>
  <c r="BS189" i="10" s="1"/>
  <c r="Q708" i="17"/>
  <c r="BS183" i="10" s="1"/>
  <c r="Q748" i="17"/>
  <c r="BS195" i="10" s="1"/>
  <c r="Q699" i="17"/>
  <c r="Q772" i="17"/>
  <c r="BS186" i="10"/>
  <c r="Q691" i="17"/>
  <c r="BS176" i="10" s="1"/>
  <c r="Q695" i="17"/>
  <c r="BS178" i="10" s="1"/>
  <c r="BS263" i="10"/>
  <c r="P632" i="17"/>
  <c r="Q632" i="17" s="1"/>
  <c r="P634" i="17"/>
  <c r="Q634" i="17" s="1"/>
  <c r="P640" i="17"/>
  <c r="Q640" i="17" s="1"/>
  <c r="O633" i="17"/>
  <c r="Q633" i="17" s="1"/>
  <c r="P629" i="17"/>
  <c r="Q629" i="17" s="1"/>
  <c r="P687" i="17"/>
  <c r="Q687" i="17" s="1"/>
  <c r="O689" i="17"/>
  <c r="Q689" i="17" s="1"/>
  <c r="O682" i="17"/>
  <c r="Q682" i="17" s="1"/>
  <c r="P651" i="17"/>
  <c r="Q651" i="17" s="1"/>
  <c r="O631" i="17"/>
  <c r="Q631" i="17" s="1"/>
  <c r="P683" i="17"/>
  <c r="Q683" i="17" s="1"/>
  <c r="P644" i="17"/>
  <c r="Q644" i="17" s="1"/>
  <c r="P664" i="17"/>
  <c r="Q664" i="17" s="1"/>
  <c r="P684" i="17"/>
  <c r="Q684" i="17" s="1"/>
  <c r="P659" i="17"/>
  <c r="Q659" i="17" s="1"/>
  <c r="O679" i="17"/>
  <c r="Q679" i="17" s="1"/>
  <c r="O647" i="17"/>
  <c r="Q647" i="17" s="1"/>
  <c r="O654" i="17"/>
  <c r="Q654" i="17" s="1"/>
  <c r="P661" i="17"/>
  <c r="Q661" i="17" s="1"/>
  <c r="P648" i="17"/>
  <c r="Q648" i="17" s="1"/>
  <c r="O636" i="17"/>
  <c r="Q636" i="17" s="1"/>
  <c r="O666" i="17"/>
  <c r="Q666" i="17" s="1"/>
  <c r="P643" i="17"/>
  <c r="Q643" i="17" s="1"/>
  <c r="O658" i="17"/>
  <c r="Q658" i="17" s="1"/>
  <c r="P637" i="17"/>
  <c r="Q637" i="17" s="1"/>
  <c r="P665" i="17"/>
  <c r="Q665" i="17" s="1"/>
  <c r="P680" i="17"/>
  <c r="Q680" i="17" s="1"/>
  <c r="P646" i="17"/>
  <c r="Q646" i="17" s="1"/>
  <c r="O676" i="17"/>
  <c r="Q676" i="17" s="1"/>
  <c r="O652" i="17"/>
  <c r="Q652" i="17" s="1"/>
  <c r="O641" i="17"/>
  <c r="Q641" i="17" s="1"/>
  <c r="P657" i="17"/>
  <c r="Q657" i="17" s="1"/>
  <c r="P655" i="17"/>
  <c r="Q655" i="17" s="1"/>
  <c r="P686" i="17"/>
  <c r="Q686" i="17" s="1"/>
  <c r="O673" i="17"/>
  <c r="Q673" i="17" s="1"/>
  <c r="P656" i="17"/>
  <c r="Q656" i="17" s="1"/>
  <c r="P667" i="17"/>
  <c r="Q667" i="17" s="1"/>
  <c r="P685" i="17"/>
  <c r="Q685" i="17" s="1"/>
  <c r="P675" i="17"/>
  <c r="Q675" i="17" s="1"/>
  <c r="O650" i="17"/>
  <c r="Q650" i="17" s="1"/>
  <c r="P677" i="17"/>
  <c r="Q677" i="17" s="1"/>
  <c r="O688" i="17"/>
  <c r="Q688" i="17" s="1"/>
  <c r="O674" i="17"/>
  <c r="Q674" i="17" s="1"/>
  <c r="P690" i="17"/>
  <c r="Q690" i="17" s="1"/>
  <c r="O660" i="17"/>
  <c r="Q660" i="17" s="1"/>
  <c r="P649" i="17"/>
  <c r="Q649" i="17" s="1"/>
  <c r="O642" i="17"/>
  <c r="Q642" i="17" s="1"/>
  <c r="P663" i="17"/>
  <c r="Q663" i="17" s="1"/>
  <c r="P672" i="17"/>
  <c r="Q672" i="17" s="1"/>
  <c r="O630" i="17"/>
  <c r="Q630" i="17" s="1"/>
  <c r="O681" i="17"/>
  <c r="Q681" i="17" s="1"/>
  <c r="P668" i="17"/>
  <c r="Q668" i="17" s="1"/>
  <c r="P638" i="17"/>
  <c r="Q638" i="17" s="1"/>
  <c r="P653" i="17"/>
  <c r="Q653" i="17" s="1"/>
  <c r="P645" i="17"/>
  <c r="Q645" i="17" s="1"/>
  <c r="P662" i="17"/>
  <c r="Q662" i="17" s="1"/>
  <c r="P635" i="17"/>
  <c r="Q635" i="17" s="1"/>
  <c r="P678" i="17"/>
  <c r="Q678" i="17" s="1"/>
  <c r="P671" i="17"/>
  <c r="Q671" i="17" s="1"/>
  <c r="P639" i="17"/>
  <c r="Q639" i="17" s="1"/>
  <c r="P670" i="17"/>
  <c r="Q670" i="17" s="1"/>
  <c r="P669" i="17"/>
  <c r="Q669" i="17" s="1"/>
  <c r="N557" i="17"/>
  <c r="P557" i="17" s="1"/>
  <c r="N554" i="17"/>
  <c r="O554" i="17" s="1"/>
  <c r="N558" i="17"/>
  <c r="P558" i="17" s="1"/>
  <c r="N565" i="17"/>
  <c r="P565" i="17" s="1"/>
  <c r="N561" i="17"/>
  <c r="P561" i="17" s="1"/>
  <c r="N567" i="17"/>
  <c r="O567" i="17" s="1"/>
  <c r="N563" i="17"/>
  <c r="O563" i="17" s="1"/>
  <c r="N560" i="17"/>
  <c r="P560" i="17" s="1"/>
  <c r="N559" i="17"/>
  <c r="P559" i="17" s="1"/>
  <c r="N624" i="17"/>
  <c r="P624" i="17" s="1"/>
  <c r="N600" i="17"/>
  <c r="O600" i="17" s="1"/>
  <c r="N593" i="17"/>
  <c r="P593" i="17" s="1"/>
  <c r="N566" i="17"/>
  <c r="P566" i="17" s="1"/>
  <c r="N620" i="17"/>
  <c r="P620" i="17" s="1"/>
  <c r="N623" i="17"/>
  <c r="O623" i="17" s="1"/>
  <c r="N577" i="17"/>
  <c r="O577" i="17" s="1"/>
  <c r="N621" i="17"/>
  <c r="O621" i="17" s="1"/>
  <c r="N601" i="17"/>
  <c r="P601" i="17" s="1"/>
  <c r="N627" i="17"/>
  <c r="O627" i="17" s="1"/>
  <c r="N590" i="17"/>
  <c r="O590" i="17" s="1"/>
  <c r="N583" i="17"/>
  <c r="P583" i="17" s="1"/>
  <c r="N613" i="17"/>
  <c r="O613" i="17" s="1"/>
  <c r="N607" i="17"/>
  <c r="O607" i="17" s="1"/>
  <c r="N589" i="17"/>
  <c r="O589" i="17" s="1"/>
  <c r="N586" i="17"/>
  <c r="O586" i="17" s="1"/>
  <c r="N575" i="17"/>
  <c r="O575" i="17" s="1"/>
  <c r="N569" i="17"/>
  <c r="O569" i="17" s="1"/>
  <c r="N582" i="17"/>
  <c r="O582" i="17" s="1"/>
  <c r="N564" i="17"/>
  <c r="P564" i="17" s="1"/>
  <c r="N610" i="17"/>
  <c r="O610" i="17" s="1"/>
  <c r="N604" i="17"/>
  <c r="P604" i="17" s="1"/>
  <c r="N584" i="17"/>
  <c r="O584" i="17" s="1"/>
  <c r="N619" i="17"/>
  <c r="P619" i="17" s="1"/>
  <c r="N626" i="17"/>
  <c r="P626" i="17" s="1"/>
  <c r="N609" i="17"/>
  <c r="O609" i="17" s="1"/>
  <c r="N606" i="17"/>
  <c r="O606" i="17" s="1"/>
  <c r="N603" i="17"/>
  <c r="O603" i="17" s="1"/>
  <c r="N594" i="17"/>
  <c r="O594" i="17" s="1"/>
  <c r="N576" i="17"/>
  <c r="P576" i="17" s="1"/>
  <c r="N562" i="17"/>
  <c r="P562" i="17" s="1"/>
  <c r="N599" i="17"/>
  <c r="P599" i="17" s="1"/>
  <c r="N596" i="17"/>
  <c r="O596" i="17" s="1"/>
  <c r="N591" i="17"/>
  <c r="N602" i="17"/>
  <c r="O602" i="17" s="1"/>
  <c r="N625" i="17"/>
  <c r="P625" i="17" s="1"/>
  <c r="N618" i="17"/>
  <c r="O618" i="17" s="1"/>
  <c r="N616" i="17"/>
  <c r="O616" i="17" s="1"/>
  <c r="N614" i="17"/>
  <c r="O614" i="17" s="1"/>
  <c r="N611" i="17"/>
  <c r="O611" i="17" s="1"/>
  <c r="N581" i="17"/>
  <c r="O581" i="17" s="1"/>
  <c r="N578" i="17"/>
  <c r="P578" i="17" s="1"/>
  <c r="N571" i="17"/>
  <c r="O571" i="17" s="1"/>
  <c r="N568" i="17"/>
  <c r="O568" i="17" s="1"/>
  <c r="N555" i="17"/>
  <c r="P555" i="17" s="1"/>
  <c r="N553" i="17"/>
  <c r="P553" i="17" s="1"/>
  <c r="N622" i="17"/>
  <c r="N628" i="17"/>
  <c r="N598" i="17"/>
  <c r="O598" i="17" s="1"/>
  <c r="N595" i="17"/>
  <c r="P595" i="17" s="1"/>
  <c r="N588" i="17"/>
  <c r="P588" i="17" s="1"/>
  <c r="N585" i="17"/>
  <c r="P585" i="17" s="1"/>
  <c r="N570" i="17"/>
  <c r="N573" i="17"/>
  <c r="O573" i="17" s="1"/>
  <c r="N617" i="17"/>
  <c r="N608" i="17"/>
  <c r="O608" i="17" s="1"/>
  <c r="N605" i="17"/>
  <c r="N580" i="17"/>
  <c r="P580" i="17" s="1"/>
  <c r="N572" i="17"/>
  <c r="O572" i="17" s="1"/>
  <c r="N612" i="17"/>
  <c r="O612" i="17" s="1"/>
  <c r="N592" i="17"/>
  <c r="N587" i="17"/>
  <c r="N579" i="17"/>
  <c r="O579" i="17" s="1"/>
  <c r="N574" i="17"/>
  <c r="O574" i="17" s="1"/>
  <c r="N556" i="17"/>
  <c r="O556" i="17" s="1"/>
  <c r="N597" i="17"/>
  <c r="N615" i="17"/>
  <c r="BS174" i="10" l="1"/>
  <c r="BS289" i="10"/>
  <c r="BS203" i="10"/>
  <c r="BS201" i="10"/>
  <c r="BS198" i="10"/>
  <c r="BS184" i="10"/>
  <c r="BS180" i="10"/>
  <c r="BS166" i="10"/>
  <c r="BS169" i="10"/>
  <c r="BS175" i="10"/>
  <c r="BS161" i="10"/>
  <c r="BS158" i="10"/>
  <c r="BS157" i="10"/>
  <c r="BS164" i="10"/>
  <c r="BS160" i="10"/>
  <c r="BS171" i="10"/>
  <c r="BS173" i="10"/>
  <c r="BS170" i="10"/>
  <c r="BS159" i="10"/>
  <c r="BS162" i="10"/>
  <c r="BS163" i="10"/>
  <c r="BS168" i="10"/>
  <c r="BS165" i="10"/>
  <c r="O557" i="17"/>
  <c r="Q557" i="17" s="1"/>
  <c r="O558" i="17"/>
  <c r="Q558" i="17" s="1"/>
  <c r="P590" i="17"/>
  <c r="Q590" i="17" s="1"/>
  <c r="P589" i="17"/>
  <c r="Q589" i="17" s="1"/>
  <c r="P554" i="17"/>
  <c r="Q554" i="17" s="1"/>
  <c r="O565" i="17"/>
  <c r="Q565" i="17" s="1"/>
  <c r="O562" i="17"/>
  <c r="Q562" i="17" s="1"/>
  <c r="O561" i="17"/>
  <c r="Q561" i="17" s="1"/>
  <c r="P569" i="17"/>
  <c r="Q569" i="17" s="1"/>
  <c r="P567" i="17"/>
  <c r="Q567" i="17" s="1"/>
  <c r="O601" i="17"/>
  <c r="Q601" i="17" s="1"/>
  <c r="O559" i="17"/>
  <c r="Q559" i="17" s="1"/>
  <c r="P610" i="17"/>
  <c r="Q610" i="17" s="1"/>
  <c r="P600" i="17"/>
  <c r="Q600" i="17" s="1"/>
  <c r="O604" i="17"/>
  <c r="Q604" i="17" s="1"/>
  <c r="P621" i="17"/>
  <c r="Q621" i="17" s="1"/>
  <c r="P598" i="17"/>
  <c r="Q598" i="17" s="1"/>
  <c r="P574" i="17"/>
  <c r="Q574" i="17" s="1"/>
  <c r="P609" i="17"/>
  <c r="Q609" i="17" s="1"/>
  <c r="P563" i="17"/>
  <c r="Q563" i="17" s="1"/>
  <c r="O564" i="17"/>
  <c r="Q564" i="17" s="1"/>
  <c r="O625" i="17"/>
  <c r="Q625" i="17" s="1"/>
  <c r="P586" i="17"/>
  <c r="Q586" i="17" s="1"/>
  <c r="O560" i="17"/>
  <c r="Q560" i="17" s="1"/>
  <c r="O593" i="17"/>
  <c r="Q593" i="17" s="1"/>
  <c r="O553" i="17"/>
  <c r="Q553" i="17" s="1"/>
  <c r="P608" i="17"/>
  <c r="Q608" i="17" s="1"/>
  <c r="O580" i="17"/>
  <c r="Q580" i="17" s="1"/>
  <c r="O595" i="17"/>
  <c r="Q595" i="17" s="1"/>
  <c r="O624" i="17"/>
  <c r="Q624" i="17" s="1"/>
  <c r="P581" i="17"/>
  <c r="Q581" i="17" s="1"/>
  <c r="O599" i="17"/>
  <c r="Q599" i="17" s="1"/>
  <c r="P607" i="17"/>
  <c r="Q607" i="17" s="1"/>
  <c r="O626" i="17"/>
  <c r="Q626" i="17" s="1"/>
  <c r="P577" i="17"/>
  <c r="Q577" i="17" s="1"/>
  <c r="P627" i="17"/>
  <c r="Q627" i="17" s="1"/>
  <c r="P618" i="17"/>
  <c r="Q618" i="17" s="1"/>
  <c r="O578" i="17"/>
  <c r="Q578" i="17" s="1"/>
  <c r="O566" i="17"/>
  <c r="Q566" i="17" s="1"/>
  <c r="P568" i="17"/>
  <c r="Q568" i="17" s="1"/>
  <c r="P614" i="17"/>
  <c r="Q614" i="17" s="1"/>
  <c r="P602" i="17"/>
  <c r="Q602" i="17" s="1"/>
  <c r="P613" i="17"/>
  <c r="Q613" i="17" s="1"/>
  <c r="P603" i="17"/>
  <c r="Q603" i="17" s="1"/>
  <c r="O555" i="17"/>
  <c r="Q555" i="17" s="1"/>
  <c r="P612" i="17"/>
  <c r="Q612" i="17" s="1"/>
  <c r="P623" i="17"/>
  <c r="Q623" i="17" s="1"/>
  <c r="O619" i="17"/>
  <c r="Q619" i="17" s="1"/>
  <c r="P571" i="17"/>
  <c r="Q571" i="17" s="1"/>
  <c r="P616" i="17"/>
  <c r="Q616" i="17" s="1"/>
  <c r="O576" i="17"/>
  <c r="Q576" i="17" s="1"/>
  <c r="O620" i="17"/>
  <c r="Q620" i="17" s="1"/>
  <c r="P579" i="17"/>
  <c r="Q579" i="17" s="1"/>
  <c r="P606" i="17"/>
  <c r="Q606" i="17" s="1"/>
  <c r="P582" i="17"/>
  <c r="Q582" i="17" s="1"/>
  <c r="O583" i="17"/>
  <c r="Q583" i="17" s="1"/>
  <c r="O588" i="17"/>
  <c r="Q588" i="17" s="1"/>
  <c r="P575" i="17"/>
  <c r="Q575" i="17" s="1"/>
  <c r="P584" i="17"/>
  <c r="Q584" i="17" s="1"/>
  <c r="P591" i="17"/>
  <c r="O591" i="17"/>
  <c r="P594" i="17"/>
  <c r="Q594" i="17" s="1"/>
  <c r="P573" i="17"/>
  <c r="Q573" i="17" s="1"/>
  <c r="P572" i="17"/>
  <c r="Q572" i="17" s="1"/>
  <c r="O585" i="17"/>
  <c r="Q585" i="17" s="1"/>
  <c r="P596" i="17"/>
  <c r="Q596" i="17" s="1"/>
  <c r="P556" i="17"/>
  <c r="Q556" i="17" s="1"/>
  <c r="BS167" i="10"/>
  <c r="P611" i="17"/>
  <c r="Q611" i="17" s="1"/>
  <c r="O592" i="17"/>
  <c r="P592" i="17"/>
  <c r="P587" i="17"/>
  <c r="O587" i="17"/>
  <c r="P628" i="17"/>
  <c r="O628" i="17"/>
  <c r="P622" i="17"/>
  <c r="O622" i="17"/>
  <c r="BS172" i="10"/>
  <c r="O605" i="17"/>
  <c r="P605" i="17"/>
  <c r="P570" i="17"/>
  <c r="O570" i="17"/>
  <c r="O617" i="17"/>
  <c r="P617" i="17"/>
  <c r="P615" i="17"/>
  <c r="O615" i="17"/>
  <c r="P597" i="17"/>
  <c r="O597" i="17"/>
  <c r="Q587" i="17" l="1"/>
  <c r="Q591" i="17"/>
  <c r="Q597" i="17"/>
  <c r="Q622" i="17"/>
  <c r="Q628" i="17"/>
  <c r="Q570" i="17"/>
  <c r="Q617" i="17"/>
  <c r="Q605" i="17"/>
  <c r="Q592" i="17"/>
  <c r="Q615" i="17"/>
  <c r="BA136" i="10" l="1"/>
  <c r="BF136" i="10"/>
  <c r="BG136" i="10"/>
  <c r="BI136" i="10"/>
  <c r="BJ136" i="10"/>
  <c r="BK136" i="10"/>
  <c r="BL136" i="10"/>
  <c r="BM136" i="10"/>
  <c r="BN136" i="10"/>
  <c r="BO136" i="10"/>
  <c r="BP136" i="10"/>
  <c r="BQ136" i="10"/>
  <c r="BR136" i="10"/>
  <c r="BS136" i="10"/>
  <c r="BT136" i="10"/>
  <c r="BU136" i="10"/>
  <c r="BA137" i="10"/>
  <c r="BF137" i="10"/>
  <c r="BG137" i="10"/>
  <c r="BI137" i="10"/>
  <c r="BJ137" i="10"/>
  <c r="BK137" i="10"/>
  <c r="BL137" i="10"/>
  <c r="BM137" i="10"/>
  <c r="BN137" i="10"/>
  <c r="BO137" i="10"/>
  <c r="BP137" i="10"/>
  <c r="BQ137" i="10"/>
  <c r="BR137" i="10"/>
  <c r="BS137" i="10"/>
  <c r="BT137" i="10"/>
  <c r="BU137" i="10"/>
  <c r="BA138" i="10"/>
  <c r="BF138" i="10"/>
  <c r="BG138" i="10"/>
  <c r="BI138" i="10"/>
  <c r="BJ138" i="10"/>
  <c r="BK138" i="10"/>
  <c r="BL138" i="10"/>
  <c r="BM138" i="10"/>
  <c r="BN138" i="10"/>
  <c r="BO138" i="10"/>
  <c r="BP138" i="10"/>
  <c r="BQ138" i="10"/>
  <c r="BR138" i="10"/>
  <c r="BS138" i="10"/>
  <c r="BT138" i="10"/>
  <c r="BU138" i="10"/>
  <c r="BA139" i="10"/>
  <c r="BF139" i="10"/>
  <c r="BG139" i="10"/>
  <c r="BI139" i="10"/>
  <c r="BJ139" i="10"/>
  <c r="BK139" i="10"/>
  <c r="BL139" i="10"/>
  <c r="BM139" i="10"/>
  <c r="BN139" i="10"/>
  <c r="BO139" i="10"/>
  <c r="BP139" i="10"/>
  <c r="BQ139" i="10"/>
  <c r="BR139" i="10"/>
  <c r="BS139" i="10"/>
  <c r="BT139" i="10"/>
  <c r="BU139" i="10"/>
  <c r="BA140" i="10"/>
  <c r="BF140" i="10"/>
  <c r="BG140" i="10"/>
  <c r="BI140" i="10"/>
  <c r="BJ140" i="10"/>
  <c r="BK140" i="10"/>
  <c r="BL140" i="10"/>
  <c r="BM140" i="10"/>
  <c r="BN140" i="10"/>
  <c r="BO140" i="10"/>
  <c r="BP140" i="10"/>
  <c r="BQ140" i="10"/>
  <c r="BR140" i="10"/>
  <c r="BT140" i="10"/>
  <c r="BU140" i="10"/>
  <c r="BA141" i="10"/>
  <c r="BF141" i="10"/>
  <c r="BG141" i="10"/>
  <c r="BI141" i="10"/>
  <c r="BJ141" i="10"/>
  <c r="BK141" i="10"/>
  <c r="BL141" i="10"/>
  <c r="BM141" i="10"/>
  <c r="BN141" i="10"/>
  <c r="BO141" i="10"/>
  <c r="BP141" i="10"/>
  <c r="BQ141" i="10"/>
  <c r="BR141" i="10"/>
  <c r="BS141" i="10"/>
  <c r="BT141" i="10"/>
  <c r="BU141" i="10"/>
  <c r="BA142" i="10"/>
  <c r="BF142" i="10"/>
  <c r="BG142" i="10"/>
  <c r="BI142" i="10"/>
  <c r="BJ142" i="10"/>
  <c r="BK142" i="10"/>
  <c r="BL142" i="10"/>
  <c r="BM142" i="10"/>
  <c r="BN142" i="10"/>
  <c r="BO142" i="10"/>
  <c r="BP142" i="10"/>
  <c r="BQ142" i="10"/>
  <c r="BR142" i="10"/>
  <c r="BS142" i="10"/>
  <c r="BT142" i="10"/>
  <c r="BU142" i="10"/>
  <c r="BA143" i="10"/>
  <c r="BF143" i="10"/>
  <c r="BG143" i="10"/>
  <c r="BI143" i="10"/>
  <c r="BJ143" i="10"/>
  <c r="BK143" i="10"/>
  <c r="BL143" i="10"/>
  <c r="BM143" i="10"/>
  <c r="BN143" i="10"/>
  <c r="BO143" i="10"/>
  <c r="BP143" i="10"/>
  <c r="BQ143" i="10"/>
  <c r="BR143" i="10"/>
  <c r="BS143" i="10"/>
  <c r="BT143" i="10"/>
  <c r="BU143" i="10"/>
  <c r="BA144" i="10"/>
  <c r="BF144" i="10"/>
  <c r="BG144" i="10"/>
  <c r="BI144" i="10"/>
  <c r="BJ144" i="10"/>
  <c r="BK144" i="10"/>
  <c r="BL144" i="10"/>
  <c r="BM144" i="10"/>
  <c r="BN144" i="10"/>
  <c r="BO144" i="10"/>
  <c r="BP144" i="10"/>
  <c r="BQ144" i="10"/>
  <c r="BR144" i="10"/>
  <c r="BS144" i="10"/>
  <c r="BT144" i="10"/>
  <c r="BU144" i="10"/>
  <c r="BA145" i="10"/>
  <c r="BF145" i="10"/>
  <c r="BG145" i="10"/>
  <c r="BI145" i="10"/>
  <c r="BJ145" i="10"/>
  <c r="BK145" i="10"/>
  <c r="BL145" i="10"/>
  <c r="BM145" i="10"/>
  <c r="BN145" i="10"/>
  <c r="BO145" i="10"/>
  <c r="BP145" i="10"/>
  <c r="BQ145" i="10"/>
  <c r="BR145" i="10"/>
  <c r="BS145" i="10"/>
  <c r="BT145" i="10"/>
  <c r="BU145" i="10"/>
  <c r="BA146" i="10"/>
  <c r="BF146" i="10"/>
  <c r="BG146" i="10"/>
  <c r="BI146" i="10"/>
  <c r="BJ146" i="10"/>
  <c r="BK146" i="10"/>
  <c r="BL146" i="10"/>
  <c r="BM146" i="10"/>
  <c r="BN146" i="10"/>
  <c r="BO146" i="10"/>
  <c r="BP146" i="10"/>
  <c r="BQ146" i="10"/>
  <c r="BR146" i="10"/>
  <c r="BS146" i="10"/>
  <c r="BT146" i="10"/>
  <c r="BU146" i="10"/>
  <c r="BA147" i="10"/>
  <c r="BF147" i="10"/>
  <c r="BG147" i="10"/>
  <c r="BI147" i="10"/>
  <c r="BJ147" i="10"/>
  <c r="BK147" i="10"/>
  <c r="BL147" i="10"/>
  <c r="BM147" i="10"/>
  <c r="BN147" i="10"/>
  <c r="BO147" i="10"/>
  <c r="BP147" i="10"/>
  <c r="BQ147" i="10"/>
  <c r="BR147" i="10"/>
  <c r="BS147" i="10"/>
  <c r="BT147" i="10"/>
  <c r="BU147" i="10"/>
  <c r="BA148" i="10"/>
  <c r="BF148" i="10"/>
  <c r="BG148" i="10"/>
  <c r="BI148" i="10"/>
  <c r="BJ148" i="10"/>
  <c r="BK148" i="10"/>
  <c r="BL148" i="10"/>
  <c r="BM148" i="10"/>
  <c r="BN148" i="10"/>
  <c r="BO148" i="10"/>
  <c r="BP148" i="10"/>
  <c r="BQ148" i="10"/>
  <c r="BR148" i="10"/>
  <c r="BS148" i="10"/>
  <c r="BT148" i="10"/>
  <c r="BU148" i="10"/>
  <c r="BA149" i="10"/>
  <c r="BF149" i="10"/>
  <c r="BG149" i="10"/>
  <c r="BI149" i="10"/>
  <c r="BJ149" i="10"/>
  <c r="BK149" i="10"/>
  <c r="BL149" i="10"/>
  <c r="BM149" i="10"/>
  <c r="BN149" i="10"/>
  <c r="BO149" i="10"/>
  <c r="BP149" i="10"/>
  <c r="BQ149" i="10"/>
  <c r="BR149" i="10"/>
  <c r="BS149" i="10"/>
  <c r="BT149" i="10"/>
  <c r="BU149" i="10"/>
  <c r="BA150" i="10"/>
  <c r="BF150" i="10"/>
  <c r="BG150" i="10"/>
  <c r="BI150" i="10"/>
  <c r="BJ150" i="10"/>
  <c r="BK150" i="10"/>
  <c r="BL150" i="10"/>
  <c r="BM150" i="10"/>
  <c r="BN150" i="10"/>
  <c r="BO150" i="10"/>
  <c r="BP150" i="10"/>
  <c r="BQ150" i="10"/>
  <c r="BR150" i="10"/>
  <c r="BS150" i="10"/>
  <c r="BT150" i="10"/>
  <c r="BU150" i="10"/>
  <c r="BA151" i="10"/>
  <c r="BF151" i="10"/>
  <c r="BG151" i="10"/>
  <c r="BI151" i="10"/>
  <c r="BJ151" i="10"/>
  <c r="BK151" i="10"/>
  <c r="BL151" i="10"/>
  <c r="BM151" i="10"/>
  <c r="BN151" i="10"/>
  <c r="BO151" i="10"/>
  <c r="BP151" i="10"/>
  <c r="BQ151" i="10"/>
  <c r="BR151" i="10"/>
  <c r="BS151" i="10"/>
  <c r="BT151" i="10"/>
  <c r="BU151" i="10"/>
  <c r="BA152" i="10"/>
  <c r="BF152" i="10"/>
  <c r="BG152" i="10"/>
  <c r="BI152" i="10"/>
  <c r="BJ152" i="10"/>
  <c r="BK152" i="10"/>
  <c r="BL152" i="10"/>
  <c r="BM152" i="10"/>
  <c r="BN152" i="10"/>
  <c r="BO152" i="10"/>
  <c r="BP152" i="10"/>
  <c r="BQ152" i="10"/>
  <c r="BR152" i="10"/>
  <c r="BS152" i="10"/>
  <c r="BT152" i="10"/>
  <c r="BU152" i="10"/>
  <c r="BA153" i="10"/>
  <c r="BF153" i="10"/>
  <c r="BG153" i="10"/>
  <c r="BI153" i="10"/>
  <c r="BJ153" i="10"/>
  <c r="BK153" i="10"/>
  <c r="BL153" i="10"/>
  <c r="BM153" i="10"/>
  <c r="BN153" i="10"/>
  <c r="BO153" i="10"/>
  <c r="BP153" i="10"/>
  <c r="BQ153" i="10"/>
  <c r="BR153" i="10"/>
  <c r="BS153" i="10"/>
  <c r="BT153" i="10"/>
  <c r="BU153" i="10"/>
  <c r="BA154" i="10"/>
  <c r="BF154" i="10"/>
  <c r="BG154" i="10"/>
  <c r="BI154" i="10"/>
  <c r="BJ154" i="10"/>
  <c r="BK154" i="10"/>
  <c r="BL154" i="10"/>
  <c r="BM154" i="10"/>
  <c r="BN154" i="10"/>
  <c r="BO154" i="10"/>
  <c r="BP154" i="10"/>
  <c r="BQ154" i="10"/>
  <c r="BR154" i="10"/>
  <c r="BS154" i="10"/>
  <c r="BT154" i="10"/>
  <c r="BU154" i="10"/>
  <c r="BA155" i="10"/>
  <c r="BF155" i="10"/>
  <c r="BG155" i="10"/>
  <c r="BI155" i="10"/>
  <c r="BJ155" i="10"/>
  <c r="BK155" i="10"/>
  <c r="BL155" i="10"/>
  <c r="BM155" i="10"/>
  <c r="BN155" i="10"/>
  <c r="BO155" i="10"/>
  <c r="BP155" i="10"/>
  <c r="BQ155" i="10"/>
  <c r="BR155" i="10"/>
  <c r="BS155" i="10"/>
  <c r="BT155" i="10"/>
  <c r="BU155" i="10"/>
  <c r="BA156" i="10"/>
  <c r="BF156" i="10"/>
  <c r="BG156" i="10"/>
  <c r="BI156" i="10"/>
  <c r="BJ156" i="10"/>
  <c r="BK156" i="10"/>
  <c r="BL156" i="10"/>
  <c r="BM156" i="10"/>
  <c r="BN156" i="10"/>
  <c r="BO156" i="10"/>
  <c r="BP156" i="10"/>
  <c r="BQ156" i="10"/>
  <c r="BR156" i="10"/>
  <c r="BT156" i="10"/>
  <c r="BU156" i="10"/>
  <c r="BW138" i="10" l="1"/>
  <c r="BW152" i="10"/>
  <c r="BW154" i="10"/>
  <c r="BW139" i="10"/>
  <c r="BW151" i="10"/>
  <c r="BW136" i="10"/>
  <c r="BW143" i="10"/>
  <c r="BW142" i="10"/>
  <c r="BW149" i="10"/>
  <c r="BW156" i="10"/>
  <c r="BW155" i="10"/>
  <c r="BW146" i="10"/>
  <c r="BW145" i="10"/>
  <c r="BW148" i="10"/>
  <c r="BW147" i="10"/>
  <c r="BW137" i="10"/>
  <c r="BW141" i="10"/>
  <c r="BW140" i="10"/>
  <c r="BW150" i="10"/>
  <c r="BW153" i="10"/>
  <c r="BW144" i="10"/>
  <c r="L433" i="17"/>
  <c r="M433" i="17"/>
  <c r="R433" i="17"/>
  <c r="L434" i="17"/>
  <c r="M434" i="17"/>
  <c r="R434" i="17"/>
  <c r="L435" i="17"/>
  <c r="M435" i="17"/>
  <c r="R435" i="17"/>
  <c r="L436" i="17"/>
  <c r="M436" i="17"/>
  <c r="R436" i="17"/>
  <c r="L437" i="17"/>
  <c r="M437" i="17"/>
  <c r="R437" i="17"/>
  <c r="L438" i="17"/>
  <c r="M438" i="17"/>
  <c r="R438" i="17"/>
  <c r="L439" i="17"/>
  <c r="M439" i="17"/>
  <c r="R439" i="17"/>
  <c r="L440" i="17"/>
  <c r="M440" i="17"/>
  <c r="R440" i="17"/>
  <c r="L441" i="17"/>
  <c r="M441" i="17"/>
  <c r="R441" i="17"/>
  <c r="L442" i="17"/>
  <c r="M442" i="17"/>
  <c r="R442" i="17"/>
  <c r="L443" i="17"/>
  <c r="M443" i="17"/>
  <c r="R443" i="17"/>
  <c r="L444" i="17"/>
  <c r="M444" i="17"/>
  <c r="R444" i="17"/>
  <c r="L445" i="17"/>
  <c r="M445" i="17"/>
  <c r="R445" i="17"/>
  <c r="L446" i="17"/>
  <c r="M446" i="17"/>
  <c r="R446" i="17"/>
  <c r="L447" i="17"/>
  <c r="M447" i="17"/>
  <c r="R447" i="17"/>
  <c r="L448" i="17"/>
  <c r="M448" i="17"/>
  <c r="R448" i="17"/>
  <c r="L449" i="17"/>
  <c r="M449" i="17"/>
  <c r="R449" i="17"/>
  <c r="L450" i="17"/>
  <c r="M450" i="17"/>
  <c r="R450" i="17"/>
  <c r="L451" i="17"/>
  <c r="M451" i="17"/>
  <c r="R451" i="17"/>
  <c r="L452" i="17"/>
  <c r="M452" i="17"/>
  <c r="R452" i="17"/>
  <c r="L453" i="17"/>
  <c r="M453" i="17"/>
  <c r="R453" i="17"/>
  <c r="L454" i="17"/>
  <c r="M454" i="17"/>
  <c r="R454" i="17"/>
  <c r="L455" i="17"/>
  <c r="M455" i="17"/>
  <c r="R455" i="17"/>
  <c r="L456" i="17"/>
  <c r="M456" i="17"/>
  <c r="R456" i="17"/>
  <c r="L457" i="17"/>
  <c r="M457" i="17"/>
  <c r="R457" i="17"/>
  <c r="L458" i="17"/>
  <c r="M458" i="17"/>
  <c r="R458" i="17"/>
  <c r="L459" i="17"/>
  <c r="M459" i="17"/>
  <c r="R459" i="17"/>
  <c r="L460" i="17"/>
  <c r="M460" i="17"/>
  <c r="R460" i="17"/>
  <c r="L461" i="17"/>
  <c r="M461" i="17"/>
  <c r="R461" i="17"/>
  <c r="L462" i="17"/>
  <c r="M462" i="17"/>
  <c r="R462" i="17"/>
  <c r="L463" i="17"/>
  <c r="M463" i="17"/>
  <c r="R463" i="17"/>
  <c r="L464" i="17"/>
  <c r="M464" i="17"/>
  <c r="R464" i="17"/>
  <c r="L465" i="17"/>
  <c r="M465" i="17"/>
  <c r="R465" i="17"/>
  <c r="L466" i="17"/>
  <c r="M466" i="17"/>
  <c r="R466" i="17"/>
  <c r="L467" i="17"/>
  <c r="M467" i="17"/>
  <c r="R467" i="17"/>
  <c r="L468" i="17"/>
  <c r="M468" i="17"/>
  <c r="R468" i="17"/>
  <c r="L469" i="17"/>
  <c r="M469" i="17"/>
  <c r="R469" i="17"/>
  <c r="L470" i="17"/>
  <c r="M470" i="17"/>
  <c r="R470" i="17"/>
  <c r="L471" i="17"/>
  <c r="M471" i="17"/>
  <c r="R471" i="17"/>
  <c r="L472" i="17"/>
  <c r="M472" i="17"/>
  <c r="R472" i="17"/>
  <c r="L473" i="17"/>
  <c r="M473" i="17"/>
  <c r="R473" i="17"/>
  <c r="L474" i="17"/>
  <c r="M474" i="17"/>
  <c r="R474" i="17"/>
  <c r="L475" i="17"/>
  <c r="M475" i="17"/>
  <c r="R475" i="17"/>
  <c r="L476" i="17"/>
  <c r="M476" i="17"/>
  <c r="R476" i="17"/>
  <c r="L477" i="17"/>
  <c r="M477" i="17"/>
  <c r="R477" i="17"/>
  <c r="L478" i="17"/>
  <c r="M478" i="17"/>
  <c r="R478" i="17"/>
  <c r="L479" i="17"/>
  <c r="M479" i="17"/>
  <c r="R479" i="17"/>
  <c r="L480" i="17"/>
  <c r="M480" i="17"/>
  <c r="R480" i="17"/>
  <c r="L481" i="17"/>
  <c r="M481" i="17"/>
  <c r="R481" i="17"/>
  <c r="L482" i="17"/>
  <c r="M482" i="17"/>
  <c r="R482" i="17"/>
  <c r="L483" i="17"/>
  <c r="M483" i="17"/>
  <c r="R483" i="17"/>
  <c r="L484" i="17"/>
  <c r="M484" i="17"/>
  <c r="R484" i="17"/>
  <c r="L485" i="17"/>
  <c r="M485" i="17"/>
  <c r="R485" i="17"/>
  <c r="L486" i="17"/>
  <c r="M486" i="17"/>
  <c r="R486" i="17"/>
  <c r="L487" i="17"/>
  <c r="M487" i="17"/>
  <c r="R487" i="17"/>
  <c r="L488" i="17"/>
  <c r="M488" i="17"/>
  <c r="R488" i="17"/>
  <c r="L489" i="17"/>
  <c r="M489" i="17"/>
  <c r="R489" i="17"/>
  <c r="L490" i="17"/>
  <c r="M490" i="17"/>
  <c r="R490" i="17"/>
  <c r="L491" i="17"/>
  <c r="M491" i="17"/>
  <c r="R491" i="17"/>
  <c r="L492" i="17"/>
  <c r="M492" i="17"/>
  <c r="R492" i="17"/>
  <c r="L493" i="17"/>
  <c r="M493" i="17"/>
  <c r="R493" i="17"/>
  <c r="L494" i="17"/>
  <c r="M494" i="17"/>
  <c r="R494" i="17"/>
  <c r="L495" i="17"/>
  <c r="M495" i="17"/>
  <c r="R495" i="17"/>
  <c r="L496" i="17"/>
  <c r="M496" i="17"/>
  <c r="R496" i="17"/>
  <c r="L497" i="17"/>
  <c r="M497" i="17"/>
  <c r="R497" i="17"/>
  <c r="L498" i="17"/>
  <c r="M498" i="17"/>
  <c r="R498" i="17"/>
  <c r="L499" i="17"/>
  <c r="M499" i="17"/>
  <c r="R499" i="17"/>
  <c r="L500" i="17"/>
  <c r="M500" i="17"/>
  <c r="R500" i="17"/>
  <c r="L501" i="17"/>
  <c r="M501" i="17"/>
  <c r="R501" i="17"/>
  <c r="L502" i="17"/>
  <c r="M502" i="17"/>
  <c r="R502" i="17"/>
  <c r="L503" i="17"/>
  <c r="M503" i="17"/>
  <c r="R503" i="17"/>
  <c r="L504" i="17"/>
  <c r="M504" i="17"/>
  <c r="R504" i="17"/>
  <c r="L505" i="17"/>
  <c r="M505" i="17"/>
  <c r="R505" i="17"/>
  <c r="L506" i="17"/>
  <c r="M506" i="17"/>
  <c r="R506" i="17"/>
  <c r="L507" i="17"/>
  <c r="M507" i="17"/>
  <c r="R507" i="17"/>
  <c r="L508" i="17"/>
  <c r="M508" i="17"/>
  <c r="R508" i="17"/>
  <c r="L509" i="17"/>
  <c r="M509" i="17"/>
  <c r="R509" i="17"/>
  <c r="L510" i="17"/>
  <c r="M510" i="17"/>
  <c r="R510" i="17"/>
  <c r="L511" i="17"/>
  <c r="M511" i="17"/>
  <c r="R511" i="17"/>
  <c r="L512" i="17"/>
  <c r="M512" i="17"/>
  <c r="R512" i="17"/>
  <c r="L513" i="17"/>
  <c r="M513" i="17"/>
  <c r="R513" i="17"/>
  <c r="L514" i="17"/>
  <c r="M514" i="17"/>
  <c r="R514" i="17"/>
  <c r="L515" i="17"/>
  <c r="M515" i="17"/>
  <c r="R515" i="17"/>
  <c r="L516" i="17"/>
  <c r="M516" i="17"/>
  <c r="R516" i="17"/>
  <c r="L517" i="17"/>
  <c r="M517" i="17"/>
  <c r="R517" i="17"/>
  <c r="L518" i="17"/>
  <c r="M518" i="17"/>
  <c r="R518" i="17"/>
  <c r="L519" i="17"/>
  <c r="M519" i="17"/>
  <c r="R519" i="17"/>
  <c r="L520" i="17"/>
  <c r="M520" i="17"/>
  <c r="R520" i="17"/>
  <c r="L521" i="17"/>
  <c r="M521" i="17"/>
  <c r="R521" i="17"/>
  <c r="L522" i="17"/>
  <c r="M522" i="17"/>
  <c r="R522" i="17"/>
  <c r="L523" i="17"/>
  <c r="M523" i="17"/>
  <c r="R523" i="17"/>
  <c r="L524" i="17"/>
  <c r="M524" i="17"/>
  <c r="R524" i="17"/>
  <c r="L525" i="17"/>
  <c r="M525" i="17"/>
  <c r="R525" i="17"/>
  <c r="L526" i="17"/>
  <c r="M526" i="17"/>
  <c r="R526" i="17"/>
  <c r="L527" i="17"/>
  <c r="M527" i="17"/>
  <c r="R527" i="17"/>
  <c r="L528" i="17"/>
  <c r="M528" i="17"/>
  <c r="R528" i="17"/>
  <c r="L529" i="17"/>
  <c r="M529" i="17"/>
  <c r="R529" i="17"/>
  <c r="L530" i="17"/>
  <c r="M530" i="17"/>
  <c r="R530" i="17"/>
  <c r="L531" i="17"/>
  <c r="M531" i="17"/>
  <c r="R531" i="17"/>
  <c r="L532" i="17"/>
  <c r="M532" i="17"/>
  <c r="R532" i="17"/>
  <c r="L533" i="17"/>
  <c r="M533" i="17"/>
  <c r="R533" i="17"/>
  <c r="L534" i="17"/>
  <c r="M534" i="17"/>
  <c r="R534" i="17"/>
  <c r="L535" i="17"/>
  <c r="M535" i="17"/>
  <c r="R535" i="17"/>
  <c r="L536" i="17"/>
  <c r="M536" i="17"/>
  <c r="R536" i="17"/>
  <c r="L537" i="17"/>
  <c r="M537" i="17"/>
  <c r="R537" i="17"/>
  <c r="L538" i="17"/>
  <c r="M538" i="17"/>
  <c r="R538" i="17"/>
  <c r="L539" i="17"/>
  <c r="M539" i="17"/>
  <c r="R539" i="17"/>
  <c r="L540" i="17"/>
  <c r="M540" i="17"/>
  <c r="R540" i="17"/>
  <c r="L541" i="17"/>
  <c r="M541" i="17"/>
  <c r="R541" i="17"/>
  <c r="L542" i="17"/>
  <c r="M542" i="17"/>
  <c r="R542" i="17"/>
  <c r="L543" i="17"/>
  <c r="M543" i="17"/>
  <c r="R543" i="17"/>
  <c r="L544" i="17"/>
  <c r="M544" i="17"/>
  <c r="R544" i="17"/>
  <c r="L545" i="17"/>
  <c r="M545" i="17"/>
  <c r="R545" i="17"/>
  <c r="L546" i="17"/>
  <c r="M546" i="17"/>
  <c r="R546" i="17"/>
  <c r="L547" i="17"/>
  <c r="M547" i="17"/>
  <c r="R547" i="17"/>
  <c r="L548" i="17"/>
  <c r="M548" i="17"/>
  <c r="R548" i="17"/>
  <c r="L549" i="17"/>
  <c r="M549" i="17"/>
  <c r="R549" i="17"/>
  <c r="L550" i="17"/>
  <c r="M550" i="17"/>
  <c r="R550" i="17"/>
  <c r="L551" i="17"/>
  <c r="M551" i="17"/>
  <c r="R551" i="17"/>
  <c r="L552" i="17"/>
  <c r="M552" i="17"/>
  <c r="R552" i="17"/>
  <c r="BA126" i="10"/>
  <c r="BF126" i="10"/>
  <c r="BG126" i="10"/>
  <c r="BY126" i="10" s="1"/>
  <c r="BI126" i="10"/>
  <c r="BJ126" i="10"/>
  <c r="BK126" i="10"/>
  <c r="BL126" i="10"/>
  <c r="BM126" i="10"/>
  <c r="BN126" i="10"/>
  <c r="BO126" i="10"/>
  <c r="BP126" i="10"/>
  <c r="BQ126" i="10"/>
  <c r="BR126" i="10"/>
  <c r="BT126" i="10"/>
  <c r="BU126" i="10"/>
  <c r="BA127" i="10"/>
  <c r="BF127" i="10"/>
  <c r="BG127" i="10"/>
  <c r="BY127" i="10" s="1"/>
  <c r="BI127" i="10"/>
  <c r="BJ127" i="10"/>
  <c r="BK127" i="10"/>
  <c r="BL127" i="10"/>
  <c r="BM127" i="10"/>
  <c r="BN127" i="10"/>
  <c r="BO127" i="10"/>
  <c r="BP127" i="10"/>
  <c r="BQ127" i="10"/>
  <c r="BR127" i="10"/>
  <c r="BT127" i="10"/>
  <c r="BU127" i="10"/>
  <c r="BA128" i="10"/>
  <c r="BF128" i="10"/>
  <c r="BG128" i="10"/>
  <c r="BY128" i="10" s="1"/>
  <c r="BI128" i="10"/>
  <c r="BJ128" i="10"/>
  <c r="BK128" i="10"/>
  <c r="BL128" i="10"/>
  <c r="BM128" i="10"/>
  <c r="BN128" i="10"/>
  <c r="BO128" i="10"/>
  <c r="BP128" i="10"/>
  <c r="BQ128" i="10"/>
  <c r="BR128" i="10"/>
  <c r="BT128" i="10"/>
  <c r="BU128" i="10"/>
  <c r="BA129" i="10"/>
  <c r="BF129" i="10"/>
  <c r="BG129" i="10"/>
  <c r="BY129" i="10" s="1"/>
  <c r="BI129" i="10"/>
  <c r="BJ129" i="10"/>
  <c r="BK129" i="10"/>
  <c r="BL129" i="10"/>
  <c r="BM129" i="10"/>
  <c r="BN129" i="10"/>
  <c r="BO129" i="10"/>
  <c r="BP129" i="10"/>
  <c r="BQ129" i="10"/>
  <c r="BR129" i="10"/>
  <c r="BT129" i="10"/>
  <c r="BU129" i="10"/>
  <c r="BA130" i="10"/>
  <c r="BF130" i="10"/>
  <c r="BG130" i="10"/>
  <c r="BY130" i="10" s="1"/>
  <c r="BI130" i="10"/>
  <c r="BJ130" i="10"/>
  <c r="BK130" i="10"/>
  <c r="BL130" i="10"/>
  <c r="BM130" i="10"/>
  <c r="BN130" i="10"/>
  <c r="BO130" i="10"/>
  <c r="BP130" i="10"/>
  <c r="BQ130" i="10"/>
  <c r="BR130" i="10"/>
  <c r="BT130" i="10"/>
  <c r="BU130" i="10"/>
  <c r="BA131" i="10"/>
  <c r="BF131" i="10"/>
  <c r="BG131" i="10"/>
  <c r="BY131" i="10" s="1"/>
  <c r="BI131" i="10"/>
  <c r="BJ131" i="10"/>
  <c r="BK131" i="10"/>
  <c r="BL131" i="10"/>
  <c r="BM131" i="10"/>
  <c r="BN131" i="10"/>
  <c r="BO131" i="10"/>
  <c r="BP131" i="10"/>
  <c r="BQ131" i="10"/>
  <c r="BR131" i="10"/>
  <c r="BT131" i="10"/>
  <c r="BU131" i="10"/>
  <c r="BA132" i="10"/>
  <c r="BF132" i="10"/>
  <c r="BG132" i="10"/>
  <c r="BY132" i="10" s="1"/>
  <c r="BI132" i="10"/>
  <c r="BJ132" i="10"/>
  <c r="BK132" i="10"/>
  <c r="BL132" i="10"/>
  <c r="BM132" i="10"/>
  <c r="BN132" i="10"/>
  <c r="BO132" i="10"/>
  <c r="BP132" i="10"/>
  <c r="BQ132" i="10"/>
  <c r="BR132" i="10"/>
  <c r="BT132" i="10"/>
  <c r="BU132" i="10"/>
  <c r="BA133" i="10"/>
  <c r="BF133" i="10"/>
  <c r="BG133" i="10"/>
  <c r="BY133" i="10" s="1"/>
  <c r="BI133" i="10"/>
  <c r="BJ133" i="10"/>
  <c r="BK133" i="10"/>
  <c r="BL133" i="10"/>
  <c r="BM133" i="10"/>
  <c r="BN133" i="10"/>
  <c r="BO133" i="10"/>
  <c r="BP133" i="10"/>
  <c r="BQ133" i="10"/>
  <c r="BR133" i="10"/>
  <c r="BT133" i="10"/>
  <c r="BU133" i="10"/>
  <c r="BA134" i="10"/>
  <c r="BF134" i="10"/>
  <c r="BG134" i="10"/>
  <c r="BY134" i="10" s="1"/>
  <c r="BI134" i="10"/>
  <c r="BJ134" i="10"/>
  <c r="BK134" i="10"/>
  <c r="BL134" i="10"/>
  <c r="BM134" i="10"/>
  <c r="BN134" i="10"/>
  <c r="BO134" i="10"/>
  <c r="BP134" i="10"/>
  <c r="BQ134" i="10"/>
  <c r="BR134" i="10"/>
  <c r="BT134" i="10"/>
  <c r="BU134" i="10"/>
  <c r="BA135" i="10"/>
  <c r="BF135" i="10"/>
  <c r="BG135" i="10"/>
  <c r="BY135" i="10" s="1"/>
  <c r="BI135" i="10"/>
  <c r="BJ135" i="10"/>
  <c r="BK135" i="10"/>
  <c r="BL135" i="10"/>
  <c r="BM135" i="10"/>
  <c r="BN135" i="10"/>
  <c r="BO135" i="10"/>
  <c r="BP135" i="10"/>
  <c r="BQ135" i="10"/>
  <c r="BR135" i="10"/>
  <c r="BT135" i="10"/>
  <c r="BU135" i="10"/>
  <c r="N540" i="17" l="1"/>
  <c r="O540" i="17" s="1"/>
  <c r="N472" i="17"/>
  <c r="O472" i="17" s="1"/>
  <c r="N464" i="17"/>
  <c r="O464" i="17" s="1"/>
  <c r="N456" i="17"/>
  <c r="P456" i="17" s="1"/>
  <c r="N501" i="17"/>
  <c r="O501" i="17" s="1"/>
  <c r="N493" i="17"/>
  <c r="O493" i="17" s="1"/>
  <c r="N485" i="17"/>
  <c r="O485" i="17" s="1"/>
  <c r="N532" i="17"/>
  <c r="O532" i="17" s="1"/>
  <c r="N492" i="17"/>
  <c r="O492" i="17" s="1"/>
  <c r="N446" i="17"/>
  <c r="O446" i="17" s="1"/>
  <c r="N529" i="17"/>
  <c r="P529" i="17" s="1"/>
  <c r="N505" i="17"/>
  <c r="O505" i="17" s="1"/>
  <c r="N478" i="17"/>
  <c r="P478" i="17" s="1"/>
  <c r="N447" i="17"/>
  <c r="O447" i="17" s="1"/>
  <c r="N495" i="17"/>
  <c r="O495" i="17" s="1"/>
  <c r="N550" i="17"/>
  <c r="O550" i="17" s="1"/>
  <c r="N534" i="17"/>
  <c r="P534" i="17" s="1"/>
  <c r="N486" i="17"/>
  <c r="O486" i="17" s="1"/>
  <c r="N445" i="17"/>
  <c r="P445" i="17" s="1"/>
  <c r="N548" i="17"/>
  <c r="P548" i="17" s="1"/>
  <c r="N549" i="17"/>
  <c r="P549" i="17" s="1"/>
  <c r="N523" i="17"/>
  <c r="P523" i="17" s="1"/>
  <c r="N515" i="17"/>
  <c r="P515" i="17" s="1"/>
  <c r="N483" i="17"/>
  <c r="P483" i="17" s="1"/>
  <c r="N454" i="17"/>
  <c r="O454" i="17" s="1"/>
  <c r="BW129" i="10"/>
  <c r="N530" i="17"/>
  <c r="O530" i="17" s="1"/>
  <c r="N522" i="17"/>
  <c r="P522" i="17" s="1"/>
  <c r="N433" i="17"/>
  <c r="O433" i="17" s="1"/>
  <c r="BW130" i="10"/>
  <c r="BW126" i="10"/>
  <c r="N543" i="17"/>
  <c r="O543" i="17" s="1"/>
  <c r="N477" i="17"/>
  <c r="O477" i="17" s="1"/>
  <c r="N469" i="17"/>
  <c r="O469" i="17" s="1"/>
  <c r="N461" i="17"/>
  <c r="P461" i="17" s="1"/>
  <c r="N441" i="17"/>
  <c r="P441" i="17" s="1"/>
  <c r="N435" i="17"/>
  <c r="O435" i="17" s="1"/>
  <c r="N537" i="17"/>
  <c r="P537" i="17" s="1"/>
  <c r="N518" i="17"/>
  <c r="O518" i="17" s="1"/>
  <c r="N510" i="17"/>
  <c r="O510" i="17" s="1"/>
  <c r="N502" i="17"/>
  <c r="O502" i="17" s="1"/>
  <c r="N497" i="17"/>
  <c r="O497" i="17" s="1"/>
  <c r="N489" i="17"/>
  <c r="P489" i="17" s="1"/>
  <c r="N481" i="17"/>
  <c r="O481" i="17" s="1"/>
  <c r="N476" i="17"/>
  <c r="O476" i="17" s="1"/>
  <c r="N468" i="17"/>
  <c r="O468" i="17" s="1"/>
  <c r="N460" i="17"/>
  <c r="P460" i="17" s="1"/>
  <c r="N443" i="17"/>
  <c r="O443" i="17" s="1"/>
  <c r="N494" i="17"/>
  <c r="P494" i="17" s="1"/>
  <c r="N517" i="17"/>
  <c r="P517" i="17" s="1"/>
  <c r="N509" i="17"/>
  <c r="P509" i="17" s="1"/>
  <c r="N496" i="17"/>
  <c r="O496" i="17" s="1"/>
  <c r="N442" i="17"/>
  <c r="P442" i="17" s="1"/>
  <c r="N436" i="17"/>
  <c r="P436" i="17" s="1"/>
  <c r="N546" i="17"/>
  <c r="O546" i="17" s="1"/>
  <c r="N539" i="17"/>
  <c r="P539" i="17" s="1"/>
  <c r="N533" i="17"/>
  <c r="P533" i="17" s="1"/>
  <c r="N528" i="17"/>
  <c r="P528" i="17" s="1"/>
  <c r="N520" i="17"/>
  <c r="P520" i="17" s="1"/>
  <c r="N484" i="17"/>
  <c r="O484" i="17" s="1"/>
  <c r="N479" i="17"/>
  <c r="O479" i="17" s="1"/>
  <c r="N453" i="17"/>
  <c r="P453" i="17" s="1"/>
  <c r="N542" i="17"/>
  <c r="P542" i="17" s="1"/>
  <c r="N525" i="17"/>
  <c r="P525" i="17" s="1"/>
  <c r="N474" i="17"/>
  <c r="P474" i="17" s="1"/>
  <c r="N466" i="17"/>
  <c r="O466" i="17" s="1"/>
  <c r="N438" i="17"/>
  <c r="O438" i="17" s="1"/>
  <c r="N524" i="17"/>
  <c r="O524" i="17" s="1"/>
  <c r="N503" i="17"/>
  <c r="O503" i="17" s="1"/>
  <c r="N480" i="17"/>
  <c r="O480" i="17" s="1"/>
  <c r="N473" i="17"/>
  <c r="O473" i="17" s="1"/>
  <c r="BW134" i="10"/>
  <c r="N470" i="17"/>
  <c r="P470" i="17" s="1"/>
  <c r="N462" i="17"/>
  <c r="P462" i="17" s="1"/>
  <c r="N459" i="17"/>
  <c r="O459" i="17" s="1"/>
  <c r="N451" i="17"/>
  <c r="O451" i="17" s="1"/>
  <c r="N448" i="17"/>
  <c r="P448" i="17" s="1"/>
  <c r="BW135" i="10"/>
  <c r="BW133" i="10"/>
  <c r="N526" i="17"/>
  <c r="O526" i="17" s="1"/>
  <c r="N482" i="17"/>
  <c r="O482" i="17" s="1"/>
  <c r="N547" i="17"/>
  <c r="O547" i="17" s="1"/>
  <c r="N541" i="17"/>
  <c r="P541" i="17" s="1"/>
  <c r="N536" i="17"/>
  <c r="P536" i="17" s="1"/>
  <c r="N521" i="17"/>
  <c r="O521" i="17" s="1"/>
  <c r="N519" i="17"/>
  <c r="N512" i="17"/>
  <c r="P512" i="17" s="1"/>
  <c r="N508" i="17"/>
  <c r="O508" i="17" s="1"/>
  <c r="N490" i="17"/>
  <c r="P490" i="17" s="1"/>
  <c r="N465" i="17"/>
  <c r="O465" i="17" s="1"/>
  <c r="N452" i="17"/>
  <c r="P452" i="17" s="1"/>
  <c r="N449" i="17"/>
  <c r="O449" i="17" s="1"/>
  <c r="N444" i="17"/>
  <c r="O444" i="17" s="1"/>
  <c r="N440" i="17"/>
  <c r="O440" i="17" s="1"/>
  <c r="N544" i="17"/>
  <c r="N487" i="17"/>
  <c r="N458" i="17"/>
  <c r="O458" i="17" s="1"/>
  <c r="N437" i="17"/>
  <c r="P437" i="17" s="1"/>
  <c r="N527" i="17"/>
  <c r="N514" i="17"/>
  <c r="P514" i="17" s="1"/>
  <c r="N471" i="17"/>
  <c r="BW131" i="10"/>
  <c r="N551" i="17"/>
  <c r="N538" i="17"/>
  <c r="O538" i="17" s="1"/>
  <c r="N535" i="17"/>
  <c r="O535" i="17" s="1"/>
  <c r="N516" i="17"/>
  <c r="O516" i="17" s="1"/>
  <c r="N511" i="17"/>
  <c r="O511" i="17" s="1"/>
  <c r="N504" i="17"/>
  <c r="O504" i="17" s="1"/>
  <c r="N498" i="17"/>
  <c r="O498" i="17" s="1"/>
  <c r="N491" i="17"/>
  <c r="O491" i="17" s="1"/>
  <c r="N457" i="17"/>
  <c r="O457" i="17" s="1"/>
  <c r="N455" i="17"/>
  <c r="N450" i="17"/>
  <c r="O450" i="17" s="1"/>
  <c r="N439" i="17"/>
  <c r="P439" i="17" s="1"/>
  <c r="N434" i="17"/>
  <c r="O434" i="17" s="1"/>
  <c r="N552" i="17"/>
  <c r="O552" i="17" s="1"/>
  <c r="N513" i="17"/>
  <c r="O513" i="17" s="1"/>
  <c r="N500" i="17"/>
  <c r="O500" i="17" s="1"/>
  <c r="N488" i="17"/>
  <c r="O488" i="17" s="1"/>
  <c r="N545" i="17"/>
  <c r="O545" i="17" s="1"/>
  <c r="N506" i="17"/>
  <c r="O506" i="17" s="1"/>
  <c r="N463" i="17"/>
  <c r="O463" i="17" s="1"/>
  <c r="BW128" i="10"/>
  <c r="N499" i="17"/>
  <c r="N467" i="17"/>
  <c r="BW127" i="10"/>
  <c r="N507" i="17"/>
  <c r="N475" i="17"/>
  <c r="BW132" i="10"/>
  <c r="N531" i="17"/>
  <c r="P464" i="17" l="1"/>
  <c r="Q464" i="17" s="1"/>
  <c r="P472" i="17"/>
  <c r="Q472" i="17" s="1"/>
  <c r="O456" i="17"/>
  <c r="Q456" i="17" s="1"/>
  <c r="P501" i="17"/>
  <c r="Q501" i="17" s="1"/>
  <c r="P493" i="17"/>
  <c r="Q493" i="17" s="1"/>
  <c r="P485" i="17"/>
  <c r="Q485" i="17" s="1"/>
  <c r="O489" i="17"/>
  <c r="Q489" i="17" s="1"/>
  <c r="P435" i="17"/>
  <c r="Q435" i="17" s="1"/>
  <c r="O548" i="17"/>
  <c r="Q548" i="17" s="1"/>
  <c r="O517" i="17"/>
  <c r="Q517" i="17" s="1"/>
  <c r="O529" i="17"/>
  <c r="Q529" i="17" s="1"/>
  <c r="P447" i="17"/>
  <c r="Q447" i="17" s="1"/>
  <c r="P540" i="17"/>
  <c r="Q540" i="17" s="1"/>
  <c r="O549" i="17"/>
  <c r="Q549" i="17" s="1"/>
  <c r="O537" i="17"/>
  <c r="Q537" i="17" s="1"/>
  <c r="P550" i="17"/>
  <c r="Q550" i="17" s="1"/>
  <c r="P532" i="17"/>
  <c r="Q532" i="17" s="1"/>
  <c r="P505" i="17"/>
  <c r="Q505" i="17" s="1"/>
  <c r="P492" i="17"/>
  <c r="Q492" i="17" s="1"/>
  <c r="P496" i="17"/>
  <c r="Q496" i="17" s="1"/>
  <c r="P521" i="17"/>
  <c r="Q521" i="17" s="1"/>
  <c r="P444" i="17"/>
  <c r="Q444" i="17" s="1"/>
  <c r="O445" i="17"/>
  <c r="Q445" i="17" s="1"/>
  <c r="O528" i="17"/>
  <c r="Q528" i="17" s="1"/>
  <c r="P491" i="17"/>
  <c r="Q491" i="17" s="1"/>
  <c r="O490" i="17"/>
  <c r="Q490" i="17" s="1"/>
  <c r="O478" i="17"/>
  <c r="Q478" i="17" s="1"/>
  <c r="P552" i="17"/>
  <c r="Q552" i="17" s="1"/>
  <c r="O539" i="17"/>
  <c r="Q539" i="17" s="1"/>
  <c r="P446" i="17"/>
  <c r="Q446" i="17" s="1"/>
  <c r="O542" i="17"/>
  <c r="Q542" i="17" s="1"/>
  <c r="O483" i="17"/>
  <c r="Q483" i="17" s="1"/>
  <c r="O523" i="17"/>
  <c r="Q523" i="17" s="1"/>
  <c r="O541" i="17"/>
  <c r="Q541" i="17" s="1"/>
  <c r="P500" i="17"/>
  <c r="Q500" i="17" s="1"/>
  <c r="P469" i="17"/>
  <c r="Q469" i="17" s="1"/>
  <c r="P450" i="17"/>
  <c r="Q450" i="17" s="1"/>
  <c r="P477" i="17"/>
  <c r="Q477" i="17" s="1"/>
  <c r="O515" i="17"/>
  <c r="Q515" i="17" s="1"/>
  <c r="O520" i="17"/>
  <c r="Q520" i="17" s="1"/>
  <c r="P480" i="17"/>
  <c r="Q480" i="17" s="1"/>
  <c r="P479" i="17"/>
  <c r="Q479" i="17" s="1"/>
  <c r="O461" i="17"/>
  <c r="Q461" i="17" s="1"/>
  <c r="O460" i="17"/>
  <c r="Q460" i="17" s="1"/>
  <c r="P458" i="17"/>
  <c r="Q458" i="17" s="1"/>
  <c r="P516" i="17"/>
  <c r="Q516" i="17" s="1"/>
  <c r="P486" i="17"/>
  <c r="Q486" i="17" s="1"/>
  <c r="P510" i="17"/>
  <c r="Q510" i="17" s="1"/>
  <c r="P547" i="17"/>
  <c r="Q547" i="17" s="1"/>
  <c r="P518" i="17"/>
  <c r="Q518" i="17" s="1"/>
  <c r="P443" i="17"/>
  <c r="Q443" i="17" s="1"/>
  <c r="O509" i="17"/>
  <c r="Q509" i="17" s="1"/>
  <c r="O514" i="17"/>
  <c r="Q514" i="17" s="1"/>
  <c r="O522" i="17"/>
  <c r="Q522" i="17" s="1"/>
  <c r="P498" i="17"/>
  <c r="Q498" i="17" s="1"/>
  <c r="P530" i="17"/>
  <c r="Q530" i="17" s="1"/>
  <c r="P433" i="17"/>
  <c r="Q433" i="17" s="1"/>
  <c r="O474" i="17"/>
  <c r="Q474" i="17" s="1"/>
  <c r="O452" i="17"/>
  <c r="Q452" i="17" s="1"/>
  <c r="O442" i="17"/>
  <c r="Q442" i="17" s="1"/>
  <c r="O534" i="17"/>
  <c r="Q534" i="17" s="1"/>
  <c r="P481" i="17"/>
  <c r="Q481" i="17" s="1"/>
  <c r="P476" i="17"/>
  <c r="Q476" i="17" s="1"/>
  <c r="O437" i="17"/>
  <c r="Q437" i="17" s="1"/>
  <c r="P543" i="17"/>
  <c r="Q543" i="17" s="1"/>
  <c r="P526" i="17"/>
  <c r="Q526" i="17" s="1"/>
  <c r="O525" i="17"/>
  <c r="Q525" i="17" s="1"/>
  <c r="O436" i="17"/>
  <c r="Q436" i="17" s="1"/>
  <c r="P495" i="17"/>
  <c r="Q495" i="17" s="1"/>
  <c r="O536" i="17"/>
  <c r="Q536" i="17" s="1"/>
  <c r="P482" i="17"/>
  <c r="Q482" i="17" s="1"/>
  <c r="O470" i="17"/>
  <c r="Q470" i="17" s="1"/>
  <c r="O533" i="17"/>
  <c r="Q533" i="17" s="1"/>
  <c r="P538" i="17"/>
  <c r="Q538" i="17" s="1"/>
  <c r="P463" i="17"/>
  <c r="Q463" i="17" s="1"/>
  <c r="P457" i="17"/>
  <c r="Q457" i="17" s="1"/>
  <c r="P508" i="17"/>
  <c r="Q508" i="17" s="1"/>
  <c r="O441" i="17"/>
  <c r="Q441" i="17" s="1"/>
  <c r="O448" i="17"/>
  <c r="Q448" i="17" s="1"/>
  <c r="O494" i="17"/>
  <c r="Q494" i="17" s="1"/>
  <c r="P546" i="17"/>
  <c r="Q546" i="17" s="1"/>
  <c r="P454" i="17"/>
  <c r="Q454" i="17" s="1"/>
  <c r="P438" i="17"/>
  <c r="Q438" i="17" s="1"/>
  <c r="P497" i="17"/>
  <c r="Q497" i="17" s="1"/>
  <c r="P449" i="17"/>
  <c r="Q449" i="17" s="1"/>
  <c r="P468" i="17"/>
  <c r="Q468" i="17" s="1"/>
  <c r="P504" i="17"/>
  <c r="Q504" i="17" s="1"/>
  <c r="P434" i="17"/>
  <c r="Q434" i="17" s="1"/>
  <c r="P473" i="17"/>
  <c r="Q473" i="17" s="1"/>
  <c r="P524" i="17"/>
  <c r="Q524" i="17" s="1"/>
  <c r="P535" i="17"/>
  <c r="Q535" i="17" s="1"/>
  <c r="P459" i="17"/>
  <c r="Q459" i="17" s="1"/>
  <c r="P545" i="17"/>
  <c r="Q545" i="17" s="1"/>
  <c r="P502" i="17"/>
  <c r="Q502" i="17" s="1"/>
  <c r="O453" i="17"/>
  <c r="Q453" i="17" s="1"/>
  <c r="P513" i="17"/>
  <c r="Q513" i="17" s="1"/>
  <c r="P440" i="17"/>
  <c r="Q440" i="17" s="1"/>
  <c r="P466" i="17"/>
  <c r="Q466" i="17" s="1"/>
  <c r="P506" i="17"/>
  <c r="Q506" i="17" s="1"/>
  <c r="P484" i="17"/>
  <c r="Q484" i="17" s="1"/>
  <c r="P451" i="17"/>
  <c r="Q451" i="17" s="1"/>
  <c r="O462" i="17"/>
  <c r="Q462" i="17" s="1"/>
  <c r="P503" i="17"/>
  <c r="Q503" i="17" s="1"/>
  <c r="O512" i="17"/>
  <c r="Q512" i="17" s="1"/>
  <c r="P511" i="17"/>
  <c r="Q511" i="17" s="1"/>
  <c r="O527" i="17"/>
  <c r="P527" i="17"/>
  <c r="O455" i="17"/>
  <c r="P455" i="17"/>
  <c r="P488" i="17"/>
  <c r="Q488" i="17" s="1"/>
  <c r="P551" i="17"/>
  <c r="O551" i="17"/>
  <c r="O487" i="17"/>
  <c r="P487" i="17"/>
  <c r="P465" i="17"/>
  <c r="Q465" i="17" s="1"/>
  <c r="O439" i="17"/>
  <c r="Q439" i="17" s="1"/>
  <c r="O471" i="17"/>
  <c r="P471" i="17"/>
  <c r="O544" i="17"/>
  <c r="P544" i="17"/>
  <c r="O519" i="17"/>
  <c r="P519" i="17"/>
  <c r="O531" i="17"/>
  <c r="P531" i="17"/>
  <c r="O507" i="17"/>
  <c r="P507" i="17"/>
  <c r="O475" i="17"/>
  <c r="P475" i="17"/>
  <c r="O499" i="17"/>
  <c r="P499" i="17"/>
  <c r="O467" i="17"/>
  <c r="P467" i="17"/>
  <c r="BS199" i="10" l="1"/>
  <c r="BS140" i="10"/>
  <c r="BS133" i="10"/>
  <c r="BS131" i="10"/>
  <c r="BS130" i="10"/>
  <c r="BS127" i="10"/>
  <c r="BS126" i="10"/>
  <c r="BS134" i="10"/>
  <c r="Q519" i="17"/>
  <c r="Q475" i="17"/>
  <c r="Q507" i="17"/>
  <c r="Q531" i="17"/>
  <c r="Q471" i="17"/>
  <c r="Q527" i="17"/>
  <c r="Q467" i="17"/>
  <c r="Q499" i="17"/>
  <c r="Q487" i="17"/>
  <c r="Q455" i="17"/>
  <c r="Q551" i="17"/>
  <c r="BS135" i="10" s="1"/>
  <c r="Q544" i="17"/>
  <c r="BS132" i="10" s="1"/>
  <c r="BS276" i="10"/>
  <c r="L381" i="17" l="1"/>
  <c r="M381" i="17"/>
  <c r="R381" i="17"/>
  <c r="L382" i="17"/>
  <c r="M382" i="17"/>
  <c r="R382" i="17"/>
  <c r="L383" i="17"/>
  <c r="M383" i="17"/>
  <c r="R383" i="17"/>
  <c r="L384" i="17"/>
  <c r="M384" i="17"/>
  <c r="R384" i="17"/>
  <c r="L385" i="17"/>
  <c r="M385" i="17"/>
  <c r="R385" i="17"/>
  <c r="L386" i="17"/>
  <c r="M386" i="17"/>
  <c r="R386" i="17"/>
  <c r="L387" i="17"/>
  <c r="M387" i="17"/>
  <c r="R387" i="17"/>
  <c r="L388" i="17"/>
  <c r="M388" i="17"/>
  <c r="R388" i="17"/>
  <c r="L389" i="17"/>
  <c r="M389" i="17"/>
  <c r="R389" i="17"/>
  <c r="L390" i="17"/>
  <c r="M390" i="17"/>
  <c r="R390" i="17"/>
  <c r="L391" i="17"/>
  <c r="M391" i="17"/>
  <c r="R391" i="17"/>
  <c r="L392" i="17"/>
  <c r="M392" i="17"/>
  <c r="R392" i="17"/>
  <c r="L393" i="17"/>
  <c r="M393" i="17"/>
  <c r="R393" i="17"/>
  <c r="L394" i="17"/>
  <c r="M394" i="17"/>
  <c r="R394" i="17"/>
  <c r="L395" i="17"/>
  <c r="M395" i="17"/>
  <c r="R395" i="17"/>
  <c r="L396" i="17"/>
  <c r="M396" i="17"/>
  <c r="R396" i="17"/>
  <c r="L397" i="17"/>
  <c r="M397" i="17"/>
  <c r="R397" i="17"/>
  <c r="L398" i="17"/>
  <c r="M398" i="17"/>
  <c r="R398" i="17"/>
  <c r="L399" i="17"/>
  <c r="M399" i="17"/>
  <c r="R399" i="17"/>
  <c r="L400" i="17"/>
  <c r="M400" i="17"/>
  <c r="R400" i="17"/>
  <c r="L401" i="17"/>
  <c r="M401" i="17"/>
  <c r="R401" i="17"/>
  <c r="L402" i="17"/>
  <c r="M402" i="17"/>
  <c r="R402" i="17"/>
  <c r="L403" i="17"/>
  <c r="M403" i="17"/>
  <c r="R403" i="17"/>
  <c r="L404" i="17"/>
  <c r="M404" i="17"/>
  <c r="R404" i="17"/>
  <c r="L405" i="17"/>
  <c r="M405" i="17"/>
  <c r="R405" i="17"/>
  <c r="L406" i="17"/>
  <c r="M406" i="17"/>
  <c r="R406" i="17"/>
  <c r="L407" i="17"/>
  <c r="M407" i="17"/>
  <c r="R407" i="17"/>
  <c r="L408" i="17"/>
  <c r="M408" i="17"/>
  <c r="R408" i="17"/>
  <c r="L409" i="17"/>
  <c r="M409" i="17"/>
  <c r="R409" i="17"/>
  <c r="L410" i="17"/>
  <c r="M410" i="17"/>
  <c r="R410" i="17"/>
  <c r="L411" i="17"/>
  <c r="M411" i="17"/>
  <c r="R411" i="17"/>
  <c r="L412" i="17"/>
  <c r="M412" i="17"/>
  <c r="R412" i="17"/>
  <c r="L413" i="17"/>
  <c r="M413" i="17"/>
  <c r="R413" i="17"/>
  <c r="L414" i="17"/>
  <c r="M414" i="17"/>
  <c r="R414" i="17"/>
  <c r="L415" i="17"/>
  <c r="M415" i="17"/>
  <c r="R415" i="17"/>
  <c r="L416" i="17"/>
  <c r="M416" i="17"/>
  <c r="R416" i="17"/>
  <c r="L417" i="17"/>
  <c r="M417" i="17"/>
  <c r="R417" i="17"/>
  <c r="L418" i="17"/>
  <c r="M418" i="17"/>
  <c r="R418" i="17"/>
  <c r="L419" i="17"/>
  <c r="M419" i="17"/>
  <c r="R419" i="17"/>
  <c r="L420" i="17"/>
  <c r="M420" i="17"/>
  <c r="R420" i="17"/>
  <c r="L421" i="17"/>
  <c r="M421" i="17"/>
  <c r="R421" i="17"/>
  <c r="L422" i="17"/>
  <c r="M422" i="17"/>
  <c r="R422" i="17"/>
  <c r="L423" i="17"/>
  <c r="M423" i="17"/>
  <c r="R423" i="17"/>
  <c r="L424" i="17"/>
  <c r="M424" i="17"/>
  <c r="R424" i="17"/>
  <c r="L425" i="17"/>
  <c r="M425" i="17"/>
  <c r="R425" i="17"/>
  <c r="L426" i="17"/>
  <c r="M426" i="17"/>
  <c r="R426" i="17"/>
  <c r="L427" i="17"/>
  <c r="M427" i="17"/>
  <c r="R427" i="17"/>
  <c r="L428" i="17"/>
  <c r="M428" i="17"/>
  <c r="R428" i="17"/>
  <c r="L429" i="17"/>
  <c r="M429" i="17"/>
  <c r="R429" i="17"/>
  <c r="L430" i="17"/>
  <c r="M430" i="17"/>
  <c r="R430" i="17"/>
  <c r="L431" i="17"/>
  <c r="M431" i="17"/>
  <c r="R431" i="17"/>
  <c r="L432" i="17"/>
  <c r="M432" i="17"/>
  <c r="R432" i="17"/>
  <c r="BA120" i="10"/>
  <c r="BF120" i="10"/>
  <c r="BG120" i="10"/>
  <c r="BY120" i="10" s="1"/>
  <c r="BI120" i="10"/>
  <c r="BJ120" i="10"/>
  <c r="BK120" i="10"/>
  <c r="BL120" i="10"/>
  <c r="BM120" i="10"/>
  <c r="BN120" i="10"/>
  <c r="BO120" i="10"/>
  <c r="BP120" i="10"/>
  <c r="BQ120" i="10"/>
  <c r="BR120" i="10"/>
  <c r="BT120" i="10"/>
  <c r="BU120" i="10"/>
  <c r="BA121" i="10"/>
  <c r="BF121" i="10"/>
  <c r="BG121" i="10"/>
  <c r="BY121" i="10" s="1"/>
  <c r="BI121" i="10"/>
  <c r="BJ121" i="10"/>
  <c r="BK121" i="10"/>
  <c r="BL121" i="10"/>
  <c r="BM121" i="10"/>
  <c r="BN121" i="10"/>
  <c r="BO121" i="10"/>
  <c r="BP121" i="10"/>
  <c r="BQ121" i="10"/>
  <c r="BR121" i="10"/>
  <c r="BT121" i="10"/>
  <c r="BU121" i="10"/>
  <c r="BA122" i="10"/>
  <c r="BF122" i="10"/>
  <c r="BG122" i="10"/>
  <c r="BY122" i="10" s="1"/>
  <c r="BI122" i="10"/>
  <c r="BJ122" i="10"/>
  <c r="BK122" i="10"/>
  <c r="BL122" i="10"/>
  <c r="BM122" i="10"/>
  <c r="BN122" i="10"/>
  <c r="BO122" i="10"/>
  <c r="BP122" i="10"/>
  <c r="BQ122" i="10"/>
  <c r="BR122" i="10"/>
  <c r="BT122" i="10"/>
  <c r="BU122" i="10"/>
  <c r="BA123" i="10"/>
  <c r="BF123" i="10"/>
  <c r="BG123" i="10"/>
  <c r="BY123" i="10" s="1"/>
  <c r="BI123" i="10"/>
  <c r="BJ123" i="10"/>
  <c r="BK123" i="10"/>
  <c r="BL123" i="10"/>
  <c r="BM123" i="10"/>
  <c r="BN123" i="10"/>
  <c r="BO123" i="10"/>
  <c r="BP123" i="10"/>
  <c r="BQ123" i="10"/>
  <c r="BR123" i="10"/>
  <c r="BT123" i="10"/>
  <c r="BU123" i="10"/>
  <c r="BA124" i="10"/>
  <c r="BF124" i="10"/>
  <c r="BG124" i="10"/>
  <c r="BY124" i="10" s="1"/>
  <c r="BI124" i="10"/>
  <c r="BJ124" i="10"/>
  <c r="BK124" i="10"/>
  <c r="BL124" i="10"/>
  <c r="BM124" i="10"/>
  <c r="BN124" i="10"/>
  <c r="BO124" i="10"/>
  <c r="BP124" i="10"/>
  <c r="BQ124" i="10"/>
  <c r="BR124" i="10"/>
  <c r="BT124" i="10"/>
  <c r="BU124" i="10"/>
  <c r="BA125" i="10"/>
  <c r="BF125" i="10"/>
  <c r="BG125" i="10"/>
  <c r="BY125" i="10" s="1"/>
  <c r="BI125" i="10"/>
  <c r="BJ125" i="10"/>
  <c r="BK125" i="10"/>
  <c r="BL125" i="10"/>
  <c r="BM125" i="10"/>
  <c r="BN125" i="10"/>
  <c r="BO125" i="10"/>
  <c r="BP125" i="10"/>
  <c r="BQ125" i="10"/>
  <c r="BR125" i="10"/>
  <c r="BT125" i="10"/>
  <c r="BU125" i="10"/>
  <c r="N381" i="17" l="1"/>
  <c r="O381" i="17" s="1"/>
  <c r="N402" i="17"/>
  <c r="O402" i="17" s="1"/>
  <c r="N386" i="17"/>
  <c r="O386" i="17" s="1"/>
  <c r="N393" i="17"/>
  <c r="P393" i="17" s="1"/>
  <c r="N427" i="17"/>
  <c r="O427" i="17" s="1"/>
  <c r="N397" i="17"/>
  <c r="O397" i="17" s="1"/>
  <c r="N389" i="17"/>
  <c r="P389" i="17" s="1"/>
  <c r="N430" i="17"/>
  <c r="O430" i="17" s="1"/>
  <c r="N426" i="17"/>
  <c r="O426" i="17" s="1"/>
  <c r="N419" i="17"/>
  <c r="O419" i="17" s="1"/>
  <c r="N408" i="17"/>
  <c r="O408" i="17" s="1"/>
  <c r="N405" i="17"/>
  <c r="O405" i="17" s="1"/>
  <c r="N384" i="17"/>
  <c r="O384" i="17" s="1"/>
  <c r="N403" i="17"/>
  <c r="O403" i="17" s="1"/>
  <c r="N429" i="17"/>
  <c r="P429" i="17" s="1"/>
  <c r="N412" i="17"/>
  <c r="P412" i="17" s="1"/>
  <c r="N404" i="17"/>
  <c r="O404" i="17" s="1"/>
  <c r="N432" i="17"/>
  <c r="O432" i="17" s="1"/>
  <c r="N425" i="17"/>
  <c r="P425" i="17" s="1"/>
  <c r="N421" i="17"/>
  <c r="P421" i="17" s="1"/>
  <c r="N409" i="17"/>
  <c r="P409" i="17" s="1"/>
  <c r="N388" i="17"/>
  <c r="O388" i="17" s="1"/>
  <c r="N423" i="17"/>
  <c r="O423" i="17" s="1"/>
  <c r="N428" i="17"/>
  <c r="P428" i="17" s="1"/>
  <c r="N413" i="17"/>
  <c r="O413" i="17" s="1"/>
  <c r="N392" i="17"/>
  <c r="P392" i="17" s="1"/>
  <c r="N382" i="17"/>
  <c r="O382" i="17" s="1"/>
  <c r="N415" i="17"/>
  <c r="O415" i="17" s="1"/>
  <c r="N410" i="17"/>
  <c r="O410" i="17" s="1"/>
  <c r="N394" i="17"/>
  <c r="O394" i="17" s="1"/>
  <c r="N418" i="17"/>
  <c r="P418" i="17" s="1"/>
  <c r="N401" i="17"/>
  <c r="P401" i="17" s="1"/>
  <c r="N424" i="17"/>
  <c r="P424" i="17" s="1"/>
  <c r="N385" i="17"/>
  <c r="P385" i="17" s="1"/>
  <c r="N417" i="17"/>
  <c r="O417" i="17" s="1"/>
  <c r="N416" i="17"/>
  <c r="O416" i="17" s="1"/>
  <c r="N411" i="17"/>
  <c r="N395" i="17"/>
  <c r="N391" i="17"/>
  <c r="O391" i="17" s="1"/>
  <c r="N420" i="17"/>
  <c r="O420" i="17" s="1"/>
  <c r="N396" i="17"/>
  <c r="O396" i="17" s="1"/>
  <c r="N398" i="17"/>
  <c r="O398" i="17" s="1"/>
  <c r="N390" i="17"/>
  <c r="O390" i="17" s="1"/>
  <c r="N414" i="17"/>
  <c r="P414" i="17" s="1"/>
  <c r="N406" i="17"/>
  <c r="N400" i="17"/>
  <c r="O400" i="17" s="1"/>
  <c r="N387" i="17"/>
  <c r="O387" i="17" s="1"/>
  <c r="N383" i="17"/>
  <c r="P383" i="17" s="1"/>
  <c r="N431" i="17"/>
  <c r="N399" i="17"/>
  <c r="N422" i="17"/>
  <c r="N407" i="17"/>
  <c r="BW120" i="10"/>
  <c r="BW125" i="10"/>
  <c r="BW123" i="10"/>
  <c r="BW121" i="10"/>
  <c r="BW124" i="10"/>
  <c r="BW122" i="10"/>
  <c r="L365" i="17"/>
  <c r="M365" i="17"/>
  <c r="R365" i="17"/>
  <c r="L366" i="17"/>
  <c r="M366" i="17"/>
  <c r="R366" i="17"/>
  <c r="L367" i="17"/>
  <c r="M367" i="17"/>
  <c r="R367" i="17"/>
  <c r="L368" i="17"/>
  <c r="M368" i="17"/>
  <c r="R368" i="17"/>
  <c r="L369" i="17"/>
  <c r="M369" i="17"/>
  <c r="R369" i="17"/>
  <c r="L370" i="17"/>
  <c r="M370" i="17"/>
  <c r="R370" i="17"/>
  <c r="L371" i="17"/>
  <c r="M371" i="17"/>
  <c r="R371" i="17"/>
  <c r="L372" i="17"/>
  <c r="M372" i="17"/>
  <c r="R372" i="17"/>
  <c r="L373" i="17"/>
  <c r="M373" i="17"/>
  <c r="R373" i="17"/>
  <c r="L374" i="17"/>
  <c r="M374" i="17"/>
  <c r="R374" i="17"/>
  <c r="L375" i="17"/>
  <c r="M375" i="17"/>
  <c r="R375" i="17"/>
  <c r="L376" i="17"/>
  <c r="M376" i="17"/>
  <c r="R376" i="17"/>
  <c r="L377" i="17"/>
  <c r="M377" i="17"/>
  <c r="R377" i="17"/>
  <c r="L378" i="17"/>
  <c r="M378" i="17"/>
  <c r="R378" i="17"/>
  <c r="L379" i="17"/>
  <c r="M379" i="17"/>
  <c r="R379" i="17"/>
  <c r="L380" i="17"/>
  <c r="M380" i="17"/>
  <c r="R380" i="17"/>
  <c r="BA114" i="10"/>
  <c r="BF114" i="10"/>
  <c r="BG114" i="10"/>
  <c r="BY114" i="10" s="1"/>
  <c r="BI114" i="10"/>
  <c r="BJ114" i="10"/>
  <c r="BK114" i="10"/>
  <c r="BL114" i="10"/>
  <c r="BM114" i="10"/>
  <c r="BN114" i="10"/>
  <c r="BO114" i="10"/>
  <c r="BP114" i="10"/>
  <c r="BQ114" i="10"/>
  <c r="BR114" i="10"/>
  <c r="BT114" i="10"/>
  <c r="BU114" i="10"/>
  <c r="BA115" i="10"/>
  <c r="BF115" i="10"/>
  <c r="BG115" i="10"/>
  <c r="BY115" i="10" s="1"/>
  <c r="BI115" i="10"/>
  <c r="BJ115" i="10"/>
  <c r="BK115" i="10"/>
  <c r="BL115" i="10"/>
  <c r="BM115" i="10"/>
  <c r="BN115" i="10"/>
  <c r="BO115" i="10"/>
  <c r="BP115" i="10"/>
  <c r="BQ115" i="10"/>
  <c r="BR115" i="10"/>
  <c r="BT115" i="10"/>
  <c r="BU115" i="10"/>
  <c r="BA116" i="10"/>
  <c r="BF116" i="10"/>
  <c r="BG116" i="10"/>
  <c r="BY116" i="10" s="1"/>
  <c r="BI116" i="10"/>
  <c r="BJ116" i="10"/>
  <c r="BK116" i="10"/>
  <c r="BL116" i="10"/>
  <c r="BM116" i="10"/>
  <c r="BN116" i="10"/>
  <c r="BO116" i="10"/>
  <c r="BP116" i="10"/>
  <c r="BQ116" i="10"/>
  <c r="BR116" i="10"/>
  <c r="BT116" i="10"/>
  <c r="BU116" i="10"/>
  <c r="BA117" i="10"/>
  <c r="BF117" i="10"/>
  <c r="BG117" i="10"/>
  <c r="BY117" i="10" s="1"/>
  <c r="BI117" i="10"/>
  <c r="BJ117" i="10"/>
  <c r="BK117" i="10"/>
  <c r="BL117" i="10"/>
  <c r="BM117" i="10"/>
  <c r="BN117" i="10"/>
  <c r="BO117" i="10"/>
  <c r="BP117" i="10"/>
  <c r="BQ117" i="10"/>
  <c r="BR117" i="10"/>
  <c r="BT117" i="10"/>
  <c r="BU117" i="10"/>
  <c r="BA118" i="10"/>
  <c r="BF118" i="10"/>
  <c r="BG118" i="10"/>
  <c r="BY118" i="10" s="1"/>
  <c r="BI118" i="10"/>
  <c r="BJ118" i="10"/>
  <c r="BK118" i="10"/>
  <c r="BL118" i="10"/>
  <c r="BM118" i="10"/>
  <c r="BN118" i="10"/>
  <c r="BO118" i="10"/>
  <c r="BP118" i="10"/>
  <c r="BQ118" i="10"/>
  <c r="BR118" i="10"/>
  <c r="BT118" i="10"/>
  <c r="BU118" i="10"/>
  <c r="BA119" i="10"/>
  <c r="BF119" i="10"/>
  <c r="BG119" i="10"/>
  <c r="BY119" i="10" s="1"/>
  <c r="BI119" i="10"/>
  <c r="BJ119" i="10"/>
  <c r="BK119" i="10"/>
  <c r="BL119" i="10"/>
  <c r="BM119" i="10"/>
  <c r="BN119" i="10"/>
  <c r="BO119" i="10"/>
  <c r="BP119" i="10"/>
  <c r="BQ119" i="10"/>
  <c r="BR119" i="10"/>
  <c r="BT119" i="10"/>
  <c r="BU119" i="10"/>
  <c r="P419" i="17" l="1"/>
  <c r="Q419" i="17" s="1"/>
  <c r="P402" i="17"/>
  <c r="Q402" i="17" s="1"/>
  <c r="P381" i="17"/>
  <c r="Q381" i="17" s="1"/>
  <c r="P427" i="17"/>
  <c r="Q427" i="17" s="1"/>
  <c r="O393" i="17"/>
  <c r="Q393" i="17" s="1"/>
  <c r="P413" i="17"/>
  <c r="Q413" i="17" s="1"/>
  <c r="P432" i="17"/>
  <c r="Q432" i="17" s="1"/>
  <c r="P386" i="17"/>
  <c r="Q386" i="17" s="1"/>
  <c r="O389" i="17"/>
  <c r="Q389" i="17" s="1"/>
  <c r="P426" i="17"/>
  <c r="Q426" i="17" s="1"/>
  <c r="P384" i="17"/>
  <c r="Q384" i="17" s="1"/>
  <c r="P430" i="17"/>
  <c r="Q430" i="17" s="1"/>
  <c r="P403" i="17"/>
  <c r="Q403" i="17" s="1"/>
  <c r="O392" i="17"/>
  <c r="Q392" i="17" s="1"/>
  <c r="P405" i="17"/>
  <c r="Q405" i="17" s="1"/>
  <c r="O412" i="17"/>
  <c r="Q412" i="17" s="1"/>
  <c r="P388" i="17"/>
  <c r="Q388" i="17" s="1"/>
  <c r="O425" i="17"/>
  <c r="Q425" i="17" s="1"/>
  <c r="O424" i="17"/>
  <c r="Q424" i="17" s="1"/>
  <c r="P423" i="17"/>
  <c r="Q423" i="17" s="1"/>
  <c r="P397" i="17"/>
  <c r="Q397" i="17" s="1"/>
  <c r="O421" i="17"/>
  <c r="Q421" i="17" s="1"/>
  <c r="O409" i="17"/>
  <c r="Q409" i="17" s="1"/>
  <c r="P398" i="17"/>
  <c r="Q398" i="17" s="1"/>
  <c r="P404" i="17"/>
  <c r="Q404" i="17" s="1"/>
  <c r="P394" i="17"/>
  <c r="Q394" i="17" s="1"/>
  <c r="P408" i="17"/>
  <c r="Q408" i="17" s="1"/>
  <c r="P390" i="17"/>
  <c r="Q390" i="17" s="1"/>
  <c r="P410" i="17"/>
  <c r="Q410" i="17" s="1"/>
  <c r="P387" i="17"/>
  <c r="Q387" i="17" s="1"/>
  <c r="O401" i="17"/>
  <c r="Q401" i="17" s="1"/>
  <c r="O429" i="17"/>
  <c r="Q429" i="17" s="1"/>
  <c r="O385" i="17"/>
  <c r="Q385" i="17" s="1"/>
  <c r="P416" i="17"/>
  <c r="Q416" i="17" s="1"/>
  <c r="O383" i="17"/>
  <c r="Q383" i="17" s="1"/>
  <c r="P391" i="17"/>
  <c r="Q391" i="17" s="1"/>
  <c r="O428" i="17"/>
  <c r="Q428" i="17" s="1"/>
  <c r="O418" i="17"/>
  <c r="Q418" i="17" s="1"/>
  <c r="P400" i="17"/>
  <c r="Q400" i="17" s="1"/>
  <c r="P396" i="17"/>
  <c r="Q396" i="17" s="1"/>
  <c r="P382" i="17"/>
  <c r="Q382" i="17" s="1"/>
  <c r="P417" i="17"/>
  <c r="Q417" i="17" s="1"/>
  <c r="P420" i="17"/>
  <c r="Q420" i="17" s="1"/>
  <c r="P415" i="17"/>
  <c r="Q415" i="17" s="1"/>
  <c r="P406" i="17"/>
  <c r="O406" i="17"/>
  <c r="O395" i="17"/>
  <c r="P395" i="17"/>
  <c r="O411" i="17"/>
  <c r="P411" i="17"/>
  <c r="O414" i="17"/>
  <c r="Q414" i="17" s="1"/>
  <c r="P431" i="17"/>
  <c r="O431" i="17"/>
  <c r="O407" i="17"/>
  <c r="P407" i="17"/>
  <c r="O399" i="17"/>
  <c r="P399" i="17"/>
  <c r="O422" i="17"/>
  <c r="P422" i="17"/>
  <c r="N366" i="17"/>
  <c r="P366" i="17" s="1"/>
  <c r="BW114" i="10"/>
  <c r="N367" i="17"/>
  <c r="P367" i="17" s="1"/>
  <c r="BW118" i="10"/>
  <c r="N372" i="17"/>
  <c r="O372" i="17" s="1"/>
  <c r="N368" i="17"/>
  <c r="O368" i="17" s="1"/>
  <c r="N365" i="17"/>
  <c r="P365" i="17" s="1"/>
  <c r="N373" i="17"/>
  <c r="P373" i="17" s="1"/>
  <c r="N375" i="17"/>
  <c r="P375" i="17" s="1"/>
  <c r="N378" i="17"/>
  <c r="P378" i="17" s="1"/>
  <c r="N377" i="17"/>
  <c r="O377" i="17" s="1"/>
  <c r="N380" i="17"/>
  <c r="O380" i="17" s="1"/>
  <c r="N376" i="17"/>
  <c r="P376" i="17" s="1"/>
  <c r="N369" i="17"/>
  <c r="P369" i="17" s="1"/>
  <c r="N371" i="17"/>
  <c r="P371" i="17" s="1"/>
  <c r="N374" i="17"/>
  <c r="P374" i="17" s="1"/>
  <c r="BW119" i="10"/>
  <c r="BW117" i="10"/>
  <c r="BW116" i="10"/>
  <c r="BW115" i="10"/>
  <c r="N379" i="17"/>
  <c r="O379" i="17" s="1"/>
  <c r="N370" i="17"/>
  <c r="O370" i="17" s="1"/>
  <c r="BA112" i="10"/>
  <c r="BF112" i="10"/>
  <c r="BG112" i="10"/>
  <c r="BY112" i="10" s="1"/>
  <c r="BI112" i="10"/>
  <c r="BJ112" i="10"/>
  <c r="BK112" i="10"/>
  <c r="BL112" i="10"/>
  <c r="BM112" i="10"/>
  <c r="BN112" i="10"/>
  <c r="BO112" i="10"/>
  <c r="BP112" i="10"/>
  <c r="BQ112" i="10"/>
  <c r="BR112" i="10"/>
  <c r="BT112" i="10"/>
  <c r="BU112" i="10"/>
  <c r="BA113" i="10"/>
  <c r="BF113" i="10"/>
  <c r="BG113" i="10"/>
  <c r="BY113" i="10" s="1"/>
  <c r="BI113" i="10"/>
  <c r="BJ113" i="10"/>
  <c r="BK113" i="10"/>
  <c r="BL113" i="10"/>
  <c r="BM113" i="10"/>
  <c r="BN113" i="10"/>
  <c r="BO113" i="10"/>
  <c r="BP113" i="10"/>
  <c r="BQ113" i="10"/>
  <c r="BR113" i="10"/>
  <c r="BT113" i="10"/>
  <c r="BU113" i="10"/>
  <c r="BS156" i="10" l="1"/>
  <c r="Q406" i="17"/>
  <c r="Q431" i="17"/>
  <c r="BS121" i="10"/>
  <c r="Q395" i="17"/>
  <c r="Q411" i="17"/>
  <c r="Q422" i="17"/>
  <c r="Q399" i="17"/>
  <c r="BS123" i="10"/>
  <c r="Q407" i="17"/>
  <c r="O366" i="17"/>
  <c r="Q366" i="17" s="1"/>
  <c r="O367" i="17"/>
  <c r="Q367" i="17" s="1"/>
  <c r="P372" i="17"/>
  <c r="Q372" i="17" s="1"/>
  <c r="O365" i="17"/>
  <c r="Q365" i="17" s="1"/>
  <c r="P368" i="17"/>
  <c r="Q368" i="17" s="1"/>
  <c r="P370" i="17"/>
  <c r="Q370" i="17" s="1"/>
  <c r="O374" i="17"/>
  <c r="Q374" i="17" s="1"/>
  <c r="O373" i="17"/>
  <c r="Q373" i="17" s="1"/>
  <c r="O376" i="17"/>
  <c r="Q376" i="17" s="1"/>
  <c r="O369" i="17"/>
  <c r="Q369" i="17" s="1"/>
  <c r="P377" i="17"/>
  <c r="Q377" i="17" s="1"/>
  <c r="O378" i="17"/>
  <c r="Q378" i="17" s="1"/>
  <c r="O371" i="17"/>
  <c r="Q371" i="17" s="1"/>
  <c r="O375" i="17"/>
  <c r="Q375" i="17" s="1"/>
  <c r="P380" i="17"/>
  <c r="Q380" i="17" s="1"/>
  <c r="P379" i="17"/>
  <c r="Q379" i="17" s="1"/>
  <c r="BW112" i="10"/>
  <c r="BW113" i="10"/>
  <c r="L356" i="17"/>
  <c r="M356" i="17"/>
  <c r="R356" i="17"/>
  <c r="L357" i="17"/>
  <c r="M357" i="17"/>
  <c r="R357" i="17"/>
  <c r="L358" i="17"/>
  <c r="M358" i="17"/>
  <c r="R358" i="17"/>
  <c r="L359" i="17"/>
  <c r="M359" i="17"/>
  <c r="R359" i="17"/>
  <c r="L360" i="17"/>
  <c r="M360" i="17"/>
  <c r="R360" i="17"/>
  <c r="L361" i="17"/>
  <c r="M361" i="17"/>
  <c r="R361" i="17"/>
  <c r="L362" i="17"/>
  <c r="M362" i="17"/>
  <c r="R362" i="17"/>
  <c r="L363" i="17"/>
  <c r="M363" i="17"/>
  <c r="R363" i="17"/>
  <c r="L364" i="17"/>
  <c r="M364" i="17"/>
  <c r="R364" i="17"/>
  <c r="BA109" i="10"/>
  <c r="BF109" i="10"/>
  <c r="BG109" i="10"/>
  <c r="BY109" i="10" s="1"/>
  <c r="BI109" i="10"/>
  <c r="BJ109" i="10"/>
  <c r="BK109" i="10"/>
  <c r="BL109" i="10"/>
  <c r="BM109" i="10"/>
  <c r="BN109" i="10"/>
  <c r="BO109" i="10"/>
  <c r="BP109" i="10"/>
  <c r="BQ109" i="10"/>
  <c r="BR109" i="10"/>
  <c r="BT109" i="10"/>
  <c r="BU109" i="10"/>
  <c r="BA110" i="10"/>
  <c r="BF110" i="10"/>
  <c r="BG110" i="10"/>
  <c r="BY110" i="10" s="1"/>
  <c r="BI110" i="10"/>
  <c r="BJ110" i="10"/>
  <c r="BK110" i="10"/>
  <c r="BL110" i="10"/>
  <c r="BM110" i="10"/>
  <c r="BN110" i="10"/>
  <c r="BO110" i="10"/>
  <c r="BP110" i="10"/>
  <c r="BQ110" i="10"/>
  <c r="BR110" i="10"/>
  <c r="BT110" i="10"/>
  <c r="BU110" i="10"/>
  <c r="BA111" i="10"/>
  <c r="BF111" i="10"/>
  <c r="BG111" i="10"/>
  <c r="BY111" i="10" s="1"/>
  <c r="BI111" i="10"/>
  <c r="BJ111" i="10"/>
  <c r="BK111" i="10"/>
  <c r="BL111" i="10"/>
  <c r="BM111" i="10"/>
  <c r="BN111" i="10"/>
  <c r="BO111" i="10"/>
  <c r="BP111" i="10"/>
  <c r="BQ111" i="10"/>
  <c r="BR111" i="10"/>
  <c r="BT111" i="10"/>
  <c r="BU111" i="10"/>
  <c r="BS278" i="10" l="1"/>
  <c r="BS275" i="10"/>
  <c r="BS282" i="10"/>
  <c r="BS262" i="10"/>
  <c r="BS120" i="10"/>
  <c r="BS124" i="10"/>
  <c r="BS115" i="10"/>
  <c r="BS114" i="10"/>
  <c r="BS116" i="10"/>
  <c r="BS117" i="10"/>
  <c r="BS118" i="10"/>
  <c r="BS119" i="10"/>
  <c r="N360" i="17"/>
  <c r="P360" i="17" s="1"/>
  <c r="N358" i="17"/>
  <c r="O358" i="17" s="1"/>
  <c r="N357" i="17"/>
  <c r="O357" i="17" s="1"/>
  <c r="N362" i="17"/>
  <c r="O362" i="17" s="1"/>
  <c r="N363" i="17"/>
  <c r="O363" i="17" s="1"/>
  <c r="N361" i="17"/>
  <c r="O361" i="17" s="1"/>
  <c r="N359" i="17"/>
  <c r="O359" i="17" s="1"/>
  <c r="N356" i="17"/>
  <c r="P356" i="17" s="1"/>
  <c r="N364" i="17"/>
  <c r="O364" i="17" s="1"/>
  <c r="BW110" i="10"/>
  <c r="BW109" i="10"/>
  <c r="BW111" i="10"/>
  <c r="L309" i="17"/>
  <c r="M309" i="17"/>
  <c r="R309" i="17"/>
  <c r="L310" i="17"/>
  <c r="M310" i="17"/>
  <c r="R310" i="17"/>
  <c r="L311" i="17"/>
  <c r="M311" i="17"/>
  <c r="R311" i="17"/>
  <c r="L312" i="17"/>
  <c r="M312" i="17"/>
  <c r="R312" i="17"/>
  <c r="L313" i="17"/>
  <c r="M313" i="17"/>
  <c r="R313" i="17"/>
  <c r="L314" i="17"/>
  <c r="M314" i="17"/>
  <c r="R314" i="17"/>
  <c r="L315" i="17"/>
  <c r="M315" i="17"/>
  <c r="R315" i="17"/>
  <c r="L316" i="17"/>
  <c r="M316" i="17"/>
  <c r="R316" i="17"/>
  <c r="L317" i="17"/>
  <c r="M317" i="17"/>
  <c r="R317" i="17"/>
  <c r="L318" i="17"/>
  <c r="M318" i="17"/>
  <c r="R318" i="17"/>
  <c r="L319" i="17"/>
  <c r="M319" i="17"/>
  <c r="R319" i="17"/>
  <c r="L320" i="17"/>
  <c r="M320" i="17"/>
  <c r="R320" i="17"/>
  <c r="L321" i="17"/>
  <c r="M321" i="17"/>
  <c r="R321" i="17"/>
  <c r="L322" i="17"/>
  <c r="M322" i="17"/>
  <c r="R322" i="17"/>
  <c r="L323" i="17"/>
  <c r="M323" i="17"/>
  <c r="R323" i="17"/>
  <c r="L324" i="17"/>
  <c r="M324" i="17"/>
  <c r="R324" i="17"/>
  <c r="L325" i="17"/>
  <c r="M325" i="17"/>
  <c r="R325" i="17"/>
  <c r="L326" i="17"/>
  <c r="M326" i="17"/>
  <c r="R326" i="17"/>
  <c r="L327" i="17"/>
  <c r="M327" i="17"/>
  <c r="R327" i="17"/>
  <c r="L328" i="17"/>
  <c r="M328" i="17"/>
  <c r="R328" i="17"/>
  <c r="L329" i="17"/>
  <c r="M329" i="17"/>
  <c r="R329" i="17"/>
  <c r="L330" i="17"/>
  <c r="M330" i="17"/>
  <c r="R330" i="17"/>
  <c r="L331" i="17"/>
  <c r="M331" i="17"/>
  <c r="R331" i="17"/>
  <c r="L332" i="17"/>
  <c r="M332" i="17"/>
  <c r="R332" i="17"/>
  <c r="L333" i="17"/>
  <c r="M333" i="17"/>
  <c r="R333" i="17"/>
  <c r="L334" i="17"/>
  <c r="M334" i="17"/>
  <c r="R334" i="17"/>
  <c r="L335" i="17"/>
  <c r="M335" i="17"/>
  <c r="R335" i="17"/>
  <c r="L336" i="17"/>
  <c r="M336" i="17"/>
  <c r="R336" i="17"/>
  <c r="L337" i="17"/>
  <c r="M337" i="17"/>
  <c r="R337" i="17"/>
  <c r="L338" i="17"/>
  <c r="M338" i="17"/>
  <c r="R338" i="17"/>
  <c r="L339" i="17"/>
  <c r="M339" i="17"/>
  <c r="R339" i="17"/>
  <c r="L340" i="17"/>
  <c r="M340" i="17"/>
  <c r="R340" i="17"/>
  <c r="L341" i="17"/>
  <c r="M341" i="17"/>
  <c r="R341" i="17"/>
  <c r="L342" i="17"/>
  <c r="M342" i="17"/>
  <c r="R342" i="17"/>
  <c r="L343" i="17"/>
  <c r="M343" i="17"/>
  <c r="R343" i="17"/>
  <c r="L344" i="17"/>
  <c r="M344" i="17"/>
  <c r="R344" i="17"/>
  <c r="L345" i="17"/>
  <c r="M345" i="17"/>
  <c r="R345" i="17"/>
  <c r="L346" i="17"/>
  <c r="M346" i="17"/>
  <c r="R346" i="17"/>
  <c r="L347" i="17"/>
  <c r="M347" i="17"/>
  <c r="R347" i="17"/>
  <c r="L348" i="17"/>
  <c r="M348" i="17"/>
  <c r="R348" i="17"/>
  <c r="L349" i="17"/>
  <c r="M349" i="17"/>
  <c r="R349" i="17"/>
  <c r="L350" i="17"/>
  <c r="M350" i="17"/>
  <c r="R350" i="17"/>
  <c r="L351" i="17"/>
  <c r="M351" i="17"/>
  <c r="R351" i="17"/>
  <c r="L352" i="17"/>
  <c r="M352" i="17"/>
  <c r="R352" i="17"/>
  <c r="L353" i="17"/>
  <c r="M353" i="17"/>
  <c r="R353" i="17"/>
  <c r="L354" i="17"/>
  <c r="M354" i="17"/>
  <c r="R354" i="17"/>
  <c r="L355" i="17"/>
  <c r="M355" i="17"/>
  <c r="R355" i="17"/>
  <c r="P358" i="17" l="1"/>
  <c r="Q358" i="17" s="1"/>
  <c r="O360" i="17"/>
  <c r="Q360" i="17" s="1"/>
  <c r="P362" i="17"/>
  <c r="Q362" i="17" s="1"/>
  <c r="P357" i="17"/>
  <c r="Q357" i="17" s="1"/>
  <c r="O356" i="17"/>
  <c r="Q356" i="17" s="1"/>
  <c r="P364" i="17"/>
  <c r="Q364" i="17" s="1"/>
  <c r="P361" i="17"/>
  <c r="Q361" i="17" s="1"/>
  <c r="P359" i="17"/>
  <c r="Q359" i="17" s="1"/>
  <c r="P363" i="17"/>
  <c r="Q363" i="17" s="1"/>
  <c r="N310" i="17"/>
  <c r="O310" i="17" s="1"/>
  <c r="N316" i="17"/>
  <c r="O316" i="17" s="1"/>
  <c r="N351" i="17"/>
  <c r="O351" i="17" s="1"/>
  <c r="N345" i="17"/>
  <c r="O345" i="17" s="1"/>
  <c r="N341" i="17"/>
  <c r="O341" i="17" s="1"/>
  <c r="N347" i="17"/>
  <c r="O347" i="17" s="1"/>
  <c r="N353" i="17"/>
  <c r="O353" i="17" s="1"/>
  <c r="N343" i="17"/>
  <c r="O343" i="17" s="1"/>
  <c r="N339" i="17"/>
  <c r="O339" i="17" s="1"/>
  <c r="N332" i="17"/>
  <c r="O332" i="17" s="1"/>
  <c r="N326" i="17"/>
  <c r="O326" i="17" s="1"/>
  <c r="N314" i="17"/>
  <c r="O314" i="17" s="1"/>
  <c r="N313" i="17"/>
  <c r="O313" i="17" s="1"/>
  <c r="N354" i="17"/>
  <c r="O354" i="17" s="1"/>
  <c r="N348" i="17"/>
  <c r="P348" i="17" s="1"/>
  <c r="N334" i="17"/>
  <c r="O334" i="17" s="1"/>
  <c r="N333" i="17"/>
  <c r="P333" i="17" s="1"/>
  <c r="N327" i="17"/>
  <c r="O327" i="17" s="1"/>
  <c r="N320" i="17"/>
  <c r="O320" i="17" s="1"/>
  <c r="N350" i="17"/>
  <c r="O350" i="17" s="1"/>
  <c r="N344" i="17"/>
  <c r="O344" i="17" s="1"/>
  <c r="N340" i="17"/>
  <c r="O340" i="17" s="1"/>
  <c r="N336" i="17"/>
  <c r="O336" i="17" s="1"/>
  <c r="N329" i="17"/>
  <c r="O329" i="17" s="1"/>
  <c r="N317" i="17"/>
  <c r="O317" i="17" s="1"/>
  <c r="N319" i="17"/>
  <c r="O319" i="17" s="1"/>
  <c r="N321" i="17"/>
  <c r="O321" i="17" s="1"/>
  <c r="N330" i="17"/>
  <c r="O330" i="17" s="1"/>
  <c r="N337" i="17"/>
  <c r="O337" i="17" s="1"/>
  <c r="N328" i="17"/>
  <c r="P328" i="17" s="1"/>
  <c r="N309" i="17"/>
  <c r="O309" i="17" s="1"/>
  <c r="N342" i="17"/>
  <c r="O342" i="17" s="1"/>
  <c r="N323" i="17"/>
  <c r="P323" i="17" s="1"/>
  <c r="N318" i="17"/>
  <c r="P318" i="17" s="1"/>
  <c r="N311" i="17"/>
  <c r="O311" i="17" s="1"/>
  <c r="N355" i="17"/>
  <c r="P355" i="17" s="1"/>
  <c r="N352" i="17"/>
  <c r="O352" i="17" s="1"/>
  <c r="N338" i="17"/>
  <c r="O338" i="17" s="1"/>
  <c r="N335" i="17"/>
  <c r="P335" i="17" s="1"/>
  <c r="N325" i="17"/>
  <c r="P325" i="17" s="1"/>
  <c r="N322" i="17"/>
  <c r="O322" i="17" s="1"/>
  <c r="N315" i="17"/>
  <c r="P315" i="17" s="1"/>
  <c r="N349" i="17"/>
  <c r="O349" i="17" s="1"/>
  <c r="N346" i="17"/>
  <c r="O346" i="17" s="1"/>
  <c r="N331" i="17"/>
  <c r="O331" i="17" s="1"/>
  <c r="N324" i="17"/>
  <c r="P324" i="17" s="1"/>
  <c r="N312" i="17"/>
  <c r="O312" i="17" s="1"/>
  <c r="BS286" i="10" l="1"/>
  <c r="BS287" i="10"/>
  <c r="BS111" i="10"/>
  <c r="BS109" i="10"/>
  <c r="BS110" i="10"/>
  <c r="P341" i="17"/>
  <c r="Q341" i="17" s="1"/>
  <c r="P310" i="17"/>
  <c r="Q310" i="17" s="1"/>
  <c r="P316" i="17"/>
  <c r="Q316" i="17" s="1"/>
  <c r="P345" i="17"/>
  <c r="Q345" i="17" s="1"/>
  <c r="P351" i="17"/>
  <c r="Q351" i="17" s="1"/>
  <c r="P327" i="17"/>
  <c r="Q327" i="17" s="1"/>
  <c r="P312" i="17"/>
  <c r="Q312" i="17" s="1"/>
  <c r="P313" i="17"/>
  <c r="Q313" i="17" s="1"/>
  <c r="P311" i="17"/>
  <c r="Q311" i="17" s="1"/>
  <c r="P353" i="17"/>
  <c r="Q353" i="17" s="1"/>
  <c r="P343" i="17"/>
  <c r="Q343" i="17" s="1"/>
  <c r="P347" i="17"/>
  <c r="Q347" i="17" s="1"/>
  <c r="O323" i="17"/>
  <c r="Q323" i="17" s="1"/>
  <c r="P320" i="17"/>
  <c r="Q320" i="17" s="1"/>
  <c r="P339" i="17"/>
  <c r="Q339" i="17" s="1"/>
  <c r="P326" i="17"/>
  <c r="Q326" i="17" s="1"/>
  <c r="P334" i="17"/>
  <c r="Q334" i="17" s="1"/>
  <c r="P332" i="17"/>
  <c r="Q332" i="17" s="1"/>
  <c r="P340" i="17"/>
  <c r="Q340" i="17" s="1"/>
  <c r="P337" i="17"/>
  <c r="Q337" i="17" s="1"/>
  <c r="O324" i="17"/>
  <c r="Q324" i="17" s="1"/>
  <c r="P349" i="17"/>
  <c r="Q349" i="17" s="1"/>
  <c r="O333" i="17"/>
  <c r="Q333" i="17" s="1"/>
  <c r="P352" i="17"/>
  <c r="Q352" i="17" s="1"/>
  <c r="O348" i="17"/>
  <c r="Q348" i="17" s="1"/>
  <c r="O328" i="17"/>
  <c r="Q328" i="17" s="1"/>
  <c r="P354" i="17"/>
  <c r="Q354" i="17" s="1"/>
  <c r="P317" i="17"/>
  <c r="Q317" i="17" s="1"/>
  <c r="P330" i="17"/>
  <c r="Q330" i="17" s="1"/>
  <c r="P346" i="17"/>
  <c r="Q346" i="17" s="1"/>
  <c r="O318" i="17"/>
  <c r="Q318" i="17" s="1"/>
  <c r="P329" i="17"/>
  <c r="Q329" i="17" s="1"/>
  <c r="P342" i="17"/>
  <c r="Q342" i="17" s="1"/>
  <c r="P344" i="17"/>
  <c r="Q344" i="17" s="1"/>
  <c r="O325" i="17"/>
  <c r="Q325" i="17" s="1"/>
  <c r="P350" i="17"/>
  <c r="Q350" i="17" s="1"/>
  <c r="P338" i="17"/>
  <c r="Q338" i="17" s="1"/>
  <c r="P319" i="17"/>
  <c r="Q319" i="17" s="1"/>
  <c r="P314" i="17"/>
  <c r="Q314" i="17" s="1"/>
  <c r="P331" i="17"/>
  <c r="Q331" i="17" s="1"/>
  <c r="O315" i="17"/>
  <c r="Q315" i="17" s="1"/>
  <c r="P322" i="17"/>
  <c r="Q322" i="17" s="1"/>
  <c r="P321" i="17"/>
  <c r="Q321" i="17" s="1"/>
  <c r="P336" i="17"/>
  <c r="Q336" i="17" s="1"/>
  <c r="O335" i="17"/>
  <c r="Q335" i="17" s="1"/>
  <c r="O355" i="17"/>
  <c r="Q355" i="17" s="1"/>
  <c r="P309" i="17"/>
  <c r="Q309" i="17" s="1"/>
  <c r="BS274" i="10" l="1"/>
  <c r="BS211" i="10"/>
  <c r="BS122" i="10"/>
  <c r="BS113" i="10"/>
  <c r="BA98" i="10"/>
  <c r="BF98" i="10"/>
  <c r="BG98" i="10"/>
  <c r="BY98" i="10" s="1"/>
  <c r="BI98" i="10"/>
  <c r="BJ98" i="10"/>
  <c r="BK98" i="10"/>
  <c r="BL98" i="10"/>
  <c r="BM98" i="10"/>
  <c r="BN98" i="10"/>
  <c r="BO98" i="10"/>
  <c r="BP98" i="10"/>
  <c r="BQ98" i="10"/>
  <c r="BR98" i="10"/>
  <c r="BS98" i="10"/>
  <c r="BT98" i="10"/>
  <c r="BU98" i="10"/>
  <c r="BA99" i="10"/>
  <c r="BF99" i="10"/>
  <c r="BG99" i="10"/>
  <c r="BY99" i="10" s="1"/>
  <c r="BI99" i="10"/>
  <c r="BJ99" i="10"/>
  <c r="BK99" i="10"/>
  <c r="BL99" i="10"/>
  <c r="BM99" i="10"/>
  <c r="BN99" i="10"/>
  <c r="BO99" i="10"/>
  <c r="BP99" i="10"/>
  <c r="BQ99" i="10"/>
  <c r="BR99" i="10"/>
  <c r="BS99" i="10"/>
  <c r="BT99" i="10"/>
  <c r="BU99" i="10"/>
  <c r="BA100" i="10"/>
  <c r="BF100" i="10"/>
  <c r="BG100" i="10"/>
  <c r="BY100" i="10" s="1"/>
  <c r="BI100" i="10"/>
  <c r="BJ100" i="10"/>
  <c r="BK100" i="10"/>
  <c r="BL100" i="10"/>
  <c r="BM100" i="10"/>
  <c r="BN100" i="10"/>
  <c r="BO100" i="10"/>
  <c r="BP100" i="10"/>
  <c r="BQ100" i="10"/>
  <c r="BR100" i="10"/>
  <c r="BS100" i="10"/>
  <c r="BT100" i="10"/>
  <c r="BU100" i="10"/>
  <c r="BA101" i="10"/>
  <c r="BF101" i="10"/>
  <c r="BG101" i="10"/>
  <c r="BY101" i="10" s="1"/>
  <c r="BI101" i="10"/>
  <c r="BJ101" i="10"/>
  <c r="BK101" i="10"/>
  <c r="BL101" i="10"/>
  <c r="BM101" i="10"/>
  <c r="BN101" i="10"/>
  <c r="BO101" i="10"/>
  <c r="BP101" i="10"/>
  <c r="BQ101" i="10"/>
  <c r="BR101" i="10"/>
  <c r="BS101" i="10"/>
  <c r="BT101" i="10"/>
  <c r="BU101" i="10"/>
  <c r="BA102" i="10"/>
  <c r="BF102" i="10"/>
  <c r="BG102" i="10"/>
  <c r="BY102" i="10" s="1"/>
  <c r="BI102" i="10"/>
  <c r="BJ102" i="10"/>
  <c r="BK102" i="10"/>
  <c r="BL102" i="10"/>
  <c r="BM102" i="10"/>
  <c r="BN102" i="10"/>
  <c r="BO102" i="10"/>
  <c r="BP102" i="10"/>
  <c r="BQ102" i="10"/>
  <c r="BR102" i="10"/>
  <c r="BS102" i="10"/>
  <c r="BT102" i="10"/>
  <c r="BU102" i="10"/>
  <c r="BA103" i="10"/>
  <c r="BF103" i="10"/>
  <c r="BG103" i="10"/>
  <c r="BY103" i="10" s="1"/>
  <c r="BI103" i="10"/>
  <c r="BJ103" i="10"/>
  <c r="BK103" i="10"/>
  <c r="BL103" i="10"/>
  <c r="BM103" i="10"/>
  <c r="BN103" i="10"/>
  <c r="BO103" i="10"/>
  <c r="BP103" i="10"/>
  <c r="BQ103" i="10"/>
  <c r="BR103" i="10"/>
  <c r="BS103" i="10"/>
  <c r="BT103" i="10"/>
  <c r="BU103" i="10"/>
  <c r="BA104" i="10"/>
  <c r="BF104" i="10"/>
  <c r="BG104" i="10"/>
  <c r="BY104" i="10" s="1"/>
  <c r="BI104" i="10"/>
  <c r="BJ104" i="10"/>
  <c r="BK104" i="10"/>
  <c r="BL104" i="10"/>
  <c r="BM104" i="10"/>
  <c r="BN104" i="10"/>
  <c r="BO104" i="10"/>
  <c r="BP104" i="10"/>
  <c r="BQ104" i="10"/>
  <c r="BR104" i="10"/>
  <c r="BS104" i="10"/>
  <c r="BT104" i="10"/>
  <c r="BU104" i="10"/>
  <c r="BA105" i="10"/>
  <c r="BF105" i="10"/>
  <c r="BG105" i="10"/>
  <c r="BY105" i="10" s="1"/>
  <c r="BI105" i="10"/>
  <c r="BJ105" i="10"/>
  <c r="BK105" i="10"/>
  <c r="BL105" i="10"/>
  <c r="BM105" i="10"/>
  <c r="BN105" i="10"/>
  <c r="BO105" i="10"/>
  <c r="BP105" i="10"/>
  <c r="BQ105" i="10"/>
  <c r="BR105" i="10"/>
  <c r="BS105" i="10"/>
  <c r="BT105" i="10"/>
  <c r="BU105" i="10"/>
  <c r="BA106" i="10"/>
  <c r="BF106" i="10"/>
  <c r="BG106" i="10"/>
  <c r="BY106" i="10" s="1"/>
  <c r="BI106" i="10"/>
  <c r="BJ106" i="10"/>
  <c r="BK106" i="10"/>
  <c r="BL106" i="10"/>
  <c r="BM106" i="10"/>
  <c r="BN106" i="10"/>
  <c r="BO106" i="10"/>
  <c r="BP106" i="10"/>
  <c r="BQ106" i="10"/>
  <c r="BR106" i="10"/>
  <c r="BS106" i="10"/>
  <c r="BT106" i="10"/>
  <c r="BU106" i="10"/>
  <c r="BA107" i="10"/>
  <c r="BF107" i="10"/>
  <c r="BG107" i="10"/>
  <c r="BY107" i="10" s="1"/>
  <c r="BI107" i="10"/>
  <c r="BJ107" i="10"/>
  <c r="BK107" i="10"/>
  <c r="BL107" i="10"/>
  <c r="BM107" i="10"/>
  <c r="BN107" i="10"/>
  <c r="BO107" i="10"/>
  <c r="BP107" i="10"/>
  <c r="BQ107" i="10"/>
  <c r="BR107" i="10"/>
  <c r="BS107" i="10"/>
  <c r="BT107" i="10"/>
  <c r="BU107" i="10"/>
  <c r="BA108" i="10"/>
  <c r="BF108" i="10"/>
  <c r="BG108" i="10"/>
  <c r="BY108" i="10" s="1"/>
  <c r="BI108" i="10"/>
  <c r="BJ108" i="10"/>
  <c r="BK108" i="10"/>
  <c r="BL108" i="10"/>
  <c r="BM108" i="10"/>
  <c r="BN108" i="10"/>
  <c r="BO108" i="10"/>
  <c r="BP108" i="10"/>
  <c r="BQ108" i="10"/>
  <c r="BR108" i="10"/>
  <c r="BS108" i="10"/>
  <c r="BT108" i="10"/>
  <c r="BU108" i="10"/>
  <c r="BW108" i="10" l="1"/>
  <c r="BW104" i="10"/>
  <c r="BW103" i="10"/>
  <c r="BW102" i="10"/>
  <c r="BW101" i="10"/>
  <c r="BW107" i="10"/>
  <c r="BW105" i="10"/>
  <c r="BW106" i="10"/>
  <c r="BW100" i="10"/>
  <c r="BW99" i="10"/>
  <c r="BW98" i="10"/>
  <c r="BA100" i="3"/>
  <c r="BA101" i="3"/>
  <c r="BA102" i="3"/>
  <c r="BA103" i="3"/>
  <c r="BA104" i="3"/>
  <c r="BA105" i="3"/>
  <c r="BA106" i="3"/>
  <c r="BA107" i="3"/>
  <c r="BA108" i="3"/>
  <c r="BA109" i="3"/>
  <c r="BA110" i="3"/>
  <c r="BA111" i="3"/>
  <c r="BA112" i="3"/>
  <c r="BA113" i="3"/>
  <c r="BA114" i="3"/>
  <c r="BA115" i="3"/>
  <c r="BA116" i="3"/>
  <c r="BA117" i="3"/>
  <c r="BA118" i="3"/>
  <c r="BA119" i="3"/>
  <c r="BA120" i="3"/>
  <c r="BA121" i="3"/>
  <c r="BA122" i="3"/>
  <c r="BA123" i="3"/>
  <c r="BA124" i="3"/>
  <c r="BA125" i="3"/>
  <c r="BA126" i="3"/>
  <c r="BA127" i="3"/>
  <c r="BA128" i="3"/>
  <c r="BA129" i="3"/>
  <c r="BA130" i="3"/>
  <c r="BA131" i="3"/>
  <c r="BA132" i="3"/>
  <c r="BA133" i="3"/>
  <c r="BA134" i="3"/>
  <c r="BA135" i="3"/>
  <c r="BA136" i="3"/>
  <c r="BA137" i="3"/>
  <c r="BA138" i="3"/>
  <c r="BA139" i="3"/>
  <c r="BA140" i="3"/>
  <c r="BA141" i="3"/>
  <c r="BA142" i="3"/>
  <c r="BA143" i="3"/>
  <c r="BA144" i="3"/>
  <c r="BA145" i="3"/>
  <c r="BA146" i="3"/>
  <c r="BA147" i="3"/>
  <c r="BA148" i="3"/>
  <c r="BA149" i="3"/>
  <c r="BA150" i="3"/>
  <c r="BA151" i="3"/>
  <c r="BA152" i="3"/>
  <c r="BA153" i="3"/>
  <c r="BA154" i="3"/>
  <c r="BA155" i="3"/>
  <c r="BA156" i="3"/>
  <c r="BA157" i="3"/>
  <c r="BA158" i="3"/>
  <c r="BA159" i="3"/>
  <c r="BA160" i="3"/>
  <c r="BA161" i="3"/>
  <c r="BA162" i="3"/>
  <c r="BA163" i="3"/>
  <c r="BA164" i="3"/>
  <c r="BA165" i="3"/>
  <c r="BA166" i="3"/>
  <c r="BA167" i="3"/>
  <c r="BA168" i="3"/>
  <c r="BA169" i="3"/>
  <c r="BA170" i="3"/>
  <c r="BA171" i="3"/>
  <c r="BA172" i="3"/>
  <c r="BA173" i="3"/>
  <c r="BA174" i="3"/>
  <c r="BA175" i="3"/>
  <c r="BA176" i="3"/>
  <c r="BA177" i="3"/>
  <c r="BA178" i="3"/>
  <c r="BA179" i="3"/>
  <c r="BA180" i="3"/>
  <c r="BA181" i="3"/>
  <c r="BA182" i="3"/>
  <c r="BA183" i="3"/>
  <c r="BA184" i="3"/>
  <c r="BA185" i="3"/>
  <c r="BA186" i="3"/>
  <c r="BA187" i="3"/>
  <c r="BA188" i="3"/>
  <c r="BA189" i="3"/>
  <c r="BA190" i="3"/>
  <c r="BA191" i="3"/>
  <c r="BA192" i="3"/>
  <c r="BA193" i="3"/>
  <c r="BA194" i="3"/>
  <c r="BA195" i="3"/>
  <c r="BA196" i="3"/>
  <c r="BA197" i="3"/>
  <c r="BA198" i="3"/>
  <c r="BA199" i="3"/>
  <c r="BA200" i="3"/>
  <c r="BA201" i="3"/>
  <c r="BA202" i="3"/>
  <c r="BA203" i="3"/>
  <c r="BA204" i="3"/>
  <c r="BA205" i="3"/>
  <c r="BA206" i="3"/>
  <c r="BA207" i="3"/>
  <c r="BA208" i="3"/>
  <c r="BA209" i="3"/>
  <c r="BA210" i="3"/>
  <c r="BA211" i="3"/>
  <c r="BA212" i="3"/>
  <c r="BA213" i="3"/>
  <c r="BA214" i="3"/>
  <c r="BA215" i="3"/>
  <c r="BA216" i="3"/>
  <c r="BA217" i="3"/>
  <c r="BA218" i="3"/>
  <c r="BA219" i="3"/>
  <c r="BA220" i="3"/>
  <c r="BA221" i="3"/>
  <c r="BA222" i="3"/>
  <c r="BA223" i="3"/>
  <c r="BA224" i="3"/>
  <c r="BA225" i="3"/>
  <c r="BA226" i="3"/>
  <c r="BA227" i="3"/>
  <c r="BA228" i="3"/>
  <c r="BA229" i="3"/>
  <c r="BA230" i="3"/>
  <c r="BA231" i="3"/>
  <c r="BA232" i="3"/>
  <c r="BA233" i="3"/>
  <c r="BA234" i="3"/>
  <c r="BA235" i="3"/>
  <c r="BA236" i="3"/>
  <c r="BA237" i="3"/>
  <c r="BA238" i="3"/>
  <c r="BA239" i="3"/>
  <c r="BA240" i="3"/>
  <c r="BA241" i="3"/>
  <c r="BA99" i="3"/>
  <c r="BA6" i="3"/>
  <c r="BA7" i="3"/>
  <c r="BA8" i="3"/>
  <c r="BA9" i="3"/>
  <c r="BA10" i="3"/>
  <c r="BA11" i="3"/>
  <c r="BA12" i="3"/>
  <c r="BA13" i="3"/>
  <c r="BA14" i="3"/>
  <c r="BA15" i="3"/>
  <c r="BA16" i="3"/>
  <c r="BA17" i="3"/>
  <c r="BA18" i="3"/>
  <c r="BA19" i="3"/>
  <c r="BA20" i="3"/>
  <c r="BA21" i="3"/>
  <c r="BA22" i="3"/>
  <c r="BA23" i="3"/>
  <c r="BA24" i="3"/>
  <c r="BA25" i="3"/>
  <c r="BA26" i="3"/>
  <c r="BA27" i="3"/>
  <c r="BA28" i="3"/>
  <c r="BA29" i="3"/>
  <c r="BA30" i="3"/>
  <c r="BA31" i="3"/>
  <c r="BA32" i="3"/>
  <c r="BA33" i="3"/>
  <c r="BA34" i="3"/>
  <c r="BA35" i="3"/>
  <c r="BA36" i="3"/>
  <c r="BA37" i="3"/>
  <c r="BA38" i="3"/>
  <c r="BA39" i="3"/>
  <c r="BA40" i="3"/>
  <c r="BA41" i="3"/>
  <c r="BA42" i="3"/>
  <c r="BA43" i="3"/>
  <c r="BA44" i="3"/>
  <c r="BA45" i="3"/>
  <c r="BA46" i="3"/>
  <c r="BA47" i="3"/>
  <c r="BA48" i="3"/>
  <c r="BA49" i="3"/>
  <c r="BA50" i="3"/>
  <c r="BA51" i="3"/>
  <c r="BA52" i="3"/>
  <c r="BA53" i="3"/>
  <c r="BA54" i="3"/>
  <c r="BA55" i="3"/>
  <c r="BA56" i="3"/>
  <c r="BA57" i="3"/>
  <c r="BA58" i="3"/>
  <c r="BA59" i="3"/>
  <c r="BA60" i="3"/>
  <c r="BA61" i="3"/>
  <c r="BA62" i="3"/>
  <c r="BA63" i="3"/>
  <c r="BA64" i="3"/>
  <c r="BA65" i="3"/>
  <c r="BA66" i="3"/>
  <c r="BA67" i="3"/>
  <c r="BA68" i="3"/>
  <c r="BA69" i="3"/>
  <c r="BA70" i="3"/>
  <c r="BA71" i="3"/>
  <c r="BA72" i="3"/>
  <c r="BA73" i="3"/>
  <c r="BA74" i="3"/>
  <c r="BA75" i="3"/>
  <c r="BA76" i="3"/>
  <c r="BA77" i="3"/>
  <c r="BA78" i="3"/>
  <c r="BA79" i="3"/>
  <c r="BA80" i="3"/>
  <c r="BA81" i="3"/>
  <c r="BA82" i="3"/>
  <c r="BA83" i="3"/>
  <c r="BA84" i="3"/>
  <c r="BA85" i="3"/>
  <c r="BA86" i="3"/>
  <c r="BA87" i="3"/>
  <c r="BA88" i="3"/>
  <c r="BA89" i="3"/>
  <c r="BA90" i="3"/>
  <c r="BA91" i="3"/>
  <c r="BA92" i="3"/>
  <c r="BA93" i="3"/>
  <c r="BA94" i="3"/>
  <c r="BA95" i="3"/>
  <c r="BA96" i="3"/>
  <c r="BA97" i="3"/>
  <c r="BA98" i="3"/>
  <c r="L259" i="17"/>
  <c r="M259" i="17"/>
  <c r="R259" i="17"/>
  <c r="L260" i="17"/>
  <c r="M260" i="17"/>
  <c r="R260" i="17"/>
  <c r="L261" i="17"/>
  <c r="M261" i="17"/>
  <c r="R261" i="17"/>
  <c r="L262" i="17"/>
  <c r="M262" i="17"/>
  <c r="R262" i="17"/>
  <c r="L263" i="17"/>
  <c r="M263" i="17"/>
  <c r="R263" i="17"/>
  <c r="L264" i="17"/>
  <c r="M264" i="17"/>
  <c r="R264" i="17"/>
  <c r="L265" i="17"/>
  <c r="M265" i="17"/>
  <c r="R265" i="17"/>
  <c r="L266" i="17"/>
  <c r="M266" i="17"/>
  <c r="R266" i="17"/>
  <c r="L267" i="17"/>
  <c r="M267" i="17"/>
  <c r="R267" i="17"/>
  <c r="L268" i="17"/>
  <c r="M268" i="17"/>
  <c r="R268" i="17"/>
  <c r="L269" i="17"/>
  <c r="M269" i="17"/>
  <c r="R269" i="17"/>
  <c r="L270" i="17"/>
  <c r="M270" i="17"/>
  <c r="R270" i="17"/>
  <c r="L271" i="17"/>
  <c r="M271" i="17"/>
  <c r="R271" i="17"/>
  <c r="L272" i="17"/>
  <c r="M272" i="17"/>
  <c r="R272" i="17"/>
  <c r="L273" i="17"/>
  <c r="M273" i="17"/>
  <c r="R273" i="17"/>
  <c r="L274" i="17"/>
  <c r="M274" i="17"/>
  <c r="R274" i="17"/>
  <c r="L275" i="17"/>
  <c r="M275" i="17"/>
  <c r="R275" i="17"/>
  <c r="L276" i="17"/>
  <c r="M276" i="17"/>
  <c r="R276" i="17"/>
  <c r="L277" i="17"/>
  <c r="M277" i="17"/>
  <c r="R277" i="17"/>
  <c r="L278" i="17"/>
  <c r="M278" i="17"/>
  <c r="R278" i="17"/>
  <c r="L279" i="17"/>
  <c r="M279" i="17"/>
  <c r="R279" i="17"/>
  <c r="L280" i="17"/>
  <c r="M280" i="17"/>
  <c r="R280" i="17"/>
  <c r="L281" i="17"/>
  <c r="M281" i="17"/>
  <c r="R281" i="17"/>
  <c r="L282" i="17"/>
  <c r="M282" i="17"/>
  <c r="R282" i="17"/>
  <c r="L283" i="17"/>
  <c r="M283" i="17"/>
  <c r="R283" i="17"/>
  <c r="L284" i="17"/>
  <c r="M284" i="17"/>
  <c r="R284" i="17"/>
  <c r="L285" i="17"/>
  <c r="M285" i="17"/>
  <c r="R285" i="17"/>
  <c r="L286" i="17"/>
  <c r="M286" i="17"/>
  <c r="R286" i="17"/>
  <c r="L287" i="17"/>
  <c r="M287" i="17"/>
  <c r="R287" i="17"/>
  <c r="L288" i="17"/>
  <c r="M288" i="17"/>
  <c r="R288" i="17"/>
  <c r="L289" i="17"/>
  <c r="M289" i="17"/>
  <c r="R289" i="17"/>
  <c r="L290" i="17"/>
  <c r="M290" i="17"/>
  <c r="R290" i="17"/>
  <c r="L291" i="17"/>
  <c r="M291" i="17"/>
  <c r="R291" i="17"/>
  <c r="L292" i="17"/>
  <c r="M292" i="17"/>
  <c r="R292" i="17"/>
  <c r="L293" i="17"/>
  <c r="M293" i="17"/>
  <c r="R293" i="17"/>
  <c r="L294" i="17"/>
  <c r="M294" i="17"/>
  <c r="R294" i="17"/>
  <c r="L295" i="17"/>
  <c r="M295" i="17"/>
  <c r="R295" i="17"/>
  <c r="L296" i="17"/>
  <c r="M296" i="17"/>
  <c r="R296" i="17"/>
  <c r="L297" i="17"/>
  <c r="M297" i="17"/>
  <c r="R297" i="17"/>
  <c r="L298" i="17"/>
  <c r="M298" i="17"/>
  <c r="R298" i="17"/>
  <c r="L299" i="17"/>
  <c r="M299" i="17"/>
  <c r="R299" i="17"/>
  <c r="L300" i="17"/>
  <c r="M300" i="17"/>
  <c r="R300" i="17"/>
  <c r="L301" i="17"/>
  <c r="M301" i="17"/>
  <c r="R301" i="17"/>
  <c r="L302" i="17"/>
  <c r="M302" i="17"/>
  <c r="R302" i="17"/>
  <c r="L303" i="17"/>
  <c r="M303" i="17"/>
  <c r="R303" i="17"/>
  <c r="L304" i="17"/>
  <c r="M304" i="17"/>
  <c r="R304" i="17"/>
  <c r="L305" i="17"/>
  <c r="M305" i="17"/>
  <c r="R305" i="17"/>
  <c r="L306" i="17"/>
  <c r="M306" i="17"/>
  <c r="R306" i="17"/>
  <c r="L307" i="17"/>
  <c r="M307" i="17"/>
  <c r="R307" i="17"/>
  <c r="L308" i="17"/>
  <c r="M308" i="17"/>
  <c r="R308" i="17"/>
  <c r="BA82" i="10"/>
  <c r="BF82" i="10"/>
  <c r="BG82" i="10"/>
  <c r="BY82" i="10" s="1"/>
  <c r="BI82" i="10"/>
  <c r="BJ82" i="10"/>
  <c r="BK82" i="10"/>
  <c r="BL82" i="10"/>
  <c r="BM82" i="10"/>
  <c r="BN82" i="10"/>
  <c r="BO82" i="10"/>
  <c r="BP82" i="10"/>
  <c r="BQ82" i="10"/>
  <c r="BR82" i="10"/>
  <c r="BT82" i="10"/>
  <c r="BU82" i="10"/>
  <c r="BA83" i="10"/>
  <c r="BF83" i="10"/>
  <c r="BG83" i="10"/>
  <c r="BY83" i="10" s="1"/>
  <c r="BI83" i="10"/>
  <c r="BJ83" i="10"/>
  <c r="BK83" i="10"/>
  <c r="BL83" i="10"/>
  <c r="BM83" i="10"/>
  <c r="BN83" i="10"/>
  <c r="BO83" i="10"/>
  <c r="BP83" i="10"/>
  <c r="BQ83" i="10"/>
  <c r="BR83" i="10"/>
  <c r="BT83" i="10"/>
  <c r="BU83" i="10"/>
  <c r="BA84" i="10"/>
  <c r="BF84" i="10"/>
  <c r="BG84" i="10"/>
  <c r="BY84" i="10" s="1"/>
  <c r="BI84" i="10"/>
  <c r="BJ84" i="10"/>
  <c r="BK84" i="10"/>
  <c r="BL84" i="10"/>
  <c r="BM84" i="10"/>
  <c r="BN84" i="10"/>
  <c r="BO84" i="10"/>
  <c r="BP84" i="10"/>
  <c r="BQ84" i="10"/>
  <c r="BR84" i="10"/>
  <c r="BT84" i="10"/>
  <c r="BU84" i="10"/>
  <c r="BA85" i="10"/>
  <c r="BF85" i="10"/>
  <c r="BG85" i="10"/>
  <c r="BY85" i="10" s="1"/>
  <c r="BI85" i="10"/>
  <c r="BJ85" i="10"/>
  <c r="BK85" i="10"/>
  <c r="BL85" i="10"/>
  <c r="BM85" i="10"/>
  <c r="BN85" i="10"/>
  <c r="BO85" i="10"/>
  <c r="BP85" i="10"/>
  <c r="BQ85" i="10"/>
  <c r="BR85" i="10"/>
  <c r="BT85" i="10"/>
  <c r="BU85" i="10"/>
  <c r="BA86" i="10"/>
  <c r="BF86" i="10"/>
  <c r="BG86" i="10"/>
  <c r="BY86" i="10" s="1"/>
  <c r="BI86" i="10"/>
  <c r="BJ86" i="10"/>
  <c r="BK86" i="10"/>
  <c r="BL86" i="10"/>
  <c r="BM86" i="10"/>
  <c r="BN86" i="10"/>
  <c r="BO86" i="10"/>
  <c r="BP86" i="10"/>
  <c r="BQ86" i="10"/>
  <c r="BR86" i="10"/>
  <c r="BT86" i="10"/>
  <c r="BU86" i="10"/>
  <c r="BA87" i="10"/>
  <c r="BF87" i="10"/>
  <c r="BG87" i="10"/>
  <c r="BY87" i="10" s="1"/>
  <c r="BI87" i="10"/>
  <c r="BJ87" i="10"/>
  <c r="BK87" i="10"/>
  <c r="BL87" i="10"/>
  <c r="BM87" i="10"/>
  <c r="BN87" i="10"/>
  <c r="BO87" i="10"/>
  <c r="BP87" i="10"/>
  <c r="BQ87" i="10"/>
  <c r="BR87" i="10"/>
  <c r="BT87" i="10"/>
  <c r="BU87" i="10"/>
  <c r="BA88" i="10"/>
  <c r="BF88" i="10"/>
  <c r="BG88" i="10"/>
  <c r="BY88" i="10" s="1"/>
  <c r="BI88" i="10"/>
  <c r="BJ88" i="10"/>
  <c r="BK88" i="10"/>
  <c r="BL88" i="10"/>
  <c r="BM88" i="10"/>
  <c r="BN88" i="10"/>
  <c r="BO88" i="10"/>
  <c r="BP88" i="10"/>
  <c r="BQ88" i="10"/>
  <c r="BR88" i="10"/>
  <c r="BT88" i="10"/>
  <c r="BU88" i="10"/>
  <c r="BA89" i="10"/>
  <c r="BF89" i="10"/>
  <c r="BG89" i="10"/>
  <c r="BY89" i="10" s="1"/>
  <c r="BI89" i="10"/>
  <c r="BJ89" i="10"/>
  <c r="BK89" i="10"/>
  <c r="BL89" i="10"/>
  <c r="BM89" i="10"/>
  <c r="BN89" i="10"/>
  <c r="BO89" i="10"/>
  <c r="BP89" i="10"/>
  <c r="BQ89" i="10"/>
  <c r="BR89" i="10"/>
  <c r="BT89" i="10"/>
  <c r="BU89" i="10"/>
  <c r="BA90" i="10"/>
  <c r="BF90" i="10"/>
  <c r="BG90" i="10"/>
  <c r="BY90" i="10" s="1"/>
  <c r="BI90" i="10"/>
  <c r="BJ90" i="10"/>
  <c r="BK90" i="10"/>
  <c r="BL90" i="10"/>
  <c r="BM90" i="10"/>
  <c r="BN90" i="10"/>
  <c r="BO90" i="10"/>
  <c r="BP90" i="10"/>
  <c r="BQ90" i="10"/>
  <c r="BR90" i="10"/>
  <c r="BT90" i="10"/>
  <c r="BU90" i="10"/>
  <c r="BA91" i="10"/>
  <c r="BF91" i="10"/>
  <c r="BG91" i="10"/>
  <c r="BY91" i="10" s="1"/>
  <c r="BI91" i="10"/>
  <c r="BJ91" i="10"/>
  <c r="BK91" i="10"/>
  <c r="BL91" i="10"/>
  <c r="BM91" i="10"/>
  <c r="BN91" i="10"/>
  <c r="BO91" i="10"/>
  <c r="BP91" i="10"/>
  <c r="BQ91" i="10"/>
  <c r="BR91" i="10"/>
  <c r="BT91" i="10"/>
  <c r="BU91" i="10"/>
  <c r="BA92" i="10"/>
  <c r="BF92" i="10"/>
  <c r="BG92" i="10"/>
  <c r="BY92" i="10" s="1"/>
  <c r="BI92" i="10"/>
  <c r="BJ92" i="10"/>
  <c r="BK92" i="10"/>
  <c r="BL92" i="10"/>
  <c r="BM92" i="10"/>
  <c r="BN92" i="10"/>
  <c r="BO92" i="10"/>
  <c r="BP92" i="10"/>
  <c r="BQ92" i="10"/>
  <c r="BR92" i="10"/>
  <c r="BT92" i="10"/>
  <c r="BU92" i="10"/>
  <c r="BA93" i="10"/>
  <c r="BF93" i="10"/>
  <c r="BG93" i="10"/>
  <c r="BY93" i="10" s="1"/>
  <c r="BI93" i="10"/>
  <c r="BJ93" i="10"/>
  <c r="BK93" i="10"/>
  <c r="BL93" i="10"/>
  <c r="BM93" i="10"/>
  <c r="BN93" i="10"/>
  <c r="BO93" i="10"/>
  <c r="BP93" i="10"/>
  <c r="BQ93" i="10"/>
  <c r="BR93" i="10"/>
  <c r="BT93" i="10"/>
  <c r="BU93" i="10"/>
  <c r="BA94" i="10"/>
  <c r="BF94" i="10"/>
  <c r="BG94" i="10"/>
  <c r="BY94" i="10" s="1"/>
  <c r="BI94" i="10"/>
  <c r="BJ94" i="10"/>
  <c r="BK94" i="10"/>
  <c r="BL94" i="10"/>
  <c r="BM94" i="10"/>
  <c r="BN94" i="10"/>
  <c r="BO94" i="10"/>
  <c r="BP94" i="10"/>
  <c r="BQ94" i="10"/>
  <c r="BR94" i="10"/>
  <c r="BT94" i="10"/>
  <c r="BU94" i="10"/>
  <c r="BA95" i="10"/>
  <c r="BF95" i="10"/>
  <c r="BG95" i="10"/>
  <c r="BY95" i="10" s="1"/>
  <c r="BI95" i="10"/>
  <c r="BJ95" i="10"/>
  <c r="BK95" i="10"/>
  <c r="BL95" i="10"/>
  <c r="BM95" i="10"/>
  <c r="BN95" i="10"/>
  <c r="BO95" i="10"/>
  <c r="BP95" i="10"/>
  <c r="BQ95" i="10"/>
  <c r="BR95" i="10"/>
  <c r="BT95" i="10"/>
  <c r="BU95" i="10"/>
  <c r="BA96" i="10"/>
  <c r="BF96" i="10"/>
  <c r="BG96" i="10"/>
  <c r="BY96" i="10" s="1"/>
  <c r="BI96" i="10"/>
  <c r="BJ96" i="10"/>
  <c r="BK96" i="10"/>
  <c r="BL96" i="10"/>
  <c r="BM96" i="10"/>
  <c r="BN96" i="10"/>
  <c r="BO96" i="10"/>
  <c r="BP96" i="10"/>
  <c r="BQ96" i="10"/>
  <c r="BR96" i="10"/>
  <c r="BT96" i="10"/>
  <c r="BU96" i="10"/>
  <c r="BA97" i="10"/>
  <c r="BF97" i="10"/>
  <c r="BG97" i="10"/>
  <c r="BY97" i="10" s="1"/>
  <c r="BI97" i="10"/>
  <c r="BJ97" i="10"/>
  <c r="BK97" i="10"/>
  <c r="BL97" i="10"/>
  <c r="BM97" i="10"/>
  <c r="BN97" i="10"/>
  <c r="BO97" i="10"/>
  <c r="BP97" i="10"/>
  <c r="BQ97" i="10"/>
  <c r="BR97" i="10"/>
  <c r="BT97" i="10"/>
  <c r="BU97" i="10"/>
  <c r="N260" i="17" l="1"/>
  <c r="O260" i="17" s="1"/>
  <c r="N261" i="17"/>
  <c r="P261" i="17" s="1"/>
  <c r="N262" i="17"/>
  <c r="O262" i="17" s="1"/>
  <c r="N263" i="17"/>
  <c r="P263" i="17" s="1"/>
  <c r="N265" i="17"/>
  <c r="P265" i="17" s="1"/>
  <c r="N271" i="17"/>
  <c r="P271" i="17" s="1"/>
  <c r="N304" i="17"/>
  <c r="O304" i="17" s="1"/>
  <c r="N284" i="17"/>
  <c r="O284" i="17" s="1"/>
  <c r="N307" i="17"/>
  <c r="O307" i="17" s="1"/>
  <c r="N290" i="17"/>
  <c r="O290" i="17" s="1"/>
  <c r="N300" i="17"/>
  <c r="P300" i="17" s="1"/>
  <c r="N278" i="17"/>
  <c r="O278" i="17" s="1"/>
  <c r="N295" i="17"/>
  <c r="P295" i="17" s="1"/>
  <c r="N293" i="17"/>
  <c r="P293" i="17" s="1"/>
  <c r="N272" i="17"/>
  <c r="P272" i="17" s="1"/>
  <c r="N266" i="17"/>
  <c r="O266" i="17" s="1"/>
  <c r="N292" i="17"/>
  <c r="O292" i="17" s="1"/>
  <c r="N289" i="17"/>
  <c r="O289" i="17" s="1"/>
  <c r="N299" i="17"/>
  <c r="O299" i="17" s="1"/>
  <c r="N286" i="17"/>
  <c r="O286" i="17" s="1"/>
  <c r="N283" i="17"/>
  <c r="O283" i="17" s="1"/>
  <c r="N273" i="17"/>
  <c r="O273" i="17" s="1"/>
  <c r="N259" i="17"/>
  <c r="O259" i="17" s="1"/>
  <c r="N308" i="17"/>
  <c r="O308" i="17" s="1"/>
  <c r="N305" i="17"/>
  <c r="P305" i="17" s="1"/>
  <c r="N288" i="17"/>
  <c r="O288" i="17" s="1"/>
  <c r="N279" i="17"/>
  <c r="P279" i="17" s="1"/>
  <c r="N269" i="17"/>
  <c r="O269" i="17" s="1"/>
  <c r="N298" i="17"/>
  <c r="O298" i="17" s="1"/>
  <c r="N294" i="17"/>
  <c r="O294" i="17" s="1"/>
  <c r="N276" i="17"/>
  <c r="P276" i="17" s="1"/>
  <c r="N301" i="17"/>
  <c r="O301" i="17" s="1"/>
  <c r="N268" i="17"/>
  <c r="O268" i="17" s="1"/>
  <c r="N296" i="17"/>
  <c r="O296" i="17" s="1"/>
  <c r="N303" i="17"/>
  <c r="P303" i="17" s="1"/>
  <c r="N291" i="17"/>
  <c r="P291" i="17" s="1"/>
  <c r="N282" i="17"/>
  <c r="O282" i="17" s="1"/>
  <c r="N270" i="17"/>
  <c r="O270" i="17" s="1"/>
  <c r="N267" i="17"/>
  <c r="O267" i="17" s="1"/>
  <c r="N302" i="17"/>
  <c r="O302" i="17" s="1"/>
  <c r="N287" i="17"/>
  <c r="O287" i="17" s="1"/>
  <c r="N281" i="17"/>
  <c r="O281" i="17" s="1"/>
  <c r="N275" i="17"/>
  <c r="O275" i="17" s="1"/>
  <c r="N306" i="17"/>
  <c r="O306" i="17" s="1"/>
  <c r="N297" i="17"/>
  <c r="O297" i="17" s="1"/>
  <c r="N274" i="17"/>
  <c r="O274" i="17" s="1"/>
  <c r="N264" i="17"/>
  <c r="O264" i="17" s="1"/>
  <c r="N285" i="17"/>
  <c r="O285" i="17" s="1"/>
  <c r="N280" i="17"/>
  <c r="O280" i="17" s="1"/>
  <c r="N277" i="17"/>
  <c r="O277" i="17" s="1"/>
  <c r="BW92" i="10"/>
  <c r="BW93" i="10"/>
  <c r="BW94" i="10"/>
  <c r="BW97" i="10"/>
  <c r="BW83" i="10"/>
  <c r="BW85" i="10"/>
  <c r="BW91" i="10"/>
  <c r="BW96" i="10"/>
  <c r="BW88" i="10"/>
  <c r="BW95" i="10"/>
  <c r="BW87" i="10"/>
  <c r="BW82" i="10"/>
  <c r="BW84" i="10"/>
  <c r="BW90" i="10"/>
  <c r="BW86" i="10"/>
  <c r="BW89" i="10"/>
  <c r="BD6" i="3"/>
  <c r="BD7" i="3"/>
  <c r="BD8" i="3"/>
  <c r="BD9" i="3"/>
  <c r="BD10" i="3"/>
  <c r="BD11" i="3"/>
  <c r="BD12" i="3"/>
  <c r="BD13" i="3"/>
  <c r="BD14" i="3"/>
  <c r="BD15" i="3"/>
  <c r="BD16" i="3"/>
  <c r="BD17" i="3"/>
  <c r="BD18" i="3"/>
  <c r="BD19" i="3"/>
  <c r="BD20" i="3"/>
  <c r="BD21" i="3"/>
  <c r="BD22" i="3"/>
  <c r="BD23" i="3"/>
  <c r="BD24" i="3"/>
  <c r="BD25" i="3"/>
  <c r="BD26" i="3"/>
  <c r="BD27" i="3"/>
  <c r="BD28" i="3"/>
  <c r="BD29" i="3"/>
  <c r="BD30" i="3"/>
  <c r="BD31" i="3"/>
  <c r="BD32" i="3"/>
  <c r="BD33" i="3"/>
  <c r="BD34" i="3"/>
  <c r="BD35" i="3"/>
  <c r="BD36" i="3"/>
  <c r="BD37" i="3"/>
  <c r="BD38" i="3"/>
  <c r="BD39" i="3"/>
  <c r="BD40" i="3"/>
  <c r="BD41" i="3"/>
  <c r="BD42" i="3"/>
  <c r="BD43" i="3"/>
  <c r="BD44" i="3"/>
  <c r="BD45" i="3"/>
  <c r="BD46" i="3"/>
  <c r="BD47" i="3"/>
  <c r="BD48" i="3"/>
  <c r="BD49" i="3"/>
  <c r="BD50" i="3"/>
  <c r="BD51" i="3"/>
  <c r="BD52" i="3"/>
  <c r="BD53" i="3"/>
  <c r="BD54" i="3"/>
  <c r="BD55" i="3"/>
  <c r="BD56" i="3"/>
  <c r="BD57" i="3"/>
  <c r="BD58" i="3"/>
  <c r="BD59" i="3"/>
  <c r="BD60" i="3"/>
  <c r="BD61" i="3"/>
  <c r="BD62" i="3"/>
  <c r="BD63" i="3"/>
  <c r="BD64" i="3"/>
  <c r="BD65" i="3"/>
  <c r="BD66" i="3"/>
  <c r="BD67" i="3"/>
  <c r="BD68" i="3"/>
  <c r="BD69" i="3"/>
  <c r="BD70" i="3"/>
  <c r="BD71" i="3"/>
  <c r="BD72" i="3"/>
  <c r="BD73" i="3"/>
  <c r="BD74" i="3"/>
  <c r="BD75" i="3"/>
  <c r="BD76" i="3"/>
  <c r="BD77" i="3"/>
  <c r="BD78" i="3"/>
  <c r="BD79" i="3"/>
  <c r="BD80" i="3"/>
  <c r="BD81" i="3"/>
  <c r="BD82" i="3"/>
  <c r="BD83" i="3"/>
  <c r="BD84" i="3"/>
  <c r="BD85" i="3"/>
  <c r="BD86" i="3"/>
  <c r="BD87" i="3"/>
  <c r="BD88" i="3"/>
  <c r="BD89" i="3"/>
  <c r="BD90" i="3"/>
  <c r="BD91" i="3"/>
  <c r="BD92" i="3"/>
  <c r="BD93" i="3"/>
  <c r="BD94" i="3"/>
  <c r="BD95" i="3"/>
  <c r="BD96" i="3"/>
  <c r="BD97" i="3"/>
  <c r="BD98" i="3"/>
  <c r="BD99" i="3"/>
  <c r="BD100" i="3"/>
  <c r="BD101" i="3"/>
  <c r="BD102" i="3"/>
  <c r="BD103" i="3"/>
  <c r="BD104" i="3"/>
  <c r="BD105" i="3"/>
  <c r="BD106" i="3"/>
  <c r="BD107" i="3"/>
  <c r="BD108" i="3"/>
  <c r="BD109" i="3"/>
  <c r="BD110" i="3"/>
  <c r="BD111" i="3"/>
  <c r="BD112" i="3"/>
  <c r="BD113" i="3"/>
  <c r="BD114" i="3"/>
  <c r="BD115" i="3"/>
  <c r="BD116" i="3"/>
  <c r="BD117" i="3"/>
  <c r="BD118" i="3"/>
  <c r="BD119" i="3"/>
  <c r="BD120" i="3"/>
  <c r="BD121" i="3"/>
  <c r="BD122" i="3"/>
  <c r="BD123" i="3"/>
  <c r="BD124" i="3"/>
  <c r="BD125" i="3"/>
  <c r="BD126" i="3"/>
  <c r="BD127" i="3"/>
  <c r="BD128" i="3"/>
  <c r="BD129" i="3"/>
  <c r="BD130" i="3"/>
  <c r="BD131" i="3"/>
  <c r="BD132" i="3"/>
  <c r="BD133" i="3"/>
  <c r="BD134" i="3"/>
  <c r="BD135" i="3"/>
  <c r="BD136" i="3"/>
  <c r="BD137" i="3"/>
  <c r="BD138" i="3"/>
  <c r="BD139" i="3"/>
  <c r="BD140" i="3"/>
  <c r="BD141" i="3"/>
  <c r="BD142" i="3"/>
  <c r="BD143" i="3"/>
  <c r="BD144" i="3"/>
  <c r="BD145" i="3"/>
  <c r="BD146" i="3"/>
  <c r="BD147" i="3"/>
  <c r="BD148" i="3"/>
  <c r="BD149" i="3"/>
  <c r="BD150" i="3"/>
  <c r="BD151" i="3"/>
  <c r="BD152" i="3"/>
  <c r="BD153" i="3"/>
  <c r="BD154" i="3"/>
  <c r="BD155" i="3"/>
  <c r="BD156" i="3"/>
  <c r="BD157" i="3"/>
  <c r="BD158" i="3"/>
  <c r="BD159" i="3"/>
  <c r="BD160" i="3"/>
  <c r="BD161" i="3"/>
  <c r="BD162" i="3"/>
  <c r="BD163" i="3"/>
  <c r="BD164" i="3"/>
  <c r="BD165" i="3"/>
  <c r="BD166" i="3"/>
  <c r="BD167" i="3"/>
  <c r="BD168" i="3"/>
  <c r="BD169" i="3"/>
  <c r="BD170" i="3"/>
  <c r="BD171" i="3"/>
  <c r="BD172" i="3"/>
  <c r="BD173" i="3"/>
  <c r="BD174" i="3"/>
  <c r="BD175" i="3"/>
  <c r="BD176" i="3"/>
  <c r="BD177" i="3"/>
  <c r="BD178" i="3"/>
  <c r="BD179" i="3"/>
  <c r="BD180" i="3"/>
  <c r="BD181" i="3"/>
  <c r="BD182" i="3"/>
  <c r="BD183" i="3"/>
  <c r="BD184" i="3"/>
  <c r="BD185" i="3"/>
  <c r="BD186" i="3"/>
  <c r="BD187" i="3"/>
  <c r="BD188" i="3"/>
  <c r="BD189" i="3"/>
  <c r="BD190" i="3"/>
  <c r="BD191" i="3"/>
  <c r="BD192" i="3"/>
  <c r="BD193" i="3"/>
  <c r="BD194" i="3"/>
  <c r="BD195" i="3"/>
  <c r="BD196" i="3"/>
  <c r="BD197" i="3"/>
  <c r="BD198" i="3"/>
  <c r="BD199" i="3"/>
  <c r="BD200" i="3"/>
  <c r="BD201" i="3"/>
  <c r="BD202" i="3"/>
  <c r="BD203" i="3"/>
  <c r="BD204" i="3"/>
  <c r="BD205" i="3"/>
  <c r="BD206" i="3"/>
  <c r="BD207" i="3"/>
  <c r="BD208" i="3"/>
  <c r="BD209" i="3"/>
  <c r="BD210" i="3"/>
  <c r="BD211" i="3"/>
  <c r="BD212" i="3"/>
  <c r="BD213" i="3"/>
  <c r="BD214" i="3"/>
  <c r="BD215" i="3"/>
  <c r="BD216" i="3"/>
  <c r="BD217" i="3"/>
  <c r="BD218" i="3"/>
  <c r="BD219" i="3"/>
  <c r="BD220" i="3"/>
  <c r="BD221" i="3"/>
  <c r="BD222" i="3"/>
  <c r="BD223" i="3"/>
  <c r="BD224" i="3"/>
  <c r="BD225" i="3"/>
  <c r="BD226" i="3"/>
  <c r="BD227" i="3"/>
  <c r="BD228" i="3"/>
  <c r="BD229" i="3"/>
  <c r="BD230" i="3"/>
  <c r="BD231" i="3"/>
  <c r="BD232" i="3"/>
  <c r="BD233" i="3"/>
  <c r="BD234" i="3"/>
  <c r="BD235" i="3"/>
  <c r="BD236" i="3"/>
  <c r="BD237" i="3"/>
  <c r="BD238" i="3"/>
  <c r="BD239" i="3"/>
  <c r="BD240" i="3"/>
  <c r="BD241" i="3"/>
  <c r="BD242" i="3"/>
  <c r="BD243" i="3"/>
  <c r="BD244" i="3"/>
  <c r="BD245" i="3"/>
  <c r="BD246" i="3"/>
  <c r="BD247" i="3"/>
  <c r="BD248" i="3"/>
  <c r="BD249" i="3"/>
  <c r="BD250" i="3"/>
  <c r="BD251" i="3"/>
  <c r="BD252" i="3"/>
  <c r="BD253" i="3"/>
  <c r="BD254" i="3"/>
  <c r="BD255" i="3"/>
  <c r="BD256" i="3"/>
  <c r="BD257" i="3"/>
  <c r="BD258" i="3"/>
  <c r="BD259" i="3"/>
  <c r="BD260" i="3"/>
  <c r="BD261" i="3"/>
  <c r="BD262" i="3"/>
  <c r="BD263" i="3"/>
  <c r="BD264" i="3"/>
  <c r="BD265" i="3"/>
  <c r="BD266" i="3"/>
  <c r="BD267" i="3"/>
  <c r="BD268" i="3"/>
  <c r="BD269" i="3"/>
  <c r="BD270" i="3"/>
  <c r="BD271" i="3"/>
  <c r="BD272" i="3"/>
  <c r="BD273" i="3"/>
  <c r="BD274" i="3"/>
  <c r="BD275" i="3"/>
  <c r="BD276" i="3"/>
  <c r="BD277" i="3"/>
  <c r="BD278" i="3"/>
  <c r="BD279" i="3"/>
  <c r="BD280" i="3"/>
  <c r="BD281" i="3"/>
  <c r="BD282" i="3"/>
  <c r="BD283" i="3"/>
  <c r="BD284" i="3"/>
  <c r="BD285" i="3"/>
  <c r="BD286" i="3"/>
  <c r="BD287" i="3"/>
  <c r="BD288" i="3"/>
  <c r="BD289" i="3"/>
  <c r="BD290" i="3"/>
  <c r="BD5" i="3"/>
  <c r="P260" i="17" l="1"/>
  <c r="Q260" i="17" s="1"/>
  <c r="O261" i="17"/>
  <c r="Q261" i="17" s="1"/>
  <c r="O263" i="17"/>
  <c r="Q263" i="17" s="1"/>
  <c r="O265" i="17"/>
  <c r="Q265" i="17" s="1"/>
  <c r="P262" i="17"/>
  <c r="Q262" i="17" s="1"/>
  <c r="P304" i="17"/>
  <c r="Q304" i="17" s="1"/>
  <c r="O271" i="17"/>
  <c r="Q271" i="17" s="1"/>
  <c r="O303" i="17"/>
  <c r="Q303" i="17" s="1"/>
  <c r="P284" i="17"/>
  <c r="Q284" i="17" s="1"/>
  <c r="P285" i="17"/>
  <c r="Q285" i="17" s="1"/>
  <c r="P301" i="17"/>
  <c r="Q301" i="17" s="1"/>
  <c r="P266" i="17"/>
  <c r="Q266" i="17" s="1"/>
  <c r="O300" i="17"/>
  <c r="Q300" i="17" s="1"/>
  <c r="P278" i="17"/>
  <c r="Q278" i="17" s="1"/>
  <c r="P273" i="17"/>
  <c r="Q273" i="17" s="1"/>
  <c r="P269" i="17"/>
  <c r="Q269" i="17" s="1"/>
  <c r="O293" i="17"/>
  <c r="Q293" i="17" s="1"/>
  <c r="O295" i="17"/>
  <c r="Q295" i="17" s="1"/>
  <c r="P268" i="17"/>
  <c r="Q268" i="17" s="1"/>
  <c r="P292" i="17"/>
  <c r="Q292" i="17" s="1"/>
  <c r="P274" i="17"/>
  <c r="Q274" i="17" s="1"/>
  <c r="P308" i="17"/>
  <c r="Q308" i="17" s="1"/>
  <c r="P307" i="17"/>
  <c r="Q307" i="17" s="1"/>
  <c r="P290" i="17"/>
  <c r="Q290" i="17" s="1"/>
  <c r="O305" i="17"/>
  <c r="Q305" i="17" s="1"/>
  <c r="P299" i="17"/>
  <c r="Q299" i="17" s="1"/>
  <c r="O272" i="17"/>
  <c r="Q272" i="17" s="1"/>
  <c r="O276" i="17"/>
  <c r="Q276" i="17" s="1"/>
  <c r="P264" i="17"/>
  <c r="Q264" i="17" s="1"/>
  <c r="P289" i="17"/>
  <c r="Q289" i="17" s="1"/>
  <c r="O291" i="17"/>
  <c r="Q291" i="17" s="1"/>
  <c r="P280" i="17"/>
  <c r="Q280" i="17" s="1"/>
  <c r="P296" i="17"/>
  <c r="Q296" i="17" s="1"/>
  <c r="P259" i="17"/>
  <c r="Q259" i="17" s="1"/>
  <c r="P277" i="17"/>
  <c r="Q277" i="17" s="1"/>
  <c r="P286" i="17"/>
  <c r="Q286" i="17" s="1"/>
  <c r="P275" i="17"/>
  <c r="Q275" i="17" s="1"/>
  <c r="P267" i="17"/>
  <c r="Q267" i="17" s="1"/>
  <c r="O279" i="17"/>
  <c r="Q279" i="17" s="1"/>
  <c r="P294" i="17"/>
  <c r="Q294" i="17" s="1"/>
  <c r="P283" i="17"/>
  <c r="Q283" i="17" s="1"/>
  <c r="P298" i="17"/>
  <c r="Q298" i="17" s="1"/>
  <c r="P281" i="17"/>
  <c r="Q281" i="17" s="1"/>
  <c r="P270" i="17"/>
  <c r="Q270" i="17" s="1"/>
  <c r="P282" i="17"/>
  <c r="Q282" i="17" s="1"/>
  <c r="P288" i="17"/>
  <c r="Q288" i="17" s="1"/>
  <c r="P306" i="17"/>
  <c r="Q306" i="17" s="1"/>
  <c r="P302" i="17"/>
  <c r="Q302" i="17" s="1"/>
  <c r="P287" i="17"/>
  <c r="Q287" i="17" s="1"/>
  <c r="P297" i="17"/>
  <c r="Q297" i="17" s="1"/>
  <c r="L141" i="17"/>
  <c r="M141" i="17"/>
  <c r="R141" i="17"/>
  <c r="L142" i="17"/>
  <c r="M142" i="17"/>
  <c r="R142" i="17"/>
  <c r="L143" i="17"/>
  <c r="M143" i="17"/>
  <c r="R143" i="17"/>
  <c r="L144" i="17"/>
  <c r="M144" i="17"/>
  <c r="R144" i="17"/>
  <c r="L145" i="17"/>
  <c r="M145" i="17"/>
  <c r="R145" i="17"/>
  <c r="L146" i="17"/>
  <c r="M146" i="17"/>
  <c r="R146" i="17"/>
  <c r="L147" i="17"/>
  <c r="M147" i="17"/>
  <c r="R147" i="17"/>
  <c r="L148" i="17"/>
  <c r="M148" i="17"/>
  <c r="R148" i="17"/>
  <c r="L149" i="17"/>
  <c r="M149" i="17"/>
  <c r="R149" i="17"/>
  <c r="L150" i="17"/>
  <c r="M150" i="17"/>
  <c r="R150" i="17"/>
  <c r="L151" i="17"/>
  <c r="M151" i="17"/>
  <c r="R151" i="17"/>
  <c r="L152" i="17"/>
  <c r="M152" i="17"/>
  <c r="R152" i="17"/>
  <c r="L153" i="17"/>
  <c r="M153" i="17"/>
  <c r="R153" i="17"/>
  <c r="L154" i="17"/>
  <c r="M154" i="17"/>
  <c r="R154" i="17"/>
  <c r="L155" i="17"/>
  <c r="M155" i="17"/>
  <c r="R155" i="17"/>
  <c r="L156" i="17"/>
  <c r="M156" i="17"/>
  <c r="R156" i="17"/>
  <c r="L157" i="17"/>
  <c r="M157" i="17"/>
  <c r="R157" i="17"/>
  <c r="L158" i="17"/>
  <c r="M158" i="17"/>
  <c r="R158" i="17"/>
  <c r="L159" i="17"/>
  <c r="M159" i="17"/>
  <c r="R159" i="17"/>
  <c r="L160" i="17"/>
  <c r="M160" i="17"/>
  <c r="R160" i="17"/>
  <c r="L161" i="17"/>
  <c r="M161" i="17"/>
  <c r="R161" i="17"/>
  <c r="L162" i="17"/>
  <c r="M162" i="17"/>
  <c r="R162" i="17"/>
  <c r="L163" i="17"/>
  <c r="M163" i="17"/>
  <c r="R163" i="17"/>
  <c r="L164" i="17"/>
  <c r="M164" i="17"/>
  <c r="R164" i="17"/>
  <c r="L165" i="17"/>
  <c r="M165" i="17"/>
  <c r="R165" i="17"/>
  <c r="L166" i="17"/>
  <c r="M166" i="17"/>
  <c r="R166" i="17"/>
  <c r="L167" i="17"/>
  <c r="M167" i="17"/>
  <c r="R167" i="17"/>
  <c r="L168" i="17"/>
  <c r="M168" i="17"/>
  <c r="R168" i="17"/>
  <c r="L169" i="17"/>
  <c r="M169" i="17"/>
  <c r="R169" i="17"/>
  <c r="L170" i="17"/>
  <c r="M170" i="17"/>
  <c r="R170" i="17"/>
  <c r="L171" i="17"/>
  <c r="M171" i="17"/>
  <c r="R171" i="17"/>
  <c r="L172" i="17"/>
  <c r="M172" i="17"/>
  <c r="R172" i="17"/>
  <c r="L173" i="17"/>
  <c r="M173" i="17"/>
  <c r="R173" i="17"/>
  <c r="L174" i="17"/>
  <c r="M174" i="17"/>
  <c r="R174" i="17"/>
  <c r="L175" i="17"/>
  <c r="M175" i="17"/>
  <c r="R175" i="17"/>
  <c r="L176" i="17"/>
  <c r="M176" i="17"/>
  <c r="R176" i="17"/>
  <c r="L177" i="17"/>
  <c r="M177" i="17"/>
  <c r="R177" i="17"/>
  <c r="L178" i="17"/>
  <c r="M178" i="17"/>
  <c r="R178" i="17"/>
  <c r="L179" i="17"/>
  <c r="M179" i="17"/>
  <c r="R179" i="17"/>
  <c r="L180" i="17"/>
  <c r="M180" i="17"/>
  <c r="R180" i="17"/>
  <c r="L181" i="17"/>
  <c r="M181" i="17"/>
  <c r="R181" i="17"/>
  <c r="L182" i="17"/>
  <c r="M182" i="17"/>
  <c r="R182" i="17"/>
  <c r="L183" i="17"/>
  <c r="M183" i="17"/>
  <c r="R183" i="17"/>
  <c r="L184" i="17"/>
  <c r="M184" i="17"/>
  <c r="R184" i="17"/>
  <c r="L185" i="17"/>
  <c r="M185" i="17"/>
  <c r="R185" i="17"/>
  <c r="L186" i="17"/>
  <c r="M186" i="17"/>
  <c r="R186" i="17"/>
  <c r="L187" i="17"/>
  <c r="M187" i="17"/>
  <c r="R187" i="17"/>
  <c r="L188" i="17"/>
  <c r="M188" i="17"/>
  <c r="R188" i="17"/>
  <c r="L189" i="17"/>
  <c r="M189" i="17"/>
  <c r="R189" i="17"/>
  <c r="L190" i="17"/>
  <c r="M190" i="17"/>
  <c r="R190" i="17"/>
  <c r="L191" i="17"/>
  <c r="M191" i="17"/>
  <c r="R191" i="17"/>
  <c r="L192" i="17"/>
  <c r="M192" i="17"/>
  <c r="R192" i="17"/>
  <c r="L193" i="17"/>
  <c r="M193" i="17"/>
  <c r="R193" i="17"/>
  <c r="L194" i="17"/>
  <c r="M194" i="17"/>
  <c r="R194" i="17"/>
  <c r="L195" i="17"/>
  <c r="M195" i="17"/>
  <c r="R195" i="17"/>
  <c r="L196" i="17"/>
  <c r="M196" i="17"/>
  <c r="R196" i="17"/>
  <c r="L197" i="17"/>
  <c r="M197" i="17"/>
  <c r="R197" i="17"/>
  <c r="L198" i="17"/>
  <c r="M198" i="17"/>
  <c r="R198" i="17"/>
  <c r="L199" i="17"/>
  <c r="M199" i="17"/>
  <c r="R199" i="17"/>
  <c r="L200" i="17"/>
  <c r="M200" i="17"/>
  <c r="R200" i="17"/>
  <c r="L201" i="17"/>
  <c r="M201" i="17"/>
  <c r="R201" i="17"/>
  <c r="L202" i="17"/>
  <c r="M202" i="17"/>
  <c r="R202" i="17"/>
  <c r="L203" i="17"/>
  <c r="M203" i="17"/>
  <c r="R203" i="17"/>
  <c r="L204" i="17"/>
  <c r="M204" i="17"/>
  <c r="R204" i="17"/>
  <c r="L205" i="17"/>
  <c r="M205" i="17"/>
  <c r="R205" i="17"/>
  <c r="L206" i="17"/>
  <c r="M206" i="17"/>
  <c r="R206" i="17"/>
  <c r="L207" i="17"/>
  <c r="M207" i="17"/>
  <c r="R207" i="17"/>
  <c r="L208" i="17"/>
  <c r="M208" i="17"/>
  <c r="R208" i="17"/>
  <c r="L209" i="17"/>
  <c r="M209" i="17"/>
  <c r="R209" i="17"/>
  <c r="L210" i="17"/>
  <c r="M210" i="17"/>
  <c r="R210" i="17"/>
  <c r="L211" i="17"/>
  <c r="M211" i="17"/>
  <c r="R211" i="17"/>
  <c r="L212" i="17"/>
  <c r="M212" i="17"/>
  <c r="R212" i="17"/>
  <c r="L213" i="17"/>
  <c r="M213" i="17"/>
  <c r="R213" i="17"/>
  <c r="L214" i="17"/>
  <c r="M214" i="17"/>
  <c r="R214" i="17"/>
  <c r="L215" i="17"/>
  <c r="M215" i="17"/>
  <c r="R215" i="17"/>
  <c r="L216" i="17"/>
  <c r="M216" i="17"/>
  <c r="R216" i="17"/>
  <c r="L217" i="17"/>
  <c r="M217" i="17"/>
  <c r="R217" i="17"/>
  <c r="L218" i="17"/>
  <c r="M218" i="17"/>
  <c r="R218" i="17"/>
  <c r="L219" i="17"/>
  <c r="M219" i="17"/>
  <c r="R219" i="17"/>
  <c r="L220" i="17"/>
  <c r="M220" i="17"/>
  <c r="R220" i="17"/>
  <c r="L221" i="17"/>
  <c r="M221" i="17"/>
  <c r="R221" i="17"/>
  <c r="L222" i="17"/>
  <c r="M222" i="17"/>
  <c r="R222" i="17"/>
  <c r="L223" i="17"/>
  <c r="M223" i="17"/>
  <c r="R223" i="17"/>
  <c r="L224" i="17"/>
  <c r="M224" i="17"/>
  <c r="R224" i="17"/>
  <c r="L225" i="17"/>
  <c r="M225" i="17"/>
  <c r="R225" i="17"/>
  <c r="L226" i="17"/>
  <c r="M226" i="17"/>
  <c r="R226" i="17"/>
  <c r="L227" i="17"/>
  <c r="M227" i="17"/>
  <c r="R227" i="17"/>
  <c r="L228" i="17"/>
  <c r="M228" i="17"/>
  <c r="R228" i="17"/>
  <c r="L229" i="17"/>
  <c r="M229" i="17"/>
  <c r="R229" i="17"/>
  <c r="L230" i="17"/>
  <c r="M230" i="17"/>
  <c r="R230" i="17"/>
  <c r="L231" i="17"/>
  <c r="M231" i="17"/>
  <c r="R231" i="17"/>
  <c r="L232" i="17"/>
  <c r="M232" i="17"/>
  <c r="R232" i="17"/>
  <c r="L233" i="17"/>
  <c r="M233" i="17"/>
  <c r="R233" i="17"/>
  <c r="L234" i="17"/>
  <c r="M234" i="17"/>
  <c r="R234" i="17"/>
  <c r="L235" i="17"/>
  <c r="M235" i="17"/>
  <c r="R235" i="17"/>
  <c r="L236" i="17"/>
  <c r="M236" i="17"/>
  <c r="R236" i="17"/>
  <c r="L237" i="17"/>
  <c r="M237" i="17"/>
  <c r="R237" i="17"/>
  <c r="L238" i="17"/>
  <c r="M238" i="17"/>
  <c r="R238" i="17"/>
  <c r="L239" i="17"/>
  <c r="M239" i="17"/>
  <c r="R239" i="17"/>
  <c r="L240" i="17"/>
  <c r="M240" i="17"/>
  <c r="R240" i="17"/>
  <c r="L241" i="17"/>
  <c r="M241" i="17"/>
  <c r="R241" i="17"/>
  <c r="L242" i="17"/>
  <c r="M242" i="17"/>
  <c r="R242" i="17"/>
  <c r="L243" i="17"/>
  <c r="M243" i="17"/>
  <c r="R243" i="17"/>
  <c r="L244" i="17"/>
  <c r="M244" i="17"/>
  <c r="R244" i="17"/>
  <c r="L245" i="17"/>
  <c r="M245" i="17"/>
  <c r="R245" i="17"/>
  <c r="L246" i="17"/>
  <c r="M246" i="17"/>
  <c r="R246" i="17"/>
  <c r="L247" i="17"/>
  <c r="M247" i="17"/>
  <c r="R247" i="17"/>
  <c r="L248" i="17"/>
  <c r="M248" i="17"/>
  <c r="R248" i="17"/>
  <c r="L249" i="17"/>
  <c r="M249" i="17"/>
  <c r="R249" i="17"/>
  <c r="L250" i="17"/>
  <c r="M250" i="17"/>
  <c r="R250" i="17"/>
  <c r="L251" i="17"/>
  <c r="M251" i="17"/>
  <c r="R251" i="17"/>
  <c r="L252" i="17"/>
  <c r="M252" i="17"/>
  <c r="R252" i="17"/>
  <c r="L253" i="17"/>
  <c r="M253" i="17"/>
  <c r="R253" i="17"/>
  <c r="L254" i="17"/>
  <c r="M254" i="17"/>
  <c r="R254" i="17"/>
  <c r="L255" i="17"/>
  <c r="M255" i="17"/>
  <c r="R255" i="17"/>
  <c r="L256" i="17"/>
  <c r="M256" i="17"/>
  <c r="R256" i="17"/>
  <c r="L257" i="17"/>
  <c r="M257" i="17"/>
  <c r="R257" i="17"/>
  <c r="L258" i="17"/>
  <c r="M258" i="17"/>
  <c r="R258" i="17"/>
  <c r="BA53" i="10"/>
  <c r="BF53" i="10"/>
  <c r="BG53" i="10"/>
  <c r="BY53" i="10" s="1"/>
  <c r="BI53" i="10"/>
  <c r="BJ53" i="10"/>
  <c r="BK53" i="10"/>
  <c r="BA54" i="10"/>
  <c r="BF54" i="10"/>
  <c r="BG54" i="10"/>
  <c r="BY54" i="10" s="1"/>
  <c r="BI54" i="10"/>
  <c r="BJ54" i="10"/>
  <c r="BK54" i="10"/>
  <c r="BA55" i="10"/>
  <c r="BF55" i="10"/>
  <c r="BG55" i="10"/>
  <c r="BY55" i="10" s="1"/>
  <c r="BI55" i="10"/>
  <c r="BJ55" i="10"/>
  <c r="BK55" i="10"/>
  <c r="BA56" i="10"/>
  <c r="BF56" i="10"/>
  <c r="BG56" i="10"/>
  <c r="BY56" i="10" s="1"/>
  <c r="BI56" i="10"/>
  <c r="BJ56" i="10"/>
  <c r="BK56" i="10"/>
  <c r="BA57" i="10"/>
  <c r="BF57" i="10"/>
  <c r="BG57" i="10"/>
  <c r="BY57" i="10" s="1"/>
  <c r="BI57" i="10"/>
  <c r="BJ57" i="10"/>
  <c r="BK57" i="10"/>
  <c r="BA58" i="10"/>
  <c r="BF58" i="10"/>
  <c r="BG58" i="10"/>
  <c r="BY58" i="10" s="1"/>
  <c r="BI58" i="10"/>
  <c r="BJ58" i="10"/>
  <c r="BK58" i="10"/>
  <c r="BA59" i="10"/>
  <c r="BF59" i="10"/>
  <c r="BG59" i="10"/>
  <c r="BY59" i="10" s="1"/>
  <c r="BI59" i="10"/>
  <c r="BJ59" i="10"/>
  <c r="BK59" i="10"/>
  <c r="BA60" i="10"/>
  <c r="BF60" i="10"/>
  <c r="BG60" i="10"/>
  <c r="BY60" i="10" s="1"/>
  <c r="BI60" i="10"/>
  <c r="BJ60" i="10"/>
  <c r="BK60" i="10"/>
  <c r="BA61" i="10"/>
  <c r="BF61" i="10"/>
  <c r="BG61" i="10"/>
  <c r="BY61" i="10" s="1"/>
  <c r="BI61" i="10"/>
  <c r="BJ61" i="10"/>
  <c r="BK61" i="10"/>
  <c r="BA62" i="10"/>
  <c r="BF62" i="10"/>
  <c r="BG62" i="10"/>
  <c r="BY62" i="10" s="1"/>
  <c r="BI62" i="10"/>
  <c r="BJ62" i="10"/>
  <c r="BK62" i="10"/>
  <c r="BA63" i="10"/>
  <c r="BF63" i="10"/>
  <c r="BG63" i="10"/>
  <c r="BY63" i="10" s="1"/>
  <c r="BI63" i="10"/>
  <c r="BJ63" i="10"/>
  <c r="BK63" i="10"/>
  <c r="BA64" i="10"/>
  <c r="BF64" i="10"/>
  <c r="BG64" i="10"/>
  <c r="BY64" i="10" s="1"/>
  <c r="BI64" i="10"/>
  <c r="BJ64" i="10"/>
  <c r="BK64" i="10"/>
  <c r="BA65" i="10"/>
  <c r="BF65" i="10"/>
  <c r="BG65" i="10"/>
  <c r="BY65" i="10" s="1"/>
  <c r="BI65" i="10"/>
  <c r="BJ65" i="10"/>
  <c r="BK65" i="10"/>
  <c r="BA66" i="10"/>
  <c r="BF66" i="10"/>
  <c r="BG66" i="10"/>
  <c r="BY66" i="10" s="1"/>
  <c r="BI66" i="10"/>
  <c r="BJ66" i="10"/>
  <c r="BK66" i="10"/>
  <c r="BA67" i="10"/>
  <c r="BF67" i="10"/>
  <c r="BG67" i="10"/>
  <c r="BY67" i="10" s="1"/>
  <c r="BI67" i="10"/>
  <c r="BJ67" i="10"/>
  <c r="BK67" i="10"/>
  <c r="BA68" i="10"/>
  <c r="BF68" i="10"/>
  <c r="BG68" i="10"/>
  <c r="BY68" i="10" s="1"/>
  <c r="BI68" i="10"/>
  <c r="BJ68" i="10"/>
  <c r="BK68" i="10"/>
  <c r="BA69" i="10"/>
  <c r="BF69" i="10"/>
  <c r="BG69" i="10"/>
  <c r="BY69" i="10" s="1"/>
  <c r="BI69" i="10"/>
  <c r="BJ69" i="10"/>
  <c r="BK69" i="10"/>
  <c r="BA70" i="10"/>
  <c r="BF70" i="10"/>
  <c r="BG70" i="10"/>
  <c r="BY70" i="10" s="1"/>
  <c r="BI70" i="10"/>
  <c r="BJ70" i="10"/>
  <c r="BK70" i="10"/>
  <c r="BA71" i="10"/>
  <c r="BF71" i="10"/>
  <c r="BG71" i="10"/>
  <c r="BY71" i="10" s="1"/>
  <c r="BI71" i="10"/>
  <c r="BJ71" i="10"/>
  <c r="BK71" i="10"/>
  <c r="BA72" i="10"/>
  <c r="BF72" i="10"/>
  <c r="BG72" i="10"/>
  <c r="BY72" i="10" s="1"/>
  <c r="BI72" i="10"/>
  <c r="BJ72" i="10"/>
  <c r="BK72" i="10"/>
  <c r="BA73" i="10"/>
  <c r="BF73" i="10"/>
  <c r="BG73" i="10"/>
  <c r="BY73" i="10" s="1"/>
  <c r="BI73" i="10"/>
  <c r="BJ73" i="10"/>
  <c r="BK73" i="10"/>
  <c r="BA74" i="10"/>
  <c r="BF74" i="10"/>
  <c r="BG74" i="10"/>
  <c r="BY74" i="10" s="1"/>
  <c r="BI74" i="10"/>
  <c r="BJ74" i="10"/>
  <c r="BK74" i="10"/>
  <c r="BA75" i="10"/>
  <c r="BF75" i="10"/>
  <c r="BG75" i="10"/>
  <c r="BY75" i="10" s="1"/>
  <c r="BI75" i="10"/>
  <c r="BJ75" i="10"/>
  <c r="BK75" i="10"/>
  <c r="BA76" i="10"/>
  <c r="BF76" i="10"/>
  <c r="BG76" i="10"/>
  <c r="BY76" i="10" s="1"/>
  <c r="BI76" i="10"/>
  <c r="BJ76" i="10"/>
  <c r="BK76" i="10"/>
  <c r="BA77" i="10"/>
  <c r="BF77" i="10"/>
  <c r="BG77" i="10"/>
  <c r="BY77" i="10" s="1"/>
  <c r="BI77" i="10"/>
  <c r="BJ77" i="10"/>
  <c r="BK77" i="10"/>
  <c r="BA78" i="10"/>
  <c r="BF78" i="10"/>
  <c r="BG78" i="10"/>
  <c r="BY78" i="10" s="1"/>
  <c r="BI78" i="10"/>
  <c r="BJ78" i="10"/>
  <c r="BK78" i="10"/>
  <c r="BA79" i="10"/>
  <c r="BF79" i="10"/>
  <c r="BG79" i="10"/>
  <c r="BY79" i="10" s="1"/>
  <c r="BI79" i="10"/>
  <c r="BJ79" i="10"/>
  <c r="BK79" i="10"/>
  <c r="BA80" i="10"/>
  <c r="BF80" i="10"/>
  <c r="BG80" i="10"/>
  <c r="BY80" i="10" s="1"/>
  <c r="BI80" i="10"/>
  <c r="BJ80" i="10"/>
  <c r="BK80" i="10"/>
  <c r="BA81" i="10"/>
  <c r="BF81" i="10"/>
  <c r="BG81" i="10"/>
  <c r="BY81" i="10" s="1"/>
  <c r="BI81" i="10"/>
  <c r="BJ81" i="10"/>
  <c r="BK81" i="10"/>
  <c r="BL53" i="10"/>
  <c r="BM53" i="10"/>
  <c r="BN53" i="10"/>
  <c r="BO53" i="10"/>
  <c r="BP53" i="10"/>
  <c r="BQ53" i="10"/>
  <c r="BR53" i="10"/>
  <c r="BT53" i="10"/>
  <c r="BU53" i="10"/>
  <c r="BL54" i="10"/>
  <c r="BM54" i="10"/>
  <c r="BN54" i="10"/>
  <c r="BO54" i="10"/>
  <c r="BP54" i="10"/>
  <c r="BQ54" i="10"/>
  <c r="BR54" i="10"/>
  <c r="BT54" i="10"/>
  <c r="BU54" i="10"/>
  <c r="BL55" i="10"/>
  <c r="BM55" i="10"/>
  <c r="BN55" i="10"/>
  <c r="BO55" i="10"/>
  <c r="BP55" i="10"/>
  <c r="BQ55" i="10"/>
  <c r="BR55" i="10"/>
  <c r="BT55" i="10"/>
  <c r="BU55" i="10"/>
  <c r="BL56" i="10"/>
  <c r="BM56" i="10"/>
  <c r="BN56" i="10"/>
  <c r="BO56" i="10"/>
  <c r="BP56" i="10"/>
  <c r="BQ56" i="10"/>
  <c r="BR56" i="10"/>
  <c r="BT56" i="10"/>
  <c r="BU56" i="10"/>
  <c r="BL57" i="10"/>
  <c r="BM57" i="10"/>
  <c r="BN57" i="10"/>
  <c r="BO57" i="10"/>
  <c r="BP57" i="10"/>
  <c r="BQ57" i="10"/>
  <c r="BR57" i="10"/>
  <c r="BT57" i="10"/>
  <c r="BU57" i="10"/>
  <c r="BL58" i="10"/>
  <c r="BM58" i="10"/>
  <c r="BN58" i="10"/>
  <c r="BO58" i="10"/>
  <c r="BP58" i="10"/>
  <c r="BQ58" i="10"/>
  <c r="BR58" i="10"/>
  <c r="BT58" i="10"/>
  <c r="BU58" i="10"/>
  <c r="BL59" i="10"/>
  <c r="BM59" i="10"/>
  <c r="BN59" i="10"/>
  <c r="BO59" i="10"/>
  <c r="BP59" i="10"/>
  <c r="BQ59" i="10"/>
  <c r="BR59" i="10"/>
  <c r="BT59" i="10"/>
  <c r="BU59" i="10"/>
  <c r="BL60" i="10"/>
  <c r="BM60" i="10"/>
  <c r="BN60" i="10"/>
  <c r="BO60" i="10"/>
  <c r="BP60" i="10"/>
  <c r="BQ60" i="10"/>
  <c r="BR60" i="10"/>
  <c r="BT60" i="10"/>
  <c r="BU60" i="10"/>
  <c r="BL61" i="10"/>
  <c r="BM61" i="10"/>
  <c r="BN61" i="10"/>
  <c r="BO61" i="10"/>
  <c r="BP61" i="10"/>
  <c r="BQ61" i="10"/>
  <c r="BR61" i="10"/>
  <c r="BT61" i="10"/>
  <c r="BU61" i="10"/>
  <c r="BL62" i="10"/>
  <c r="BM62" i="10"/>
  <c r="BN62" i="10"/>
  <c r="BO62" i="10"/>
  <c r="BP62" i="10"/>
  <c r="BQ62" i="10"/>
  <c r="BR62" i="10"/>
  <c r="BT62" i="10"/>
  <c r="BU62" i="10"/>
  <c r="BL63" i="10"/>
  <c r="BM63" i="10"/>
  <c r="BN63" i="10"/>
  <c r="BO63" i="10"/>
  <c r="BP63" i="10"/>
  <c r="BQ63" i="10"/>
  <c r="BR63" i="10"/>
  <c r="BT63" i="10"/>
  <c r="BU63" i="10"/>
  <c r="BL64" i="10"/>
  <c r="BM64" i="10"/>
  <c r="BN64" i="10"/>
  <c r="BO64" i="10"/>
  <c r="BP64" i="10"/>
  <c r="BQ64" i="10"/>
  <c r="BR64" i="10"/>
  <c r="BT64" i="10"/>
  <c r="BU64" i="10"/>
  <c r="BL65" i="10"/>
  <c r="BM65" i="10"/>
  <c r="BN65" i="10"/>
  <c r="BO65" i="10"/>
  <c r="BP65" i="10"/>
  <c r="BQ65" i="10"/>
  <c r="BR65" i="10"/>
  <c r="BT65" i="10"/>
  <c r="BU65" i="10"/>
  <c r="BL66" i="10"/>
  <c r="BM66" i="10"/>
  <c r="BN66" i="10"/>
  <c r="BO66" i="10"/>
  <c r="BP66" i="10"/>
  <c r="BQ66" i="10"/>
  <c r="BR66" i="10"/>
  <c r="BT66" i="10"/>
  <c r="BU66" i="10"/>
  <c r="BL67" i="10"/>
  <c r="BM67" i="10"/>
  <c r="BN67" i="10"/>
  <c r="BO67" i="10"/>
  <c r="BP67" i="10"/>
  <c r="BQ67" i="10"/>
  <c r="BR67" i="10"/>
  <c r="BT67" i="10"/>
  <c r="BU67" i="10"/>
  <c r="BL68" i="10"/>
  <c r="BM68" i="10"/>
  <c r="BN68" i="10"/>
  <c r="BO68" i="10"/>
  <c r="BP68" i="10"/>
  <c r="BQ68" i="10"/>
  <c r="BR68" i="10"/>
  <c r="BT68" i="10"/>
  <c r="BU68" i="10"/>
  <c r="BL69" i="10"/>
  <c r="BM69" i="10"/>
  <c r="BN69" i="10"/>
  <c r="BO69" i="10"/>
  <c r="BP69" i="10"/>
  <c r="BQ69" i="10"/>
  <c r="BR69" i="10"/>
  <c r="BT69" i="10"/>
  <c r="BU69" i="10"/>
  <c r="BL70" i="10"/>
  <c r="BM70" i="10"/>
  <c r="BN70" i="10"/>
  <c r="BO70" i="10"/>
  <c r="BP70" i="10"/>
  <c r="BQ70" i="10"/>
  <c r="BR70" i="10"/>
  <c r="BT70" i="10"/>
  <c r="BU70" i="10"/>
  <c r="BL71" i="10"/>
  <c r="BM71" i="10"/>
  <c r="BN71" i="10"/>
  <c r="BO71" i="10"/>
  <c r="BP71" i="10"/>
  <c r="BQ71" i="10"/>
  <c r="BR71" i="10"/>
  <c r="BT71" i="10"/>
  <c r="BU71" i="10"/>
  <c r="BL72" i="10"/>
  <c r="BM72" i="10"/>
  <c r="BN72" i="10"/>
  <c r="BO72" i="10"/>
  <c r="BP72" i="10"/>
  <c r="BQ72" i="10"/>
  <c r="BR72" i="10"/>
  <c r="BT72" i="10"/>
  <c r="BU72" i="10"/>
  <c r="BL73" i="10"/>
  <c r="BM73" i="10"/>
  <c r="BN73" i="10"/>
  <c r="BO73" i="10"/>
  <c r="BP73" i="10"/>
  <c r="BQ73" i="10"/>
  <c r="BR73" i="10"/>
  <c r="BT73" i="10"/>
  <c r="BU73" i="10"/>
  <c r="BL74" i="10"/>
  <c r="BM74" i="10"/>
  <c r="BN74" i="10"/>
  <c r="BO74" i="10"/>
  <c r="BP74" i="10"/>
  <c r="BQ74" i="10"/>
  <c r="BR74" i="10"/>
  <c r="BT74" i="10"/>
  <c r="BU74" i="10"/>
  <c r="BL75" i="10"/>
  <c r="BM75" i="10"/>
  <c r="BN75" i="10"/>
  <c r="BO75" i="10"/>
  <c r="BP75" i="10"/>
  <c r="BQ75" i="10"/>
  <c r="BR75" i="10"/>
  <c r="BT75" i="10"/>
  <c r="BU75" i="10"/>
  <c r="BL76" i="10"/>
  <c r="BM76" i="10"/>
  <c r="BN76" i="10"/>
  <c r="BO76" i="10"/>
  <c r="BP76" i="10"/>
  <c r="BQ76" i="10"/>
  <c r="BR76" i="10"/>
  <c r="BT76" i="10"/>
  <c r="BU76" i="10"/>
  <c r="BL77" i="10"/>
  <c r="BM77" i="10"/>
  <c r="BN77" i="10"/>
  <c r="BO77" i="10"/>
  <c r="BP77" i="10"/>
  <c r="BQ77" i="10"/>
  <c r="BR77" i="10"/>
  <c r="BT77" i="10"/>
  <c r="BU77" i="10"/>
  <c r="BL78" i="10"/>
  <c r="BM78" i="10"/>
  <c r="BN78" i="10"/>
  <c r="BO78" i="10"/>
  <c r="BP78" i="10"/>
  <c r="BQ78" i="10"/>
  <c r="BR78" i="10"/>
  <c r="BT78" i="10"/>
  <c r="BU78" i="10"/>
  <c r="BL79" i="10"/>
  <c r="BM79" i="10"/>
  <c r="BN79" i="10"/>
  <c r="BO79" i="10"/>
  <c r="BP79" i="10"/>
  <c r="BQ79" i="10"/>
  <c r="BR79" i="10"/>
  <c r="BT79" i="10"/>
  <c r="BU79" i="10"/>
  <c r="BL80" i="10"/>
  <c r="BM80" i="10"/>
  <c r="BN80" i="10"/>
  <c r="BO80" i="10"/>
  <c r="BP80" i="10"/>
  <c r="BQ80" i="10"/>
  <c r="BR80" i="10"/>
  <c r="BT80" i="10"/>
  <c r="BU80" i="10"/>
  <c r="BL81" i="10"/>
  <c r="BM81" i="10"/>
  <c r="BN81" i="10"/>
  <c r="BO81" i="10"/>
  <c r="BP81" i="10"/>
  <c r="BQ81" i="10"/>
  <c r="BR81" i="10"/>
  <c r="BT81" i="10"/>
  <c r="BU81" i="10"/>
  <c r="BS272" i="10" l="1"/>
  <c r="BS271" i="10"/>
  <c r="BS269" i="10"/>
  <c r="BS112" i="10"/>
  <c r="BS97" i="10"/>
  <c r="BS96" i="10"/>
  <c r="BS95" i="10"/>
  <c r="BS94" i="10"/>
  <c r="BS93" i="10"/>
  <c r="BS90" i="10"/>
  <c r="BS89" i="10"/>
  <c r="BS86" i="10"/>
  <c r="BS88" i="10"/>
  <c r="BS87" i="10"/>
  <c r="BS82" i="10"/>
  <c r="BS85" i="10"/>
  <c r="BS83" i="10"/>
  <c r="BS84" i="10"/>
  <c r="N224" i="17"/>
  <c r="O224" i="17" s="1"/>
  <c r="N216" i="17"/>
  <c r="O216" i="17" s="1"/>
  <c r="N158" i="17"/>
  <c r="O158" i="17" s="1"/>
  <c r="N244" i="17"/>
  <c r="P244" i="17" s="1"/>
  <c r="N220" i="17"/>
  <c r="P220" i="17" s="1"/>
  <c r="N249" i="17"/>
  <c r="O249" i="17" s="1"/>
  <c r="N212" i="17"/>
  <c r="P212" i="17" s="1"/>
  <c r="N157" i="17"/>
  <c r="O157" i="17" s="1"/>
  <c r="N143" i="17"/>
  <c r="O143" i="17" s="1"/>
  <c r="N241" i="17"/>
  <c r="O241" i="17" s="1"/>
  <c r="N233" i="17"/>
  <c r="O233" i="17" s="1"/>
  <c r="N209" i="17"/>
  <c r="O209" i="17" s="1"/>
  <c r="N146" i="17"/>
  <c r="P146" i="17" s="1"/>
  <c r="N205" i="17"/>
  <c r="O205" i="17" s="1"/>
  <c r="N177" i="17"/>
  <c r="O177" i="17" s="1"/>
  <c r="N162" i="17"/>
  <c r="O162" i="17" s="1"/>
  <c r="N154" i="17"/>
  <c r="O154" i="17" s="1"/>
  <c r="N237" i="17"/>
  <c r="P237" i="17" s="1"/>
  <c r="N229" i="17"/>
  <c r="P229" i="17" s="1"/>
  <c r="N200" i="17"/>
  <c r="P200" i="17" s="1"/>
  <c r="N171" i="17"/>
  <c r="P171" i="17" s="1"/>
  <c r="N144" i="17"/>
  <c r="O144" i="17" s="1"/>
  <c r="N210" i="17"/>
  <c r="O210" i="17" s="1"/>
  <c r="N181" i="17"/>
  <c r="O181" i="17" s="1"/>
  <c r="N179" i="17"/>
  <c r="O179" i="17" s="1"/>
  <c r="N225" i="17"/>
  <c r="O225" i="17" s="1"/>
  <c r="N193" i="17"/>
  <c r="P193" i="17" s="1"/>
  <c r="N256" i="17"/>
  <c r="O256" i="17" s="1"/>
  <c r="N169" i="17"/>
  <c r="O169" i="17" s="1"/>
  <c r="N161" i="17"/>
  <c r="P161" i="17" s="1"/>
  <c r="N223" i="17"/>
  <c r="P223" i="17" s="1"/>
  <c r="N217" i="17"/>
  <c r="O217" i="17" s="1"/>
  <c r="N172" i="17"/>
  <c r="P172" i="17" s="1"/>
  <c r="N167" i="17"/>
  <c r="O167" i="17" s="1"/>
  <c r="N232" i="17"/>
  <c r="P232" i="17" s="1"/>
  <c r="N183" i="17"/>
  <c r="P183" i="17" s="1"/>
  <c r="N174" i="17"/>
  <c r="O174" i="17" s="1"/>
  <c r="N145" i="17"/>
  <c r="O145" i="17" s="1"/>
  <c r="N242" i="17"/>
  <c r="O242" i="17" s="1"/>
  <c r="N234" i="17"/>
  <c r="O234" i="17" s="1"/>
  <c r="N226" i="17"/>
  <c r="O226" i="17" s="1"/>
  <c r="N221" i="17"/>
  <c r="P221" i="17" s="1"/>
  <c r="N198" i="17"/>
  <c r="P198" i="17" s="1"/>
  <c r="N190" i="17"/>
  <c r="P190" i="17" s="1"/>
  <c r="N252" i="17"/>
  <c r="P252" i="17" s="1"/>
  <c r="N213" i="17"/>
  <c r="P213" i="17" s="1"/>
  <c r="N195" i="17"/>
  <c r="P195" i="17" s="1"/>
  <c r="N182" i="17"/>
  <c r="N152" i="17"/>
  <c r="O152" i="17" s="1"/>
  <c r="N239" i="17"/>
  <c r="O239" i="17" s="1"/>
  <c r="N236" i="17"/>
  <c r="P236" i="17" s="1"/>
  <c r="N218" i="17"/>
  <c r="O218" i="17" s="1"/>
  <c r="N192" i="17"/>
  <c r="O192" i="17" s="1"/>
  <c r="N163" i="17"/>
  <c r="O163" i="17" s="1"/>
  <c r="N155" i="17"/>
  <c r="P155" i="17" s="1"/>
  <c r="N149" i="17"/>
  <c r="O149" i="17" s="1"/>
  <c r="N228" i="17"/>
  <c r="P228" i="17" s="1"/>
  <c r="N197" i="17"/>
  <c r="O197" i="17" s="1"/>
  <c r="N173" i="17"/>
  <c r="O173" i="17" s="1"/>
  <c r="N170" i="17"/>
  <c r="O170" i="17" s="1"/>
  <c r="N165" i="17"/>
  <c r="O165" i="17" s="1"/>
  <c r="N142" i="17"/>
  <c r="O142" i="17" s="1"/>
  <c r="N253" i="17"/>
  <c r="P253" i="17" s="1"/>
  <c r="N248" i="17"/>
  <c r="P248" i="17" s="1"/>
  <c r="N211" i="17"/>
  <c r="P211" i="17" s="1"/>
  <c r="N206" i="17"/>
  <c r="P206" i="17" s="1"/>
  <c r="N196" i="17"/>
  <c r="P196" i="17" s="1"/>
  <c r="N258" i="17"/>
  <c r="P258" i="17" s="1"/>
  <c r="N250" i="17"/>
  <c r="O250" i="17" s="1"/>
  <c r="N245" i="17"/>
  <c r="P245" i="17" s="1"/>
  <c r="N240" i="17"/>
  <c r="O240" i="17" s="1"/>
  <c r="N188" i="17"/>
  <c r="P188" i="17" s="1"/>
  <c r="N164" i="17"/>
  <c r="P164" i="17" s="1"/>
  <c r="N156" i="17"/>
  <c r="O156" i="17" s="1"/>
  <c r="N147" i="17"/>
  <c r="O147" i="17" s="1"/>
  <c r="N255" i="17"/>
  <c r="P255" i="17" s="1"/>
  <c r="N203" i="17"/>
  <c r="O203" i="17" s="1"/>
  <c r="N185" i="17"/>
  <c r="O185" i="17" s="1"/>
  <c r="N150" i="17"/>
  <c r="O150" i="17" s="1"/>
  <c r="N231" i="17"/>
  <c r="O231" i="17" s="1"/>
  <c r="N187" i="17"/>
  <c r="N257" i="17"/>
  <c r="O257" i="17" s="1"/>
  <c r="N254" i="17"/>
  <c r="P254" i="17" s="1"/>
  <c r="N243" i="17"/>
  <c r="P243" i="17" s="1"/>
  <c r="N238" i="17"/>
  <c r="P238" i="17" s="1"/>
  <c r="N227" i="17"/>
  <c r="P227" i="17" s="1"/>
  <c r="N222" i="17"/>
  <c r="O222" i="17" s="1"/>
  <c r="N207" i="17"/>
  <c r="O207" i="17" s="1"/>
  <c r="N201" i="17"/>
  <c r="O201" i="17" s="1"/>
  <c r="N194" i="17"/>
  <c r="N180" i="17"/>
  <c r="P180" i="17" s="1"/>
  <c r="N178" i="17"/>
  <c r="N175" i="17"/>
  <c r="O175" i="17" s="1"/>
  <c r="N160" i="17"/>
  <c r="O160" i="17" s="1"/>
  <c r="N151" i="17"/>
  <c r="N189" i="17"/>
  <c r="N166" i="17"/>
  <c r="O166" i="17" s="1"/>
  <c r="N159" i="17"/>
  <c r="P159" i="17" s="1"/>
  <c r="N148" i="17"/>
  <c r="O148" i="17" s="1"/>
  <c r="N247" i="17"/>
  <c r="O247" i="17" s="1"/>
  <c r="N215" i="17"/>
  <c r="O215" i="17" s="1"/>
  <c r="N251" i="17"/>
  <c r="O251" i="17" s="1"/>
  <c r="N246" i="17"/>
  <c r="O246" i="17" s="1"/>
  <c r="N235" i="17"/>
  <c r="O235" i="17" s="1"/>
  <c r="N230" i="17"/>
  <c r="P230" i="17" s="1"/>
  <c r="N219" i="17"/>
  <c r="O219" i="17" s="1"/>
  <c r="N214" i="17"/>
  <c r="O214" i="17" s="1"/>
  <c r="N208" i="17"/>
  <c r="O208" i="17" s="1"/>
  <c r="N191" i="17"/>
  <c r="N184" i="17"/>
  <c r="N204" i="17"/>
  <c r="P204" i="17" s="1"/>
  <c r="N202" i="17"/>
  <c r="N186" i="17"/>
  <c r="N176" i="17"/>
  <c r="O176" i="17" s="1"/>
  <c r="N168" i="17"/>
  <c r="O168" i="17" s="1"/>
  <c r="N199" i="17"/>
  <c r="N141" i="17"/>
  <c r="N153" i="17"/>
  <c r="BH164" i="3"/>
  <c r="BW63" i="10"/>
  <c r="BH100" i="3" s="1"/>
  <c r="BW61" i="10"/>
  <c r="BH86" i="3" s="1"/>
  <c r="BW59" i="10"/>
  <c r="BH82" i="3" s="1"/>
  <c r="BH77" i="3"/>
  <c r="BW71" i="10"/>
  <c r="BH207" i="3" s="1"/>
  <c r="BH20" i="3"/>
  <c r="BW54" i="10"/>
  <c r="BH32" i="3" s="1"/>
  <c r="BW53" i="10"/>
  <c r="BH13" i="3" s="1"/>
  <c r="BH269" i="3"/>
  <c r="BW78" i="10"/>
  <c r="BH264" i="3" s="1"/>
  <c r="BW76" i="10"/>
  <c r="BH232" i="3" s="1"/>
  <c r="BW74" i="10"/>
  <c r="BH221" i="3" s="1"/>
  <c r="BW60" i="10"/>
  <c r="BH85" i="3" s="1"/>
  <c r="BW58" i="10"/>
  <c r="BH81" i="3" s="1"/>
  <c r="BW67" i="10"/>
  <c r="BH158" i="3" s="1"/>
  <c r="BW66" i="10"/>
  <c r="BH140" i="3" s="1"/>
  <c r="BW79" i="10"/>
  <c r="BH265" i="3" s="1"/>
  <c r="BW77" i="10"/>
  <c r="BH233" i="3" s="1"/>
  <c r="BH145" i="3"/>
  <c r="BW65" i="10"/>
  <c r="BW72" i="10"/>
  <c r="BH208" i="3" s="1"/>
  <c r="BW75" i="10"/>
  <c r="BH226" i="3" s="1"/>
  <c r="BW64" i="10"/>
  <c r="BH53" i="3"/>
  <c r="BW81" i="10"/>
  <c r="BH283" i="3" s="1"/>
  <c r="BW57" i="10"/>
  <c r="BH68" i="3" s="1"/>
  <c r="BW56" i="10"/>
  <c r="BH54" i="3" s="1"/>
  <c r="BW55" i="10"/>
  <c r="BH42" i="3" s="1"/>
  <c r="BH58" i="3"/>
  <c r="BW80" i="10"/>
  <c r="BH279" i="3" s="1"/>
  <c r="BW73" i="10"/>
  <c r="BH215" i="3" s="1"/>
  <c r="BW70" i="10"/>
  <c r="BH204" i="3" s="1"/>
  <c r="BW68" i="10"/>
  <c r="BH173" i="3" s="1"/>
  <c r="BW62" i="10"/>
  <c r="BH88" i="3" s="1"/>
  <c r="BW69" i="10"/>
  <c r="BH201" i="3" s="1"/>
  <c r="D6" i="18"/>
  <c r="D7" i="18"/>
  <c r="D8" i="18"/>
  <c r="D9" i="18"/>
  <c r="D10" i="18"/>
  <c r="D11" i="18"/>
  <c r="D12" i="18"/>
  <c r="D13" i="18"/>
  <c r="D14" i="18"/>
  <c r="D15" i="18"/>
  <c r="D16" i="18"/>
  <c r="D17" i="18"/>
  <c r="D18" i="18"/>
  <c r="D19" i="18"/>
  <c r="D20" i="18"/>
  <c r="D21" i="18"/>
  <c r="D22" i="18"/>
  <c r="D23" i="18"/>
  <c r="D24" i="18"/>
  <c r="D25" i="18"/>
  <c r="D26" i="18"/>
  <c r="D27" i="18"/>
  <c r="D28" i="18"/>
  <c r="D29" i="18"/>
  <c r="D30" i="18"/>
  <c r="D31" i="18"/>
  <c r="D32" i="18"/>
  <c r="D33" i="18"/>
  <c r="D34" i="18"/>
  <c r="D35" i="18"/>
  <c r="D36" i="18"/>
  <c r="D37" i="18"/>
  <c r="D38" i="18"/>
  <c r="D39" i="18"/>
  <c r="D40" i="18"/>
  <c r="D41" i="18"/>
  <c r="D42" i="18"/>
  <c r="D43" i="18"/>
  <c r="D44" i="18"/>
  <c r="D45" i="18"/>
  <c r="D46" i="18"/>
  <c r="D47" i="18"/>
  <c r="D48" i="18"/>
  <c r="D49" i="18"/>
  <c r="D50" i="18"/>
  <c r="D51" i="18"/>
  <c r="D52" i="18"/>
  <c r="D53" i="18"/>
  <c r="D54" i="18"/>
  <c r="D55" i="18"/>
  <c r="D56" i="18"/>
  <c r="D57" i="18"/>
  <c r="D58" i="18"/>
  <c r="D59" i="18"/>
  <c r="D60" i="18"/>
  <c r="D61" i="18"/>
  <c r="D62" i="18"/>
  <c r="D63" i="18"/>
  <c r="D64" i="18"/>
  <c r="D65" i="18"/>
  <c r="D66" i="18"/>
  <c r="D67" i="18"/>
  <c r="D68" i="18"/>
  <c r="D69" i="18"/>
  <c r="D70" i="18"/>
  <c r="D71" i="18"/>
  <c r="D72" i="18"/>
  <c r="D73" i="18"/>
  <c r="D74" i="18"/>
  <c r="D75" i="18"/>
  <c r="D76" i="18"/>
  <c r="D77" i="18"/>
  <c r="D78" i="18"/>
  <c r="D79" i="18"/>
  <c r="D80" i="18"/>
  <c r="D81" i="18"/>
  <c r="D82" i="18"/>
  <c r="D83" i="18"/>
  <c r="D84" i="18"/>
  <c r="D85" i="18"/>
  <c r="D86" i="18"/>
  <c r="D87" i="18"/>
  <c r="D88" i="18"/>
  <c r="D89" i="18"/>
  <c r="D90" i="18"/>
  <c r="D91" i="18"/>
  <c r="D92" i="18"/>
  <c r="D93" i="18"/>
  <c r="D94" i="18"/>
  <c r="D95" i="18"/>
  <c r="D96" i="18"/>
  <c r="D97" i="18"/>
  <c r="D98" i="18"/>
  <c r="D99" i="18"/>
  <c r="D100" i="18"/>
  <c r="D101" i="18"/>
  <c r="D102" i="18"/>
  <c r="D103" i="18"/>
  <c r="D104" i="18"/>
  <c r="D105" i="18"/>
  <c r="D106" i="18"/>
  <c r="D107" i="18"/>
  <c r="D108" i="18"/>
  <c r="D109" i="18"/>
  <c r="D110" i="18"/>
  <c r="D111" i="18"/>
  <c r="D112" i="18"/>
  <c r="D113" i="18"/>
  <c r="D114" i="18"/>
  <c r="D115" i="18"/>
  <c r="D116" i="18"/>
  <c r="D117" i="18"/>
  <c r="D118" i="18"/>
  <c r="D119" i="18"/>
  <c r="D120" i="18"/>
  <c r="D121" i="18"/>
  <c r="D122" i="18"/>
  <c r="D123" i="18"/>
  <c r="D124" i="18"/>
  <c r="D125" i="18"/>
  <c r="D126" i="18"/>
  <c r="D127" i="18"/>
  <c r="D128" i="18"/>
  <c r="D129" i="18"/>
  <c r="D130" i="18"/>
  <c r="D131" i="18"/>
  <c r="D132" i="18"/>
  <c r="D133" i="18"/>
  <c r="D134" i="18"/>
  <c r="D135" i="18"/>
  <c r="D136" i="18"/>
  <c r="D137" i="18"/>
  <c r="D138" i="18"/>
  <c r="D139" i="18"/>
  <c r="D140" i="18"/>
  <c r="D141" i="18"/>
  <c r="D142" i="18"/>
  <c r="D143" i="18"/>
  <c r="D144" i="18"/>
  <c r="D145" i="18"/>
  <c r="D146" i="18"/>
  <c r="D147" i="18"/>
  <c r="D148" i="18"/>
  <c r="D149" i="18"/>
  <c r="D150" i="18"/>
  <c r="D151" i="18"/>
  <c r="D152" i="18"/>
  <c r="D153" i="18"/>
  <c r="D154" i="18"/>
  <c r="D155" i="18"/>
  <c r="D156" i="18"/>
  <c r="D157" i="18"/>
  <c r="D158" i="18"/>
  <c r="D159" i="18"/>
  <c r="D160" i="18"/>
  <c r="D161" i="18"/>
  <c r="D162" i="18"/>
  <c r="D163" i="18"/>
  <c r="D164" i="18"/>
  <c r="D165" i="18"/>
  <c r="D166" i="18"/>
  <c r="D167" i="18"/>
  <c r="D168" i="18"/>
  <c r="D169" i="18"/>
  <c r="D170" i="18"/>
  <c r="D171" i="18"/>
  <c r="D172" i="18"/>
  <c r="D173" i="18"/>
  <c r="D174" i="18"/>
  <c r="D175" i="18"/>
  <c r="D176" i="18"/>
  <c r="D177" i="18"/>
  <c r="D178" i="18"/>
  <c r="D179" i="18"/>
  <c r="D180" i="18"/>
  <c r="D181" i="18"/>
  <c r="D182" i="18"/>
  <c r="D183" i="18"/>
  <c r="D184" i="18"/>
  <c r="D185" i="18"/>
  <c r="D186" i="18"/>
  <c r="D187" i="18"/>
  <c r="D188" i="18"/>
  <c r="D189" i="18"/>
  <c r="D190" i="18"/>
  <c r="D191" i="18"/>
  <c r="D192" i="18"/>
  <c r="D193" i="18"/>
  <c r="D194" i="18"/>
  <c r="D195" i="18"/>
  <c r="D196" i="18"/>
  <c r="D197" i="18"/>
  <c r="D198" i="18"/>
  <c r="D199" i="18"/>
  <c r="D200" i="18"/>
  <c r="D201" i="18"/>
  <c r="D202" i="18"/>
  <c r="D203" i="18"/>
  <c r="D204" i="18"/>
  <c r="D205" i="18"/>
  <c r="D206" i="18"/>
  <c r="D207" i="18"/>
  <c r="D208" i="18"/>
  <c r="D209" i="18"/>
  <c r="D210" i="18"/>
  <c r="D211" i="18"/>
  <c r="D212" i="18"/>
  <c r="D213" i="18"/>
  <c r="D214" i="18"/>
  <c r="D215" i="18"/>
  <c r="D216" i="18"/>
  <c r="D217" i="18"/>
  <c r="D218" i="18"/>
  <c r="D219" i="18"/>
  <c r="D220" i="18"/>
  <c r="D221" i="18"/>
  <c r="D222" i="18"/>
  <c r="D223" i="18"/>
  <c r="D224" i="18"/>
  <c r="D225" i="18"/>
  <c r="D226" i="18"/>
  <c r="D227" i="18"/>
  <c r="D228" i="18"/>
  <c r="D229" i="18"/>
  <c r="D230" i="18"/>
  <c r="D231" i="18"/>
  <c r="D232" i="18"/>
  <c r="D233" i="18"/>
  <c r="D234" i="18"/>
  <c r="D235" i="18"/>
  <c r="D236" i="18"/>
  <c r="D237" i="18"/>
  <c r="D238" i="18"/>
  <c r="D239" i="18"/>
  <c r="D240" i="18"/>
  <c r="D241" i="18"/>
  <c r="D242" i="18"/>
  <c r="D243" i="18"/>
  <c r="D244" i="18"/>
  <c r="D245" i="18"/>
  <c r="D246" i="18"/>
  <c r="D247" i="18"/>
  <c r="D248" i="18"/>
  <c r="D249" i="18"/>
  <c r="D250" i="18"/>
  <c r="D251" i="18"/>
  <c r="D252" i="18"/>
  <c r="D253" i="18"/>
  <c r="D254" i="18"/>
  <c r="D255" i="18"/>
  <c r="D256" i="18"/>
  <c r="D257" i="18"/>
  <c r="D258" i="18"/>
  <c r="D259" i="18"/>
  <c r="D260" i="18"/>
  <c r="D261" i="18"/>
  <c r="D262" i="18"/>
  <c r="D263" i="18"/>
  <c r="D264" i="18"/>
  <c r="D265" i="18"/>
  <c r="D266" i="18"/>
  <c r="D267" i="18"/>
  <c r="D268" i="18"/>
  <c r="D269" i="18"/>
  <c r="D270" i="18"/>
  <c r="D271" i="18"/>
  <c r="D272" i="18"/>
  <c r="D273" i="18"/>
  <c r="D274" i="18"/>
  <c r="D275" i="18"/>
  <c r="D276" i="18"/>
  <c r="D277" i="18"/>
  <c r="D278" i="18"/>
  <c r="D279" i="18"/>
  <c r="D280" i="18"/>
  <c r="D281" i="18"/>
  <c r="D282" i="18"/>
  <c r="D283" i="18"/>
  <c r="D284" i="18"/>
  <c r="D285" i="18"/>
  <c r="D286" i="18"/>
  <c r="D287" i="18"/>
  <c r="D288" i="18"/>
  <c r="D289" i="18"/>
  <c r="D290" i="18"/>
  <c r="D5" i="18"/>
  <c r="BH6" i="3"/>
  <c r="BH7" i="3"/>
  <c r="BH8" i="3"/>
  <c r="BH10" i="3"/>
  <c r="BH11" i="3"/>
  <c r="BH12" i="3"/>
  <c r="BH16" i="3"/>
  <c r="BH17" i="3"/>
  <c r="BH18" i="3"/>
  <c r="BH21" i="3"/>
  <c r="BH22" i="3"/>
  <c r="BH23" i="3"/>
  <c r="BH24" i="3"/>
  <c r="BH25" i="3"/>
  <c r="BH27" i="3"/>
  <c r="BH28" i="3"/>
  <c r="BH29" i="3"/>
  <c r="BH30" i="3"/>
  <c r="BH31" i="3"/>
  <c r="BH33" i="3"/>
  <c r="BH35" i="3"/>
  <c r="BH36" i="3"/>
  <c r="BH37" i="3"/>
  <c r="BH38" i="3"/>
  <c r="BH39" i="3"/>
  <c r="BH43" i="3"/>
  <c r="BH44" i="3"/>
  <c r="BH45" i="3"/>
  <c r="BH46" i="3"/>
  <c r="BH47" i="3"/>
  <c r="BH48" i="3"/>
  <c r="BH49" i="3"/>
  <c r="BH50" i="3"/>
  <c r="BH55" i="3"/>
  <c r="BH56" i="3"/>
  <c r="BH57" i="3"/>
  <c r="BH59" i="3"/>
  <c r="BH60" i="3"/>
  <c r="BH62" i="3"/>
  <c r="BH63" i="3"/>
  <c r="BH64" i="3"/>
  <c r="BH65" i="3"/>
  <c r="BH66" i="3"/>
  <c r="BH69" i="3"/>
  <c r="BH70" i="3"/>
  <c r="BH72" i="3"/>
  <c r="BH73" i="3"/>
  <c r="BH74" i="3"/>
  <c r="BH76" i="3"/>
  <c r="BH78" i="3"/>
  <c r="BH79" i="3"/>
  <c r="BH83" i="3"/>
  <c r="BH87" i="3"/>
  <c r="BH89" i="3"/>
  <c r="BH90" i="3"/>
  <c r="BH91" i="3"/>
  <c r="BH92" i="3"/>
  <c r="BH93" i="3"/>
  <c r="BH95" i="3"/>
  <c r="BH96" i="3"/>
  <c r="BH98" i="3"/>
  <c r="BH99" i="3"/>
  <c r="BH101" i="3"/>
  <c r="BH102" i="3"/>
  <c r="BH107" i="3"/>
  <c r="BH108" i="3"/>
  <c r="BH109" i="3"/>
  <c r="BH110" i="3"/>
  <c r="BH111" i="3"/>
  <c r="BH112" i="3"/>
  <c r="BH113" i="3"/>
  <c r="BH114" i="3"/>
  <c r="BH115" i="3"/>
  <c r="BH116" i="3"/>
  <c r="BH117" i="3"/>
  <c r="BH118" i="3"/>
  <c r="BH119" i="3"/>
  <c r="BH121" i="3"/>
  <c r="BH122" i="3"/>
  <c r="BH128" i="3"/>
  <c r="BH129" i="3"/>
  <c r="BH130" i="3"/>
  <c r="BH131" i="3"/>
  <c r="BH132" i="3"/>
  <c r="BH133" i="3"/>
  <c r="BH137" i="3"/>
  <c r="BH138" i="3"/>
  <c r="BH141" i="3"/>
  <c r="BH142" i="3"/>
  <c r="BH143" i="3"/>
  <c r="BH146" i="3"/>
  <c r="BH147" i="3"/>
  <c r="BH148" i="3"/>
  <c r="BH149" i="3"/>
  <c r="BH150" i="3"/>
  <c r="BH151" i="3"/>
  <c r="BH153" i="3"/>
  <c r="BH154" i="3"/>
  <c r="BH155" i="3"/>
  <c r="BH156" i="3"/>
  <c r="BH157" i="3"/>
  <c r="BH159" i="3"/>
  <c r="BH160" i="3"/>
  <c r="BH162" i="3"/>
  <c r="BH163" i="3"/>
  <c r="BH165" i="3"/>
  <c r="BH166" i="3"/>
  <c r="BH168" i="3"/>
  <c r="BH170" i="3"/>
  <c r="BH171" i="3"/>
  <c r="BH172" i="3"/>
  <c r="BH175" i="3"/>
  <c r="BH177" i="3"/>
  <c r="BH178" i="3"/>
  <c r="BH180" i="3"/>
  <c r="BH182" i="3"/>
  <c r="BH183" i="3"/>
  <c r="BH184" i="3"/>
  <c r="BH186" i="3"/>
  <c r="BH188" i="3"/>
  <c r="BH189" i="3"/>
  <c r="BH190" i="3"/>
  <c r="BH191" i="3"/>
  <c r="BH192" i="3"/>
  <c r="BH193" i="3"/>
  <c r="BH194" i="3"/>
  <c r="BH195" i="3"/>
  <c r="BH196" i="3"/>
  <c r="BH197" i="3"/>
  <c r="BH198" i="3"/>
  <c r="BH199" i="3"/>
  <c r="BH200" i="3"/>
  <c r="BH202" i="3"/>
  <c r="BH203" i="3"/>
  <c r="BH205" i="3"/>
  <c r="BH206" i="3"/>
  <c r="BH210" i="3"/>
  <c r="BH211" i="3"/>
  <c r="BH212" i="3"/>
  <c r="BH213" i="3"/>
  <c r="BH214" i="3"/>
  <c r="BH216" i="3"/>
  <c r="BH217" i="3"/>
  <c r="BH219" i="3"/>
  <c r="BH220" i="3"/>
  <c r="BH223" i="3"/>
  <c r="BH224" i="3"/>
  <c r="BH225" i="3"/>
  <c r="BH227" i="3"/>
  <c r="BH228" i="3"/>
  <c r="BH229" i="3"/>
  <c r="BH230" i="3"/>
  <c r="BH231" i="3"/>
  <c r="BH236" i="3"/>
  <c r="BH237" i="3"/>
  <c r="BH238" i="3"/>
  <c r="BH239" i="3"/>
  <c r="BH241" i="3"/>
  <c r="BH242" i="3"/>
  <c r="BH244" i="3"/>
  <c r="BH245" i="3"/>
  <c r="BH246" i="3"/>
  <c r="BH247" i="3"/>
  <c r="BH248" i="3"/>
  <c r="BH249" i="3"/>
  <c r="BH250" i="3"/>
  <c r="BH251" i="3"/>
  <c r="BH252" i="3"/>
  <c r="BH253" i="3"/>
  <c r="BH254" i="3"/>
  <c r="BH255" i="3"/>
  <c r="BH256" i="3"/>
  <c r="BH257" i="3"/>
  <c r="BH258" i="3"/>
  <c r="BH259" i="3"/>
  <c r="BH261" i="3"/>
  <c r="BH262" i="3"/>
  <c r="BH263" i="3"/>
  <c r="BH266" i="3"/>
  <c r="BH267" i="3"/>
  <c r="BH268" i="3"/>
  <c r="BH270" i="3"/>
  <c r="BH271" i="3"/>
  <c r="BH272" i="3"/>
  <c r="BH273" i="3"/>
  <c r="BH274" i="3"/>
  <c r="BH276" i="3"/>
  <c r="BH277" i="3"/>
  <c r="BH280" i="3"/>
  <c r="BH281" i="3"/>
  <c r="BH284" i="3"/>
  <c r="BH287" i="3"/>
  <c r="BH288" i="3"/>
  <c r="BH289" i="3"/>
  <c r="D4" i="18" l="1"/>
  <c r="P216" i="17"/>
  <c r="Q216" i="17" s="1"/>
  <c r="P241" i="17"/>
  <c r="Q241" i="17" s="1"/>
  <c r="P158" i="17"/>
  <c r="Q158" i="17" s="1"/>
  <c r="P174" i="17"/>
  <c r="Q174" i="17" s="1"/>
  <c r="O183" i="17"/>
  <c r="Q183" i="17" s="1"/>
  <c r="P210" i="17"/>
  <c r="Q210" i="17" s="1"/>
  <c r="O244" i="17"/>
  <c r="Q244" i="17" s="1"/>
  <c r="P239" i="17"/>
  <c r="Q239" i="17" s="1"/>
  <c r="O243" i="17"/>
  <c r="Q243" i="17" s="1"/>
  <c r="O190" i="17"/>
  <c r="Q190" i="17" s="1"/>
  <c r="P222" i="17"/>
  <c r="Q222" i="17" s="1"/>
  <c r="P203" i="17"/>
  <c r="Q203" i="17" s="1"/>
  <c r="O146" i="17"/>
  <c r="Q146" i="17" s="1"/>
  <c r="P224" i="17"/>
  <c r="Q224" i="17" s="1"/>
  <c r="P143" i="17"/>
  <c r="Q143" i="17" s="1"/>
  <c r="O220" i="17"/>
  <c r="Q220" i="17" s="1"/>
  <c r="P233" i="17"/>
  <c r="Q233" i="17" s="1"/>
  <c r="P209" i="17"/>
  <c r="Q209" i="17" s="1"/>
  <c r="P249" i="17"/>
  <c r="Q249" i="17" s="1"/>
  <c r="O212" i="17"/>
  <c r="Q212" i="17" s="1"/>
  <c r="P157" i="17"/>
  <c r="Q157" i="17" s="1"/>
  <c r="P177" i="17"/>
  <c r="Q177" i="17" s="1"/>
  <c r="P169" i="17"/>
  <c r="Q169" i="17" s="1"/>
  <c r="O232" i="17"/>
  <c r="Q232" i="17" s="1"/>
  <c r="O180" i="17"/>
  <c r="Q180" i="17" s="1"/>
  <c r="O159" i="17"/>
  <c r="Q159" i="17" s="1"/>
  <c r="O229" i="17"/>
  <c r="Q229" i="17" s="1"/>
  <c r="O161" i="17"/>
  <c r="Q161" i="17" s="1"/>
  <c r="P218" i="17"/>
  <c r="Q218" i="17" s="1"/>
  <c r="O171" i="17"/>
  <c r="Q171" i="17" s="1"/>
  <c r="P242" i="17"/>
  <c r="Q242" i="17" s="1"/>
  <c r="P181" i="17"/>
  <c r="Q181" i="17" s="1"/>
  <c r="P154" i="17"/>
  <c r="Q154" i="17" s="1"/>
  <c r="P162" i="17"/>
  <c r="Q162" i="17" s="1"/>
  <c r="P179" i="17"/>
  <c r="Q179" i="17" s="1"/>
  <c r="P167" i="17"/>
  <c r="Q167" i="17" s="1"/>
  <c r="O155" i="17"/>
  <c r="Q155" i="17" s="1"/>
  <c r="O193" i="17"/>
  <c r="Q193" i="17" s="1"/>
  <c r="P217" i="17"/>
  <c r="Q217" i="17" s="1"/>
  <c r="O237" i="17"/>
  <c r="Q237" i="17" s="1"/>
  <c r="P142" i="17"/>
  <c r="Q142" i="17" s="1"/>
  <c r="P197" i="17"/>
  <c r="Q197" i="17" s="1"/>
  <c r="O196" i="17"/>
  <c r="Q196" i="17" s="1"/>
  <c r="P149" i="17"/>
  <c r="Q149" i="17" s="1"/>
  <c r="P165" i="17"/>
  <c r="Q165" i="17" s="1"/>
  <c r="P145" i="17"/>
  <c r="Q145" i="17" s="1"/>
  <c r="P148" i="17"/>
  <c r="Q148" i="17" s="1"/>
  <c r="P160" i="17"/>
  <c r="Q160" i="17" s="1"/>
  <c r="O195" i="17"/>
  <c r="Q195" i="17" s="1"/>
  <c r="O230" i="17"/>
  <c r="Q230" i="17" s="1"/>
  <c r="P163" i="17"/>
  <c r="Q163" i="17" s="1"/>
  <c r="O245" i="17"/>
  <c r="Q245" i="17" s="1"/>
  <c r="O198" i="17"/>
  <c r="Q198" i="17" s="1"/>
  <c r="P205" i="17"/>
  <c r="Q205" i="17" s="1"/>
  <c r="P170" i="17"/>
  <c r="Q170" i="17" s="1"/>
  <c r="O223" i="17"/>
  <c r="Q223" i="17" s="1"/>
  <c r="O206" i="17"/>
  <c r="Q206" i="17" s="1"/>
  <c r="P150" i="17"/>
  <c r="Q150" i="17" s="1"/>
  <c r="O200" i="17"/>
  <c r="Q200" i="17" s="1"/>
  <c r="O238" i="17"/>
  <c r="Q238" i="17" s="1"/>
  <c r="P215" i="17"/>
  <c r="Q215" i="17" s="1"/>
  <c r="P144" i="17"/>
  <c r="Q144" i="17" s="1"/>
  <c r="P250" i="17"/>
  <c r="Q250" i="17" s="1"/>
  <c r="O221" i="17"/>
  <c r="Q221" i="17" s="1"/>
  <c r="P173" i="17"/>
  <c r="Q173" i="17" s="1"/>
  <c r="P256" i="17"/>
  <c r="Q256" i="17" s="1"/>
  <c r="P192" i="17"/>
  <c r="Q192" i="17" s="1"/>
  <c r="P225" i="17"/>
  <c r="Q225" i="17" s="1"/>
  <c r="O258" i="17"/>
  <c r="Q258" i="17" s="1"/>
  <c r="O255" i="17"/>
  <c r="Q255" i="17" s="1"/>
  <c r="O172" i="17"/>
  <c r="Q172" i="17" s="1"/>
  <c r="P208" i="17"/>
  <c r="Q208" i="17" s="1"/>
  <c r="O211" i="17"/>
  <c r="Q211" i="17" s="1"/>
  <c r="P152" i="17"/>
  <c r="Q152" i="17" s="1"/>
  <c r="O248" i="17"/>
  <c r="Q248" i="17" s="1"/>
  <c r="P231" i="17"/>
  <c r="Q231" i="17" s="1"/>
  <c r="O188" i="17"/>
  <c r="Q188" i="17" s="1"/>
  <c r="O253" i="17"/>
  <c r="Q253" i="17" s="1"/>
  <c r="P234" i="17"/>
  <c r="Q234" i="17" s="1"/>
  <c r="O227" i="17"/>
  <c r="Q227" i="17" s="1"/>
  <c r="P156" i="17"/>
  <c r="Q156" i="17" s="1"/>
  <c r="P251" i="17"/>
  <c r="Q251" i="17" s="1"/>
  <c r="P240" i="17"/>
  <c r="Q240" i="17" s="1"/>
  <c r="P147" i="17"/>
  <c r="Q147" i="17" s="1"/>
  <c r="O213" i="17"/>
  <c r="Q213" i="17" s="1"/>
  <c r="O164" i="17"/>
  <c r="Q164" i="17" s="1"/>
  <c r="P175" i="17"/>
  <c r="Q175" i="17" s="1"/>
  <c r="O252" i="17"/>
  <c r="Q252" i="17" s="1"/>
  <c r="P226" i="17"/>
  <c r="Q226" i="17" s="1"/>
  <c r="P185" i="17"/>
  <c r="Q185" i="17" s="1"/>
  <c r="P182" i="17"/>
  <c r="O182" i="17"/>
  <c r="P246" i="17"/>
  <c r="Q246" i="17" s="1"/>
  <c r="P257" i="17"/>
  <c r="Q257" i="17" s="1"/>
  <c r="O228" i="17"/>
  <c r="Q228" i="17" s="1"/>
  <c r="O236" i="17"/>
  <c r="Q236" i="17" s="1"/>
  <c r="P235" i="17"/>
  <c r="Q235" i="17" s="1"/>
  <c r="P247" i="17"/>
  <c r="Q247" i="17" s="1"/>
  <c r="P178" i="17"/>
  <c r="O178" i="17"/>
  <c r="P166" i="17"/>
  <c r="Q166" i="17" s="1"/>
  <c r="P184" i="17"/>
  <c r="O184" i="17"/>
  <c r="O189" i="17"/>
  <c r="P189" i="17"/>
  <c r="P168" i="17"/>
  <c r="Q168" i="17" s="1"/>
  <c r="P214" i="17"/>
  <c r="Q214" i="17" s="1"/>
  <c r="P186" i="17"/>
  <c r="O186" i="17"/>
  <c r="O191" i="17"/>
  <c r="P191" i="17"/>
  <c r="P194" i="17"/>
  <c r="O194" i="17"/>
  <c r="P202" i="17"/>
  <c r="O202" i="17"/>
  <c r="O187" i="17"/>
  <c r="P187" i="17"/>
  <c r="P219" i="17"/>
  <c r="Q219" i="17" s="1"/>
  <c r="O199" i="17"/>
  <c r="P199" i="17"/>
  <c r="O151" i="17"/>
  <c r="P151" i="17"/>
  <c r="P176" i="17"/>
  <c r="Q176" i="17" s="1"/>
  <c r="P201" i="17"/>
  <c r="Q201" i="17" s="1"/>
  <c r="P207" i="17"/>
  <c r="Q207" i="17" s="1"/>
  <c r="O254" i="17"/>
  <c r="Q254" i="17" s="1"/>
  <c r="O204" i="17"/>
  <c r="Q204" i="17" s="1"/>
  <c r="O153" i="17"/>
  <c r="P153" i="17"/>
  <c r="O141" i="17"/>
  <c r="P141" i="17"/>
  <c r="E9" i="24"/>
  <c r="E10" i="24"/>
  <c r="E11" i="24"/>
  <c r="E12" i="24"/>
  <c r="E13" i="24"/>
  <c r="E14" i="24"/>
  <c r="E15" i="24"/>
  <c r="E16" i="24"/>
  <c r="E17" i="24"/>
  <c r="E18" i="24"/>
  <c r="E19" i="24"/>
  <c r="E20" i="24"/>
  <c r="E21" i="24"/>
  <c r="E22" i="24"/>
  <c r="E23" i="24"/>
  <c r="E24" i="24"/>
  <c r="E25" i="24"/>
  <c r="E26" i="24"/>
  <c r="E27" i="24"/>
  <c r="E28" i="24"/>
  <c r="E29" i="24"/>
  <c r="E30" i="24"/>
  <c r="E31" i="24"/>
  <c r="E32" i="24"/>
  <c r="E33" i="24"/>
  <c r="E34" i="24"/>
  <c r="E35" i="24"/>
  <c r="E36" i="24"/>
  <c r="E37" i="24"/>
  <c r="E38" i="24"/>
  <c r="E39" i="24"/>
  <c r="E40" i="24"/>
  <c r="E41" i="24"/>
  <c r="E42" i="24"/>
  <c r="E43" i="24"/>
  <c r="E44" i="24"/>
  <c r="E45" i="24"/>
  <c r="E46" i="24"/>
  <c r="E47" i="24"/>
  <c r="E48" i="24"/>
  <c r="E49" i="24"/>
  <c r="E50" i="24"/>
  <c r="E51" i="24"/>
  <c r="E52" i="24"/>
  <c r="E53" i="24"/>
  <c r="E54" i="24"/>
  <c r="E55" i="24"/>
  <c r="E56" i="24"/>
  <c r="E57" i="24"/>
  <c r="E58" i="24"/>
  <c r="E59" i="24"/>
  <c r="E60" i="24"/>
  <c r="E61" i="24"/>
  <c r="E62" i="24"/>
  <c r="E63" i="24"/>
  <c r="E64" i="24"/>
  <c r="E65" i="24"/>
  <c r="E66" i="24"/>
  <c r="E67" i="24"/>
  <c r="E68" i="24"/>
  <c r="E69" i="24"/>
  <c r="E70" i="24"/>
  <c r="E71" i="24"/>
  <c r="E72" i="24"/>
  <c r="E73" i="24"/>
  <c r="E74" i="24"/>
  <c r="E75" i="24"/>
  <c r="E76" i="24"/>
  <c r="E77" i="24"/>
  <c r="E78" i="24"/>
  <c r="E79" i="24"/>
  <c r="E80" i="24"/>
  <c r="E81" i="24"/>
  <c r="E82" i="24"/>
  <c r="E83" i="24"/>
  <c r="E84" i="24"/>
  <c r="E85" i="24"/>
  <c r="E86" i="24"/>
  <c r="E87" i="24"/>
  <c r="E88" i="24"/>
  <c r="E89" i="24"/>
  <c r="E90" i="24"/>
  <c r="E91" i="24"/>
  <c r="E92" i="24"/>
  <c r="E93" i="24"/>
  <c r="E94" i="24"/>
  <c r="E95" i="24"/>
  <c r="E96" i="24"/>
  <c r="E97" i="24"/>
  <c r="E98" i="24"/>
  <c r="E99" i="24"/>
  <c r="E100" i="24"/>
  <c r="E101" i="24"/>
  <c r="E102" i="24"/>
  <c r="E103" i="24"/>
  <c r="E104" i="24"/>
  <c r="E105" i="24"/>
  <c r="E106" i="24"/>
  <c r="E107" i="24"/>
  <c r="E108" i="24"/>
  <c r="E109" i="24"/>
  <c r="E110" i="24"/>
  <c r="E111" i="24"/>
  <c r="E112" i="24"/>
  <c r="E113" i="24"/>
  <c r="E114" i="24"/>
  <c r="E115" i="24"/>
  <c r="E116" i="24"/>
  <c r="E117" i="24"/>
  <c r="E118" i="24"/>
  <c r="E119" i="24"/>
  <c r="E120" i="24"/>
  <c r="E121" i="24"/>
  <c r="E122" i="24"/>
  <c r="E123" i="24"/>
  <c r="E124" i="24"/>
  <c r="E125" i="24"/>
  <c r="E126" i="24"/>
  <c r="E127" i="24"/>
  <c r="E128" i="24"/>
  <c r="E129" i="24"/>
  <c r="E130" i="24"/>
  <c r="E131" i="24"/>
  <c r="E132" i="24"/>
  <c r="E133" i="24"/>
  <c r="E134" i="24"/>
  <c r="E135" i="24"/>
  <c r="E136" i="24"/>
  <c r="E137" i="24"/>
  <c r="E138" i="24"/>
  <c r="E139" i="24"/>
  <c r="E140" i="24"/>
  <c r="E141" i="24"/>
  <c r="E142" i="24"/>
  <c r="E143" i="24"/>
  <c r="E144" i="24"/>
  <c r="E145" i="24"/>
  <c r="E146" i="24"/>
  <c r="E147" i="24"/>
  <c r="E148" i="24"/>
  <c r="E149" i="24"/>
  <c r="E150" i="24"/>
  <c r="E151" i="24"/>
  <c r="E152" i="24"/>
  <c r="E153" i="24"/>
  <c r="E154" i="24"/>
  <c r="E155" i="24"/>
  <c r="E156" i="24"/>
  <c r="E157" i="24"/>
  <c r="E158" i="24"/>
  <c r="E159" i="24"/>
  <c r="E160" i="24"/>
  <c r="E161" i="24"/>
  <c r="E162" i="24"/>
  <c r="E163" i="24"/>
  <c r="E164" i="24"/>
  <c r="E165" i="24"/>
  <c r="E166" i="24"/>
  <c r="E167" i="24"/>
  <c r="E168" i="24"/>
  <c r="E169" i="24"/>
  <c r="E170" i="24"/>
  <c r="E171" i="24"/>
  <c r="E172" i="24"/>
  <c r="E173" i="24"/>
  <c r="E174" i="24"/>
  <c r="E175" i="24"/>
  <c r="E176" i="24"/>
  <c r="E177" i="24"/>
  <c r="E178" i="24"/>
  <c r="E179" i="24"/>
  <c r="E180" i="24"/>
  <c r="E181" i="24"/>
  <c r="E182" i="24"/>
  <c r="E183" i="24"/>
  <c r="E184" i="24"/>
  <c r="E185" i="24"/>
  <c r="E186" i="24"/>
  <c r="E187" i="24"/>
  <c r="E188" i="24"/>
  <c r="E189" i="24"/>
  <c r="E190" i="24"/>
  <c r="E191" i="24"/>
  <c r="E192" i="24"/>
  <c r="E193" i="24"/>
  <c r="E194" i="24"/>
  <c r="E195" i="24"/>
  <c r="E196" i="24"/>
  <c r="E197" i="24"/>
  <c r="E198" i="24"/>
  <c r="E199" i="24"/>
  <c r="E200" i="24"/>
  <c r="E201" i="24"/>
  <c r="E202" i="24"/>
  <c r="E203" i="24"/>
  <c r="E204" i="24"/>
  <c r="E205" i="24"/>
  <c r="E206" i="24"/>
  <c r="E207" i="24"/>
  <c r="E208" i="24"/>
  <c r="E209" i="24"/>
  <c r="E210" i="24"/>
  <c r="E211" i="24"/>
  <c r="E212" i="24"/>
  <c r="E213" i="24"/>
  <c r="E214" i="24"/>
  <c r="E215" i="24"/>
  <c r="E216" i="24"/>
  <c r="E217" i="24"/>
  <c r="E218" i="24"/>
  <c r="E219" i="24"/>
  <c r="E220" i="24"/>
  <c r="E221" i="24"/>
  <c r="E222" i="24"/>
  <c r="E223" i="24"/>
  <c r="E224" i="24"/>
  <c r="E225" i="24"/>
  <c r="E226" i="24"/>
  <c r="E227" i="24"/>
  <c r="E228" i="24"/>
  <c r="E229" i="24"/>
  <c r="E230" i="24"/>
  <c r="E231" i="24"/>
  <c r="E232" i="24"/>
  <c r="E233" i="24"/>
  <c r="E234" i="24"/>
  <c r="E235" i="24"/>
  <c r="E236" i="24"/>
  <c r="E237" i="24"/>
  <c r="E238" i="24"/>
  <c r="E239" i="24"/>
  <c r="E240" i="24"/>
  <c r="E241" i="24"/>
  <c r="E242" i="24"/>
  <c r="E243" i="24"/>
  <c r="E244" i="24"/>
  <c r="E245" i="24"/>
  <c r="E246" i="24"/>
  <c r="E247" i="24"/>
  <c r="E248" i="24"/>
  <c r="E249" i="24"/>
  <c r="E250" i="24"/>
  <c r="E251" i="24"/>
  <c r="E252" i="24"/>
  <c r="E253" i="24"/>
  <c r="E254" i="24"/>
  <c r="E255" i="24"/>
  <c r="E256" i="24"/>
  <c r="E257" i="24"/>
  <c r="E258" i="24"/>
  <c r="E259" i="24"/>
  <c r="E260" i="24"/>
  <c r="E261" i="24"/>
  <c r="E262" i="24"/>
  <c r="E263" i="24"/>
  <c r="E264" i="24"/>
  <c r="E265" i="24"/>
  <c r="E266" i="24"/>
  <c r="E267" i="24"/>
  <c r="E268" i="24"/>
  <c r="E269" i="24"/>
  <c r="E270" i="24"/>
  <c r="E271" i="24"/>
  <c r="E272" i="24"/>
  <c r="E273" i="24"/>
  <c r="E274" i="24"/>
  <c r="E275" i="24"/>
  <c r="E276" i="24"/>
  <c r="E277" i="24"/>
  <c r="E278" i="24"/>
  <c r="E279" i="24"/>
  <c r="E280" i="24"/>
  <c r="E281" i="24"/>
  <c r="E282" i="24"/>
  <c r="E283" i="24"/>
  <c r="E284" i="24"/>
  <c r="E285" i="24"/>
  <c r="E286" i="24"/>
  <c r="E287" i="24"/>
  <c r="E288" i="24"/>
  <c r="E289" i="24"/>
  <c r="E290" i="24"/>
  <c r="E291" i="24"/>
  <c r="E292" i="24"/>
  <c r="E293" i="24"/>
  <c r="E8" i="24"/>
  <c r="L94" i="17"/>
  <c r="M94" i="17"/>
  <c r="R94" i="17"/>
  <c r="L95" i="17"/>
  <c r="M95" i="17"/>
  <c r="R95" i="17"/>
  <c r="L96" i="17"/>
  <c r="M96" i="17"/>
  <c r="R96" i="17"/>
  <c r="L97" i="17"/>
  <c r="M97" i="17"/>
  <c r="R97" i="17"/>
  <c r="L98" i="17"/>
  <c r="M98" i="17"/>
  <c r="R98" i="17"/>
  <c r="L99" i="17"/>
  <c r="M99" i="17"/>
  <c r="R99" i="17"/>
  <c r="L100" i="17"/>
  <c r="M100" i="17"/>
  <c r="R100" i="17"/>
  <c r="L101" i="17"/>
  <c r="M101" i="17"/>
  <c r="R101" i="17"/>
  <c r="L102" i="17"/>
  <c r="M102" i="17"/>
  <c r="R102" i="17"/>
  <c r="L103" i="17"/>
  <c r="M103" i="17"/>
  <c r="R103" i="17"/>
  <c r="L104" i="17"/>
  <c r="M104" i="17"/>
  <c r="R104" i="17"/>
  <c r="L105" i="17"/>
  <c r="M105" i="17"/>
  <c r="R105" i="17"/>
  <c r="L106" i="17"/>
  <c r="M106" i="17"/>
  <c r="R106" i="17"/>
  <c r="L107" i="17"/>
  <c r="M107" i="17"/>
  <c r="R107" i="17"/>
  <c r="L108" i="17"/>
  <c r="M108" i="17"/>
  <c r="R108" i="17"/>
  <c r="L109" i="17"/>
  <c r="M109" i="17"/>
  <c r="R109" i="17"/>
  <c r="L110" i="17"/>
  <c r="M110" i="17"/>
  <c r="R110" i="17"/>
  <c r="L111" i="17"/>
  <c r="M111" i="17"/>
  <c r="R111" i="17"/>
  <c r="L112" i="17"/>
  <c r="M112" i="17"/>
  <c r="R112" i="17"/>
  <c r="L113" i="17"/>
  <c r="M113" i="17"/>
  <c r="R113" i="17"/>
  <c r="L114" i="17"/>
  <c r="M114" i="17"/>
  <c r="R114" i="17"/>
  <c r="L115" i="17"/>
  <c r="M115" i="17"/>
  <c r="R115" i="17"/>
  <c r="L116" i="17"/>
  <c r="M116" i="17"/>
  <c r="R116" i="17"/>
  <c r="L117" i="17"/>
  <c r="M117" i="17"/>
  <c r="R117" i="17"/>
  <c r="L118" i="17"/>
  <c r="M118" i="17"/>
  <c r="R118" i="17"/>
  <c r="L119" i="17"/>
  <c r="M119" i="17"/>
  <c r="R119" i="17"/>
  <c r="L120" i="17"/>
  <c r="M120" i="17"/>
  <c r="R120" i="17"/>
  <c r="L121" i="17"/>
  <c r="M121" i="17"/>
  <c r="R121" i="17"/>
  <c r="L122" i="17"/>
  <c r="M122" i="17"/>
  <c r="R122" i="17"/>
  <c r="L123" i="17"/>
  <c r="M123" i="17"/>
  <c r="R123" i="17"/>
  <c r="L124" i="17"/>
  <c r="M124" i="17"/>
  <c r="R124" i="17"/>
  <c r="L125" i="17"/>
  <c r="M125" i="17"/>
  <c r="R125" i="17"/>
  <c r="L126" i="17"/>
  <c r="M126" i="17"/>
  <c r="R126" i="17"/>
  <c r="L127" i="17"/>
  <c r="M127" i="17"/>
  <c r="R127" i="17"/>
  <c r="L128" i="17"/>
  <c r="M128" i="17"/>
  <c r="R128" i="17"/>
  <c r="L129" i="17"/>
  <c r="M129" i="17"/>
  <c r="R129" i="17"/>
  <c r="L130" i="17"/>
  <c r="M130" i="17"/>
  <c r="R130" i="17"/>
  <c r="L131" i="17"/>
  <c r="M131" i="17"/>
  <c r="R131" i="17"/>
  <c r="L132" i="17"/>
  <c r="M132" i="17"/>
  <c r="R132" i="17"/>
  <c r="L133" i="17"/>
  <c r="M133" i="17"/>
  <c r="R133" i="17"/>
  <c r="L134" i="17"/>
  <c r="M134" i="17"/>
  <c r="R134" i="17"/>
  <c r="L135" i="17"/>
  <c r="M135" i="17"/>
  <c r="R135" i="17"/>
  <c r="L136" i="17"/>
  <c r="M136" i="17"/>
  <c r="R136" i="17"/>
  <c r="L137" i="17"/>
  <c r="M137" i="17"/>
  <c r="R137" i="17"/>
  <c r="L138" i="17"/>
  <c r="M138" i="17"/>
  <c r="R138" i="17"/>
  <c r="L139" i="17"/>
  <c r="M139" i="17"/>
  <c r="R139" i="17"/>
  <c r="L140" i="17"/>
  <c r="M140" i="17"/>
  <c r="R140" i="17"/>
  <c r="BA38" i="10"/>
  <c r="BF38" i="10"/>
  <c r="BG38" i="10"/>
  <c r="BY38" i="10" s="1"/>
  <c r="BI38" i="10"/>
  <c r="BJ38" i="10"/>
  <c r="BK38" i="10"/>
  <c r="BL38" i="10"/>
  <c r="BM38" i="10"/>
  <c r="BN38" i="10"/>
  <c r="BO38" i="10"/>
  <c r="BP38" i="10"/>
  <c r="BQ38" i="10"/>
  <c r="BR38" i="10"/>
  <c r="BT38" i="10"/>
  <c r="BU38" i="10"/>
  <c r="BA39" i="10"/>
  <c r="BF39" i="10"/>
  <c r="BG39" i="10"/>
  <c r="BY39" i="10" s="1"/>
  <c r="BI39" i="10"/>
  <c r="BJ39" i="10"/>
  <c r="BK39" i="10"/>
  <c r="BL39" i="10"/>
  <c r="BM39" i="10"/>
  <c r="BN39" i="10"/>
  <c r="BO39" i="10"/>
  <c r="BP39" i="10"/>
  <c r="BQ39" i="10"/>
  <c r="BR39" i="10"/>
  <c r="BT39" i="10"/>
  <c r="BU39" i="10"/>
  <c r="BA40" i="10"/>
  <c r="BF40" i="10"/>
  <c r="BG40" i="10"/>
  <c r="BY40" i="10" s="1"/>
  <c r="BI40" i="10"/>
  <c r="BJ40" i="10"/>
  <c r="BK40" i="10"/>
  <c r="BL40" i="10"/>
  <c r="BM40" i="10"/>
  <c r="BN40" i="10"/>
  <c r="BO40" i="10"/>
  <c r="BP40" i="10"/>
  <c r="BQ40" i="10"/>
  <c r="BR40" i="10"/>
  <c r="BT40" i="10"/>
  <c r="BU40" i="10"/>
  <c r="BA41" i="10"/>
  <c r="BF41" i="10"/>
  <c r="BG41" i="10"/>
  <c r="BY41" i="10" s="1"/>
  <c r="BI41" i="10"/>
  <c r="BJ41" i="10"/>
  <c r="BK41" i="10"/>
  <c r="BL41" i="10"/>
  <c r="BM41" i="10"/>
  <c r="BN41" i="10"/>
  <c r="BO41" i="10"/>
  <c r="BP41" i="10"/>
  <c r="BQ41" i="10"/>
  <c r="BR41" i="10"/>
  <c r="BT41" i="10"/>
  <c r="BU41" i="10"/>
  <c r="BA42" i="10"/>
  <c r="BF42" i="10"/>
  <c r="BG42" i="10"/>
  <c r="BY42" i="10" s="1"/>
  <c r="BI42" i="10"/>
  <c r="BJ42" i="10"/>
  <c r="BK42" i="10"/>
  <c r="BL42" i="10"/>
  <c r="BM42" i="10"/>
  <c r="BN42" i="10"/>
  <c r="BO42" i="10"/>
  <c r="BP42" i="10"/>
  <c r="BQ42" i="10"/>
  <c r="BR42" i="10"/>
  <c r="BT42" i="10"/>
  <c r="BU42" i="10"/>
  <c r="BA43" i="10"/>
  <c r="BF43" i="10"/>
  <c r="BG43" i="10"/>
  <c r="BY43" i="10" s="1"/>
  <c r="BI43" i="10"/>
  <c r="BJ43" i="10"/>
  <c r="BK43" i="10"/>
  <c r="BL43" i="10"/>
  <c r="BM43" i="10"/>
  <c r="BN43" i="10"/>
  <c r="BO43" i="10"/>
  <c r="BP43" i="10"/>
  <c r="BQ43" i="10"/>
  <c r="BR43" i="10"/>
  <c r="BT43" i="10"/>
  <c r="BU43" i="10"/>
  <c r="BA44" i="10"/>
  <c r="BF44" i="10"/>
  <c r="BG44" i="10"/>
  <c r="BY44" i="10" s="1"/>
  <c r="BI44" i="10"/>
  <c r="BJ44" i="10"/>
  <c r="BK44" i="10"/>
  <c r="BL44" i="10"/>
  <c r="BM44" i="10"/>
  <c r="BN44" i="10"/>
  <c r="BO44" i="10"/>
  <c r="BP44" i="10"/>
  <c r="BQ44" i="10"/>
  <c r="BR44" i="10"/>
  <c r="BT44" i="10"/>
  <c r="BU44" i="10"/>
  <c r="BA45" i="10"/>
  <c r="BF45" i="10"/>
  <c r="BG45" i="10"/>
  <c r="BY45" i="10" s="1"/>
  <c r="BI45" i="10"/>
  <c r="BJ45" i="10"/>
  <c r="BK45" i="10"/>
  <c r="BL45" i="10"/>
  <c r="BM45" i="10"/>
  <c r="BN45" i="10"/>
  <c r="BO45" i="10"/>
  <c r="BP45" i="10"/>
  <c r="BQ45" i="10"/>
  <c r="BR45" i="10"/>
  <c r="BT45" i="10"/>
  <c r="BU45" i="10"/>
  <c r="BA46" i="10"/>
  <c r="BF46" i="10"/>
  <c r="BG46" i="10"/>
  <c r="BY46" i="10" s="1"/>
  <c r="BI46" i="10"/>
  <c r="BJ46" i="10"/>
  <c r="BK46" i="10"/>
  <c r="BL46" i="10"/>
  <c r="BM46" i="10"/>
  <c r="BN46" i="10"/>
  <c r="BO46" i="10"/>
  <c r="BP46" i="10"/>
  <c r="BQ46" i="10"/>
  <c r="BR46" i="10"/>
  <c r="BT46" i="10"/>
  <c r="BU46" i="10"/>
  <c r="BA47" i="10"/>
  <c r="BF47" i="10"/>
  <c r="BG47" i="10"/>
  <c r="BY47" i="10" s="1"/>
  <c r="BI47" i="10"/>
  <c r="BJ47" i="10"/>
  <c r="BK47" i="10"/>
  <c r="BL47" i="10"/>
  <c r="BM47" i="10"/>
  <c r="BN47" i="10"/>
  <c r="BO47" i="10"/>
  <c r="BP47" i="10"/>
  <c r="BQ47" i="10"/>
  <c r="BR47" i="10"/>
  <c r="BT47" i="10"/>
  <c r="BU47" i="10"/>
  <c r="BA48" i="10"/>
  <c r="BF48" i="10"/>
  <c r="BG48" i="10"/>
  <c r="BY48" i="10" s="1"/>
  <c r="BI48" i="10"/>
  <c r="BJ48" i="10"/>
  <c r="BK48" i="10"/>
  <c r="BL48" i="10"/>
  <c r="BM48" i="10"/>
  <c r="BN48" i="10"/>
  <c r="BO48" i="10"/>
  <c r="BP48" i="10"/>
  <c r="BQ48" i="10"/>
  <c r="BR48" i="10"/>
  <c r="BT48" i="10"/>
  <c r="BU48" i="10"/>
  <c r="BA49" i="10"/>
  <c r="BF49" i="10"/>
  <c r="BG49" i="10"/>
  <c r="BY49" i="10" s="1"/>
  <c r="BI49" i="10"/>
  <c r="BJ49" i="10"/>
  <c r="BK49" i="10"/>
  <c r="BL49" i="10"/>
  <c r="BM49" i="10"/>
  <c r="BN49" i="10"/>
  <c r="BO49" i="10"/>
  <c r="BP49" i="10"/>
  <c r="BQ49" i="10"/>
  <c r="BR49" i="10"/>
  <c r="BT49" i="10"/>
  <c r="BU49" i="10"/>
  <c r="BA50" i="10"/>
  <c r="BF50" i="10"/>
  <c r="BG50" i="10"/>
  <c r="BY50" i="10" s="1"/>
  <c r="BI50" i="10"/>
  <c r="BJ50" i="10"/>
  <c r="BK50" i="10"/>
  <c r="BL50" i="10"/>
  <c r="BM50" i="10"/>
  <c r="BN50" i="10"/>
  <c r="BO50" i="10"/>
  <c r="BP50" i="10"/>
  <c r="BQ50" i="10"/>
  <c r="BR50" i="10"/>
  <c r="BT50" i="10"/>
  <c r="BU50" i="10"/>
  <c r="BA51" i="10"/>
  <c r="BF51" i="10"/>
  <c r="BG51" i="10"/>
  <c r="BY51" i="10" s="1"/>
  <c r="BI51" i="10"/>
  <c r="BJ51" i="10"/>
  <c r="BK51" i="10"/>
  <c r="BL51" i="10"/>
  <c r="BM51" i="10"/>
  <c r="BN51" i="10"/>
  <c r="BO51" i="10"/>
  <c r="BP51" i="10"/>
  <c r="BQ51" i="10"/>
  <c r="BR51" i="10"/>
  <c r="BT51" i="10"/>
  <c r="BU51" i="10"/>
  <c r="BA52" i="10"/>
  <c r="BF52" i="10"/>
  <c r="BG52" i="10"/>
  <c r="BY52" i="10" s="1"/>
  <c r="BI52" i="10"/>
  <c r="BJ52" i="10"/>
  <c r="BK52" i="10"/>
  <c r="BL52" i="10"/>
  <c r="BM52" i="10"/>
  <c r="BN52" i="10"/>
  <c r="BO52" i="10"/>
  <c r="BP52" i="10"/>
  <c r="BQ52" i="10"/>
  <c r="BR52" i="10"/>
  <c r="BT52" i="10"/>
  <c r="BU52" i="10"/>
  <c r="BS284" i="10" l="1"/>
  <c r="BS281" i="10"/>
  <c r="BS273" i="10"/>
  <c r="BS268" i="10"/>
  <c r="BS59" i="10"/>
  <c r="BS56" i="10"/>
  <c r="BS55" i="10"/>
  <c r="BS73" i="10"/>
  <c r="Q182" i="17"/>
  <c r="BS68" i="10" s="1"/>
  <c r="BS61" i="10"/>
  <c r="BS54" i="10"/>
  <c r="BS75" i="10"/>
  <c r="Q186" i="17"/>
  <c r="BS63" i="10"/>
  <c r="Q189" i="17"/>
  <c r="BS71" i="10" s="1"/>
  <c r="Q202" i="17"/>
  <c r="BS76" i="10" s="1"/>
  <c r="BS66" i="10"/>
  <c r="Q153" i="17"/>
  <c r="BS58" i="10" s="1"/>
  <c r="Q184" i="17"/>
  <c r="BS69" i="10" s="1"/>
  <c r="Q178" i="17"/>
  <c r="BS67" i="10" s="1"/>
  <c r="BS79" i="10"/>
  <c r="Q191" i="17"/>
  <c r="BS77" i="10"/>
  <c r="BS80" i="10"/>
  <c r="Q199" i="17"/>
  <c r="BS74" i="10" s="1"/>
  <c r="Q151" i="17"/>
  <c r="BS57" i="10" s="1"/>
  <c r="Q187" i="17"/>
  <c r="Q194" i="17"/>
  <c r="BS60" i="10"/>
  <c r="BS81" i="10"/>
  <c r="BS78" i="10"/>
  <c r="Q141" i="17"/>
  <c r="BS53" i="10" s="1"/>
  <c r="BS62" i="10"/>
  <c r="BH290" i="3"/>
  <c r="BW52" i="10"/>
  <c r="BH285" i="3" s="1"/>
  <c r="BH282" i="3"/>
  <c r="BH278" i="3"/>
  <c r="BW51" i="10"/>
  <c r="BH222" i="3" s="1"/>
  <c r="BW50" i="10"/>
  <c r="BH218" i="3" s="1"/>
  <c r="BW49" i="10"/>
  <c r="BH174" i="3" s="1"/>
  <c r="BW48" i="10"/>
  <c r="BH167" i="3" s="1"/>
  <c r="BW47" i="10"/>
  <c r="BH161" i="3" s="1"/>
  <c r="BW46" i="10"/>
  <c r="BH152" i="3" s="1"/>
  <c r="BH144" i="3"/>
  <c r="BH136" i="3"/>
  <c r="BW45" i="10"/>
  <c r="BH135" i="3" s="1"/>
  <c r="BH120" i="3"/>
  <c r="BW44" i="10"/>
  <c r="BH84" i="3" s="1"/>
  <c r="BW43" i="10"/>
  <c r="BH75" i="3" s="1"/>
  <c r="BH71" i="3"/>
  <c r="BH61" i="3"/>
  <c r="BW42" i="10"/>
  <c r="BH40" i="3" s="1"/>
  <c r="BW41" i="10"/>
  <c r="BH34" i="3" s="1"/>
  <c r="BW40" i="10"/>
  <c r="BH19" i="3" s="1"/>
  <c r="BW39" i="10"/>
  <c r="BH14" i="3" s="1"/>
  <c r="BW38" i="10"/>
  <c r="BH9" i="3" s="1"/>
  <c r="N107" i="17"/>
  <c r="P107" i="17" s="1"/>
  <c r="N96" i="17"/>
  <c r="P96" i="17" s="1"/>
  <c r="N122" i="17"/>
  <c r="P122" i="17" s="1"/>
  <c r="N119" i="17"/>
  <c r="P119" i="17" s="1"/>
  <c r="N131" i="17"/>
  <c r="O131" i="17" s="1"/>
  <c r="N127" i="17"/>
  <c r="O127" i="17" s="1"/>
  <c r="N121" i="17"/>
  <c r="O121" i="17" s="1"/>
  <c r="N124" i="17"/>
  <c r="O124" i="17" s="1"/>
  <c r="N136" i="17"/>
  <c r="P136" i="17" s="1"/>
  <c r="N123" i="17"/>
  <c r="P123" i="17" s="1"/>
  <c r="N132" i="17"/>
  <c r="P132" i="17" s="1"/>
  <c r="N94" i="17"/>
  <c r="P94" i="17" s="1"/>
  <c r="N118" i="17"/>
  <c r="O118" i="17" s="1"/>
  <c r="N115" i="17"/>
  <c r="P115" i="17" s="1"/>
  <c r="N103" i="17"/>
  <c r="O103" i="17" s="1"/>
  <c r="N99" i="17"/>
  <c r="O99" i="17" s="1"/>
  <c r="N98" i="17"/>
  <c r="O98" i="17" s="1"/>
  <c r="N100" i="17"/>
  <c r="P100" i="17" s="1"/>
  <c r="N112" i="17"/>
  <c r="P112" i="17" s="1"/>
  <c r="N140" i="17"/>
  <c r="O140" i="17" s="1"/>
  <c r="N120" i="17"/>
  <c r="O120" i="17" s="1"/>
  <c r="N106" i="17"/>
  <c r="P106" i="17" s="1"/>
  <c r="N138" i="17"/>
  <c r="O138" i="17" s="1"/>
  <c r="N129" i="17"/>
  <c r="O129" i="17" s="1"/>
  <c r="N128" i="17"/>
  <c r="P128" i="17" s="1"/>
  <c r="N117" i="17"/>
  <c r="O117" i="17" s="1"/>
  <c r="N114" i="17"/>
  <c r="O114" i="17" s="1"/>
  <c r="N135" i="17"/>
  <c r="O135" i="17" s="1"/>
  <c r="N116" i="17"/>
  <c r="P116" i="17" s="1"/>
  <c r="N139" i="17"/>
  <c r="O139" i="17" s="1"/>
  <c r="N134" i="17"/>
  <c r="O134" i="17" s="1"/>
  <c r="N126" i="17"/>
  <c r="O126" i="17" s="1"/>
  <c r="N110" i="17"/>
  <c r="N105" i="17"/>
  <c r="P105" i="17" s="1"/>
  <c r="N102" i="17"/>
  <c r="O102" i="17" s="1"/>
  <c r="N133" i="17"/>
  <c r="O133" i="17" s="1"/>
  <c r="N130" i="17"/>
  <c r="O130" i="17" s="1"/>
  <c r="N125" i="17"/>
  <c r="P125" i="17" s="1"/>
  <c r="N111" i="17"/>
  <c r="P111" i="17" s="1"/>
  <c r="N95" i="17"/>
  <c r="O95" i="17" s="1"/>
  <c r="N109" i="17"/>
  <c r="N137" i="17"/>
  <c r="O137" i="17" s="1"/>
  <c r="N113" i="17"/>
  <c r="P113" i="17" s="1"/>
  <c r="N104" i="17"/>
  <c r="P104" i="17" s="1"/>
  <c r="N101" i="17"/>
  <c r="N108" i="17"/>
  <c r="N97" i="17"/>
  <c r="P6" i="3"/>
  <c r="P7" i="3"/>
  <c r="P8" i="3"/>
  <c r="P9" i="3"/>
  <c r="P10" i="3"/>
  <c r="P11" i="3"/>
  <c r="P12" i="3"/>
  <c r="P13" i="3"/>
  <c r="P14" i="3"/>
  <c r="P16" i="3"/>
  <c r="P17" i="3"/>
  <c r="P18" i="3"/>
  <c r="P19" i="3"/>
  <c r="P20" i="3"/>
  <c r="P21" i="3"/>
  <c r="P22" i="3"/>
  <c r="P23" i="3"/>
  <c r="P24" i="3"/>
  <c r="P25" i="3"/>
  <c r="P27" i="3"/>
  <c r="P28" i="3"/>
  <c r="P29" i="3"/>
  <c r="P30" i="3"/>
  <c r="P31" i="3"/>
  <c r="P32" i="3"/>
  <c r="P33" i="3"/>
  <c r="P34" i="3"/>
  <c r="P35" i="3"/>
  <c r="P36" i="3"/>
  <c r="P37" i="3"/>
  <c r="P38" i="3"/>
  <c r="P39" i="3"/>
  <c r="P40" i="3"/>
  <c r="P42" i="3"/>
  <c r="P43" i="3"/>
  <c r="P44" i="3"/>
  <c r="P45" i="3"/>
  <c r="P46" i="3"/>
  <c r="P47" i="3"/>
  <c r="P48" i="3"/>
  <c r="P49" i="3"/>
  <c r="P50" i="3"/>
  <c r="P53" i="3"/>
  <c r="P54" i="3"/>
  <c r="P55" i="3"/>
  <c r="P56" i="3"/>
  <c r="P57" i="3"/>
  <c r="P58" i="3"/>
  <c r="P59" i="3"/>
  <c r="P60" i="3"/>
  <c r="P61" i="3"/>
  <c r="P62" i="3"/>
  <c r="P63" i="3"/>
  <c r="P64" i="3"/>
  <c r="P65" i="3"/>
  <c r="P66" i="3"/>
  <c r="P68" i="3"/>
  <c r="P69" i="3"/>
  <c r="P70" i="3"/>
  <c r="P71" i="3"/>
  <c r="P72" i="3"/>
  <c r="P73" i="3"/>
  <c r="P74" i="3"/>
  <c r="P75" i="3"/>
  <c r="P76" i="3"/>
  <c r="P77" i="3"/>
  <c r="P78" i="3"/>
  <c r="P79" i="3"/>
  <c r="P81" i="3"/>
  <c r="P82" i="3"/>
  <c r="P83" i="3"/>
  <c r="P84" i="3"/>
  <c r="P85" i="3"/>
  <c r="P86" i="3"/>
  <c r="P87" i="3"/>
  <c r="P88" i="3"/>
  <c r="P89" i="3"/>
  <c r="P90" i="3"/>
  <c r="P91" i="3"/>
  <c r="P92" i="3"/>
  <c r="P93" i="3"/>
  <c r="P95" i="3"/>
  <c r="P96" i="3"/>
  <c r="P98" i="3"/>
  <c r="P99" i="3"/>
  <c r="P100" i="3"/>
  <c r="P101" i="3"/>
  <c r="P102" i="3"/>
  <c r="P107" i="3"/>
  <c r="P108" i="3"/>
  <c r="P109" i="3"/>
  <c r="P110" i="3"/>
  <c r="P111" i="3"/>
  <c r="P112" i="3"/>
  <c r="P113" i="3"/>
  <c r="P114" i="3"/>
  <c r="P115" i="3"/>
  <c r="P116" i="3"/>
  <c r="P117" i="3"/>
  <c r="P118" i="3"/>
  <c r="P119" i="3"/>
  <c r="P120" i="3"/>
  <c r="P121" i="3"/>
  <c r="P122" i="3"/>
  <c r="P128" i="3"/>
  <c r="P129" i="3"/>
  <c r="P130" i="3"/>
  <c r="P131" i="3"/>
  <c r="P132" i="3"/>
  <c r="P133" i="3"/>
  <c r="P135" i="3"/>
  <c r="P136" i="3"/>
  <c r="P137" i="3"/>
  <c r="P138" i="3"/>
  <c r="P140" i="3"/>
  <c r="P141" i="3"/>
  <c r="P142" i="3"/>
  <c r="P143" i="3"/>
  <c r="P144" i="3"/>
  <c r="P145" i="3"/>
  <c r="P146" i="3"/>
  <c r="P147" i="3"/>
  <c r="P148" i="3"/>
  <c r="P149" i="3"/>
  <c r="P150" i="3"/>
  <c r="P151" i="3"/>
  <c r="P153" i="3"/>
  <c r="P154" i="3"/>
  <c r="P155" i="3"/>
  <c r="P156" i="3"/>
  <c r="P157" i="3"/>
  <c r="P158" i="3"/>
  <c r="P159" i="3"/>
  <c r="P160" i="3"/>
  <c r="P161" i="3"/>
  <c r="P162" i="3"/>
  <c r="P163" i="3"/>
  <c r="P164" i="3"/>
  <c r="P165" i="3"/>
  <c r="P166" i="3"/>
  <c r="P167" i="3"/>
  <c r="P168" i="3"/>
  <c r="P170" i="3"/>
  <c r="P171" i="3"/>
  <c r="P172" i="3"/>
  <c r="P173" i="3"/>
  <c r="P174" i="3"/>
  <c r="P175" i="3"/>
  <c r="P177" i="3"/>
  <c r="P178" i="3"/>
  <c r="P180" i="3"/>
  <c r="P182" i="3"/>
  <c r="P183" i="3"/>
  <c r="P184" i="3"/>
  <c r="P186" i="3"/>
  <c r="P188" i="3"/>
  <c r="P189" i="3"/>
  <c r="P190" i="3"/>
  <c r="P191" i="3"/>
  <c r="P192" i="3"/>
  <c r="P193" i="3"/>
  <c r="P194" i="3"/>
  <c r="P195" i="3"/>
  <c r="P196" i="3"/>
  <c r="P197" i="3"/>
  <c r="P198" i="3"/>
  <c r="P199" i="3"/>
  <c r="P200" i="3"/>
  <c r="P201" i="3"/>
  <c r="P202" i="3"/>
  <c r="P203" i="3"/>
  <c r="P204" i="3"/>
  <c r="P205" i="3"/>
  <c r="P206" i="3"/>
  <c r="P207" i="3"/>
  <c r="P208" i="3"/>
  <c r="P210" i="3"/>
  <c r="P211" i="3"/>
  <c r="P212" i="3"/>
  <c r="P213" i="3"/>
  <c r="P214" i="3"/>
  <c r="P215" i="3"/>
  <c r="P216" i="3"/>
  <c r="P217" i="3"/>
  <c r="P218" i="3"/>
  <c r="P219" i="3"/>
  <c r="P220" i="3"/>
  <c r="P221" i="3"/>
  <c r="P222" i="3"/>
  <c r="P223" i="3"/>
  <c r="P224" i="3"/>
  <c r="P225" i="3"/>
  <c r="P226" i="3"/>
  <c r="P227" i="3"/>
  <c r="P228" i="3"/>
  <c r="P229" i="3"/>
  <c r="P230" i="3"/>
  <c r="P231" i="3"/>
  <c r="P232" i="3"/>
  <c r="P233" i="3"/>
  <c r="P236" i="3"/>
  <c r="P237" i="3"/>
  <c r="P238" i="3"/>
  <c r="P239" i="3"/>
  <c r="P241" i="3"/>
  <c r="P242" i="3"/>
  <c r="P244" i="3"/>
  <c r="P245" i="3"/>
  <c r="P246" i="3"/>
  <c r="P247" i="3"/>
  <c r="P248" i="3"/>
  <c r="P249" i="3"/>
  <c r="P250" i="3"/>
  <c r="P251" i="3"/>
  <c r="P252" i="3"/>
  <c r="P253" i="3"/>
  <c r="P254" i="3"/>
  <c r="P255" i="3"/>
  <c r="P256" i="3"/>
  <c r="P257" i="3"/>
  <c r="P258" i="3"/>
  <c r="P259" i="3"/>
  <c r="P261" i="3"/>
  <c r="P262" i="3"/>
  <c r="P263" i="3"/>
  <c r="P264" i="3"/>
  <c r="P265" i="3"/>
  <c r="P266" i="3"/>
  <c r="P267" i="3"/>
  <c r="P268" i="3"/>
  <c r="P269" i="3"/>
  <c r="P270" i="3"/>
  <c r="P271" i="3"/>
  <c r="P272" i="3"/>
  <c r="P273" i="3"/>
  <c r="P274" i="3"/>
  <c r="P276" i="3"/>
  <c r="P277" i="3"/>
  <c r="P278" i="3"/>
  <c r="P279" i="3"/>
  <c r="P280" i="3"/>
  <c r="P281" i="3"/>
  <c r="P282" i="3"/>
  <c r="P283" i="3"/>
  <c r="P284" i="3"/>
  <c r="P285" i="3"/>
  <c r="P287" i="3"/>
  <c r="P288" i="3"/>
  <c r="P289" i="3"/>
  <c r="L65" i="17"/>
  <c r="M65" i="17"/>
  <c r="R65" i="17"/>
  <c r="L66" i="17"/>
  <c r="M66" i="17"/>
  <c r="R66" i="17"/>
  <c r="L67" i="17"/>
  <c r="M67" i="17"/>
  <c r="R67" i="17"/>
  <c r="L68" i="17"/>
  <c r="M68" i="17"/>
  <c r="R68" i="17"/>
  <c r="L69" i="17"/>
  <c r="M69" i="17"/>
  <c r="R69" i="17"/>
  <c r="L70" i="17"/>
  <c r="M70" i="17"/>
  <c r="R70" i="17"/>
  <c r="L71" i="17"/>
  <c r="M71" i="17"/>
  <c r="R71" i="17"/>
  <c r="L72" i="17"/>
  <c r="M72" i="17"/>
  <c r="R72" i="17"/>
  <c r="L73" i="17"/>
  <c r="M73" i="17"/>
  <c r="R73" i="17"/>
  <c r="L74" i="17"/>
  <c r="M74" i="17"/>
  <c r="R74" i="17"/>
  <c r="L75" i="17"/>
  <c r="M75" i="17"/>
  <c r="R75" i="17"/>
  <c r="L76" i="17"/>
  <c r="M76" i="17"/>
  <c r="R76" i="17"/>
  <c r="L77" i="17"/>
  <c r="M77" i="17"/>
  <c r="R77" i="17"/>
  <c r="L78" i="17"/>
  <c r="M78" i="17"/>
  <c r="R78" i="17"/>
  <c r="L79" i="17"/>
  <c r="M79" i="17"/>
  <c r="R79" i="17"/>
  <c r="L80" i="17"/>
  <c r="M80" i="17"/>
  <c r="R80" i="17"/>
  <c r="L81" i="17"/>
  <c r="M81" i="17"/>
  <c r="R81" i="17"/>
  <c r="L82" i="17"/>
  <c r="M82" i="17"/>
  <c r="R82" i="17"/>
  <c r="L83" i="17"/>
  <c r="M83" i="17"/>
  <c r="R83" i="17"/>
  <c r="L84" i="17"/>
  <c r="M84" i="17"/>
  <c r="R84" i="17"/>
  <c r="L85" i="17"/>
  <c r="M85" i="17"/>
  <c r="R85" i="17"/>
  <c r="L86" i="17"/>
  <c r="M86" i="17"/>
  <c r="R86" i="17"/>
  <c r="L87" i="17"/>
  <c r="M87" i="17"/>
  <c r="R87" i="17"/>
  <c r="L88" i="17"/>
  <c r="M88" i="17"/>
  <c r="R88" i="17"/>
  <c r="L89" i="17"/>
  <c r="M89" i="17"/>
  <c r="R89" i="17"/>
  <c r="L90" i="17"/>
  <c r="M90" i="17"/>
  <c r="R90" i="17"/>
  <c r="L91" i="17"/>
  <c r="M91" i="17"/>
  <c r="R91" i="17"/>
  <c r="L92" i="17"/>
  <c r="M92" i="17"/>
  <c r="R92" i="17"/>
  <c r="L93" i="17"/>
  <c r="M93" i="17"/>
  <c r="R93" i="17"/>
  <c r="BA27" i="10"/>
  <c r="BF27" i="10"/>
  <c r="BG27" i="10"/>
  <c r="BY27" i="10" s="1"/>
  <c r="BI27" i="10"/>
  <c r="BJ27" i="10"/>
  <c r="BK27" i="10"/>
  <c r="BL27" i="10"/>
  <c r="BM27" i="10"/>
  <c r="BN27" i="10"/>
  <c r="BO27" i="10"/>
  <c r="BP27" i="10"/>
  <c r="BQ27" i="10"/>
  <c r="BR27" i="10"/>
  <c r="BT27" i="10"/>
  <c r="BU27" i="10"/>
  <c r="P15" i="3"/>
  <c r="BA28" i="10"/>
  <c r="BF28" i="10"/>
  <c r="BG28" i="10"/>
  <c r="BY28" i="10" s="1"/>
  <c r="BI28" i="10"/>
  <c r="BJ28" i="10"/>
  <c r="BK28" i="10"/>
  <c r="BL28" i="10"/>
  <c r="BM28" i="10"/>
  <c r="BN28" i="10"/>
  <c r="BO28" i="10"/>
  <c r="BP28" i="10"/>
  <c r="BQ28" i="10"/>
  <c r="BR28" i="10"/>
  <c r="BT28" i="10"/>
  <c r="BU28" i="10"/>
  <c r="P41" i="3"/>
  <c r="BA29" i="10"/>
  <c r="BF29" i="10"/>
  <c r="BG29" i="10"/>
  <c r="BY29" i="10" s="1"/>
  <c r="BI29" i="10"/>
  <c r="BJ29" i="10"/>
  <c r="BK29" i="10"/>
  <c r="BL29" i="10"/>
  <c r="BM29" i="10"/>
  <c r="BN29" i="10"/>
  <c r="BO29" i="10"/>
  <c r="BP29" i="10"/>
  <c r="BQ29" i="10"/>
  <c r="BR29" i="10"/>
  <c r="BT29" i="10"/>
  <c r="BU29" i="10"/>
  <c r="P105" i="3"/>
  <c r="BA30" i="10"/>
  <c r="BF30" i="10"/>
  <c r="BG30" i="10"/>
  <c r="BY30" i="10" s="1"/>
  <c r="BI30" i="10"/>
  <c r="BJ30" i="10"/>
  <c r="BK30" i="10"/>
  <c r="BL30" i="10"/>
  <c r="BM30" i="10"/>
  <c r="BN30" i="10"/>
  <c r="BO30" i="10"/>
  <c r="BP30" i="10"/>
  <c r="BQ30" i="10"/>
  <c r="BR30" i="10"/>
  <c r="BT30" i="10"/>
  <c r="BU30" i="10"/>
  <c r="P125" i="3"/>
  <c r="BA31" i="10"/>
  <c r="BF31" i="10"/>
  <c r="BG31" i="10"/>
  <c r="BY31" i="10" s="1"/>
  <c r="BI31" i="10"/>
  <c r="BJ31" i="10"/>
  <c r="BK31" i="10"/>
  <c r="BL31" i="10"/>
  <c r="BM31" i="10"/>
  <c r="BN31" i="10"/>
  <c r="BO31" i="10"/>
  <c r="BP31" i="10"/>
  <c r="BQ31" i="10"/>
  <c r="BR31" i="10"/>
  <c r="BT31" i="10"/>
  <c r="BU31" i="10"/>
  <c r="P134" i="3"/>
  <c r="BA32" i="10"/>
  <c r="BF32" i="10"/>
  <c r="BG32" i="10"/>
  <c r="BY32" i="10" s="1"/>
  <c r="BI32" i="10"/>
  <c r="BJ32" i="10"/>
  <c r="BK32" i="10"/>
  <c r="BL32" i="10"/>
  <c r="BM32" i="10"/>
  <c r="BN32" i="10"/>
  <c r="BO32" i="10"/>
  <c r="BP32" i="10"/>
  <c r="BQ32" i="10"/>
  <c r="BR32" i="10"/>
  <c r="BT32" i="10"/>
  <c r="BU32" i="10"/>
  <c r="P176" i="3"/>
  <c r="BA33" i="10"/>
  <c r="BF33" i="10"/>
  <c r="BG33" i="10"/>
  <c r="BY33" i="10" s="1"/>
  <c r="BI33" i="10"/>
  <c r="BJ33" i="10"/>
  <c r="BK33" i="10"/>
  <c r="BL33" i="10"/>
  <c r="BM33" i="10"/>
  <c r="BN33" i="10"/>
  <c r="BO33" i="10"/>
  <c r="BP33" i="10"/>
  <c r="BQ33" i="10"/>
  <c r="BR33" i="10"/>
  <c r="BT33" i="10"/>
  <c r="BU33" i="10"/>
  <c r="P179" i="3"/>
  <c r="BA34" i="10"/>
  <c r="BF34" i="10"/>
  <c r="BG34" i="10"/>
  <c r="BY34" i="10" s="1"/>
  <c r="BI34" i="10"/>
  <c r="BJ34" i="10"/>
  <c r="BK34" i="10"/>
  <c r="BL34" i="10"/>
  <c r="BM34" i="10"/>
  <c r="BN34" i="10"/>
  <c r="BO34" i="10"/>
  <c r="BP34" i="10"/>
  <c r="BQ34" i="10"/>
  <c r="BR34" i="10"/>
  <c r="BT34" i="10"/>
  <c r="BU34" i="10"/>
  <c r="P181" i="3"/>
  <c r="BA35" i="10"/>
  <c r="BF35" i="10"/>
  <c r="BG35" i="10"/>
  <c r="BY35" i="10" s="1"/>
  <c r="BI35" i="10"/>
  <c r="BJ35" i="10"/>
  <c r="BK35" i="10"/>
  <c r="BL35" i="10"/>
  <c r="BM35" i="10"/>
  <c r="BN35" i="10"/>
  <c r="BO35" i="10"/>
  <c r="BP35" i="10"/>
  <c r="BQ35" i="10"/>
  <c r="BR35" i="10"/>
  <c r="BT35" i="10"/>
  <c r="BU35" i="10"/>
  <c r="P185" i="3"/>
  <c r="BA36" i="10"/>
  <c r="BF36" i="10"/>
  <c r="BG36" i="10"/>
  <c r="BY36" i="10" s="1"/>
  <c r="BI36" i="10"/>
  <c r="BJ36" i="10"/>
  <c r="BK36" i="10"/>
  <c r="BL36" i="10"/>
  <c r="BM36" i="10"/>
  <c r="BN36" i="10"/>
  <c r="BO36" i="10"/>
  <c r="BP36" i="10"/>
  <c r="BQ36" i="10"/>
  <c r="BR36" i="10"/>
  <c r="BT36" i="10"/>
  <c r="BU36" i="10"/>
  <c r="P234" i="3"/>
  <c r="BA37" i="10"/>
  <c r="BF37" i="10"/>
  <c r="BG37" i="10"/>
  <c r="BY37" i="10" s="1"/>
  <c r="BI37" i="10"/>
  <c r="BJ37" i="10"/>
  <c r="BK37" i="10"/>
  <c r="BL37" i="10"/>
  <c r="BM37" i="10"/>
  <c r="BN37" i="10"/>
  <c r="BO37" i="10"/>
  <c r="BP37" i="10"/>
  <c r="BQ37" i="10"/>
  <c r="BR37" i="10"/>
  <c r="BT37" i="10"/>
  <c r="BU37" i="10"/>
  <c r="P235" i="3"/>
  <c r="BS285" i="10" l="1"/>
  <c r="BS270" i="10"/>
  <c r="BS129" i="10"/>
  <c r="BS92" i="10"/>
  <c r="BS70" i="10"/>
  <c r="BS72" i="10"/>
  <c r="BW37" i="10"/>
  <c r="BH235" i="3" s="1"/>
  <c r="BW36" i="10"/>
  <c r="BH234" i="3" s="1"/>
  <c r="BW35" i="10"/>
  <c r="BH185" i="3" s="1"/>
  <c r="BW34" i="10"/>
  <c r="BH181" i="3" s="1"/>
  <c r="BW33" i="10"/>
  <c r="BH179" i="3" s="1"/>
  <c r="BW32" i="10"/>
  <c r="BH176" i="3" s="1"/>
  <c r="BW31" i="10"/>
  <c r="BH134" i="3" s="1"/>
  <c r="BW30" i="10"/>
  <c r="BH125" i="3" s="1"/>
  <c r="BW29" i="10"/>
  <c r="BH105" i="3" s="1"/>
  <c r="BW28" i="10"/>
  <c r="BH41" i="3" s="1"/>
  <c r="BW27" i="10"/>
  <c r="BH15" i="3" s="1"/>
  <c r="O107" i="17"/>
  <c r="Q107" i="17" s="1"/>
  <c r="O96" i="17"/>
  <c r="Q96" i="17" s="1"/>
  <c r="P114" i="17"/>
  <c r="Q114" i="17" s="1"/>
  <c r="O119" i="17"/>
  <c r="Q119" i="17" s="1"/>
  <c r="P103" i="17"/>
  <c r="Q103" i="17" s="1"/>
  <c r="P131" i="17"/>
  <c r="Q131" i="17" s="1"/>
  <c r="O122" i="17"/>
  <c r="Q122" i="17" s="1"/>
  <c r="P127" i="17"/>
  <c r="Q127" i="17" s="1"/>
  <c r="O123" i="17"/>
  <c r="Q123" i="17" s="1"/>
  <c r="P120" i="17"/>
  <c r="Q120" i="17" s="1"/>
  <c r="P134" i="17"/>
  <c r="Q134" i="17" s="1"/>
  <c r="P129" i="17"/>
  <c r="Q129" i="17" s="1"/>
  <c r="P99" i="17"/>
  <c r="Q99" i="17" s="1"/>
  <c r="O100" i="17"/>
  <c r="Q100" i="17" s="1"/>
  <c r="P138" i="17"/>
  <c r="Q138" i="17" s="1"/>
  <c r="P121" i="17"/>
  <c r="Q121" i="17" s="1"/>
  <c r="O115" i="17"/>
  <c r="Q115" i="17" s="1"/>
  <c r="P124" i="17"/>
  <c r="Q124" i="17" s="1"/>
  <c r="O136" i="17"/>
  <c r="Q136" i="17" s="1"/>
  <c r="O94" i="17"/>
  <c r="Q94" i="17" s="1"/>
  <c r="P117" i="17"/>
  <c r="Q117" i="17" s="1"/>
  <c r="P135" i="17"/>
  <c r="Q135" i="17" s="1"/>
  <c r="P98" i="17"/>
  <c r="Q98" i="17" s="1"/>
  <c r="P133" i="17"/>
  <c r="Q133" i="17" s="1"/>
  <c r="O112" i="17"/>
  <c r="Q112" i="17" s="1"/>
  <c r="O132" i="17"/>
  <c r="Q132" i="17" s="1"/>
  <c r="O106" i="17"/>
  <c r="Q106" i="17" s="1"/>
  <c r="O128" i="17"/>
  <c r="Q128" i="17" s="1"/>
  <c r="O113" i="17"/>
  <c r="Q113" i="17" s="1"/>
  <c r="P118" i="17"/>
  <c r="Q118" i="17" s="1"/>
  <c r="P130" i="17"/>
  <c r="Q130" i="17" s="1"/>
  <c r="P140" i="17"/>
  <c r="Q140" i="17" s="1"/>
  <c r="O105" i="17"/>
  <c r="Q105" i="17" s="1"/>
  <c r="O111" i="17"/>
  <c r="Q111" i="17" s="1"/>
  <c r="P139" i="17"/>
  <c r="Q139" i="17" s="1"/>
  <c r="P95" i="17"/>
  <c r="Q95" i="17" s="1"/>
  <c r="O125" i="17"/>
  <c r="Q125" i="17" s="1"/>
  <c r="O116" i="17"/>
  <c r="Q116" i="17" s="1"/>
  <c r="P126" i="17"/>
  <c r="Q126" i="17" s="1"/>
  <c r="P109" i="17"/>
  <c r="O109" i="17"/>
  <c r="P102" i="17"/>
  <c r="Q102" i="17" s="1"/>
  <c r="O104" i="17"/>
  <c r="Q104" i="17" s="1"/>
  <c r="O110" i="17"/>
  <c r="P110" i="17"/>
  <c r="P137" i="17"/>
  <c r="Q137" i="17" s="1"/>
  <c r="O97" i="17"/>
  <c r="P97" i="17"/>
  <c r="O101" i="17"/>
  <c r="P101" i="17"/>
  <c r="O108" i="17"/>
  <c r="P108" i="17"/>
  <c r="N82" i="17"/>
  <c r="P82" i="17" s="1"/>
  <c r="N85" i="17"/>
  <c r="P85" i="17" s="1"/>
  <c r="N77" i="17"/>
  <c r="O77" i="17" s="1"/>
  <c r="N70" i="17"/>
  <c r="O70" i="17" s="1"/>
  <c r="N65" i="17"/>
  <c r="O65" i="17" s="1"/>
  <c r="N88" i="17"/>
  <c r="P88" i="17" s="1"/>
  <c r="N71" i="17"/>
  <c r="O71" i="17" s="1"/>
  <c r="N67" i="17"/>
  <c r="P67" i="17" s="1"/>
  <c r="N91" i="17"/>
  <c r="P91" i="17" s="1"/>
  <c r="N83" i="17"/>
  <c r="P83" i="17" s="1"/>
  <c r="N72" i="17"/>
  <c r="P72" i="17" s="1"/>
  <c r="N93" i="17"/>
  <c r="O93" i="17" s="1"/>
  <c r="N90" i="17"/>
  <c r="O90" i="17" s="1"/>
  <c r="N73" i="17"/>
  <c r="O73" i="17" s="1"/>
  <c r="N78" i="17"/>
  <c r="P78" i="17" s="1"/>
  <c r="N81" i="17"/>
  <c r="O81" i="17" s="1"/>
  <c r="N75" i="17"/>
  <c r="O75" i="17" s="1"/>
  <c r="N80" i="17"/>
  <c r="P80" i="17" s="1"/>
  <c r="N92" i="17"/>
  <c r="O92" i="17" s="1"/>
  <c r="N87" i="17"/>
  <c r="O87" i="17" s="1"/>
  <c r="N84" i="17"/>
  <c r="O84" i="17" s="1"/>
  <c r="N79" i="17"/>
  <c r="P79" i="17" s="1"/>
  <c r="N74" i="17"/>
  <c r="O74" i="17" s="1"/>
  <c r="N69" i="17"/>
  <c r="O69" i="17" s="1"/>
  <c r="N76" i="17"/>
  <c r="P76" i="17" s="1"/>
  <c r="N66" i="17"/>
  <c r="O66" i="17" s="1"/>
  <c r="N89" i="17"/>
  <c r="P89" i="17" s="1"/>
  <c r="N86" i="17"/>
  <c r="O86" i="17" s="1"/>
  <c r="N68" i="17"/>
  <c r="O68" i="17" s="1"/>
  <c r="L63" i="17"/>
  <c r="M63" i="17"/>
  <c r="R63" i="17"/>
  <c r="L64" i="17"/>
  <c r="M64" i="17"/>
  <c r="R64" i="17"/>
  <c r="BA26" i="10"/>
  <c r="BF26" i="10"/>
  <c r="BG26" i="10"/>
  <c r="BY26" i="10" s="1"/>
  <c r="BI26" i="10"/>
  <c r="BJ26" i="10"/>
  <c r="BK26" i="10"/>
  <c r="BL26" i="10"/>
  <c r="BM26" i="10"/>
  <c r="BN26" i="10"/>
  <c r="BO26" i="10"/>
  <c r="BP26" i="10"/>
  <c r="BQ26" i="10"/>
  <c r="BR26" i="10"/>
  <c r="BT26" i="10"/>
  <c r="BU26" i="10"/>
  <c r="P103" i="3"/>
  <c r="BS283" i="10" l="1"/>
  <c r="BS261" i="10"/>
  <c r="BS237" i="10"/>
  <c r="BS125" i="10"/>
  <c r="BS91" i="10"/>
  <c r="BW26" i="10"/>
  <c r="BH103" i="3" s="1"/>
  <c r="BS52" i="10"/>
  <c r="BS50" i="10"/>
  <c r="BS49" i="10"/>
  <c r="BS47" i="10"/>
  <c r="BS45" i="10"/>
  <c r="BS42" i="10"/>
  <c r="BS38" i="10"/>
  <c r="BS40" i="10"/>
  <c r="Q110" i="17"/>
  <c r="Q101" i="17"/>
  <c r="BS41" i="10" s="1"/>
  <c r="Q97" i="17"/>
  <c r="BS39" i="10" s="1"/>
  <c r="BS48" i="10"/>
  <c r="Q109" i="17"/>
  <c r="Q108" i="17"/>
  <c r="BS51" i="10"/>
  <c r="O82" i="17"/>
  <c r="Q82" i="17" s="1"/>
  <c r="O85" i="17"/>
  <c r="Q85" i="17" s="1"/>
  <c r="O67" i="17"/>
  <c r="Q67" i="17" s="1"/>
  <c r="P77" i="17"/>
  <c r="Q77" i="17" s="1"/>
  <c r="P70" i="17"/>
  <c r="Q70" i="17" s="1"/>
  <c r="O88" i="17"/>
  <c r="Q88" i="17" s="1"/>
  <c r="P73" i="17"/>
  <c r="Q73" i="17" s="1"/>
  <c r="O91" i="17"/>
  <c r="Q91" i="17" s="1"/>
  <c r="P68" i="17"/>
  <c r="Q68" i="17" s="1"/>
  <c r="O83" i="17"/>
  <c r="Q83" i="17" s="1"/>
  <c r="P65" i="17"/>
  <c r="Q65" i="17" s="1"/>
  <c r="P92" i="17"/>
  <c r="Q92" i="17" s="1"/>
  <c r="O72" i="17"/>
  <c r="Q72" i="17" s="1"/>
  <c r="P66" i="17"/>
  <c r="Q66" i="17" s="1"/>
  <c r="O76" i="17"/>
  <c r="Q76" i="17" s="1"/>
  <c r="P71" i="17"/>
  <c r="Q71" i="17" s="1"/>
  <c r="O89" i="17"/>
  <c r="Q89" i="17" s="1"/>
  <c r="P81" i="17"/>
  <c r="Q81" i="17" s="1"/>
  <c r="P84" i="17"/>
  <c r="Q84" i="17" s="1"/>
  <c r="P93" i="17"/>
  <c r="Q93" i="17" s="1"/>
  <c r="P87" i="17"/>
  <c r="Q87" i="17" s="1"/>
  <c r="O78" i="17"/>
  <c r="Q78" i="17" s="1"/>
  <c r="P75" i="17"/>
  <c r="Q75" i="17" s="1"/>
  <c r="P90" i="17"/>
  <c r="Q90" i="17" s="1"/>
  <c r="P74" i="17"/>
  <c r="Q74" i="17" s="1"/>
  <c r="P69" i="17"/>
  <c r="Q69" i="17" s="1"/>
  <c r="O79" i="17"/>
  <c r="Q79" i="17" s="1"/>
  <c r="P86" i="17"/>
  <c r="Q86" i="17" s="1"/>
  <c r="O80" i="17"/>
  <c r="Q80" i="17" s="1"/>
  <c r="N63" i="17"/>
  <c r="P63" i="17" s="1"/>
  <c r="N64" i="17"/>
  <c r="O64" i="17" s="1"/>
  <c r="L56" i="17"/>
  <c r="M56" i="17"/>
  <c r="R56" i="17"/>
  <c r="L57" i="17"/>
  <c r="M57" i="17"/>
  <c r="R57" i="17"/>
  <c r="L58" i="17"/>
  <c r="M58" i="17"/>
  <c r="R58" i="17"/>
  <c r="L59" i="17"/>
  <c r="M59" i="17"/>
  <c r="R59" i="17"/>
  <c r="L60" i="17"/>
  <c r="M60" i="17"/>
  <c r="R60" i="17"/>
  <c r="L61" i="17"/>
  <c r="M61" i="17"/>
  <c r="R61" i="17"/>
  <c r="L62" i="17"/>
  <c r="M62" i="17"/>
  <c r="R62" i="17"/>
  <c r="BA23" i="10"/>
  <c r="BF23" i="10"/>
  <c r="BG23" i="10"/>
  <c r="BY23" i="10" s="1"/>
  <c r="BI23" i="10"/>
  <c r="BJ23" i="10"/>
  <c r="BK23" i="10"/>
  <c r="BL23" i="10"/>
  <c r="BM23" i="10"/>
  <c r="BN23" i="10"/>
  <c r="BO23" i="10"/>
  <c r="BP23" i="10"/>
  <c r="BQ23" i="10"/>
  <c r="BR23" i="10"/>
  <c r="BT23" i="10"/>
  <c r="BU23" i="10"/>
  <c r="P51" i="3"/>
  <c r="BA24" i="10"/>
  <c r="BF24" i="10"/>
  <c r="BG24" i="10"/>
  <c r="BY24" i="10" s="1"/>
  <c r="BI24" i="10"/>
  <c r="BJ24" i="10"/>
  <c r="BK24" i="10"/>
  <c r="BL24" i="10"/>
  <c r="BM24" i="10"/>
  <c r="BN24" i="10"/>
  <c r="BO24" i="10"/>
  <c r="BP24" i="10"/>
  <c r="BQ24" i="10"/>
  <c r="BR24" i="10"/>
  <c r="BT24" i="10"/>
  <c r="BU24" i="10"/>
  <c r="P126" i="3"/>
  <c r="BA25" i="10"/>
  <c r="BF25" i="10"/>
  <c r="BG25" i="10"/>
  <c r="BY25" i="10" s="1"/>
  <c r="BI25" i="10"/>
  <c r="BJ25" i="10"/>
  <c r="BK25" i="10"/>
  <c r="BL25" i="10"/>
  <c r="BM25" i="10"/>
  <c r="BN25" i="10"/>
  <c r="BO25" i="10"/>
  <c r="BP25" i="10"/>
  <c r="BQ25" i="10"/>
  <c r="BR25" i="10"/>
  <c r="BT25" i="10"/>
  <c r="BU25" i="10"/>
  <c r="P286" i="3"/>
  <c r="BS128" i="10" l="1"/>
  <c r="BS64" i="10"/>
  <c r="BW25" i="10"/>
  <c r="BH286" i="3" s="1"/>
  <c r="BW24" i="10"/>
  <c r="BH126" i="3" s="1"/>
  <c r="BW23" i="10"/>
  <c r="BH51" i="3" s="1"/>
  <c r="BS44" i="10"/>
  <c r="BS43" i="10"/>
  <c r="BS31" i="10"/>
  <c r="BS32" i="10"/>
  <c r="BS37" i="10"/>
  <c r="BS36" i="10"/>
  <c r="BS35" i="10"/>
  <c r="BS34" i="10"/>
  <c r="BS33" i="10"/>
  <c r="BS30" i="10"/>
  <c r="BS29" i="10"/>
  <c r="BS28" i="10"/>
  <c r="BS27" i="10"/>
  <c r="O63" i="17"/>
  <c r="Q63" i="17" s="1"/>
  <c r="P64" i="17"/>
  <c r="Q64" i="17" s="1"/>
  <c r="N57" i="17"/>
  <c r="O57" i="17" s="1"/>
  <c r="N56" i="17"/>
  <c r="O56" i="17" s="1"/>
  <c r="N61" i="17"/>
  <c r="P61" i="17" s="1"/>
  <c r="N58" i="17"/>
  <c r="O58" i="17" s="1"/>
  <c r="N62" i="17"/>
  <c r="P62" i="17" s="1"/>
  <c r="N60" i="17"/>
  <c r="P60" i="17" s="1"/>
  <c r="N59" i="17"/>
  <c r="O59" i="17" s="1"/>
  <c r="L31" i="17"/>
  <c r="M31" i="17"/>
  <c r="R31" i="17"/>
  <c r="L32" i="17"/>
  <c r="M32" i="17"/>
  <c r="R32" i="17"/>
  <c r="L33" i="17"/>
  <c r="M33" i="17"/>
  <c r="R33" i="17"/>
  <c r="L34" i="17"/>
  <c r="M34" i="17"/>
  <c r="R34" i="17"/>
  <c r="L35" i="17"/>
  <c r="M35" i="17"/>
  <c r="R35" i="17"/>
  <c r="L36" i="17"/>
  <c r="M36" i="17"/>
  <c r="R36" i="17"/>
  <c r="L37" i="17"/>
  <c r="M37" i="17"/>
  <c r="R37" i="17"/>
  <c r="L38" i="17"/>
  <c r="M38" i="17"/>
  <c r="R38" i="17"/>
  <c r="L39" i="17"/>
  <c r="M39" i="17"/>
  <c r="R39" i="17"/>
  <c r="L40" i="17"/>
  <c r="M40" i="17"/>
  <c r="R40" i="17"/>
  <c r="L41" i="17"/>
  <c r="M41" i="17"/>
  <c r="R41" i="17"/>
  <c r="L42" i="17"/>
  <c r="M42" i="17"/>
  <c r="R42" i="17"/>
  <c r="L43" i="17"/>
  <c r="M43" i="17"/>
  <c r="R43" i="17"/>
  <c r="L44" i="17"/>
  <c r="M44" i="17"/>
  <c r="R44" i="17"/>
  <c r="L45" i="17"/>
  <c r="M45" i="17"/>
  <c r="R45" i="17"/>
  <c r="L46" i="17"/>
  <c r="M46" i="17"/>
  <c r="R46" i="17"/>
  <c r="L47" i="17"/>
  <c r="M47" i="17"/>
  <c r="R47" i="17"/>
  <c r="L48" i="17"/>
  <c r="M48" i="17"/>
  <c r="R48" i="17"/>
  <c r="L49" i="17"/>
  <c r="M49" i="17"/>
  <c r="R49" i="17"/>
  <c r="L50" i="17"/>
  <c r="M50" i="17"/>
  <c r="R50" i="17"/>
  <c r="L51" i="17"/>
  <c r="M51" i="17"/>
  <c r="R51" i="17"/>
  <c r="L52" i="17"/>
  <c r="M52" i="17"/>
  <c r="R52" i="17"/>
  <c r="L53" i="17"/>
  <c r="M53" i="17"/>
  <c r="R53" i="17"/>
  <c r="L54" i="17"/>
  <c r="M54" i="17"/>
  <c r="R54" i="17"/>
  <c r="L55" i="17"/>
  <c r="M55" i="17"/>
  <c r="R55" i="17"/>
  <c r="BA15" i="10"/>
  <c r="BF15" i="10"/>
  <c r="BG15" i="10"/>
  <c r="BY15" i="10" s="1"/>
  <c r="BI15" i="10"/>
  <c r="BJ15" i="10"/>
  <c r="BK15" i="10"/>
  <c r="BL15" i="10"/>
  <c r="BM15" i="10"/>
  <c r="BN15" i="10"/>
  <c r="BO15" i="10"/>
  <c r="BP15" i="10"/>
  <c r="BQ15" i="10"/>
  <c r="BR15" i="10"/>
  <c r="BT15" i="10"/>
  <c r="BU15" i="10"/>
  <c r="P26" i="3"/>
  <c r="BA16" i="10"/>
  <c r="BF16" i="10"/>
  <c r="BG16" i="10"/>
  <c r="BY16" i="10" s="1"/>
  <c r="BI16" i="10"/>
  <c r="BJ16" i="10"/>
  <c r="BK16" i="10"/>
  <c r="BL16" i="10"/>
  <c r="BM16" i="10"/>
  <c r="BN16" i="10"/>
  <c r="BO16" i="10"/>
  <c r="BP16" i="10"/>
  <c r="BQ16" i="10"/>
  <c r="BR16" i="10"/>
  <c r="BT16" i="10"/>
  <c r="BU16" i="10"/>
  <c r="P52" i="3"/>
  <c r="BA17" i="10"/>
  <c r="BF17" i="10"/>
  <c r="BG17" i="10"/>
  <c r="BY17" i="10" s="1"/>
  <c r="BI17" i="10"/>
  <c r="BJ17" i="10"/>
  <c r="BK17" i="10"/>
  <c r="BL17" i="10"/>
  <c r="BM17" i="10"/>
  <c r="BN17" i="10"/>
  <c r="BO17" i="10"/>
  <c r="BP17" i="10"/>
  <c r="BQ17" i="10"/>
  <c r="BR17" i="10"/>
  <c r="BT17" i="10"/>
  <c r="BU17" i="10"/>
  <c r="P94" i="3"/>
  <c r="BA18" i="10"/>
  <c r="BF18" i="10"/>
  <c r="BG18" i="10"/>
  <c r="BY18" i="10" s="1"/>
  <c r="BI18" i="10"/>
  <c r="BJ18" i="10"/>
  <c r="BK18" i="10"/>
  <c r="BL18" i="10"/>
  <c r="BM18" i="10"/>
  <c r="BN18" i="10"/>
  <c r="BO18" i="10"/>
  <c r="BP18" i="10"/>
  <c r="BQ18" i="10"/>
  <c r="BR18" i="10"/>
  <c r="BT18" i="10"/>
  <c r="BU18" i="10"/>
  <c r="P97" i="3"/>
  <c r="BA19" i="10"/>
  <c r="BF19" i="10"/>
  <c r="BG19" i="10"/>
  <c r="BY19" i="10" s="1"/>
  <c r="BI19" i="10"/>
  <c r="BJ19" i="10"/>
  <c r="BK19" i="10"/>
  <c r="BL19" i="10"/>
  <c r="BM19" i="10"/>
  <c r="BN19" i="10"/>
  <c r="BO19" i="10"/>
  <c r="BP19" i="10"/>
  <c r="BQ19" i="10"/>
  <c r="BR19" i="10"/>
  <c r="BT19" i="10"/>
  <c r="BU19" i="10"/>
  <c r="P124" i="3"/>
  <c r="P152" i="3"/>
  <c r="BA20" i="10"/>
  <c r="BF20" i="10"/>
  <c r="BG20" i="10"/>
  <c r="BY20" i="10" s="1"/>
  <c r="BI20" i="10"/>
  <c r="BJ20" i="10"/>
  <c r="BK20" i="10"/>
  <c r="BL20" i="10"/>
  <c r="BM20" i="10"/>
  <c r="BN20" i="10"/>
  <c r="BO20" i="10"/>
  <c r="BP20" i="10"/>
  <c r="BQ20" i="10"/>
  <c r="BR20" i="10"/>
  <c r="BT20" i="10"/>
  <c r="BU20" i="10"/>
  <c r="P187" i="3"/>
  <c r="BA21" i="10"/>
  <c r="BF21" i="10"/>
  <c r="BG21" i="10"/>
  <c r="BY21" i="10" s="1"/>
  <c r="BI21" i="10"/>
  <c r="BJ21" i="10"/>
  <c r="BK21" i="10"/>
  <c r="BL21" i="10"/>
  <c r="BM21" i="10"/>
  <c r="BN21" i="10"/>
  <c r="BO21" i="10"/>
  <c r="BP21" i="10"/>
  <c r="BQ21" i="10"/>
  <c r="BR21" i="10"/>
  <c r="BT21" i="10"/>
  <c r="BU21" i="10"/>
  <c r="P240" i="3"/>
  <c r="BA22" i="10"/>
  <c r="BF22" i="10"/>
  <c r="BG22" i="10"/>
  <c r="BY22" i="10" s="1"/>
  <c r="BI22" i="10"/>
  <c r="BJ22" i="10"/>
  <c r="BK22" i="10"/>
  <c r="BL22" i="10"/>
  <c r="BM22" i="10"/>
  <c r="BN22" i="10"/>
  <c r="BO22" i="10"/>
  <c r="BP22" i="10"/>
  <c r="BQ22" i="10"/>
  <c r="BR22" i="10"/>
  <c r="BT22" i="10"/>
  <c r="BU22" i="10"/>
  <c r="P243" i="3"/>
  <c r="BW19" i="10" l="1"/>
  <c r="BH124" i="3" s="1"/>
  <c r="BW18" i="10"/>
  <c r="BH97" i="3" s="1"/>
  <c r="BW17" i="10"/>
  <c r="BH94" i="3" s="1"/>
  <c r="BW16" i="10"/>
  <c r="BH52" i="3" s="1"/>
  <c r="BW15" i="10"/>
  <c r="BH26" i="3" s="1"/>
  <c r="BW22" i="10"/>
  <c r="BH243" i="3" s="1"/>
  <c r="BW21" i="10"/>
  <c r="BH240" i="3" s="1"/>
  <c r="BW20" i="10"/>
  <c r="BH187" i="3" s="1"/>
  <c r="BS26" i="10"/>
  <c r="P57" i="17"/>
  <c r="Q57" i="17" s="1"/>
  <c r="O61" i="17"/>
  <c r="Q61" i="17" s="1"/>
  <c r="O62" i="17"/>
  <c r="Q62" i="17" s="1"/>
  <c r="P56" i="17"/>
  <c r="Q56" i="17" s="1"/>
  <c r="O60" i="17"/>
  <c r="Q60" i="17" s="1"/>
  <c r="P58" i="17"/>
  <c r="Q58" i="17" s="1"/>
  <c r="P59" i="17"/>
  <c r="Q59" i="17" s="1"/>
  <c r="N32" i="17"/>
  <c r="O32" i="17" s="1"/>
  <c r="N37" i="17"/>
  <c r="P37" i="17" s="1"/>
  <c r="N43" i="17"/>
  <c r="P43" i="17" s="1"/>
  <c r="N34" i="17"/>
  <c r="O34" i="17" s="1"/>
  <c r="N45" i="17"/>
  <c r="O45" i="17" s="1"/>
  <c r="N49" i="17"/>
  <c r="O49" i="17" s="1"/>
  <c r="N48" i="17"/>
  <c r="P48" i="17" s="1"/>
  <c r="N35" i="17"/>
  <c r="O35" i="17" s="1"/>
  <c r="N54" i="17"/>
  <c r="P54" i="17" s="1"/>
  <c r="N51" i="17"/>
  <c r="P51" i="17" s="1"/>
  <c r="N50" i="17"/>
  <c r="P50" i="17" s="1"/>
  <c r="N47" i="17"/>
  <c r="O47" i="17" s="1"/>
  <c r="N46" i="17"/>
  <c r="O46" i="17" s="1"/>
  <c r="N40" i="17"/>
  <c r="O40" i="17" s="1"/>
  <c r="N52" i="17"/>
  <c r="O52" i="17" s="1"/>
  <c r="N53" i="17"/>
  <c r="P53" i="17" s="1"/>
  <c r="N44" i="17"/>
  <c r="O44" i="17" s="1"/>
  <c r="N41" i="17"/>
  <c r="O41" i="17" s="1"/>
  <c r="N31" i="17"/>
  <c r="O31" i="17" s="1"/>
  <c r="N38" i="17"/>
  <c r="P38" i="17" s="1"/>
  <c r="N33" i="17"/>
  <c r="O33" i="17" s="1"/>
  <c r="N55" i="17"/>
  <c r="O55" i="17" s="1"/>
  <c r="N42" i="17"/>
  <c r="O42" i="17" s="1"/>
  <c r="N39" i="17"/>
  <c r="P39" i="17" s="1"/>
  <c r="N36" i="17"/>
  <c r="O36" i="17" s="1"/>
  <c r="BS25" i="10" l="1"/>
  <c r="BS24" i="10"/>
  <c r="BS23" i="10"/>
  <c r="O48" i="17"/>
  <c r="Q48" i="17" s="1"/>
  <c r="P32" i="17"/>
  <c r="Q32" i="17" s="1"/>
  <c r="O43" i="17"/>
  <c r="Q43" i="17" s="1"/>
  <c r="O37" i="17"/>
  <c r="Q37" i="17" s="1"/>
  <c r="P34" i="17"/>
  <c r="Q34" i="17" s="1"/>
  <c r="P46" i="17"/>
  <c r="Q46" i="17" s="1"/>
  <c r="P45" i="17"/>
  <c r="Q45" i="17" s="1"/>
  <c r="P49" i="17"/>
  <c r="Q49" i="17" s="1"/>
  <c r="P31" i="17"/>
  <c r="Q31" i="17" s="1"/>
  <c r="O50" i="17"/>
  <c r="Q50" i="17" s="1"/>
  <c r="P52" i="17"/>
  <c r="Q52" i="17" s="1"/>
  <c r="P55" i="17"/>
  <c r="Q55" i="17" s="1"/>
  <c r="P35" i="17"/>
  <c r="Q35" i="17" s="1"/>
  <c r="P41" i="17"/>
  <c r="Q41" i="17" s="1"/>
  <c r="O54" i="17"/>
  <c r="Q54" i="17" s="1"/>
  <c r="P36" i="17"/>
  <c r="Q36" i="17" s="1"/>
  <c r="O53" i="17"/>
  <c r="Q53" i="17" s="1"/>
  <c r="O39" i="17"/>
  <c r="Q39" i="17" s="1"/>
  <c r="P47" i="17"/>
  <c r="Q47" i="17" s="1"/>
  <c r="P40" i="17"/>
  <c r="Q40" i="17" s="1"/>
  <c r="O51" i="17"/>
  <c r="Q51" i="17" s="1"/>
  <c r="P44" i="17"/>
  <c r="Q44" i="17" s="1"/>
  <c r="O38" i="17"/>
  <c r="Q38" i="17" s="1"/>
  <c r="P42" i="17"/>
  <c r="Q42" i="17" s="1"/>
  <c r="P33" i="17"/>
  <c r="Q33" i="17" s="1"/>
  <c r="D7" i="24"/>
  <c r="BS46" i="10" l="1"/>
  <c r="BS22" i="10"/>
  <c r="BS19" i="10"/>
  <c r="BS18" i="10"/>
  <c r="BS20" i="10"/>
  <c r="BS21" i="10"/>
  <c r="BS16" i="10"/>
  <c r="BS17" i="10"/>
  <c r="BS15" i="10"/>
  <c r="BA8" i="10" l="1"/>
  <c r="BF8" i="10"/>
  <c r="BG8" i="10"/>
  <c r="BY8" i="10" s="1"/>
  <c r="BI8" i="10"/>
  <c r="BJ8" i="10"/>
  <c r="BK8" i="10"/>
  <c r="BL8" i="10"/>
  <c r="BM8" i="10"/>
  <c r="BN8" i="10"/>
  <c r="BO8" i="10"/>
  <c r="BP8" i="10"/>
  <c r="BQ8" i="10"/>
  <c r="BR8" i="10"/>
  <c r="BT8" i="10"/>
  <c r="BU8" i="10"/>
  <c r="P67" i="3"/>
  <c r="BA9" i="10"/>
  <c r="BF9" i="10"/>
  <c r="BG9" i="10"/>
  <c r="BY9" i="10" s="1"/>
  <c r="BI9" i="10"/>
  <c r="BJ9" i="10"/>
  <c r="BK9" i="10"/>
  <c r="BL9" i="10"/>
  <c r="BM9" i="10"/>
  <c r="BN9" i="10"/>
  <c r="BO9" i="10"/>
  <c r="BP9" i="10"/>
  <c r="BQ9" i="10"/>
  <c r="BR9" i="10"/>
  <c r="BT9" i="10"/>
  <c r="BU9" i="10"/>
  <c r="P104" i="3"/>
  <c r="BA10" i="10"/>
  <c r="BF10" i="10"/>
  <c r="BG10" i="10"/>
  <c r="BY10" i="10" s="1"/>
  <c r="BI10" i="10"/>
  <c r="BJ10" i="10"/>
  <c r="BK10" i="10"/>
  <c r="BL10" i="10"/>
  <c r="BM10" i="10"/>
  <c r="BN10" i="10"/>
  <c r="BO10" i="10"/>
  <c r="BP10" i="10"/>
  <c r="BQ10" i="10"/>
  <c r="BR10" i="10"/>
  <c r="BT10" i="10"/>
  <c r="BU10" i="10"/>
  <c r="P106" i="3"/>
  <c r="BA11" i="10"/>
  <c r="BF11" i="10"/>
  <c r="BG11" i="10"/>
  <c r="BY11" i="10" s="1"/>
  <c r="BI11" i="10"/>
  <c r="BJ11" i="10"/>
  <c r="BK11" i="10"/>
  <c r="BL11" i="10"/>
  <c r="BM11" i="10"/>
  <c r="BN11" i="10"/>
  <c r="BO11" i="10"/>
  <c r="BP11" i="10"/>
  <c r="BQ11" i="10"/>
  <c r="BR11" i="10"/>
  <c r="BT11" i="10"/>
  <c r="BU11" i="10"/>
  <c r="P123" i="3"/>
  <c r="BA12" i="10"/>
  <c r="BF12" i="10"/>
  <c r="BG12" i="10"/>
  <c r="BY12" i="10" s="1"/>
  <c r="BI12" i="10"/>
  <c r="BJ12" i="10"/>
  <c r="BK12" i="10"/>
  <c r="BL12" i="10"/>
  <c r="BM12" i="10"/>
  <c r="BN12" i="10"/>
  <c r="BO12" i="10"/>
  <c r="BP12" i="10"/>
  <c r="BQ12" i="10"/>
  <c r="BR12" i="10"/>
  <c r="BT12" i="10"/>
  <c r="BU12" i="10"/>
  <c r="P127" i="3"/>
  <c r="P139" i="3"/>
  <c r="P169" i="3"/>
  <c r="BA13" i="10"/>
  <c r="BF13" i="10"/>
  <c r="BG13" i="10"/>
  <c r="BY13" i="10" s="1"/>
  <c r="BI13" i="10"/>
  <c r="BJ13" i="10"/>
  <c r="BK13" i="10"/>
  <c r="BL13" i="10"/>
  <c r="BM13" i="10"/>
  <c r="BN13" i="10"/>
  <c r="BO13" i="10"/>
  <c r="BP13" i="10"/>
  <c r="BQ13" i="10"/>
  <c r="BR13" i="10"/>
  <c r="BT13" i="10"/>
  <c r="BU13" i="10"/>
  <c r="P209" i="3"/>
  <c r="BA14" i="10"/>
  <c r="BF14" i="10"/>
  <c r="BG14" i="10"/>
  <c r="BY14" i="10" s="1"/>
  <c r="BI14" i="10"/>
  <c r="BJ14" i="10"/>
  <c r="BK14" i="10"/>
  <c r="BL14" i="10"/>
  <c r="BM14" i="10"/>
  <c r="BN14" i="10"/>
  <c r="BO14" i="10"/>
  <c r="BP14" i="10"/>
  <c r="BQ14" i="10"/>
  <c r="BR14" i="10"/>
  <c r="BT14" i="10"/>
  <c r="BU14" i="10"/>
  <c r="P275" i="3"/>
  <c r="P290" i="3"/>
  <c r="BH169" i="3" l="1"/>
  <c r="BW12" i="10"/>
  <c r="BH127" i="3" s="1"/>
  <c r="BW11" i="10"/>
  <c r="BH123" i="3" s="1"/>
  <c r="BW10" i="10"/>
  <c r="BH106" i="3" s="1"/>
  <c r="BW9" i="10"/>
  <c r="BH104" i="3" s="1"/>
  <c r="BW8" i="10"/>
  <c r="BH67" i="3" s="1"/>
  <c r="BW14" i="10"/>
  <c r="BH275" i="3" s="1"/>
  <c r="BW13" i="10"/>
  <c r="BH209" i="3" s="1"/>
  <c r="BH139" i="3"/>
  <c r="L15" i="17"/>
  <c r="M15" i="17"/>
  <c r="R15" i="17"/>
  <c r="L16" i="17"/>
  <c r="M16" i="17"/>
  <c r="R16" i="17"/>
  <c r="L17" i="17"/>
  <c r="M17" i="17"/>
  <c r="R17" i="17"/>
  <c r="L18" i="17"/>
  <c r="M18" i="17"/>
  <c r="R18" i="17"/>
  <c r="L19" i="17"/>
  <c r="M19" i="17"/>
  <c r="R19" i="17"/>
  <c r="L20" i="17"/>
  <c r="M20" i="17"/>
  <c r="R20" i="17"/>
  <c r="L21" i="17"/>
  <c r="M21" i="17"/>
  <c r="R21" i="17"/>
  <c r="L22" i="17"/>
  <c r="M22" i="17"/>
  <c r="R22" i="17"/>
  <c r="L23" i="17"/>
  <c r="M23" i="17"/>
  <c r="R23" i="17"/>
  <c r="L24" i="17"/>
  <c r="M24" i="17"/>
  <c r="R24" i="17"/>
  <c r="L25" i="17"/>
  <c r="M25" i="17"/>
  <c r="R25" i="17"/>
  <c r="L26" i="17"/>
  <c r="M26" i="17"/>
  <c r="R26" i="17"/>
  <c r="L27" i="17"/>
  <c r="M27" i="17"/>
  <c r="R27" i="17"/>
  <c r="L28" i="17"/>
  <c r="M28" i="17"/>
  <c r="R28" i="17"/>
  <c r="L29" i="17"/>
  <c r="M29" i="17"/>
  <c r="R29" i="17"/>
  <c r="L30" i="17"/>
  <c r="M30" i="17"/>
  <c r="R30" i="17"/>
  <c r="N24" i="17" l="1"/>
  <c r="O24" i="17" s="1"/>
  <c r="N16" i="17"/>
  <c r="O16" i="17" s="1"/>
  <c r="N28" i="17"/>
  <c r="O28" i="17" s="1"/>
  <c r="N20" i="17"/>
  <c r="O20" i="17" s="1"/>
  <c r="N26" i="17"/>
  <c r="P26" i="17" s="1"/>
  <c r="N25" i="17"/>
  <c r="P25" i="17" s="1"/>
  <c r="N23" i="17"/>
  <c r="O23" i="17" s="1"/>
  <c r="N19" i="17"/>
  <c r="O19" i="17" s="1"/>
  <c r="N27" i="17"/>
  <c r="O27" i="17" s="1"/>
  <c r="N15" i="17"/>
  <c r="O15" i="17" s="1"/>
  <c r="N29" i="17"/>
  <c r="P29" i="17" s="1"/>
  <c r="N22" i="17"/>
  <c r="O22" i="17" s="1"/>
  <c r="N17" i="17"/>
  <c r="O17" i="17" s="1"/>
  <c r="N30" i="17"/>
  <c r="O30" i="17" s="1"/>
  <c r="N21" i="17"/>
  <c r="P21" i="17" s="1"/>
  <c r="N18" i="17"/>
  <c r="P18" i="17" s="1"/>
  <c r="BU5" i="10"/>
  <c r="BI4" i="10"/>
  <c r="BU6" i="10"/>
  <c r="BU7" i="10"/>
  <c r="BU4" i="10"/>
  <c r="BT5" i="10"/>
  <c r="BT6" i="10"/>
  <c r="BT7" i="10"/>
  <c r="BT4" i="10"/>
  <c r="BA5" i="10"/>
  <c r="BF5" i="10"/>
  <c r="BG5" i="10"/>
  <c r="BY5" i="10" s="1"/>
  <c r="BI5" i="10"/>
  <c r="BJ5" i="10"/>
  <c r="BK5" i="10"/>
  <c r="BL5" i="10"/>
  <c r="BM5" i="10"/>
  <c r="BN5" i="10"/>
  <c r="BO5" i="10"/>
  <c r="BP5" i="10"/>
  <c r="BQ5" i="10"/>
  <c r="BR5" i="10"/>
  <c r="BA6" i="10"/>
  <c r="BF6" i="10"/>
  <c r="BG6" i="10"/>
  <c r="BY6" i="10" s="1"/>
  <c r="BI6" i="10"/>
  <c r="BJ6" i="10"/>
  <c r="BK6" i="10"/>
  <c r="BL6" i="10"/>
  <c r="BM6" i="10"/>
  <c r="BN6" i="10"/>
  <c r="BO6" i="10"/>
  <c r="BP6" i="10"/>
  <c r="BQ6" i="10"/>
  <c r="BR6" i="10"/>
  <c r="P80" i="3"/>
  <c r="BA7" i="10"/>
  <c r="BF7" i="10"/>
  <c r="BG7" i="10"/>
  <c r="BY7" i="10" s="1"/>
  <c r="BI7" i="10"/>
  <c r="BJ7" i="10"/>
  <c r="BK7" i="10"/>
  <c r="BL7" i="10"/>
  <c r="BM7" i="10"/>
  <c r="BN7" i="10"/>
  <c r="BO7" i="10"/>
  <c r="BP7" i="10"/>
  <c r="BQ7" i="10"/>
  <c r="BR7" i="10"/>
  <c r="P260" i="3"/>
  <c r="P5" i="3" l="1"/>
  <c r="BW7" i="10"/>
  <c r="BH260" i="3" s="1"/>
  <c r="BW4" i="10"/>
  <c r="BW6" i="10"/>
  <c r="BH80" i="3" s="1"/>
  <c r="BW5" i="10"/>
  <c r="BH5" i="3" s="1"/>
  <c r="O18" i="17"/>
  <c r="Q18" i="17" s="1"/>
  <c r="O21" i="17"/>
  <c r="Q21" i="17" s="1"/>
  <c r="P19" i="17"/>
  <c r="Q19" i="17" s="1"/>
  <c r="P23" i="17"/>
  <c r="Q23" i="17" s="1"/>
  <c r="O26" i="17"/>
  <c r="Q26" i="17" s="1"/>
  <c r="P20" i="17"/>
  <c r="Q20" i="17" s="1"/>
  <c r="P24" i="17"/>
  <c r="Q24" i="17" s="1"/>
  <c r="P17" i="17"/>
  <c r="Q17" i="17" s="1"/>
  <c r="P28" i="17"/>
  <c r="Q28" i="17" s="1"/>
  <c r="P16" i="17"/>
  <c r="Q16" i="17" s="1"/>
  <c r="O25" i="17"/>
  <c r="Q25" i="17" s="1"/>
  <c r="BS241" i="10"/>
  <c r="P27" i="17"/>
  <c r="Q27" i="17" s="1"/>
  <c r="O29" i="17"/>
  <c r="Q29" i="17" s="1"/>
  <c r="P30" i="17"/>
  <c r="Q30" i="17" s="1"/>
  <c r="P22" i="17"/>
  <c r="Q22" i="17" s="1"/>
  <c r="P15" i="17"/>
  <c r="Q15" i="17" s="1"/>
  <c r="BS65" i="10" l="1"/>
  <c r="BS12" i="10"/>
  <c r="BS9" i="10"/>
  <c r="BS8" i="10"/>
  <c r="BS13" i="10"/>
  <c r="BS10" i="10"/>
  <c r="BS14" i="10"/>
  <c r="BS11" i="10"/>
  <c r="L13" i="17"/>
  <c r="M13" i="17"/>
  <c r="R13" i="17"/>
  <c r="L14" i="17"/>
  <c r="M14" i="17"/>
  <c r="R14" i="17"/>
  <c r="N13" i="17" l="1"/>
  <c r="P13" i="17" s="1"/>
  <c r="N14" i="17"/>
  <c r="P14" i="17" s="1"/>
  <c r="O13" i="17" l="1"/>
  <c r="Q13" i="17" s="1"/>
  <c r="O14" i="17"/>
  <c r="Q14" i="17" s="1"/>
  <c r="L10" i="17"/>
  <c r="M10" i="17"/>
  <c r="R10" i="17"/>
  <c r="L11" i="17"/>
  <c r="M11" i="17"/>
  <c r="R11" i="17"/>
  <c r="L12" i="17"/>
  <c r="M12" i="17"/>
  <c r="R12" i="17"/>
  <c r="BS7" i="10" l="1"/>
  <c r="N11" i="17"/>
  <c r="O11" i="17" s="1"/>
  <c r="N10" i="17"/>
  <c r="P10" i="17" s="1"/>
  <c r="N12" i="17"/>
  <c r="O12" i="17" s="1"/>
  <c r="L7" i="17"/>
  <c r="M7" i="17"/>
  <c r="R7" i="17"/>
  <c r="L8" i="17"/>
  <c r="M8" i="17"/>
  <c r="R8" i="17"/>
  <c r="L9" i="17"/>
  <c r="M9" i="17"/>
  <c r="R9" i="17"/>
  <c r="O10" i="17" l="1"/>
  <c r="Q10" i="17" s="1"/>
  <c r="P11" i="17"/>
  <c r="Q11" i="17" s="1"/>
  <c r="P12" i="17"/>
  <c r="Q12" i="17" s="1"/>
  <c r="N8" i="17"/>
  <c r="O8" i="17" s="1"/>
  <c r="N7" i="17"/>
  <c r="O7" i="17" s="1"/>
  <c r="N9" i="17"/>
  <c r="P9" i="17" s="1"/>
  <c r="I1346" i="15"/>
  <c r="F1346" i="15"/>
  <c r="I1345" i="15"/>
  <c r="F1345" i="15"/>
  <c r="I1344" i="15"/>
  <c r="F1344" i="15"/>
  <c r="I1343" i="15"/>
  <c r="F1343" i="15"/>
  <c r="I1342" i="15"/>
  <c r="F1342" i="15"/>
  <c r="I1341" i="15"/>
  <c r="F1341" i="15"/>
  <c r="I1340" i="15"/>
  <c r="F1340" i="15"/>
  <c r="I1339" i="15"/>
  <c r="F1339" i="15"/>
  <c r="I1338" i="15"/>
  <c r="F1338" i="15"/>
  <c r="I1337" i="15"/>
  <c r="F1337" i="15"/>
  <c r="I1336" i="15"/>
  <c r="F1336" i="15"/>
  <c r="I1335" i="15"/>
  <c r="F1335" i="15"/>
  <c r="I1334" i="15"/>
  <c r="F1334" i="15"/>
  <c r="I1333" i="15"/>
  <c r="F1333" i="15"/>
  <c r="I1332" i="15"/>
  <c r="F1332" i="15"/>
  <c r="I1331" i="15"/>
  <c r="F1331" i="15"/>
  <c r="I1330" i="15"/>
  <c r="F1330" i="15"/>
  <c r="I1329" i="15"/>
  <c r="F1329" i="15"/>
  <c r="I1328" i="15"/>
  <c r="F1328" i="15"/>
  <c r="I1327" i="15"/>
  <c r="F1327" i="15"/>
  <c r="I1326" i="15"/>
  <c r="F1326" i="15"/>
  <c r="I1325" i="15"/>
  <c r="F1325" i="15"/>
  <c r="I1324" i="15"/>
  <c r="F1324" i="15"/>
  <c r="I1323" i="15"/>
  <c r="F1323" i="15"/>
  <c r="I1322" i="15"/>
  <c r="F1322" i="15"/>
  <c r="I1321" i="15"/>
  <c r="F1321" i="15"/>
  <c r="I1320" i="15"/>
  <c r="F1320" i="15"/>
  <c r="I1319" i="15"/>
  <c r="F1319" i="15"/>
  <c r="I1318" i="15"/>
  <c r="F1318" i="15"/>
  <c r="I1317" i="15"/>
  <c r="F1317" i="15"/>
  <c r="I1316" i="15"/>
  <c r="F1316" i="15"/>
  <c r="I1315" i="15"/>
  <c r="F1315" i="15"/>
  <c r="I1314" i="15"/>
  <c r="F1314" i="15"/>
  <c r="I1313" i="15"/>
  <c r="F1313" i="15"/>
  <c r="I1312" i="15"/>
  <c r="F1312" i="15"/>
  <c r="I1311" i="15"/>
  <c r="F1311" i="15"/>
  <c r="I1310" i="15"/>
  <c r="F1310" i="15"/>
  <c r="I1309" i="15"/>
  <c r="F1309" i="15"/>
  <c r="I1308" i="15"/>
  <c r="F1308" i="15"/>
  <c r="I1307" i="15"/>
  <c r="F1307" i="15"/>
  <c r="I1306" i="15"/>
  <c r="F1306" i="15"/>
  <c r="I1305" i="15"/>
  <c r="F1305" i="15"/>
  <c r="I1304" i="15"/>
  <c r="F1304" i="15"/>
  <c r="I1303" i="15"/>
  <c r="F1303" i="15"/>
  <c r="I1302" i="15"/>
  <c r="F1302" i="15"/>
  <c r="I1301" i="15"/>
  <c r="F1301" i="15"/>
  <c r="I1300" i="15"/>
  <c r="F1300" i="15"/>
  <c r="I1299" i="15"/>
  <c r="F1299" i="15"/>
  <c r="I1298" i="15"/>
  <c r="F1298" i="15"/>
  <c r="I1297" i="15"/>
  <c r="F1297" i="15"/>
  <c r="I1296" i="15"/>
  <c r="F1296" i="15"/>
  <c r="I1295" i="15"/>
  <c r="F1295" i="15"/>
  <c r="I1294" i="15"/>
  <c r="F1294" i="15"/>
  <c r="I1293" i="15"/>
  <c r="F1293" i="15"/>
  <c r="I1292" i="15"/>
  <c r="F1292" i="15"/>
  <c r="I1291" i="15"/>
  <c r="F1291" i="15"/>
  <c r="I1290" i="15"/>
  <c r="F1290" i="15"/>
  <c r="I1289" i="15"/>
  <c r="F1289" i="15"/>
  <c r="I1288" i="15"/>
  <c r="F1288" i="15"/>
  <c r="I1287" i="15"/>
  <c r="F1287" i="15"/>
  <c r="I1286" i="15"/>
  <c r="F1286" i="15"/>
  <c r="I1285" i="15"/>
  <c r="F1285" i="15"/>
  <c r="I1284" i="15"/>
  <c r="F1284" i="15"/>
  <c r="I1283" i="15"/>
  <c r="F1283" i="15"/>
  <c r="I1282" i="15"/>
  <c r="F1282" i="15"/>
  <c r="I1281" i="15"/>
  <c r="F1281" i="15"/>
  <c r="I1280" i="15"/>
  <c r="F1280" i="15"/>
  <c r="I1279" i="15"/>
  <c r="F1279" i="15"/>
  <c r="I1278" i="15"/>
  <c r="F1278" i="15"/>
  <c r="I1277" i="15"/>
  <c r="F1277" i="15"/>
  <c r="I1276" i="15"/>
  <c r="F1276" i="15"/>
  <c r="I1275" i="15"/>
  <c r="F1275" i="15"/>
  <c r="I1274" i="15"/>
  <c r="F1274" i="15"/>
  <c r="I1273" i="15"/>
  <c r="F1273" i="15"/>
  <c r="I1272" i="15"/>
  <c r="F1272" i="15"/>
  <c r="I1271" i="15"/>
  <c r="F1271" i="15"/>
  <c r="I1270" i="15"/>
  <c r="F1270" i="15"/>
  <c r="I1269" i="15"/>
  <c r="F1269" i="15"/>
  <c r="I1268" i="15"/>
  <c r="F1268" i="15"/>
  <c r="I1267" i="15"/>
  <c r="F1267" i="15"/>
  <c r="I1266" i="15"/>
  <c r="F1266" i="15"/>
  <c r="I1265" i="15"/>
  <c r="F1265" i="15"/>
  <c r="I1264" i="15"/>
  <c r="F1264" i="15"/>
  <c r="I1263" i="15"/>
  <c r="F1263" i="15"/>
  <c r="I1262" i="15"/>
  <c r="F1262" i="15"/>
  <c r="I1261" i="15"/>
  <c r="F1261" i="15"/>
  <c r="I1260" i="15"/>
  <c r="F1260" i="15"/>
  <c r="I1259" i="15"/>
  <c r="F1259" i="15"/>
  <c r="I1258" i="15"/>
  <c r="F1258" i="15"/>
  <c r="I1257" i="15"/>
  <c r="F1257" i="15"/>
  <c r="I1256" i="15"/>
  <c r="F1256" i="15"/>
  <c r="I1255" i="15"/>
  <c r="F1255" i="15"/>
  <c r="I1254" i="15"/>
  <c r="F1254" i="15"/>
  <c r="I1253" i="15"/>
  <c r="F1253" i="15"/>
  <c r="I1252" i="15"/>
  <c r="F1252" i="15"/>
  <c r="I1251" i="15"/>
  <c r="F1251" i="15"/>
  <c r="I1250" i="15"/>
  <c r="F1250" i="15"/>
  <c r="I1249" i="15"/>
  <c r="F1249" i="15"/>
  <c r="I1248" i="15"/>
  <c r="F1248" i="15"/>
  <c r="I1247" i="15"/>
  <c r="F1247" i="15"/>
  <c r="I1246" i="15"/>
  <c r="F1246" i="15"/>
  <c r="I1245" i="15"/>
  <c r="F1245" i="15"/>
  <c r="I1244" i="15"/>
  <c r="F1244" i="15"/>
  <c r="I1243" i="15"/>
  <c r="F1243" i="15"/>
  <c r="I1242" i="15"/>
  <c r="F1242" i="15"/>
  <c r="I1241" i="15"/>
  <c r="F1241" i="15"/>
  <c r="I1240" i="15"/>
  <c r="F1240" i="15"/>
  <c r="I1239" i="15"/>
  <c r="F1239" i="15"/>
  <c r="I1238" i="15"/>
  <c r="F1238" i="15"/>
  <c r="I1237" i="15"/>
  <c r="F1237" i="15"/>
  <c r="I1236" i="15"/>
  <c r="F1236" i="15"/>
  <c r="I1235" i="15"/>
  <c r="F1235" i="15"/>
  <c r="I1234" i="15"/>
  <c r="F1234" i="15"/>
  <c r="I1233" i="15"/>
  <c r="F1233" i="15"/>
  <c r="I1232" i="15"/>
  <c r="F1232" i="15"/>
  <c r="I1231" i="15"/>
  <c r="F1231" i="15"/>
  <c r="I1230" i="15"/>
  <c r="F1230" i="15"/>
  <c r="I1229" i="15"/>
  <c r="F1229" i="15"/>
  <c r="I1228" i="15"/>
  <c r="F1228" i="15"/>
  <c r="I1227" i="15"/>
  <c r="F1227" i="15"/>
  <c r="I1226" i="15"/>
  <c r="F1226" i="15"/>
  <c r="I1225" i="15"/>
  <c r="F1225" i="15"/>
  <c r="I1224" i="15"/>
  <c r="F1224" i="15"/>
  <c r="I1223" i="15"/>
  <c r="F1223" i="15"/>
  <c r="I1222" i="15"/>
  <c r="F1222" i="15"/>
  <c r="I1221" i="15"/>
  <c r="F1221" i="15"/>
  <c r="I1220" i="15"/>
  <c r="F1220" i="15"/>
  <c r="I1219" i="15"/>
  <c r="F1219" i="15"/>
  <c r="I1218" i="15"/>
  <c r="F1218" i="15"/>
  <c r="I1217" i="15"/>
  <c r="F1217" i="15"/>
  <c r="I1216" i="15"/>
  <c r="F1216" i="15"/>
  <c r="I1215" i="15"/>
  <c r="F1215" i="15"/>
  <c r="I1214" i="15"/>
  <c r="F1214" i="15"/>
  <c r="I1213" i="15"/>
  <c r="F1213" i="15"/>
  <c r="I1212" i="15"/>
  <c r="F1212" i="15"/>
  <c r="I1211" i="15"/>
  <c r="F1211" i="15"/>
  <c r="I1210" i="15"/>
  <c r="F1210" i="15"/>
  <c r="I1209" i="15"/>
  <c r="F1209" i="15"/>
  <c r="I1208" i="15"/>
  <c r="F1208" i="15"/>
  <c r="I1207" i="15"/>
  <c r="F1207" i="15"/>
  <c r="I1206" i="15"/>
  <c r="F1206" i="15"/>
  <c r="I1205" i="15"/>
  <c r="F1205" i="15"/>
  <c r="I1204" i="15"/>
  <c r="F1204" i="15"/>
  <c r="I1203" i="15"/>
  <c r="F1203" i="15"/>
  <c r="I1202" i="15"/>
  <c r="F1202" i="15"/>
  <c r="I1201" i="15"/>
  <c r="F1201" i="15"/>
  <c r="I1200" i="15"/>
  <c r="F1200" i="15"/>
  <c r="I1199" i="15"/>
  <c r="F1199" i="15"/>
  <c r="I1198" i="15"/>
  <c r="F1198" i="15"/>
  <c r="I1197" i="15"/>
  <c r="F1197" i="15"/>
  <c r="I1196" i="15"/>
  <c r="F1196" i="15"/>
  <c r="I1195" i="15"/>
  <c r="F1195" i="15"/>
  <c r="I1194" i="15"/>
  <c r="F1194" i="15"/>
  <c r="I1193" i="15"/>
  <c r="F1193" i="15"/>
  <c r="I1192" i="15"/>
  <c r="F1192" i="15"/>
  <c r="I1191" i="15"/>
  <c r="F1191" i="15"/>
  <c r="I1190" i="15"/>
  <c r="F1190" i="15"/>
  <c r="I1189" i="15"/>
  <c r="F1189" i="15"/>
  <c r="I1188" i="15"/>
  <c r="F1188" i="15"/>
  <c r="I1187" i="15"/>
  <c r="F1187" i="15"/>
  <c r="I1186" i="15"/>
  <c r="F1186" i="15"/>
  <c r="I1185" i="15"/>
  <c r="F1185" i="15"/>
  <c r="I1184" i="15"/>
  <c r="F1184" i="15"/>
  <c r="I1183" i="15"/>
  <c r="F1183" i="15"/>
  <c r="I1182" i="15"/>
  <c r="F1182" i="15"/>
  <c r="I1181" i="15"/>
  <c r="F1181" i="15"/>
  <c r="I1180" i="15"/>
  <c r="F1180" i="15"/>
  <c r="I1179" i="15"/>
  <c r="F1179" i="15"/>
  <c r="I1178" i="15"/>
  <c r="F1178" i="15"/>
  <c r="I1177" i="15"/>
  <c r="F1177" i="15"/>
  <c r="I1176" i="15"/>
  <c r="F1176" i="15"/>
  <c r="I1175" i="15"/>
  <c r="F1175" i="15"/>
  <c r="I1174" i="15"/>
  <c r="F1174" i="15"/>
  <c r="I1173" i="15"/>
  <c r="F1173" i="15"/>
  <c r="I1172" i="15"/>
  <c r="F1172" i="15"/>
  <c r="I1171" i="15"/>
  <c r="F1171" i="15"/>
  <c r="I1170" i="15"/>
  <c r="F1170" i="15"/>
  <c r="I1169" i="15"/>
  <c r="F1169" i="15"/>
  <c r="I1168" i="15"/>
  <c r="F1168" i="15"/>
  <c r="I1167" i="15"/>
  <c r="F1167" i="15"/>
  <c r="I1166" i="15"/>
  <c r="F1166" i="15"/>
  <c r="I1165" i="15"/>
  <c r="F1165" i="15"/>
  <c r="I1164" i="15"/>
  <c r="F1164" i="15"/>
  <c r="I1163" i="15"/>
  <c r="F1163" i="15"/>
  <c r="I1162" i="15"/>
  <c r="F1162" i="15"/>
  <c r="I1161" i="15"/>
  <c r="F1161" i="15"/>
  <c r="I1160" i="15"/>
  <c r="F1160" i="15"/>
  <c r="I1159" i="15"/>
  <c r="F1159" i="15"/>
  <c r="I1158" i="15"/>
  <c r="F1158" i="15"/>
  <c r="I1157" i="15"/>
  <c r="F1157" i="15"/>
  <c r="I1156" i="15"/>
  <c r="F1156" i="15"/>
  <c r="I1155" i="15"/>
  <c r="F1155" i="15"/>
  <c r="I1154" i="15"/>
  <c r="F1154" i="15"/>
  <c r="I1153" i="15"/>
  <c r="F1153" i="15"/>
  <c r="I1152" i="15"/>
  <c r="F1152" i="15"/>
  <c r="I1151" i="15"/>
  <c r="F1151" i="15"/>
  <c r="I1150" i="15"/>
  <c r="F1150" i="15"/>
  <c r="I1149" i="15"/>
  <c r="F1149" i="15"/>
  <c r="I1148" i="15"/>
  <c r="F1148" i="15"/>
  <c r="I1147" i="15"/>
  <c r="F1147" i="15"/>
  <c r="I1146" i="15"/>
  <c r="F1146" i="15"/>
  <c r="I1145" i="15"/>
  <c r="F1145" i="15"/>
  <c r="I1144" i="15"/>
  <c r="F1144" i="15"/>
  <c r="I1143" i="15"/>
  <c r="F1143" i="15"/>
  <c r="I1142" i="15"/>
  <c r="F1142" i="15"/>
  <c r="I1141" i="15"/>
  <c r="F1141" i="15"/>
  <c r="I1140" i="15"/>
  <c r="F1140" i="15"/>
  <c r="I1139" i="15"/>
  <c r="F1139" i="15"/>
  <c r="I1138" i="15"/>
  <c r="F1138" i="15"/>
  <c r="I1137" i="15"/>
  <c r="F1137" i="15"/>
  <c r="I1136" i="15"/>
  <c r="F1136" i="15"/>
  <c r="I1135" i="15"/>
  <c r="F1135" i="15"/>
  <c r="I1134" i="15"/>
  <c r="F1134" i="15"/>
  <c r="I1133" i="15"/>
  <c r="F1133" i="15"/>
  <c r="I1132" i="15"/>
  <c r="F1132" i="15"/>
  <c r="I1131" i="15"/>
  <c r="F1131" i="15"/>
  <c r="I1130" i="15"/>
  <c r="F1130" i="15"/>
  <c r="I1129" i="15"/>
  <c r="F1129" i="15"/>
  <c r="I1128" i="15"/>
  <c r="F1128" i="15"/>
  <c r="I1127" i="15"/>
  <c r="F1127" i="15"/>
  <c r="I1126" i="15"/>
  <c r="F1126" i="15"/>
  <c r="I1125" i="15"/>
  <c r="F1125" i="15"/>
  <c r="I1124" i="15"/>
  <c r="F1124" i="15"/>
  <c r="I1123" i="15"/>
  <c r="F1123" i="15"/>
  <c r="I1122" i="15"/>
  <c r="F1122" i="15"/>
  <c r="I1121" i="15"/>
  <c r="F1121" i="15"/>
  <c r="I1120" i="15"/>
  <c r="F1120" i="15"/>
  <c r="I1119" i="15"/>
  <c r="F1119" i="15"/>
  <c r="I1118" i="15"/>
  <c r="F1118" i="15"/>
  <c r="I1117" i="15"/>
  <c r="F1117" i="15"/>
  <c r="I1116" i="15"/>
  <c r="F1116" i="15"/>
  <c r="I1115" i="15"/>
  <c r="F1115" i="15"/>
  <c r="I1114" i="15"/>
  <c r="F1114" i="15"/>
  <c r="I1113" i="15"/>
  <c r="F1113" i="15"/>
  <c r="I1112" i="15"/>
  <c r="F1112" i="15"/>
  <c r="I1111" i="15"/>
  <c r="F1111" i="15"/>
  <c r="I1110" i="15"/>
  <c r="F1110" i="15"/>
  <c r="I1109" i="15"/>
  <c r="F1109" i="15"/>
  <c r="I1108" i="15"/>
  <c r="F1108" i="15"/>
  <c r="I1107" i="15"/>
  <c r="F1107" i="15"/>
  <c r="I1106" i="15"/>
  <c r="F1106" i="15"/>
  <c r="I1105" i="15"/>
  <c r="F1105" i="15"/>
  <c r="I1104" i="15"/>
  <c r="F1104" i="15"/>
  <c r="I1103" i="15"/>
  <c r="F1103" i="15"/>
  <c r="I1102" i="15"/>
  <c r="F1102" i="15"/>
  <c r="I1101" i="15"/>
  <c r="F1101" i="15"/>
  <c r="I1100" i="15"/>
  <c r="F1100" i="15"/>
  <c r="I1099" i="15"/>
  <c r="F1099" i="15"/>
  <c r="I1098" i="15"/>
  <c r="F1098" i="15"/>
  <c r="I1097" i="15"/>
  <c r="F1097" i="15"/>
  <c r="I1096" i="15"/>
  <c r="F1096" i="15"/>
  <c r="I1095" i="15"/>
  <c r="F1095" i="15"/>
  <c r="I1094" i="15"/>
  <c r="F1094" i="15"/>
  <c r="I1093" i="15"/>
  <c r="F1093" i="15"/>
  <c r="I1092" i="15"/>
  <c r="F1092" i="15"/>
  <c r="I1091" i="15"/>
  <c r="F1091" i="15"/>
  <c r="I1090" i="15"/>
  <c r="F1090" i="15"/>
  <c r="I1089" i="15"/>
  <c r="F1089" i="15"/>
  <c r="I1088" i="15"/>
  <c r="F1088" i="15"/>
  <c r="I1087" i="15"/>
  <c r="F1087" i="15"/>
  <c r="I1086" i="15"/>
  <c r="F1086" i="15"/>
  <c r="I1085" i="15"/>
  <c r="F1085" i="15"/>
  <c r="I1084" i="15"/>
  <c r="F1084" i="15"/>
  <c r="I1083" i="15"/>
  <c r="F1083" i="15"/>
  <c r="I1082" i="15"/>
  <c r="F1082" i="15"/>
  <c r="I1081" i="15"/>
  <c r="F1081" i="15"/>
  <c r="I1080" i="15"/>
  <c r="F1080" i="15"/>
  <c r="I1079" i="15"/>
  <c r="F1079" i="15"/>
  <c r="I1078" i="15"/>
  <c r="F1078" i="15"/>
  <c r="I1077" i="15"/>
  <c r="F1077" i="15"/>
  <c r="I1076" i="15"/>
  <c r="F1076" i="15"/>
  <c r="I1075" i="15"/>
  <c r="F1075" i="15"/>
  <c r="I1074" i="15"/>
  <c r="F1074" i="15"/>
  <c r="I1073" i="15"/>
  <c r="F1073" i="15"/>
  <c r="I1072" i="15"/>
  <c r="F1072" i="15"/>
  <c r="I1071" i="15"/>
  <c r="F1071" i="15"/>
  <c r="I1070" i="15"/>
  <c r="F1070" i="15"/>
  <c r="I1069" i="15"/>
  <c r="F1069" i="15"/>
  <c r="I1068" i="15"/>
  <c r="F1068" i="15"/>
  <c r="I1067" i="15"/>
  <c r="F1067" i="15"/>
  <c r="I1066" i="15"/>
  <c r="F1066" i="15"/>
  <c r="I1065" i="15"/>
  <c r="F1065" i="15"/>
  <c r="I1064" i="15"/>
  <c r="F1064" i="15"/>
  <c r="I1063" i="15"/>
  <c r="F1063" i="15"/>
  <c r="I1062" i="15"/>
  <c r="F1062" i="15"/>
  <c r="I1061" i="15"/>
  <c r="F1061" i="15"/>
  <c r="I1060" i="15"/>
  <c r="F1060" i="15"/>
  <c r="I1059" i="15"/>
  <c r="F1059" i="15"/>
  <c r="I1058" i="15"/>
  <c r="F1058" i="15"/>
  <c r="I1057" i="15"/>
  <c r="F1057" i="15"/>
  <c r="I1056" i="15"/>
  <c r="F1056" i="15"/>
  <c r="I1055" i="15"/>
  <c r="F1055" i="15"/>
  <c r="I1054" i="15"/>
  <c r="F1054" i="15"/>
  <c r="I1053" i="15"/>
  <c r="F1053" i="15"/>
  <c r="I1052" i="15"/>
  <c r="F1052" i="15"/>
  <c r="I1051" i="15"/>
  <c r="F1051" i="15"/>
  <c r="I1050" i="15"/>
  <c r="F1050" i="15"/>
  <c r="I1049" i="15"/>
  <c r="F1049" i="15"/>
  <c r="I1048" i="15"/>
  <c r="F1048" i="15"/>
  <c r="I1047" i="15"/>
  <c r="F1047" i="15"/>
  <c r="I1046" i="15"/>
  <c r="F1046" i="15"/>
  <c r="I1045" i="15"/>
  <c r="F1045" i="15"/>
  <c r="I1044" i="15"/>
  <c r="F1044" i="15"/>
  <c r="I1043" i="15"/>
  <c r="F1043" i="15"/>
  <c r="I1042" i="15"/>
  <c r="F1042" i="15"/>
  <c r="I1041" i="15"/>
  <c r="F1041" i="15"/>
  <c r="I1040" i="15"/>
  <c r="F1040" i="15"/>
  <c r="I1039" i="15"/>
  <c r="F1039" i="15"/>
  <c r="I1038" i="15"/>
  <c r="F1038" i="15"/>
  <c r="I1037" i="15"/>
  <c r="F1037" i="15"/>
  <c r="I1036" i="15"/>
  <c r="F1036" i="15"/>
  <c r="I1035" i="15"/>
  <c r="F1035" i="15"/>
  <c r="I1034" i="15"/>
  <c r="F1034" i="15"/>
  <c r="I1033" i="15"/>
  <c r="F1033" i="15"/>
  <c r="I1032" i="15"/>
  <c r="F1032" i="15"/>
  <c r="I1031" i="15"/>
  <c r="F1031" i="15"/>
  <c r="I1030" i="15"/>
  <c r="F1030" i="15"/>
  <c r="I1029" i="15"/>
  <c r="F1029" i="15"/>
  <c r="I1028" i="15"/>
  <c r="F1028" i="15"/>
  <c r="I1027" i="15"/>
  <c r="F1027" i="15"/>
  <c r="I1026" i="15"/>
  <c r="F1026" i="15"/>
  <c r="I1025" i="15"/>
  <c r="F1025" i="15"/>
  <c r="I1024" i="15"/>
  <c r="F1024" i="15"/>
  <c r="I1023" i="15"/>
  <c r="F1023" i="15"/>
  <c r="I1022" i="15"/>
  <c r="F1022" i="15"/>
  <c r="I1021" i="15"/>
  <c r="F1021" i="15"/>
  <c r="I1020" i="15"/>
  <c r="F1020" i="15"/>
  <c r="I1019" i="15"/>
  <c r="F1019" i="15"/>
  <c r="I1018" i="15"/>
  <c r="F1018" i="15"/>
  <c r="I1017" i="15"/>
  <c r="F1017" i="15"/>
  <c r="I1016" i="15"/>
  <c r="F1016" i="15"/>
  <c r="I1015" i="15"/>
  <c r="F1015" i="15"/>
  <c r="I1014" i="15"/>
  <c r="F1014" i="15"/>
  <c r="I1013" i="15"/>
  <c r="F1013" i="15"/>
  <c r="I1012" i="15"/>
  <c r="F1012" i="15"/>
  <c r="I1011" i="15"/>
  <c r="F1011" i="15"/>
  <c r="I1010" i="15"/>
  <c r="F1010" i="15"/>
  <c r="I1009" i="15"/>
  <c r="F1009" i="15"/>
  <c r="I1008" i="15"/>
  <c r="F1008" i="15"/>
  <c r="I1007" i="15"/>
  <c r="F1007" i="15"/>
  <c r="I1006" i="15"/>
  <c r="F1006" i="15"/>
  <c r="I1005" i="15"/>
  <c r="F1005" i="15"/>
  <c r="I1004" i="15"/>
  <c r="F1004" i="15"/>
  <c r="I1003" i="15"/>
  <c r="F1003" i="15"/>
  <c r="I1002" i="15"/>
  <c r="F1002" i="15"/>
  <c r="I1001" i="15"/>
  <c r="F1001" i="15"/>
  <c r="I1000" i="15"/>
  <c r="F1000" i="15"/>
  <c r="I999" i="15"/>
  <c r="F999" i="15"/>
  <c r="I998" i="15"/>
  <c r="F998" i="15"/>
  <c r="I997" i="15"/>
  <c r="F997" i="15"/>
  <c r="I996" i="15"/>
  <c r="F996" i="15"/>
  <c r="I995" i="15"/>
  <c r="F995" i="15"/>
  <c r="I994" i="15"/>
  <c r="F994" i="15"/>
  <c r="I993" i="15"/>
  <c r="F993" i="15"/>
  <c r="I992" i="15"/>
  <c r="F992" i="15"/>
  <c r="I991" i="15"/>
  <c r="F991" i="15"/>
  <c r="I990" i="15"/>
  <c r="F990" i="15"/>
  <c r="I989" i="15"/>
  <c r="F989" i="15"/>
  <c r="I988" i="15"/>
  <c r="F988" i="15"/>
  <c r="I987" i="15"/>
  <c r="F987" i="15"/>
  <c r="I986" i="15"/>
  <c r="F986" i="15"/>
  <c r="I985" i="15"/>
  <c r="F985" i="15"/>
  <c r="I984" i="15"/>
  <c r="F984" i="15"/>
  <c r="I983" i="15"/>
  <c r="F983" i="15"/>
  <c r="I982" i="15"/>
  <c r="F982" i="15"/>
  <c r="I981" i="15"/>
  <c r="F981" i="15"/>
  <c r="I980" i="15"/>
  <c r="F980" i="15"/>
  <c r="I979" i="15"/>
  <c r="F979" i="15"/>
  <c r="I978" i="15"/>
  <c r="F978" i="15"/>
  <c r="I977" i="15"/>
  <c r="F977" i="15"/>
  <c r="I976" i="15"/>
  <c r="F976" i="15"/>
  <c r="I975" i="15"/>
  <c r="F975" i="15"/>
  <c r="I974" i="15"/>
  <c r="F974" i="15"/>
  <c r="I973" i="15"/>
  <c r="F973" i="15"/>
  <c r="I972" i="15"/>
  <c r="F972" i="15"/>
  <c r="I971" i="15"/>
  <c r="F971" i="15"/>
  <c r="I970" i="15"/>
  <c r="F970" i="15"/>
  <c r="I969" i="15"/>
  <c r="F969" i="15"/>
  <c r="I968" i="15"/>
  <c r="F968" i="15"/>
  <c r="I967" i="15"/>
  <c r="F967" i="15"/>
  <c r="I966" i="15"/>
  <c r="F966" i="15"/>
  <c r="I965" i="15"/>
  <c r="F965" i="15"/>
  <c r="I964" i="15"/>
  <c r="F964" i="15"/>
  <c r="I963" i="15"/>
  <c r="F963" i="15"/>
  <c r="I962" i="15"/>
  <c r="F962" i="15"/>
  <c r="I961" i="15"/>
  <c r="F961" i="15"/>
  <c r="I960" i="15"/>
  <c r="F960" i="15"/>
  <c r="I959" i="15"/>
  <c r="F959" i="15"/>
  <c r="I958" i="15"/>
  <c r="F958" i="15"/>
  <c r="I957" i="15"/>
  <c r="F957" i="15"/>
  <c r="I956" i="15"/>
  <c r="F956" i="15"/>
  <c r="I955" i="15"/>
  <c r="F955" i="15"/>
  <c r="I954" i="15"/>
  <c r="F954" i="15"/>
  <c r="I953" i="15"/>
  <c r="F953" i="15"/>
  <c r="I952" i="15"/>
  <c r="F952" i="15"/>
  <c r="I951" i="15"/>
  <c r="F951" i="15"/>
  <c r="I950" i="15"/>
  <c r="F950" i="15"/>
  <c r="I949" i="15"/>
  <c r="F949" i="15"/>
  <c r="I948" i="15"/>
  <c r="F948" i="15"/>
  <c r="I947" i="15"/>
  <c r="F947" i="15"/>
  <c r="I946" i="15"/>
  <c r="F946" i="15"/>
  <c r="I945" i="15"/>
  <c r="F945" i="15"/>
  <c r="I944" i="15"/>
  <c r="F944" i="15"/>
  <c r="I943" i="15"/>
  <c r="F943" i="15"/>
  <c r="I942" i="15"/>
  <c r="F942" i="15"/>
  <c r="I941" i="15"/>
  <c r="F941" i="15"/>
  <c r="I940" i="15"/>
  <c r="F940" i="15"/>
  <c r="I939" i="15"/>
  <c r="F939" i="15"/>
  <c r="I938" i="15"/>
  <c r="F938" i="15"/>
  <c r="I937" i="15"/>
  <c r="F937" i="15"/>
  <c r="I936" i="15"/>
  <c r="F936" i="15"/>
  <c r="I935" i="15"/>
  <c r="F935" i="15"/>
  <c r="I934" i="15"/>
  <c r="F934" i="15"/>
  <c r="I933" i="15"/>
  <c r="F933" i="15"/>
  <c r="I932" i="15"/>
  <c r="F932" i="15"/>
  <c r="I931" i="15"/>
  <c r="F931" i="15"/>
  <c r="I930" i="15"/>
  <c r="F930" i="15"/>
  <c r="I929" i="15"/>
  <c r="F929" i="15"/>
  <c r="I928" i="15"/>
  <c r="F928" i="15"/>
  <c r="I927" i="15"/>
  <c r="F927" i="15"/>
  <c r="I926" i="15"/>
  <c r="F926" i="15"/>
  <c r="I925" i="15"/>
  <c r="F925" i="15"/>
  <c r="I924" i="15"/>
  <c r="F924" i="15"/>
  <c r="I923" i="15"/>
  <c r="F923" i="15"/>
  <c r="I922" i="15"/>
  <c r="F922" i="15"/>
  <c r="I921" i="15"/>
  <c r="F921" i="15"/>
  <c r="I920" i="15"/>
  <c r="F920" i="15"/>
  <c r="I919" i="15"/>
  <c r="F919" i="15"/>
  <c r="I918" i="15"/>
  <c r="F918" i="15"/>
  <c r="I917" i="15"/>
  <c r="F917" i="15"/>
  <c r="I916" i="15"/>
  <c r="F916" i="15"/>
  <c r="I915" i="15"/>
  <c r="F915" i="15"/>
  <c r="I914" i="15"/>
  <c r="F914" i="15"/>
  <c r="I913" i="15"/>
  <c r="F913" i="15"/>
  <c r="I912" i="15"/>
  <c r="F912" i="15"/>
  <c r="I911" i="15"/>
  <c r="F911" i="15"/>
  <c r="I910" i="15"/>
  <c r="F910" i="15"/>
  <c r="I909" i="15"/>
  <c r="F909" i="15"/>
  <c r="I908" i="15"/>
  <c r="F908" i="15"/>
  <c r="I907" i="15"/>
  <c r="F907" i="15"/>
  <c r="I906" i="15"/>
  <c r="F906" i="15"/>
  <c r="I905" i="15"/>
  <c r="F905" i="15"/>
  <c r="I904" i="15"/>
  <c r="F904" i="15"/>
  <c r="I903" i="15"/>
  <c r="F903" i="15"/>
  <c r="I902" i="15"/>
  <c r="F902" i="15"/>
  <c r="I901" i="15"/>
  <c r="F901" i="15"/>
  <c r="I900" i="15"/>
  <c r="F900" i="15"/>
  <c r="I899" i="15"/>
  <c r="F899" i="15"/>
  <c r="I898" i="15"/>
  <c r="F898" i="15"/>
  <c r="I897" i="15"/>
  <c r="F897" i="15"/>
  <c r="I896" i="15"/>
  <c r="F896" i="15"/>
  <c r="I895" i="15"/>
  <c r="F895" i="15"/>
  <c r="I894" i="15"/>
  <c r="F894" i="15"/>
  <c r="I893" i="15"/>
  <c r="F893" i="15"/>
  <c r="I892" i="15"/>
  <c r="F892" i="15"/>
  <c r="I891" i="15"/>
  <c r="F891" i="15"/>
  <c r="I890" i="15"/>
  <c r="F890" i="15"/>
  <c r="I889" i="15"/>
  <c r="F889" i="15"/>
  <c r="I888" i="15"/>
  <c r="F888" i="15"/>
  <c r="I887" i="15"/>
  <c r="F887" i="15"/>
  <c r="I886" i="15"/>
  <c r="F886" i="15"/>
  <c r="I885" i="15"/>
  <c r="F885" i="15"/>
  <c r="I884" i="15"/>
  <c r="F884" i="15"/>
  <c r="I883" i="15"/>
  <c r="F883" i="15"/>
  <c r="I882" i="15"/>
  <c r="F882" i="15"/>
  <c r="I881" i="15"/>
  <c r="F881" i="15"/>
  <c r="I880" i="15"/>
  <c r="F880" i="15"/>
  <c r="I879" i="15"/>
  <c r="F879" i="15"/>
  <c r="I878" i="15"/>
  <c r="F878" i="15"/>
  <c r="I877" i="15"/>
  <c r="F877" i="15"/>
  <c r="I876" i="15"/>
  <c r="F876" i="15"/>
  <c r="I875" i="15"/>
  <c r="F875" i="15"/>
  <c r="I874" i="15"/>
  <c r="F874" i="15"/>
  <c r="I873" i="15"/>
  <c r="F873" i="15"/>
  <c r="I872" i="15"/>
  <c r="F872" i="15"/>
  <c r="I871" i="15"/>
  <c r="F871" i="15"/>
  <c r="I870" i="15"/>
  <c r="F870" i="15"/>
  <c r="I869" i="15"/>
  <c r="F869" i="15"/>
  <c r="I868" i="15"/>
  <c r="F868" i="15"/>
  <c r="I867" i="15"/>
  <c r="F867" i="15"/>
  <c r="I866" i="15"/>
  <c r="F866" i="15"/>
  <c r="I865" i="15"/>
  <c r="F865" i="15"/>
  <c r="I864" i="15"/>
  <c r="F864" i="15"/>
  <c r="I863" i="15"/>
  <c r="F863" i="15"/>
  <c r="I862" i="15"/>
  <c r="F862" i="15"/>
  <c r="I861" i="15"/>
  <c r="F861" i="15"/>
  <c r="I860" i="15"/>
  <c r="F860" i="15"/>
  <c r="I859" i="15"/>
  <c r="F859" i="15"/>
  <c r="I858" i="15"/>
  <c r="F858" i="15"/>
  <c r="I857" i="15"/>
  <c r="F857" i="15"/>
  <c r="I856" i="15"/>
  <c r="F856" i="15"/>
  <c r="I855" i="15"/>
  <c r="F855" i="15"/>
  <c r="I854" i="15"/>
  <c r="F854" i="15"/>
  <c r="I853" i="15"/>
  <c r="F853" i="15"/>
  <c r="I852" i="15"/>
  <c r="F852" i="15"/>
  <c r="I851" i="15"/>
  <c r="F851" i="15"/>
  <c r="I850" i="15"/>
  <c r="F850" i="15"/>
  <c r="I849" i="15"/>
  <c r="F849" i="15"/>
  <c r="I848" i="15"/>
  <c r="F848" i="15"/>
  <c r="I847" i="15"/>
  <c r="F847" i="15"/>
  <c r="I846" i="15"/>
  <c r="F846" i="15"/>
  <c r="I845" i="15"/>
  <c r="F845" i="15"/>
  <c r="I844" i="15"/>
  <c r="F844" i="15"/>
  <c r="I843" i="15"/>
  <c r="F843" i="15"/>
  <c r="I842" i="15"/>
  <c r="F842" i="15"/>
  <c r="I841" i="15"/>
  <c r="F841" i="15"/>
  <c r="I840" i="15"/>
  <c r="F840" i="15"/>
  <c r="I839" i="15"/>
  <c r="F839" i="15"/>
  <c r="I838" i="15"/>
  <c r="F838" i="15"/>
  <c r="I837" i="15"/>
  <c r="F837" i="15"/>
  <c r="I836" i="15"/>
  <c r="F836" i="15"/>
  <c r="I835" i="15"/>
  <c r="F835" i="15"/>
  <c r="I834" i="15"/>
  <c r="F834" i="15"/>
  <c r="I833" i="15"/>
  <c r="F833" i="15"/>
  <c r="I832" i="15"/>
  <c r="F832" i="15"/>
  <c r="I831" i="15"/>
  <c r="F831" i="15"/>
  <c r="I830" i="15"/>
  <c r="F830" i="15"/>
  <c r="I829" i="15"/>
  <c r="F829" i="15"/>
  <c r="I828" i="15"/>
  <c r="F828" i="15"/>
  <c r="I827" i="15"/>
  <c r="F827" i="15"/>
  <c r="I826" i="15"/>
  <c r="F826" i="15"/>
  <c r="I825" i="15"/>
  <c r="F825" i="15"/>
  <c r="I824" i="15"/>
  <c r="F824" i="15"/>
  <c r="I823" i="15"/>
  <c r="F823" i="15"/>
  <c r="I822" i="15"/>
  <c r="F822" i="15"/>
  <c r="I821" i="15"/>
  <c r="F821" i="15"/>
  <c r="I820" i="15"/>
  <c r="F820" i="15"/>
  <c r="I819" i="15"/>
  <c r="F819" i="15"/>
  <c r="I818" i="15"/>
  <c r="F818" i="15"/>
  <c r="I817" i="15"/>
  <c r="F817" i="15"/>
  <c r="I816" i="15"/>
  <c r="F816" i="15"/>
  <c r="I815" i="15"/>
  <c r="F815" i="15"/>
  <c r="I814" i="15"/>
  <c r="F814" i="15"/>
  <c r="I813" i="15"/>
  <c r="F813" i="15"/>
  <c r="I812" i="15"/>
  <c r="F812" i="15"/>
  <c r="I811" i="15"/>
  <c r="F811" i="15"/>
  <c r="I810" i="15"/>
  <c r="F810" i="15"/>
  <c r="I809" i="15"/>
  <c r="F809" i="15"/>
  <c r="I808" i="15"/>
  <c r="F808" i="15"/>
  <c r="I807" i="15"/>
  <c r="F807" i="15"/>
  <c r="I806" i="15"/>
  <c r="F806" i="15"/>
  <c r="I805" i="15"/>
  <c r="F805" i="15"/>
  <c r="I804" i="15"/>
  <c r="F804" i="15"/>
  <c r="I803" i="15"/>
  <c r="F803" i="15"/>
  <c r="I802" i="15"/>
  <c r="F802" i="15"/>
  <c r="I801" i="15"/>
  <c r="F801" i="15"/>
  <c r="I800" i="15"/>
  <c r="F800" i="15"/>
  <c r="I799" i="15"/>
  <c r="F799" i="15"/>
  <c r="I798" i="15"/>
  <c r="F798" i="15"/>
  <c r="I797" i="15"/>
  <c r="F797" i="15"/>
  <c r="I796" i="15"/>
  <c r="F796" i="15"/>
  <c r="I795" i="15"/>
  <c r="F795" i="15"/>
  <c r="I794" i="15"/>
  <c r="F794" i="15"/>
  <c r="I793" i="15"/>
  <c r="F793" i="15"/>
  <c r="I792" i="15"/>
  <c r="F792" i="15"/>
  <c r="I791" i="15"/>
  <c r="F791" i="15"/>
  <c r="I790" i="15"/>
  <c r="F790" i="15"/>
  <c r="I789" i="15"/>
  <c r="F789" i="15"/>
  <c r="I788" i="15"/>
  <c r="F788" i="15"/>
  <c r="I787" i="15"/>
  <c r="F787" i="15"/>
  <c r="I786" i="15"/>
  <c r="F786" i="15"/>
  <c r="I785" i="15"/>
  <c r="F785" i="15"/>
  <c r="I784" i="15"/>
  <c r="F784" i="15"/>
  <c r="I783" i="15"/>
  <c r="F783" i="15"/>
  <c r="I782" i="15"/>
  <c r="F782" i="15"/>
  <c r="I781" i="15"/>
  <c r="F781" i="15"/>
  <c r="I780" i="15"/>
  <c r="F780" i="15"/>
  <c r="I779" i="15"/>
  <c r="F779" i="15"/>
  <c r="I778" i="15"/>
  <c r="F778" i="15"/>
  <c r="I777" i="15"/>
  <c r="F777" i="15"/>
  <c r="I776" i="15"/>
  <c r="F776" i="15"/>
  <c r="I775" i="15"/>
  <c r="F775" i="15"/>
  <c r="I774" i="15"/>
  <c r="F774" i="15"/>
  <c r="I773" i="15"/>
  <c r="F773" i="15"/>
  <c r="I772" i="15"/>
  <c r="F772" i="15"/>
  <c r="I771" i="15"/>
  <c r="F771" i="15"/>
  <c r="I770" i="15"/>
  <c r="F770" i="15"/>
  <c r="I769" i="15"/>
  <c r="F769" i="15"/>
  <c r="I768" i="15"/>
  <c r="F768" i="15"/>
  <c r="I767" i="15"/>
  <c r="F767" i="15"/>
  <c r="I766" i="15"/>
  <c r="F766" i="15"/>
  <c r="I765" i="15"/>
  <c r="F765" i="15"/>
  <c r="I764" i="15"/>
  <c r="F764" i="15"/>
  <c r="I763" i="15"/>
  <c r="F763" i="15"/>
  <c r="I762" i="15"/>
  <c r="F762" i="15"/>
  <c r="I761" i="15"/>
  <c r="F761" i="15"/>
  <c r="I760" i="15"/>
  <c r="F760" i="15"/>
  <c r="I759" i="15"/>
  <c r="F759" i="15"/>
  <c r="I758" i="15"/>
  <c r="F758" i="15"/>
  <c r="I757" i="15"/>
  <c r="F757" i="15"/>
  <c r="I756" i="15"/>
  <c r="F756" i="15"/>
  <c r="I755" i="15"/>
  <c r="F755" i="15"/>
  <c r="I754" i="15"/>
  <c r="F754" i="15"/>
  <c r="I753" i="15"/>
  <c r="F753" i="15"/>
  <c r="I752" i="15"/>
  <c r="F752" i="15"/>
  <c r="I751" i="15"/>
  <c r="F751" i="15"/>
  <c r="I750" i="15"/>
  <c r="F750" i="15"/>
  <c r="I749" i="15"/>
  <c r="F749" i="15"/>
  <c r="I748" i="15"/>
  <c r="F748" i="15"/>
  <c r="I747" i="15"/>
  <c r="F747" i="15"/>
  <c r="I746" i="15"/>
  <c r="F746" i="15"/>
  <c r="I745" i="15"/>
  <c r="F745" i="15"/>
  <c r="I744" i="15"/>
  <c r="F744" i="15"/>
  <c r="I743" i="15"/>
  <c r="F743" i="15"/>
  <c r="I742" i="15"/>
  <c r="F742" i="15"/>
  <c r="I741" i="15"/>
  <c r="F741" i="15"/>
  <c r="I740" i="15"/>
  <c r="F740" i="15"/>
  <c r="I739" i="15"/>
  <c r="F739" i="15"/>
  <c r="I738" i="15"/>
  <c r="F738" i="15"/>
  <c r="I737" i="15"/>
  <c r="F737" i="15"/>
  <c r="I736" i="15"/>
  <c r="F736" i="15"/>
  <c r="I735" i="15"/>
  <c r="F735" i="15"/>
  <c r="I734" i="15"/>
  <c r="F734" i="15"/>
  <c r="I733" i="15"/>
  <c r="F733" i="15"/>
  <c r="I732" i="15"/>
  <c r="F732" i="15"/>
  <c r="I731" i="15"/>
  <c r="F731" i="15"/>
  <c r="I730" i="15"/>
  <c r="F730" i="15"/>
  <c r="I729" i="15"/>
  <c r="F729" i="15"/>
  <c r="I728" i="15"/>
  <c r="F728" i="15"/>
  <c r="I727" i="15"/>
  <c r="F727" i="15"/>
  <c r="I726" i="15"/>
  <c r="F726" i="15"/>
  <c r="I725" i="15"/>
  <c r="F725" i="15"/>
  <c r="I724" i="15"/>
  <c r="F724" i="15"/>
  <c r="I723" i="15"/>
  <c r="F723" i="15"/>
  <c r="I722" i="15"/>
  <c r="F722" i="15"/>
  <c r="I721" i="15"/>
  <c r="F721" i="15"/>
  <c r="I720" i="15"/>
  <c r="F720" i="15"/>
  <c r="I719" i="15"/>
  <c r="F719" i="15"/>
  <c r="I718" i="15"/>
  <c r="F718" i="15"/>
  <c r="I717" i="15"/>
  <c r="F717" i="15"/>
  <c r="I716" i="15"/>
  <c r="F716" i="15"/>
  <c r="I715" i="15"/>
  <c r="F715" i="15"/>
  <c r="I714" i="15"/>
  <c r="F714" i="15"/>
  <c r="I713" i="15"/>
  <c r="F713" i="15"/>
  <c r="I712" i="15"/>
  <c r="F712" i="15"/>
  <c r="I711" i="15"/>
  <c r="F711" i="15"/>
  <c r="I710" i="15"/>
  <c r="F710" i="15"/>
  <c r="I709" i="15"/>
  <c r="F709" i="15"/>
  <c r="I708" i="15"/>
  <c r="F708" i="15"/>
  <c r="I707" i="15"/>
  <c r="F707" i="15"/>
  <c r="I706" i="15"/>
  <c r="F706" i="15"/>
  <c r="I705" i="15"/>
  <c r="F705" i="15"/>
  <c r="I704" i="15"/>
  <c r="F704" i="15"/>
  <c r="I703" i="15"/>
  <c r="F703" i="15"/>
  <c r="I702" i="15"/>
  <c r="F702" i="15"/>
  <c r="I701" i="15"/>
  <c r="F701" i="15"/>
  <c r="I700" i="15"/>
  <c r="F700" i="15"/>
  <c r="I699" i="15"/>
  <c r="F699" i="15"/>
  <c r="I698" i="15"/>
  <c r="F698" i="15"/>
  <c r="I697" i="15"/>
  <c r="F697" i="15"/>
  <c r="I696" i="15"/>
  <c r="F696" i="15"/>
  <c r="I695" i="15"/>
  <c r="F695" i="15"/>
  <c r="I694" i="15"/>
  <c r="F694" i="15"/>
  <c r="I693" i="15"/>
  <c r="F693" i="15"/>
  <c r="I692" i="15"/>
  <c r="F692" i="15"/>
  <c r="I691" i="15"/>
  <c r="F691" i="15"/>
  <c r="I690" i="15"/>
  <c r="F690" i="15"/>
  <c r="I689" i="15"/>
  <c r="F689" i="15"/>
  <c r="I688" i="15"/>
  <c r="F688" i="15"/>
  <c r="I687" i="15"/>
  <c r="F687" i="15"/>
  <c r="I686" i="15"/>
  <c r="F686" i="15"/>
  <c r="I685" i="15"/>
  <c r="F685" i="15"/>
  <c r="I684" i="15"/>
  <c r="F684" i="15"/>
  <c r="I683" i="15"/>
  <c r="F683" i="15"/>
  <c r="I682" i="15"/>
  <c r="F682" i="15"/>
  <c r="I681" i="15"/>
  <c r="F681" i="15"/>
  <c r="I680" i="15"/>
  <c r="F680" i="15"/>
  <c r="I679" i="15"/>
  <c r="F679" i="15"/>
  <c r="I678" i="15"/>
  <c r="F678" i="15"/>
  <c r="I677" i="15"/>
  <c r="F677" i="15"/>
  <c r="I676" i="15"/>
  <c r="F676" i="15"/>
  <c r="I675" i="15"/>
  <c r="F675" i="15"/>
  <c r="I674" i="15"/>
  <c r="F674" i="15"/>
  <c r="I673" i="15"/>
  <c r="F673" i="15"/>
  <c r="I672" i="15"/>
  <c r="F672" i="15"/>
  <c r="I671" i="15"/>
  <c r="F671" i="15"/>
  <c r="I670" i="15"/>
  <c r="F670" i="15"/>
  <c r="I669" i="15"/>
  <c r="F669" i="15"/>
  <c r="I668" i="15"/>
  <c r="F668" i="15"/>
  <c r="I667" i="15"/>
  <c r="F667" i="15"/>
  <c r="I666" i="15"/>
  <c r="F666" i="15"/>
  <c r="I665" i="15"/>
  <c r="F665" i="15"/>
  <c r="I664" i="15"/>
  <c r="F664" i="15"/>
  <c r="I663" i="15"/>
  <c r="F663" i="15"/>
  <c r="I662" i="15"/>
  <c r="F662" i="15"/>
  <c r="I661" i="15"/>
  <c r="F661" i="15"/>
  <c r="I660" i="15"/>
  <c r="F660" i="15"/>
  <c r="I659" i="15"/>
  <c r="F659" i="15"/>
  <c r="I658" i="15"/>
  <c r="F658" i="15"/>
  <c r="I657" i="15"/>
  <c r="F657" i="15"/>
  <c r="I656" i="15"/>
  <c r="F656" i="15"/>
  <c r="I655" i="15"/>
  <c r="F655" i="15"/>
  <c r="I654" i="15"/>
  <c r="F654" i="15"/>
  <c r="I653" i="15"/>
  <c r="F653" i="15"/>
  <c r="I652" i="15"/>
  <c r="F652" i="15"/>
  <c r="I651" i="15"/>
  <c r="F651" i="15"/>
  <c r="I650" i="15"/>
  <c r="F650" i="15"/>
  <c r="I649" i="15"/>
  <c r="F649" i="15"/>
  <c r="I648" i="15"/>
  <c r="F648" i="15"/>
  <c r="I647" i="15"/>
  <c r="F647" i="15"/>
  <c r="I646" i="15"/>
  <c r="F646" i="15"/>
  <c r="I645" i="15"/>
  <c r="F645" i="15"/>
  <c r="I644" i="15"/>
  <c r="F644" i="15"/>
  <c r="I643" i="15"/>
  <c r="F643" i="15"/>
  <c r="I642" i="15"/>
  <c r="F642" i="15"/>
  <c r="I641" i="15"/>
  <c r="F641" i="15"/>
  <c r="I640" i="15"/>
  <c r="F640" i="15"/>
  <c r="I639" i="15"/>
  <c r="F639" i="15"/>
  <c r="I638" i="15"/>
  <c r="F638" i="15"/>
  <c r="I637" i="15"/>
  <c r="F637" i="15"/>
  <c r="I636" i="15"/>
  <c r="F636" i="15"/>
  <c r="I635" i="15"/>
  <c r="F635" i="15"/>
  <c r="I634" i="15"/>
  <c r="F634" i="15"/>
  <c r="I633" i="15"/>
  <c r="F633" i="15"/>
  <c r="I632" i="15"/>
  <c r="F632" i="15"/>
  <c r="I631" i="15"/>
  <c r="F631" i="15"/>
  <c r="I630" i="15"/>
  <c r="F630" i="15"/>
  <c r="I629" i="15"/>
  <c r="F629" i="15"/>
  <c r="I628" i="15"/>
  <c r="F628" i="15"/>
  <c r="I627" i="15"/>
  <c r="F627" i="15"/>
  <c r="I626" i="15"/>
  <c r="F626" i="15"/>
  <c r="I625" i="15"/>
  <c r="F625" i="15"/>
  <c r="I624" i="15"/>
  <c r="F624" i="15"/>
  <c r="I623" i="15"/>
  <c r="F623" i="15"/>
  <c r="I622" i="15"/>
  <c r="F622" i="15"/>
  <c r="I621" i="15"/>
  <c r="F621" i="15"/>
  <c r="I620" i="15"/>
  <c r="F620" i="15"/>
  <c r="I619" i="15"/>
  <c r="F619" i="15"/>
  <c r="I618" i="15"/>
  <c r="F618" i="15"/>
  <c r="I617" i="15"/>
  <c r="F617" i="15"/>
  <c r="I616" i="15"/>
  <c r="F616" i="15"/>
  <c r="I615" i="15"/>
  <c r="F615" i="15"/>
  <c r="I614" i="15"/>
  <c r="F614" i="15"/>
  <c r="I613" i="15"/>
  <c r="F613" i="15"/>
  <c r="I612" i="15"/>
  <c r="F612" i="15"/>
  <c r="I611" i="15"/>
  <c r="F611" i="15"/>
  <c r="I610" i="15"/>
  <c r="F610" i="15"/>
  <c r="I609" i="15"/>
  <c r="F609" i="15"/>
  <c r="I608" i="15"/>
  <c r="F608" i="15"/>
  <c r="I607" i="15"/>
  <c r="F607" i="15"/>
  <c r="I606" i="15"/>
  <c r="F606" i="15"/>
  <c r="I605" i="15"/>
  <c r="F605" i="15"/>
  <c r="I604" i="15"/>
  <c r="F604" i="15"/>
  <c r="I603" i="15"/>
  <c r="F603" i="15"/>
  <c r="I602" i="15"/>
  <c r="F602" i="15"/>
  <c r="I601" i="15"/>
  <c r="F601" i="15"/>
  <c r="I600" i="15"/>
  <c r="F600" i="15"/>
  <c r="I599" i="15"/>
  <c r="F599" i="15"/>
  <c r="I598" i="15"/>
  <c r="F598" i="15"/>
  <c r="I597" i="15"/>
  <c r="F597" i="15"/>
  <c r="I596" i="15"/>
  <c r="F596" i="15"/>
  <c r="I595" i="15"/>
  <c r="F595" i="15"/>
  <c r="I594" i="15"/>
  <c r="F594" i="15"/>
  <c r="I593" i="15"/>
  <c r="F593" i="15"/>
  <c r="I592" i="15"/>
  <c r="F592" i="15"/>
  <c r="I591" i="15"/>
  <c r="F591" i="15"/>
  <c r="I590" i="15"/>
  <c r="F590" i="15"/>
  <c r="I589" i="15"/>
  <c r="F589" i="15"/>
  <c r="I588" i="15"/>
  <c r="F588" i="15"/>
  <c r="I587" i="15"/>
  <c r="F587" i="15"/>
  <c r="I586" i="15"/>
  <c r="F586" i="15"/>
  <c r="I585" i="15"/>
  <c r="F585" i="15"/>
  <c r="I584" i="15"/>
  <c r="F584" i="15"/>
  <c r="I583" i="15"/>
  <c r="F583" i="15"/>
  <c r="I582" i="15"/>
  <c r="F582" i="15"/>
  <c r="I581" i="15"/>
  <c r="F581" i="15"/>
  <c r="I580" i="15"/>
  <c r="F580" i="15"/>
  <c r="I579" i="15"/>
  <c r="F579" i="15"/>
  <c r="I578" i="15"/>
  <c r="F578" i="15"/>
  <c r="I577" i="15"/>
  <c r="F577" i="15"/>
  <c r="I576" i="15"/>
  <c r="F576" i="15"/>
  <c r="I575" i="15"/>
  <c r="F575" i="15"/>
  <c r="I574" i="15"/>
  <c r="F574" i="15"/>
  <c r="I573" i="15"/>
  <c r="F573" i="15"/>
  <c r="I572" i="15"/>
  <c r="F572" i="15"/>
  <c r="I571" i="15"/>
  <c r="F571" i="15"/>
  <c r="I570" i="15"/>
  <c r="F570" i="15"/>
  <c r="I569" i="15"/>
  <c r="F569" i="15"/>
  <c r="I568" i="15"/>
  <c r="F568" i="15"/>
  <c r="I567" i="15"/>
  <c r="F567" i="15"/>
  <c r="I566" i="15"/>
  <c r="F566" i="15"/>
  <c r="I565" i="15"/>
  <c r="F565" i="15"/>
  <c r="I564" i="15"/>
  <c r="F564" i="15"/>
  <c r="I563" i="15"/>
  <c r="F563" i="15"/>
  <c r="I562" i="15"/>
  <c r="F562" i="15"/>
  <c r="I561" i="15"/>
  <c r="F561" i="15"/>
  <c r="I560" i="15"/>
  <c r="F560" i="15"/>
  <c r="I559" i="15"/>
  <c r="F559" i="15"/>
  <c r="I558" i="15"/>
  <c r="F558" i="15"/>
  <c r="I557" i="15"/>
  <c r="F557" i="15"/>
  <c r="I556" i="15"/>
  <c r="F556" i="15"/>
  <c r="I555" i="15"/>
  <c r="F555" i="15"/>
  <c r="I554" i="15"/>
  <c r="F554" i="15"/>
  <c r="I553" i="15"/>
  <c r="F553" i="15"/>
  <c r="I552" i="15"/>
  <c r="F552" i="15"/>
  <c r="I551" i="15"/>
  <c r="F551" i="15"/>
  <c r="I550" i="15"/>
  <c r="F550" i="15"/>
  <c r="I549" i="15"/>
  <c r="F549" i="15"/>
  <c r="I548" i="15"/>
  <c r="F548" i="15"/>
  <c r="I547" i="15"/>
  <c r="F547" i="15"/>
  <c r="I546" i="15"/>
  <c r="F546" i="15"/>
  <c r="I545" i="15"/>
  <c r="F545" i="15"/>
  <c r="I544" i="15"/>
  <c r="F544" i="15"/>
  <c r="I543" i="15"/>
  <c r="F543" i="15"/>
  <c r="I542" i="15"/>
  <c r="F542" i="15"/>
  <c r="I541" i="15"/>
  <c r="F541" i="15"/>
  <c r="I540" i="15"/>
  <c r="F540" i="15"/>
  <c r="I539" i="15"/>
  <c r="F539" i="15"/>
  <c r="I538" i="15"/>
  <c r="F538" i="15"/>
  <c r="I537" i="15"/>
  <c r="F537" i="15"/>
  <c r="I536" i="15"/>
  <c r="F536" i="15"/>
  <c r="I535" i="15"/>
  <c r="F535" i="15"/>
  <c r="I534" i="15"/>
  <c r="F534" i="15"/>
  <c r="I533" i="15"/>
  <c r="F533" i="15"/>
  <c r="I532" i="15"/>
  <c r="F532" i="15"/>
  <c r="I531" i="15"/>
  <c r="F531" i="15"/>
  <c r="I530" i="15"/>
  <c r="F530" i="15"/>
  <c r="I529" i="15"/>
  <c r="F529" i="15"/>
  <c r="I528" i="15"/>
  <c r="F528" i="15"/>
  <c r="I527" i="15"/>
  <c r="F527" i="15"/>
  <c r="I526" i="15"/>
  <c r="F526" i="15"/>
  <c r="I525" i="15"/>
  <c r="F525" i="15"/>
  <c r="I524" i="15"/>
  <c r="F524" i="15"/>
  <c r="I523" i="15"/>
  <c r="F523" i="15"/>
  <c r="I522" i="15"/>
  <c r="F522" i="15"/>
  <c r="I521" i="15"/>
  <c r="F521" i="15"/>
  <c r="I520" i="15"/>
  <c r="F520" i="15"/>
  <c r="I519" i="15"/>
  <c r="F519" i="15"/>
  <c r="I518" i="15"/>
  <c r="F518" i="15"/>
  <c r="I517" i="15"/>
  <c r="F517" i="15"/>
  <c r="I516" i="15"/>
  <c r="F516" i="15"/>
  <c r="I515" i="15"/>
  <c r="F515" i="15"/>
  <c r="I514" i="15"/>
  <c r="F514" i="15"/>
  <c r="I513" i="15"/>
  <c r="F513" i="15"/>
  <c r="I512" i="15"/>
  <c r="F512" i="15"/>
  <c r="I511" i="15"/>
  <c r="F511" i="15"/>
  <c r="I510" i="15"/>
  <c r="F510" i="15"/>
  <c r="I509" i="15"/>
  <c r="F509" i="15"/>
  <c r="I508" i="15"/>
  <c r="F508" i="15"/>
  <c r="I507" i="15"/>
  <c r="F507" i="15"/>
  <c r="I506" i="15"/>
  <c r="F506" i="15"/>
  <c r="I505" i="15"/>
  <c r="F505" i="15"/>
  <c r="I504" i="15"/>
  <c r="F504" i="15"/>
  <c r="I503" i="15"/>
  <c r="F503" i="15"/>
  <c r="I502" i="15"/>
  <c r="F502" i="15"/>
  <c r="I501" i="15"/>
  <c r="F501" i="15"/>
  <c r="I500" i="15"/>
  <c r="F500" i="15"/>
  <c r="I499" i="15"/>
  <c r="F499" i="15"/>
  <c r="I498" i="15"/>
  <c r="F498" i="15"/>
  <c r="I497" i="15"/>
  <c r="F497" i="15"/>
  <c r="I496" i="15"/>
  <c r="F496" i="15"/>
  <c r="I495" i="15"/>
  <c r="F495" i="15"/>
  <c r="I494" i="15"/>
  <c r="F494" i="15"/>
  <c r="I493" i="15"/>
  <c r="F493" i="15"/>
  <c r="I492" i="15"/>
  <c r="F492" i="15"/>
  <c r="I491" i="15"/>
  <c r="F491" i="15"/>
  <c r="I490" i="15"/>
  <c r="F490" i="15"/>
  <c r="I489" i="15"/>
  <c r="F489" i="15"/>
  <c r="I488" i="15"/>
  <c r="F488" i="15"/>
  <c r="I487" i="15"/>
  <c r="F487" i="15"/>
  <c r="I486" i="15"/>
  <c r="F486" i="15"/>
  <c r="I485" i="15"/>
  <c r="F485" i="15"/>
  <c r="I484" i="15"/>
  <c r="F484" i="15"/>
  <c r="I483" i="15"/>
  <c r="F483" i="15"/>
  <c r="I482" i="15"/>
  <c r="F482" i="15"/>
  <c r="I481" i="15"/>
  <c r="F481" i="15"/>
  <c r="I480" i="15"/>
  <c r="F480" i="15"/>
  <c r="I479" i="15"/>
  <c r="F479" i="15"/>
  <c r="I478" i="15"/>
  <c r="F478" i="15"/>
  <c r="I477" i="15"/>
  <c r="F477" i="15"/>
  <c r="I476" i="15"/>
  <c r="F476" i="15"/>
  <c r="I475" i="15"/>
  <c r="F475" i="15"/>
  <c r="I474" i="15"/>
  <c r="F474" i="15"/>
  <c r="I473" i="15"/>
  <c r="F473" i="15"/>
  <c r="I472" i="15"/>
  <c r="F472" i="15"/>
  <c r="I471" i="15"/>
  <c r="F471" i="15"/>
  <c r="I470" i="15"/>
  <c r="F470" i="15"/>
  <c r="I469" i="15"/>
  <c r="F469" i="15"/>
  <c r="I468" i="15"/>
  <c r="F468" i="15"/>
  <c r="I467" i="15"/>
  <c r="F467" i="15"/>
  <c r="I466" i="15"/>
  <c r="F466" i="15"/>
  <c r="I465" i="15"/>
  <c r="F465" i="15"/>
  <c r="I464" i="15"/>
  <c r="F464" i="15"/>
  <c r="I463" i="15"/>
  <c r="F463" i="15"/>
  <c r="I462" i="15"/>
  <c r="F462" i="15"/>
  <c r="I461" i="15"/>
  <c r="F461" i="15"/>
  <c r="I460" i="15"/>
  <c r="F460" i="15"/>
  <c r="I459" i="15"/>
  <c r="F459" i="15"/>
  <c r="I458" i="15"/>
  <c r="F458" i="15"/>
  <c r="I457" i="15"/>
  <c r="F457" i="15"/>
  <c r="I456" i="15"/>
  <c r="F456" i="15"/>
  <c r="I455" i="15"/>
  <c r="F455" i="15"/>
  <c r="I454" i="15"/>
  <c r="F454" i="15"/>
  <c r="I453" i="15"/>
  <c r="F453" i="15"/>
  <c r="I452" i="15"/>
  <c r="F452" i="15"/>
  <c r="I451" i="15"/>
  <c r="F451" i="15"/>
  <c r="I450" i="15"/>
  <c r="F450" i="15"/>
  <c r="I449" i="15"/>
  <c r="F449" i="15"/>
  <c r="I448" i="15"/>
  <c r="F448" i="15"/>
  <c r="I447" i="15"/>
  <c r="F447" i="15"/>
  <c r="I446" i="15"/>
  <c r="F446" i="15"/>
  <c r="I445" i="15"/>
  <c r="F445" i="15"/>
  <c r="I444" i="15"/>
  <c r="F444" i="15"/>
  <c r="I443" i="15"/>
  <c r="F443" i="15"/>
  <c r="I442" i="15"/>
  <c r="F442" i="15"/>
  <c r="I441" i="15"/>
  <c r="F441" i="15"/>
  <c r="I440" i="15"/>
  <c r="F440" i="15"/>
  <c r="I439" i="15"/>
  <c r="F439" i="15"/>
  <c r="I438" i="15"/>
  <c r="F438" i="15"/>
  <c r="I437" i="15"/>
  <c r="F437" i="15"/>
  <c r="I436" i="15"/>
  <c r="F436" i="15"/>
  <c r="I435" i="15"/>
  <c r="F435" i="15"/>
  <c r="I434" i="15"/>
  <c r="F434" i="15"/>
  <c r="I433" i="15"/>
  <c r="F433" i="15"/>
  <c r="I432" i="15"/>
  <c r="F432" i="15"/>
  <c r="I431" i="15"/>
  <c r="F431" i="15"/>
  <c r="I430" i="15"/>
  <c r="F430" i="15"/>
  <c r="I429" i="15"/>
  <c r="F429" i="15"/>
  <c r="I428" i="15"/>
  <c r="F428" i="15"/>
  <c r="I427" i="15"/>
  <c r="F427" i="15"/>
  <c r="I426" i="15"/>
  <c r="F426" i="15"/>
  <c r="I425" i="15"/>
  <c r="F425" i="15"/>
  <c r="I424" i="15"/>
  <c r="F424" i="15"/>
  <c r="I423" i="15"/>
  <c r="F423" i="15"/>
  <c r="I422" i="15"/>
  <c r="F422" i="15"/>
  <c r="I421" i="15"/>
  <c r="F421" i="15"/>
  <c r="I420" i="15"/>
  <c r="F420" i="15"/>
  <c r="I419" i="15"/>
  <c r="F419" i="15"/>
  <c r="I418" i="15"/>
  <c r="F418" i="15"/>
  <c r="I417" i="15"/>
  <c r="F417" i="15"/>
  <c r="I416" i="15"/>
  <c r="F416" i="15"/>
  <c r="I415" i="15"/>
  <c r="F415" i="15"/>
  <c r="I414" i="15"/>
  <c r="F414" i="15"/>
  <c r="I413" i="15"/>
  <c r="F413" i="15"/>
  <c r="I412" i="15"/>
  <c r="F412" i="15"/>
  <c r="I411" i="15"/>
  <c r="F411" i="15"/>
  <c r="I410" i="15"/>
  <c r="F410" i="15"/>
  <c r="I409" i="15"/>
  <c r="F409" i="15"/>
  <c r="I408" i="15"/>
  <c r="F408" i="15"/>
  <c r="I407" i="15"/>
  <c r="F407" i="15"/>
  <c r="I406" i="15"/>
  <c r="F406" i="15"/>
  <c r="I405" i="15"/>
  <c r="F405" i="15"/>
  <c r="I404" i="15"/>
  <c r="F404" i="15"/>
  <c r="I403" i="15"/>
  <c r="F403" i="15"/>
  <c r="I402" i="15"/>
  <c r="F402" i="15"/>
  <c r="I401" i="15"/>
  <c r="F401" i="15"/>
  <c r="I400" i="15"/>
  <c r="F400" i="15"/>
  <c r="I399" i="15"/>
  <c r="F399" i="15"/>
  <c r="I398" i="15"/>
  <c r="F398" i="15"/>
  <c r="I397" i="15"/>
  <c r="F397" i="15"/>
  <c r="I396" i="15"/>
  <c r="F396" i="15"/>
  <c r="I395" i="15"/>
  <c r="F395" i="15"/>
  <c r="I394" i="15"/>
  <c r="F394" i="15"/>
  <c r="I393" i="15"/>
  <c r="F393" i="15"/>
  <c r="I392" i="15"/>
  <c r="F392" i="15"/>
  <c r="I391" i="15"/>
  <c r="F391" i="15"/>
  <c r="I390" i="15"/>
  <c r="F390" i="15"/>
  <c r="I389" i="15"/>
  <c r="F389" i="15"/>
  <c r="I388" i="15"/>
  <c r="F388" i="15"/>
  <c r="I387" i="15"/>
  <c r="F387" i="15"/>
  <c r="I386" i="15"/>
  <c r="F386" i="15"/>
  <c r="I385" i="15"/>
  <c r="F385" i="15"/>
  <c r="I384" i="15"/>
  <c r="F384" i="15"/>
  <c r="I383" i="15"/>
  <c r="F383" i="15"/>
  <c r="I382" i="15"/>
  <c r="F382" i="15"/>
  <c r="I381" i="15"/>
  <c r="F381" i="15"/>
  <c r="I380" i="15"/>
  <c r="F380" i="15"/>
  <c r="I379" i="15"/>
  <c r="F379" i="15"/>
  <c r="I378" i="15"/>
  <c r="F378" i="15"/>
  <c r="I377" i="15"/>
  <c r="F377" i="15"/>
  <c r="I376" i="15"/>
  <c r="F376" i="15"/>
  <c r="I375" i="15"/>
  <c r="F375" i="15"/>
  <c r="I374" i="15"/>
  <c r="F374" i="15"/>
  <c r="I373" i="15"/>
  <c r="F373" i="15"/>
  <c r="I372" i="15"/>
  <c r="F372" i="15"/>
  <c r="I371" i="15"/>
  <c r="F371" i="15"/>
  <c r="I370" i="15"/>
  <c r="F370" i="15"/>
  <c r="I369" i="15"/>
  <c r="F369" i="15"/>
  <c r="I368" i="15"/>
  <c r="F368" i="15"/>
  <c r="I367" i="15"/>
  <c r="F367" i="15"/>
  <c r="I366" i="15"/>
  <c r="F366" i="15"/>
  <c r="I365" i="15"/>
  <c r="F365" i="15"/>
  <c r="I364" i="15"/>
  <c r="F364" i="15"/>
  <c r="I363" i="15"/>
  <c r="F363" i="15"/>
  <c r="I362" i="15"/>
  <c r="F362" i="15"/>
  <c r="I361" i="15"/>
  <c r="F361" i="15"/>
  <c r="I360" i="15"/>
  <c r="F360" i="15"/>
  <c r="I359" i="15"/>
  <c r="F359" i="15"/>
  <c r="I358" i="15"/>
  <c r="F358" i="15"/>
  <c r="I357" i="15"/>
  <c r="F357" i="15"/>
  <c r="I356" i="15"/>
  <c r="F356" i="15"/>
  <c r="I355" i="15"/>
  <c r="F355" i="15"/>
  <c r="I354" i="15"/>
  <c r="F354" i="15"/>
  <c r="I353" i="15"/>
  <c r="F353" i="15"/>
  <c r="I352" i="15"/>
  <c r="F352" i="15"/>
  <c r="I351" i="15"/>
  <c r="F351" i="15"/>
  <c r="I350" i="15"/>
  <c r="F350" i="15"/>
  <c r="I349" i="15"/>
  <c r="F349" i="15"/>
  <c r="I348" i="15"/>
  <c r="F348" i="15"/>
  <c r="I347" i="15"/>
  <c r="F347" i="15"/>
  <c r="I346" i="15"/>
  <c r="F346" i="15"/>
  <c r="I345" i="15"/>
  <c r="F345" i="15"/>
  <c r="I344" i="15"/>
  <c r="F344" i="15"/>
  <c r="I343" i="15"/>
  <c r="F343" i="15"/>
  <c r="I342" i="15"/>
  <c r="F342" i="15"/>
  <c r="I341" i="15"/>
  <c r="F341" i="15"/>
  <c r="I340" i="15"/>
  <c r="F340" i="15"/>
  <c r="I339" i="15"/>
  <c r="F339" i="15"/>
  <c r="I338" i="15"/>
  <c r="F338" i="15"/>
  <c r="I337" i="15"/>
  <c r="F337" i="15"/>
  <c r="I336" i="15"/>
  <c r="F336" i="15"/>
  <c r="I335" i="15"/>
  <c r="F335" i="15"/>
  <c r="I334" i="15"/>
  <c r="F334" i="15"/>
  <c r="I333" i="15"/>
  <c r="F333" i="15"/>
  <c r="I332" i="15"/>
  <c r="F332" i="15"/>
  <c r="I331" i="15"/>
  <c r="F331" i="15"/>
  <c r="I330" i="15"/>
  <c r="F330" i="15"/>
  <c r="I329" i="15"/>
  <c r="F329" i="15"/>
  <c r="I328" i="15"/>
  <c r="F328" i="15"/>
  <c r="I327" i="15"/>
  <c r="F327" i="15"/>
  <c r="I326" i="15"/>
  <c r="F326" i="15"/>
  <c r="I325" i="15"/>
  <c r="F325" i="15"/>
  <c r="I324" i="15"/>
  <c r="F324" i="15"/>
  <c r="I323" i="15"/>
  <c r="F323" i="15"/>
  <c r="I322" i="15"/>
  <c r="F322" i="15"/>
  <c r="I321" i="15"/>
  <c r="F321" i="15"/>
  <c r="I320" i="15"/>
  <c r="F320" i="15"/>
  <c r="I319" i="15"/>
  <c r="F319" i="15"/>
  <c r="I318" i="15"/>
  <c r="F318" i="15"/>
  <c r="I317" i="15"/>
  <c r="F317" i="15"/>
  <c r="I316" i="15"/>
  <c r="F316" i="15"/>
  <c r="I315" i="15"/>
  <c r="F315" i="15"/>
  <c r="I314" i="15"/>
  <c r="F314" i="15"/>
  <c r="I313" i="15"/>
  <c r="F313" i="15"/>
  <c r="I312" i="15"/>
  <c r="F312" i="15"/>
  <c r="I311" i="15"/>
  <c r="F311" i="15"/>
  <c r="I310" i="15"/>
  <c r="F310" i="15"/>
  <c r="I309" i="15"/>
  <c r="F309" i="15"/>
  <c r="I308" i="15"/>
  <c r="F308" i="15"/>
  <c r="I307" i="15"/>
  <c r="F307" i="15"/>
  <c r="I306" i="15"/>
  <c r="F306" i="15"/>
  <c r="I305" i="15"/>
  <c r="F305" i="15"/>
  <c r="I304" i="15"/>
  <c r="F304" i="15"/>
  <c r="I303" i="15"/>
  <c r="F303" i="15"/>
  <c r="I302" i="15"/>
  <c r="F302" i="15"/>
  <c r="I301" i="15"/>
  <c r="F301" i="15"/>
  <c r="I300" i="15"/>
  <c r="F300" i="15"/>
  <c r="I299" i="15"/>
  <c r="F299" i="15"/>
  <c r="I298" i="15"/>
  <c r="F298" i="15"/>
  <c r="I297" i="15"/>
  <c r="F297" i="15"/>
  <c r="I296" i="15"/>
  <c r="F296" i="15"/>
  <c r="I295" i="15"/>
  <c r="F295" i="15"/>
  <c r="I294" i="15"/>
  <c r="F294" i="15"/>
  <c r="I293" i="15"/>
  <c r="F293" i="15"/>
  <c r="I292" i="15"/>
  <c r="F292" i="15"/>
  <c r="I291" i="15"/>
  <c r="F291" i="15"/>
  <c r="I290" i="15"/>
  <c r="F290" i="15"/>
  <c r="I289" i="15"/>
  <c r="F289" i="15"/>
  <c r="I288" i="15"/>
  <c r="F288" i="15"/>
  <c r="I287" i="15"/>
  <c r="F287" i="15"/>
  <c r="I286" i="15"/>
  <c r="F286" i="15"/>
  <c r="I285" i="15"/>
  <c r="F285" i="15"/>
  <c r="I284" i="15"/>
  <c r="F284" i="15"/>
  <c r="I283" i="15"/>
  <c r="F283" i="15"/>
  <c r="I282" i="15"/>
  <c r="F282" i="15"/>
  <c r="I281" i="15"/>
  <c r="F281" i="15"/>
  <c r="I280" i="15"/>
  <c r="F280" i="15"/>
  <c r="I279" i="15"/>
  <c r="F279" i="15"/>
  <c r="I278" i="15"/>
  <c r="F278" i="15"/>
  <c r="I277" i="15"/>
  <c r="F277" i="15"/>
  <c r="I276" i="15"/>
  <c r="F276" i="15"/>
  <c r="I275" i="15"/>
  <c r="F275" i="15"/>
  <c r="I274" i="15"/>
  <c r="F274" i="15"/>
  <c r="I273" i="15"/>
  <c r="F273" i="15"/>
  <c r="I272" i="15"/>
  <c r="F272" i="15"/>
  <c r="I271" i="15"/>
  <c r="F271" i="15"/>
  <c r="I270" i="15"/>
  <c r="F270" i="15"/>
  <c r="I269" i="15"/>
  <c r="F269" i="15"/>
  <c r="I268" i="15"/>
  <c r="F268" i="15"/>
  <c r="I267" i="15"/>
  <c r="F267" i="15"/>
  <c r="I266" i="15"/>
  <c r="F266" i="15"/>
  <c r="I265" i="15"/>
  <c r="F265" i="15"/>
  <c r="I264" i="15"/>
  <c r="F264" i="15"/>
  <c r="I263" i="15"/>
  <c r="F263" i="15"/>
  <c r="I262" i="15"/>
  <c r="F262" i="15"/>
  <c r="I261" i="15"/>
  <c r="F261" i="15"/>
  <c r="I260" i="15"/>
  <c r="F260" i="15"/>
  <c r="I259" i="15"/>
  <c r="F259" i="15"/>
  <c r="I258" i="15"/>
  <c r="F258" i="15"/>
  <c r="I257" i="15"/>
  <c r="F257" i="15"/>
  <c r="I256" i="15"/>
  <c r="F256" i="15"/>
  <c r="I255" i="15"/>
  <c r="F255" i="15"/>
  <c r="I254" i="15"/>
  <c r="F254" i="15"/>
  <c r="I253" i="15"/>
  <c r="F253" i="15"/>
  <c r="I252" i="15"/>
  <c r="F252" i="15"/>
  <c r="I251" i="15"/>
  <c r="F251" i="15"/>
  <c r="I250" i="15"/>
  <c r="F250" i="15"/>
  <c r="I249" i="15"/>
  <c r="F249" i="15"/>
  <c r="I248" i="15"/>
  <c r="F248" i="15"/>
  <c r="I247" i="15"/>
  <c r="F247" i="15"/>
  <c r="I246" i="15"/>
  <c r="F246" i="15"/>
  <c r="I245" i="15"/>
  <c r="F245" i="15"/>
  <c r="I244" i="15"/>
  <c r="F244" i="15"/>
  <c r="I243" i="15"/>
  <c r="F243" i="15"/>
  <c r="I242" i="15"/>
  <c r="F242" i="15"/>
  <c r="I241" i="15"/>
  <c r="F241" i="15"/>
  <c r="I240" i="15"/>
  <c r="F240" i="15"/>
  <c r="I239" i="15"/>
  <c r="F239" i="15"/>
  <c r="I238" i="15"/>
  <c r="F238" i="15"/>
  <c r="I237" i="15"/>
  <c r="F237" i="15"/>
  <c r="I236" i="15"/>
  <c r="F236" i="15"/>
  <c r="I235" i="15"/>
  <c r="F235" i="15"/>
  <c r="I234" i="15"/>
  <c r="F234" i="15"/>
  <c r="I233" i="15"/>
  <c r="F233" i="15"/>
  <c r="I232" i="15"/>
  <c r="F232" i="15"/>
  <c r="I231" i="15"/>
  <c r="F231" i="15"/>
  <c r="I230" i="15"/>
  <c r="F230" i="15"/>
  <c r="I229" i="15"/>
  <c r="F229" i="15"/>
  <c r="I228" i="15"/>
  <c r="F228" i="15"/>
  <c r="I227" i="15"/>
  <c r="F227" i="15"/>
  <c r="I226" i="15"/>
  <c r="F226" i="15"/>
  <c r="I225" i="15"/>
  <c r="F225" i="15"/>
  <c r="I224" i="15"/>
  <c r="F224" i="15"/>
  <c r="I223" i="15"/>
  <c r="F223" i="15"/>
  <c r="I222" i="15"/>
  <c r="F222" i="15"/>
  <c r="I221" i="15"/>
  <c r="F221" i="15"/>
  <c r="I220" i="15"/>
  <c r="F220" i="15"/>
  <c r="I219" i="15"/>
  <c r="F219" i="15"/>
  <c r="I218" i="15"/>
  <c r="F218" i="15"/>
  <c r="I217" i="15"/>
  <c r="F217" i="15"/>
  <c r="I216" i="15"/>
  <c r="F216" i="15"/>
  <c r="I215" i="15"/>
  <c r="F215" i="15"/>
  <c r="I214" i="15"/>
  <c r="F214" i="15"/>
  <c r="I213" i="15"/>
  <c r="F213" i="15"/>
  <c r="I212" i="15"/>
  <c r="F212" i="15"/>
  <c r="I211" i="15"/>
  <c r="F211" i="15"/>
  <c r="I210" i="15"/>
  <c r="F210" i="15"/>
  <c r="I209" i="15"/>
  <c r="F209" i="15"/>
  <c r="I208" i="15"/>
  <c r="F208" i="15"/>
  <c r="I207" i="15"/>
  <c r="F207" i="15"/>
  <c r="I206" i="15"/>
  <c r="F206" i="15"/>
  <c r="I205" i="15"/>
  <c r="F205" i="15"/>
  <c r="I204" i="15"/>
  <c r="F204" i="15"/>
  <c r="I203" i="15"/>
  <c r="F203" i="15"/>
  <c r="I202" i="15"/>
  <c r="F202" i="15"/>
  <c r="I201" i="15"/>
  <c r="F201" i="15"/>
  <c r="I200" i="15"/>
  <c r="F200" i="15"/>
  <c r="I199" i="15"/>
  <c r="F199" i="15"/>
  <c r="I198" i="15"/>
  <c r="F198" i="15"/>
  <c r="I197" i="15"/>
  <c r="F197" i="15"/>
  <c r="I196" i="15"/>
  <c r="F196" i="15"/>
  <c r="I195" i="15"/>
  <c r="F195" i="15"/>
  <c r="I194" i="15"/>
  <c r="F194" i="15"/>
  <c r="I193" i="15"/>
  <c r="F193" i="15"/>
  <c r="I192" i="15"/>
  <c r="F192" i="15"/>
  <c r="I191" i="15"/>
  <c r="F191" i="15"/>
  <c r="I190" i="15"/>
  <c r="F190" i="15"/>
  <c r="I189" i="15"/>
  <c r="F189" i="15"/>
  <c r="I188" i="15"/>
  <c r="F188" i="15"/>
  <c r="I187" i="15"/>
  <c r="F187" i="15"/>
  <c r="I186" i="15"/>
  <c r="F186" i="15"/>
  <c r="I185" i="15"/>
  <c r="F185" i="15"/>
  <c r="I184" i="15"/>
  <c r="F184" i="15"/>
  <c r="I183" i="15"/>
  <c r="F183" i="15"/>
  <c r="I182" i="15"/>
  <c r="F182" i="15"/>
  <c r="I181" i="15"/>
  <c r="F181" i="15"/>
  <c r="I180" i="15"/>
  <c r="F180" i="15"/>
  <c r="I179" i="15"/>
  <c r="F179" i="15"/>
  <c r="I178" i="15"/>
  <c r="F178" i="15"/>
  <c r="I177" i="15"/>
  <c r="F177" i="15"/>
  <c r="I176" i="15"/>
  <c r="F176" i="15"/>
  <c r="I175" i="15"/>
  <c r="F175" i="15"/>
  <c r="I174" i="15"/>
  <c r="F174" i="15"/>
  <c r="I173" i="15"/>
  <c r="F173" i="15"/>
  <c r="I172" i="15"/>
  <c r="F172" i="15"/>
  <c r="I171" i="15"/>
  <c r="F171" i="15"/>
  <c r="I170" i="15"/>
  <c r="F170" i="15"/>
  <c r="I169" i="15"/>
  <c r="F169" i="15"/>
  <c r="I168" i="15"/>
  <c r="F168" i="15"/>
  <c r="I167" i="15"/>
  <c r="F167" i="15"/>
  <c r="I166" i="15"/>
  <c r="F166" i="15"/>
  <c r="I165" i="15"/>
  <c r="F165" i="15"/>
  <c r="I164" i="15"/>
  <c r="F164" i="15"/>
  <c r="I163" i="15"/>
  <c r="F163" i="15"/>
  <c r="I162" i="15"/>
  <c r="F162" i="15"/>
  <c r="I161" i="15"/>
  <c r="F161" i="15"/>
  <c r="I160" i="15"/>
  <c r="F160" i="15"/>
  <c r="I159" i="15"/>
  <c r="F159" i="15"/>
  <c r="I158" i="15"/>
  <c r="F158" i="15"/>
  <c r="I157" i="15"/>
  <c r="F157" i="15"/>
  <c r="I156" i="15"/>
  <c r="F156" i="15"/>
  <c r="I155" i="15"/>
  <c r="F155" i="15"/>
  <c r="I154" i="15"/>
  <c r="F154" i="15"/>
  <c r="I153" i="15"/>
  <c r="F153" i="15"/>
  <c r="I152" i="15"/>
  <c r="F152" i="15"/>
  <c r="I151" i="15"/>
  <c r="F151" i="15"/>
  <c r="I150" i="15"/>
  <c r="F150" i="15"/>
  <c r="I149" i="15"/>
  <c r="F149" i="15"/>
  <c r="I148" i="15"/>
  <c r="F148" i="15"/>
  <c r="I147" i="15"/>
  <c r="F147" i="15"/>
  <c r="I146" i="15"/>
  <c r="F146" i="15"/>
  <c r="I145" i="15"/>
  <c r="F145" i="15"/>
  <c r="I144" i="15"/>
  <c r="F144" i="15"/>
  <c r="I143" i="15"/>
  <c r="F143" i="15"/>
  <c r="I142" i="15"/>
  <c r="F142" i="15"/>
  <c r="I141" i="15"/>
  <c r="F141" i="15"/>
  <c r="I140" i="15"/>
  <c r="F140" i="15"/>
  <c r="I139" i="15"/>
  <c r="F139" i="15"/>
  <c r="I138" i="15"/>
  <c r="F138" i="15"/>
  <c r="I137" i="15"/>
  <c r="F137" i="15"/>
  <c r="I136" i="15"/>
  <c r="F136" i="15"/>
  <c r="I135" i="15"/>
  <c r="F135" i="15"/>
  <c r="I134" i="15"/>
  <c r="F134" i="15"/>
  <c r="I133" i="15"/>
  <c r="F133" i="15"/>
  <c r="I132" i="15"/>
  <c r="F132" i="15"/>
  <c r="I131" i="15"/>
  <c r="F131" i="15"/>
  <c r="I130" i="15"/>
  <c r="F130" i="15"/>
  <c r="I129" i="15"/>
  <c r="F129" i="15"/>
  <c r="I128" i="15"/>
  <c r="F128" i="15"/>
  <c r="I127" i="15"/>
  <c r="F127" i="15"/>
  <c r="I126" i="15"/>
  <c r="F126" i="15"/>
  <c r="I125" i="15"/>
  <c r="F125" i="15"/>
  <c r="I124" i="15"/>
  <c r="F124" i="15"/>
  <c r="I123" i="15"/>
  <c r="F123" i="15"/>
  <c r="I122" i="15"/>
  <c r="F122" i="15"/>
  <c r="I121" i="15"/>
  <c r="F121" i="15"/>
  <c r="I120" i="15"/>
  <c r="F120" i="15"/>
  <c r="I119" i="15"/>
  <c r="F119" i="15"/>
  <c r="I118" i="15"/>
  <c r="F118" i="15"/>
  <c r="I117" i="15"/>
  <c r="F117" i="15"/>
  <c r="I116" i="15"/>
  <c r="F116" i="15"/>
  <c r="I115" i="15"/>
  <c r="F115" i="15"/>
  <c r="I114" i="15"/>
  <c r="F114" i="15"/>
  <c r="I113" i="15"/>
  <c r="F113" i="15"/>
  <c r="I112" i="15"/>
  <c r="F112" i="15"/>
  <c r="I111" i="15"/>
  <c r="F111" i="15"/>
  <c r="I110" i="15"/>
  <c r="F110" i="15"/>
  <c r="I109" i="15"/>
  <c r="F109" i="15"/>
  <c r="I108" i="15"/>
  <c r="F108" i="15"/>
  <c r="I107" i="15"/>
  <c r="F107" i="15"/>
  <c r="I106" i="15"/>
  <c r="F106" i="15"/>
  <c r="I105" i="15"/>
  <c r="F105" i="15"/>
  <c r="I104" i="15"/>
  <c r="F104" i="15"/>
  <c r="I103" i="15"/>
  <c r="F103" i="15"/>
  <c r="I102" i="15"/>
  <c r="F102" i="15"/>
  <c r="I101" i="15"/>
  <c r="F101" i="15"/>
  <c r="I100" i="15"/>
  <c r="F100" i="15"/>
  <c r="I99" i="15"/>
  <c r="F99" i="15"/>
  <c r="I98" i="15"/>
  <c r="F98" i="15"/>
  <c r="I97" i="15"/>
  <c r="F97" i="15"/>
  <c r="I96" i="15"/>
  <c r="F96" i="15"/>
  <c r="I95" i="15"/>
  <c r="F95" i="15"/>
  <c r="I94" i="15"/>
  <c r="F94" i="15"/>
  <c r="I93" i="15"/>
  <c r="F93" i="15"/>
  <c r="I92" i="15"/>
  <c r="F92" i="15"/>
  <c r="I91" i="15"/>
  <c r="F91" i="15"/>
  <c r="I90" i="15"/>
  <c r="F90" i="15"/>
  <c r="I89" i="15"/>
  <c r="F89" i="15"/>
  <c r="I88" i="15"/>
  <c r="F88" i="15"/>
  <c r="I87" i="15"/>
  <c r="F87" i="15"/>
  <c r="I86" i="15"/>
  <c r="F86" i="15"/>
  <c r="I85" i="15"/>
  <c r="F85" i="15"/>
  <c r="I84" i="15"/>
  <c r="F84" i="15"/>
  <c r="I83" i="15"/>
  <c r="F83" i="15"/>
  <c r="I82" i="15"/>
  <c r="F82" i="15"/>
  <c r="I81" i="15"/>
  <c r="F81" i="15"/>
  <c r="I80" i="15"/>
  <c r="F80" i="15"/>
  <c r="I79" i="15"/>
  <c r="F79" i="15"/>
  <c r="I78" i="15"/>
  <c r="F78" i="15"/>
  <c r="I77" i="15"/>
  <c r="F77" i="15"/>
  <c r="I76" i="15"/>
  <c r="F76" i="15"/>
  <c r="I75" i="15"/>
  <c r="F75" i="15"/>
  <c r="I74" i="15"/>
  <c r="F74" i="15"/>
  <c r="I73" i="15"/>
  <c r="F73" i="15"/>
  <c r="I72" i="15"/>
  <c r="F72" i="15"/>
  <c r="I71" i="15"/>
  <c r="F71" i="15"/>
  <c r="I70" i="15"/>
  <c r="F70" i="15"/>
  <c r="I69" i="15"/>
  <c r="F69" i="15"/>
  <c r="I68" i="15"/>
  <c r="F68" i="15"/>
  <c r="I67" i="15"/>
  <c r="F67" i="15"/>
  <c r="I66" i="15"/>
  <c r="F66" i="15"/>
  <c r="I65" i="15"/>
  <c r="F65" i="15"/>
  <c r="I64" i="15"/>
  <c r="F64" i="15"/>
  <c r="I63" i="15"/>
  <c r="F63" i="15"/>
  <c r="I62" i="15"/>
  <c r="F62" i="15"/>
  <c r="I61" i="15"/>
  <c r="F61" i="15"/>
  <c r="I60" i="15"/>
  <c r="F60" i="15"/>
  <c r="I59" i="15"/>
  <c r="F59" i="15"/>
  <c r="I58" i="15"/>
  <c r="F58" i="15"/>
  <c r="I57" i="15"/>
  <c r="F57" i="15"/>
  <c r="I56" i="15"/>
  <c r="F56" i="15"/>
  <c r="I55" i="15"/>
  <c r="F55" i="15"/>
  <c r="I54" i="15"/>
  <c r="F54" i="15"/>
  <c r="I53" i="15"/>
  <c r="F53" i="15"/>
  <c r="I52" i="15"/>
  <c r="F52" i="15"/>
  <c r="I51" i="15"/>
  <c r="F51" i="15"/>
  <c r="I50" i="15"/>
  <c r="F50" i="15"/>
  <c r="I49" i="15"/>
  <c r="F49" i="15"/>
  <c r="I48" i="15"/>
  <c r="F48" i="15"/>
  <c r="I47" i="15"/>
  <c r="F47" i="15"/>
  <c r="I46" i="15"/>
  <c r="F46" i="15"/>
  <c r="I45" i="15"/>
  <c r="F45" i="15"/>
  <c r="I44" i="15"/>
  <c r="F44" i="15"/>
  <c r="I43" i="15"/>
  <c r="F43" i="15"/>
  <c r="I42" i="15"/>
  <c r="F42" i="15"/>
  <c r="I41" i="15"/>
  <c r="F41" i="15"/>
  <c r="I40" i="15"/>
  <c r="F40" i="15"/>
  <c r="I39" i="15"/>
  <c r="F39" i="15"/>
  <c r="I38" i="15"/>
  <c r="F38" i="15"/>
  <c r="I37" i="15"/>
  <c r="F37" i="15"/>
  <c r="I36" i="15"/>
  <c r="F36" i="15"/>
  <c r="I35" i="15"/>
  <c r="F35" i="15"/>
  <c r="I34" i="15"/>
  <c r="F34" i="15"/>
  <c r="I33" i="15"/>
  <c r="F33" i="15"/>
  <c r="I32" i="15"/>
  <c r="F32" i="15"/>
  <c r="I31" i="15"/>
  <c r="F31" i="15"/>
  <c r="I30" i="15"/>
  <c r="F30" i="15"/>
  <c r="I29" i="15"/>
  <c r="F29" i="15"/>
  <c r="I28" i="15"/>
  <c r="F28" i="15"/>
  <c r="I27" i="15"/>
  <c r="F27" i="15"/>
  <c r="I26" i="15"/>
  <c r="F26" i="15"/>
  <c r="I25" i="15"/>
  <c r="F25" i="15"/>
  <c r="I24" i="15"/>
  <c r="F24" i="15"/>
  <c r="I23" i="15"/>
  <c r="F23" i="15"/>
  <c r="I22" i="15"/>
  <c r="F22" i="15"/>
  <c r="I21" i="15"/>
  <c r="F21" i="15"/>
  <c r="I20" i="15"/>
  <c r="F20" i="15"/>
  <c r="I19" i="15"/>
  <c r="F19" i="15"/>
  <c r="I18" i="15"/>
  <c r="F18" i="15"/>
  <c r="I17" i="15"/>
  <c r="F17" i="15"/>
  <c r="I16" i="15"/>
  <c r="F16" i="15"/>
  <c r="I15" i="15"/>
  <c r="F15" i="15"/>
  <c r="I14" i="15"/>
  <c r="F14" i="15"/>
  <c r="I13" i="15"/>
  <c r="F13" i="15"/>
  <c r="I12" i="15"/>
  <c r="F12" i="15"/>
  <c r="I11" i="15"/>
  <c r="F11" i="15"/>
  <c r="I10" i="15"/>
  <c r="F10" i="15"/>
  <c r="I9" i="15"/>
  <c r="F9" i="15"/>
  <c r="I8" i="15"/>
  <c r="F8" i="15"/>
  <c r="I7" i="15"/>
  <c r="F7" i="15"/>
  <c r="I6" i="15"/>
  <c r="F6" i="15"/>
  <c r="I5" i="15"/>
  <c r="F5" i="15"/>
  <c r="BS6" i="10" l="1"/>
  <c r="P8" i="17"/>
  <c r="Q8" i="17" s="1"/>
  <c r="P7" i="17"/>
  <c r="Q7" i="17" s="1"/>
  <c r="O9" i="17"/>
  <c r="Q9" i="17" s="1"/>
  <c r="J562" i="15"/>
  <c r="K562" i="15" s="1"/>
  <c r="J626" i="15"/>
  <c r="L626" i="15" s="1"/>
  <c r="J630" i="15"/>
  <c r="L630" i="15" s="1"/>
  <c r="J650" i="15"/>
  <c r="L650" i="15" s="1"/>
  <c r="J1021" i="15"/>
  <c r="L1021" i="15" s="1"/>
  <c r="J1029" i="15"/>
  <c r="K1029" i="15" s="1"/>
  <c r="J1033" i="15"/>
  <c r="K1033" i="15" s="1"/>
  <c r="J1181" i="15"/>
  <c r="K1181" i="15" s="1"/>
  <c r="J1185" i="15"/>
  <c r="K1185" i="15" s="1"/>
  <c r="J1257" i="15"/>
  <c r="K1257" i="15" s="1"/>
  <c r="J1265" i="15"/>
  <c r="K1265" i="15" s="1"/>
  <c r="J1269" i="15"/>
  <c r="K1269" i="15" s="1"/>
  <c r="J1281" i="15"/>
  <c r="K1281" i="15" s="1"/>
  <c r="J1289" i="15"/>
  <c r="K1289" i="15" s="1"/>
  <c r="J1057" i="15"/>
  <c r="L1057" i="15" s="1"/>
  <c r="J1297" i="15"/>
  <c r="K1297" i="15" s="1"/>
  <c r="J1301" i="15"/>
  <c r="L1301" i="15" s="1"/>
  <c r="J35" i="15"/>
  <c r="L35" i="15" s="1"/>
  <c r="J51" i="15"/>
  <c r="K51" i="15" s="1"/>
  <c r="J59" i="15"/>
  <c r="K59" i="15" s="1"/>
  <c r="J67" i="15"/>
  <c r="K67" i="15" s="1"/>
  <c r="J91" i="15"/>
  <c r="L91" i="15" s="1"/>
  <c r="J99" i="15"/>
  <c r="L99" i="15" s="1"/>
  <c r="J103" i="15"/>
  <c r="L103" i="15" s="1"/>
  <c r="J111" i="15"/>
  <c r="L111" i="15" s="1"/>
  <c r="J171" i="15"/>
  <c r="L171" i="15" s="1"/>
  <c r="J175" i="15"/>
  <c r="K175" i="15" s="1"/>
  <c r="J207" i="15"/>
  <c r="L207" i="15" s="1"/>
  <c r="J255" i="15"/>
  <c r="L255" i="15" s="1"/>
  <c r="J259" i="15"/>
  <c r="L259" i="15" s="1"/>
  <c r="J263" i="15"/>
  <c r="K263" i="15" s="1"/>
  <c r="J287" i="15"/>
  <c r="K287" i="15" s="1"/>
  <c r="J291" i="15"/>
  <c r="L291" i="15" s="1"/>
  <c r="J295" i="15"/>
  <c r="L295" i="15" s="1"/>
  <c r="J355" i="15"/>
  <c r="K355" i="15" s="1"/>
  <c r="J371" i="15"/>
  <c r="K371" i="15" s="1"/>
  <c r="J375" i="15"/>
  <c r="L375" i="15" s="1"/>
  <c r="J415" i="15"/>
  <c r="L415" i="15" s="1"/>
  <c r="J435" i="15"/>
  <c r="L435" i="15" s="1"/>
  <c r="J439" i="15"/>
  <c r="L439" i="15" s="1"/>
  <c r="J443" i="15"/>
  <c r="K443" i="15" s="1"/>
  <c r="J451" i="15"/>
  <c r="L451" i="15" s="1"/>
  <c r="J475" i="15"/>
  <c r="L475" i="15" s="1"/>
  <c r="J479" i="15"/>
  <c r="L479" i="15" s="1"/>
  <c r="J495" i="15"/>
  <c r="L495" i="15" s="1"/>
  <c r="J499" i="15"/>
  <c r="K499" i="15" s="1"/>
  <c r="J503" i="15"/>
  <c r="L503" i="15" s="1"/>
  <c r="J523" i="15"/>
  <c r="L523" i="15" s="1"/>
  <c r="J527" i="15"/>
  <c r="L527" i="15" s="1"/>
  <c r="J1007" i="15"/>
  <c r="K1007" i="15" s="1"/>
  <c r="J1015" i="15"/>
  <c r="L1015" i="15" s="1"/>
  <c r="J1006" i="15"/>
  <c r="L1006" i="15" s="1"/>
  <c r="J29" i="15"/>
  <c r="K29" i="15" s="1"/>
  <c r="J37" i="15"/>
  <c r="L37" i="15" s="1"/>
  <c r="J77" i="15"/>
  <c r="L77" i="15" s="1"/>
  <c r="J97" i="15"/>
  <c r="L97" i="15" s="1"/>
  <c r="J269" i="15"/>
  <c r="L269" i="15" s="1"/>
  <c r="J285" i="15"/>
  <c r="K285" i="15" s="1"/>
  <c r="J305" i="15"/>
  <c r="L305" i="15" s="1"/>
  <c r="J329" i="15"/>
  <c r="L329" i="15" s="1"/>
  <c r="J333" i="15"/>
  <c r="L333" i="15" s="1"/>
  <c r="J345" i="15"/>
  <c r="L345" i="15" s="1"/>
  <c r="J349" i="15"/>
  <c r="L349" i="15" s="1"/>
  <c r="J278" i="15"/>
  <c r="K278" i="15" s="1"/>
  <c r="J286" i="15"/>
  <c r="K286" i="15" s="1"/>
  <c r="J714" i="15"/>
  <c r="K714" i="15" s="1"/>
  <c r="J846" i="15"/>
  <c r="K846" i="15" s="1"/>
  <c r="J854" i="15"/>
  <c r="L854" i="15" s="1"/>
  <c r="J862" i="15"/>
  <c r="L862" i="15" s="1"/>
  <c r="J906" i="15"/>
  <c r="K906" i="15" s="1"/>
  <c r="J1094" i="15"/>
  <c r="K1094" i="15" s="1"/>
  <c r="J1114" i="15"/>
  <c r="K1114" i="15" s="1"/>
  <c r="J1142" i="15"/>
  <c r="K1142" i="15" s="1"/>
  <c r="J1242" i="15"/>
  <c r="L1242" i="15" s="1"/>
  <c r="J1274" i="15"/>
  <c r="L1274" i="15" s="1"/>
  <c r="J1322" i="15"/>
  <c r="L1322" i="15" s="1"/>
  <c r="J360" i="15"/>
  <c r="L360" i="15" s="1"/>
  <c r="J380" i="15"/>
  <c r="K380" i="15" s="1"/>
  <c r="J392" i="15"/>
  <c r="L392" i="15" s="1"/>
  <c r="J404" i="15"/>
  <c r="K404" i="15" s="1"/>
  <c r="J412" i="15"/>
  <c r="K412" i="15" s="1"/>
  <c r="J420" i="15"/>
  <c r="K420" i="15" s="1"/>
  <c r="J436" i="15"/>
  <c r="K436" i="15" s="1"/>
  <c r="J444" i="15"/>
  <c r="K444" i="15" s="1"/>
  <c r="J524" i="15"/>
  <c r="K524" i="15" s="1"/>
  <c r="J536" i="15"/>
  <c r="K536" i="15" s="1"/>
  <c r="J552" i="15"/>
  <c r="K552" i="15" s="1"/>
  <c r="J560" i="15"/>
  <c r="K560" i="15" s="1"/>
  <c r="J568" i="15"/>
  <c r="L568" i="15" s="1"/>
  <c r="J572" i="15"/>
  <c r="L572" i="15" s="1"/>
  <c r="J588" i="15"/>
  <c r="K588" i="15" s="1"/>
  <c r="J592" i="15"/>
  <c r="K592" i="15" s="1"/>
  <c r="J624" i="15"/>
  <c r="K624" i="15" s="1"/>
  <c r="J636" i="15"/>
  <c r="K636" i="15" s="1"/>
  <c r="J640" i="15"/>
  <c r="K640" i="15" s="1"/>
  <c r="J644" i="15"/>
  <c r="K644" i="15" s="1"/>
  <c r="J728" i="15"/>
  <c r="K728" i="15" s="1"/>
  <c r="J744" i="15"/>
  <c r="K744" i="15" s="1"/>
  <c r="J760" i="15"/>
  <c r="K760" i="15" s="1"/>
  <c r="J772" i="15"/>
  <c r="L772" i="15" s="1"/>
  <c r="J776" i="15"/>
  <c r="L776" i="15" s="1"/>
  <c r="J788" i="15"/>
  <c r="K788" i="15" s="1"/>
  <c r="J800" i="15"/>
  <c r="K800" i="15" s="1"/>
  <c r="J808" i="15"/>
  <c r="K808" i="15" s="1"/>
  <c r="J820" i="15"/>
  <c r="L820" i="15" s="1"/>
  <c r="J844" i="15"/>
  <c r="K844" i="15" s="1"/>
  <c r="J848" i="15"/>
  <c r="K848" i="15" s="1"/>
  <c r="J888" i="15"/>
  <c r="L888" i="15" s="1"/>
  <c r="J892" i="15"/>
  <c r="K892" i="15" s="1"/>
  <c r="J988" i="15"/>
  <c r="K988" i="15" s="1"/>
  <c r="J1258" i="15"/>
  <c r="L1258" i="15" s="1"/>
  <c r="J1019" i="15"/>
  <c r="L1019" i="15" s="1"/>
  <c r="J1023" i="15"/>
  <c r="K1023" i="15" s="1"/>
  <c r="J1027" i="15"/>
  <c r="L1027" i="15" s="1"/>
  <c r="J1043" i="15"/>
  <c r="K1043" i="15" s="1"/>
  <c r="J1051" i="15"/>
  <c r="K1051" i="15" s="1"/>
  <c r="J1075" i="15"/>
  <c r="L1075" i="15" s="1"/>
  <c r="J1079" i="15"/>
  <c r="K1079" i="15" s="1"/>
  <c r="J1083" i="15"/>
  <c r="K1083" i="15" s="1"/>
  <c r="J1091" i="15"/>
  <c r="L1091" i="15" s="1"/>
  <c r="J1095" i="15"/>
  <c r="L1095" i="15" s="1"/>
  <c r="J1115" i="15"/>
  <c r="L1115" i="15" s="1"/>
  <c r="J1119" i="15"/>
  <c r="L1119" i="15" s="1"/>
  <c r="J1123" i="15"/>
  <c r="L1123" i="15" s="1"/>
  <c r="J1175" i="15"/>
  <c r="K1175" i="15" s="1"/>
  <c r="J1251" i="15"/>
  <c r="L1251" i="15" s="1"/>
  <c r="J579" i="15"/>
  <c r="L579" i="15" s="1"/>
  <c r="J583" i="15"/>
  <c r="L583" i="15" s="1"/>
  <c r="J587" i="15"/>
  <c r="L587" i="15" s="1"/>
  <c r="J603" i="15"/>
  <c r="L603" i="15" s="1"/>
  <c r="J675" i="15"/>
  <c r="L675" i="15" s="1"/>
  <c r="J723" i="15"/>
  <c r="L723" i="15" s="1"/>
  <c r="J927" i="15"/>
  <c r="L927" i="15" s="1"/>
  <c r="J383" i="15"/>
  <c r="L383" i="15" s="1"/>
  <c r="J387" i="15"/>
  <c r="L387" i="15" s="1"/>
  <c r="J1183" i="15"/>
  <c r="K1183" i="15" s="1"/>
  <c r="J1326" i="15"/>
  <c r="L1326" i="15" s="1"/>
  <c r="J1346" i="15"/>
  <c r="K1346" i="15" s="1"/>
  <c r="J517" i="15"/>
  <c r="L517" i="15" s="1"/>
  <c r="J351" i="15"/>
  <c r="L351" i="15" s="1"/>
  <c r="J851" i="15"/>
  <c r="K851" i="15" s="1"/>
  <c r="J1040" i="15"/>
  <c r="K1040" i="15" s="1"/>
  <c r="J1056" i="15"/>
  <c r="K1056" i="15" s="1"/>
  <c r="J1204" i="15"/>
  <c r="L1204" i="15" s="1"/>
  <c r="J1240" i="15"/>
  <c r="K1240" i="15" s="1"/>
  <c r="J1312" i="15"/>
  <c r="L1312" i="15" s="1"/>
  <c r="J357" i="15"/>
  <c r="L357" i="15" s="1"/>
  <c r="J385" i="15"/>
  <c r="L385" i="15" s="1"/>
  <c r="J389" i="15"/>
  <c r="L389" i="15" s="1"/>
  <c r="J445" i="15"/>
  <c r="L445" i="15" s="1"/>
  <c r="J449" i="15"/>
  <c r="L449" i="15" s="1"/>
  <c r="J453" i="15"/>
  <c r="L453" i="15" s="1"/>
  <c r="J465" i="15"/>
  <c r="L465" i="15" s="1"/>
  <c r="J537" i="15"/>
  <c r="L537" i="15" s="1"/>
  <c r="J541" i="15"/>
  <c r="L541" i="15" s="1"/>
  <c r="J561" i="15"/>
  <c r="L561" i="15" s="1"/>
  <c r="J565" i="15"/>
  <c r="L565" i="15" s="1"/>
  <c r="J673" i="15"/>
  <c r="L673" i="15" s="1"/>
  <c r="J689" i="15"/>
  <c r="L689" i="15" s="1"/>
  <c r="J741" i="15"/>
  <c r="L741" i="15" s="1"/>
  <c r="J753" i="15"/>
  <c r="L753" i="15" s="1"/>
  <c r="J757" i="15"/>
  <c r="L757" i="15" s="1"/>
  <c r="J761" i="15"/>
  <c r="L761" i="15" s="1"/>
  <c r="J785" i="15"/>
  <c r="L785" i="15" s="1"/>
  <c r="J805" i="15"/>
  <c r="L805" i="15" s="1"/>
  <c r="J813" i="15"/>
  <c r="L813" i="15" s="1"/>
  <c r="J1036" i="15"/>
  <c r="K1036" i="15" s="1"/>
  <c r="J1196" i="15"/>
  <c r="L1196" i="15" s="1"/>
  <c r="J1208" i="15"/>
  <c r="L1208" i="15" s="1"/>
  <c r="J1228" i="15"/>
  <c r="L1228" i="15" s="1"/>
  <c r="J1236" i="15"/>
  <c r="L1236" i="15" s="1"/>
  <c r="J1304" i="15"/>
  <c r="L1304" i="15" s="1"/>
  <c r="J902" i="15"/>
  <c r="L902" i="15" s="1"/>
  <c r="J1345" i="15"/>
  <c r="K1345" i="15" s="1"/>
  <c r="J331" i="15"/>
  <c r="K331" i="15" s="1"/>
  <c r="J922" i="15"/>
  <c r="L922" i="15" s="1"/>
  <c r="J1072" i="15"/>
  <c r="K1072" i="15" s="1"/>
  <c r="J983" i="15"/>
  <c r="L983" i="15" s="1"/>
  <c r="J995" i="15"/>
  <c r="L995" i="15" s="1"/>
  <c r="J1076" i="15"/>
  <c r="L1076" i="15" s="1"/>
  <c r="J535" i="15"/>
  <c r="L535" i="15" s="1"/>
  <c r="J551" i="15"/>
  <c r="K551" i="15" s="1"/>
  <c r="J1147" i="15"/>
  <c r="L1147" i="15" s="1"/>
  <c r="J125" i="15"/>
  <c r="K125" i="15" s="1"/>
  <c r="J145" i="15"/>
  <c r="K145" i="15" s="1"/>
  <c r="J157" i="15"/>
  <c r="L157" i="15" s="1"/>
  <c r="J161" i="15"/>
  <c r="L161" i="15" s="1"/>
  <c r="J169" i="15"/>
  <c r="L169" i="15" s="1"/>
  <c r="J173" i="15"/>
  <c r="L173" i="15" s="1"/>
  <c r="J185" i="15"/>
  <c r="L185" i="15" s="1"/>
  <c r="J189" i="15"/>
  <c r="L189" i="15" s="1"/>
  <c r="J557" i="15"/>
  <c r="L557" i="15" s="1"/>
  <c r="J992" i="15"/>
  <c r="K992" i="15" s="1"/>
  <c r="J996" i="15"/>
  <c r="L996" i="15" s="1"/>
  <c r="J1004" i="15"/>
  <c r="L1004" i="15" s="1"/>
  <c r="J1224" i="15"/>
  <c r="K1224" i="15" s="1"/>
  <c r="J473" i="15"/>
  <c r="K473" i="15" s="1"/>
  <c r="J477" i="15"/>
  <c r="L477" i="15" s="1"/>
  <c r="J481" i="15"/>
  <c r="L481" i="15" s="1"/>
  <c r="J485" i="15"/>
  <c r="L485" i="15" s="1"/>
  <c r="J1080" i="15"/>
  <c r="L1080" i="15" s="1"/>
  <c r="J1133" i="15"/>
  <c r="L1133" i="15" s="1"/>
  <c r="J1157" i="15"/>
  <c r="L1157" i="15" s="1"/>
  <c r="J1165" i="15"/>
  <c r="L1165" i="15" s="1"/>
  <c r="J339" i="15"/>
  <c r="K339" i="15" s="1"/>
  <c r="J343" i="15"/>
  <c r="L343" i="15" s="1"/>
  <c r="J670" i="15"/>
  <c r="L670" i="15" s="1"/>
  <c r="J135" i="15"/>
  <c r="L135" i="15" s="1"/>
  <c r="J191" i="15"/>
  <c r="L191" i="15" s="1"/>
  <c r="J999" i="15"/>
  <c r="L999" i="15" s="1"/>
  <c r="J311" i="15"/>
  <c r="L311" i="15" s="1"/>
  <c r="J471" i="15"/>
  <c r="K471" i="15" s="1"/>
  <c r="J686" i="15"/>
  <c r="L686" i="15" s="1"/>
  <c r="J954" i="15"/>
  <c r="L954" i="15" s="1"/>
  <c r="J1093" i="15"/>
  <c r="L1093" i="15" s="1"/>
  <c r="J1097" i="15"/>
  <c r="L1097" i="15" s="1"/>
  <c r="J1184" i="15"/>
  <c r="L1184" i="15" s="1"/>
  <c r="J1188" i="15"/>
  <c r="L1188" i="15" s="1"/>
  <c r="J8" i="15"/>
  <c r="L8" i="15" s="1"/>
  <c r="J16" i="15"/>
  <c r="L16" i="15" s="1"/>
  <c r="J24" i="15"/>
  <c r="L24" i="15" s="1"/>
  <c r="J76" i="15"/>
  <c r="L76" i="15" s="1"/>
  <c r="J88" i="15"/>
  <c r="L88" i="15" s="1"/>
  <c r="J92" i="15"/>
  <c r="L92" i="15" s="1"/>
  <c r="J96" i="15"/>
  <c r="L96" i="15" s="1"/>
  <c r="J104" i="15"/>
  <c r="L104" i="15" s="1"/>
  <c r="J108" i="15"/>
  <c r="L108" i="15" s="1"/>
  <c r="J120" i="15"/>
  <c r="L120" i="15" s="1"/>
  <c r="J292" i="15"/>
  <c r="L292" i="15" s="1"/>
  <c r="J348" i="15"/>
  <c r="K348" i="15" s="1"/>
  <c r="J559" i="15"/>
  <c r="L559" i="15" s="1"/>
  <c r="J567" i="15"/>
  <c r="L567" i="15" s="1"/>
  <c r="J591" i="15"/>
  <c r="L591" i="15" s="1"/>
  <c r="J611" i="15"/>
  <c r="L611" i="15" s="1"/>
  <c r="J615" i="15"/>
  <c r="K615" i="15" s="1"/>
  <c r="J619" i="15"/>
  <c r="L619" i="15" s="1"/>
  <c r="J623" i="15"/>
  <c r="L623" i="15" s="1"/>
  <c r="J631" i="15"/>
  <c r="L631" i="15" s="1"/>
  <c r="J635" i="15"/>
  <c r="L635" i="15" s="1"/>
  <c r="J639" i="15"/>
  <c r="L639" i="15" s="1"/>
  <c r="J647" i="15"/>
  <c r="L647" i="15" s="1"/>
  <c r="J651" i="15"/>
  <c r="L651" i="15" s="1"/>
  <c r="J655" i="15"/>
  <c r="K655" i="15" s="1"/>
  <c r="J707" i="15"/>
  <c r="K707" i="15" s="1"/>
  <c r="J739" i="15"/>
  <c r="K739" i="15" s="1"/>
  <c r="J751" i="15"/>
  <c r="L751" i="15" s="1"/>
  <c r="J755" i="15"/>
  <c r="K755" i="15" s="1"/>
  <c r="J767" i="15"/>
  <c r="L767" i="15" s="1"/>
  <c r="J771" i="15"/>
  <c r="L771" i="15" s="1"/>
  <c r="J775" i="15"/>
  <c r="L775" i="15" s="1"/>
  <c r="J779" i="15"/>
  <c r="K779" i="15" s="1"/>
  <c r="J799" i="15"/>
  <c r="L799" i="15" s="1"/>
  <c r="J803" i="15"/>
  <c r="L803" i="15" s="1"/>
  <c r="J819" i="15"/>
  <c r="K819" i="15" s="1"/>
  <c r="J831" i="15"/>
  <c r="L831" i="15" s="1"/>
  <c r="J843" i="15"/>
  <c r="L843" i="15" s="1"/>
  <c r="J871" i="15"/>
  <c r="L871" i="15" s="1"/>
  <c r="J875" i="15"/>
  <c r="K875" i="15" s="1"/>
  <c r="J883" i="15"/>
  <c r="K883" i="15" s="1"/>
  <c r="J895" i="15"/>
  <c r="L895" i="15" s="1"/>
  <c r="J899" i="15"/>
  <c r="L899" i="15" s="1"/>
  <c r="J907" i="15"/>
  <c r="K907" i="15" s="1"/>
  <c r="J939" i="15"/>
  <c r="L939" i="15" s="1"/>
  <c r="J943" i="15"/>
  <c r="L943" i="15" s="1"/>
  <c r="J947" i="15"/>
  <c r="L947" i="15" s="1"/>
  <c r="J959" i="15"/>
  <c r="L959" i="15" s="1"/>
  <c r="J963" i="15"/>
  <c r="K963" i="15" s="1"/>
  <c r="J967" i="15"/>
  <c r="K967" i="15" s="1"/>
  <c r="J971" i="15"/>
  <c r="L971" i="15" s="1"/>
  <c r="J1062" i="15"/>
  <c r="L1062" i="15" s="1"/>
  <c r="J1082" i="15"/>
  <c r="L1082" i="15" s="1"/>
  <c r="J1145" i="15"/>
  <c r="L1145" i="15" s="1"/>
  <c r="J1153" i="15"/>
  <c r="L1153" i="15" s="1"/>
  <c r="J1212" i="15"/>
  <c r="L1212" i="15" s="1"/>
  <c r="J1264" i="15"/>
  <c r="L1264" i="15" s="1"/>
  <c r="J1276" i="15"/>
  <c r="L1276" i="15" s="1"/>
  <c r="J1296" i="15"/>
  <c r="L1296" i="15" s="1"/>
  <c r="J1308" i="15"/>
  <c r="L1308" i="15" s="1"/>
  <c r="J117" i="15"/>
  <c r="L117" i="15" s="1"/>
  <c r="J1098" i="15"/>
  <c r="K1098" i="15" s="1"/>
  <c r="J209" i="15"/>
  <c r="L209" i="15" s="1"/>
  <c r="J253" i="15"/>
  <c r="L253" i="15" s="1"/>
  <c r="J369" i="15"/>
  <c r="L369" i="15" s="1"/>
  <c r="J381" i="15"/>
  <c r="K381" i="15" s="1"/>
  <c r="J409" i="15"/>
  <c r="K409" i="15" s="1"/>
  <c r="J461" i="15"/>
  <c r="L461" i="15" s="1"/>
  <c r="J521" i="15"/>
  <c r="L521" i="15" s="1"/>
  <c r="J533" i="15"/>
  <c r="L533" i="15" s="1"/>
  <c r="J600" i="15"/>
  <c r="K600" i="15" s="1"/>
  <c r="J900" i="15"/>
  <c r="K900" i="15" s="1"/>
  <c r="J904" i="15"/>
  <c r="K904" i="15" s="1"/>
  <c r="J964" i="15"/>
  <c r="K964" i="15" s="1"/>
  <c r="J1111" i="15"/>
  <c r="L1111" i="15" s="1"/>
  <c r="J1178" i="15"/>
  <c r="L1178" i="15" s="1"/>
  <c r="J545" i="15"/>
  <c r="L545" i="15" s="1"/>
  <c r="J322" i="15"/>
  <c r="K322" i="15" s="1"/>
  <c r="J342" i="15"/>
  <c r="K342" i="15" s="1"/>
  <c r="J346" i="15"/>
  <c r="L346" i="15" s="1"/>
  <c r="J350" i="15"/>
  <c r="L350" i="15" s="1"/>
  <c r="J909" i="15"/>
  <c r="L909" i="15" s="1"/>
  <c r="J917" i="15"/>
  <c r="L917" i="15" s="1"/>
  <c r="J933" i="15"/>
  <c r="L933" i="15" s="1"/>
  <c r="J949" i="15"/>
  <c r="L949" i="15" s="1"/>
  <c r="J1008" i="15"/>
  <c r="K1008" i="15" s="1"/>
  <c r="J1012" i="15"/>
  <c r="K1012" i="15" s="1"/>
  <c r="J1032" i="15"/>
  <c r="K1032" i="15" s="1"/>
  <c r="J1127" i="15"/>
  <c r="L1127" i="15" s="1"/>
  <c r="J1139" i="15"/>
  <c r="K1139" i="15" s="1"/>
  <c r="J1163" i="15"/>
  <c r="L1163" i="15" s="1"/>
  <c r="J347" i="15"/>
  <c r="L347" i="15" s="1"/>
  <c r="J94" i="15"/>
  <c r="K94" i="15" s="1"/>
  <c r="J257" i="15"/>
  <c r="L257" i="15" s="1"/>
  <c r="J273" i="15"/>
  <c r="L273" i="15" s="1"/>
  <c r="J378" i="15"/>
  <c r="L378" i="15" s="1"/>
  <c r="J703" i="15"/>
  <c r="K703" i="15" s="1"/>
  <c r="J861" i="15"/>
  <c r="L861" i="15" s="1"/>
  <c r="J920" i="15"/>
  <c r="K920" i="15" s="1"/>
  <c r="J997" i="15"/>
  <c r="K997" i="15" s="1"/>
  <c r="J1158" i="15"/>
  <c r="K1158" i="15" s="1"/>
  <c r="J138" i="15"/>
  <c r="K138" i="15" s="1"/>
  <c r="J142" i="15"/>
  <c r="K142" i="15" s="1"/>
  <c r="J198" i="15"/>
  <c r="K198" i="15" s="1"/>
  <c r="J206" i="15"/>
  <c r="K206" i="15" s="1"/>
  <c r="J293" i="15"/>
  <c r="L293" i="15" s="1"/>
  <c r="J297" i="15"/>
  <c r="L297" i="15" s="1"/>
  <c r="J301" i="15"/>
  <c r="L301" i="15" s="1"/>
  <c r="J313" i="15"/>
  <c r="L313" i="15" s="1"/>
  <c r="J393" i="15"/>
  <c r="L393" i="15" s="1"/>
  <c r="J397" i="15"/>
  <c r="L397" i="15" s="1"/>
  <c r="J413" i="15"/>
  <c r="L413" i="15" s="1"/>
  <c r="J417" i="15"/>
  <c r="K417" i="15" s="1"/>
  <c r="J476" i="15"/>
  <c r="K476" i="15" s="1"/>
  <c r="J492" i="15"/>
  <c r="K492" i="15" s="1"/>
  <c r="J520" i="15"/>
  <c r="L520" i="15" s="1"/>
  <c r="J531" i="15"/>
  <c r="L531" i="15" s="1"/>
  <c r="J582" i="15"/>
  <c r="L582" i="15" s="1"/>
  <c r="J601" i="15"/>
  <c r="L601" i="15" s="1"/>
  <c r="J645" i="15"/>
  <c r="L645" i="15" s="1"/>
  <c r="J700" i="15"/>
  <c r="J735" i="15"/>
  <c r="K735" i="15" s="1"/>
  <c r="J794" i="15"/>
  <c r="L794" i="15" s="1"/>
  <c r="J889" i="15"/>
  <c r="L889" i="15" s="1"/>
  <c r="J897" i="15"/>
  <c r="L897" i="15" s="1"/>
  <c r="J944" i="15"/>
  <c r="K944" i="15" s="1"/>
  <c r="J952" i="15"/>
  <c r="K952" i="15" s="1"/>
  <c r="J956" i="15"/>
  <c r="K956" i="15" s="1"/>
  <c r="J1002" i="15"/>
  <c r="L1002" i="15" s="1"/>
  <c r="J1024" i="15"/>
  <c r="K1024" i="15" s="1"/>
  <c r="J1028" i="15"/>
  <c r="K1028" i="15" s="1"/>
  <c r="J1151" i="15"/>
  <c r="K1151" i="15" s="1"/>
  <c r="J1182" i="15"/>
  <c r="L1182" i="15" s="1"/>
  <c r="J1186" i="15"/>
  <c r="L1186" i="15" s="1"/>
  <c r="J1328" i="15"/>
  <c r="K1328" i="15" s="1"/>
  <c r="J1280" i="15"/>
  <c r="L1280" i="15" s="1"/>
  <c r="J1288" i="15"/>
  <c r="L1288" i="15" s="1"/>
  <c r="J11" i="15"/>
  <c r="K11" i="15" s="1"/>
  <c r="J19" i="15"/>
  <c r="L19" i="15" s="1"/>
  <c r="J27" i="15"/>
  <c r="K27" i="15" s="1"/>
  <c r="J43" i="15"/>
  <c r="K43" i="15" s="1"/>
  <c r="J262" i="15"/>
  <c r="K262" i="15" s="1"/>
  <c r="J364" i="15"/>
  <c r="K364" i="15" s="1"/>
  <c r="J379" i="15"/>
  <c r="K379" i="15" s="1"/>
  <c r="J539" i="15"/>
  <c r="L539" i="15" s="1"/>
  <c r="J555" i="15"/>
  <c r="L555" i="15" s="1"/>
  <c r="J747" i="15"/>
  <c r="L747" i="15" s="1"/>
  <c r="J763" i="15"/>
  <c r="L763" i="15" s="1"/>
  <c r="J937" i="15"/>
  <c r="L937" i="15" s="1"/>
  <c r="J941" i="15"/>
  <c r="J1010" i="15"/>
  <c r="K1010" i="15" s="1"/>
  <c r="J1047" i="15"/>
  <c r="L1047" i="15" s="1"/>
  <c r="J1063" i="15"/>
  <c r="K1063" i="15" s="1"/>
  <c r="J1105" i="15"/>
  <c r="L1105" i="15" s="1"/>
  <c r="J1159" i="15"/>
  <c r="L1159" i="15" s="1"/>
  <c r="J1167" i="15"/>
  <c r="K1167" i="15" s="1"/>
  <c r="J1316" i="15"/>
  <c r="L1316" i="15" s="1"/>
  <c r="J1320" i="15"/>
  <c r="L1320" i="15" s="1"/>
  <c r="J34" i="15"/>
  <c r="L34" i="15" s="1"/>
  <c r="J90" i="15"/>
  <c r="K90" i="15" s="1"/>
  <c r="J114" i="15"/>
  <c r="K114" i="15" s="1"/>
  <c r="J589" i="15"/>
  <c r="L589" i="15" s="1"/>
  <c r="J688" i="15"/>
  <c r="K688" i="15" s="1"/>
  <c r="J865" i="15"/>
  <c r="L865" i="15" s="1"/>
  <c r="J932" i="15"/>
  <c r="K932" i="15" s="1"/>
  <c r="J1035" i="15"/>
  <c r="L1035" i="15" s="1"/>
  <c r="J143" i="15"/>
  <c r="L143" i="15" s="1"/>
  <c r="J155" i="15"/>
  <c r="L155" i="15" s="1"/>
  <c r="J179" i="15"/>
  <c r="K179" i="15" s="1"/>
  <c r="J199" i="15"/>
  <c r="K199" i="15" s="1"/>
  <c r="J330" i="15"/>
  <c r="L330" i="15" s="1"/>
  <c r="J571" i="15"/>
  <c r="K571" i="15" s="1"/>
  <c r="J638" i="15"/>
  <c r="K638" i="15" s="1"/>
  <c r="J693" i="15"/>
  <c r="L693" i="15" s="1"/>
  <c r="J724" i="15"/>
  <c r="K724" i="15" s="1"/>
  <c r="J811" i="15"/>
  <c r="L811" i="15" s="1"/>
  <c r="J827" i="15"/>
  <c r="L827" i="15" s="1"/>
  <c r="J953" i="15"/>
  <c r="L953" i="15" s="1"/>
  <c r="J961" i="15"/>
  <c r="L961" i="15" s="1"/>
  <c r="J968" i="15"/>
  <c r="K968" i="15" s="1"/>
  <c r="J1071" i="15"/>
  <c r="L1071" i="15" s="1"/>
  <c r="J110" i="15"/>
  <c r="K110" i="15" s="1"/>
  <c r="J837" i="15"/>
  <c r="L837" i="15" s="1"/>
  <c r="J936" i="15"/>
  <c r="L936" i="15" s="1"/>
  <c r="J1131" i="15"/>
  <c r="L1131" i="15" s="1"/>
  <c r="J1244" i="15"/>
  <c r="L1244" i="15" s="1"/>
  <c r="J1256" i="15"/>
  <c r="K1256" i="15" s="1"/>
  <c r="J1272" i="15"/>
  <c r="L1272" i="15" s="1"/>
  <c r="J1284" i="15"/>
  <c r="L1284" i="15" s="1"/>
  <c r="J32" i="15"/>
  <c r="L32" i="15" s="1"/>
  <c r="J40" i="15"/>
  <c r="L40" i="15" s="1"/>
  <c r="J48" i="15"/>
  <c r="L48" i="15" s="1"/>
  <c r="J56" i="15"/>
  <c r="L56" i="15" s="1"/>
  <c r="J84" i="15"/>
  <c r="L84" i="15" s="1"/>
  <c r="J271" i="15"/>
  <c r="L271" i="15" s="1"/>
  <c r="J354" i="15"/>
  <c r="K354" i="15" s="1"/>
  <c r="J361" i="15"/>
  <c r="L361" i="15" s="1"/>
  <c r="J643" i="15"/>
  <c r="K643" i="15" s="1"/>
  <c r="J835" i="15"/>
  <c r="L835" i="15" s="1"/>
  <c r="J839" i="15"/>
  <c r="L839" i="15" s="1"/>
  <c r="J879" i="15"/>
  <c r="L879" i="15" s="1"/>
  <c r="J1052" i="15"/>
  <c r="K1052" i="15" s="1"/>
  <c r="J1060" i="15"/>
  <c r="L1060" i="15" s="1"/>
  <c r="J1064" i="15"/>
  <c r="K1064" i="15" s="1"/>
  <c r="J1068" i="15"/>
  <c r="J1192" i="15"/>
  <c r="K1192" i="15" s="1"/>
  <c r="J26" i="15"/>
  <c r="K26" i="15" s="1"/>
  <c r="J50" i="15"/>
  <c r="L50" i="15" s="1"/>
  <c r="J98" i="15"/>
  <c r="K98" i="15" s="1"/>
  <c r="J382" i="15"/>
  <c r="L382" i="15" s="1"/>
  <c r="J692" i="15"/>
  <c r="J1001" i="15"/>
  <c r="K1001" i="15" s="1"/>
  <c r="J21" i="15"/>
  <c r="K21" i="15" s="1"/>
  <c r="J172" i="15"/>
  <c r="L172" i="15" s="1"/>
  <c r="J252" i="15"/>
  <c r="L252" i="15" s="1"/>
  <c r="J303" i="15"/>
  <c r="K303" i="15" s="1"/>
  <c r="J419" i="15"/>
  <c r="K419" i="15" s="1"/>
  <c r="J423" i="15"/>
  <c r="L423" i="15" s="1"/>
  <c r="J427" i="15"/>
  <c r="L427" i="15" s="1"/>
  <c r="J553" i="15"/>
  <c r="L553" i="15" s="1"/>
  <c r="J709" i="15"/>
  <c r="L709" i="15" s="1"/>
  <c r="J737" i="15"/>
  <c r="L737" i="15" s="1"/>
  <c r="J824" i="15"/>
  <c r="K824" i="15" s="1"/>
  <c r="J891" i="15"/>
  <c r="L891" i="15" s="1"/>
  <c r="J903" i="15"/>
  <c r="K903" i="15" s="1"/>
  <c r="J1011" i="15"/>
  <c r="K1011" i="15" s="1"/>
  <c r="J1180" i="15"/>
  <c r="K1180" i="15" s="1"/>
  <c r="J18" i="15"/>
  <c r="L18" i="15" s="1"/>
  <c r="J42" i="15"/>
  <c r="K42" i="15" s="1"/>
  <c r="J82" i="15"/>
  <c r="K82" i="15" s="1"/>
  <c r="J102" i="15"/>
  <c r="K102" i="15" s="1"/>
  <c r="J126" i="15"/>
  <c r="J873" i="15"/>
  <c r="L873" i="15" s="1"/>
  <c r="J1135" i="15"/>
  <c r="K1135" i="15" s="1"/>
  <c r="J105" i="15"/>
  <c r="L105" i="15" s="1"/>
  <c r="J113" i="15"/>
  <c r="L113" i="15" s="1"/>
  <c r="J121" i="15"/>
  <c r="K121" i="15" s="1"/>
  <c r="J129" i="15"/>
  <c r="L129" i="15" s="1"/>
  <c r="J137" i="15"/>
  <c r="K137" i="15" s="1"/>
  <c r="J153" i="15"/>
  <c r="K153" i="15" s="1"/>
  <c r="J181" i="15"/>
  <c r="L181" i="15" s="1"/>
  <c r="J197" i="15"/>
  <c r="L197" i="15" s="1"/>
  <c r="J201" i="15"/>
  <c r="L201" i="15" s="1"/>
  <c r="J217" i="15"/>
  <c r="L217" i="15" s="1"/>
  <c r="J245" i="15"/>
  <c r="L245" i="15" s="1"/>
  <c r="J304" i="15"/>
  <c r="L304" i="15" s="1"/>
  <c r="J373" i="15"/>
  <c r="K373" i="15" s="1"/>
  <c r="J447" i="15"/>
  <c r="L447" i="15" s="1"/>
  <c r="J491" i="15"/>
  <c r="L491" i="15" s="1"/>
  <c r="J511" i="15"/>
  <c r="L511" i="15" s="1"/>
  <c r="J519" i="15"/>
  <c r="L519" i="15" s="1"/>
  <c r="J530" i="15"/>
  <c r="L530" i="15" s="1"/>
  <c r="J695" i="15"/>
  <c r="L695" i="15" s="1"/>
  <c r="J856" i="15"/>
  <c r="K856" i="15" s="1"/>
  <c r="J911" i="15"/>
  <c r="K911" i="15" s="1"/>
  <c r="J919" i="15"/>
  <c r="L919" i="15" s="1"/>
  <c r="J931" i="15"/>
  <c r="L931" i="15" s="1"/>
  <c r="J981" i="15"/>
  <c r="K981" i="15" s="1"/>
  <c r="J985" i="15"/>
  <c r="K985" i="15" s="1"/>
  <c r="J1000" i="15"/>
  <c r="K1000" i="15" s="1"/>
  <c r="J1042" i="15"/>
  <c r="L1042" i="15" s="1"/>
  <c r="J1045" i="15"/>
  <c r="L1045" i="15" s="1"/>
  <c r="J1049" i="15"/>
  <c r="L1049" i="15" s="1"/>
  <c r="J1065" i="15"/>
  <c r="L1065" i="15" s="1"/>
  <c r="J1134" i="15"/>
  <c r="K1134" i="15" s="1"/>
  <c r="J5" i="15"/>
  <c r="K5" i="15" s="1"/>
  <c r="J9" i="15"/>
  <c r="L9" i="15" s="1"/>
  <c r="J13" i="15"/>
  <c r="K13" i="15" s="1"/>
  <c r="J17" i="15"/>
  <c r="L17" i="15" s="1"/>
  <c r="J25" i="15"/>
  <c r="L25" i="15" s="1"/>
  <c r="J33" i="15"/>
  <c r="L33" i="15" s="1"/>
  <c r="J41" i="15"/>
  <c r="L41" i="15" s="1"/>
  <c r="J45" i="15"/>
  <c r="K45" i="15" s="1"/>
  <c r="J49" i="15"/>
  <c r="L49" i="15" s="1"/>
  <c r="J53" i="15"/>
  <c r="K53" i="15" s="1"/>
  <c r="J57" i="15"/>
  <c r="L57" i="15" s="1"/>
  <c r="J61" i="15"/>
  <c r="K61" i="15" s="1"/>
  <c r="J65" i="15"/>
  <c r="L65" i="15" s="1"/>
  <c r="J69" i="15"/>
  <c r="K69" i="15" s="1"/>
  <c r="J73" i="15"/>
  <c r="L73" i="15" s="1"/>
  <c r="J81" i="15"/>
  <c r="L81" i="15" s="1"/>
  <c r="J85" i="15"/>
  <c r="L85" i="15" s="1"/>
  <c r="J89" i="15"/>
  <c r="K89" i="15" s="1"/>
  <c r="J93" i="15"/>
  <c r="L93" i="15" s="1"/>
  <c r="J101" i="15"/>
  <c r="K101" i="15" s="1"/>
  <c r="J123" i="15"/>
  <c r="L123" i="15" s="1"/>
  <c r="J150" i="15"/>
  <c r="K150" i="15" s="1"/>
  <c r="J154" i="15"/>
  <c r="K154" i="15" s="1"/>
  <c r="J162" i="15"/>
  <c r="K162" i="15" s="1"/>
  <c r="J170" i="15"/>
  <c r="K170" i="15" s="1"/>
  <c r="J182" i="15"/>
  <c r="J193" i="15"/>
  <c r="L193" i="15" s="1"/>
  <c r="J205" i="15"/>
  <c r="L205" i="15" s="1"/>
  <c r="J268" i="15"/>
  <c r="L268" i="15" s="1"/>
  <c r="J569" i="15"/>
  <c r="K569" i="15" s="1"/>
  <c r="J585" i="15"/>
  <c r="J663" i="15"/>
  <c r="K663" i="15" s="1"/>
  <c r="J667" i="15"/>
  <c r="L667" i="15" s="1"/>
  <c r="J671" i="15"/>
  <c r="L671" i="15" s="1"/>
  <c r="J687" i="15"/>
  <c r="L687" i="15" s="1"/>
  <c r="J769" i="15"/>
  <c r="L769" i="15" s="1"/>
  <c r="J773" i="15"/>
  <c r="J847" i="15"/>
  <c r="K847" i="15" s="1"/>
  <c r="J855" i="15"/>
  <c r="L855" i="15" s="1"/>
  <c r="J859" i="15"/>
  <c r="L859" i="15" s="1"/>
  <c r="J980" i="15"/>
  <c r="K980" i="15" s="1"/>
  <c r="J1055" i="15"/>
  <c r="K1055" i="15" s="1"/>
  <c r="J1194" i="15"/>
  <c r="L1194" i="15" s="1"/>
  <c r="J1206" i="15"/>
  <c r="K1206" i="15" s="1"/>
  <c r="J109" i="15"/>
  <c r="L109" i="15" s="1"/>
  <c r="J213" i="15"/>
  <c r="L213" i="15" s="1"/>
  <c r="J221" i="15"/>
  <c r="L221" i="15" s="1"/>
  <c r="J225" i="15"/>
  <c r="L225" i="15" s="1"/>
  <c r="J229" i="15"/>
  <c r="K229" i="15" s="1"/>
  <c r="J233" i="15"/>
  <c r="L233" i="15" s="1"/>
  <c r="J237" i="15"/>
  <c r="L237" i="15" s="1"/>
  <c r="J241" i="15"/>
  <c r="K241" i="15" s="1"/>
  <c r="J249" i="15"/>
  <c r="L249" i="15" s="1"/>
  <c r="J261" i="15"/>
  <c r="L261" i="15" s="1"/>
  <c r="J410" i="15"/>
  <c r="L410" i="15" s="1"/>
  <c r="J421" i="15"/>
  <c r="L421" i="15" s="1"/>
  <c r="J425" i="15"/>
  <c r="L425" i="15" s="1"/>
  <c r="J429" i="15"/>
  <c r="L429" i="15" s="1"/>
  <c r="J433" i="15"/>
  <c r="L433" i="15" s="1"/>
  <c r="J441" i="15"/>
  <c r="L441" i="15" s="1"/>
  <c r="J547" i="15"/>
  <c r="L547" i="15" s="1"/>
  <c r="J652" i="15"/>
  <c r="K652" i="15" s="1"/>
  <c r="J730" i="15"/>
  <c r="L730" i="15" s="1"/>
  <c r="J1037" i="15"/>
  <c r="L1037" i="15" s="1"/>
  <c r="J1324" i="15"/>
  <c r="L1324" i="15" s="1"/>
  <c r="J1332" i="15"/>
  <c r="L1332" i="15" s="1"/>
  <c r="J1336" i="15"/>
  <c r="L1336" i="15" s="1"/>
  <c r="J1340" i="15"/>
  <c r="L1340" i="15" s="1"/>
  <c r="J140" i="15"/>
  <c r="L140" i="15" s="1"/>
  <c r="J187" i="15"/>
  <c r="L187" i="15" s="1"/>
  <c r="J214" i="15"/>
  <c r="K214" i="15" s="1"/>
  <c r="J218" i="15"/>
  <c r="K218" i="15" s="1"/>
  <c r="J226" i="15"/>
  <c r="K226" i="15" s="1"/>
  <c r="J234" i="15"/>
  <c r="K234" i="15" s="1"/>
  <c r="J377" i="15"/>
  <c r="L377" i="15" s="1"/>
  <c r="J384" i="15"/>
  <c r="K384" i="15" s="1"/>
  <c r="J391" i="15"/>
  <c r="L391" i="15" s="1"/>
  <c r="J395" i="15"/>
  <c r="L395" i="15" s="1"/>
  <c r="J399" i="15"/>
  <c r="L399" i="15" s="1"/>
  <c r="J403" i="15"/>
  <c r="K403" i="15" s="1"/>
  <c r="J411" i="15"/>
  <c r="L411" i="15" s="1"/>
  <c r="J497" i="15"/>
  <c r="K497" i="15" s="1"/>
  <c r="J501" i="15"/>
  <c r="L501" i="15" s="1"/>
  <c r="J715" i="15"/>
  <c r="L715" i="15" s="1"/>
  <c r="J727" i="15"/>
  <c r="L727" i="15" s="1"/>
  <c r="J1103" i="15"/>
  <c r="J1282" i="15"/>
  <c r="L1282" i="15" s="1"/>
  <c r="J12" i="15"/>
  <c r="L12" i="15" s="1"/>
  <c r="J20" i="15"/>
  <c r="L20" i="15" s="1"/>
  <c r="J28" i="15"/>
  <c r="L28" i="15" s="1"/>
  <c r="J36" i="15"/>
  <c r="L36" i="15" s="1"/>
  <c r="J44" i="15"/>
  <c r="L44" i="15" s="1"/>
  <c r="J52" i="15"/>
  <c r="L52" i="15" s="1"/>
  <c r="J60" i="15"/>
  <c r="L60" i="15" s="1"/>
  <c r="J64" i="15"/>
  <c r="L64" i="15" s="1"/>
  <c r="J68" i="15"/>
  <c r="L68" i="15" s="1"/>
  <c r="J72" i="15"/>
  <c r="L72" i="15" s="1"/>
  <c r="J107" i="15"/>
  <c r="L107" i="15" s="1"/>
  <c r="J133" i="15"/>
  <c r="L133" i="15" s="1"/>
  <c r="J141" i="15"/>
  <c r="K141" i="15" s="1"/>
  <c r="J165" i="15"/>
  <c r="L165" i="15" s="1"/>
  <c r="J188" i="15"/>
  <c r="L188" i="15" s="1"/>
  <c r="J235" i="15"/>
  <c r="L235" i="15" s="1"/>
  <c r="J243" i="15"/>
  <c r="L243" i="15" s="1"/>
  <c r="J251" i="15"/>
  <c r="L251" i="15" s="1"/>
  <c r="J294" i="15"/>
  <c r="J309" i="15"/>
  <c r="L309" i="15" s="1"/>
  <c r="J352" i="15"/>
  <c r="K352" i="15" s="1"/>
  <c r="J359" i="15"/>
  <c r="L359" i="15" s="1"/>
  <c r="J455" i="15"/>
  <c r="L455" i="15" s="1"/>
  <c r="J463" i="15"/>
  <c r="L463" i="15" s="1"/>
  <c r="J708" i="15"/>
  <c r="K708" i="15" s="1"/>
  <c r="J901" i="15"/>
  <c r="L901" i="15" s="1"/>
  <c r="J994" i="15"/>
  <c r="L994" i="15" s="1"/>
  <c r="J1005" i="15"/>
  <c r="L1005" i="15" s="1"/>
  <c r="J1009" i="15"/>
  <c r="L1009" i="15" s="1"/>
  <c r="J134" i="15"/>
  <c r="K134" i="15" s="1"/>
  <c r="J149" i="15"/>
  <c r="L149" i="15" s="1"/>
  <c r="J177" i="15"/>
  <c r="L177" i="15" s="1"/>
  <c r="J279" i="15"/>
  <c r="L279" i="15" s="1"/>
  <c r="J283" i="15"/>
  <c r="L283" i="15" s="1"/>
  <c r="J317" i="15"/>
  <c r="L317" i="15" s="1"/>
  <c r="J321" i="15"/>
  <c r="L321" i="15" s="1"/>
  <c r="J783" i="15"/>
  <c r="L783" i="15" s="1"/>
  <c r="J787" i="15"/>
  <c r="K787" i="15" s="1"/>
  <c r="J791" i="15"/>
  <c r="L791" i="15" s="1"/>
  <c r="J874" i="15"/>
  <c r="L874" i="15" s="1"/>
  <c r="J882" i="15"/>
  <c r="K882" i="15" s="1"/>
  <c r="J987" i="15"/>
  <c r="L987" i="15" s="1"/>
  <c r="J1020" i="15"/>
  <c r="K1020" i="15" s="1"/>
  <c r="J1169" i="15"/>
  <c r="L1169" i="15" s="1"/>
  <c r="J1173" i="15"/>
  <c r="L1173" i="15" s="1"/>
  <c r="J265" i="15"/>
  <c r="L265" i="15" s="1"/>
  <c r="J276" i="15"/>
  <c r="L276" i="15" s="1"/>
  <c r="J284" i="15"/>
  <c r="L284" i="15" s="1"/>
  <c r="J302" i="15"/>
  <c r="K302" i="15" s="1"/>
  <c r="J306" i="15"/>
  <c r="K306" i="15" s="1"/>
  <c r="J310" i="15"/>
  <c r="K310" i="15" s="1"/>
  <c r="J325" i="15"/>
  <c r="K325" i="15" s="1"/>
  <c r="J337" i="15"/>
  <c r="L337" i="15" s="1"/>
  <c r="J341" i="15"/>
  <c r="L341" i="15" s="1"/>
  <c r="J353" i="15"/>
  <c r="L353" i="15" s="1"/>
  <c r="J356" i="15"/>
  <c r="L356" i="15" s="1"/>
  <c r="J363" i="15"/>
  <c r="L363" i="15" s="1"/>
  <c r="J367" i="15"/>
  <c r="L367" i="15" s="1"/>
  <c r="J388" i="15"/>
  <c r="K388" i="15" s="1"/>
  <c r="J407" i="15"/>
  <c r="L407" i="15" s="1"/>
  <c r="J414" i="15"/>
  <c r="L414" i="15" s="1"/>
  <c r="J437" i="15"/>
  <c r="L437" i="15" s="1"/>
  <c r="J448" i="15"/>
  <c r="K448" i="15" s="1"/>
  <c r="J464" i="15"/>
  <c r="J467" i="15"/>
  <c r="L467" i="15" s="1"/>
  <c r="J505" i="15"/>
  <c r="L505" i="15" s="1"/>
  <c r="J509" i="15"/>
  <c r="L509" i="15" s="1"/>
  <c r="J513" i="15"/>
  <c r="K513" i="15" s="1"/>
  <c r="J525" i="15"/>
  <c r="L525" i="15" s="1"/>
  <c r="J528" i="15"/>
  <c r="K528" i="15" s="1"/>
  <c r="J599" i="15"/>
  <c r="L599" i="15" s="1"/>
  <c r="J606" i="15"/>
  <c r="L606" i="15" s="1"/>
  <c r="J622" i="15"/>
  <c r="L622" i="15" s="1"/>
  <c r="J641" i="15"/>
  <c r="L641" i="15" s="1"/>
  <c r="J656" i="15"/>
  <c r="K656" i="15" s="1"/>
  <c r="J660" i="15"/>
  <c r="J679" i="15"/>
  <c r="L679" i="15" s="1"/>
  <c r="J683" i="15"/>
  <c r="L683" i="15" s="1"/>
  <c r="J691" i="15"/>
  <c r="K691" i="15" s="1"/>
  <c r="J712" i="15"/>
  <c r="J719" i="15"/>
  <c r="K719" i="15" s="1"/>
  <c r="J817" i="15"/>
  <c r="L817" i="15" s="1"/>
  <c r="J821" i="15"/>
  <c r="L821" i="15" s="1"/>
  <c r="J825" i="15"/>
  <c r="L825" i="15" s="1"/>
  <c r="J840" i="15"/>
  <c r="K840" i="15" s="1"/>
  <c r="J863" i="15"/>
  <c r="L863" i="15" s="1"/>
  <c r="J867" i="15"/>
  <c r="L867" i="15" s="1"/>
  <c r="J890" i="15"/>
  <c r="L890" i="15" s="1"/>
  <c r="J905" i="15"/>
  <c r="L905" i="15" s="1"/>
  <c r="J912" i="15"/>
  <c r="L912" i="15" s="1"/>
  <c r="J916" i="15"/>
  <c r="K916" i="15" s="1"/>
  <c r="J923" i="15"/>
  <c r="L923" i="15" s="1"/>
  <c r="J935" i="15"/>
  <c r="L935" i="15" s="1"/>
  <c r="J976" i="15"/>
  <c r="K976" i="15" s="1"/>
  <c r="J1044" i="15"/>
  <c r="L1044" i="15" s="1"/>
  <c r="J1048" i="15"/>
  <c r="K1048" i="15" s="1"/>
  <c r="J1059" i="15"/>
  <c r="L1059" i="15" s="1"/>
  <c r="J1077" i="15"/>
  <c r="L1077" i="15" s="1"/>
  <c r="J1084" i="15"/>
  <c r="K1084" i="15" s="1"/>
  <c r="J1088" i="15"/>
  <c r="K1088" i="15" s="1"/>
  <c r="J1107" i="15"/>
  <c r="L1107" i="15" s="1"/>
  <c r="J1143" i="15"/>
  <c r="K1143" i="15" s="1"/>
  <c r="J1156" i="15"/>
  <c r="L1156" i="15" s="1"/>
  <c r="J1210" i="15"/>
  <c r="K1210" i="15" s="1"/>
  <c r="J1248" i="15"/>
  <c r="K1248" i="15" s="1"/>
  <c r="J1252" i="15"/>
  <c r="L1252" i="15" s="1"/>
  <c r="J1290" i="15"/>
  <c r="L1290" i="15" s="1"/>
  <c r="J1313" i="15"/>
  <c r="K1313" i="15" s="1"/>
  <c r="J318" i="15"/>
  <c r="K318" i="15" s="1"/>
  <c r="J483" i="15"/>
  <c r="L483" i="15" s="1"/>
  <c r="J487" i="15"/>
  <c r="L487" i="15" s="1"/>
  <c r="J668" i="15"/>
  <c r="K668" i="15" s="1"/>
  <c r="J743" i="15"/>
  <c r="L743" i="15" s="1"/>
  <c r="J887" i="15"/>
  <c r="L887" i="15" s="1"/>
  <c r="J984" i="15"/>
  <c r="K984" i="15" s="1"/>
  <c r="J991" i="15"/>
  <c r="L991" i="15" s="1"/>
  <c r="J1031" i="15"/>
  <c r="L1031" i="15" s="1"/>
  <c r="J1074" i="15"/>
  <c r="L1074" i="15" s="1"/>
  <c r="J1078" i="15"/>
  <c r="L1078" i="15" s="1"/>
  <c r="J1174" i="15"/>
  <c r="J1218" i="15"/>
  <c r="L1218" i="15" s="1"/>
  <c r="J1260" i="15"/>
  <c r="L1260" i="15" s="1"/>
  <c r="J1268" i="15"/>
  <c r="L1268" i="15" s="1"/>
  <c r="J1306" i="15"/>
  <c r="L1306" i="15" s="1"/>
  <c r="J1321" i="15"/>
  <c r="K1321" i="15" s="1"/>
  <c r="J1329" i="15"/>
  <c r="K1329" i="15" s="1"/>
  <c r="J1333" i="15"/>
  <c r="K1333" i="15" s="1"/>
  <c r="J1344" i="15"/>
  <c r="K1344" i="15" s="1"/>
  <c r="J277" i="15"/>
  <c r="L277" i="15" s="1"/>
  <c r="J401" i="15"/>
  <c r="K401" i="15" s="1"/>
  <c r="J457" i="15"/>
  <c r="L457" i="15" s="1"/>
  <c r="J468" i="15"/>
  <c r="L468" i="15" s="1"/>
  <c r="J514" i="15"/>
  <c r="L514" i="15" s="1"/>
  <c r="J529" i="15"/>
  <c r="L529" i="15" s="1"/>
  <c r="J627" i="15"/>
  <c r="L627" i="15" s="1"/>
  <c r="J657" i="15"/>
  <c r="L657" i="15" s="1"/>
  <c r="J672" i="15"/>
  <c r="K672" i="15" s="1"/>
  <c r="J684" i="15"/>
  <c r="K684" i="15" s="1"/>
  <c r="J699" i="15"/>
  <c r="L699" i="15" s="1"/>
  <c r="J792" i="15"/>
  <c r="K792" i="15" s="1"/>
  <c r="J807" i="15"/>
  <c r="L807" i="15" s="1"/>
  <c r="J841" i="15"/>
  <c r="K841" i="15" s="1"/>
  <c r="J864" i="15"/>
  <c r="K864" i="15" s="1"/>
  <c r="J868" i="15"/>
  <c r="J924" i="15"/>
  <c r="K924" i="15" s="1"/>
  <c r="J1003" i="15"/>
  <c r="L1003" i="15" s="1"/>
  <c r="J1017" i="15"/>
  <c r="K1017" i="15" s="1"/>
  <c r="J1140" i="15"/>
  <c r="L1140" i="15" s="1"/>
  <c r="J1154" i="15"/>
  <c r="J1200" i="15"/>
  <c r="K1200" i="15" s="1"/>
  <c r="J1226" i="15"/>
  <c r="L1226" i="15" s="1"/>
  <c r="J1314" i="15"/>
  <c r="K1314" i="15" s="1"/>
  <c r="J270" i="15"/>
  <c r="K270" i="15" s="1"/>
  <c r="J442" i="15"/>
  <c r="L442" i="15" s="1"/>
  <c r="J556" i="15"/>
  <c r="K556" i="15" s="1"/>
  <c r="J575" i="15"/>
  <c r="L575" i="15" s="1"/>
  <c r="J661" i="15"/>
  <c r="L661" i="15" s="1"/>
  <c r="J725" i="15"/>
  <c r="L725" i="15" s="1"/>
  <c r="J845" i="15"/>
  <c r="L845" i="15" s="1"/>
  <c r="J880" i="15"/>
  <c r="K880" i="15" s="1"/>
  <c r="J951" i="15"/>
  <c r="L951" i="15" s="1"/>
  <c r="J1039" i="15"/>
  <c r="K1039" i="15" s="1"/>
  <c r="J1050" i="15"/>
  <c r="L1050" i="15" s="1"/>
  <c r="J1067" i="15"/>
  <c r="L1067" i="15" s="1"/>
  <c r="J1113" i="15"/>
  <c r="L1113" i="15" s="1"/>
  <c r="J1161" i="15"/>
  <c r="L1161" i="15" s="1"/>
  <c r="J323" i="15"/>
  <c r="K323" i="15" s="1"/>
  <c r="J327" i="15"/>
  <c r="L327" i="15" s="1"/>
  <c r="J335" i="15"/>
  <c r="L335" i="15" s="1"/>
  <c r="J365" i="15"/>
  <c r="L365" i="15" s="1"/>
  <c r="J372" i="15"/>
  <c r="J386" i="15"/>
  <c r="L386" i="15" s="1"/>
  <c r="J405" i="15"/>
  <c r="L405" i="15" s="1"/>
  <c r="J416" i="15"/>
  <c r="K416" i="15" s="1"/>
  <c r="J469" i="15"/>
  <c r="L469" i="15" s="1"/>
  <c r="J489" i="15"/>
  <c r="L489" i="15" s="1"/>
  <c r="J493" i="15"/>
  <c r="L493" i="15" s="1"/>
  <c r="J496" i="15"/>
  <c r="J507" i="15"/>
  <c r="L507" i="15" s="1"/>
  <c r="J538" i="15"/>
  <c r="K538" i="15" s="1"/>
  <c r="J542" i="15"/>
  <c r="L542" i="15" s="1"/>
  <c r="J546" i="15"/>
  <c r="L546" i="15" s="1"/>
  <c r="J590" i="15"/>
  <c r="L590" i="15" s="1"/>
  <c r="J593" i="15"/>
  <c r="L593" i="15" s="1"/>
  <c r="J597" i="15"/>
  <c r="J620" i="15"/>
  <c r="K620" i="15" s="1"/>
  <c r="J677" i="15"/>
  <c r="L677" i="15" s="1"/>
  <c r="J778" i="15"/>
  <c r="L778" i="15" s="1"/>
  <c r="J797" i="15"/>
  <c r="J815" i="15"/>
  <c r="L815" i="15" s="1"/>
  <c r="J914" i="15"/>
  <c r="L914" i="15" s="1"/>
  <c r="J921" i="15"/>
  <c r="L921" i="15" s="1"/>
  <c r="J974" i="15"/>
  <c r="K974" i="15" s="1"/>
  <c r="J978" i="15"/>
  <c r="L978" i="15" s="1"/>
  <c r="J1022" i="15"/>
  <c r="K1022" i="15" s="1"/>
  <c r="J1054" i="15"/>
  <c r="L1054" i="15" s="1"/>
  <c r="J1102" i="15"/>
  <c r="K1102" i="15" s="1"/>
  <c r="J1250" i="15"/>
  <c r="L1250" i="15" s="1"/>
  <c r="J1292" i="15"/>
  <c r="L1292" i="15" s="1"/>
  <c r="J1300" i="15"/>
  <c r="L1300" i="15" s="1"/>
  <c r="J1338" i="15"/>
  <c r="L1338" i="15" s="1"/>
  <c r="J659" i="15"/>
  <c r="K659" i="15" s="1"/>
  <c r="J711" i="15"/>
  <c r="L711" i="15" s="1"/>
  <c r="J975" i="15"/>
  <c r="L975" i="15" s="1"/>
  <c r="J979" i="15"/>
  <c r="K979" i="15" s="1"/>
  <c r="J1026" i="15"/>
  <c r="L1026" i="15" s="1"/>
  <c r="J1058" i="15"/>
  <c r="L1058" i="15" s="1"/>
  <c r="J1087" i="15"/>
  <c r="K1087" i="15" s="1"/>
  <c r="J1110" i="15"/>
  <c r="K1110" i="15" s="1"/>
  <c r="J1120" i="15"/>
  <c r="K1120" i="15" s="1"/>
  <c r="J1155" i="15"/>
  <c r="J1172" i="15"/>
  <c r="L1172" i="15" s="1"/>
  <c r="J1216" i="15"/>
  <c r="L1216" i="15" s="1"/>
  <c r="J1220" i="15"/>
  <c r="L1220" i="15" s="1"/>
  <c r="J1232" i="15"/>
  <c r="L1232" i="15" s="1"/>
  <c r="J87" i="15"/>
  <c r="L87" i="15" s="1"/>
  <c r="J203" i="15"/>
  <c r="L203" i="15" s="1"/>
  <c r="J223" i="15"/>
  <c r="L223" i="15" s="1"/>
  <c r="J6" i="15"/>
  <c r="L6" i="15" s="1"/>
  <c r="J14" i="15"/>
  <c r="L14" i="15" s="1"/>
  <c r="J22" i="15"/>
  <c r="K22" i="15" s="1"/>
  <c r="J30" i="15"/>
  <c r="K30" i="15" s="1"/>
  <c r="J38" i="15"/>
  <c r="L38" i="15" s="1"/>
  <c r="J46" i="15"/>
  <c r="L46" i="15" s="1"/>
  <c r="J54" i="15"/>
  <c r="L54" i="15" s="1"/>
  <c r="J62" i="15"/>
  <c r="L62" i="15" s="1"/>
  <c r="J70" i="15"/>
  <c r="L70" i="15" s="1"/>
  <c r="J100" i="15"/>
  <c r="J106" i="15"/>
  <c r="J112" i="15"/>
  <c r="L112" i="15" s="1"/>
  <c r="J115" i="15"/>
  <c r="L115" i="15" s="1"/>
  <c r="J118" i="15"/>
  <c r="J127" i="15"/>
  <c r="L127" i="15" s="1"/>
  <c r="J146" i="15"/>
  <c r="K146" i="15" s="1"/>
  <c r="J163" i="15"/>
  <c r="K163" i="15" s="1"/>
  <c r="J180" i="15"/>
  <c r="L180" i="15" s="1"/>
  <c r="J183" i="15"/>
  <c r="L183" i="15" s="1"/>
  <c r="J190" i="15"/>
  <c r="J204" i="15"/>
  <c r="L204" i="15" s="1"/>
  <c r="J210" i="15"/>
  <c r="K210" i="15" s="1"/>
  <c r="J227" i="15"/>
  <c r="L227" i="15" s="1"/>
  <c r="J244" i="15"/>
  <c r="L244" i="15" s="1"/>
  <c r="J247" i="15"/>
  <c r="L247" i="15" s="1"/>
  <c r="J254" i="15"/>
  <c r="J274" i="15"/>
  <c r="K274" i="15" s="1"/>
  <c r="J281" i="15"/>
  <c r="L281" i="15" s="1"/>
  <c r="J459" i="15"/>
  <c r="L459" i="15" s="1"/>
  <c r="J159" i="15"/>
  <c r="K159" i="15" s="1"/>
  <c r="J607" i="15"/>
  <c r="K607" i="15" s="1"/>
  <c r="J75" i="15"/>
  <c r="K75" i="15" s="1"/>
  <c r="J130" i="15"/>
  <c r="J230" i="15"/>
  <c r="J250" i="15"/>
  <c r="K250" i="15" s="1"/>
  <c r="J7" i="15"/>
  <c r="K7" i="15" s="1"/>
  <c r="J15" i="15"/>
  <c r="L15" i="15" s="1"/>
  <c r="J23" i="15"/>
  <c r="L23" i="15" s="1"/>
  <c r="J31" i="15"/>
  <c r="L31" i="15" s="1"/>
  <c r="J39" i="15"/>
  <c r="K39" i="15" s="1"/>
  <c r="J47" i="15"/>
  <c r="L47" i="15" s="1"/>
  <c r="J55" i="15"/>
  <c r="K55" i="15" s="1"/>
  <c r="J63" i="15"/>
  <c r="K63" i="15" s="1"/>
  <c r="J71" i="15"/>
  <c r="L71" i="15" s="1"/>
  <c r="J79" i="15"/>
  <c r="L79" i="15" s="1"/>
  <c r="J116" i="15"/>
  <c r="J122" i="15"/>
  <c r="J128" i="15"/>
  <c r="L128" i="15" s="1"/>
  <c r="J131" i="15"/>
  <c r="K131" i="15" s="1"/>
  <c r="J147" i="15"/>
  <c r="L147" i="15" s="1"/>
  <c r="J164" i="15"/>
  <c r="L164" i="15" s="1"/>
  <c r="J167" i="15"/>
  <c r="L167" i="15" s="1"/>
  <c r="J174" i="15"/>
  <c r="J194" i="15"/>
  <c r="K194" i="15" s="1"/>
  <c r="J211" i="15"/>
  <c r="K211" i="15" s="1"/>
  <c r="J228" i="15"/>
  <c r="L228" i="15" s="1"/>
  <c r="J231" i="15"/>
  <c r="L231" i="15" s="1"/>
  <c r="J238" i="15"/>
  <c r="J258" i="15"/>
  <c r="K258" i="15" s="1"/>
  <c r="J275" i="15"/>
  <c r="L275" i="15" s="1"/>
  <c r="J289" i="15"/>
  <c r="L289" i="15" s="1"/>
  <c r="J543" i="15"/>
  <c r="L543" i="15" s="1"/>
  <c r="J124" i="15"/>
  <c r="J119" i="15"/>
  <c r="L119" i="15" s="1"/>
  <c r="J156" i="15"/>
  <c r="L156" i="15" s="1"/>
  <c r="J220" i="15"/>
  <c r="L220" i="15" s="1"/>
  <c r="J10" i="15"/>
  <c r="K10" i="15" s="1"/>
  <c r="J58" i="15"/>
  <c r="L58" i="15" s="1"/>
  <c r="J66" i="15"/>
  <c r="L66" i="15" s="1"/>
  <c r="J74" i="15"/>
  <c r="J80" i="15"/>
  <c r="L80" i="15" s="1"/>
  <c r="J83" i="15"/>
  <c r="L83" i="15" s="1"/>
  <c r="J86" i="15"/>
  <c r="J95" i="15"/>
  <c r="L95" i="15" s="1"/>
  <c r="J132" i="15"/>
  <c r="J148" i="15"/>
  <c r="L148" i="15" s="1"/>
  <c r="J151" i="15"/>
  <c r="L151" i="15" s="1"/>
  <c r="J158" i="15"/>
  <c r="J178" i="15"/>
  <c r="K178" i="15" s="1"/>
  <c r="J195" i="15"/>
  <c r="L195" i="15" s="1"/>
  <c r="J212" i="15"/>
  <c r="L212" i="15" s="1"/>
  <c r="J215" i="15"/>
  <c r="L215" i="15" s="1"/>
  <c r="J222" i="15"/>
  <c r="J242" i="15"/>
  <c r="K242" i="15" s="1"/>
  <c r="J78" i="15"/>
  <c r="J139" i="15"/>
  <c r="L139" i="15" s="1"/>
  <c r="J166" i="15"/>
  <c r="J186" i="15"/>
  <c r="K186" i="15" s="1"/>
  <c r="J267" i="15"/>
  <c r="L267" i="15" s="1"/>
  <c r="J549" i="15"/>
  <c r="J563" i="15"/>
  <c r="L563" i="15" s="1"/>
  <c r="J196" i="15"/>
  <c r="L196" i="15" s="1"/>
  <c r="J202" i="15"/>
  <c r="K202" i="15" s="1"/>
  <c r="J219" i="15"/>
  <c r="L219" i="15" s="1"/>
  <c r="J236" i="15"/>
  <c r="L236" i="15" s="1"/>
  <c r="J239" i="15"/>
  <c r="L239" i="15" s="1"/>
  <c r="J246" i="15"/>
  <c r="J260" i="15"/>
  <c r="L260" i="15" s="1"/>
  <c r="J266" i="15"/>
  <c r="K266" i="15" s="1"/>
  <c r="J431" i="15"/>
  <c r="L431" i="15" s="1"/>
  <c r="J515" i="15"/>
  <c r="L515" i="15" s="1"/>
  <c r="J595" i="15"/>
  <c r="K595" i="15" s="1"/>
  <c r="J290" i="15"/>
  <c r="K290" i="15" s="1"/>
  <c r="J307" i="15"/>
  <c r="L307" i="15" s="1"/>
  <c r="J324" i="15"/>
  <c r="L324" i="15" s="1"/>
  <c r="J400" i="15"/>
  <c r="J408" i="15"/>
  <c r="J428" i="15"/>
  <c r="K428" i="15" s="1"/>
  <c r="J450" i="15"/>
  <c r="L450" i="15" s="1"/>
  <c r="J456" i="15"/>
  <c r="L456" i="15" s="1"/>
  <c r="J478" i="15"/>
  <c r="L478" i="15" s="1"/>
  <c r="J484" i="15"/>
  <c r="K484" i="15" s="1"/>
  <c r="J506" i="15"/>
  <c r="L506" i="15" s="1"/>
  <c r="J512" i="15"/>
  <c r="K512" i="15" s="1"/>
  <c r="J532" i="15"/>
  <c r="J540" i="15"/>
  <c r="K540" i="15" s="1"/>
  <c r="J574" i="15"/>
  <c r="L574" i="15" s="1"/>
  <c r="J577" i="15"/>
  <c r="J580" i="15"/>
  <c r="J598" i="15"/>
  <c r="L598" i="15" s="1"/>
  <c r="J604" i="15"/>
  <c r="J613" i="15"/>
  <c r="J616" i="15"/>
  <c r="J632" i="15"/>
  <c r="J642" i="15"/>
  <c r="L642" i="15" s="1"/>
  <c r="J648" i="15"/>
  <c r="J658" i="15"/>
  <c r="L658" i="15" s="1"/>
  <c r="J664" i="15"/>
  <c r="J680" i="15"/>
  <c r="J696" i="15"/>
  <c r="J731" i="15"/>
  <c r="L731" i="15" s="1"/>
  <c r="J752" i="15"/>
  <c r="J759" i="15"/>
  <c r="K759" i="15" s="1"/>
  <c r="J770" i="15"/>
  <c r="L770" i="15" s="1"/>
  <c r="J795" i="15"/>
  <c r="K795" i="15" s="1"/>
  <c r="J816" i="15"/>
  <c r="J823" i="15"/>
  <c r="K823" i="15" s="1"/>
  <c r="J834" i="15"/>
  <c r="L834" i="15" s="1"/>
  <c r="J853" i="15"/>
  <c r="J860" i="15"/>
  <c r="J955" i="15"/>
  <c r="L955" i="15" s="1"/>
  <c r="J1016" i="15"/>
  <c r="J1121" i="15"/>
  <c r="L1121" i="15" s="1"/>
  <c r="J1171" i="15"/>
  <c r="J1198" i="15"/>
  <c r="L1198" i="15" s="1"/>
  <c r="J308" i="15"/>
  <c r="L308" i="15" s="1"/>
  <c r="J314" i="15"/>
  <c r="K314" i="15" s="1"/>
  <c r="J504" i="15"/>
  <c r="J558" i="15"/>
  <c r="L558" i="15" s="1"/>
  <c r="J566" i="15"/>
  <c r="L566" i="15" s="1"/>
  <c r="J629" i="15"/>
  <c r="L629" i="15" s="1"/>
  <c r="J749" i="15"/>
  <c r="J915" i="15"/>
  <c r="L915" i="15" s="1"/>
  <c r="J948" i="15"/>
  <c r="K948" i="15" s="1"/>
  <c r="J1038" i="15"/>
  <c r="L1038" i="15" s="1"/>
  <c r="J1101" i="15"/>
  <c r="L1101" i="15" s="1"/>
  <c r="J1149" i="15"/>
  <c r="J1294" i="15"/>
  <c r="K1294" i="15" s="1"/>
  <c r="J298" i="15"/>
  <c r="K298" i="15" s="1"/>
  <c r="J315" i="15"/>
  <c r="L315" i="15" s="1"/>
  <c r="J432" i="15"/>
  <c r="J440" i="15"/>
  <c r="J460" i="15"/>
  <c r="K460" i="15" s="1"/>
  <c r="J482" i="15"/>
  <c r="L482" i="15" s="1"/>
  <c r="J488" i="15"/>
  <c r="L488" i="15" s="1"/>
  <c r="J510" i="15"/>
  <c r="K510" i="15" s="1"/>
  <c r="J516" i="15"/>
  <c r="K516" i="15" s="1"/>
  <c r="J544" i="15"/>
  <c r="K544" i="15" s="1"/>
  <c r="J550" i="15"/>
  <c r="L550" i="15" s="1"/>
  <c r="J564" i="15"/>
  <c r="J581" i="15"/>
  <c r="J584" i="15"/>
  <c r="J596" i="15"/>
  <c r="J605" i="15"/>
  <c r="J608" i="15"/>
  <c r="J614" i="15"/>
  <c r="L614" i="15" s="1"/>
  <c r="J617" i="15"/>
  <c r="L617" i="15" s="1"/>
  <c r="J633" i="15"/>
  <c r="L633" i="15" s="1"/>
  <c r="J646" i="15"/>
  <c r="L646" i="15" s="1"/>
  <c r="J649" i="15"/>
  <c r="L649" i="15" s="1"/>
  <c r="J662" i="15"/>
  <c r="K662" i="15" s="1"/>
  <c r="J665" i="15"/>
  <c r="L665" i="15" s="1"/>
  <c r="J678" i="15"/>
  <c r="L678" i="15" s="1"/>
  <c r="J681" i="15"/>
  <c r="L681" i="15" s="1"/>
  <c r="J694" i="15"/>
  <c r="L694" i="15" s="1"/>
  <c r="J697" i="15"/>
  <c r="L697" i="15" s="1"/>
  <c r="J704" i="15"/>
  <c r="J746" i="15"/>
  <c r="K746" i="15" s="1"/>
  <c r="J764" i="15"/>
  <c r="K764" i="15" s="1"/>
  <c r="J789" i="15"/>
  <c r="J810" i="15"/>
  <c r="L810" i="15" s="1"/>
  <c r="J828" i="15"/>
  <c r="L828" i="15" s="1"/>
  <c r="J869" i="15"/>
  <c r="J938" i="15"/>
  <c r="L938" i="15" s="1"/>
  <c r="J1126" i="15"/>
  <c r="L1126" i="15" s="1"/>
  <c r="J1129" i="15"/>
  <c r="L1129" i="15" s="1"/>
  <c r="J1230" i="15"/>
  <c r="L1230" i="15" s="1"/>
  <c r="J282" i="15"/>
  <c r="K282" i="15" s="1"/>
  <c r="J299" i="15"/>
  <c r="L299" i="15" s="1"/>
  <c r="J316" i="15"/>
  <c r="L316" i="15" s="1"/>
  <c r="J319" i="15"/>
  <c r="L319" i="15" s="1"/>
  <c r="J326" i="15"/>
  <c r="K326" i="15" s="1"/>
  <c r="J336" i="15"/>
  <c r="K336" i="15" s="1"/>
  <c r="J368" i="15"/>
  <c r="J376" i="15"/>
  <c r="J396" i="15"/>
  <c r="K396" i="15" s="1"/>
  <c r="J418" i="15"/>
  <c r="L418" i="15" s="1"/>
  <c r="J424" i="15"/>
  <c r="K424" i="15" s="1"/>
  <c r="J446" i="15"/>
  <c r="K446" i="15" s="1"/>
  <c r="J452" i="15"/>
  <c r="L452" i="15" s="1"/>
  <c r="J474" i="15"/>
  <c r="L474" i="15" s="1"/>
  <c r="J480" i="15"/>
  <c r="K480" i="15" s="1"/>
  <c r="J500" i="15"/>
  <c r="J508" i="15"/>
  <c r="K508" i="15" s="1"/>
  <c r="J573" i="15"/>
  <c r="J576" i="15"/>
  <c r="J594" i="15"/>
  <c r="L594" i="15" s="1"/>
  <c r="J612" i="15"/>
  <c r="J621" i="15"/>
  <c r="L621" i="15" s="1"/>
  <c r="J637" i="15"/>
  <c r="L637" i="15" s="1"/>
  <c r="J653" i="15"/>
  <c r="L653" i="15" s="1"/>
  <c r="J669" i="15"/>
  <c r="L669" i="15" s="1"/>
  <c r="J685" i="15"/>
  <c r="L685" i="15" s="1"/>
  <c r="J740" i="15"/>
  <c r="K740" i="15" s="1"/>
  <c r="J804" i="15"/>
  <c r="K804" i="15" s="1"/>
  <c r="J877" i="15"/>
  <c r="J884" i="15"/>
  <c r="K884" i="15" s="1"/>
  <c r="J965" i="15"/>
  <c r="J1144" i="15"/>
  <c r="L1144" i="15" s="1"/>
  <c r="J300" i="15"/>
  <c r="L300" i="15" s="1"/>
  <c r="J472" i="15"/>
  <c r="J534" i="15"/>
  <c r="L534" i="15" s="1"/>
  <c r="J548" i="15"/>
  <c r="L548" i="15" s="1"/>
  <c r="J554" i="15"/>
  <c r="L554" i="15" s="1"/>
  <c r="J609" i="15"/>
  <c r="L609" i="15" s="1"/>
  <c r="J625" i="15"/>
  <c r="L625" i="15" s="1"/>
  <c r="J628" i="15"/>
  <c r="J654" i="15"/>
  <c r="L654" i="15" s="1"/>
  <c r="J676" i="15"/>
  <c r="J801" i="15"/>
  <c r="J998" i="15"/>
  <c r="L998" i="15" s="1"/>
  <c r="J1030" i="15"/>
  <c r="J1099" i="15"/>
  <c r="J1262" i="15"/>
  <c r="L1262" i="15" s="1"/>
  <c r="J1066" i="15"/>
  <c r="J1086" i="15"/>
  <c r="J1106" i="15"/>
  <c r="K1106" i="15" s="1"/>
  <c r="J1109" i="15"/>
  <c r="J1118" i="15"/>
  <c r="J1146" i="15"/>
  <c r="J1148" i="15"/>
  <c r="L1148" i="15" s="1"/>
  <c r="J1170" i="15"/>
  <c r="K1170" i="15" s="1"/>
  <c r="J1190" i="15"/>
  <c r="L1190" i="15" s="1"/>
  <c r="J1222" i="15"/>
  <c r="L1222" i="15" s="1"/>
  <c r="J1254" i="15"/>
  <c r="L1254" i="15" s="1"/>
  <c r="J1261" i="15"/>
  <c r="K1261" i="15" s="1"/>
  <c r="J1286" i="15"/>
  <c r="L1286" i="15" s="1"/>
  <c r="J1293" i="15"/>
  <c r="K1293" i="15" s="1"/>
  <c r="J1318" i="15"/>
  <c r="K1318" i="15" s="1"/>
  <c r="J1325" i="15"/>
  <c r="K1325" i="15" s="1"/>
  <c r="J701" i="15"/>
  <c r="L701" i="15" s="1"/>
  <c r="J713" i="15"/>
  <c r="J716" i="15"/>
  <c r="L716" i="15" s="1"/>
  <c r="J722" i="15"/>
  <c r="L722" i="15" s="1"/>
  <c r="J765" i="15"/>
  <c r="J768" i="15"/>
  <c r="J777" i="15"/>
  <c r="J780" i="15"/>
  <c r="L780" i="15" s="1"/>
  <c r="J786" i="15"/>
  <c r="L786" i="15" s="1"/>
  <c r="J829" i="15"/>
  <c r="J832" i="15"/>
  <c r="J857" i="15"/>
  <c r="L857" i="15" s="1"/>
  <c r="J872" i="15"/>
  <c r="J881" i="15"/>
  <c r="K881" i="15" s="1"/>
  <c r="J885" i="15"/>
  <c r="J898" i="15"/>
  <c r="L898" i="15" s="1"/>
  <c r="J908" i="15"/>
  <c r="K908" i="15" s="1"/>
  <c r="J925" i="15"/>
  <c r="J928" i="15"/>
  <c r="K928" i="15" s="1"/>
  <c r="J945" i="15"/>
  <c r="L945" i="15" s="1"/>
  <c r="J962" i="15"/>
  <c r="L962" i="15" s="1"/>
  <c r="J972" i="15"/>
  <c r="K972" i="15" s="1"/>
  <c r="J1013" i="15"/>
  <c r="L1013" i="15" s="1"/>
  <c r="J1041" i="15"/>
  <c r="L1041" i="15" s="1"/>
  <c r="J1061" i="15"/>
  <c r="K1061" i="15" s="1"/>
  <c r="J1069" i="15"/>
  <c r="L1069" i="15" s="1"/>
  <c r="J1089" i="15"/>
  <c r="L1089" i="15" s="1"/>
  <c r="J1104" i="15"/>
  <c r="K1104" i="15" s="1"/>
  <c r="J1137" i="15"/>
  <c r="L1137" i="15" s="1"/>
  <c r="J1166" i="15"/>
  <c r="J1202" i="15"/>
  <c r="L1202" i="15" s="1"/>
  <c r="J1234" i="15"/>
  <c r="L1234" i="15" s="1"/>
  <c r="J1266" i="15"/>
  <c r="L1266" i="15" s="1"/>
  <c r="J1273" i="15"/>
  <c r="K1273" i="15" s="1"/>
  <c r="J1298" i="15"/>
  <c r="L1298" i="15" s="1"/>
  <c r="J1305" i="15"/>
  <c r="K1305" i="15" s="1"/>
  <c r="J1330" i="15"/>
  <c r="L1330" i="15" s="1"/>
  <c r="J1337" i="15"/>
  <c r="K1337" i="15" s="1"/>
  <c r="J756" i="15"/>
  <c r="L756" i="15" s="1"/>
  <c r="J762" i="15"/>
  <c r="L762" i="15" s="1"/>
  <c r="J826" i="15"/>
  <c r="L826" i="15" s="1"/>
  <c r="J969" i="15"/>
  <c r="L969" i="15" s="1"/>
  <c r="J989" i="15"/>
  <c r="J1014" i="15"/>
  <c r="L1014" i="15" s="1"/>
  <c r="J1053" i="15"/>
  <c r="K1053" i="15" s="1"/>
  <c r="J1070" i="15"/>
  <c r="L1070" i="15" s="1"/>
  <c r="J1081" i="15"/>
  <c r="L1081" i="15" s="1"/>
  <c r="J1090" i="15"/>
  <c r="L1090" i="15" s="1"/>
  <c r="J1238" i="15"/>
  <c r="L1238" i="15" s="1"/>
  <c r="J1270" i="15"/>
  <c r="L1270" i="15" s="1"/>
  <c r="J1277" i="15"/>
  <c r="L1277" i="15" s="1"/>
  <c r="J1302" i="15"/>
  <c r="L1302" i="15" s="1"/>
  <c r="J1309" i="15"/>
  <c r="K1309" i="15" s="1"/>
  <c r="J1334" i="15"/>
  <c r="L1334" i="15" s="1"/>
  <c r="J1341" i="15"/>
  <c r="K1341" i="15" s="1"/>
  <c r="J702" i="15"/>
  <c r="L702" i="15" s="1"/>
  <c r="J705" i="15"/>
  <c r="L705" i="15" s="1"/>
  <c r="J717" i="15"/>
  <c r="J720" i="15"/>
  <c r="J729" i="15"/>
  <c r="J732" i="15"/>
  <c r="K732" i="15" s="1"/>
  <c r="J738" i="15"/>
  <c r="L738" i="15" s="1"/>
  <c r="J781" i="15"/>
  <c r="J784" i="15"/>
  <c r="J793" i="15"/>
  <c r="J796" i="15"/>
  <c r="K796" i="15" s="1"/>
  <c r="J802" i="15"/>
  <c r="L802" i="15" s="1"/>
  <c r="J929" i="15"/>
  <c r="L929" i="15" s="1"/>
  <c r="J946" i="15"/>
  <c r="L946" i="15" s="1"/>
  <c r="J973" i="15"/>
  <c r="J1025" i="15"/>
  <c r="L1025" i="15" s="1"/>
  <c r="J1034" i="15"/>
  <c r="J833" i="15"/>
  <c r="J836" i="15"/>
  <c r="K836" i="15" s="1"/>
  <c r="J852" i="15"/>
  <c r="J1073" i="15"/>
  <c r="L1073" i="15" s="1"/>
  <c r="J1117" i="15"/>
  <c r="K1117" i="15" s="1"/>
  <c r="J1122" i="15"/>
  <c r="K1122" i="15" s="1"/>
  <c r="J1125" i="15"/>
  <c r="J1130" i="15"/>
  <c r="J1132" i="15"/>
  <c r="K1132" i="15" s="1"/>
  <c r="J1138" i="15"/>
  <c r="K1138" i="15" s="1"/>
  <c r="J1141" i="15"/>
  <c r="L1141" i="15" s="1"/>
  <c r="J1150" i="15"/>
  <c r="J1152" i="15"/>
  <c r="K1152" i="15" s="1"/>
  <c r="J1162" i="15"/>
  <c r="J1177" i="15"/>
  <c r="L1177" i="15" s="1"/>
  <c r="J1214" i="15"/>
  <c r="L1214" i="15" s="1"/>
  <c r="J1243" i="15"/>
  <c r="K1243" i="15" s="1"/>
  <c r="J1246" i="15"/>
  <c r="L1246" i="15" s="1"/>
  <c r="J1253" i="15"/>
  <c r="K1253" i="15" s="1"/>
  <c r="J1278" i="15"/>
  <c r="L1278" i="15" s="1"/>
  <c r="J1285" i="15"/>
  <c r="K1285" i="15" s="1"/>
  <c r="J1310" i="15"/>
  <c r="L1310" i="15" s="1"/>
  <c r="J1317" i="15"/>
  <c r="K1317" i="15" s="1"/>
  <c r="J1342" i="15"/>
  <c r="L1342" i="15" s="1"/>
  <c r="J721" i="15"/>
  <c r="J733" i="15"/>
  <c r="J736" i="15"/>
  <c r="J745" i="15"/>
  <c r="J748" i="15"/>
  <c r="K748" i="15" s="1"/>
  <c r="J754" i="15"/>
  <c r="L754" i="15" s="1"/>
  <c r="J809" i="15"/>
  <c r="J812" i="15"/>
  <c r="K812" i="15" s="1"/>
  <c r="J818" i="15"/>
  <c r="L818" i="15" s="1"/>
  <c r="J849" i="15"/>
  <c r="L849" i="15" s="1"/>
  <c r="J876" i="15"/>
  <c r="K876" i="15" s="1"/>
  <c r="J893" i="15"/>
  <c r="J896" i="15"/>
  <c r="K896" i="15" s="1"/>
  <c r="J913" i="15"/>
  <c r="K913" i="15" s="1"/>
  <c r="J930" i="15"/>
  <c r="L930" i="15" s="1"/>
  <c r="J940" i="15"/>
  <c r="K940" i="15" s="1"/>
  <c r="J957" i="15"/>
  <c r="J960" i="15"/>
  <c r="K960" i="15" s="1"/>
  <c r="J977" i="15"/>
  <c r="K977" i="15" s="1"/>
  <c r="J993" i="15"/>
  <c r="K993" i="15" s="1"/>
  <c r="J1018" i="15"/>
  <c r="L1018" i="15" s="1"/>
  <c r="J1046" i="15"/>
  <c r="L1046" i="15" s="1"/>
  <c r="J1085" i="15"/>
  <c r="L1085" i="15" s="1"/>
  <c r="J136" i="15"/>
  <c r="J144" i="15"/>
  <c r="J152" i="15"/>
  <c r="J160" i="15"/>
  <c r="J168" i="15"/>
  <c r="J176" i="15"/>
  <c r="J184" i="15"/>
  <c r="J192" i="15"/>
  <c r="J200" i="15"/>
  <c r="J208" i="15"/>
  <c r="J216" i="15"/>
  <c r="J224" i="15"/>
  <c r="J232" i="15"/>
  <c r="J240" i="15"/>
  <c r="J248" i="15"/>
  <c r="J256" i="15"/>
  <c r="J264" i="15"/>
  <c r="J272" i="15"/>
  <c r="J280" i="15"/>
  <c r="J288" i="15"/>
  <c r="J296" i="15"/>
  <c r="J312" i="15"/>
  <c r="J320" i="15"/>
  <c r="J334" i="15"/>
  <c r="J370" i="15"/>
  <c r="J402" i="15"/>
  <c r="J434" i="15"/>
  <c r="J466" i="15"/>
  <c r="J498" i="15"/>
  <c r="J332" i="15"/>
  <c r="J358" i="15"/>
  <c r="J390" i="15"/>
  <c r="J422" i="15"/>
  <c r="J454" i="15"/>
  <c r="J486" i="15"/>
  <c r="J518" i="15"/>
  <c r="J328" i="15"/>
  <c r="J344" i="15"/>
  <c r="J366" i="15"/>
  <c r="J398" i="15"/>
  <c r="J430" i="15"/>
  <c r="J462" i="15"/>
  <c r="J494" i="15"/>
  <c r="J526" i="15"/>
  <c r="J340" i="15"/>
  <c r="J374" i="15"/>
  <c r="J406" i="15"/>
  <c r="J438" i="15"/>
  <c r="J470" i="15"/>
  <c r="J502" i="15"/>
  <c r="J338" i="15"/>
  <c r="J362" i="15"/>
  <c r="J394" i="15"/>
  <c r="J426" i="15"/>
  <c r="J458" i="15"/>
  <c r="J490" i="15"/>
  <c r="J522" i="15"/>
  <c r="J710" i="15"/>
  <c r="J718" i="15"/>
  <c r="J726" i="15"/>
  <c r="J734" i="15"/>
  <c r="J742" i="15"/>
  <c r="J750" i="15"/>
  <c r="J758" i="15"/>
  <c r="J766" i="15"/>
  <c r="J774" i="15"/>
  <c r="J782" i="15"/>
  <c r="J790" i="15"/>
  <c r="J798" i="15"/>
  <c r="J806" i="15"/>
  <c r="J814" i="15"/>
  <c r="J822" i="15"/>
  <c r="J830" i="15"/>
  <c r="J838" i="15"/>
  <c r="J570" i="15"/>
  <c r="J578" i="15"/>
  <c r="J586" i="15"/>
  <c r="J602" i="15"/>
  <c r="J610" i="15"/>
  <c r="J618" i="15"/>
  <c r="J634" i="15"/>
  <c r="J666" i="15"/>
  <c r="J674" i="15"/>
  <c r="J682" i="15"/>
  <c r="J690" i="15"/>
  <c r="J698" i="15"/>
  <c r="J706" i="15"/>
  <c r="J870" i="15"/>
  <c r="J878" i="15"/>
  <c r="J886" i="15"/>
  <c r="J894" i="15"/>
  <c r="J910" i="15"/>
  <c r="J918" i="15"/>
  <c r="J926" i="15"/>
  <c r="J934" i="15"/>
  <c r="J942" i="15"/>
  <c r="J950" i="15"/>
  <c r="J958" i="15"/>
  <c r="J966" i="15"/>
  <c r="J842" i="15"/>
  <c r="J850" i="15"/>
  <c r="J858" i="15"/>
  <c r="J866" i="15"/>
  <c r="J970" i="15"/>
  <c r="J982" i="15"/>
  <c r="J990" i="15"/>
  <c r="J986" i="15"/>
  <c r="J1100" i="15"/>
  <c r="J1116" i="15"/>
  <c r="J1136" i="15"/>
  <c r="J1160" i="15"/>
  <c r="J1176" i="15"/>
  <c r="J1092" i="15"/>
  <c r="J1108" i="15"/>
  <c r="J1124" i="15"/>
  <c r="J1168" i="15"/>
  <c r="J1096" i="15"/>
  <c r="J1112" i="15"/>
  <c r="J1128" i="15"/>
  <c r="J1164" i="15"/>
  <c r="J1187" i="15"/>
  <c r="J1191" i="15"/>
  <c r="J1195" i="15"/>
  <c r="J1199" i="15"/>
  <c r="J1203" i="15"/>
  <c r="J1207" i="15"/>
  <c r="J1211" i="15"/>
  <c r="J1215" i="15"/>
  <c r="J1219" i="15"/>
  <c r="J1223" i="15"/>
  <c r="J1227" i="15"/>
  <c r="J1231" i="15"/>
  <c r="J1235" i="15"/>
  <c r="J1239" i="15"/>
  <c r="J1247" i="15"/>
  <c r="J1259" i="15"/>
  <c r="J1267" i="15"/>
  <c r="J1275" i="15"/>
  <c r="J1283" i="15"/>
  <c r="J1291" i="15"/>
  <c r="J1299" i="15"/>
  <c r="J1307" i="15"/>
  <c r="J1315" i="15"/>
  <c r="J1323" i="15"/>
  <c r="J1331" i="15"/>
  <c r="J1339" i="15"/>
  <c r="J1189" i="15"/>
  <c r="J1193" i="15"/>
  <c r="J1197" i="15"/>
  <c r="J1201" i="15"/>
  <c r="J1205" i="15"/>
  <c r="J1209" i="15"/>
  <c r="J1213" i="15"/>
  <c r="J1217" i="15"/>
  <c r="J1221" i="15"/>
  <c r="J1225" i="15"/>
  <c r="J1229" i="15"/>
  <c r="J1233" i="15"/>
  <c r="J1237" i="15"/>
  <c r="J1241" i="15"/>
  <c r="J1245" i="15"/>
  <c r="J1249" i="15"/>
  <c r="J1179" i="15"/>
  <c r="J1255" i="15"/>
  <c r="J1263" i="15"/>
  <c r="J1271" i="15"/>
  <c r="J1279" i="15"/>
  <c r="J1287" i="15"/>
  <c r="J1295" i="15"/>
  <c r="J1303" i="15"/>
  <c r="J1311" i="15"/>
  <c r="J1319" i="15"/>
  <c r="J1327" i="15"/>
  <c r="J1335" i="15"/>
  <c r="J1343" i="15"/>
  <c r="AZ142" i="3"/>
  <c r="AZ143" i="3"/>
  <c r="AZ144" i="3"/>
  <c r="AZ145" i="3"/>
  <c r="AZ146" i="3"/>
  <c r="AZ147" i="3"/>
  <c r="AZ148" i="3"/>
  <c r="AZ149" i="3"/>
  <c r="AZ150" i="3"/>
  <c r="AZ151" i="3"/>
  <c r="AZ152" i="3"/>
  <c r="AZ153" i="3"/>
  <c r="AZ154" i="3"/>
  <c r="AZ155" i="3"/>
  <c r="AZ156" i="3"/>
  <c r="AZ157" i="3"/>
  <c r="AZ158" i="3"/>
  <c r="AZ159" i="3"/>
  <c r="AZ160" i="3"/>
  <c r="AZ161" i="3"/>
  <c r="AZ162" i="3"/>
  <c r="AZ163" i="3"/>
  <c r="AZ164" i="3"/>
  <c r="AZ165" i="3"/>
  <c r="AZ166" i="3"/>
  <c r="AZ167" i="3"/>
  <c r="AZ168" i="3"/>
  <c r="AZ169" i="3"/>
  <c r="AZ170" i="3"/>
  <c r="AZ171" i="3"/>
  <c r="AZ172" i="3"/>
  <c r="AZ173" i="3"/>
  <c r="AZ174" i="3"/>
  <c r="AZ175" i="3"/>
  <c r="AZ176" i="3"/>
  <c r="AZ177" i="3"/>
  <c r="AZ178" i="3"/>
  <c r="AZ179" i="3"/>
  <c r="AZ180" i="3"/>
  <c r="AZ181" i="3"/>
  <c r="AZ182" i="3"/>
  <c r="AZ183" i="3"/>
  <c r="AZ184" i="3"/>
  <c r="AZ185" i="3"/>
  <c r="AZ186" i="3"/>
  <c r="AZ187" i="3"/>
  <c r="AZ188" i="3"/>
  <c r="AZ189" i="3"/>
  <c r="AZ190" i="3"/>
  <c r="AZ191" i="3"/>
  <c r="AZ192" i="3"/>
  <c r="AZ193" i="3"/>
  <c r="AZ194" i="3"/>
  <c r="AZ195" i="3"/>
  <c r="AZ196" i="3"/>
  <c r="AZ197" i="3"/>
  <c r="AZ198" i="3"/>
  <c r="AZ199" i="3"/>
  <c r="AZ200" i="3"/>
  <c r="AZ201" i="3"/>
  <c r="AZ202" i="3"/>
  <c r="AZ203" i="3"/>
  <c r="AZ204" i="3"/>
  <c r="AZ205" i="3"/>
  <c r="AZ206" i="3"/>
  <c r="AZ207" i="3"/>
  <c r="AZ208" i="3"/>
  <c r="AZ209" i="3"/>
  <c r="AZ210" i="3"/>
  <c r="AZ211" i="3"/>
  <c r="AZ212" i="3"/>
  <c r="AZ213" i="3"/>
  <c r="AZ214" i="3"/>
  <c r="AZ215" i="3"/>
  <c r="AZ216" i="3"/>
  <c r="AZ217" i="3"/>
  <c r="AZ218" i="3"/>
  <c r="AZ219" i="3"/>
  <c r="AZ220" i="3"/>
  <c r="AZ221" i="3"/>
  <c r="AZ222" i="3"/>
  <c r="AZ223" i="3"/>
  <c r="AZ224" i="3"/>
  <c r="AZ225" i="3"/>
  <c r="AZ226" i="3"/>
  <c r="AZ227" i="3"/>
  <c r="AZ228" i="3"/>
  <c r="AZ229" i="3"/>
  <c r="AZ230" i="3"/>
  <c r="AZ231" i="3"/>
  <c r="AZ232" i="3"/>
  <c r="AZ233" i="3"/>
  <c r="AZ234" i="3"/>
  <c r="AZ235" i="3"/>
  <c r="AZ236" i="3"/>
  <c r="AZ237" i="3"/>
  <c r="AZ238" i="3"/>
  <c r="AZ239" i="3"/>
  <c r="AZ240" i="3"/>
  <c r="AZ241" i="3"/>
  <c r="AZ242" i="3"/>
  <c r="AZ243" i="3"/>
  <c r="AZ244" i="3"/>
  <c r="AZ245" i="3"/>
  <c r="AZ246" i="3"/>
  <c r="AZ247" i="3"/>
  <c r="AZ248" i="3"/>
  <c r="AZ249" i="3"/>
  <c r="AZ250" i="3"/>
  <c r="AZ251" i="3"/>
  <c r="AZ252" i="3"/>
  <c r="AZ253" i="3"/>
  <c r="AZ254" i="3"/>
  <c r="AZ255" i="3"/>
  <c r="AZ256" i="3"/>
  <c r="AZ257" i="3"/>
  <c r="AZ258" i="3"/>
  <c r="AZ259" i="3"/>
  <c r="AZ260" i="3"/>
  <c r="AZ261" i="3"/>
  <c r="AZ262" i="3"/>
  <c r="AZ263" i="3"/>
  <c r="AZ264" i="3"/>
  <c r="AZ265" i="3"/>
  <c r="AZ266" i="3"/>
  <c r="AZ267" i="3"/>
  <c r="AZ268" i="3"/>
  <c r="AZ269" i="3"/>
  <c r="AZ270" i="3"/>
  <c r="AZ271" i="3"/>
  <c r="AZ272" i="3"/>
  <c r="AZ273" i="3"/>
  <c r="AZ274" i="3"/>
  <c r="AZ275" i="3"/>
  <c r="AZ276" i="3"/>
  <c r="AZ277" i="3"/>
  <c r="AZ278" i="3"/>
  <c r="AZ279" i="3"/>
  <c r="AZ280" i="3"/>
  <c r="AZ281" i="3"/>
  <c r="AZ282" i="3"/>
  <c r="AZ283" i="3"/>
  <c r="AZ284" i="3"/>
  <c r="AZ285" i="3"/>
  <c r="AZ286" i="3"/>
  <c r="AZ287" i="3"/>
  <c r="AZ288" i="3"/>
  <c r="AZ289" i="3"/>
  <c r="AZ290" i="3"/>
  <c r="AZ141" i="3"/>
  <c r="AZ63" i="3"/>
  <c r="AZ64" i="3"/>
  <c r="AZ65" i="3"/>
  <c r="AZ66" i="3"/>
  <c r="AZ67" i="3"/>
  <c r="AZ68" i="3"/>
  <c r="AZ69" i="3"/>
  <c r="AZ70" i="3"/>
  <c r="AZ71" i="3"/>
  <c r="AZ72" i="3"/>
  <c r="AZ73" i="3"/>
  <c r="AZ74" i="3"/>
  <c r="AZ75" i="3"/>
  <c r="AZ76" i="3"/>
  <c r="AZ77" i="3"/>
  <c r="AZ78" i="3"/>
  <c r="AZ79" i="3"/>
  <c r="AZ80" i="3"/>
  <c r="AZ81" i="3"/>
  <c r="AZ82" i="3"/>
  <c r="AZ83" i="3"/>
  <c r="AZ84" i="3"/>
  <c r="AZ85" i="3"/>
  <c r="AZ86" i="3"/>
  <c r="AZ87" i="3"/>
  <c r="AZ88" i="3"/>
  <c r="AZ89" i="3"/>
  <c r="AZ90" i="3"/>
  <c r="AZ91" i="3"/>
  <c r="AZ92" i="3"/>
  <c r="AZ93" i="3"/>
  <c r="AZ94" i="3"/>
  <c r="AZ95" i="3"/>
  <c r="AZ96" i="3"/>
  <c r="AZ97" i="3"/>
  <c r="AZ98" i="3"/>
  <c r="AZ99" i="3"/>
  <c r="AZ100" i="3"/>
  <c r="AZ101" i="3"/>
  <c r="AZ102" i="3"/>
  <c r="AZ103" i="3"/>
  <c r="AZ104" i="3"/>
  <c r="AZ105" i="3"/>
  <c r="AZ106" i="3"/>
  <c r="AZ107" i="3"/>
  <c r="AZ108" i="3"/>
  <c r="AZ109" i="3"/>
  <c r="AZ110" i="3"/>
  <c r="AZ111" i="3"/>
  <c r="AZ112" i="3"/>
  <c r="AZ113" i="3"/>
  <c r="AZ114" i="3"/>
  <c r="AZ115" i="3"/>
  <c r="AZ116" i="3"/>
  <c r="AZ117" i="3"/>
  <c r="AZ118" i="3"/>
  <c r="AZ119" i="3"/>
  <c r="AZ120" i="3"/>
  <c r="AZ121" i="3"/>
  <c r="AZ122" i="3"/>
  <c r="AZ123" i="3"/>
  <c r="AZ124" i="3"/>
  <c r="AZ125" i="3"/>
  <c r="AZ126" i="3"/>
  <c r="AZ127" i="3"/>
  <c r="AZ128" i="3"/>
  <c r="AZ129" i="3"/>
  <c r="AZ130" i="3"/>
  <c r="AZ131" i="3"/>
  <c r="AZ132" i="3"/>
  <c r="AZ133" i="3"/>
  <c r="AZ134" i="3"/>
  <c r="AZ135" i="3"/>
  <c r="AZ136" i="3"/>
  <c r="AZ137" i="3"/>
  <c r="AZ138" i="3"/>
  <c r="AZ139" i="3"/>
  <c r="AZ140" i="3"/>
  <c r="AZ62" i="3"/>
  <c r="AZ26" i="3"/>
  <c r="AZ27" i="3"/>
  <c r="AZ28" i="3"/>
  <c r="AZ29" i="3"/>
  <c r="AZ30" i="3"/>
  <c r="AZ31" i="3"/>
  <c r="AZ32" i="3"/>
  <c r="AZ33" i="3"/>
  <c r="AZ34" i="3"/>
  <c r="AZ35" i="3"/>
  <c r="AZ36" i="3"/>
  <c r="AZ37" i="3"/>
  <c r="AZ38" i="3"/>
  <c r="AZ39" i="3"/>
  <c r="AZ40" i="3"/>
  <c r="AZ41" i="3"/>
  <c r="AZ42" i="3"/>
  <c r="AZ43" i="3"/>
  <c r="AZ44" i="3"/>
  <c r="AZ45" i="3"/>
  <c r="AZ46" i="3"/>
  <c r="AZ47" i="3"/>
  <c r="AZ48" i="3"/>
  <c r="AZ49" i="3"/>
  <c r="AZ50" i="3"/>
  <c r="AZ51" i="3"/>
  <c r="AZ52" i="3"/>
  <c r="AZ53" i="3"/>
  <c r="AZ54" i="3"/>
  <c r="AZ55" i="3"/>
  <c r="AZ56" i="3"/>
  <c r="AZ57" i="3"/>
  <c r="AZ58" i="3"/>
  <c r="AZ59" i="3"/>
  <c r="AZ60" i="3"/>
  <c r="AZ61" i="3"/>
  <c r="AZ25" i="3"/>
  <c r="AZ6" i="3"/>
  <c r="AZ7" i="3"/>
  <c r="AZ8" i="3"/>
  <c r="AZ9" i="3"/>
  <c r="AZ10" i="3"/>
  <c r="AZ11" i="3"/>
  <c r="AZ12" i="3"/>
  <c r="AZ13" i="3"/>
  <c r="AZ14" i="3"/>
  <c r="AZ15" i="3"/>
  <c r="AZ16" i="3"/>
  <c r="AZ17" i="3"/>
  <c r="AZ18" i="3"/>
  <c r="AZ19" i="3"/>
  <c r="AZ20" i="3"/>
  <c r="AZ21" i="3"/>
  <c r="AZ22" i="3"/>
  <c r="AZ23" i="3"/>
  <c r="AZ24" i="3"/>
  <c r="BS5" i="10" l="1"/>
  <c r="L403" i="15"/>
  <c r="M403" i="15" s="1"/>
  <c r="K630" i="15"/>
  <c r="M630" i="15" s="1"/>
  <c r="L499" i="15"/>
  <c r="M499" i="15" s="1"/>
  <c r="K1251" i="15"/>
  <c r="M1251" i="15" s="1"/>
  <c r="K243" i="15"/>
  <c r="M243" i="15" s="1"/>
  <c r="K279" i="15"/>
  <c r="M279" i="15" s="1"/>
  <c r="L1151" i="15"/>
  <c r="M1151" i="15" s="1"/>
  <c r="L906" i="15"/>
  <c r="M906" i="15" s="1"/>
  <c r="K1308" i="15"/>
  <c r="M1308" i="15" s="1"/>
  <c r="L380" i="15"/>
  <c r="M380" i="15" s="1"/>
  <c r="K301" i="15"/>
  <c r="M301" i="15" s="1"/>
  <c r="K185" i="15"/>
  <c r="M185" i="15" s="1"/>
  <c r="L636" i="15"/>
  <c r="M636" i="15" s="1"/>
  <c r="L1345" i="15"/>
  <c r="M1345" i="15" s="1"/>
  <c r="K383" i="15"/>
  <c r="M383" i="15" s="1"/>
  <c r="L27" i="15"/>
  <c r="M27" i="15" s="1"/>
  <c r="L1079" i="15"/>
  <c r="M1079" i="15" s="1"/>
  <c r="L1029" i="15"/>
  <c r="M1029" i="15" s="1"/>
  <c r="L551" i="15"/>
  <c r="M551" i="15" s="1"/>
  <c r="K520" i="15"/>
  <c r="M520" i="15" s="1"/>
  <c r="K445" i="15"/>
  <c r="M445" i="15" s="1"/>
  <c r="L907" i="15"/>
  <c r="M907" i="15" s="1"/>
  <c r="L819" i="15"/>
  <c r="M819" i="15" s="1"/>
  <c r="K763" i="15"/>
  <c r="M763" i="15" s="1"/>
  <c r="K259" i="15"/>
  <c r="M259" i="15" s="1"/>
  <c r="L988" i="15"/>
  <c r="M988" i="15" s="1"/>
  <c r="K813" i="15"/>
  <c r="M813" i="15" s="1"/>
  <c r="K76" i="15"/>
  <c r="M76" i="15" s="1"/>
  <c r="K37" i="15"/>
  <c r="M37" i="15" s="1"/>
  <c r="L1248" i="15"/>
  <c r="M1248" i="15" s="1"/>
  <c r="L882" i="15"/>
  <c r="M882" i="15" s="1"/>
  <c r="K1062" i="15"/>
  <c r="M1062" i="15" s="1"/>
  <c r="K461" i="15"/>
  <c r="M461" i="15" s="1"/>
  <c r="K345" i="15"/>
  <c r="M345" i="15" s="1"/>
  <c r="K865" i="15"/>
  <c r="M865" i="15" s="1"/>
  <c r="K751" i="15"/>
  <c r="M751" i="15" s="1"/>
  <c r="L788" i="15"/>
  <c r="M788" i="15" s="1"/>
  <c r="K347" i="15"/>
  <c r="M347" i="15" s="1"/>
  <c r="K91" i="15"/>
  <c r="M91" i="15" s="1"/>
  <c r="L1289" i="15"/>
  <c r="M1289" i="15" s="1"/>
  <c r="L348" i="15"/>
  <c r="M348" i="15" s="1"/>
  <c r="K277" i="15"/>
  <c r="M277" i="15" s="1"/>
  <c r="K933" i="15"/>
  <c r="M933" i="15" s="1"/>
  <c r="L1167" i="15"/>
  <c r="M1167" i="15" s="1"/>
  <c r="L1040" i="15"/>
  <c r="M1040" i="15" s="1"/>
  <c r="K1178" i="15"/>
  <c r="M1178" i="15" s="1"/>
  <c r="K954" i="15"/>
  <c r="M954" i="15" s="1"/>
  <c r="K889" i="15"/>
  <c r="M889" i="15" s="1"/>
  <c r="L719" i="15"/>
  <c r="M719" i="15" s="1"/>
  <c r="K631" i="15"/>
  <c r="M631" i="15" s="1"/>
  <c r="K673" i="15"/>
  <c r="M673" i="15" s="1"/>
  <c r="K415" i="15"/>
  <c r="M415" i="15" s="1"/>
  <c r="K343" i="15"/>
  <c r="M343" i="15" s="1"/>
  <c r="L536" i="15"/>
  <c r="M536" i="15" s="1"/>
  <c r="K477" i="15"/>
  <c r="M477" i="15" s="1"/>
  <c r="L997" i="15"/>
  <c r="M997" i="15" s="1"/>
  <c r="K284" i="15"/>
  <c r="M284" i="15" s="1"/>
  <c r="K399" i="15"/>
  <c r="M399" i="15" s="1"/>
  <c r="L562" i="15"/>
  <c r="M562" i="15" s="1"/>
  <c r="K1301" i="15"/>
  <c r="M1301" i="15" s="1"/>
  <c r="K626" i="15"/>
  <c r="M626" i="15" s="1"/>
  <c r="K1026" i="15"/>
  <c r="M1026" i="15" s="1"/>
  <c r="K815" i="15"/>
  <c r="M815" i="15" s="1"/>
  <c r="K650" i="15"/>
  <c r="M650" i="15" s="1"/>
  <c r="K14" i="15"/>
  <c r="M14" i="15" s="1"/>
  <c r="K874" i="15"/>
  <c r="M874" i="15" s="1"/>
  <c r="L1344" i="15"/>
  <c r="M1344" i="15" s="1"/>
  <c r="K330" i="15"/>
  <c r="M330" i="15" s="1"/>
  <c r="L1314" i="15"/>
  <c r="M1314" i="15" s="1"/>
  <c r="L1180" i="15"/>
  <c r="M1180" i="15" s="1"/>
  <c r="K606" i="15"/>
  <c r="M606" i="15" s="1"/>
  <c r="K1282" i="15"/>
  <c r="M1282" i="15" s="1"/>
  <c r="L1256" i="15"/>
  <c r="M1256" i="15" s="1"/>
  <c r="L1210" i="15"/>
  <c r="M1210" i="15" s="1"/>
  <c r="K890" i="15"/>
  <c r="M890" i="15" s="1"/>
  <c r="K495" i="15"/>
  <c r="M495" i="15" s="1"/>
  <c r="K427" i="15"/>
  <c r="M427" i="15" s="1"/>
  <c r="L323" i="15"/>
  <c r="M323" i="15" s="1"/>
  <c r="K356" i="15"/>
  <c r="M356" i="15" s="1"/>
  <c r="K820" i="15"/>
  <c r="M820" i="15" s="1"/>
  <c r="L1185" i="15"/>
  <c r="M1185" i="15" s="1"/>
  <c r="L443" i="15"/>
  <c r="M443" i="15" s="1"/>
  <c r="L992" i="15"/>
  <c r="M992" i="15" s="1"/>
  <c r="K143" i="15"/>
  <c r="M143" i="15" s="1"/>
  <c r="K568" i="15"/>
  <c r="M568" i="15" s="1"/>
  <c r="L1240" i="15"/>
  <c r="M1240" i="15" s="1"/>
  <c r="K1095" i="15"/>
  <c r="M1095" i="15" s="1"/>
  <c r="L1023" i="15"/>
  <c r="M1023" i="15" s="1"/>
  <c r="K111" i="15"/>
  <c r="M111" i="15" s="1"/>
  <c r="K1326" i="15"/>
  <c r="M1326" i="15" s="1"/>
  <c r="K587" i="15"/>
  <c r="M587" i="15" s="1"/>
  <c r="L145" i="15"/>
  <c r="M145" i="15" s="1"/>
  <c r="K465" i="15"/>
  <c r="M465" i="15" s="1"/>
  <c r="L1033" i="15"/>
  <c r="M1033" i="15" s="1"/>
  <c r="L1206" i="15"/>
  <c r="M1206" i="15" s="1"/>
  <c r="K1057" i="15"/>
  <c r="M1057" i="15" s="1"/>
  <c r="K177" i="15"/>
  <c r="M177" i="15" s="1"/>
  <c r="K451" i="15"/>
  <c r="M451" i="15" s="1"/>
  <c r="K572" i="15"/>
  <c r="M572" i="15" s="1"/>
  <c r="L714" i="15"/>
  <c r="M714" i="15" s="1"/>
  <c r="L1346" i="15"/>
  <c r="M1346" i="15" s="1"/>
  <c r="L1200" i="15"/>
  <c r="M1200" i="15" s="1"/>
  <c r="K558" i="15"/>
  <c r="M558" i="15" s="1"/>
  <c r="K971" i="15"/>
  <c r="M971" i="15" s="1"/>
  <c r="K794" i="15"/>
  <c r="M794" i="15" s="1"/>
  <c r="K519" i="15"/>
  <c r="M519" i="15" s="1"/>
  <c r="K961" i="15"/>
  <c r="M961" i="15" s="1"/>
  <c r="L979" i="15"/>
  <c r="M979" i="15" s="1"/>
  <c r="K105" i="15"/>
  <c r="M105" i="15" s="1"/>
  <c r="K271" i="15"/>
  <c r="M271" i="15" s="1"/>
  <c r="K1161" i="15"/>
  <c r="M1161" i="15" s="1"/>
  <c r="L985" i="15"/>
  <c r="M985" i="15" s="1"/>
  <c r="K862" i="15"/>
  <c r="M862" i="15" s="1"/>
  <c r="K201" i="15"/>
  <c r="M201" i="15" s="1"/>
  <c r="K1060" i="15"/>
  <c r="M1060" i="15" s="1"/>
  <c r="K1021" i="15"/>
  <c r="M1021" i="15" s="1"/>
  <c r="L1281" i="15"/>
  <c r="M1281" i="15" s="1"/>
  <c r="K565" i="15"/>
  <c r="M565" i="15" s="1"/>
  <c r="K776" i="15"/>
  <c r="M776" i="15" s="1"/>
  <c r="L1007" i="15"/>
  <c r="M1007" i="15" s="1"/>
  <c r="L285" i="15"/>
  <c r="M285" i="15" s="1"/>
  <c r="K35" i="15"/>
  <c r="M35" i="15" s="1"/>
  <c r="L1257" i="15"/>
  <c r="M1257" i="15" s="1"/>
  <c r="K1242" i="15"/>
  <c r="M1242" i="15" s="1"/>
  <c r="K996" i="15"/>
  <c r="M996" i="15" s="1"/>
  <c r="L420" i="15"/>
  <c r="M420" i="15" s="1"/>
  <c r="K1121" i="15"/>
  <c r="M1121" i="15" s="1"/>
  <c r="K171" i="15"/>
  <c r="M171" i="15" s="1"/>
  <c r="L844" i="15"/>
  <c r="M844" i="15" s="1"/>
  <c r="L90" i="15"/>
  <c r="M90" i="15" s="1"/>
  <c r="K1027" i="15"/>
  <c r="M1027" i="15" s="1"/>
  <c r="K603" i="15"/>
  <c r="M603" i="15" s="1"/>
  <c r="K253" i="15"/>
  <c r="M253" i="15" s="1"/>
  <c r="K295" i="15"/>
  <c r="M295" i="15" s="1"/>
  <c r="K1228" i="15"/>
  <c r="M1228" i="15" s="1"/>
  <c r="L875" i="15"/>
  <c r="M875" i="15" s="1"/>
  <c r="L379" i="15"/>
  <c r="M379" i="15" s="1"/>
  <c r="L744" i="15"/>
  <c r="M744" i="15" s="1"/>
  <c r="L1337" i="15"/>
  <c r="M1337" i="15" s="1"/>
  <c r="L446" i="15"/>
  <c r="M446" i="15" s="1"/>
  <c r="K669" i="15"/>
  <c r="M669" i="15" s="1"/>
  <c r="K1218" i="15"/>
  <c r="M1218" i="15" s="1"/>
  <c r="K622" i="15"/>
  <c r="M622" i="15" s="1"/>
  <c r="K1059" i="15"/>
  <c r="M1059" i="15" s="1"/>
  <c r="L924" i="15"/>
  <c r="M924" i="15" s="1"/>
  <c r="K905" i="15"/>
  <c r="M905" i="15" s="1"/>
  <c r="K743" i="15"/>
  <c r="M743" i="15" s="1"/>
  <c r="K467" i="15"/>
  <c r="M467" i="15" s="1"/>
  <c r="L218" i="15"/>
  <c r="M218" i="15" s="1"/>
  <c r="L241" i="15"/>
  <c r="M241" i="15" s="1"/>
  <c r="K363" i="15"/>
  <c r="M363" i="15" s="1"/>
  <c r="L1181" i="15"/>
  <c r="M1181" i="15" s="1"/>
  <c r="L1297" i="15"/>
  <c r="M1297" i="15" s="1"/>
  <c r="L412" i="15"/>
  <c r="M412" i="15" s="1"/>
  <c r="K291" i="15"/>
  <c r="M291" i="15" s="1"/>
  <c r="K269" i="15"/>
  <c r="M269" i="15" s="1"/>
  <c r="L708" i="15"/>
  <c r="M708" i="15" s="1"/>
  <c r="K1080" i="15"/>
  <c r="M1080" i="15" s="1"/>
  <c r="K753" i="15"/>
  <c r="M753" i="15" s="1"/>
  <c r="K1208" i="15"/>
  <c r="M1208" i="15" s="1"/>
  <c r="L26" i="15"/>
  <c r="M26" i="15" s="1"/>
  <c r="L1072" i="15"/>
  <c r="M1072" i="15" s="1"/>
  <c r="L911" i="15"/>
  <c r="M911" i="15" s="1"/>
  <c r="K912" i="15"/>
  <c r="M912" i="15" s="1"/>
  <c r="L306" i="15"/>
  <c r="M306" i="15" s="1"/>
  <c r="K527" i="15"/>
  <c r="M527" i="15" s="1"/>
  <c r="K191" i="15"/>
  <c r="M191" i="15" s="1"/>
  <c r="L55" i="15"/>
  <c r="M55" i="15" s="1"/>
  <c r="L302" i="15"/>
  <c r="M302" i="15" s="1"/>
  <c r="L728" i="15"/>
  <c r="M728" i="15" s="1"/>
  <c r="L795" i="15"/>
  <c r="M795" i="15" s="1"/>
  <c r="K1302" i="15"/>
  <c r="M1302" i="15" s="1"/>
  <c r="L1104" i="15"/>
  <c r="M1104" i="15" s="1"/>
  <c r="L1305" i="15"/>
  <c r="M1305" i="15" s="1"/>
  <c r="L1043" i="15"/>
  <c r="M1043" i="15" s="1"/>
  <c r="L355" i="15"/>
  <c r="M355" i="15" s="1"/>
  <c r="K1236" i="15"/>
  <c r="M1236" i="15" s="1"/>
  <c r="L1265" i="15"/>
  <c r="M1265" i="15" s="1"/>
  <c r="K609" i="15"/>
  <c r="M609" i="15" s="1"/>
  <c r="L175" i="15"/>
  <c r="M175" i="15" s="1"/>
  <c r="L45" i="15"/>
  <c r="M45" i="15" s="1"/>
  <c r="K351" i="15"/>
  <c r="M351" i="15" s="1"/>
  <c r="K1250" i="15"/>
  <c r="M1250" i="15" s="1"/>
  <c r="K1070" i="15"/>
  <c r="M1070" i="15" s="1"/>
  <c r="K421" i="15"/>
  <c r="M421" i="15" s="1"/>
  <c r="L1011" i="15"/>
  <c r="M1011" i="15" s="1"/>
  <c r="L371" i="15"/>
  <c r="M371" i="15" s="1"/>
  <c r="K627" i="15"/>
  <c r="M627" i="15" s="1"/>
  <c r="K888" i="15"/>
  <c r="M888" i="15" s="1"/>
  <c r="K619" i="15"/>
  <c r="M619" i="15" s="1"/>
  <c r="L881" i="15"/>
  <c r="M881" i="15" s="1"/>
  <c r="K515" i="15"/>
  <c r="M515" i="15" s="1"/>
  <c r="K81" i="15"/>
  <c r="M81" i="15" s="1"/>
  <c r="K225" i="15"/>
  <c r="M225" i="15" s="1"/>
  <c r="L1063" i="15"/>
  <c r="M1063" i="15" s="1"/>
  <c r="K1177" i="15"/>
  <c r="M1177" i="15" s="1"/>
  <c r="K511" i="15"/>
  <c r="M511" i="15" s="1"/>
  <c r="K237" i="15"/>
  <c r="M237" i="15" s="1"/>
  <c r="K1274" i="15"/>
  <c r="M1274" i="15" s="1"/>
  <c r="K1260" i="15"/>
  <c r="M1260" i="15" s="1"/>
  <c r="L1317" i="15"/>
  <c r="M1317" i="15" s="1"/>
  <c r="L1039" i="15"/>
  <c r="M1039" i="15" s="1"/>
  <c r="L880" i="15"/>
  <c r="M880" i="15" s="1"/>
  <c r="L101" i="15"/>
  <c r="M101" i="15" s="1"/>
  <c r="K207" i="15"/>
  <c r="M207" i="15" s="1"/>
  <c r="L1269" i="15"/>
  <c r="M1269" i="15" s="1"/>
  <c r="L847" i="15"/>
  <c r="M847" i="15" s="1"/>
  <c r="K987" i="15"/>
  <c r="M987" i="15" s="1"/>
  <c r="L59" i="15"/>
  <c r="M59" i="15" s="1"/>
  <c r="L1051" i="15"/>
  <c r="M1051" i="15" s="1"/>
  <c r="K590" i="15"/>
  <c r="M590" i="15" s="1"/>
  <c r="L199" i="15"/>
  <c r="M199" i="15" s="1"/>
  <c r="K64" i="15"/>
  <c r="M64" i="15" s="1"/>
  <c r="L668" i="15"/>
  <c r="M668" i="15" s="1"/>
  <c r="K1322" i="15"/>
  <c r="M1322" i="15" s="1"/>
  <c r="K1015" i="15"/>
  <c r="M1015" i="15" s="1"/>
  <c r="K1006" i="15"/>
  <c r="M1006" i="15" s="1"/>
  <c r="K931" i="15"/>
  <c r="M931" i="15" s="1"/>
  <c r="K475" i="15"/>
  <c r="M475" i="15" s="1"/>
  <c r="K772" i="15"/>
  <c r="M772" i="15" s="1"/>
  <c r="K854" i="15"/>
  <c r="M854" i="15" s="1"/>
  <c r="L51" i="15"/>
  <c r="M51" i="15" s="1"/>
  <c r="L1048" i="15"/>
  <c r="M1048" i="15" s="1"/>
  <c r="L652" i="15"/>
  <c r="M652" i="15" s="1"/>
  <c r="L82" i="15"/>
  <c r="M82" i="15" s="1"/>
  <c r="L846" i="15"/>
  <c r="M846" i="15" s="1"/>
  <c r="K936" i="15"/>
  <c r="M936" i="15" s="1"/>
  <c r="K657" i="15"/>
  <c r="M657" i="15" s="1"/>
  <c r="K479" i="15"/>
  <c r="M479" i="15" s="1"/>
  <c r="K561" i="15"/>
  <c r="M561" i="15" s="1"/>
  <c r="L1142" i="15"/>
  <c r="M1142" i="15" s="1"/>
  <c r="L1134" i="15"/>
  <c r="M1134" i="15" s="1"/>
  <c r="K641" i="15"/>
  <c r="M641" i="15" s="1"/>
  <c r="K441" i="15"/>
  <c r="M441" i="15" s="1"/>
  <c r="L286" i="15"/>
  <c r="M286" i="15" s="1"/>
  <c r="L981" i="15"/>
  <c r="M981" i="15" s="1"/>
  <c r="K360" i="15"/>
  <c r="M360" i="15" s="1"/>
  <c r="L851" i="15"/>
  <c r="M851" i="15" s="1"/>
  <c r="L1175" i="15"/>
  <c r="M1175" i="15" s="1"/>
  <c r="K855" i="15"/>
  <c r="M855" i="15" s="1"/>
  <c r="K902" i="15"/>
  <c r="M902" i="15" s="1"/>
  <c r="K803" i="15"/>
  <c r="M803" i="15" s="1"/>
  <c r="K333" i="15"/>
  <c r="M333" i="15" s="1"/>
  <c r="L154" i="15"/>
  <c r="M154" i="15" s="1"/>
  <c r="K47" i="15"/>
  <c r="M47" i="15" s="1"/>
  <c r="K389" i="15"/>
  <c r="M389" i="15" s="1"/>
  <c r="L473" i="15"/>
  <c r="M473" i="15" s="1"/>
  <c r="L29" i="15"/>
  <c r="M29" i="15" s="1"/>
  <c r="K1075" i="15"/>
  <c r="M1075" i="15" s="1"/>
  <c r="K423" i="15"/>
  <c r="M423" i="15" s="1"/>
  <c r="K535" i="15"/>
  <c r="M535" i="15" s="1"/>
  <c r="L211" i="15"/>
  <c r="M211" i="15" s="1"/>
  <c r="K197" i="15"/>
  <c r="M197" i="15" s="1"/>
  <c r="K410" i="15"/>
  <c r="M410" i="15" s="1"/>
  <c r="K805" i="15"/>
  <c r="M805" i="15" s="1"/>
  <c r="L892" i="15"/>
  <c r="M892" i="15" s="1"/>
  <c r="K375" i="15"/>
  <c r="M375" i="15" s="1"/>
  <c r="L524" i="15"/>
  <c r="M524" i="15" s="1"/>
  <c r="K431" i="15"/>
  <c r="M431" i="15" s="1"/>
  <c r="K221" i="15"/>
  <c r="M221" i="15" s="1"/>
  <c r="L67" i="15"/>
  <c r="M67" i="15" s="1"/>
  <c r="K927" i="15"/>
  <c r="M927" i="15" s="1"/>
  <c r="K730" i="15"/>
  <c r="M730" i="15" s="1"/>
  <c r="K255" i="15"/>
  <c r="M255" i="15" s="1"/>
  <c r="L624" i="15"/>
  <c r="M624" i="15" s="1"/>
  <c r="K41" i="15"/>
  <c r="M41" i="15" s="1"/>
  <c r="L22" i="15"/>
  <c r="M22" i="15" s="1"/>
  <c r="K525" i="15"/>
  <c r="M525" i="15" s="1"/>
  <c r="L63" i="15"/>
  <c r="M63" i="15" s="1"/>
  <c r="K73" i="15"/>
  <c r="M73" i="15" s="1"/>
  <c r="K1025" i="15"/>
  <c r="M1025" i="15" s="1"/>
  <c r="L1135" i="15"/>
  <c r="M1135" i="15" s="1"/>
  <c r="K901" i="15"/>
  <c r="M901" i="15" s="1"/>
  <c r="K548" i="15"/>
  <c r="M548" i="15" s="1"/>
  <c r="L163" i="15"/>
  <c r="M163" i="15" s="1"/>
  <c r="L1321" i="15"/>
  <c r="M1321" i="15" s="1"/>
  <c r="K337" i="15"/>
  <c r="M337" i="15" s="1"/>
  <c r="L764" i="15"/>
  <c r="M764" i="15" s="1"/>
  <c r="K738" i="15"/>
  <c r="M738" i="15" s="1"/>
  <c r="L540" i="15"/>
  <c r="M540" i="15" s="1"/>
  <c r="L662" i="15"/>
  <c r="M662" i="15" s="1"/>
  <c r="L194" i="15"/>
  <c r="M194" i="15" s="1"/>
  <c r="K1334" i="15"/>
  <c r="M1334" i="15" s="1"/>
  <c r="K180" i="15"/>
  <c r="M180" i="15" s="1"/>
  <c r="L972" i="15"/>
  <c r="M972" i="15" s="1"/>
  <c r="L214" i="15"/>
  <c r="M214" i="15" s="1"/>
  <c r="K1115" i="15"/>
  <c r="M1115" i="15" s="1"/>
  <c r="K488" i="15"/>
  <c r="M488" i="15" s="1"/>
  <c r="L1293" i="15"/>
  <c r="M1293" i="15" s="1"/>
  <c r="K1014" i="15"/>
  <c r="M1014" i="15" s="1"/>
  <c r="K857" i="15"/>
  <c r="M857" i="15" s="1"/>
  <c r="K945" i="15"/>
  <c r="M945" i="15" s="1"/>
  <c r="K579" i="15"/>
  <c r="M579" i="15" s="1"/>
  <c r="K449" i="15"/>
  <c r="M449" i="15" s="1"/>
  <c r="K637" i="15"/>
  <c r="M637" i="15" s="1"/>
  <c r="K722" i="15"/>
  <c r="M722" i="15" s="1"/>
  <c r="K550" i="15"/>
  <c r="M550" i="15" s="1"/>
  <c r="L146" i="15"/>
  <c r="M146" i="15" s="1"/>
  <c r="K119" i="15"/>
  <c r="M119" i="15" s="1"/>
  <c r="L1243" i="15"/>
  <c r="M1243" i="15" s="1"/>
  <c r="K653" i="15"/>
  <c r="M653" i="15" s="1"/>
  <c r="K802" i="15"/>
  <c r="M802" i="15" s="1"/>
  <c r="K215" i="15"/>
  <c r="M215" i="15" s="1"/>
  <c r="L1261" i="15"/>
  <c r="M1261" i="15" s="1"/>
  <c r="L1132" i="15"/>
  <c r="M1132" i="15" s="1"/>
  <c r="K244" i="15"/>
  <c r="M244" i="15" s="1"/>
  <c r="L755" i="15"/>
  <c r="M755" i="15" s="1"/>
  <c r="K531" i="15"/>
  <c r="M531" i="15" s="1"/>
  <c r="L331" i="15"/>
  <c r="M331" i="15" s="1"/>
  <c r="K1147" i="15"/>
  <c r="M1147" i="15" s="1"/>
  <c r="K658" i="15"/>
  <c r="M658" i="15" s="1"/>
  <c r="L354" i="15"/>
  <c r="M354" i="15" s="1"/>
  <c r="K478" i="15"/>
  <c r="M478" i="15" s="1"/>
  <c r="L290" i="15"/>
  <c r="M290" i="15" s="1"/>
  <c r="K217" i="15"/>
  <c r="M217" i="15" s="1"/>
  <c r="K156" i="15"/>
  <c r="M156" i="15" s="1"/>
  <c r="K1272" i="15"/>
  <c r="M1272" i="15" s="1"/>
  <c r="L1117" i="15"/>
  <c r="M1117" i="15" s="1"/>
  <c r="K1018" i="15"/>
  <c r="M1018" i="15" s="1"/>
  <c r="L993" i="15"/>
  <c r="M993" i="15" s="1"/>
  <c r="K939" i="15"/>
  <c r="M939" i="15" s="1"/>
  <c r="L896" i="15"/>
  <c r="M896" i="15" s="1"/>
  <c r="K670" i="15"/>
  <c r="M670" i="15" s="1"/>
  <c r="K474" i="15"/>
  <c r="M474" i="15" s="1"/>
  <c r="L263" i="15"/>
  <c r="M263" i="15" s="1"/>
  <c r="L1083" i="15"/>
  <c r="M1083" i="15" s="1"/>
  <c r="K1093" i="15"/>
  <c r="M1093" i="15" s="1"/>
  <c r="L804" i="15"/>
  <c r="M804" i="15" s="1"/>
  <c r="L266" i="15"/>
  <c r="M266" i="15" s="1"/>
  <c r="L229" i="15"/>
  <c r="M229" i="15" s="1"/>
  <c r="K392" i="15"/>
  <c r="M392" i="15" s="1"/>
  <c r="K1316" i="15"/>
  <c r="M1316" i="15" s="1"/>
  <c r="L932" i="15"/>
  <c r="M932" i="15" s="1"/>
  <c r="K435" i="15"/>
  <c r="M435" i="15" s="1"/>
  <c r="K678" i="15"/>
  <c r="M678" i="15" s="1"/>
  <c r="K18" i="15"/>
  <c r="M18" i="15" s="1"/>
  <c r="L968" i="15"/>
  <c r="M968" i="15" s="1"/>
  <c r="L43" i="15"/>
  <c r="M43" i="15" s="1"/>
  <c r="L94" i="15"/>
  <c r="M94" i="15" s="1"/>
  <c r="L571" i="15"/>
  <c r="M571" i="15" s="1"/>
  <c r="K28" i="15"/>
  <c r="M28" i="15" s="1"/>
  <c r="K1234" i="15"/>
  <c r="M1234" i="15" s="1"/>
  <c r="K780" i="15"/>
  <c r="M780" i="15" s="1"/>
  <c r="K1340" i="15"/>
  <c r="M1340" i="15" s="1"/>
  <c r="L1001" i="15"/>
  <c r="M1001" i="15" s="1"/>
  <c r="L916" i="15"/>
  <c r="M916" i="15" s="1"/>
  <c r="K1035" i="15"/>
  <c r="M1035" i="15" s="1"/>
  <c r="K635" i="15"/>
  <c r="M635" i="15" s="1"/>
  <c r="L659" i="15"/>
  <c r="M659" i="15" s="1"/>
  <c r="K387" i="15"/>
  <c r="M387" i="15" s="1"/>
  <c r="L75" i="15"/>
  <c r="M75" i="15" s="1"/>
  <c r="K117" i="15"/>
  <c r="M117" i="15" s="1"/>
  <c r="K481" i="15"/>
  <c r="M481" i="15" s="1"/>
  <c r="K545" i="15"/>
  <c r="M545" i="15" s="1"/>
  <c r="K1258" i="15"/>
  <c r="M1258" i="15" s="1"/>
  <c r="K1198" i="15"/>
  <c r="M1198" i="15" s="1"/>
  <c r="K994" i="15"/>
  <c r="M994" i="15" s="1"/>
  <c r="L974" i="15"/>
  <c r="M974" i="15" s="1"/>
  <c r="L552" i="15"/>
  <c r="M552" i="15" s="1"/>
  <c r="K559" i="15"/>
  <c r="M559" i="15" s="1"/>
  <c r="L1056" i="15"/>
  <c r="M1056" i="15" s="1"/>
  <c r="K468" i="15"/>
  <c r="M468" i="15" s="1"/>
  <c r="K1182" i="15"/>
  <c r="M1182" i="15" s="1"/>
  <c r="K1126" i="15"/>
  <c r="M1126" i="15" s="1"/>
  <c r="K937" i="15"/>
  <c r="M937" i="15" s="1"/>
  <c r="K689" i="15"/>
  <c r="M689" i="15" s="1"/>
  <c r="L384" i="15"/>
  <c r="M384" i="15" s="1"/>
  <c r="K189" i="15"/>
  <c r="M189" i="15" s="1"/>
  <c r="K77" i="15"/>
  <c r="M77" i="15" s="1"/>
  <c r="L1036" i="15"/>
  <c r="M1036" i="15" s="1"/>
  <c r="K521" i="15"/>
  <c r="M521" i="15" s="1"/>
  <c r="K1204" i="15"/>
  <c r="M1204" i="15" s="1"/>
  <c r="L1094" i="15"/>
  <c r="M1094" i="15" s="1"/>
  <c r="K831" i="15"/>
  <c r="M831" i="15" s="1"/>
  <c r="L746" i="15"/>
  <c r="M746" i="15" s="1"/>
  <c r="L607" i="15"/>
  <c r="M607" i="15" s="1"/>
  <c r="L595" i="15"/>
  <c r="M595" i="15" s="1"/>
  <c r="K482" i="15"/>
  <c r="M482" i="15" s="1"/>
  <c r="K113" i="15"/>
  <c r="M113" i="15" s="1"/>
  <c r="K530" i="15"/>
  <c r="M530" i="15" s="1"/>
  <c r="K275" i="15"/>
  <c r="M275" i="15" s="1"/>
  <c r="K313" i="15"/>
  <c r="M313" i="15" s="1"/>
  <c r="L1064" i="15"/>
  <c r="M1064" i="15" s="1"/>
  <c r="L800" i="15"/>
  <c r="M800" i="15" s="1"/>
  <c r="K1246" i="15"/>
  <c r="M1246" i="15" s="1"/>
  <c r="K715" i="15"/>
  <c r="M715" i="15" s="1"/>
  <c r="K699" i="15"/>
  <c r="M699" i="15" s="1"/>
  <c r="K503" i="15"/>
  <c r="M503" i="15" s="1"/>
  <c r="K897" i="15"/>
  <c r="M897" i="15" s="1"/>
  <c r="K99" i="15"/>
  <c r="M99" i="15" s="1"/>
  <c r="L640" i="15"/>
  <c r="M640" i="15" s="1"/>
  <c r="K349" i="15"/>
  <c r="M349" i="15" s="1"/>
  <c r="K553" i="15"/>
  <c r="M553" i="15" s="1"/>
  <c r="L1158" i="15"/>
  <c r="M1158" i="15" s="1"/>
  <c r="K1082" i="15"/>
  <c r="M1082" i="15" s="1"/>
  <c r="L325" i="15"/>
  <c r="M325" i="15" s="1"/>
  <c r="K88" i="15"/>
  <c r="M88" i="15" s="1"/>
  <c r="K949" i="15"/>
  <c r="M949" i="15" s="1"/>
  <c r="K1140" i="15"/>
  <c r="M1140" i="15" s="1"/>
  <c r="K1005" i="15"/>
  <c r="M1005" i="15" s="1"/>
  <c r="K677" i="15"/>
  <c r="M677" i="15" s="1"/>
  <c r="K391" i="15"/>
  <c r="M391" i="15" s="1"/>
  <c r="K694" i="15"/>
  <c r="M694" i="15" s="1"/>
  <c r="K452" i="15"/>
  <c r="M452" i="15" s="1"/>
  <c r="K507" i="15"/>
  <c r="M507" i="15" s="1"/>
  <c r="L560" i="15"/>
  <c r="M560" i="15" s="1"/>
  <c r="L1120" i="15"/>
  <c r="M1120" i="15" s="1"/>
  <c r="K1067" i="15"/>
  <c r="M1067" i="15" s="1"/>
  <c r="K767" i="15"/>
  <c r="M767" i="15" s="1"/>
  <c r="K309" i="15"/>
  <c r="M309" i="15" s="1"/>
  <c r="K36" i="15"/>
  <c r="M36" i="15" s="1"/>
  <c r="L513" i="15"/>
  <c r="M513" i="15" s="1"/>
  <c r="K575" i="15"/>
  <c r="M575" i="15" s="1"/>
  <c r="K978" i="15"/>
  <c r="M978" i="15" s="1"/>
  <c r="K727" i="15"/>
  <c r="M727" i="15" s="1"/>
  <c r="K617" i="15"/>
  <c r="M617" i="15" s="1"/>
  <c r="L326" i="15"/>
  <c r="M326" i="15" s="1"/>
  <c r="K361" i="15"/>
  <c r="M361" i="15" s="1"/>
  <c r="L638" i="15"/>
  <c r="M638" i="15" s="1"/>
  <c r="K567" i="15"/>
  <c r="M567" i="15" s="1"/>
  <c r="K1085" i="15"/>
  <c r="M1085" i="15" s="1"/>
  <c r="K321" i="15"/>
  <c r="M321" i="15" s="1"/>
  <c r="L125" i="15"/>
  <c r="M125" i="15" s="1"/>
  <c r="L322" i="15"/>
  <c r="M322" i="15" s="1"/>
  <c r="L138" i="15"/>
  <c r="M138" i="15" s="1"/>
  <c r="L287" i="15"/>
  <c r="M287" i="15" s="1"/>
  <c r="K1145" i="15"/>
  <c r="M1145" i="15" s="1"/>
  <c r="L1098" i="15"/>
  <c r="M1098" i="15" s="1"/>
  <c r="K922" i="15"/>
  <c r="M922" i="15" s="1"/>
  <c r="K639" i="15"/>
  <c r="M639" i="15" s="1"/>
  <c r="L1102" i="15"/>
  <c r="M1102" i="15" s="1"/>
  <c r="K97" i="15"/>
  <c r="M97" i="15" s="1"/>
  <c r="K582" i="15"/>
  <c r="M582" i="15" s="1"/>
  <c r="K257" i="15"/>
  <c r="M257" i="15" s="1"/>
  <c r="L864" i="15"/>
  <c r="M864" i="15" s="1"/>
  <c r="L1008" i="15"/>
  <c r="M1008" i="15" s="1"/>
  <c r="L262" i="15"/>
  <c r="M262" i="15" s="1"/>
  <c r="K1284" i="15"/>
  <c r="M1284" i="15" s="1"/>
  <c r="K1320" i="15"/>
  <c r="M1320" i="15" s="1"/>
  <c r="K1019" i="15"/>
  <c r="M1019" i="15" s="1"/>
  <c r="L1055" i="15"/>
  <c r="M1055" i="15" s="1"/>
  <c r="K80" i="15"/>
  <c r="M80" i="15" s="1"/>
  <c r="K135" i="15"/>
  <c r="M135" i="15" s="1"/>
  <c r="L336" i="15"/>
  <c r="M336" i="15" s="1"/>
  <c r="K533" i="15"/>
  <c r="M533" i="15" s="1"/>
  <c r="K557" i="15"/>
  <c r="M557" i="15" s="1"/>
  <c r="L53" i="15"/>
  <c r="M53" i="15" s="1"/>
  <c r="L1183" i="15"/>
  <c r="M1183" i="15" s="1"/>
  <c r="K1186" i="15"/>
  <c r="M1186" i="15" s="1"/>
  <c r="K1097" i="15"/>
  <c r="M1097" i="15" s="1"/>
  <c r="K583" i="15"/>
  <c r="M583" i="15" s="1"/>
  <c r="L944" i="15"/>
  <c r="M944" i="15" s="1"/>
  <c r="K439" i="15"/>
  <c r="M439" i="15" s="1"/>
  <c r="L89" i="15"/>
  <c r="M89" i="15" s="1"/>
  <c r="L808" i="15"/>
  <c r="M808" i="15" s="1"/>
  <c r="K485" i="15"/>
  <c r="M485" i="15" s="1"/>
  <c r="L278" i="15"/>
  <c r="M278" i="15" s="1"/>
  <c r="L21" i="15"/>
  <c r="M21" i="15" s="1"/>
  <c r="K1196" i="15"/>
  <c r="M1196" i="15" s="1"/>
  <c r="L1114" i="15"/>
  <c r="M1114" i="15" s="1"/>
  <c r="K1071" i="15"/>
  <c r="M1071" i="15" s="1"/>
  <c r="K843" i="15"/>
  <c r="M843" i="15" s="1"/>
  <c r="K455" i="15"/>
  <c r="M455" i="15" s="1"/>
  <c r="L121" i="15"/>
  <c r="M121" i="15" s="1"/>
  <c r="K103" i="15"/>
  <c r="M103" i="15" s="1"/>
  <c r="K741" i="15"/>
  <c r="M741" i="15" s="1"/>
  <c r="L404" i="15"/>
  <c r="M404" i="15" s="1"/>
  <c r="K393" i="15"/>
  <c r="M393" i="15" s="1"/>
  <c r="K453" i="15"/>
  <c r="M453" i="15" s="1"/>
  <c r="L644" i="15"/>
  <c r="M644" i="15" s="1"/>
  <c r="K1226" i="15"/>
  <c r="M1226" i="15" s="1"/>
  <c r="K1172" i="15"/>
  <c r="M1172" i="15" s="1"/>
  <c r="K1091" i="15"/>
  <c r="M1091" i="15" s="1"/>
  <c r="K943" i="15"/>
  <c r="M943" i="15" s="1"/>
  <c r="K188" i="15"/>
  <c r="M188" i="15" s="1"/>
  <c r="K523" i="15"/>
  <c r="M523" i="15" s="1"/>
  <c r="K92" i="15"/>
  <c r="M92" i="15" s="1"/>
  <c r="L42" i="15"/>
  <c r="M42" i="15" s="1"/>
  <c r="K9" i="15"/>
  <c r="M9" i="15" s="1"/>
  <c r="K1220" i="15"/>
  <c r="M1220" i="15" s="1"/>
  <c r="K887" i="15"/>
  <c r="M887" i="15" s="1"/>
  <c r="L883" i="15"/>
  <c r="M883" i="15" s="1"/>
  <c r="L444" i="15"/>
  <c r="M444" i="15" s="1"/>
  <c r="K547" i="15"/>
  <c r="M547" i="15" s="1"/>
  <c r="K251" i="15"/>
  <c r="M251" i="15" s="1"/>
  <c r="L250" i="15"/>
  <c r="M250" i="15" s="1"/>
  <c r="K239" i="15"/>
  <c r="M239" i="15" s="1"/>
  <c r="K20" i="15"/>
  <c r="M20" i="15" s="1"/>
  <c r="K66" i="15"/>
  <c r="M66" i="15" s="1"/>
  <c r="K1127" i="15"/>
  <c r="M1127" i="15" s="1"/>
  <c r="K817" i="15"/>
  <c r="M817" i="15" s="1"/>
  <c r="L672" i="15"/>
  <c r="M672" i="15" s="1"/>
  <c r="K1076" i="15"/>
  <c r="M1076" i="15" s="1"/>
  <c r="K1298" i="15"/>
  <c r="M1298" i="15" s="1"/>
  <c r="K1300" i="15"/>
  <c r="M1300" i="15" s="1"/>
  <c r="K1157" i="15"/>
  <c r="M1157" i="15" s="1"/>
  <c r="L1087" i="15"/>
  <c r="M1087" i="15" s="1"/>
  <c r="K1230" i="15"/>
  <c r="M1230" i="15" s="1"/>
  <c r="L419" i="15"/>
  <c r="M419" i="15" s="1"/>
  <c r="K367" i="15"/>
  <c r="M367" i="15" s="1"/>
  <c r="K305" i="15"/>
  <c r="M305" i="15" s="1"/>
  <c r="K289" i="15"/>
  <c r="M289" i="15" s="1"/>
  <c r="K505" i="15"/>
  <c r="M505" i="15" s="1"/>
  <c r="K1290" i="15"/>
  <c r="M1290" i="15" s="1"/>
  <c r="K919" i="15"/>
  <c r="M919" i="15" s="1"/>
  <c r="L759" i="15"/>
  <c r="M759" i="15" s="1"/>
  <c r="K723" i="15"/>
  <c r="M723" i="15" s="1"/>
  <c r="L428" i="15"/>
  <c r="M428" i="15" s="1"/>
  <c r="L740" i="15"/>
  <c r="M740" i="15" s="1"/>
  <c r="K283" i="15"/>
  <c r="M283" i="15" s="1"/>
  <c r="K109" i="15"/>
  <c r="M109" i="15" s="1"/>
  <c r="L569" i="15"/>
  <c r="M569" i="15" s="1"/>
  <c r="L592" i="15"/>
  <c r="M592" i="15" s="1"/>
  <c r="K1268" i="15"/>
  <c r="M1268" i="15" s="1"/>
  <c r="K1252" i="15"/>
  <c r="M1252" i="15" s="1"/>
  <c r="K1101" i="15"/>
  <c r="M1101" i="15" s="1"/>
  <c r="K1077" i="15"/>
  <c r="M1077" i="15" s="1"/>
  <c r="L735" i="15"/>
  <c r="M735" i="15" s="1"/>
  <c r="L615" i="15"/>
  <c r="M615" i="15" s="1"/>
  <c r="L388" i="15"/>
  <c r="M388" i="15" s="1"/>
  <c r="K107" i="15"/>
  <c r="M107" i="15" s="1"/>
  <c r="L303" i="15"/>
  <c r="M303" i="15" s="1"/>
  <c r="K249" i="15"/>
  <c r="M249" i="15" s="1"/>
  <c r="K148" i="15"/>
  <c r="M148" i="15" s="1"/>
  <c r="K72" i="15"/>
  <c r="M72" i="15" s="1"/>
  <c r="K1004" i="15"/>
  <c r="M1004" i="15" s="1"/>
  <c r="K1131" i="15"/>
  <c r="M1131" i="15" s="1"/>
  <c r="K1123" i="15"/>
  <c r="M1123" i="15" s="1"/>
  <c r="L948" i="15"/>
  <c r="M948" i="15" s="1"/>
  <c r="L655" i="15"/>
  <c r="M655" i="15" s="1"/>
  <c r="K329" i="15"/>
  <c r="M329" i="15" s="1"/>
  <c r="K227" i="15"/>
  <c r="M227" i="15" s="1"/>
  <c r="L913" i="15"/>
  <c r="M913" i="15" s="1"/>
  <c r="K756" i="15"/>
  <c r="M756" i="15" s="1"/>
  <c r="K140" i="15"/>
  <c r="M140" i="15" s="1"/>
  <c r="L150" i="15"/>
  <c r="M150" i="15" s="1"/>
  <c r="L417" i="15"/>
  <c r="M417" i="15" s="1"/>
  <c r="K930" i="15"/>
  <c r="M930" i="15" s="1"/>
  <c r="K649" i="15"/>
  <c r="M649" i="15" s="1"/>
  <c r="K128" i="15"/>
  <c r="M128" i="15" s="1"/>
  <c r="L153" i="15"/>
  <c r="M153" i="15" s="1"/>
  <c r="K308" i="15"/>
  <c r="M308" i="15" s="1"/>
  <c r="K56" i="15"/>
  <c r="M56" i="15" s="1"/>
  <c r="K761" i="15"/>
  <c r="M761" i="15" s="1"/>
  <c r="L401" i="15"/>
  <c r="M401" i="15" s="1"/>
  <c r="L963" i="15"/>
  <c r="M963" i="15" s="1"/>
  <c r="K661" i="15"/>
  <c r="M661" i="15" s="1"/>
  <c r="L703" i="15"/>
  <c r="M703" i="15" s="1"/>
  <c r="L779" i="15"/>
  <c r="M779" i="15" s="1"/>
  <c r="L538" i="15"/>
  <c r="M538" i="15" s="1"/>
  <c r="L179" i="15"/>
  <c r="M179" i="15" s="1"/>
  <c r="L137" i="15"/>
  <c r="M137" i="15" s="1"/>
  <c r="L760" i="15"/>
  <c r="M760" i="15" s="1"/>
  <c r="L373" i="15"/>
  <c r="M373" i="15" s="1"/>
  <c r="L102" i="15"/>
  <c r="M102" i="15" s="1"/>
  <c r="K369" i="15"/>
  <c r="M369" i="15" s="1"/>
  <c r="K1045" i="15"/>
  <c r="M1045" i="15" s="1"/>
  <c r="L977" i="15"/>
  <c r="M977" i="15" s="1"/>
  <c r="L904" i="15"/>
  <c r="M904" i="15" s="1"/>
  <c r="K386" i="15"/>
  <c r="M386" i="15" s="1"/>
  <c r="K87" i="15"/>
  <c r="M87" i="15" s="1"/>
  <c r="K1002" i="15"/>
  <c r="M1002" i="15" s="1"/>
  <c r="K517" i="15"/>
  <c r="M517" i="15" s="1"/>
  <c r="L13" i="15"/>
  <c r="M13" i="15" s="1"/>
  <c r="K300" i="15"/>
  <c r="M300" i="15" s="1"/>
  <c r="K8" i="15"/>
  <c r="M8" i="15" s="1"/>
  <c r="K38" i="15"/>
  <c r="M38" i="15" s="1"/>
  <c r="L588" i="15"/>
  <c r="M588" i="15" s="1"/>
  <c r="K1264" i="15"/>
  <c r="M1264" i="15" s="1"/>
  <c r="K995" i="15"/>
  <c r="M995" i="15" s="1"/>
  <c r="K539" i="15"/>
  <c r="M539" i="15" s="1"/>
  <c r="K161" i="15"/>
  <c r="M161" i="15" s="1"/>
  <c r="L824" i="15"/>
  <c r="M824" i="15" s="1"/>
  <c r="K1119" i="15"/>
  <c r="M1119" i="15" s="1"/>
  <c r="L206" i="15"/>
  <c r="M206" i="15" s="1"/>
  <c r="K57" i="15"/>
  <c r="M57" i="15" s="1"/>
  <c r="L114" i="15"/>
  <c r="M114" i="15" s="1"/>
  <c r="K1288" i="15"/>
  <c r="M1288" i="15" s="1"/>
  <c r="K1113" i="15"/>
  <c r="M1113" i="15" s="1"/>
  <c r="K711" i="15"/>
  <c r="M711" i="15" s="1"/>
  <c r="K671" i="15"/>
  <c r="M671" i="15" s="1"/>
  <c r="K675" i="15"/>
  <c r="M675" i="15" s="1"/>
  <c r="K93" i="15"/>
  <c r="M93" i="15" s="1"/>
  <c r="L131" i="15"/>
  <c r="M131" i="15" s="1"/>
  <c r="K50" i="15"/>
  <c r="M50" i="15" s="1"/>
  <c r="L436" i="15"/>
  <c r="M436" i="15" s="1"/>
  <c r="L856" i="15"/>
  <c r="M856" i="15" s="1"/>
  <c r="K839" i="15"/>
  <c r="M839" i="15" s="1"/>
  <c r="K811" i="15"/>
  <c r="M811" i="15" s="1"/>
  <c r="K311" i="15"/>
  <c r="M311" i="15" s="1"/>
  <c r="K350" i="15"/>
  <c r="M350" i="15" s="1"/>
  <c r="K196" i="15"/>
  <c r="M196" i="15" s="1"/>
  <c r="K541" i="15"/>
  <c r="M541" i="15" s="1"/>
  <c r="K357" i="15"/>
  <c r="M357" i="15" s="1"/>
  <c r="L848" i="15"/>
  <c r="M848" i="15" s="1"/>
  <c r="K48" i="15"/>
  <c r="M48" i="15" s="1"/>
  <c r="L1022" i="15"/>
  <c r="M1022" i="15" s="1"/>
  <c r="K108" i="15"/>
  <c r="M108" i="15" s="1"/>
  <c r="L812" i="15"/>
  <c r="M812" i="15" s="1"/>
  <c r="K236" i="15"/>
  <c r="M236" i="15" s="1"/>
  <c r="L841" i="15"/>
  <c r="M841" i="15" s="1"/>
  <c r="K625" i="15"/>
  <c r="M625" i="15" s="1"/>
  <c r="K725" i="15"/>
  <c r="M725" i="15" s="1"/>
  <c r="K319" i="15"/>
  <c r="M319" i="15" s="1"/>
  <c r="L10" i="15"/>
  <c r="M10" i="15" s="1"/>
  <c r="L900" i="15"/>
  <c r="M900" i="15" s="1"/>
  <c r="K651" i="15"/>
  <c r="M651" i="15" s="1"/>
  <c r="K155" i="15"/>
  <c r="M155" i="15" s="1"/>
  <c r="L226" i="15"/>
  <c r="M226" i="15" s="1"/>
  <c r="L170" i="15"/>
  <c r="M170" i="15" s="1"/>
  <c r="L1032" i="15"/>
  <c r="M1032" i="15" s="1"/>
  <c r="K537" i="15"/>
  <c r="M537" i="15" s="1"/>
  <c r="K425" i="15"/>
  <c r="M425" i="15" s="1"/>
  <c r="K1338" i="15"/>
  <c r="M1338" i="15" s="1"/>
  <c r="K1173" i="15"/>
  <c r="M1173" i="15" s="1"/>
  <c r="L1341" i="15"/>
  <c r="M1341" i="15" s="1"/>
  <c r="K1133" i="15"/>
  <c r="M1133" i="15" s="1"/>
  <c r="K983" i="15"/>
  <c r="M983" i="15" s="1"/>
  <c r="K935" i="15"/>
  <c r="M935" i="15" s="1"/>
  <c r="K695" i="15"/>
  <c r="M695" i="15" s="1"/>
  <c r="K411" i="15"/>
  <c r="M411" i="15" s="1"/>
  <c r="K566" i="15"/>
  <c r="M566" i="15" s="1"/>
  <c r="K315" i="15"/>
  <c r="M315" i="15" s="1"/>
  <c r="K304" i="15"/>
  <c r="M304" i="15" s="1"/>
  <c r="L141" i="15"/>
  <c r="M141" i="15" s="1"/>
  <c r="L318" i="15"/>
  <c r="M318" i="15" s="1"/>
  <c r="K1212" i="15"/>
  <c r="M1212" i="15" s="1"/>
  <c r="K1031" i="15"/>
  <c r="M1031" i="15" s="1"/>
  <c r="K1148" i="15"/>
  <c r="M1148" i="15" s="1"/>
  <c r="K1047" i="15"/>
  <c r="M1047" i="15" s="1"/>
  <c r="K1042" i="15"/>
  <c r="M1042" i="15" s="1"/>
  <c r="L980" i="15"/>
  <c r="M980" i="15" s="1"/>
  <c r="K598" i="15"/>
  <c r="M598" i="15" s="1"/>
  <c r="K645" i="15"/>
  <c r="M645" i="15" s="1"/>
  <c r="K783" i="15"/>
  <c r="M783" i="15" s="1"/>
  <c r="K681" i="15"/>
  <c r="M681" i="15" s="1"/>
  <c r="L724" i="15"/>
  <c r="M724" i="15" s="1"/>
  <c r="K307" i="15"/>
  <c r="M307" i="15" s="1"/>
  <c r="K414" i="15"/>
  <c r="M414" i="15" s="1"/>
  <c r="K52" i="15"/>
  <c r="M52" i="15" s="1"/>
  <c r="K1202" i="15"/>
  <c r="M1202" i="15" s="1"/>
  <c r="L1017" i="15"/>
  <c r="M1017" i="15" s="1"/>
  <c r="K959" i="15"/>
  <c r="M959" i="15" s="1"/>
  <c r="L956" i="15"/>
  <c r="M956" i="15" s="1"/>
  <c r="K999" i="15"/>
  <c r="M999" i="15" s="1"/>
  <c r="K818" i="15"/>
  <c r="M818" i="15" s="1"/>
  <c r="K828" i="15"/>
  <c r="M828" i="15" s="1"/>
  <c r="K346" i="15"/>
  <c r="M346" i="15" s="1"/>
  <c r="L484" i="15"/>
  <c r="M484" i="15" s="1"/>
  <c r="K157" i="15"/>
  <c r="M157" i="15" s="1"/>
  <c r="L1318" i="15"/>
  <c r="M1318" i="15" s="1"/>
  <c r="K62" i="15"/>
  <c r="M62" i="15" s="1"/>
  <c r="K757" i="15"/>
  <c r="M757" i="15" s="1"/>
  <c r="K737" i="15"/>
  <c r="M737" i="15" s="1"/>
  <c r="K1188" i="15"/>
  <c r="M1188" i="15" s="1"/>
  <c r="L1253" i="15"/>
  <c r="M1253" i="15" s="1"/>
  <c r="K1013" i="15"/>
  <c r="M1013" i="15" s="1"/>
  <c r="K1037" i="15"/>
  <c r="M1037" i="15" s="1"/>
  <c r="K775" i="15"/>
  <c r="M775" i="15" s="1"/>
  <c r="L544" i="15"/>
  <c r="M544" i="15" s="1"/>
  <c r="K667" i="15"/>
  <c r="M667" i="15" s="1"/>
  <c r="K611" i="15"/>
  <c r="M611" i="15" s="1"/>
  <c r="K378" i="15"/>
  <c r="M378" i="15" s="1"/>
  <c r="K40" i="15"/>
  <c r="M40" i="15" s="1"/>
  <c r="K413" i="15"/>
  <c r="M413" i="15" s="1"/>
  <c r="K1232" i="15"/>
  <c r="M1232" i="15" s="1"/>
  <c r="K1324" i="15"/>
  <c r="M1324" i="15" s="1"/>
  <c r="K1312" i="15"/>
  <c r="M1312" i="15" s="1"/>
  <c r="K1280" i="15"/>
  <c r="M1280" i="15" s="1"/>
  <c r="L1110" i="15"/>
  <c r="M1110" i="15" s="1"/>
  <c r="K1081" i="15"/>
  <c r="M1081" i="15" s="1"/>
  <c r="L840" i="15"/>
  <c r="M840" i="15" s="1"/>
  <c r="K679" i="15"/>
  <c r="M679" i="15" s="1"/>
  <c r="K835" i="15"/>
  <c r="M835" i="15" s="1"/>
  <c r="K514" i="15"/>
  <c r="M514" i="15" s="1"/>
  <c r="K129" i="15"/>
  <c r="M129" i="15" s="1"/>
  <c r="K104" i="15"/>
  <c r="M104" i="15" s="1"/>
  <c r="L198" i="15"/>
  <c r="M198" i="15" s="1"/>
  <c r="K837" i="15"/>
  <c r="M837" i="15" s="1"/>
  <c r="K1050" i="15"/>
  <c r="M1050" i="15" s="1"/>
  <c r="K252" i="15"/>
  <c r="M252" i="15" s="1"/>
  <c r="K365" i="15"/>
  <c r="M365" i="15" s="1"/>
  <c r="K1107" i="15"/>
  <c r="M1107" i="15" s="1"/>
  <c r="L1224" i="15"/>
  <c r="M1224" i="15" s="1"/>
  <c r="L967" i="15"/>
  <c r="M967" i="15" s="1"/>
  <c r="L1061" i="15"/>
  <c r="M1061" i="15" s="1"/>
  <c r="L964" i="15"/>
  <c r="M964" i="15" s="1"/>
  <c r="L471" i="15"/>
  <c r="M471" i="15" s="1"/>
  <c r="L707" i="15"/>
  <c r="M707" i="15" s="1"/>
  <c r="L159" i="15"/>
  <c r="M159" i="15" s="1"/>
  <c r="K316" i="15"/>
  <c r="M316" i="15" s="1"/>
  <c r="K60" i="15"/>
  <c r="M60" i="15" s="1"/>
  <c r="K16" i="15"/>
  <c r="M16" i="15" s="1"/>
  <c r="L381" i="15"/>
  <c r="M381" i="15" s="1"/>
  <c r="K341" i="15"/>
  <c r="M341" i="15" s="1"/>
  <c r="K589" i="15"/>
  <c r="M589" i="15" s="1"/>
  <c r="K447" i="15"/>
  <c r="M447" i="15" s="1"/>
  <c r="K555" i="15"/>
  <c r="M555" i="15" s="1"/>
  <c r="K120" i="15"/>
  <c r="M120" i="15" s="1"/>
  <c r="L61" i="15"/>
  <c r="M61" i="15" s="1"/>
  <c r="K1276" i="15"/>
  <c r="M1276" i="15" s="1"/>
  <c r="K1194" i="15"/>
  <c r="M1194" i="15" s="1"/>
  <c r="K1165" i="15"/>
  <c r="M1165" i="15" s="1"/>
  <c r="K1049" i="15"/>
  <c r="M1049" i="15" s="1"/>
  <c r="K891" i="15"/>
  <c r="M891" i="15" s="1"/>
  <c r="K705" i="15"/>
  <c r="M705" i="15" s="1"/>
  <c r="K827" i="15"/>
  <c r="M827" i="15" s="1"/>
  <c r="K418" i="15"/>
  <c r="M418" i="15" s="1"/>
  <c r="K529" i="15"/>
  <c r="M529" i="15" s="1"/>
  <c r="L620" i="15"/>
  <c r="M620" i="15" s="1"/>
  <c r="K909" i="15"/>
  <c r="M909" i="15" s="1"/>
  <c r="K1304" i="15"/>
  <c r="M1304" i="15" s="1"/>
  <c r="K1278" i="15"/>
  <c r="M1278" i="15" s="1"/>
  <c r="K895" i="15"/>
  <c r="M895" i="15" s="1"/>
  <c r="K879" i="15"/>
  <c r="M879" i="15" s="1"/>
  <c r="K1003" i="15"/>
  <c r="M1003" i="15" s="1"/>
  <c r="K687" i="15"/>
  <c r="M687" i="15" s="1"/>
  <c r="K293" i="15"/>
  <c r="M293" i="15" s="1"/>
  <c r="K183" i="15"/>
  <c r="M183" i="15" s="1"/>
  <c r="K193" i="15"/>
  <c r="M193" i="15" s="1"/>
  <c r="K15" i="15"/>
  <c r="M15" i="15" s="1"/>
  <c r="K17" i="15"/>
  <c r="M17" i="15" s="1"/>
  <c r="L1122" i="15"/>
  <c r="M1122" i="15" s="1"/>
  <c r="K915" i="15"/>
  <c r="M915" i="15" s="1"/>
  <c r="K921" i="15"/>
  <c r="M921" i="15" s="1"/>
  <c r="L274" i="15"/>
  <c r="M274" i="15" s="1"/>
  <c r="K265" i="15"/>
  <c r="M265" i="15" s="1"/>
  <c r="L98" i="15"/>
  <c r="M98" i="15" s="1"/>
  <c r="K785" i="15"/>
  <c r="M785" i="15" s="1"/>
  <c r="K469" i="15"/>
  <c r="M469" i="15" s="1"/>
  <c r="K1105" i="15"/>
  <c r="M1105" i="15" s="1"/>
  <c r="L908" i="15"/>
  <c r="M908" i="15" s="1"/>
  <c r="K799" i="15"/>
  <c r="M799" i="15" s="1"/>
  <c r="K731" i="15"/>
  <c r="M731" i="15" s="1"/>
  <c r="L476" i="15"/>
  <c r="M476" i="15" s="1"/>
  <c r="K169" i="15"/>
  <c r="M169" i="15" s="1"/>
  <c r="L11" i="15"/>
  <c r="M11" i="15" s="1"/>
  <c r="K385" i="15"/>
  <c r="M385" i="15" s="1"/>
  <c r="L1024" i="15"/>
  <c r="M1024" i="15" s="1"/>
  <c r="K335" i="15"/>
  <c r="M335" i="15" s="1"/>
  <c r="K228" i="15"/>
  <c r="M228" i="15" s="1"/>
  <c r="K861" i="15"/>
  <c r="M861" i="15" s="1"/>
  <c r="L1139" i="15"/>
  <c r="M1139" i="15" s="1"/>
  <c r="L903" i="15"/>
  <c r="M903" i="15" s="1"/>
  <c r="L1152" i="15"/>
  <c r="M1152" i="15" s="1"/>
  <c r="L823" i="15"/>
  <c r="M823" i="15" s="1"/>
  <c r="L787" i="15"/>
  <c r="M787" i="15" s="1"/>
  <c r="L739" i="15"/>
  <c r="M739" i="15" s="1"/>
  <c r="L492" i="15"/>
  <c r="M492" i="15" s="1"/>
  <c r="L339" i="15"/>
  <c r="M339" i="15" s="1"/>
  <c r="K24" i="15"/>
  <c r="M24" i="15" s="1"/>
  <c r="L409" i="15"/>
  <c r="M409" i="15" s="1"/>
  <c r="L270" i="15"/>
  <c r="M270" i="15" s="1"/>
  <c r="K1296" i="15"/>
  <c r="M1296" i="15" s="1"/>
  <c r="K1111" i="15"/>
  <c r="M1111" i="15" s="1"/>
  <c r="K1069" i="15"/>
  <c r="M1069" i="15" s="1"/>
  <c r="K849" i="15"/>
  <c r="M849" i="15" s="1"/>
  <c r="K593" i="15"/>
  <c r="M593" i="15" s="1"/>
  <c r="K683" i="15"/>
  <c r="M683" i="15" s="1"/>
  <c r="K686" i="15"/>
  <c r="M686" i="15" s="1"/>
  <c r="K483" i="15"/>
  <c r="M483" i="15" s="1"/>
  <c r="K614" i="15"/>
  <c r="M614" i="15" s="1"/>
  <c r="L234" i="15"/>
  <c r="M234" i="15" s="1"/>
  <c r="K165" i="15"/>
  <c r="M165" i="15" s="1"/>
  <c r="K231" i="15"/>
  <c r="M231" i="15" s="1"/>
  <c r="K327" i="15"/>
  <c r="M327" i="15" s="1"/>
  <c r="K489" i="15"/>
  <c r="M489" i="15" s="1"/>
  <c r="K437" i="15"/>
  <c r="M437" i="15" s="1"/>
  <c r="K917" i="15"/>
  <c r="M917" i="15" s="1"/>
  <c r="K969" i="15"/>
  <c r="M969" i="15" s="1"/>
  <c r="K929" i="15"/>
  <c r="M929" i="15" s="1"/>
  <c r="K127" i="15"/>
  <c r="M127" i="15" s="1"/>
  <c r="K23" i="15"/>
  <c r="M23" i="15" s="1"/>
  <c r="L1143" i="15"/>
  <c r="M1143" i="15" s="1"/>
  <c r="K1244" i="15"/>
  <c r="M1244" i="15" s="1"/>
  <c r="K1332" i="15"/>
  <c r="M1332" i="15" s="1"/>
  <c r="K1065" i="15"/>
  <c r="M1065" i="15" s="1"/>
  <c r="K863" i="15"/>
  <c r="M863" i="15" s="1"/>
  <c r="K1074" i="15"/>
  <c r="M1074" i="15" s="1"/>
  <c r="K747" i="15"/>
  <c r="M747" i="15" s="1"/>
  <c r="K442" i="15"/>
  <c r="M442" i="15" s="1"/>
  <c r="K223" i="15"/>
  <c r="M223" i="15" s="1"/>
  <c r="K1163" i="15"/>
  <c r="M1163" i="15" s="1"/>
  <c r="L497" i="15"/>
  <c r="M497" i="15" s="1"/>
  <c r="K951" i="15"/>
  <c r="M951" i="15" s="1"/>
  <c r="K899" i="15"/>
  <c r="M899" i="15" s="1"/>
  <c r="K953" i="15"/>
  <c r="M953" i="15" s="1"/>
  <c r="K594" i="15"/>
  <c r="M594" i="15" s="1"/>
  <c r="K79" i="15"/>
  <c r="M79" i="15" s="1"/>
  <c r="K54" i="15"/>
  <c r="M54" i="15" s="1"/>
  <c r="L528" i="15"/>
  <c r="M528" i="15" s="1"/>
  <c r="L134" i="15"/>
  <c r="M134" i="15" s="1"/>
  <c r="L1329" i="15"/>
  <c r="M1329" i="15" s="1"/>
  <c r="K1270" i="15"/>
  <c r="M1270" i="15" s="1"/>
  <c r="K629" i="15"/>
  <c r="M629" i="15" s="1"/>
  <c r="L920" i="15"/>
  <c r="M920" i="15" s="1"/>
  <c r="K623" i="15"/>
  <c r="M623" i="15" s="1"/>
  <c r="K359" i="15"/>
  <c r="M359" i="15" s="1"/>
  <c r="K173" i="15"/>
  <c r="M173" i="15" s="1"/>
  <c r="K297" i="15"/>
  <c r="M297" i="15" s="1"/>
  <c r="L792" i="15"/>
  <c r="M792" i="15" s="1"/>
  <c r="L1273" i="15"/>
  <c r="M1273" i="15" s="1"/>
  <c r="L976" i="15"/>
  <c r="M976" i="15" s="1"/>
  <c r="L748" i="15"/>
  <c r="M748" i="15" s="1"/>
  <c r="K292" i="15"/>
  <c r="M292" i="15" s="1"/>
  <c r="K1222" i="15"/>
  <c r="M1222" i="15" s="1"/>
  <c r="K84" i="15"/>
  <c r="M84" i="15" s="1"/>
  <c r="L1192" i="15"/>
  <c r="M1192" i="15" s="1"/>
  <c r="L1328" i="15"/>
  <c r="M1328" i="15" s="1"/>
  <c r="K1277" i="15"/>
  <c r="M1277" i="15" s="1"/>
  <c r="L1010" i="15"/>
  <c r="M1010" i="15" s="1"/>
  <c r="L663" i="15"/>
  <c r="M663" i="15" s="1"/>
  <c r="L960" i="15"/>
  <c r="M960" i="15" s="1"/>
  <c r="K716" i="15"/>
  <c r="M716" i="15" s="1"/>
  <c r="L691" i="15"/>
  <c r="M691" i="15" s="1"/>
  <c r="L643" i="15"/>
  <c r="M643" i="15" s="1"/>
  <c r="K456" i="15"/>
  <c r="M456" i="15" s="1"/>
  <c r="K1044" i="15"/>
  <c r="M1044" i="15" s="1"/>
  <c r="L142" i="15"/>
  <c r="M142" i="15" s="1"/>
  <c r="L600" i="15"/>
  <c r="M600" i="15" s="1"/>
  <c r="K871" i="15"/>
  <c r="M871" i="15" s="1"/>
  <c r="K859" i="15"/>
  <c r="M859" i="15" s="1"/>
  <c r="L952" i="15"/>
  <c r="M952" i="15" s="1"/>
  <c r="K599" i="15"/>
  <c r="M599" i="15" s="1"/>
  <c r="L556" i="15"/>
  <c r="M556" i="15" s="1"/>
  <c r="K543" i="15"/>
  <c r="M543" i="15" s="1"/>
  <c r="K85" i="15"/>
  <c r="M85" i="15" s="1"/>
  <c r="K213" i="15"/>
  <c r="M213" i="15" s="1"/>
  <c r="K1254" i="15"/>
  <c r="M1254" i="15" s="1"/>
  <c r="K68" i="15"/>
  <c r="M68" i="15" s="1"/>
  <c r="K32" i="15"/>
  <c r="M32" i="15" s="1"/>
  <c r="K34" i="15"/>
  <c r="M34" i="15" s="1"/>
  <c r="K31" i="15"/>
  <c r="M31" i="15" s="1"/>
  <c r="K1153" i="15"/>
  <c r="M1153" i="15" s="1"/>
  <c r="K1216" i="15"/>
  <c r="M1216" i="15" s="1"/>
  <c r="K1078" i="15"/>
  <c r="M1078" i="15" s="1"/>
  <c r="L1000" i="15"/>
  <c r="M1000" i="15" s="1"/>
  <c r="K1089" i="15"/>
  <c r="M1089" i="15" s="1"/>
  <c r="K914" i="15"/>
  <c r="M914" i="15" s="1"/>
  <c r="K693" i="15"/>
  <c r="M693" i="15" s="1"/>
  <c r="K770" i="15"/>
  <c r="M770" i="15" s="1"/>
  <c r="K647" i="15"/>
  <c r="M647" i="15" s="1"/>
  <c r="K601" i="15"/>
  <c r="M601" i="15" s="1"/>
  <c r="L928" i="15"/>
  <c r="M928" i="15" s="1"/>
  <c r="K771" i="15"/>
  <c r="M771" i="15" s="1"/>
  <c r="L448" i="15"/>
  <c r="M448" i="15" s="1"/>
  <c r="K487" i="15"/>
  <c r="M487" i="15" s="1"/>
  <c r="L364" i="15"/>
  <c r="M364" i="15" s="1"/>
  <c r="K195" i="15"/>
  <c r="M195" i="15" s="1"/>
  <c r="K395" i="15"/>
  <c r="M395" i="15" s="1"/>
  <c r="K149" i="15"/>
  <c r="M149" i="15" s="1"/>
  <c r="K95" i="15"/>
  <c r="M95" i="15" s="1"/>
  <c r="K49" i="15"/>
  <c r="M49" i="15" s="1"/>
  <c r="L1012" i="15"/>
  <c r="M1012" i="15" s="1"/>
  <c r="K1292" i="15"/>
  <c r="M1292" i="15" s="1"/>
  <c r="L1333" i="15"/>
  <c r="M1333" i="15" s="1"/>
  <c r="K1184" i="15"/>
  <c r="M1184" i="15" s="1"/>
  <c r="K1144" i="15"/>
  <c r="M1144" i="15" s="1"/>
  <c r="K1156" i="15"/>
  <c r="M1156" i="15" s="1"/>
  <c r="K591" i="15"/>
  <c r="M591" i="15" s="1"/>
  <c r="K646" i="15"/>
  <c r="M646" i="15" s="1"/>
  <c r="K245" i="15"/>
  <c r="M245" i="15" s="1"/>
  <c r="L186" i="15"/>
  <c r="M186" i="15" s="1"/>
  <c r="K946" i="15"/>
  <c r="M946" i="15" s="1"/>
  <c r="K947" i="15"/>
  <c r="M947" i="15" s="1"/>
  <c r="K1038" i="15"/>
  <c r="M1038" i="15" s="1"/>
  <c r="K807" i="15"/>
  <c r="M807" i="15" s="1"/>
  <c r="K791" i="15"/>
  <c r="M791" i="15" s="1"/>
  <c r="K867" i="15"/>
  <c r="M867" i="15" s="1"/>
  <c r="K235" i="15"/>
  <c r="M235" i="15" s="1"/>
  <c r="K187" i="15"/>
  <c r="M187" i="15" s="1"/>
  <c r="K261" i="15"/>
  <c r="M261" i="15" s="1"/>
  <c r="L162" i="15"/>
  <c r="M162" i="15" s="1"/>
  <c r="K96" i="15"/>
  <c r="M96" i="15" s="1"/>
  <c r="K463" i="15"/>
  <c r="M463" i="15" s="1"/>
  <c r="K709" i="15"/>
  <c r="M709" i="15" s="1"/>
  <c r="K353" i="15"/>
  <c r="M353" i="15" s="1"/>
  <c r="L1106" i="15"/>
  <c r="M1106" i="15" s="1"/>
  <c r="K1058" i="15"/>
  <c r="M1058" i="15" s="1"/>
  <c r="L460" i="15"/>
  <c r="M460" i="15" s="1"/>
  <c r="L508" i="15"/>
  <c r="M508" i="15" s="1"/>
  <c r="K276" i="15"/>
  <c r="M276" i="15" s="1"/>
  <c r="K172" i="15"/>
  <c r="M172" i="15" s="1"/>
  <c r="K273" i="15"/>
  <c r="M273" i="15" s="1"/>
  <c r="K209" i="15"/>
  <c r="M209" i="15" s="1"/>
  <c r="L5" i="15"/>
  <c r="M5" i="15" s="1"/>
  <c r="K397" i="15"/>
  <c r="M397" i="15" s="1"/>
  <c r="L342" i="15"/>
  <c r="M342" i="15" s="1"/>
  <c r="K164" i="15"/>
  <c r="M164" i="15" s="1"/>
  <c r="K12" i="15"/>
  <c r="M12" i="15" s="1"/>
  <c r="K493" i="15"/>
  <c r="M493" i="15" s="1"/>
  <c r="L110" i="15"/>
  <c r="M110" i="15" s="1"/>
  <c r="K962" i="15"/>
  <c r="M962" i="15" s="1"/>
  <c r="L202" i="15"/>
  <c r="M202" i="15" s="1"/>
  <c r="L30" i="15"/>
  <c r="M30" i="15" s="1"/>
  <c r="K692" i="15"/>
  <c r="L692" i="15"/>
  <c r="K778" i="15"/>
  <c r="M778" i="15" s="1"/>
  <c r="K534" i="15"/>
  <c r="M534" i="15" s="1"/>
  <c r="K133" i="15"/>
  <c r="M133" i="15" s="1"/>
  <c r="K181" i="15"/>
  <c r="M181" i="15" s="1"/>
  <c r="K281" i="15"/>
  <c r="M281" i="15" s="1"/>
  <c r="K821" i="15"/>
  <c r="M821" i="15" s="1"/>
  <c r="K1159" i="15"/>
  <c r="M1159" i="15" s="1"/>
  <c r="K405" i="15"/>
  <c r="M405" i="15" s="1"/>
  <c r="K429" i="15"/>
  <c r="M429" i="15" s="1"/>
  <c r="K126" i="15"/>
  <c r="L126" i="15"/>
  <c r="K754" i="15"/>
  <c r="M754" i="15" s="1"/>
  <c r="K382" i="15"/>
  <c r="M382" i="15" s="1"/>
  <c r="K112" i="15"/>
  <c r="M112" i="15" s="1"/>
  <c r="K233" i="15"/>
  <c r="M233" i="15" s="1"/>
  <c r="L1020" i="15"/>
  <c r="M1020" i="15" s="1"/>
  <c r="K873" i="15"/>
  <c r="M873" i="15" s="1"/>
  <c r="L656" i="15"/>
  <c r="M656" i="15" s="1"/>
  <c r="L1028" i="15"/>
  <c r="M1028" i="15" s="1"/>
  <c r="K25" i="15"/>
  <c r="M25" i="15" s="1"/>
  <c r="K700" i="15"/>
  <c r="L700" i="15"/>
  <c r="K1310" i="15"/>
  <c r="M1310" i="15" s="1"/>
  <c r="L984" i="15"/>
  <c r="M984" i="15" s="1"/>
  <c r="K542" i="15"/>
  <c r="M542" i="15" s="1"/>
  <c r="L178" i="15"/>
  <c r="M178" i="15" s="1"/>
  <c r="K44" i="15"/>
  <c r="M44" i="15" s="1"/>
  <c r="K845" i="15"/>
  <c r="M845" i="15" s="1"/>
  <c r="L1084" i="15"/>
  <c r="M1084" i="15" s="1"/>
  <c r="K19" i="15"/>
  <c r="M19" i="15" s="1"/>
  <c r="K457" i="15"/>
  <c r="M457" i="15" s="1"/>
  <c r="K65" i="15"/>
  <c r="M65" i="15" s="1"/>
  <c r="L1294" i="15"/>
  <c r="M1294" i="15" s="1"/>
  <c r="L1053" i="15"/>
  <c r="M1053" i="15" s="1"/>
  <c r="L940" i="15"/>
  <c r="M940" i="15" s="1"/>
  <c r="K491" i="15"/>
  <c r="M491" i="15" s="1"/>
  <c r="K317" i="15"/>
  <c r="M317" i="15" s="1"/>
  <c r="K205" i="15"/>
  <c r="M205" i="15" s="1"/>
  <c r="K220" i="15"/>
  <c r="M220" i="15" s="1"/>
  <c r="K769" i="15"/>
  <c r="M769" i="15" s="1"/>
  <c r="L310" i="15"/>
  <c r="M310" i="15" s="1"/>
  <c r="L1052" i="15"/>
  <c r="M1052" i="15" s="1"/>
  <c r="K509" i="15"/>
  <c r="M509" i="15" s="1"/>
  <c r="K1068" i="15"/>
  <c r="L1068" i="15"/>
  <c r="L941" i="15"/>
  <c r="K941" i="15"/>
  <c r="L510" i="15"/>
  <c r="M510" i="15" s="1"/>
  <c r="L688" i="15"/>
  <c r="M688" i="15" s="1"/>
  <c r="L1155" i="15"/>
  <c r="K1155" i="15"/>
  <c r="L797" i="15"/>
  <c r="K797" i="15"/>
  <c r="K660" i="15"/>
  <c r="L660" i="15"/>
  <c r="L773" i="15"/>
  <c r="K773" i="15"/>
  <c r="K1306" i="15"/>
  <c r="M1306" i="15" s="1"/>
  <c r="K991" i="15"/>
  <c r="M991" i="15" s="1"/>
  <c r="K923" i="15"/>
  <c r="M923" i="15" s="1"/>
  <c r="K975" i="15"/>
  <c r="M975" i="15" s="1"/>
  <c r="K697" i="15"/>
  <c r="M697" i="15" s="1"/>
  <c r="K642" i="15"/>
  <c r="M642" i="15" s="1"/>
  <c r="K574" i="15"/>
  <c r="M574" i="15" s="1"/>
  <c r="L796" i="15"/>
  <c r="M796" i="15" s="1"/>
  <c r="K267" i="15"/>
  <c r="M267" i="15" s="1"/>
  <c r="K151" i="15"/>
  <c r="M151" i="15" s="1"/>
  <c r="L684" i="15"/>
  <c r="M684" i="15" s="1"/>
  <c r="L69" i="15"/>
  <c r="M69" i="15" s="1"/>
  <c r="K33" i="15"/>
  <c r="M33" i="15" s="1"/>
  <c r="K868" i="15"/>
  <c r="L868" i="15"/>
  <c r="K1169" i="15"/>
  <c r="M1169" i="15" s="1"/>
  <c r="K247" i="15"/>
  <c r="M247" i="15" s="1"/>
  <c r="K70" i="15"/>
  <c r="M70" i="15" s="1"/>
  <c r="K6" i="15"/>
  <c r="M6" i="15" s="1"/>
  <c r="L39" i="15"/>
  <c r="M39" i="15" s="1"/>
  <c r="K294" i="15"/>
  <c r="L294" i="15"/>
  <c r="K1330" i="15"/>
  <c r="M1330" i="15" s="1"/>
  <c r="K1009" i="15"/>
  <c r="M1009" i="15" s="1"/>
  <c r="K450" i="15"/>
  <c r="M450" i="15" s="1"/>
  <c r="L732" i="15"/>
  <c r="M732" i="15" s="1"/>
  <c r="K407" i="15"/>
  <c r="M407" i="15" s="1"/>
  <c r="L424" i="15"/>
  <c r="M424" i="15" s="1"/>
  <c r="K433" i="15"/>
  <c r="M433" i="15" s="1"/>
  <c r="K372" i="15"/>
  <c r="L372" i="15"/>
  <c r="K1154" i="15"/>
  <c r="L1154" i="15"/>
  <c r="K182" i="15"/>
  <c r="L182" i="15"/>
  <c r="L1309" i="15"/>
  <c r="M1309" i="15" s="1"/>
  <c r="K938" i="15"/>
  <c r="M938" i="15" s="1"/>
  <c r="L416" i="15"/>
  <c r="M416" i="15" s="1"/>
  <c r="K554" i="15"/>
  <c r="M554" i="15" s="1"/>
  <c r="K1286" i="15"/>
  <c r="M1286" i="15" s="1"/>
  <c r="K496" i="15"/>
  <c r="L496" i="15"/>
  <c r="K1174" i="15"/>
  <c r="L1174" i="15"/>
  <c r="K712" i="15"/>
  <c r="L712" i="15"/>
  <c r="K464" i="15"/>
  <c r="L464" i="15"/>
  <c r="K1336" i="15"/>
  <c r="M1336" i="15" s="1"/>
  <c r="K1137" i="15"/>
  <c r="M1137" i="15" s="1"/>
  <c r="K955" i="15"/>
  <c r="M955" i="15" s="1"/>
  <c r="L314" i="15"/>
  <c r="M314" i="15" s="1"/>
  <c r="K501" i="15"/>
  <c r="M501" i="15" s="1"/>
  <c r="L597" i="15"/>
  <c r="K597" i="15"/>
  <c r="K1103" i="15"/>
  <c r="L1103" i="15"/>
  <c r="L1313" i="15"/>
  <c r="M1313" i="15" s="1"/>
  <c r="L1285" i="15"/>
  <c r="M1285" i="15" s="1"/>
  <c r="K1262" i="15"/>
  <c r="M1262" i="15" s="1"/>
  <c r="K1046" i="15"/>
  <c r="M1046" i="15" s="1"/>
  <c r="K546" i="15"/>
  <c r="M546" i="15" s="1"/>
  <c r="K123" i="15"/>
  <c r="M123" i="15" s="1"/>
  <c r="K83" i="15"/>
  <c r="M83" i="15" s="1"/>
  <c r="L258" i="15"/>
  <c r="M258" i="15" s="1"/>
  <c r="L242" i="15"/>
  <c r="M242" i="15" s="1"/>
  <c r="K167" i="15"/>
  <c r="M167" i="15" s="1"/>
  <c r="K268" i="15"/>
  <c r="M268" i="15" s="1"/>
  <c r="K825" i="15"/>
  <c r="M825" i="15" s="1"/>
  <c r="L585" i="15"/>
  <c r="K585" i="15"/>
  <c r="K633" i="15"/>
  <c r="M633" i="15" s="1"/>
  <c r="L352" i="15"/>
  <c r="M352" i="15" s="1"/>
  <c r="K260" i="15"/>
  <c r="M260" i="15" s="1"/>
  <c r="K1054" i="15"/>
  <c r="M1054" i="15" s="1"/>
  <c r="L1088" i="15"/>
  <c r="M1088" i="15" s="1"/>
  <c r="K377" i="15"/>
  <c r="M377" i="15" s="1"/>
  <c r="L893" i="15"/>
  <c r="K893" i="15"/>
  <c r="L721" i="15"/>
  <c r="K721" i="15"/>
  <c r="L1066" i="15"/>
  <c r="K1066" i="15"/>
  <c r="K500" i="15"/>
  <c r="L500" i="15"/>
  <c r="K608" i="15"/>
  <c r="L608" i="15"/>
  <c r="L749" i="15"/>
  <c r="K749" i="15"/>
  <c r="L1171" i="15"/>
  <c r="K1171" i="15"/>
  <c r="K696" i="15"/>
  <c r="L696" i="15"/>
  <c r="L613" i="15"/>
  <c r="K613" i="15"/>
  <c r="K400" i="15"/>
  <c r="L400" i="15"/>
  <c r="K118" i="15"/>
  <c r="L118" i="15"/>
  <c r="L833" i="15"/>
  <c r="K833" i="15"/>
  <c r="K628" i="15"/>
  <c r="L628" i="15"/>
  <c r="L877" i="15"/>
  <c r="K877" i="15"/>
  <c r="K612" i="15"/>
  <c r="L612" i="15"/>
  <c r="K376" i="15"/>
  <c r="L376" i="15"/>
  <c r="L789" i="15"/>
  <c r="K789" i="15"/>
  <c r="L605" i="15"/>
  <c r="K605" i="15"/>
  <c r="K680" i="15"/>
  <c r="L680" i="15"/>
  <c r="K604" i="15"/>
  <c r="L604" i="15"/>
  <c r="L549" i="15"/>
  <c r="K549" i="15"/>
  <c r="K78" i="15"/>
  <c r="L78" i="15"/>
  <c r="K1041" i="15"/>
  <c r="M1041" i="15" s="1"/>
  <c r="K1141" i="15"/>
  <c r="M1141" i="15" s="1"/>
  <c r="K685" i="15"/>
  <c r="M685" i="15" s="1"/>
  <c r="K621" i="15"/>
  <c r="M621" i="15" s="1"/>
  <c r="K834" i="15"/>
  <c r="M834" i="15" s="1"/>
  <c r="K786" i="15"/>
  <c r="M786" i="15" s="1"/>
  <c r="K665" i="15"/>
  <c r="M665" i="15" s="1"/>
  <c r="K563" i="15"/>
  <c r="M563" i="15" s="1"/>
  <c r="K219" i="15"/>
  <c r="M219" i="15" s="1"/>
  <c r="L298" i="15"/>
  <c r="M298" i="15" s="1"/>
  <c r="L282" i="15"/>
  <c r="M282" i="15" s="1"/>
  <c r="K58" i="15"/>
  <c r="M58" i="15" s="1"/>
  <c r="K71" i="15"/>
  <c r="M71" i="15" s="1"/>
  <c r="L7" i="15"/>
  <c r="M7" i="15" s="1"/>
  <c r="L957" i="15"/>
  <c r="K957" i="15"/>
  <c r="L1034" i="15"/>
  <c r="K1034" i="15"/>
  <c r="L885" i="15"/>
  <c r="K885" i="15"/>
  <c r="L777" i="15"/>
  <c r="K777" i="15"/>
  <c r="L1099" i="15"/>
  <c r="K1099" i="15"/>
  <c r="K368" i="15"/>
  <c r="L368" i="15"/>
  <c r="K596" i="15"/>
  <c r="L596" i="15"/>
  <c r="L1149" i="15"/>
  <c r="K1149" i="15"/>
  <c r="K816" i="15"/>
  <c r="L816" i="15"/>
  <c r="K664" i="15"/>
  <c r="L664" i="15"/>
  <c r="L124" i="15"/>
  <c r="K124" i="15"/>
  <c r="K190" i="15"/>
  <c r="L190" i="15"/>
  <c r="K1342" i="15"/>
  <c r="M1342" i="15" s="1"/>
  <c r="K1129" i="15"/>
  <c r="M1129" i="15" s="1"/>
  <c r="K1214" i="15"/>
  <c r="M1214" i="15" s="1"/>
  <c r="K1238" i="15"/>
  <c r="M1238" i="15" s="1"/>
  <c r="L1138" i="15"/>
  <c r="M1138" i="15" s="1"/>
  <c r="K506" i="15"/>
  <c r="M506" i="15" s="1"/>
  <c r="K115" i="15"/>
  <c r="M115" i="15" s="1"/>
  <c r="K212" i="15"/>
  <c r="M212" i="15" s="1"/>
  <c r="K1162" i="15"/>
  <c r="L1162" i="15"/>
  <c r="K1130" i="15"/>
  <c r="L1130" i="15"/>
  <c r="K1166" i="15"/>
  <c r="L1166" i="15"/>
  <c r="K768" i="15"/>
  <c r="L768" i="15"/>
  <c r="K1146" i="15"/>
  <c r="L1146" i="15"/>
  <c r="K576" i="15"/>
  <c r="L576" i="15"/>
  <c r="K584" i="15"/>
  <c r="L584" i="15"/>
  <c r="K580" i="15"/>
  <c r="L580" i="15"/>
  <c r="K122" i="15"/>
  <c r="L122" i="15"/>
  <c r="K230" i="15"/>
  <c r="L230" i="15"/>
  <c r="K106" i="15"/>
  <c r="L106" i="15"/>
  <c r="K1073" i="15"/>
  <c r="M1073" i="15" s="1"/>
  <c r="K1090" i="15"/>
  <c r="M1090" i="15" s="1"/>
  <c r="K998" i="15"/>
  <c r="M998" i="15" s="1"/>
  <c r="L884" i="15"/>
  <c r="M884" i="15" s="1"/>
  <c r="L480" i="15"/>
  <c r="M480" i="15" s="1"/>
  <c r="K702" i="15"/>
  <c r="M702" i="15" s="1"/>
  <c r="K147" i="15"/>
  <c r="M147" i="15" s="1"/>
  <c r="K204" i="15"/>
  <c r="M204" i="15" s="1"/>
  <c r="L1325" i="15"/>
  <c r="M1325" i="15" s="1"/>
  <c r="K1190" i="15"/>
  <c r="M1190" i="15" s="1"/>
  <c r="K973" i="15"/>
  <c r="L973" i="15"/>
  <c r="K872" i="15"/>
  <c r="L872" i="15"/>
  <c r="L765" i="15"/>
  <c r="K765" i="15"/>
  <c r="K1118" i="15"/>
  <c r="L1118" i="15"/>
  <c r="L801" i="15"/>
  <c r="K801" i="15"/>
  <c r="L573" i="15"/>
  <c r="K573" i="15"/>
  <c r="K704" i="15"/>
  <c r="L704" i="15"/>
  <c r="L581" i="15"/>
  <c r="K581" i="15"/>
  <c r="K504" i="15"/>
  <c r="L504" i="15"/>
  <c r="K1016" i="15"/>
  <c r="L1016" i="15"/>
  <c r="K648" i="15"/>
  <c r="L648" i="15"/>
  <c r="L577" i="15"/>
  <c r="K577" i="15"/>
  <c r="K158" i="15"/>
  <c r="L158" i="15"/>
  <c r="K86" i="15"/>
  <c r="L86" i="15"/>
  <c r="K174" i="15"/>
  <c r="L174" i="15"/>
  <c r="L116" i="15"/>
  <c r="K116" i="15"/>
  <c r="K254" i="15"/>
  <c r="L254" i="15"/>
  <c r="L100" i="15"/>
  <c r="K100" i="15"/>
  <c r="K1266" i="15"/>
  <c r="M1266" i="15" s="1"/>
  <c r="L1170" i="15"/>
  <c r="M1170" i="15" s="1"/>
  <c r="L876" i="15"/>
  <c r="M876" i="15" s="1"/>
  <c r="K654" i="15"/>
  <c r="M654" i="15" s="1"/>
  <c r="L396" i="15"/>
  <c r="M396" i="15" s="1"/>
  <c r="L516" i="15"/>
  <c r="M516" i="15" s="1"/>
  <c r="K324" i="15"/>
  <c r="M324" i="15" s="1"/>
  <c r="L745" i="15"/>
  <c r="K745" i="15"/>
  <c r="L1125" i="15"/>
  <c r="K1125" i="15"/>
  <c r="L793" i="15"/>
  <c r="K793" i="15"/>
  <c r="L729" i="15"/>
  <c r="K729" i="15"/>
  <c r="L1109" i="15"/>
  <c r="K1109" i="15"/>
  <c r="K564" i="15"/>
  <c r="L564" i="15"/>
  <c r="K440" i="15"/>
  <c r="L440" i="15"/>
  <c r="K130" i="15"/>
  <c r="L130" i="15"/>
  <c r="K898" i="15"/>
  <c r="M898" i="15" s="1"/>
  <c r="K701" i="15"/>
  <c r="M701" i="15" s="1"/>
  <c r="K826" i="15"/>
  <c r="M826" i="15" s="1"/>
  <c r="K810" i="15"/>
  <c r="M810" i="15" s="1"/>
  <c r="K762" i="15"/>
  <c r="M762" i="15" s="1"/>
  <c r="L512" i="15"/>
  <c r="M512" i="15" s="1"/>
  <c r="L836" i="15"/>
  <c r="M836" i="15" s="1"/>
  <c r="K459" i="15"/>
  <c r="M459" i="15" s="1"/>
  <c r="K299" i="15"/>
  <c r="M299" i="15" s="1"/>
  <c r="K203" i="15"/>
  <c r="M203" i="15" s="1"/>
  <c r="K139" i="15"/>
  <c r="M139" i="15" s="1"/>
  <c r="L210" i="15"/>
  <c r="M210" i="15" s="1"/>
  <c r="K46" i="15"/>
  <c r="M46" i="15" s="1"/>
  <c r="K736" i="15"/>
  <c r="L736" i="15"/>
  <c r="K1150" i="15"/>
  <c r="L1150" i="15"/>
  <c r="K852" i="15"/>
  <c r="L852" i="15"/>
  <c r="K784" i="15"/>
  <c r="L784" i="15"/>
  <c r="K720" i="15"/>
  <c r="L720" i="15"/>
  <c r="K989" i="15"/>
  <c r="L989" i="15"/>
  <c r="K832" i="15"/>
  <c r="L832" i="15"/>
  <c r="L1030" i="15"/>
  <c r="K1030" i="15"/>
  <c r="L869" i="15"/>
  <c r="K869" i="15"/>
  <c r="K432" i="15"/>
  <c r="L432" i="15"/>
  <c r="K860" i="15"/>
  <c r="L860" i="15"/>
  <c r="K752" i="15"/>
  <c r="L752" i="15"/>
  <c r="K632" i="15"/>
  <c r="L632" i="15"/>
  <c r="K246" i="15"/>
  <c r="L246" i="15"/>
  <c r="K222" i="15"/>
  <c r="L222" i="15"/>
  <c r="K238" i="15"/>
  <c r="L238" i="15"/>
  <c r="L809" i="15"/>
  <c r="K809" i="15"/>
  <c r="L733" i="15"/>
  <c r="K733" i="15"/>
  <c r="L781" i="15"/>
  <c r="K781" i="15"/>
  <c r="L717" i="15"/>
  <c r="K717" i="15"/>
  <c r="L925" i="15"/>
  <c r="K925" i="15"/>
  <c r="L829" i="15"/>
  <c r="K829" i="15"/>
  <c r="L713" i="15"/>
  <c r="K713" i="15"/>
  <c r="L1086" i="15"/>
  <c r="K1086" i="15"/>
  <c r="K676" i="15"/>
  <c r="L676" i="15"/>
  <c r="K472" i="15"/>
  <c r="L472" i="15"/>
  <c r="L965" i="15"/>
  <c r="K965" i="15"/>
  <c r="L853" i="15"/>
  <c r="K853" i="15"/>
  <c r="K616" i="15"/>
  <c r="L616" i="15"/>
  <c r="K532" i="15"/>
  <c r="L532" i="15"/>
  <c r="K408" i="15"/>
  <c r="L408" i="15"/>
  <c r="K166" i="15"/>
  <c r="L166" i="15"/>
  <c r="L132" i="15"/>
  <c r="K132" i="15"/>
  <c r="K74" i="15"/>
  <c r="L74" i="15"/>
  <c r="K1241" i="15"/>
  <c r="L1241" i="15"/>
  <c r="K1209" i="15"/>
  <c r="L1209" i="15"/>
  <c r="L1339" i="15"/>
  <c r="K1339" i="15"/>
  <c r="L1275" i="15"/>
  <c r="K1275" i="15"/>
  <c r="K1215" i="15"/>
  <c r="L1215" i="15"/>
  <c r="K1116" i="15"/>
  <c r="L1116" i="15"/>
  <c r="L918" i="15"/>
  <c r="K918" i="15"/>
  <c r="L894" i="15"/>
  <c r="K894" i="15"/>
  <c r="L870" i="15"/>
  <c r="K870" i="15"/>
  <c r="L830" i="15"/>
  <c r="K830" i="15"/>
  <c r="L766" i="15"/>
  <c r="K766" i="15"/>
  <c r="L462" i="15"/>
  <c r="K462" i="15"/>
  <c r="L486" i="15"/>
  <c r="K486" i="15"/>
  <c r="L358" i="15"/>
  <c r="K358" i="15"/>
  <c r="K334" i="15"/>
  <c r="L334" i="15"/>
  <c r="L1179" i="15"/>
  <c r="K1179" i="15"/>
  <c r="K1237" i="15"/>
  <c r="L1237" i="15"/>
  <c r="K1205" i="15"/>
  <c r="L1205" i="15"/>
  <c r="L1315" i="15"/>
  <c r="K1315" i="15"/>
  <c r="K1247" i="15"/>
  <c r="L1247" i="15"/>
  <c r="K1211" i="15"/>
  <c r="L1211" i="15"/>
  <c r="L1168" i="15"/>
  <c r="K1168" i="15"/>
  <c r="L1176" i="15"/>
  <c r="K1176" i="15"/>
  <c r="K1100" i="15"/>
  <c r="L1100" i="15"/>
  <c r="L986" i="15"/>
  <c r="K986" i="15"/>
  <c r="L858" i="15"/>
  <c r="K858" i="15"/>
  <c r="L958" i="15"/>
  <c r="K958" i="15"/>
  <c r="L698" i="15"/>
  <c r="K698" i="15"/>
  <c r="L602" i="15"/>
  <c r="K602" i="15"/>
  <c r="L578" i="15"/>
  <c r="K578" i="15"/>
  <c r="L806" i="15"/>
  <c r="K806" i="15"/>
  <c r="L742" i="15"/>
  <c r="K742" i="15"/>
  <c r="L458" i="15"/>
  <c r="K458" i="15"/>
  <c r="L438" i="15"/>
  <c r="K438" i="15"/>
  <c r="L434" i="15"/>
  <c r="K434" i="15"/>
  <c r="L1343" i="15"/>
  <c r="K1343" i="15"/>
  <c r="L1327" i="15"/>
  <c r="K1327" i="15"/>
  <c r="L1311" i="15"/>
  <c r="K1311" i="15"/>
  <c r="L1295" i="15"/>
  <c r="K1295" i="15"/>
  <c r="L1279" i="15"/>
  <c r="K1279" i="15"/>
  <c r="L1263" i="15"/>
  <c r="K1263" i="15"/>
  <c r="K1233" i="15"/>
  <c r="L1233" i="15"/>
  <c r="K1201" i="15"/>
  <c r="L1201" i="15"/>
  <c r="L1291" i="15"/>
  <c r="K1291" i="15"/>
  <c r="K1239" i="15"/>
  <c r="L1239" i="15"/>
  <c r="K1207" i="15"/>
  <c r="L1207" i="15"/>
  <c r="L934" i="15"/>
  <c r="K934" i="15"/>
  <c r="L674" i="15"/>
  <c r="K674" i="15"/>
  <c r="L782" i="15"/>
  <c r="K782" i="15"/>
  <c r="L718" i="15"/>
  <c r="K718" i="15"/>
  <c r="L398" i="15"/>
  <c r="K398" i="15"/>
  <c r="K344" i="15"/>
  <c r="L344" i="15"/>
  <c r="L518" i="15"/>
  <c r="K518" i="15"/>
  <c r="L390" i="15"/>
  <c r="K390" i="15"/>
  <c r="L288" i="15"/>
  <c r="K288" i="15"/>
  <c r="L272" i="15"/>
  <c r="K272" i="15"/>
  <c r="L256" i="15"/>
  <c r="K256" i="15"/>
  <c r="L240" i="15"/>
  <c r="K240" i="15"/>
  <c r="L224" i="15"/>
  <c r="K224" i="15"/>
  <c r="L208" i="15"/>
  <c r="K208" i="15"/>
  <c r="L192" i="15"/>
  <c r="K192" i="15"/>
  <c r="L176" i="15"/>
  <c r="K176" i="15"/>
  <c r="L160" i="15"/>
  <c r="K160" i="15"/>
  <c r="L144" i="15"/>
  <c r="K144" i="15"/>
  <c r="K1229" i="15"/>
  <c r="L1229" i="15"/>
  <c r="K1197" i="15"/>
  <c r="L1197" i="15"/>
  <c r="L1331" i="15"/>
  <c r="K1331" i="15"/>
  <c r="L1267" i="15"/>
  <c r="K1267" i="15"/>
  <c r="K1235" i="15"/>
  <c r="L1235" i="15"/>
  <c r="K1203" i="15"/>
  <c r="L1203" i="15"/>
  <c r="L1128" i="15"/>
  <c r="K1128" i="15"/>
  <c r="L910" i="15"/>
  <c r="K910" i="15"/>
  <c r="L886" i="15"/>
  <c r="K886" i="15"/>
  <c r="L618" i="15"/>
  <c r="K618" i="15"/>
  <c r="L822" i="15"/>
  <c r="K822" i="15"/>
  <c r="L758" i="15"/>
  <c r="K758" i="15"/>
  <c r="L490" i="15"/>
  <c r="K490" i="15"/>
  <c r="L362" i="15"/>
  <c r="K362" i="15"/>
  <c r="L470" i="15"/>
  <c r="K470" i="15"/>
  <c r="L494" i="15"/>
  <c r="K494" i="15"/>
  <c r="L370" i="15"/>
  <c r="K370" i="15"/>
  <c r="L320" i="15"/>
  <c r="K320" i="15"/>
  <c r="K1225" i="15"/>
  <c r="L1225" i="15"/>
  <c r="K1193" i="15"/>
  <c r="L1193" i="15"/>
  <c r="L1307" i="15"/>
  <c r="K1307" i="15"/>
  <c r="K1231" i="15"/>
  <c r="L1231" i="15"/>
  <c r="K1199" i="15"/>
  <c r="L1199" i="15"/>
  <c r="K1112" i="15"/>
  <c r="L1112" i="15"/>
  <c r="L1092" i="15"/>
  <c r="K1092" i="15"/>
  <c r="L970" i="15"/>
  <c r="K970" i="15"/>
  <c r="L850" i="15"/>
  <c r="K850" i="15"/>
  <c r="L950" i="15"/>
  <c r="K950" i="15"/>
  <c r="L690" i="15"/>
  <c r="K690" i="15"/>
  <c r="L570" i="15"/>
  <c r="K570" i="15"/>
  <c r="L798" i="15"/>
  <c r="K798" i="15"/>
  <c r="L734" i="15"/>
  <c r="K734" i="15"/>
  <c r="K340" i="15"/>
  <c r="L340" i="15"/>
  <c r="L422" i="15"/>
  <c r="K422" i="15"/>
  <c r="K332" i="15"/>
  <c r="L332" i="15"/>
  <c r="L466" i="15"/>
  <c r="K466" i="15"/>
  <c r="K1221" i="15"/>
  <c r="L1221" i="15"/>
  <c r="K1189" i="15"/>
  <c r="L1189" i="15"/>
  <c r="L1283" i="15"/>
  <c r="K1283" i="15"/>
  <c r="K1227" i="15"/>
  <c r="L1227" i="15"/>
  <c r="K1195" i="15"/>
  <c r="L1195" i="15"/>
  <c r="K1096" i="15"/>
  <c r="L1096" i="15"/>
  <c r="L1160" i="15"/>
  <c r="K1160" i="15"/>
  <c r="L926" i="15"/>
  <c r="K926" i="15"/>
  <c r="L666" i="15"/>
  <c r="K666" i="15"/>
  <c r="L838" i="15"/>
  <c r="K838" i="15"/>
  <c r="L774" i="15"/>
  <c r="K774" i="15"/>
  <c r="L710" i="15"/>
  <c r="K710" i="15"/>
  <c r="L522" i="15"/>
  <c r="K522" i="15"/>
  <c r="L394" i="15"/>
  <c r="K394" i="15"/>
  <c r="L502" i="15"/>
  <c r="K502" i="15"/>
  <c r="L374" i="15"/>
  <c r="K374" i="15"/>
  <c r="L430" i="15"/>
  <c r="K430" i="15"/>
  <c r="K328" i="15"/>
  <c r="L328" i="15"/>
  <c r="L1335" i="15"/>
  <c r="K1335" i="15"/>
  <c r="L1319" i="15"/>
  <c r="K1319" i="15"/>
  <c r="L1303" i="15"/>
  <c r="K1303" i="15"/>
  <c r="L1287" i="15"/>
  <c r="K1287" i="15"/>
  <c r="L1271" i="15"/>
  <c r="K1271" i="15"/>
  <c r="L1255" i="15"/>
  <c r="K1255" i="15"/>
  <c r="K1249" i="15"/>
  <c r="L1249" i="15"/>
  <c r="K1217" i="15"/>
  <c r="L1217" i="15"/>
  <c r="L1323" i="15"/>
  <c r="K1323" i="15"/>
  <c r="L1259" i="15"/>
  <c r="K1259" i="15"/>
  <c r="K1223" i="15"/>
  <c r="L1223" i="15"/>
  <c r="K1191" i="15"/>
  <c r="L1191" i="15"/>
  <c r="L1164" i="15"/>
  <c r="K1164" i="15"/>
  <c r="K1124" i="15"/>
  <c r="L1124" i="15"/>
  <c r="L990" i="15"/>
  <c r="K990" i="15"/>
  <c r="L982" i="15"/>
  <c r="K982" i="15"/>
  <c r="L866" i="15"/>
  <c r="K866" i="15"/>
  <c r="L966" i="15"/>
  <c r="K966" i="15"/>
  <c r="L878" i="15"/>
  <c r="K878" i="15"/>
  <c r="L706" i="15"/>
  <c r="K706" i="15"/>
  <c r="L634" i="15"/>
  <c r="K634" i="15"/>
  <c r="L610" i="15"/>
  <c r="K610" i="15"/>
  <c r="L586" i="15"/>
  <c r="K586" i="15"/>
  <c r="L814" i="15"/>
  <c r="K814" i="15"/>
  <c r="L750" i="15"/>
  <c r="K750" i="15"/>
  <c r="L526" i="15"/>
  <c r="K526" i="15"/>
  <c r="L454" i="15"/>
  <c r="K454" i="15"/>
  <c r="L402" i="15"/>
  <c r="K402" i="15"/>
  <c r="L296" i="15"/>
  <c r="K296" i="15"/>
  <c r="L280" i="15"/>
  <c r="K280" i="15"/>
  <c r="L264" i="15"/>
  <c r="K264" i="15"/>
  <c r="L248" i="15"/>
  <c r="K248" i="15"/>
  <c r="L232" i="15"/>
  <c r="K232" i="15"/>
  <c r="L216" i="15"/>
  <c r="K216" i="15"/>
  <c r="L200" i="15"/>
  <c r="K200" i="15"/>
  <c r="L184" i="15"/>
  <c r="K184" i="15"/>
  <c r="L168" i="15"/>
  <c r="K168" i="15"/>
  <c r="L152" i="15"/>
  <c r="K152" i="15"/>
  <c r="L136" i="15"/>
  <c r="K136" i="15"/>
  <c r="K1245" i="15"/>
  <c r="L1245" i="15"/>
  <c r="K1213" i="15"/>
  <c r="L1213" i="15"/>
  <c r="L1299" i="15"/>
  <c r="K1299" i="15"/>
  <c r="K1219" i="15"/>
  <c r="L1219" i="15"/>
  <c r="K1187" i="15"/>
  <c r="L1187" i="15"/>
  <c r="K1108" i="15"/>
  <c r="L1108" i="15"/>
  <c r="L1136" i="15"/>
  <c r="K1136" i="15"/>
  <c r="L842" i="15"/>
  <c r="K842" i="15"/>
  <c r="L942" i="15"/>
  <c r="K942" i="15"/>
  <c r="L682" i="15"/>
  <c r="K682" i="15"/>
  <c r="L790" i="15"/>
  <c r="K790" i="15"/>
  <c r="L726" i="15"/>
  <c r="K726" i="15"/>
  <c r="L426" i="15"/>
  <c r="K426" i="15"/>
  <c r="K338" i="15"/>
  <c r="L338" i="15"/>
  <c r="L406" i="15"/>
  <c r="K406" i="15"/>
  <c r="L366" i="15"/>
  <c r="K366" i="15"/>
  <c r="L498" i="15"/>
  <c r="K498" i="15"/>
  <c r="L312" i="15"/>
  <c r="K312" i="15"/>
  <c r="G4" i="15"/>
  <c r="H4" i="15"/>
  <c r="M692" i="15" l="1"/>
  <c r="M402" i="15"/>
  <c r="M374" i="15"/>
  <c r="M710" i="15"/>
  <c r="M674" i="15"/>
  <c r="M1263" i="15"/>
  <c r="M1327" i="15"/>
  <c r="M700" i="15"/>
  <c r="M1109" i="15"/>
  <c r="M745" i="15"/>
  <c r="M549" i="15"/>
  <c r="M749" i="15"/>
  <c r="M721" i="15"/>
  <c r="M573" i="15"/>
  <c r="M782" i="15"/>
  <c r="M372" i="15"/>
  <c r="M868" i="15"/>
  <c r="M1068" i="15"/>
  <c r="M160" i="15"/>
  <c r="M224" i="15"/>
  <c r="M288" i="15"/>
  <c r="M869" i="15"/>
  <c r="M793" i="15"/>
  <c r="M1136" i="15"/>
  <c r="M126" i="15"/>
  <c r="M1323" i="15"/>
  <c r="M494" i="15"/>
  <c r="M758" i="15"/>
  <c r="M910" i="15"/>
  <c r="M1267" i="15"/>
  <c r="M246" i="15"/>
  <c r="M432" i="15"/>
  <c r="M989" i="15"/>
  <c r="M1150" i="15"/>
  <c r="M440" i="15"/>
  <c r="M78" i="15"/>
  <c r="M118" i="15"/>
  <c r="M1174" i="15"/>
  <c r="M406" i="15"/>
  <c r="M750" i="15"/>
  <c r="M585" i="15"/>
  <c r="M790" i="15"/>
  <c r="M842" i="15"/>
  <c r="M168" i="15"/>
  <c r="M232" i="15"/>
  <c r="M296" i="15"/>
  <c r="M1191" i="15"/>
  <c r="M718" i="15"/>
  <c r="M925" i="15"/>
  <c r="M809" i="15"/>
  <c r="M1099" i="15"/>
  <c r="M957" i="15"/>
  <c r="M773" i="15"/>
  <c r="M742" i="15"/>
  <c r="M698" i="15"/>
  <c r="M1315" i="15"/>
  <c r="M766" i="15"/>
  <c r="M498" i="15"/>
  <c r="M1160" i="15"/>
  <c r="M422" i="15"/>
  <c r="M1092" i="15"/>
  <c r="M1307" i="15"/>
  <c r="M370" i="15"/>
  <c r="M490" i="15"/>
  <c r="M886" i="15"/>
  <c r="M438" i="15"/>
  <c r="M958" i="15"/>
  <c r="M132" i="15"/>
  <c r="M713" i="15"/>
  <c r="M781" i="15"/>
  <c r="M885" i="15"/>
  <c r="M597" i="15"/>
  <c r="M797" i="15"/>
  <c r="M941" i="15"/>
  <c r="M522" i="15"/>
  <c r="M666" i="15"/>
  <c r="M486" i="15"/>
  <c r="M1116" i="15"/>
  <c r="M230" i="15"/>
  <c r="M576" i="15"/>
  <c r="M1130" i="15"/>
  <c r="M376" i="15"/>
  <c r="M1103" i="15"/>
  <c r="M464" i="15"/>
  <c r="M182" i="15"/>
  <c r="M660" i="15"/>
  <c r="M1209" i="15"/>
  <c r="M1124" i="15"/>
  <c r="M1223" i="15"/>
  <c r="M1217" i="15"/>
  <c r="M1096" i="15"/>
  <c r="M532" i="15"/>
  <c r="M312" i="15"/>
  <c r="M1108" i="15"/>
  <c r="M144" i="15"/>
  <c r="M208" i="15"/>
  <c r="M272" i="15"/>
  <c r="M518" i="15"/>
  <c r="M729" i="15"/>
  <c r="M1171" i="15"/>
  <c r="M1066" i="15"/>
  <c r="M712" i="15"/>
  <c r="M1154" i="15"/>
  <c r="M1299" i="15"/>
  <c r="M152" i="15"/>
  <c r="M216" i="15"/>
  <c r="M280" i="15"/>
  <c r="M454" i="15"/>
  <c r="M814" i="15"/>
  <c r="M634" i="15"/>
  <c r="M394" i="15"/>
  <c r="M838" i="15"/>
  <c r="M320" i="15"/>
  <c r="M362" i="15"/>
  <c r="M618" i="15"/>
  <c r="M1311" i="15"/>
  <c r="M602" i="15"/>
  <c r="M858" i="15"/>
  <c r="M1176" i="15"/>
  <c r="M1179" i="15"/>
  <c r="M462" i="15"/>
  <c r="M894" i="15"/>
  <c r="M1275" i="15"/>
  <c r="M853" i="15"/>
  <c r="M100" i="15"/>
  <c r="M1034" i="15"/>
  <c r="M605" i="15"/>
  <c r="M877" i="15"/>
  <c r="M1155" i="15"/>
  <c r="M426" i="15"/>
  <c r="M706" i="15"/>
  <c r="M176" i="15"/>
  <c r="M240" i="15"/>
  <c r="M344" i="15"/>
  <c r="M408" i="15"/>
  <c r="M1086" i="15"/>
  <c r="M717" i="15"/>
  <c r="M1030" i="15"/>
  <c r="M1125" i="15"/>
  <c r="M254" i="15"/>
  <c r="M158" i="15"/>
  <c r="M504" i="15"/>
  <c r="M801" i="15"/>
  <c r="M106" i="15"/>
  <c r="M584" i="15"/>
  <c r="M124" i="15"/>
  <c r="M1149" i="15"/>
  <c r="M628" i="15"/>
  <c r="M613" i="15"/>
  <c r="M893" i="15"/>
  <c r="M496" i="15"/>
  <c r="M294" i="15"/>
  <c r="M1195" i="15"/>
  <c r="M222" i="15"/>
  <c r="M860" i="15"/>
  <c r="M832" i="15"/>
  <c r="M852" i="15"/>
  <c r="M1118" i="15"/>
  <c r="M596" i="15"/>
  <c r="M680" i="15"/>
  <c r="M696" i="15"/>
  <c r="M500" i="15"/>
  <c r="M328" i="15"/>
  <c r="M966" i="15"/>
  <c r="M1255" i="15"/>
  <c r="M1319" i="15"/>
  <c r="M430" i="15"/>
  <c r="M926" i="15"/>
  <c r="M734" i="15"/>
  <c r="M690" i="15"/>
  <c r="M1201" i="15"/>
  <c r="M458" i="15"/>
  <c r="M1100" i="15"/>
  <c r="M1211" i="15"/>
  <c r="M1215" i="15"/>
  <c r="M1241" i="15"/>
  <c r="M616" i="15"/>
  <c r="M472" i="15"/>
  <c r="M829" i="15"/>
  <c r="M733" i="15"/>
  <c r="M174" i="15"/>
  <c r="M648" i="15"/>
  <c r="M704" i="15"/>
  <c r="M765" i="15"/>
  <c r="M122" i="15"/>
  <c r="M1146" i="15"/>
  <c r="M1162" i="15"/>
  <c r="M664" i="15"/>
  <c r="M612" i="15"/>
  <c r="M1249" i="15"/>
  <c r="M166" i="15"/>
  <c r="M676" i="15"/>
  <c r="M86" i="15"/>
  <c r="M1016" i="15"/>
  <c r="M580" i="15"/>
  <c r="M768" i="15"/>
  <c r="M816" i="15"/>
  <c r="M368" i="15"/>
  <c r="M1239" i="15"/>
  <c r="M918" i="15"/>
  <c r="M1339" i="15"/>
  <c r="M632" i="15"/>
  <c r="M720" i="15"/>
  <c r="M736" i="15"/>
  <c r="M564" i="15"/>
  <c r="M872" i="15"/>
  <c r="M190" i="15"/>
  <c r="M789" i="15"/>
  <c r="M400" i="15"/>
  <c r="M1166" i="15"/>
  <c r="M682" i="15"/>
  <c r="M502" i="15"/>
  <c r="M774" i="15"/>
  <c r="M466" i="15"/>
  <c r="M470" i="15"/>
  <c r="M822" i="15"/>
  <c r="M1128" i="15"/>
  <c r="M1331" i="15"/>
  <c r="M192" i="15"/>
  <c r="M256" i="15"/>
  <c r="M1279" i="15"/>
  <c r="M1343" i="15"/>
  <c r="M806" i="15"/>
  <c r="M986" i="15"/>
  <c r="M1168" i="15"/>
  <c r="M358" i="15"/>
  <c r="M74" i="15"/>
  <c r="M965" i="15"/>
  <c r="M238" i="15"/>
  <c r="M752" i="15"/>
  <c r="M784" i="15"/>
  <c r="M130" i="15"/>
  <c r="M116" i="15"/>
  <c r="M577" i="15"/>
  <c r="M581" i="15"/>
  <c r="M973" i="15"/>
  <c r="M777" i="15"/>
  <c r="M604" i="15"/>
  <c r="M833" i="15"/>
  <c r="M608" i="15"/>
  <c r="M1221" i="15"/>
  <c r="M1227" i="15"/>
  <c r="M1207" i="15"/>
  <c r="M366" i="15"/>
  <c r="M1187" i="15"/>
  <c r="M1213" i="15"/>
  <c r="M184" i="15"/>
  <c r="M248" i="15"/>
  <c r="M526" i="15"/>
  <c r="M586" i="15"/>
  <c r="M866" i="15"/>
  <c r="M1271" i="15"/>
  <c r="M1335" i="15"/>
  <c r="M1283" i="15"/>
  <c r="M798" i="15"/>
  <c r="M950" i="15"/>
  <c r="M1235" i="15"/>
  <c r="M1229" i="15"/>
  <c r="M1233" i="15"/>
  <c r="M1247" i="15"/>
  <c r="M726" i="15"/>
  <c r="M942" i="15"/>
  <c r="M1219" i="15"/>
  <c r="M1245" i="15"/>
  <c r="M136" i="15"/>
  <c r="M200" i="15"/>
  <c r="M264" i="15"/>
  <c r="M610" i="15"/>
  <c r="M878" i="15"/>
  <c r="M1287" i="15"/>
  <c r="M850" i="15"/>
  <c r="M1112" i="15"/>
  <c r="M1193" i="15"/>
  <c r="M390" i="15"/>
  <c r="M398" i="15"/>
  <c r="M1291" i="15"/>
  <c r="M434" i="15"/>
  <c r="M334" i="15"/>
  <c r="M830" i="15"/>
  <c r="M982" i="15"/>
  <c r="M990" i="15"/>
  <c r="M1164" i="15"/>
  <c r="M1259" i="15"/>
  <c r="M1303" i="15"/>
  <c r="M1189" i="15"/>
  <c r="M340" i="15"/>
  <c r="M570" i="15"/>
  <c r="M970" i="15"/>
  <c r="M1199" i="15"/>
  <c r="M1225" i="15"/>
  <c r="M1205" i="15"/>
  <c r="M934" i="15"/>
  <c r="M1295" i="15"/>
  <c r="M578" i="15"/>
  <c r="M870" i="15"/>
  <c r="M338" i="15"/>
  <c r="M332" i="15"/>
  <c r="M1231" i="15"/>
  <c r="M1203" i="15"/>
  <c r="M1197" i="15"/>
  <c r="M1237" i="15"/>
  <c r="E4" i="15"/>
  <c r="D4" i="15"/>
  <c r="I4" i="15" l="1"/>
  <c r="F4" i="15"/>
  <c r="K4" i="15" l="1"/>
  <c r="L4" i="15"/>
  <c r="M4" i="15"/>
  <c r="J4" i="15" l="1"/>
  <c r="E2" i="20"/>
  <c r="D2" i="20"/>
  <c r="AS4" i="11" l="1"/>
  <c r="AK4" i="11"/>
  <c r="AM43" i="3" l="1"/>
  <c r="O6" i="3" l="1"/>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99"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30" i="3"/>
  <c r="O131" i="3"/>
  <c r="O132" i="3"/>
  <c r="O133" i="3"/>
  <c r="O134" i="3"/>
  <c r="O135" i="3"/>
  <c r="O136" i="3"/>
  <c r="O137" i="3"/>
  <c r="O138" i="3"/>
  <c r="O139" i="3"/>
  <c r="O140" i="3"/>
  <c r="O141" i="3"/>
  <c r="O142" i="3"/>
  <c r="O143" i="3"/>
  <c r="O144" i="3"/>
  <c r="O145" i="3"/>
  <c r="O146" i="3"/>
  <c r="O147" i="3"/>
  <c r="O148" i="3"/>
  <c r="O14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195" i="3"/>
  <c r="O196" i="3"/>
  <c r="O197" i="3"/>
  <c r="O198" i="3"/>
  <c r="O199" i="3"/>
  <c r="O200" i="3"/>
  <c r="O201" i="3"/>
  <c r="O202" i="3"/>
  <c r="O203" i="3"/>
  <c r="O204" i="3"/>
  <c r="O205" i="3"/>
  <c r="O206" i="3"/>
  <c r="O207" i="3"/>
  <c r="O208" i="3"/>
  <c r="O209" i="3"/>
  <c r="O210" i="3"/>
  <c r="O211" i="3"/>
  <c r="O212" i="3"/>
  <c r="O213" i="3"/>
  <c r="O214" i="3"/>
  <c r="O215" i="3"/>
  <c r="O216" i="3"/>
  <c r="O217" i="3"/>
  <c r="O218" i="3"/>
  <c r="O219" i="3"/>
  <c r="O220" i="3"/>
  <c r="O221" i="3"/>
  <c r="O222" i="3"/>
  <c r="O223" i="3"/>
  <c r="O224" i="3"/>
  <c r="O225" i="3"/>
  <c r="O226" i="3"/>
  <c r="O227" i="3"/>
  <c r="O228" i="3"/>
  <c r="O229" i="3"/>
  <c r="O230" i="3"/>
  <c r="O231" i="3"/>
  <c r="O232" i="3"/>
  <c r="O233" i="3"/>
  <c r="O234" i="3"/>
  <c r="O235" i="3"/>
  <c r="O236" i="3"/>
  <c r="O237" i="3"/>
  <c r="O238" i="3"/>
  <c r="O239" i="3"/>
  <c r="O240" i="3"/>
  <c r="O241" i="3"/>
  <c r="O242" i="3"/>
  <c r="O243" i="3"/>
  <c r="O244" i="3"/>
  <c r="O245" i="3"/>
  <c r="O246" i="3"/>
  <c r="O247" i="3"/>
  <c r="O248" i="3"/>
  <c r="O249" i="3"/>
  <c r="O250" i="3"/>
  <c r="O251" i="3"/>
  <c r="O252" i="3"/>
  <c r="O253" i="3"/>
  <c r="O254" i="3"/>
  <c r="O255" i="3"/>
  <c r="O256" i="3"/>
  <c r="O257" i="3"/>
  <c r="O258" i="3"/>
  <c r="O259" i="3"/>
  <c r="O260" i="3"/>
  <c r="O261" i="3"/>
  <c r="O262" i="3"/>
  <c r="O263" i="3"/>
  <c r="O264" i="3"/>
  <c r="O265" i="3"/>
  <c r="O266" i="3"/>
  <c r="O267" i="3"/>
  <c r="O268" i="3"/>
  <c r="O269" i="3"/>
  <c r="O270" i="3"/>
  <c r="O271" i="3"/>
  <c r="O272" i="3"/>
  <c r="O273" i="3"/>
  <c r="O274" i="3"/>
  <c r="O275" i="3"/>
  <c r="O276" i="3"/>
  <c r="O277" i="3"/>
  <c r="O278" i="3"/>
  <c r="O279" i="3"/>
  <c r="O280" i="3"/>
  <c r="O281" i="3"/>
  <c r="O282" i="3"/>
  <c r="O283" i="3"/>
  <c r="O284" i="3"/>
  <c r="O285" i="3"/>
  <c r="O286" i="3"/>
  <c r="O287" i="3"/>
  <c r="O288" i="3"/>
  <c r="O289" i="3"/>
  <c r="O290" i="3"/>
  <c r="O5" i="3"/>
  <c r="M4" i="3"/>
  <c r="N4" i="3"/>
  <c r="L4" i="3"/>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5" i="3"/>
  <c r="J4" i="3"/>
  <c r="I4" i="3"/>
  <c r="H4" i="3"/>
  <c r="F4" i="3"/>
  <c r="E4" i="3"/>
  <c r="D4"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5" i="3"/>
  <c r="BO4" i="10" l="1"/>
  <c r="AH6" i="3" l="1"/>
  <c r="E6" i="18" l="1"/>
  <c r="E7" i="18"/>
  <c r="E8" i="18"/>
  <c r="E9" i="18"/>
  <c r="E10" i="18"/>
  <c r="E11" i="18"/>
  <c r="E12" i="18"/>
  <c r="E13" i="18"/>
  <c r="E14" i="18"/>
  <c r="E15" i="18"/>
  <c r="E16" i="18"/>
  <c r="E17" i="18"/>
  <c r="E18" i="18"/>
  <c r="E19" i="18"/>
  <c r="E20" i="18"/>
  <c r="E21" i="18"/>
  <c r="E22" i="18"/>
  <c r="E23" i="18"/>
  <c r="E24" i="18"/>
  <c r="E25" i="18"/>
  <c r="E26" i="18"/>
  <c r="E27" i="18"/>
  <c r="E28" i="18"/>
  <c r="E29" i="18"/>
  <c r="E30" i="18"/>
  <c r="E31" i="18"/>
  <c r="E32" i="18"/>
  <c r="E33" i="18"/>
  <c r="E34" i="18"/>
  <c r="E35" i="18"/>
  <c r="E36" i="18"/>
  <c r="E37" i="18"/>
  <c r="E38" i="18"/>
  <c r="E39" i="18"/>
  <c r="E40" i="18"/>
  <c r="E41" i="18"/>
  <c r="E42" i="18"/>
  <c r="E43" i="18"/>
  <c r="E44" i="18"/>
  <c r="E45" i="18"/>
  <c r="E46" i="18"/>
  <c r="E47" i="18"/>
  <c r="E48" i="18"/>
  <c r="E49" i="18"/>
  <c r="E50" i="18"/>
  <c r="E51" i="18"/>
  <c r="E52" i="18"/>
  <c r="E53" i="18"/>
  <c r="E54" i="18"/>
  <c r="E55" i="18"/>
  <c r="E56" i="18"/>
  <c r="E57" i="18"/>
  <c r="E58" i="18"/>
  <c r="E59" i="18"/>
  <c r="E60" i="18"/>
  <c r="E61" i="18"/>
  <c r="E62" i="18"/>
  <c r="E63" i="18"/>
  <c r="E64" i="18"/>
  <c r="E65" i="18"/>
  <c r="E66" i="18"/>
  <c r="E67" i="18"/>
  <c r="E68" i="18"/>
  <c r="E69" i="18"/>
  <c r="E70" i="18"/>
  <c r="E71" i="18"/>
  <c r="E72" i="18"/>
  <c r="E73" i="18"/>
  <c r="E74" i="18"/>
  <c r="E75" i="18"/>
  <c r="E76" i="18"/>
  <c r="E77" i="18"/>
  <c r="E78" i="18"/>
  <c r="E79" i="18"/>
  <c r="E80" i="18"/>
  <c r="E81" i="18"/>
  <c r="E82" i="18"/>
  <c r="E83" i="18"/>
  <c r="E84" i="18"/>
  <c r="E85" i="18"/>
  <c r="E86" i="18"/>
  <c r="E87" i="18"/>
  <c r="E88" i="18"/>
  <c r="E89" i="18"/>
  <c r="E90" i="18"/>
  <c r="E91" i="18"/>
  <c r="E92" i="18"/>
  <c r="E93" i="18"/>
  <c r="E94" i="18"/>
  <c r="E95" i="18"/>
  <c r="E96" i="18"/>
  <c r="E97" i="18"/>
  <c r="E98" i="18"/>
  <c r="E99" i="18"/>
  <c r="E100" i="18"/>
  <c r="E101" i="18"/>
  <c r="E102" i="18"/>
  <c r="E103" i="18"/>
  <c r="E104" i="18"/>
  <c r="E105" i="18"/>
  <c r="E106" i="18"/>
  <c r="E107" i="18"/>
  <c r="E108" i="18"/>
  <c r="E109" i="18"/>
  <c r="E110" i="18"/>
  <c r="E111" i="18"/>
  <c r="E112" i="18"/>
  <c r="E113" i="18"/>
  <c r="E114" i="18"/>
  <c r="E115" i="18"/>
  <c r="E116" i="18"/>
  <c r="E117" i="18"/>
  <c r="E118" i="18"/>
  <c r="E119" i="18"/>
  <c r="E120" i="18"/>
  <c r="E121" i="18"/>
  <c r="E122" i="18"/>
  <c r="E123" i="18"/>
  <c r="E124" i="18"/>
  <c r="E125" i="18"/>
  <c r="E126" i="18"/>
  <c r="E127" i="18"/>
  <c r="E128" i="18"/>
  <c r="E129" i="18"/>
  <c r="E130" i="18"/>
  <c r="E131" i="18"/>
  <c r="E132" i="18"/>
  <c r="E133" i="18"/>
  <c r="E134" i="18"/>
  <c r="E135" i="18"/>
  <c r="E136" i="18"/>
  <c r="E137" i="18"/>
  <c r="E138" i="18"/>
  <c r="E139" i="18"/>
  <c r="E140" i="18"/>
  <c r="E141" i="18"/>
  <c r="E142" i="18"/>
  <c r="E143" i="18"/>
  <c r="E144" i="18"/>
  <c r="E145" i="18"/>
  <c r="E146" i="18"/>
  <c r="E147" i="18"/>
  <c r="E148" i="18"/>
  <c r="E149" i="18"/>
  <c r="E150" i="18"/>
  <c r="E151" i="18"/>
  <c r="E152" i="18"/>
  <c r="E153" i="18"/>
  <c r="E154" i="18"/>
  <c r="E155" i="18"/>
  <c r="E156" i="18"/>
  <c r="E157" i="18"/>
  <c r="E158" i="18"/>
  <c r="E159" i="18"/>
  <c r="E160" i="18"/>
  <c r="E161" i="18"/>
  <c r="E162" i="18"/>
  <c r="E163" i="18"/>
  <c r="E164" i="18"/>
  <c r="E165" i="18"/>
  <c r="E166" i="18"/>
  <c r="E167" i="18"/>
  <c r="E168" i="18"/>
  <c r="E169" i="18"/>
  <c r="E170" i="18"/>
  <c r="E171" i="18"/>
  <c r="E172" i="18"/>
  <c r="E173" i="18"/>
  <c r="E174" i="18"/>
  <c r="E175" i="18"/>
  <c r="E176" i="18"/>
  <c r="E177" i="18"/>
  <c r="E178" i="18"/>
  <c r="E179" i="18"/>
  <c r="E180" i="18"/>
  <c r="E181" i="18"/>
  <c r="E182" i="18"/>
  <c r="E183" i="18"/>
  <c r="E184" i="18"/>
  <c r="E185" i="18"/>
  <c r="E186" i="18"/>
  <c r="E187" i="18"/>
  <c r="E188" i="18"/>
  <c r="E189" i="18"/>
  <c r="E190" i="18"/>
  <c r="E191" i="18"/>
  <c r="E192" i="18"/>
  <c r="E193" i="18"/>
  <c r="E194" i="18"/>
  <c r="E195" i="18"/>
  <c r="E196" i="18"/>
  <c r="E197" i="18"/>
  <c r="E198" i="18"/>
  <c r="E199" i="18"/>
  <c r="E200" i="18"/>
  <c r="E201" i="18"/>
  <c r="E202" i="18"/>
  <c r="E203" i="18"/>
  <c r="E204" i="18"/>
  <c r="E205" i="18"/>
  <c r="E206" i="18"/>
  <c r="E207" i="18"/>
  <c r="E208" i="18"/>
  <c r="E209" i="18"/>
  <c r="E210" i="18"/>
  <c r="E211" i="18"/>
  <c r="E212" i="18"/>
  <c r="E213" i="18"/>
  <c r="E214" i="18"/>
  <c r="E215" i="18"/>
  <c r="E216" i="18"/>
  <c r="E217" i="18"/>
  <c r="E218" i="18"/>
  <c r="E219" i="18"/>
  <c r="E220" i="18"/>
  <c r="E221" i="18"/>
  <c r="E222" i="18"/>
  <c r="E223" i="18"/>
  <c r="E224" i="18"/>
  <c r="E225" i="18"/>
  <c r="E226" i="18"/>
  <c r="E227" i="18"/>
  <c r="E228" i="18"/>
  <c r="E229" i="18"/>
  <c r="E230" i="18"/>
  <c r="E231" i="18"/>
  <c r="E232" i="18"/>
  <c r="E233" i="18"/>
  <c r="E234" i="18"/>
  <c r="E235" i="18"/>
  <c r="E236" i="18"/>
  <c r="E237" i="18"/>
  <c r="E238" i="18"/>
  <c r="E239" i="18"/>
  <c r="E240" i="18"/>
  <c r="E241" i="18"/>
  <c r="E242" i="18"/>
  <c r="E243" i="18"/>
  <c r="E244" i="18"/>
  <c r="E245" i="18"/>
  <c r="E246" i="18"/>
  <c r="E247" i="18"/>
  <c r="E248" i="18"/>
  <c r="E249" i="18"/>
  <c r="E250" i="18"/>
  <c r="E251" i="18"/>
  <c r="E252" i="18"/>
  <c r="E253" i="18"/>
  <c r="E254" i="18"/>
  <c r="E255" i="18"/>
  <c r="E256" i="18"/>
  <c r="E257" i="18"/>
  <c r="E258" i="18"/>
  <c r="E259" i="18"/>
  <c r="E260" i="18"/>
  <c r="E261" i="18"/>
  <c r="E262" i="18"/>
  <c r="E263" i="18"/>
  <c r="E264" i="18"/>
  <c r="E265" i="18"/>
  <c r="E266" i="18"/>
  <c r="E267" i="18"/>
  <c r="E268" i="18"/>
  <c r="E269" i="18"/>
  <c r="E270" i="18"/>
  <c r="E271" i="18"/>
  <c r="E272" i="18"/>
  <c r="E273" i="18"/>
  <c r="E274" i="18"/>
  <c r="E275" i="18"/>
  <c r="E276" i="18"/>
  <c r="E277" i="18"/>
  <c r="E278" i="18"/>
  <c r="E279" i="18"/>
  <c r="E280" i="18"/>
  <c r="E281" i="18"/>
  <c r="E282" i="18"/>
  <c r="E283" i="18"/>
  <c r="E284" i="18"/>
  <c r="E285" i="18"/>
  <c r="E286" i="18"/>
  <c r="E287" i="18"/>
  <c r="E288" i="18"/>
  <c r="E289" i="18"/>
  <c r="E290" i="18"/>
  <c r="E5" i="18"/>
  <c r="AZ5" i="3"/>
  <c r="BA243" i="3"/>
  <c r="BA244" i="3"/>
  <c r="BA245" i="3"/>
  <c r="BA246" i="3"/>
  <c r="BA247" i="3"/>
  <c r="BA248" i="3"/>
  <c r="BA249" i="3"/>
  <c r="BA250" i="3"/>
  <c r="BA251" i="3"/>
  <c r="BA252" i="3"/>
  <c r="BA253" i="3"/>
  <c r="BA254" i="3"/>
  <c r="BA255" i="3"/>
  <c r="BA256" i="3"/>
  <c r="BA257" i="3"/>
  <c r="BA258" i="3"/>
  <c r="BA259" i="3"/>
  <c r="BA260" i="3"/>
  <c r="BA261" i="3"/>
  <c r="BA262" i="3"/>
  <c r="BA263" i="3"/>
  <c r="BA264" i="3"/>
  <c r="BA265" i="3"/>
  <c r="BA266" i="3"/>
  <c r="BA267" i="3"/>
  <c r="BA268" i="3"/>
  <c r="BA269" i="3"/>
  <c r="BA270" i="3"/>
  <c r="BA271" i="3"/>
  <c r="BA272" i="3"/>
  <c r="BA273" i="3"/>
  <c r="BA274" i="3"/>
  <c r="BA275" i="3"/>
  <c r="BA276" i="3"/>
  <c r="BA277" i="3"/>
  <c r="BA278" i="3"/>
  <c r="BA279" i="3"/>
  <c r="BA280" i="3"/>
  <c r="BA281" i="3"/>
  <c r="BA282" i="3"/>
  <c r="BA283" i="3"/>
  <c r="BA284" i="3"/>
  <c r="BA285" i="3"/>
  <c r="BA286" i="3"/>
  <c r="BA287" i="3"/>
  <c r="BA288" i="3"/>
  <c r="BA289" i="3"/>
  <c r="BA290" i="3"/>
  <c r="AH5" i="3" l="1"/>
  <c r="D290" i="23" l="1"/>
  <c r="D289" i="23"/>
  <c r="D288" i="23"/>
  <c r="D287" i="23"/>
  <c r="D286" i="23"/>
  <c r="D285" i="23"/>
  <c r="D284" i="23"/>
  <c r="D283" i="23"/>
  <c r="D282" i="23"/>
  <c r="D281" i="23"/>
  <c r="D280" i="23"/>
  <c r="D279" i="23"/>
  <c r="D278" i="23"/>
  <c r="D277" i="23"/>
  <c r="D276" i="23"/>
  <c r="D275" i="23"/>
  <c r="D274" i="23"/>
  <c r="D273" i="23"/>
  <c r="D272" i="23"/>
  <c r="D271" i="23"/>
  <c r="D270" i="23"/>
  <c r="D269" i="23"/>
  <c r="D268" i="23"/>
  <c r="D267" i="23"/>
  <c r="D266" i="23"/>
  <c r="D265" i="23"/>
  <c r="D264" i="23"/>
  <c r="D263" i="23"/>
  <c r="D262" i="23"/>
  <c r="D261" i="23"/>
  <c r="D260" i="23"/>
  <c r="D259" i="23"/>
  <c r="D258" i="23"/>
  <c r="D257" i="23"/>
  <c r="D256" i="23"/>
  <c r="D255" i="23"/>
  <c r="D254" i="23"/>
  <c r="D253" i="23"/>
  <c r="D252" i="23"/>
  <c r="D251" i="23"/>
  <c r="D250" i="23"/>
  <c r="D249" i="23"/>
  <c r="D248" i="23"/>
  <c r="D247" i="23"/>
  <c r="D246" i="23"/>
  <c r="D245" i="23"/>
  <c r="D244" i="23"/>
  <c r="D243" i="23"/>
  <c r="D242" i="23"/>
  <c r="D241" i="23"/>
  <c r="D240" i="23"/>
  <c r="D239" i="23"/>
  <c r="D238" i="23"/>
  <c r="D237" i="23"/>
  <c r="D236" i="23"/>
  <c r="D235" i="23"/>
  <c r="D234" i="23"/>
  <c r="D233" i="23"/>
  <c r="D232" i="23"/>
  <c r="D231" i="23"/>
  <c r="D230" i="23"/>
  <c r="D229" i="23"/>
  <c r="D228" i="23"/>
  <c r="D227" i="23"/>
  <c r="D226" i="23"/>
  <c r="D225" i="23"/>
  <c r="D224" i="23"/>
  <c r="D223" i="23"/>
  <c r="D222" i="23"/>
  <c r="D221" i="23"/>
  <c r="D220" i="23"/>
  <c r="D219" i="23"/>
  <c r="D218" i="23"/>
  <c r="D217" i="23"/>
  <c r="D216" i="23"/>
  <c r="D215" i="23"/>
  <c r="D214" i="23"/>
  <c r="D213" i="23"/>
  <c r="D212" i="23"/>
  <c r="D211" i="23"/>
  <c r="D210" i="23"/>
  <c r="D209" i="23"/>
  <c r="D208" i="23"/>
  <c r="D207" i="23"/>
  <c r="D206" i="23"/>
  <c r="D205" i="23"/>
  <c r="D204" i="23"/>
  <c r="D203" i="23"/>
  <c r="D202" i="23"/>
  <c r="D201" i="23"/>
  <c r="D200" i="23"/>
  <c r="D199" i="23"/>
  <c r="D198" i="23"/>
  <c r="D197" i="23"/>
  <c r="D196" i="23"/>
  <c r="D195" i="23"/>
  <c r="D194" i="23"/>
  <c r="D193" i="23"/>
  <c r="D192" i="23"/>
  <c r="D191" i="23"/>
  <c r="D190" i="23"/>
  <c r="D189" i="23"/>
  <c r="D188" i="23"/>
  <c r="D187" i="23"/>
  <c r="D186" i="23"/>
  <c r="D185" i="23"/>
  <c r="D184" i="23"/>
  <c r="D183" i="23"/>
  <c r="D182" i="23"/>
  <c r="D181" i="23"/>
  <c r="D180" i="23"/>
  <c r="D179" i="23"/>
  <c r="D178" i="23"/>
  <c r="D177" i="23"/>
  <c r="D176" i="23"/>
  <c r="D175" i="23"/>
  <c r="D174" i="23"/>
  <c r="D173" i="23"/>
  <c r="D172" i="23"/>
  <c r="D171" i="23"/>
  <c r="D170" i="23"/>
  <c r="D169" i="23"/>
  <c r="D168" i="23"/>
  <c r="D167" i="23"/>
  <c r="D166" i="23"/>
  <c r="D165" i="23"/>
  <c r="D164" i="23"/>
  <c r="D163" i="23"/>
  <c r="D162" i="23"/>
  <c r="D161" i="23"/>
  <c r="D160" i="23"/>
  <c r="D159" i="23"/>
  <c r="D158" i="23"/>
  <c r="D157" i="23"/>
  <c r="D156" i="23"/>
  <c r="D155" i="23"/>
  <c r="D154" i="23"/>
  <c r="D153" i="23"/>
  <c r="D152" i="23"/>
  <c r="D151" i="23"/>
  <c r="D150" i="23"/>
  <c r="D149" i="23"/>
  <c r="D148" i="23"/>
  <c r="D147" i="23"/>
  <c r="D146" i="23"/>
  <c r="D145" i="23"/>
  <c r="D144" i="23"/>
  <c r="D143" i="23"/>
  <c r="D142" i="23"/>
  <c r="D141" i="23"/>
  <c r="D140" i="23"/>
  <c r="D139" i="23"/>
  <c r="D138" i="23"/>
  <c r="D137" i="23"/>
  <c r="D136" i="23"/>
  <c r="D135" i="23"/>
  <c r="D134" i="23"/>
  <c r="D133" i="23"/>
  <c r="D132" i="23"/>
  <c r="D131" i="23"/>
  <c r="D130" i="23"/>
  <c r="D129" i="23"/>
  <c r="D128" i="23"/>
  <c r="D127" i="23"/>
  <c r="D126" i="23"/>
  <c r="D125" i="23"/>
  <c r="D124" i="23"/>
  <c r="D123" i="23"/>
  <c r="D122" i="23"/>
  <c r="D121" i="23"/>
  <c r="D120" i="23"/>
  <c r="D119" i="23"/>
  <c r="D118" i="23"/>
  <c r="D117" i="23"/>
  <c r="D116" i="23"/>
  <c r="D115" i="23"/>
  <c r="D114" i="23"/>
  <c r="D113" i="23"/>
  <c r="D112" i="23"/>
  <c r="D111" i="23"/>
  <c r="D110" i="23"/>
  <c r="D109" i="23"/>
  <c r="D108" i="23"/>
  <c r="D107" i="23"/>
  <c r="D106" i="23"/>
  <c r="D105" i="23"/>
  <c r="D104" i="23"/>
  <c r="D103" i="23"/>
  <c r="D102" i="23"/>
  <c r="D101" i="23"/>
  <c r="D100" i="23"/>
  <c r="D99" i="23"/>
  <c r="D98" i="23"/>
  <c r="D97" i="23"/>
  <c r="D96" i="23"/>
  <c r="D95" i="23"/>
  <c r="D94" i="23"/>
  <c r="D93" i="23"/>
  <c r="D92" i="23"/>
  <c r="D91" i="23"/>
  <c r="D90" i="23"/>
  <c r="D89" i="23"/>
  <c r="D88" i="23"/>
  <c r="D87" i="23"/>
  <c r="D86" i="23"/>
  <c r="D85" i="23"/>
  <c r="D84" i="23"/>
  <c r="D83" i="23"/>
  <c r="D82" i="23"/>
  <c r="D81" i="23"/>
  <c r="D80" i="23"/>
  <c r="D79" i="23"/>
  <c r="D78" i="23"/>
  <c r="D77" i="23"/>
  <c r="D76" i="23"/>
  <c r="D75" i="23"/>
  <c r="D74" i="23"/>
  <c r="D73" i="23"/>
  <c r="D72" i="23"/>
  <c r="D71" i="23"/>
  <c r="D70" i="23"/>
  <c r="D69" i="23"/>
  <c r="D68" i="23"/>
  <c r="D67" i="23"/>
  <c r="D66" i="23"/>
  <c r="D65" i="23"/>
  <c r="D64" i="23"/>
  <c r="D63" i="23"/>
  <c r="D62" i="23"/>
  <c r="D61" i="23"/>
  <c r="D60" i="23"/>
  <c r="D59" i="23"/>
  <c r="D58" i="23"/>
  <c r="D57" i="23"/>
  <c r="D56" i="23"/>
  <c r="D55" i="23"/>
  <c r="D54" i="23"/>
  <c r="D53" i="23"/>
  <c r="D52" i="23"/>
  <c r="D51" i="23"/>
  <c r="D50" i="23"/>
  <c r="D49" i="23"/>
  <c r="D48" i="23"/>
  <c r="D47" i="23"/>
  <c r="D46" i="23"/>
  <c r="D45" i="23"/>
  <c r="D44" i="23"/>
  <c r="E6" i="23"/>
  <c r="E7" i="23"/>
  <c r="E8" i="23"/>
  <c r="E9" i="23"/>
  <c r="E10" i="23"/>
  <c r="E11" i="23"/>
  <c r="E12" i="23"/>
  <c r="E13" i="23"/>
  <c r="E14" i="23"/>
  <c r="E15" i="23"/>
  <c r="E16" i="23"/>
  <c r="E17" i="23"/>
  <c r="E18" i="23"/>
  <c r="E19" i="23"/>
  <c r="E20" i="23"/>
  <c r="E21" i="23"/>
  <c r="E22" i="23"/>
  <c r="E23" i="23"/>
  <c r="E24" i="23"/>
  <c r="E25" i="23"/>
  <c r="E26" i="23"/>
  <c r="E27" i="23"/>
  <c r="E28" i="23"/>
  <c r="E29" i="23"/>
  <c r="E30" i="23"/>
  <c r="E31" i="23"/>
  <c r="E32" i="23"/>
  <c r="E33" i="23"/>
  <c r="E34" i="23"/>
  <c r="E35" i="23"/>
  <c r="E36" i="23"/>
  <c r="E37" i="23"/>
  <c r="E38" i="23"/>
  <c r="E39" i="23"/>
  <c r="E40" i="23"/>
  <c r="E41" i="23"/>
  <c r="E42" i="23"/>
  <c r="E43" i="23"/>
  <c r="E44" i="23"/>
  <c r="E45" i="23"/>
  <c r="E46" i="23"/>
  <c r="E47" i="23"/>
  <c r="E48" i="23"/>
  <c r="E49" i="23"/>
  <c r="E50" i="23"/>
  <c r="E51" i="23"/>
  <c r="E52" i="23"/>
  <c r="E53" i="23"/>
  <c r="E54" i="23"/>
  <c r="E55" i="23"/>
  <c r="E56" i="23"/>
  <c r="E57" i="23"/>
  <c r="E58" i="23"/>
  <c r="E59" i="23"/>
  <c r="E60" i="23"/>
  <c r="E61" i="23"/>
  <c r="E62" i="23"/>
  <c r="E63" i="23"/>
  <c r="E64" i="23"/>
  <c r="E65" i="23"/>
  <c r="E66" i="23"/>
  <c r="E67" i="23"/>
  <c r="E68" i="23"/>
  <c r="E69" i="23"/>
  <c r="E70" i="23"/>
  <c r="E71" i="23"/>
  <c r="E72" i="23"/>
  <c r="E73" i="23"/>
  <c r="E74" i="23"/>
  <c r="E75" i="23"/>
  <c r="E76" i="23"/>
  <c r="E77" i="23"/>
  <c r="E78" i="23"/>
  <c r="E79" i="23"/>
  <c r="E80" i="23"/>
  <c r="E81" i="23"/>
  <c r="E82" i="23"/>
  <c r="E83" i="23"/>
  <c r="E84" i="23"/>
  <c r="E85" i="23"/>
  <c r="E86" i="23"/>
  <c r="E87" i="23"/>
  <c r="E88" i="23"/>
  <c r="E89" i="23"/>
  <c r="E90" i="23"/>
  <c r="E91" i="23"/>
  <c r="E92" i="23"/>
  <c r="E93" i="23"/>
  <c r="E94" i="23"/>
  <c r="E95" i="23"/>
  <c r="E96" i="23"/>
  <c r="E97" i="23"/>
  <c r="E98" i="23"/>
  <c r="E99" i="23"/>
  <c r="E100" i="23"/>
  <c r="E101" i="23"/>
  <c r="E102" i="23"/>
  <c r="E103" i="23"/>
  <c r="E104" i="23"/>
  <c r="E105" i="23"/>
  <c r="E106" i="23"/>
  <c r="E107" i="23"/>
  <c r="E108" i="23"/>
  <c r="E109" i="23"/>
  <c r="E110" i="23"/>
  <c r="E111" i="23"/>
  <c r="E112" i="23"/>
  <c r="E113" i="23"/>
  <c r="E114" i="23"/>
  <c r="E115" i="23"/>
  <c r="E116" i="23"/>
  <c r="E117" i="23"/>
  <c r="E118" i="23"/>
  <c r="E119" i="23"/>
  <c r="E120" i="23"/>
  <c r="E121" i="23"/>
  <c r="E122" i="23"/>
  <c r="E123" i="23"/>
  <c r="E124" i="23"/>
  <c r="E125" i="23"/>
  <c r="E126" i="23"/>
  <c r="E127" i="23"/>
  <c r="E128" i="23"/>
  <c r="E129" i="23"/>
  <c r="E130" i="23"/>
  <c r="E131" i="23"/>
  <c r="E132" i="23"/>
  <c r="E133" i="23"/>
  <c r="E134" i="23"/>
  <c r="E135" i="23"/>
  <c r="E136" i="23"/>
  <c r="E137" i="23"/>
  <c r="E138" i="23"/>
  <c r="E139" i="23"/>
  <c r="E140" i="23"/>
  <c r="E141" i="23"/>
  <c r="E142" i="23"/>
  <c r="E143" i="23"/>
  <c r="E144" i="23"/>
  <c r="E145" i="23"/>
  <c r="E146" i="23"/>
  <c r="E147" i="23"/>
  <c r="E148" i="23"/>
  <c r="E149" i="23"/>
  <c r="E150" i="23"/>
  <c r="E151" i="23"/>
  <c r="E152" i="23"/>
  <c r="E153" i="23"/>
  <c r="E154" i="23"/>
  <c r="E155" i="23"/>
  <c r="E156" i="23"/>
  <c r="E157" i="23"/>
  <c r="E158" i="23"/>
  <c r="E159" i="23"/>
  <c r="E160" i="23"/>
  <c r="E161" i="23"/>
  <c r="E162" i="23"/>
  <c r="E163" i="23"/>
  <c r="E164" i="23"/>
  <c r="E165" i="23"/>
  <c r="E166" i="23"/>
  <c r="E167" i="23"/>
  <c r="E168" i="23"/>
  <c r="E169" i="23"/>
  <c r="E170" i="23"/>
  <c r="E171" i="23"/>
  <c r="E172" i="23"/>
  <c r="E173" i="23"/>
  <c r="E174" i="23"/>
  <c r="E175" i="23"/>
  <c r="E176" i="23"/>
  <c r="E177" i="23"/>
  <c r="E178" i="23"/>
  <c r="E179" i="23"/>
  <c r="E180" i="23"/>
  <c r="E181" i="23"/>
  <c r="E182" i="23"/>
  <c r="E183" i="23"/>
  <c r="E184" i="23"/>
  <c r="E185" i="23"/>
  <c r="E186" i="23"/>
  <c r="E187" i="23"/>
  <c r="E188" i="23"/>
  <c r="E189" i="23"/>
  <c r="E190" i="23"/>
  <c r="E191" i="23"/>
  <c r="E192" i="23"/>
  <c r="E193" i="23"/>
  <c r="E194" i="23"/>
  <c r="E195" i="23"/>
  <c r="E196" i="23"/>
  <c r="E197" i="23"/>
  <c r="E198" i="23"/>
  <c r="E199" i="23"/>
  <c r="E200" i="23"/>
  <c r="E201" i="23"/>
  <c r="E202" i="23"/>
  <c r="E203" i="23"/>
  <c r="E204" i="23"/>
  <c r="E205" i="23"/>
  <c r="E206" i="23"/>
  <c r="E207" i="23"/>
  <c r="E208" i="23"/>
  <c r="E209" i="23"/>
  <c r="E210" i="23"/>
  <c r="E211" i="23"/>
  <c r="E212" i="23"/>
  <c r="E213" i="23"/>
  <c r="E214" i="23"/>
  <c r="E215" i="23"/>
  <c r="E216" i="23"/>
  <c r="E217" i="23"/>
  <c r="E218" i="23"/>
  <c r="E219" i="23"/>
  <c r="E220" i="23"/>
  <c r="E221" i="23"/>
  <c r="E222" i="23"/>
  <c r="E223" i="23"/>
  <c r="E224" i="23"/>
  <c r="E225" i="23"/>
  <c r="E226" i="23"/>
  <c r="E227" i="23"/>
  <c r="E228" i="23"/>
  <c r="E229" i="23"/>
  <c r="E230" i="23"/>
  <c r="E231" i="23"/>
  <c r="E232" i="23"/>
  <c r="E233" i="23"/>
  <c r="E234" i="23"/>
  <c r="E235" i="23"/>
  <c r="E236" i="23"/>
  <c r="E237" i="23"/>
  <c r="E238" i="23"/>
  <c r="E239" i="23"/>
  <c r="E240" i="23"/>
  <c r="E241" i="23"/>
  <c r="E242" i="23"/>
  <c r="E243" i="23"/>
  <c r="E244" i="23"/>
  <c r="E245" i="23"/>
  <c r="E246" i="23"/>
  <c r="E247" i="23"/>
  <c r="E248" i="23"/>
  <c r="E249" i="23"/>
  <c r="E250" i="23"/>
  <c r="E251" i="23"/>
  <c r="E252" i="23"/>
  <c r="E253" i="23"/>
  <c r="E254" i="23"/>
  <c r="E255" i="23"/>
  <c r="E256" i="23"/>
  <c r="E257" i="23"/>
  <c r="E258" i="23"/>
  <c r="E259" i="23"/>
  <c r="E260" i="23"/>
  <c r="E261" i="23"/>
  <c r="E262" i="23"/>
  <c r="E263" i="23"/>
  <c r="E264" i="23"/>
  <c r="E265" i="23"/>
  <c r="E266" i="23"/>
  <c r="E267" i="23"/>
  <c r="E268" i="23"/>
  <c r="E269" i="23"/>
  <c r="E270" i="23"/>
  <c r="E271" i="23"/>
  <c r="E272" i="23"/>
  <c r="E273" i="23"/>
  <c r="E274" i="23"/>
  <c r="E275" i="23"/>
  <c r="E276" i="23"/>
  <c r="E277" i="23"/>
  <c r="E278" i="23"/>
  <c r="E279" i="23"/>
  <c r="E280" i="23"/>
  <c r="E281" i="23"/>
  <c r="E282" i="23"/>
  <c r="E283" i="23"/>
  <c r="E284" i="23"/>
  <c r="E285" i="23"/>
  <c r="E286" i="23"/>
  <c r="E287" i="23"/>
  <c r="E288" i="23"/>
  <c r="E289" i="23"/>
  <c r="E290" i="23"/>
  <c r="E5" i="23"/>
  <c r="AQ6" i="3"/>
  <c r="AQ7" i="3"/>
  <c r="AQ8" i="3"/>
  <c r="AQ9" i="3"/>
  <c r="AQ10" i="3"/>
  <c r="AQ11" i="3"/>
  <c r="AQ12" i="3"/>
  <c r="AQ13" i="3"/>
  <c r="AQ14" i="3"/>
  <c r="AQ15" i="3"/>
  <c r="AQ16" i="3"/>
  <c r="AQ17" i="3"/>
  <c r="AQ18" i="3"/>
  <c r="AQ19" i="3"/>
  <c r="AQ20" i="3"/>
  <c r="AQ21" i="3"/>
  <c r="AQ22" i="3"/>
  <c r="AQ23" i="3"/>
  <c r="AQ24" i="3"/>
  <c r="AQ25" i="3"/>
  <c r="AQ26" i="3"/>
  <c r="AQ27" i="3"/>
  <c r="AQ28" i="3"/>
  <c r="AQ29" i="3"/>
  <c r="AQ30" i="3"/>
  <c r="AQ31" i="3"/>
  <c r="AQ32" i="3"/>
  <c r="AQ33" i="3"/>
  <c r="AQ34" i="3"/>
  <c r="AQ35" i="3"/>
  <c r="AQ36" i="3"/>
  <c r="AQ37" i="3"/>
  <c r="AQ38" i="3"/>
  <c r="AQ39" i="3"/>
  <c r="AQ40" i="3"/>
  <c r="AQ41" i="3"/>
  <c r="AQ42" i="3"/>
  <c r="AQ43" i="3"/>
  <c r="AQ44" i="3"/>
  <c r="AQ45" i="3"/>
  <c r="AQ46" i="3"/>
  <c r="AQ47" i="3"/>
  <c r="AQ48" i="3"/>
  <c r="AQ49" i="3"/>
  <c r="AQ50" i="3"/>
  <c r="AQ51" i="3"/>
  <c r="AQ52" i="3"/>
  <c r="AQ53" i="3"/>
  <c r="AQ54" i="3"/>
  <c r="AQ55" i="3"/>
  <c r="AQ56" i="3"/>
  <c r="AQ57" i="3"/>
  <c r="AQ58" i="3"/>
  <c r="AQ59" i="3"/>
  <c r="AQ60" i="3"/>
  <c r="AQ61" i="3"/>
  <c r="AQ62" i="3"/>
  <c r="AQ63" i="3"/>
  <c r="AQ64" i="3"/>
  <c r="AQ65" i="3"/>
  <c r="AQ66" i="3"/>
  <c r="AQ67" i="3"/>
  <c r="AQ68" i="3"/>
  <c r="AQ69" i="3"/>
  <c r="AQ70" i="3"/>
  <c r="AQ71" i="3"/>
  <c r="AQ72" i="3"/>
  <c r="AQ73" i="3"/>
  <c r="AQ74" i="3"/>
  <c r="AQ75" i="3"/>
  <c r="AQ76" i="3"/>
  <c r="AQ77" i="3"/>
  <c r="AQ78" i="3"/>
  <c r="AQ79" i="3"/>
  <c r="AQ80" i="3"/>
  <c r="AQ81" i="3"/>
  <c r="AQ82" i="3"/>
  <c r="AQ83" i="3"/>
  <c r="AQ84" i="3"/>
  <c r="AQ85" i="3"/>
  <c r="AQ86" i="3"/>
  <c r="AQ87" i="3"/>
  <c r="AQ88" i="3"/>
  <c r="AQ89" i="3"/>
  <c r="AQ90" i="3"/>
  <c r="AQ91" i="3"/>
  <c r="AQ92" i="3"/>
  <c r="AQ93" i="3"/>
  <c r="AQ94" i="3"/>
  <c r="AQ95" i="3"/>
  <c r="AQ96" i="3"/>
  <c r="AQ97" i="3"/>
  <c r="AQ98" i="3"/>
  <c r="AQ99" i="3"/>
  <c r="AQ100" i="3"/>
  <c r="AQ101" i="3"/>
  <c r="AQ102" i="3"/>
  <c r="AQ103" i="3"/>
  <c r="AQ104" i="3"/>
  <c r="AQ105" i="3"/>
  <c r="AQ106" i="3"/>
  <c r="AQ107" i="3"/>
  <c r="AQ108" i="3"/>
  <c r="AQ109" i="3"/>
  <c r="AQ110" i="3"/>
  <c r="AQ111" i="3"/>
  <c r="AQ112" i="3"/>
  <c r="AQ113" i="3"/>
  <c r="AQ114" i="3"/>
  <c r="AQ115" i="3"/>
  <c r="AQ116" i="3"/>
  <c r="AQ117" i="3"/>
  <c r="AQ118" i="3"/>
  <c r="AQ119" i="3"/>
  <c r="AQ120" i="3"/>
  <c r="AQ121" i="3"/>
  <c r="AQ122" i="3"/>
  <c r="AQ123" i="3"/>
  <c r="AQ124" i="3"/>
  <c r="AQ125" i="3"/>
  <c r="AQ126" i="3"/>
  <c r="AQ127" i="3"/>
  <c r="AQ128" i="3"/>
  <c r="AQ129" i="3"/>
  <c r="AQ130" i="3"/>
  <c r="AQ131" i="3"/>
  <c r="AQ132" i="3"/>
  <c r="AQ133" i="3"/>
  <c r="AQ134" i="3"/>
  <c r="AQ135" i="3"/>
  <c r="AQ136" i="3"/>
  <c r="AQ137" i="3"/>
  <c r="AQ138" i="3"/>
  <c r="AQ139" i="3"/>
  <c r="AQ140" i="3"/>
  <c r="AQ141" i="3"/>
  <c r="AQ142" i="3"/>
  <c r="AQ143" i="3"/>
  <c r="AQ144" i="3"/>
  <c r="AQ145" i="3"/>
  <c r="AQ146" i="3"/>
  <c r="AQ147" i="3"/>
  <c r="AQ148" i="3"/>
  <c r="AQ149" i="3"/>
  <c r="AQ150" i="3"/>
  <c r="AQ151" i="3"/>
  <c r="AQ152" i="3"/>
  <c r="AQ153" i="3"/>
  <c r="AQ154" i="3"/>
  <c r="AQ155" i="3"/>
  <c r="AQ156" i="3"/>
  <c r="AQ157" i="3"/>
  <c r="AQ158" i="3"/>
  <c r="AQ159" i="3"/>
  <c r="AQ160" i="3"/>
  <c r="AQ161" i="3"/>
  <c r="AQ162" i="3"/>
  <c r="AQ163" i="3"/>
  <c r="AQ164" i="3"/>
  <c r="AQ165" i="3"/>
  <c r="AQ166" i="3"/>
  <c r="AQ167" i="3"/>
  <c r="AQ168" i="3"/>
  <c r="AQ169" i="3"/>
  <c r="AQ170" i="3"/>
  <c r="AQ171" i="3"/>
  <c r="AQ172" i="3"/>
  <c r="AQ173" i="3"/>
  <c r="AQ174" i="3"/>
  <c r="AQ175" i="3"/>
  <c r="AQ176" i="3"/>
  <c r="AQ177" i="3"/>
  <c r="AQ178" i="3"/>
  <c r="AQ179" i="3"/>
  <c r="AQ180" i="3"/>
  <c r="AQ181" i="3"/>
  <c r="AQ182" i="3"/>
  <c r="AQ183" i="3"/>
  <c r="AQ184" i="3"/>
  <c r="AQ185" i="3"/>
  <c r="AQ186" i="3"/>
  <c r="AQ187" i="3"/>
  <c r="AQ188" i="3"/>
  <c r="AQ189" i="3"/>
  <c r="AQ190" i="3"/>
  <c r="AQ191" i="3"/>
  <c r="AQ192" i="3"/>
  <c r="AQ193" i="3"/>
  <c r="AQ194" i="3"/>
  <c r="AQ195" i="3"/>
  <c r="AQ196" i="3"/>
  <c r="AQ197" i="3"/>
  <c r="AQ198" i="3"/>
  <c r="AQ199" i="3"/>
  <c r="AQ200" i="3"/>
  <c r="AQ201" i="3"/>
  <c r="AQ202" i="3"/>
  <c r="AQ203" i="3"/>
  <c r="AQ204" i="3"/>
  <c r="AQ205" i="3"/>
  <c r="AQ206" i="3"/>
  <c r="AQ207" i="3"/>
  <c r="AQ208" i="3"/>
  <c r="AQ209" i="3"/>
  <c r="AQ210" i="3"/>
  <c r="AQ211" i="3"/>
  <c r="AQ212" i="3"/>
  <c r="AQ213" i="3"/>
  <c r="AQ214" i="3"/>
  <c r="AQ215" i="3"/>
  <c r="AQ216" i="3"/>
  <c r="AQ217" i="3"/>
  <c r="AQ218" i="3"/>
  <c r="AQ219" i="3"/>
  <c r="AQ220" i="3"/>
  <c r="AQ221" i="3"/>
  <c r="AQ222" i="3"/>
  <c r="AQ223" i="3"/>
  <c r="AQ224" i="3"/>
  <c r="AQ225" i="3"/>
  <c r="AQ226" i="3"/>
  <c r="AQ227" i="3"/>
  <c r="AQ228" i="3"/>
  <c r="AQ229" i="3"/>
  <c r="AQ230" i="3"/>
  <c r="AQ231" i="3"/>
  <c r="AQ232" i="3"/>
  <c r="AQ233" i="3"/>
  <c r="AQ234" i="3"/>
  <c r="AQ235" i="3"/>
  <c r="AQ236" i="3"/>
  <c r="AQ237" i="3"/>
  <c r="AQ238" i="3"/>
  <c r="AQ239" i="3"/>
  <c r="AQ240" i="3"/>
  <c r="AQ241" i="3"/>
  <c r="AQ242" i="3"/>
  <c r="AQ243" i="3"/>
  <c r="AQ244" i="3"/>
  <c r="AQ245" i="3"/>
  <c r="AQ246" i="3"/>
  <c r="AQ247" i="3"/>
  <c r="AQ248" i="3"/>
  <c r="AQ249" i="3"/>
  <c r="AQ250" i="3"/>
  <c r="AQ251" i="3"/>
  <c r="AQ252" i="3"/>
  <c r="AQ253" i="3"/>
  <c r="AQ254" i="3"/>
  <c r="AQ255" i="3"/>
  <c r="AQ256" i="3"/>
  <c r="AQ257" i="3"/>
  <c r="AQ258" i="3"/>
  <c r="AQ259" i="3"/>
  <c r="AQ260" i="3"/>
  <c r="AQ261" i="3"/>
  <c r="AQ262" i="3"/>
  <c r="AQ263" i="3"/>
  <c r="AQ264" i="3"/>
  <c r="AQ265" i="3"/>
  <c r="AQ266" i="3"/>
  <c r="AQ267" i="3"/>
  <c r="AQ268" i="3"/>
  <c r="AQ269" i="3"/>
  <c r="AQ270" i="3"/>
  <c r="AQ271" i="3"/>
  <c r="AQ272" i="3"/>
  <c r="AQ273" i="3"/>
  <c r="AQ274" i="3"/>
  <c r="AQ275" i="3"/>
  <c r="AQ276" i="3"/>
  <c r="AQ277" i="3"/>
  <c r="AQ278" i="3"/>
  <c r="AQ279" i="3"/>
  <c r="AQ280" i="3"/>
  <c r="AQ281" i="3"/>
  <c r="AQ282" i="3"/>
  <c r="AQ283" i="3"/>
  <c r="AQ284" i="3"/>
  <c r="AQ285" i="3"/>
  <c r="AQ286" i="3"/>
  <c r="AQ287" i="3"/>
  <c r="AQ288" i="3"/>
  <c r="AQ289" i="3"/>
  <c r="AQ290" i="3"/>
  <c r="AQ5" i="3"/>
  <c r="E4" i="23" l="1"/>
  <c r="BR4" i="10" l="1"/>
  <c r="BQ4" i="10"/>
  <c r="BG4" i="10" l="1"/>
  <c r="BY4" i="10" s="1"/>
  <c r="AR262" i="11" l="1"/>
  <c r="AJ263" i="3" s="1"/>
  <c r="AU5" i="3" l="1"/>
  <c r="AU6" i="3"/>
  <c r="AU7" i="3"/>
  <c r="AU8" i="3"/>
  <c r="AU9" i="3"/>
  <c r="AU10" i="3"/>
  <c r="AU11" i="3"/>
  <c r="AU12" i="3"/>
  <c r="AU13" i="3"/>
  <c r="AU14" i="3"/>
  <c r="AU15" i="3"/>
  <c r="AU16" i="3"/>
  <c r="AU17" i="3"/>
  <c r="AU18" i="3"/>
  <c r="AU19" i="3"/>
  <c r="AU20" i="3"/>
  <c r="AU21" i="3"/>
  <c r="AU22" i="3"/>
  <c r="AU23" i="3"/>
  <c r="AU24" i="3"/>
  <c r="AU25" i="3"/>
  <c r="AU26" i="3"/>
  <c r="AU27" i="3"/>
  <c r="AU28" i="3"/>
  <c r="AU29" i="3"/>
  <c r="AU30" i="3"/>
  <c r="AU31" i="3"/>
  <c r="AU32" i="3"/>
  <c r="AU33" i="3"/>
  <c r="AU34" i="3"/>
  <c r="AU35" i="3"/>
  <c r="AU36" i="3"/>
  <c r="AU37" i="3"/>
  <c r="AU38" i="3"/>
  <c r="AU39" i="3"/>
  <c r="AU40" i="3"/>
  <c r="AU41" i="3"/>
  <c r="AU42" i="3"/>
  <c r="AU43" i="3"/>
  <c r="AU44" i="3"/>
  <c r="AU45" i="3"/>
  <c r="AU46" i="3"/>
  <c r="AU47" i="3"/>
  <c r="AU48" i="3"/>
  <c r="AU49" i="3"/>
  <c r="AU50" i="3"/>
  <c r="AU51" i="3"/>
  <c r="AU52" i="3"/>
  <c r="AU53" i="3"/>
  <c r="AU54" i="3"/>
  <c r="AU55" i="3"/>
  <c r="AU56" i="3"/>
  <c r="AU57" i="3"/>
  <c r="AU58" i="3"/>
  <c r="AU59" i="3"/>
  <c r="AU60" i="3"/>
  <c r="AU61" i="3"/>
  <c r="AU62" i="3"/>
  <c r="AU63" i="3"/>
  <c r="AU64" i="3"/>
  <c r="AU65" i="3"/>
  <c r="AU66" i="3"/>
  <c r="AU67" i="3"/>
  <c r="AU68" i="3"/>
  <c r="AU69" i="3"/>
  <c r="AU70" i="3"/>
  <c r="AU71" i="3"/>
  <c r="AU72" i="3"/>
  <c r="AU73" i="3"/>
  <c r="AU74" i="3"/>
  <c r="AU75" i="3"/>
  <c r="AU76" i="3"/>
  <c r="AU77" i="3"/>
  <c r="AU78" i="3"/>
  <c r="AU79" i="3"/>
  <c r="AU80" i="3"/>
  <c r="AU81" i="3"/>
  <c r="AU82" i="3"/>
  <c r="AU83" i="3"/>
  <c r="AU84" i="3"/>
  <c r="AU85" i="3"/>
  <c r="AU86" i="3"/>
  <c r="AU87" i="3"/>
  <c r="AU88" i="3"/>
  <c r="AU89" i="3"/>
  <c r="AU90" i="3"/>
  <c r="AU91" i="3"/>
  <c r="AU92" i="3"/>
  <c r="AU93" i="3"/>
  <c r="AU94" i="3"/>
  <c r="AU95" i="3"/>
  <c r="AU96" i="3"/>
  <c r="AU97" i="3"/>
  <c r="AU98" i="3"/>
  <c r="AU99" i="3"/>
  <c r="AU100" i="3"/>
  <c r="AU101" i="3"/>
  <c r="AU102" i="3"/>
  <c r="AU103" i="3"/>
  <c r="AU104" i="3"/>
  <c r="AU105" i="3"/>
  <c r="AU106" i="3"/>
  <c r="AU107" i="3"/>
  <c r="AU108" i="3"/>
  <c r="AU109" i="3"/>
  <c r="AU110" i="3"/>
  <c r="AU111" i="3"/>
  <c r="AU112" i="3"/>
  <c r="AU113" i="3"/>
  <c r="AU114" i="3"/>
  <c r="AU115" i="3"/>
  <c r="AU116" i="3"/>
  <c r="AU117" i="3"/>
  <c r="AU118" i="3"/>
  <c r="AU119" i="3"/>
  <c r="AU120" i="3"/>
  <c r="AU121" i="3"/>
  <c r="AU122" i="3"/>
  <c r="AU123" i="3"/>
  <c r="AU124" i="3"/>
  <c r="AU125" i="3"/>
  <c r="AU126" i="3"/>
  <c r="AU127" i="3"/>
  <c r="AU128" i="3"/>
  <c r="AU129" i="3"/>
  <c r="AU130" i="3"/>
  <c r="AU131" i="3"/>
  <c r="AU132" i="3"/>
  <c r="AU133" i="3"/>
  <c r="AU134" i="3"/>
  <c r="AU135" i="3"/>
  <c r="AU136" i="3"/>
  <c r="AU137" i="3"/>
  <c r="AU138" i="3"/>
  <c r="AU139" i="3"/>
  <c r="AU140" i="3"/>
  <c r="AU141" i="3"/>
  <c r="AU142" i="3"/>
  <c r="AU143" i="3"/>
  <c r="AU144" i="3"/>
  <c r="AU145" i="3"/>
  <c r="AU146" i="3"/>
  <c r="AU147" i="3"/>
  <c r="AU148" i="3"/>
  <c r="AU149" i="3"/>
  <c r="AU150" i="3"/>
  <c r="AU151" i="3"/>
  <c r="AU152" i="3"/>
  <c r="AU153" i="3"/>
  <c r="AU154" i="3"/>
  <c r="AU155" i="3"/>
  <c r="AU156" i="3"/>
  <c r="AU157" i="3"/>
  <c r="AU158" i="3"/>
  <c r="AU159" i="3"/>
  <c r="AU160" i="3"/>
  <c r="AU161" i="3"/>
  <c r="AU162" i="3"/>
  <c r="AU163" i="3"/>
  <c r="AU164" i="3"/>
  <c r="AU165" i="3"/>
  <c r="AU166" i="3"/>
  <c r="AU167" i="3"/>
  <c r="AU168" i="3"/>
  <c r="AU169" i="3"/>
  <c r="AU170" i="3"/>
  <c r="AU171" i="3"/>
  <c r="AU172" i="3"/>
  <c r="AU173" i="3"/>
  <c r="AU174" i="3"/>
  <c r="AU175" i="3"/>
  <c r="AU176" i="3"/>
  <c r="AU177" i="3"/>
  <c r="AU178" i="3"/>
  <c r="AU179" i="3"/>
  <c r="AU180" i="3"/>
  <c r="AU181" i="3"/>
  <c r="AU182" i="3"/>
  <c r="AU183" i="3"/>
  <c r="AU184" i="3"/>
  <c r="AU185" i="3"/>
  <c r="AU186" i="3"/>
  <c r="AU187" i="3"/>
  <c r="AU188" i="3"/>
  <c r="AU189" i="3"/>
  <c r="AU190" i="3"/>
  <c r="AU191" i="3"/>
  <c r="AU192" i="3"/>
  <c r="AU193" i="3"/>
  <c r="AU194" i="3"/>
  <c r="AU195" i="3"/>
  <c r="AU196" i="3"/>
  <c r="AU197" i="3"/>
  <c r="AU198" i="3"/>
  <c r="AU199" i="3"/>
  <c r="AU200" i="3"/>
  <c r="AU201" i="3"/>
  <c r="AU202" i="3"/>
  <c r="AU203" i="3"/>
  <c r="AU204" i="3"/>
  <c r="AU205" i="3"/>
  <c r="AU206" i="3"/>
  <c r="AU207" i="3"/>
  <c r="AU208" i="3"/>
  <c r="AU209" i="3"/>
  <c r="AU210" i="3"/>
  <c r="AU211" i="3"/>
  <c r="AU212" i="3"/>
  <c r="AU213" i="3"/>
  <c r="AU214" i="3"/>
  <c r="AU215" i="3"/>
  <c r="AU216" i="3"/>
  <c r="AU217" i="3"/>
  <c r="AU218" i="3"/>
  <c r="AU219" i="3"/>
  <c r="AU220" i="3"/>
  <c r="AU221" i="3"/>
  <c r="AU222" i="3"/>
  <c r="AU223" i="3"/>
  <c r="AU224" i="3"/>
  <c r="AU225" i="3"/>
  <c r="AU226" i="3"/>
  <c r="AU227" i="3"/>
  <c r="AU228" i="3"/>
  <c r="AU229" i="3"/>
  <c r="AU230" i="3"/>
  <c r="AU231" i="3"/>
  <c r="AU232" i="3"/>
  <c r="AU233" i="3"/>
  <c r="AU234" i="3"/>
  <c r="AU235" i="3"/>
  <c r="AU236" i="3"/>
  <c r="AU237" i="3"/>
  <c r="AU238" i="3"/>
  <c r="AU239" i="3"/>
  <c r="AU240" i="3"/>
  <c r="AU241" i="3"/>
  <c r="AU242" i="3"/>
  <c r="AU243" i="3"/>
  <c r="AU244" i="3"/>
  <c r="AU245" i="3"/>
  <c r="AU246" i="3"/>
  <c r="AU247" i="3"/>
  <c r="AU248" i="3"/>
  <c r="AU249" i="3"/>
  <c r="AU250" i="3"/>
  <c r="AU251" i="3"/>
  <c r="AU252" i="3"/>
  <c r="AU253" i="3"/>
  <c r="AU254" i="3"/>
  <c r="AU255" i="3"/>
  <c r="AU256" i="3"/>
  <c r="AU257" i="3"/>
  <c r="AU258" i="3"/>
  <c r="AU259" i="3"/>
  <c r="AU260" i="3"/>
  <c r="AU261" i="3"/>
  <c r="AU262" i="3"/>
  <c r="AU263" i="3"/>
  <c r="AU264" i="3"/>
  <c r="AU265" i="3"/>
  <c r="AU266" i="3"/>
  <c r="AU267" i="3"/>
  <c r="AU268" i="3"/>
  <c r="AU269" i="3"/>
  <c r="AU270" i="3"/>
  <c r="AU271" i="3"/>
  <c r="AU272" i="3"/>
  <c r="AU273" i="3"/>
  <c r="AU274" i="3"/>
  <c r="AU275" i="3"/>
  <c r="AU276" i="3"/>
  <c r="AU277" i="3"/>
  <c r="AU278" i="3"/>
  <c r="AU279" i="3"/>
  <c r="AU280" i="3"/>
  <c r="AU281" i="3"/>
  <c r="AU282" i="3"/>
  <c r="AU283" i="3"/>
  <c r="AU284" i="3"/>
  <c r="AU285" i="3"/>
  <c r="AU286" i="3"/>
  <c r="AU287" i="3"/>
  <c r="AU288" i="3"/>
  <c r="AU289" i="3"/>
  <c r="AU290" i="3"/>
  <c r="AW4" i="3" l="1"/>
  <c r="R276" i="3" l="1"/>
  <c r="D22" i="23" l="1"/>
  <c r="D37" i="23"/>
  <c r="D29" i="23"/>
  <c r="D21" i="23"/>
  <c r="D13" i="23"/>
  <c r="D30" i="23"/>
  <c r="D36" i="23"/>
  <c r="D28" i="23"/>
  <c r="D20" i="23"/>
  <c r="D12" i="23"/>
  <c r="D43" i="23"/>
  <c r="D35" i="23"/>
  <c r="D27" i="23"/>
  <c r="D19" i="23"/>
  <c r="D11" i="23"/>
  <c r="D42" i="23"/>
  <c r="D34" i="23"/>
  <c r="D26" i="23"/>
  <c r="D18" i="23"/>
  <c r="D10" i="23"/>
  <c r="D41" i="23"/>
  <c r="D33" i="23"/>
  <c r="D17" i="23"/>
  <c r="D9" i="23"/>
  <c r="D25" i="23"/>
  <c r="D40" i="23"/>
  <c r="D32" i="23"/>
  <c r="D24" i="23"/>
  <c r="D16" i="23"/>
  <c r="D8" i="23"/>
  <c r="D39" i="23"/>
  <c r="D31" i="23"/>
  <c r="D23" i="23"/>
  <c r="D15" i="23"/>
  <c r="D7" i="23"/>
  <c r="D38" i="23"/>
  <c r="D14" i="23"/>
  <c r="D6" i="23"/>
  <c r="D5" i="23"/>
  <c r="AK71" i="11" l="1"/>
  <c r="AH281" i="3" l="1"/>
  <c r="AH257" i="3"/>
  <c r="AH112" i="3"/>
  <c r="AH176" i="3"/>
  <c r="AH162" i="3"/>
  <c r="AH213" i="3"/>
  <c r="AH106" i="3"/>
  <c r="AH275" i="3"/>
  <c r="AH124" i="3"/>
  <c r="AH259" i="3" l="1"/>
  <c r="AH53" i="3"/>
  <c r="AH23" i="3"/>
  <c r="AH184" i="3"/>
  <c r="AH173" i="3"/>
  <c r="AH109" i="3"/>
  <c r="AH121" i="3"/>
  <c r="AH40" i="3"/>
  <c r="AH235" i="3"/>
  <c r="AH27" i="3"/>
  <c r="AH179" i="3"/>
  <c r="AH98" i="3"/>
  <c r="AH49" i="3"/>
  <c r="AH7" i="3"/>
  <c r="AH125" i="3"/>
  <c r="AH135" i="3"/>
  <c r="AH266" i="3"/>
  <c r="AH63" i="3"/>
  <c r="AH216" i="3"/>
  <c r="AH12" i="3"/>
  <c r="AH171" i="3"/>
  <c r="AH288" i="3"/>
  <c r="AH165" i="3"/>
  <c r="AH140" i="3"/>
  <c r="AH58" i="3"/>
  <c r="AH261" i="3"/>
  <c r="AH141" i="3"/>
  <c r="AH181" i="3"/>
  <c r="AH97" i="3"/>
  <c r="AH262" i="3"/>
  <c r="AH122" i="3"/>
  <c r="AH242" i="3"/>
  <c r="AH82" i="3"/>
  <c r="AH60" i="3"/>
  <c r="AH185" i="3"/>
  <c r="AH155" i="3"/>
  <c r="AH156" i="3"/>
  <c r="AH89" i="3"/>
  <c r="AH282" i="3"/>
  <c r="AH50" i="3"/>
  <c r="AH203" i="3"/>
  <c r="AH150" i="3"/>
  <c r="AH270" i="3"/>
  <c r="AH189" i="3"/>
  <c r="AH274" i="3"/>
  <c r="AH145" i="3"/>
  <c r="AH255" i="3"/>
  <c r="AH91" i="3"/>
  <c r="AH85" i="3"/>
  <c r="AH42" i="3"/>
  <c r="AH57" i="3"/>
  <c r="AH166" i="3"/>
  <c r="AH149" i="3"/>
  <c r="AH30" i="3"/>
  <c r="AH123" i="3"/>
  <c r="AH38" i="3"/>
  <c r="AH138" i="3"/>
  <c r="AH130" i="3"/>
  <c r="AH251" i="3"/>
  <c r="AH239" i="3"/>
  <c r="AH24" i="3"/>
  <c r="AH136" i="3"/>
  <c r="AH20" i="3"/>
  <c r="AH45" i="3"/>
  <c r="AH131" i="3"/>
  <c r="AH59" i="3"/>
  <c r="AH198" i="3"/>
  <c r="AH186" i="3"/>
  <c r="AH64" i="3"/>
  <c r="AH33" i="3"/>
  <c r="AH39" i="3"/>
  <c r="AH265" i="3"/>
  <c r="AH190" i="3"/>
  <c r="AH56" i="3"/>
  <c r="AH172" i="3"/>
  <c r="AH236" i="3"/>
  <c r="AH231" i="3"/>
  <c r="AH90" i="3"/>
  <c r="AH62" i="3"/>
  <c r="AH26" i="3"/>
  <c r="AH114" i="3"/>
  <c r="AH237" i="3"/>
  <c r="AH283" i="3"/>
  <c r="AH167" i="3"/>
  <c r="AH127" i="3"/>
  <c r="AH221" i="3"/>
  <c r="AH55" i="3"/>
  <c r="AH169" i="3"/>
  <c r="AH196" i="3"/>
  <c r="AH18" i="3"/>
  <c r="AH219" i="3"/>
  <c r="AH151" i="3"/>
  <c r="AH83" i="3"/>
  <c r="AH234" i="3"/>
  <c r="AH94" i="3"/>
  <c r="AH250" i="3"/>
  <c r="AH210" i="3"/>
  <c r="AH51" i="3"/>
  <c r="AH126" i="3"/>
  <c r="AH37" i="3"/>
  <c r="AH128" i="3"/>
  <c r="AH110" i="3"/>
  <c r="AH233" i="3"/>
  <c r="AH188" i="3"/>
  <c r="AH158" i="3"/>
  <c r="AH256" i="3"/>
  <c r="AH248" i="3"/>
  <c r="AH202" i="3"/>
  <c r="AH271" i="3"/>
  <c r="AH104" i="3"/>
  <c r="AH75" i="3"/>
  <c r="AH197" i="3"/>
  <c r="AH244" i="3"/>
  <c r="AH159" i="3"/>
  <c r="AH80" i="3"/>
  <c r="AH35" i="3"/>
  <c r="AH241" i="3"/>
  <c r="AH211" i="3"/>
  <c r="AH193" i="3"/>
  <c r="AH87" i="3"/>
  <c r="AH240" i="3"/>
  <c r="AH71" i="3"/>
  <c r="AH223" i="3"/>
  <c r="AH73" i="3"/>
  <c r="AH195" i="3"/>
  <c r="AH157" i="3"/>
  <c r="AH290" i="3"/>
  <c r="AH84" i="3"/>
  <c r="AH95" i="3"/>
  <c r="AH175" i="3"/>
  <c r="AH120" i="3"/>
  <c r="AH286" i="3"/>
  <c r="AH118" i="3"/>
  <c r="AH19" i="3"/>
  <c r="AH17" i="3"/>
  <c r="AH79" i="3"/>
  <c r="AH88" i="3"/>
  <c r="AH224" i="3"/>
  <c r="AH72" i="3"/>
  <c r="AH74" i="3"/>
  <c r="AH226" i="3"/>
  <c r="AH161" i="3"/>
  <c r="AH245" i="3"/>
  <c r="AH238" i="3"/>
  <c r="AH78" i="3"/>
  <c r="AH268" i="3"/>
  <c r="AH272" i="3"/>
  <c r="AH52" i="3"/>
  <c r="AH201" i="3"/>
  <c r="AH11" i="3"/>
  <c r="AH81" i="3"/>
  <c r="AH187" i="3"/>
  <c r="AH101" i="3"/>
  <c r="AH65" i="3"/>
  <c r="AH61" i="3"/>
  <c r="AH289" i="3"/>
  <c r="AH69" i="3"/>
  <c r="AH34" i="3"/>
  <c r="AH70" i="3"/>
  <c r="AH111" i="3"/>
  <c r="AH152" i="3"/>
  <c r="AH132" i="3"/>
  <c r="AH269" i="3"/>
  <c r="AH222" i="3"/>
  <c r="AH67" i="3"/>
  <c r="AH54" i="3"/>
  <c r="AH13" i="3"/>
  <c r="AH174" i="3"/>
  <c r="AH116" i="3"/>
  <c r="AH258" i="3"/>
  <c r="AH267" i="3"/>
  <c r="AH206" i="3"/>
  <c r="AH31" i="3"/>
  <c r="AH77" i="3"/>
  <c r="AH16" i="3"/>
  <c r="AH191" i="3"/>
  <c r="AH243" i="3"/>
  <c r="AH217" i="3"/>
  <c r="AH117" i="3"/>
  <c r="AH10" i="3"/>
  <c r="AH208" i="3"/>
  <c r="AH212" i="3"/>
  <c r="AH137" i="3"/>
  <c r="AH108" i="3"/>
  <c r="AH204" i="3"/>
  <c r="AH41" i="3"/>
  <c r="AH225" i="3"/>
  <c r="AH9" i="3"/>
  <c r="AH277" i="3"/>
  <c r="AH36" i="3"/>
  <c r="AH273" i="3"/>
  <c r="AH246" i="3"/>
  <c r="AH180" i="3"/>
  <c r="AH8" i="3"/>
  <c r="AH103" i="3"/>
  <c r="AH253" i="3"/>
  <c r="AH144" i="3"/>
  <c r="AH168" i="3"/>
  <c r="AH247" i="3"/>
  <c r="AH92" i="3"/>
  <c r="AH178" i="3"/>
  <c r="AH96" i="3"/>
  <c r="AH46" i="3"/>
  <c r="AH164" i="3"/>
  <c r="AH29" i="3"/>
  <c r="AH32" i="3"/>
  <c r="AH93" i="3"/>
  <c r="AH22" i="3"/>
  <c r="AH163" i="3"/>
  <c r="AH215" i="3"/>
  <c r="AH142" i="3"/>
  <c r="AH147" i="3"/>
  <c r="AH214" i="3"/>
  <c r="AH86" i="3"/>
  <c r="AH102" i="3"/>
  <c r="AH285" i="3"/>
  <c r="AH160" i="3"/>
  <c r="AH68" i="3"/>
  <c r="AH76" i="3"/>
  <c r="AH170" i="3"/>
  <c r="AH229" i="3"/>
  <c r="AH279" i="3"/>
  <c r="AH107" i="3"/>
  <c r="AH276" i="3"/>
  <c r="AH15" i="3"/>
  <c r="AH113" i="3"/>
  <c r="AH119" i="3"/>
  <c r="AH143" i="3"/>
  <c r="AH129" i="3"/>
  <c r="AH100" i="3"/>
  <c r="AH14" i="3"/>
  <c r="AH28" i="3"/>
  <c r="AH228" i="3"/>
  <c r="AH44" i="3"/>
  <c r="AH260" i="3"/>
  <c r="AH153" i="3"/>
  <c r="AH154" i="3"/>
  <c r="AH220" i="3"/>
  <c r="AH200" i="3"/>
  <c r="AH227" i="3"/>
  <c r="AH192" i="3"/>
  <c r="AH264" i="3"/>
  <c r="AH182" i="3"/>
  <c r="AH146" i="3"/>
  <c r="AH232" i="3"/>
  <c r="AH205" i="3"/>
  <c r="AH177" i="3"/>
  <c r="AH209" i="3"/>
  <c r="AH99" i="3"/>
  <c r="AH139" i="3"/>
  <c r="AH218" i="3"/>
  <c r="AH207" i="3"/>
  <c r="AH183" i="3"/>
  <c r="AH249" i="3"/>
  <c r="AH263" i="3"/>
  <c r="AH43" i="3"/>
  <c r="AH21" i="3"/>
  <c r="AH199" i="3"/>
  <c r="AH254" i="3"/>
  <c r="AH47" i="3"/>
  <c r="AH148" i="3"/>
  <c r="AH194" i="3"/>
  <c r="AH230" i="3"/>
  <c r="AH66" i="3"/>
  <c r="AH287" i="3"/>
  <c r="AH48" i="3"/>
  <c r="AH284" i="3"/>
  <c r="AH105" i="3"/>
  <c r="AH252" i="3"/>
  <c r="AH133" i="3"/>
  <c r="AH115" i="3"/>
  <c r="AH278" i="3"/>
  <c r="AH280" i="3"/>
  <c r="AH25" i="3"/>
  <c r="AH134" i="3"/>
  <c r="F4" i="20" l="1"/>
  <c r="BL6" i="3" s="1"/>
  <c r="F5" i="20"/>
  <c r="BL7" i="3" s="1"/>
  <c r="F6" i="20"/>
  <c r="BL8" i="3" s="1"/>
  <c r="F7" i="20"/>
  <c r="BL9" i="3" s="1"/>
  <c r="F8" i="20"/>
  <c r="BL10" i="3" s="1"/>
  <c r="F9" i="20"/>
  <c r="BL11" i="3" s="1"/>
  <c r="F10" i="20"/>
  <c r="BL12" i="3" s="1"/>
  <c r="F11" i="20"/>
  <c r="BL13" i="3" s="1"/>
  <c r="F12" i="20"/>
  <c r="BL14" i="3" s="1"/>
  <c r="F13" i="20"/>
  <c r="BL15" i="3" s="1"/>
  <c r="F14" i="20"/>
  <c r="BL16" i="3" s="1"/>
  <c r="F15" i="20"/>
  <c r="BL17" i="3" s="1"/>
  <c r="F16" i="20"/>
  <c r="BL18" i="3" s="1"/>
  <c r="F17" i="20"/>
  <c r="BL19" i="3" s="1"/>
  <c r="F18" i="20"/>
  <c r="BL20" i="3" s="1"/>
  <c r="F19" i="20"/>
  <c r="BL21" i="3" s="1"/>
  <c r="F20" i="20"/>
  <c r="BL22" i="3" s="1"/>
  <c r="F21" i="20"/>
  <c r="BL23" i="3" s="1"/>
  <c r="F22" i="20"/>
  <c r="BL24" i="3" s="1"/>
  <c r="F23" i="20"/>
  <c r="BL25" i="3" s="1"/>
  <c r="F24" i="20"/>
  <c r="BL26" i="3" s="1"/>
  <c r="F25" i="20"/>
  <c r="BL27" i="3" s="1"/>
  <c r="F26" i="20"/>
  <c r="BL28" i="3" s="1"/>
  <c r="F27" i="20"/>
  <c r="BL29" i="3" s="1"/>
  <c r="F28" i="20"/>
  <c r="BL30" i="3" s="1"/>
  <c r="F29" i="20"/>
  <c r="BL31" i="3" s="1"/>
  <c r="F30" i="20"/>
  <c r="BL32" i="3" s="1"/>
  <c r="F31" i="20"/>
  <c r="BL33" i="3" s="1"/>
  <c r="F32" i="20"/>
  <c r="BL34" i="3" s="1"/>
  <c r="F33" i="20"/>
  <c r="BL35" i="3" s="1"/>
  <c r="F34" i="20"/>
  <c r="BL36" i="3" s="1"/>
  <c r="F35" i="20"/>
  <c r="BL37" i="3" s="1"/>
  <c r="F36" i="20"/>
  <c r="BL38" i="3" s="1"/>
  <c r="F37" i="20"/>
  <c r="BL39" i="3" s="1"/>
  <c r="F38" i="20"/>
  <c r="BL40" i="3" s="1"/>
  <c r="F39" i="20"/>
  <c r="BL41" i="3" s="1"/>
  <c r="F40" i="20"/>
  <c r="BL42" i="3" s="1"/>
  <c r="F41" i="20"/>
  <c r="BL43" i="3" s="1"/>
  <c r="F42" i="20"/>
  <c r="BL44" i="3" s="1"/>
  <c r="F43" i="20"/>
  <c r="BL45" i="3" s="1"/>
  <c r="F44" i="20"/>
  <c r="BL46" i="3" s="1"/>
  <c r="F45" i="20"/>
  <c r="BL47" i="3" s="1"/>
  <c r="F46" i="20"/>
  <c r="BL48" i="3" s="1"/>
  <c r="F47" i="20"/>
  <c r="BL49" i="3" s="1"/>
  <c r="F48" i="20"/>
  <c r="BL50" i="3" s="1"/>
  <c r="F49" i="20"/>
  <c r="BL51" i="3" s="1"/>
  <c r="F50" i="20"/>
  <c r="BL52" i="3" s="1"/>
  <c r="F51" i="20"/>
  <c r="BL53" i="3" s="1"/>
  <c r="F52" i="20"/>
  <c r="BL54" i="3" s="1"/>
  <c r="F53" i="20"/>
  <c r="BL55" i="3" s="1"/>
  <c r="F54" i="20"/>
  <c r="BL56" i="3" s="1"/>
  <c r="F55" i="20"/>
  <c r="BL57" i="3" s="1"/>
  <c r="F56" i="20"/>
  <c r="BL58" i="3" s="1"/>
  <c r="F57" i="20"/>
  <c r="BL59" i="3" s="1"/>
  <c r="F58" i="20"/>
  <c r="BL60" i="3" s="1"/>
  <c r="F59" i="20"/>
  <c r="BL61" i="3" s="1"/>
  <c r="F60" i="20"/>
  <c r="BL62" i="3" s="1"/>
  <c r="F61" i="20"/>
  <c r="BL63" i="3" s="1"/>
  <c r="F62" i="20"/>
  <c r="BL64" i="3" s="1"/>
  <c r="F63" i="20"/>
  <c r="BL65" i="3" s="1"/>
  <c r="F64" i="20"/>
  <c r="BL66" i="3" s="1"/>
  <c r="F65" i="20"/>
  <c r="BL67" i="3" s="1"/>
  <c r="F66" i="20"/>
  <c r="BL68" i="3" s="1"/>
  <c r="F67" i="20"/>
  <c r="BL69" i="3" s="1"/>
  <c r="F68" i="20"/>
  <c r="BL70" i="3" s="1"/>
  <c r="F69" i="20"/>
  <c r="BL71" i="3" s="1"/>
  <c r="F70" i="20"/>
  <c r="BL72" i="3" s="1"/>
  <c r="F71" i="20"/>
  <c r="BL73" i="3" s="1"/>
  <c r="F72" i="20"/>
  <c r="BL74" i="3" s="1"/>
  <c r="F73" i="20"/>
  <c r="BL75" i="3" s="1"/>
  <c r="F74" i="20"/>
  <c r="BL76" i="3" s="1"/>
  <c r="F75" i="20"/>
  <c r="BL77" i="3" s="1"/>
  <c r="F76" i="20"/>
  <c r="BL78" i="3" s="1"/>
  <c r="F77" i="20"/>
  <c r="BL79" i="3" s="1"/>
  <c r="F78" i="20"/>
  <c r="BL80" i="3" s="1"/>
  <c r="F79" i="20"/>
  <c r="BL81" i="3" s="1"/>
  <c r="F80" i="20"/>
  <c r="BL82" i="3" s="1"/>
  <c r="F81" i="20"/>
  <c r="BL83" i="3" s="1"/>
  <c r="F82" i="20"/>
  <c r="BL84" i="3" s="1"/>
  <c r="F83" i="20"/>
  <c r="BL85" i="3" s="1"/>
  <c r="F84" i="20"/>
  <c r="BL86" i="3" s="1"/>
  <c r="F85" i="20"/>
  <c r="BL87" i="3" s="1"/>
  <c r="F86" i="20"/>
  <c r="BL88" i="3" s="1"/>
  <c r="F87" i="20"/>
  <c r="BL89" i="3" s="1"/>
  <c r="F88" i="20"/>
  <c r="BL90" i="3" s="1"/>
  <c r="F89" i="20"/>
  <c r="BL91" i="3" s="1"/>
  <c r="F90" i="20"/>
  <c r="BL92" i="3" s="1"/>
  <c r="F91" i="20"/>
  <c r="BL93" i="3" s="1"/>
  <c r="F92" i="20"/>
  <c r="BL94" i="3" s="1"/>
  <c r="F93" i="20"/>
  <c r="BL95" i="3" s="1"/>
  <c r="F94" i="20"/>
  <c r="BL96" i="3" s="1"/>
  <c r="F95" i="20"/>
  <c r="BL97" i="3" s="1"/>
  <c r="F96" i="20"/>
  <c r="BL98" i="3" s="1"/>
  <c r="F97" i="20"/>
  <c r="BL99" i="3" s="1"/>
  <c r="F98" i="20"/>
  <c r="BL100" i="3" s="1"/>
  <c r="F99" i="20"/>
  <c r="BL101" i="3" s="1"/>
  <c r="F100" i="20"/>
  <c r="BL102" i="3" s="1"/>
  <c r="F101" i="20"/>
  <c r="BL103" i="3" s="1"/>
  <c r="F102" i="20"/>
  <c r="BL104" i="3" s="1"/>
  <c r="F103" i="20"/>
  <c r="BL105" i="3" s="1"/>
  <c r="F104" i="20"/>
  <c r="BL106" i="3" s="1"/>
  <c r="F105" i="20"/>
  <c r="BL107" i="3" s="1"/>
  <c r="F106" i="20"/>
  <c r="BL108" i="3" s="1"/>
  <c r="F107" i="20"/>
  <c r="BL109" i="3" s="1"/>
  <c r="F108" i="20"/>
  <c r="BL110" i="3" s="1"/>
  <c r="F109" i="20"/>
  <c r="BL111" i="3" s="1"/>
  <c r="F110" i="20"/>
  <c r="BL112" i="3" s="1"/>
  <c r="F111" i="20"/>
  <c r="BL113" i="3" s="1"/>
  <c r="F112" i="20"/>
  <c r="BL114" i="3" s="1"/>
  <c r="F113" i="20"/>
  <c r="BL115" i="3" s="1"/>
  <c r="F114" i="20"/>
  <c r="BL116" i="3" s="1"/>
  <c r="F115" i="20"/>
  <c r="BL117" i="3" s="1"/>
  <c r="F116" i="20"/>
  <c r="BL118" i="3" s="1"/>
  <c r="F117" i="20"/>
  <c r="BL119" i="3" s="1"/>
  <c r="F118" i="20"/>
  <c r="BL120" i="3" s="1"/>
  <c r="F119" i="20"/>
  <c r="BL121" i="3" s="1"/>
  <c r="F120" i="20"/>
  <c r="BL122" i="3" s="1"/>
  <c r="F121" i="20"/>
  <c r="BL123" i="3" s="1"/>
  <c r="F122" i="20"/>
  <c r="BL124" i="3" s="1"/>
  <c r="F123" i="20"/>
  <c r="BL125" i="3" s="1"/>
  <c r="F124" i="20"/>
  <c r="BL126" i="3" s="1"/>
  <c r="F125" i="20"/>
  <c r="BL127" i="3" s="1"/>
  <c r="F126" i="20"/>
  <c r="BL128" i="3" s="1"/>
  <c r="F127" i="20"/>
  <c r="BL129" i="3" s="1"/>
  <c r="F128" i="20"/>
  <c r="BL130" i="3" s="1"/>
  <c r="F129" i="20"/>
  <c r="BL131" i="3" s="1"/>
  <c r="F130" i="20"/>
  <c r="BL132" i="3" s="1"/>
  <c r="F131" i="20"/>
  <c r="BL133" i="3" s="1"/>
  <c r="F132" i="20"/>
  <c r="BL134" i="3" s="1"/>
  <c r="F133" i="20"/>
  <c r="BL135" i="3" s="1"/>
  <c r="F134" i="20"/>
  <c r="BL136" i="3" s="1"/>
  <c r="F135" i="20"/>
  <c r="BL137" i="3" s="1"/>
  <c r="F136" i="20"/>
  <c r="BL138" i="3" s="1"/>
  <c r="F137" i="20"/>
  <c r="BL139" i="3" s="1"/>
  <c r="F138" i="20"/>
  <c r="BL140" i="3" s="1"/>
  <c r="F139" i="20"/>
  <c r="BL141" i="3" s="1"/>
  <c r="F140" i="20"/>
  <c r="BL142" i="3" s="1"/>
  <c r="F141" i="20"/>
  <c r="BL143" i="3" s="1"/>
  <c r="F142" i="20"/>
  <c r="BL144" i="3" s="1"/>
  <c r="F143" i="20"/>
  <c r="BL145" i="3" s="1"/>
  <c r="F144" i="20"/>
  <c r="BL146" i="3" s="1"/>
  <c r="F145" i="20"/>
  <c r="BL147" i="3" s="1"/>
  <c r="F146" i="20"/>
  <c r="BL148" i="3" s="1"/>
  <c r="F147" i="20"/>
  <c r="BL149" i="3" s="1"/>
  <c r="F148" i="20"/>
  <c r="BL150" i="3" s="1"/>
  <c r="F149" i="20"/>
  <c r="BL151" i="3" s="1"/>
  <c r="F150" i="20"/>
  <c r="BL152" i="3" s="1"/>
  <c r="F151" i="20"/>
  <c r="BL153" i="3" s="1"/>
  <c r="F152" i="20"/>
  <c r="BL154" i="3" s="1"/>
  <c r="F153" i="20"/>
  <c r="BL155" i="3" s="1"/>
  <c r="F154" i="20"/>
  <c r="BL156" i="3" s="1"/>
  <c r="F155" i="20"/>
  <c r="BL157" i="3" s="1"/>
  <c r="F156" i="20"/>
  <c r="BL158" i="3" s="1"/>
  <c r="F157" i="20"/>
  <c r="BL159" i="3" s="1"/>
  <c r="F158" i="20"/>
  <c r="BL160" i="3" s="1"/>
  <c r="F159" i="20"/>
  <c r="BL161" i="3" s="1"/>
  <c r="F160" i="20"/>
  <c r="BL162" i="3" s="1"/>
  <c r="F161" i="20"/>
  <c r="BL163" i="3" s="1"/>
  <c r="F162" i="20"/>
  <c r="BL164" i="3" s="1"/>
  <c r="F163" i="20"/>
  <c r="BL165" i="3" s="1"/>
  <c r="F164" i="20"/>
  <c r="BL166" i="3" s="1"/>
  <c r="F165" i="20"/>
  <c r="BL167" i="3" s="1"/>
  <c r="F166" i="20"/>
  <c r="BL168" i="3" s="1"/>
  <c r="F167" i="20"/>
  <c r="BL169" i="3" s="1"/>
  <c r="F168" i="20"/>
  <c r="BL170" i="3" s="1"/>
  <c r="F169" i="20"/>
  <c r="BL171" i="3" s="1"/>
  <c r="F170" i="20"/>
  <c r="BL172" i="3" s="1"/>
  <c r="F171" i="20"/>
  <c r="BL173" i="3" s="1"/>
  <c r="F172" i="20"/>
  <c r="BL174" i="3" s="1"/>
  <c r="F173" i="20"/>
  <c r="BL175" i="3" s="1"/>
  <c r="F174" i="20"/>
  <c r="BL176" i="3" s="1"/>
  <c r="F175" i="20"/>
  <c r="BL177" i="3" s="1"/>
  <c r="F176" i="20"/>
  <c r="BL178" i="3" s="1"/>
  <c r="F177" i="20"/>
  <c r="BL179" i="3" s="1"/>
  <c r="F178" i="20"/>
  <c r="BL180" i="3" s="1"/>
  <c r="F179" i="20"/>
  <c r="BL181" i="3" s="1"/>
  <c r="F180" i="20"/>
  <c r="BL182" i="3" s="1"/>
  <c r="F181" i="20"/>
  <c r="BL183" i="3" s="1"/>
  <c r="F182" i="20"/>
  <c r="BL184" i="3" s="1"/>
  <c r="F183" i="20"/>
  <c r="BL185" i="3" s="1"/>
  <c r="F184" i="20"/>
  <c r="BL186" i="3" s="1"/>
  <c r="F185" i="20"/>
  <c r="BL187" i="3" s="1"/>
  <c r="F186" i="20"/>
  <c r="BL188" i="3" s="1"/>
  <c r="F187" i="20"/>
  <c r="BL189" i="3" s="1"/>
  <c r="F188" i="20"/>
  <c r="BL190" i="3" s="1"/>
  <c r="F189" i="20"/>
  <c r="BL191" i="3" s="1"/>
  <c r="F190" i="20"/>
  <c r="BL192" i="3" s="1"/>
  <c r="F191" i="20"/>
  <c r="BL193" i="3" s="1"/>
  <c r="F192" i="20"/>
  <c r="BL194" i="3" s="1"/>
  <c r="F193" i="20"/>
  <c r="BL195" i="3" s="1"/>
  <c r="F194" i="20"/>
  <c r="BL196" i="3" s="1"/>
  <c r="F195" i="20"/>
  <c r="BL197" i="3" s="1"/>
  <c r="F196" i="20"/>
  <c r="BL198" i="3" s="1"/>
  <c r="F197" i="20"/>
  <c r="BL199" i="3" s="1"/>
  <c r="F198" i="20"/>
  <c r="BL200" i="3" s="1"/>
  <c r="F199" i="20"/>
  <c r="BL201" i="3" s="1"/>
  <c r="F200" i="20"/>
  <c r="BL202" i="3" s="1"/>
  <c r="F201" i="20"/>
  <c r="BL203" i="3" s="1"/>
  <c r="F202" i="20"/>
  <c r="BL204" i="3" s="1"/>
  <c r="F203" i="20"/>
  <c r="BL205" i="3" s="1"/>
  <c r="F204" i="20"/>
  <c r="BL206" i="3" s="1"/>
  <c r="F205" i="20"/>
  <c r="BL207" i="3" s="1"/>
  <c r="F206" i="20"/>
  <c r="BL208" i="3" s="1"/>
  <c r="F207" i="20"/>
  <c r="BL209" i="3" s="1"/>
  <c r="F208" i="20"/>
  <c r="BL210" i="3" s="1"/>
  <c r="F209" i="20"/>
  <c r="BL211" i="3" s="1"/>
  <c r="F210" i="20"/>
  <c r="BL212" i="3" s="1"/>
  <c r="F211" i="20"/>
  <c r="BL213" i="3" s="1"/>
  <c r="F212" i="20"/>
  <c r="BL214" i="3" s="1"/>
  <c r="F213" i="20"/>
  <c r="BL215" i="3" s="1"/>
  <c r="F214" i="20"/>
  <c r="BL216" i="3" s="1"/>
  <c r="F215" i="20"/>
  <c r="BL217" i="3" s="1"/>
  <c r="F216" i="20"/>
  <c r="BL218" i="3" s="1"/>
  <c r="F217" i="20"/>
  <c r="BL219" i="3" s="1"/>
  <c r="F218" i="20"/>
  <c r="BL220" i="3" s="1"/>
  <c r="F219" i="20"/>
  <c r="BL221" i="3" s="1"/>
  <c r="F220" i="20"/>
  <c r="BL222" i="3" s="1"/>
  <c r="F221" i="20"/>
  <c r="BL223" i="3" s="1"/>
  <c r="F222" i="20"/>
  <c r="BL224" i="3" s="1"/>
  <c r="F223" i="20"/>
  <c r="BL225" i="3" s="1"/>
  <c r="F224" i="20"/>
  <c r="BL226" i="3" s="1"/>
  <c r="F225" i="20"/>
  <c r="BL227" i="3" s="1"/>
  <c r="F226" i="20"/>
  <c r="BL228" i="3" s="1"/>
  <c r="F227" i="20"/>
  <c r="BL229" i="3" s="1"/>
  <c r="F228" i="20"/>
  <c r="BL230" i="3" s="1"/>
  <c r="F229" i="20"/>
  <c r="BL231" i="3" s="1"/>
  <c r="F230" i="20"/>
  <c r="BL232" i="3" s="1"/>
  <c r="F231" i="20"/>
  <c r="BL233" i="3" s="1"/>
  <c r="F232" i="20"/>
  <c r="BL234" i="3" s="1"/>
  <c r="F233" i="20"/>
  <c r="BL235" i="3" s="1"/>
  <c r="F234" i="20"/>
  <c r="BL236" i="3" s="1"/>
  <c r="F235" i="20"/>
  <c r="BL237" i="3" s="1"/>
  <c r="F236" i="20"/>
  <c r="BL238" i="3" s="1"/>
  <c r="F237" i="20"/>
  <c r="BL239" i="3" s="1"/>
  <c r="F238" i="20"/>
  <c r="BL240" i="3" s="1"/>
  <c r="F239" i="20"/>
  <c r="BL241" i="3" s="1"/>
  <c r="F240" i="20"/>
  <c r="BL242" i="3" s="1"/>
  <c r="F241" i="20"/>
  <c r="BL243" i="3" s="1"/>
  <c r="F242" i="20"/>
  <c r="BL244" i="3" s="1"/>
  <c r="F243" i="20"/>
  <c r="BL245" i="3" s="1"/>
  <c r="F244" i="20"/>
  <c r="BL246" i="3" s="1"/>
  <c r="F245" i="20"/>
  <c r="BL247" i="3" s="1"/>
  <c r="F246" i="20"/>
  <c r="BL248" i="3" s="1"/>
  <c r="F247" i="20"/>
  <c r="BL249" i="3" s="1"/>
  <c r="F248" i="20"/>
  <c r="BL250" i="3" s="1"/>
  <c r="F249" i="20"/>
  <c r="BL251" i="3" s="1"/>
  <c r="F250" i="20"/>
  <c r="BL252" i="3" s="1"/>
  <c r="F251" i="20"/>
  <c r="BL253" i="3" s="1"/>
  <c r="F252" i="20"/>
  <c r="BL254" i="3" s="1"/>
  <c r="F253" i="20"/>
  <c r="BL255" i="3" s="1"/>
  <c r="F254" i="20"/>
  <c r="BL256" i="3" s="1"/>
  <c r="F255" i="20"/>
  <c r="BL257" i="3" s="1"/>
  <c r="F256" i="20"/>
  <c r="BL258" i="3" s="1"/>
  <c r="F257" i="20"/>
  <c r="BL259" i="3" s="1"/>
  <c r="F258" i="20"/>
  <c r="BL260" i="3" s="1"/>
  <c r="F259" i="20"/>
  <c r="BL261" i="3" s="1"/>
  <c r="F260" i="20"/>
  <c r="BL262" i="3" s="1"/>
  <c r="F261" i="20"/>
  <c r="BL263" i="3" s="1"/>
  <c r="F262" i="20"/>
  <c r="BL264" i="3" s="1"/>
  <c r="F263" i="20"/>
  <c r="BL265" i="3" s="1"/>
  <c r="F264" i="20"/>
  <c r="BL266" i="3" s="1"/>
  <c r="F265" i="20"/>
  <c r="BL267" i="3" s="1"/>
  <c r="F266" i="20"/>
  <c r="BL268" i="3" s="1"/>
  <c r="F267" i="20"/>
  <c r="BL269" i="3" s="1"/>
  <c r="F268" i="20"/>
  <c r="BL270" i="3" s="1"/>
  <c r="F269" i="20"/>
  <c r="BL271" i="3" s="1"/>
  <c r="F270" i="20"/>
  <c r="BL272" i="3" s="1"/>
  <c r="F271" i="20"/>
  <c r="BL273" i="3" s="1"/>
  <c r="F272" i="20"/>
  <c r="BL274" i="3" s="1"/>
  <c r="F273" i="20"/>
  <c r="BL275" i="3" s="1"/>
  <c r="F274" i="20"/>
  <c r="BL276" i="3" s="1"/>
  <c r="F275" i="20"/>
  <c r="BL277" i="3" s="1"/>
  <c r="F276" i="20"/>
  <c r="BL278" i="3" s="1"/>
  <c r="F277" i="20"/>
  <c r="BL279" i="3" s="1"/>
  <c r="F278" i="20"/>
  <c r="BL280" i="3" s="1"/>
  <c r="F279" i="20"/>
  <c r="BL281" i="3" s="1"/>
  <c r="F280" i="20"/>
  <c r="BL282" i="3" s="1"/>
  <c r="F281" i="20"/>
  <c r="BL283" i="3" s="1"/>
  <c r="F282" i="20"/>
  <c r="BL284" i="3" s="1"/>
  <c r="F283" i="20"/>
  <c r="BL285" i="3" s="1"/>
  <c r="F284" i="20"/>
  <c r="BL286" i="3" s="1"/>
  <c r="F285" i="20"/>
  <c r="BL287" i="3" s="1"/>
  <c r="F286" i="20"/>
  <c r="BL288" i="3" s="1"/>
  <c r="F287" i="20"/>
  <c r="BL289" i="3" s="1"/>
  <c r="F288" i="20"/>
  <c r="BL290" i="3" s="1"/>
  <c r="F3" i="20"/>
  <c r="BL5" i="3" s="1"/>
  <c r="F2" i="20" l="1"/>
  <c r="BL4" i="3"/>
  <c r="AM5" i="11"/>
  <c r="W6" i="3" s="1"/>
  <c r="AM6" i="11"/>
  <c r="W7" i="3" s="1"/>
  <c r="AM7" i="11"/>
  <c r="W8" i="3" s="1"/>
  <c r="AM8" i="11"/>
  <c r="W9" i="3" s="1"/>
  <c r="AM9" i="11"/>
  <c r="W10" i="3" s="1"/>
  <c r="AM10" i="11"/>
  <c r="W11" i="3" s="1"/>
  <c r="AM11" i="11"/>
  <c r="W12" i="3" s="1"/>
  <c r="AM12" i="11"/>
  <c r="W13" i="3" s="1"/>
  <c r="AM13" i="11"/>
  <c r="W14" i="3" s="1"/>
  <c r="AM14" i="11"/>
  <c r="W15" i="3" s="1"/>
  <c r="AM15" i="11"/>
  <c r="W16" i="3" s="1"/>
  <c r="AM16" i="11"/>
  <c r="W17" i="3" s="1"/>
  <c r="AM17" i="11"/>
  <c r="W18" i="3" s="1"/>
  <c r="AM18" i="11"/>
  <c r="W19" i="3" s="1"/>
  <c r="AM19" i="11"/>
  <c r="W20" i="3" s="1"/>
  <c r="AM20" i="11"/>
  <c r="W21" i="3" s="1"/>
  <c r="AM21" i="11"/>
  <c r="W22" i="3" s="1"/>
  <c r="AM22" i="11"/>
  <c r="W23" i="3" s="1"/>
  <c r="AM23" i="11"/>
  <c r="W24" i="3" s="1"/>
  <c r="AM24" i="11"/>
  <c r="W25" i="3" s="1"/>
  <c r="AM25" i="11"/>
  <c r="W26" i="3" s="1"/>
  <c r="AM26" i="11"/>
  <c r="W27" i="3" s="1"/>
  <c r="AM27" i="11"/>
  <c r="W28" i="3" s="1"/>
  <c r="AM28" i="11"/>
  <c r="W29" i="3" s="1"/>
  <c r="AM29" i="11"/>
  <c r="W30" i="3" s="1"/>
  <c r="AM30" i="11"/>
  <c r="W31" i="3" s="1"/>
  <c r="AM31" i="11"/>
  <c r="W32" i="3" s="1"/>
  <c r="AM32" i="11"/>
  <c r="W33" i="3" s="1"/>
  <c r="AM33" i="11"/>
  <c r="W34" i="3" s="1"/>
  <c r="AM34" i="11"/>
  <c r="W35" i="3" s="1"/>
  <c r="AM35" i="11"/>
  <c r="W36" i="3" s="1"/>
  <c r="AM36" i="11"/>
  <c r="W37" i="3" s="1"/>
  <c r="AM37" i="11"/>
  <c r="W38" i="3" s="1"/>
  <c r="AM38" i="11"/>
  <c r="W39" i="3" s="1"/>
  <c r="AM39" i="11"/>
  <c r="W40" i="3" s="1"/>
  <c r="AM40" i="11"/>
  <c r="W41" i="3" s="1"/>
  <c r="AM41" i="11"/>
  <c r="W42" i="3" s="1"/>
  <c r="AM42" i="11"/>
  <c r="W43" i="3" s="1"/>
  <c r="AM43" i="11"/>
  <c r="W44" i="3" s="1"/>
  <c r="AM44" i="11"/>
  <c r="W45" i="3" s="1"/>
  <c r="AM45" i="11"/>
  <c r="W46" i="3" s="1"/>
  <c r="AM46" i="11"/>
  <c r="W47" i="3" s="1"/>
  <c r="AM47" i="11"/>
  <c r="W48" i="3" s="1"/>
  <c r="AM48" i="11"/>
  <c r="W49" i="3" s="1"/>
  <c r="AM49" i="11"/>
  <c r="W50" i="3" s="1"/>
  <c r="AM50" i="11"/>
  <c r="W51" i="3" s="1"/>
  <c r="AM51" i="11"/>
  <c r="W52" i="3" s="1"/>
  <c r="AM52" i="11"/>
  <c r="W53" i="3" s="1"/>
  <c r="AM53" i="11"/>
  <c r="W54" i="3" s="1"/>
  <c r="AM54" i="11"/>
  <c r="W55" i="3" s="1"/>
  <c r="AM55" i="11"/>
  <c r="W56" i="3" s="1"/>
  <c r="AM56" i="11"/>
  <c r="W57" i="3" s="1"/>
  <c r="AM57" i="11"/>
  <c r="W58" i="3" s="1"/>
  <c r="AM58" i="11"/>
  <c r="W59" i="3" s="1"/>
  <c r="AM59" i="11"/>
  <c r="W60" i="3" s="1"/>
  <c r="AM60" i="11"/>
  <c r="W61" i="3" s="1"/>
  <c r="AM61" i="11"/>
  <c r="W62" i="3" s="1"/>
  <c r="AM62" i="11"/>
  <c r="W63" i="3" s="1"/>
  <c r="AM63" i="11"/>
  <c r="W64" i="3" s="1"/>
  <c r="AM64" i="11"/>
  <c r="W65" i="3" s="1"/>
  <c r="AM65" i="11"/>
  <c r="W66" i="3" s="1"/>
  <c r="AM66" i="11"/>
  <c r="W67" i="3" s="1"/>
  <c r="AM67" i="11"/>
  <c r="W68" i="3" s="1"/>
  <c r="AM68" i="11"/>
  <c r="W69" i="3" s="1"/>
  <c r="AM69" i="11"/>
  <c r="W70" i="3" s="1"/>
  <c r="AM70" i="11"/>
  <c r="W71" i="3" s="1"/>
  <c r="AM71" i="11"/>
  <c r="W72" i="3" s="1"/>
  <c r="AM72" i="11"/>
  <c r="W73" i="3" s="1"/>
  <c r="AM73" i="11"/>
  <c r="W74" i="3" s="1"/>
  <c r="AM74" i="11"/>
  <c r="W75" i="3" s="1"/>
  <c r="AM75" i="11"/>
  <c r="W76" i="3" s="1"/>
  <c r="AM76" i="11"/>
  <c r="W77" i="3" s="1"/>
  <c r="AM77" i="11"/>
  <c r="W78" i="3" s="1"/>
  <c r="AM78" i="11"/>
  <c r="W79" i="3" s="1"/>
  <c r="AM79" i="11"/>
  <c r="W80" i="3" s="1"/>
  <c r="AM80" i="11"/>
  <c r="W81" i="3" s="1"/>
  <c r="AM81" i="11"/>
  <c r="W82" i="3" s="1"/>
  <c r="AM82" i="11"/>
  <c r="W83" i="3" s="1"/>
  <c r="AM83" i="11"/>
  <c r="W84" i="3" s="1"/>
  <c r="AM84" i="11"/>
  <c r="W85" i="3" s="1"/>
  <c r="AM85" i="11"/>
  <c r="W86" i="3" s="1"/>
  <c r="AM86" i="11"/>
  <c r="W87" i="3" s="1"/>
  <c r="AM87" i="11"/>
  <c r="W88" i="3" s="1"/>
  <c r="AM88" i="11"/>
  <c r="W89" i="3" s="1"/>
  <c r="AM89" i="11"/>
  <c r="W90" i="3" s="1"/>
  <c r="AM90" i="11"/>
  <c r="W91" i="3" s="1"/>
  <c r="AM91" i="11"/>
  <c r="W92" i="3" s="1"/>
  <c r="AM92" i="11"/>
  <c r="W93" i="3" s="1"/>
  <c r="AM93" i="11"/>
  <c r="W94" i="3" s="1"/>
  <c r="AM94" i="11"/>
  <c r="W95" i="3" s="1"/>
  <c r="AM95" i="11"/>
  <c r="W96" i="3" s="1"/>
  <c r="AM96" i="11"/>
  <c r="W97" i="3" s="1"/>
  <c r="AM97" i="11"/>
  <c r="W98" i="3" s="1"/>
  <c r="AM98" i="11"/>
  <c r="W99" i="3" s="1"/>
  <c r="AM99" i="11"/>
  <c r="W100" i="3" s="1"/>
  <c r="AM100" i="11"/>
  <c r="W101" i="3" s="1"/>
  <c r="AM101" i="11"/>
  <c r="W102" i="3" s="1"/>
  <c r="AM102" i="11"/>
  <c r="W103" i="3" s="1"/>
  <c r="AM103" i="11"/>
  <c r="W104" i="3" s="1"/>
  <c r="AM104" i="11"/>
  <c r="W105" i="3" s="1"/>
  <c r="AM105" i="11"/>
  <c r="W106" i="3" s="1"/>
  <c r="AM106" i="11"/>
  <c r="W107" i="3" s="1"/>
  <c r="AM107" i="11"/>
  <c r="W108" i="3" s="1"/>
  <c r="AM108" i="11"/>
  <c r="W109" i="3" s="1"/>
  <c r="AM109" i="11"/>
  <c r="W110" i="3" s="1"/>
  <c r="AM110" i="11"/>
  <c r="W111" i="3" s="1"/>
  <c r="AM111" i="11"/>
  <c r="W112" i="3" s="1"/>
  <c r="AM112" i="11"/>
  <c r="W113" i="3" s="1"/>
  <c r="AM113" i="11"/>
  <c r="W114" i="3" s="1"/>
  <c r="AM114" i="11"/>
  <c r="W115" i="3" s="1"/>
  <c r="AM115" i="11"/>
  <c r="W116" i="3" s="1"/>
  <c r="AM116" i="11"/>
  <c r="W117" i="3" s="1"/>
  <c r="AM117" i="11"/>
  <c r="W118" i="3" s="1"/>
  <c r="AM118" i="11"/>
  <c r="W119" i="3" s="1"/>
  <c r="AM119" i="11"/>
  <c r="W120" i="3" s="1"/>
  <c r="AM120" i="11"/>
  <c r="W121" i="3" s="1"/>
  <c r="AM121" i="11"/>
  <c r="W122" i="3" s="1"/>
  <c r="AM122" i="11"/>
  <c r="W123" i="3" s="1"/>
  <c r="AM123" i="11"/>
  <c r="W124" i="3" s="1"/>
  <c r="AM124" i="11"/>
  <c r="W125" i="3" s="1"/>
  <c r="AM125" i="11"/>
  <c r="W126" i="3" s="1"/>
  <c r="AM126" i="11"/>
  <c r="W127" i="3" s="1"/>
  <c r="AM127" i="11"/>
  <c r="W128" i="3" s="1"/>
  <c r="AM128" i="11"/>
  <c r="W129" i="3" s="1"/>
  <c r="AM129" i="11"/>
  <c r="W130" i="3" s="1"/>
  <c r="AM130" i="11"/>
  <c r="W131" i="3" s="1"/>
  <c r="AM131" i="11"/>
  <c r="W132" i="3" s="1"/>
  <c r="AM132" i="11"/>
  <c r="W133" i="3" s="1"/>
  <c r="AM133" i="11"/>
  <c r="W134" i="3" s="1"/>
  <c r="AM134" i="11"/>
  <c r="W135" i="3" s="1"/>
  <c r="AM135" i="11"/>
  <c r="W136" i="3" s="1"/>
  <c r="AM136" i="11"/>
  <c r="W137" i="3" s="1"/>
  <c r="AM137" i="11"/>
  <c r="W138" i="3" s="1"/>
  <c r="AM138" i="11"/>
  <c r="W139" i="3" s="1"/>
  <c r="AM139" i="11"/>
  <c r="W140" i="3" s="1"/>
  <c r="AM140" i="11"/>
  <c r="W141" i="3" s="1"/>
  <c r="AM141" i="11"/>
  <c r="W142" i="3" s="1"/>
  <c r="AM142" i="11"/>
  <c r="W143" i="3" s="1"/>
  <c r="AM143" i="11"/>
  <c r="W144" i="3" s="1"/>
  <c r="AM144" i="11"/>
  <c r="W145" i="3" s="1"/>
  <c r="AM145" i="11"/>
  <c r="W146" i="3" s="1"/>
  <c r="AM146" i="11"/>
  <c r="W147" i="3" s="1"/>
  <c r="AM147" i="11"/>
  <c r="W148" i="3" s="1"/>
  <c r="AM148" i="11"/>
  <c r="W149" i="3" s="1"/>
  <c r="AM149" i="11"/>
  <c r="W150" i="3" s="1"/>
  <c r="AM150" i="11"/>
  <c r="W151" i="3" s="1"/>
  <c r="AM151" i="11"/>
  <c r="W152" i="3" s="1"/>
  <c r="AM152" i="11"/>
  <c r="W153" i="3" s="1"/>
  <c r="AM153" i="11"/>
  <c r="W154" i="3" s="1"/>
  <c r="AM154" i="11"/>
  <c r="W155" i="3" s="1"/>
  <c r="AM155" i="11"/>
  <c r="W156" i="3" s="1"/>
  <c r="AM156" i="11"/>
  <c r="W157" i="3" s="1"/>
  <c r="AM157" i="11"/>
  <c r="W158" i="3" s="1"/>
  <c r="AM158" i="11"/>
  <c r="W159" i="3" s="1"/>
  <c r="AM159" i="11"/>
  <c r="W160" i="3" s="1"/>
  <c r="AM160" i="11"/>
  <c r="W161" i="3" s="1"/>
  <c r="AM161" i="11"/>
  <c r="W162" i="3" s="1"/>
  <c r="AM162" i="11"/>
  <c r="W163" i="3" s="1"/>
  <c r="AM163" i="11"/>
  <c r="W164" i="3" s="1"/>
  <c r="AM164" i="11"/>
  <c r="W165" i="3" s="1"/>
  <c r="AM165" i="11"/>
  <c r="W166" i="3" s="1"/>
  <c r="AM166" i="11"/>
  <c r="W167" i="3" s="1"/>
  <c r="AM167" i="11"/>
  <c r="W168" i="3" s="1"/>
  <c r="AM168" i="11"/>
  <c r="W169" i="3" s="1"/>
  <c r="AM169" i="11"/>
  <c r="W170" i="3" s="1"/>
  <c r="AM170" i="11"/>
  <c r="W171" i="3" s="1"/>
  <c r="AM171" i="11"/>
  <c r="W172" i="3" s="1"/>
  <c r="AM172" i="11"/>
  <c r="W173" i="3" s="1"/>
  <c r="AM173" i="11"/>
  <c r="W174" i="3" s="1"/>
  <c r="AM174" i="11"/>
  <c r="W175" i="3" s="1"/>
  <c r="AM175" i="11"/>
  <c r="W176" i="3" s="1"/>
  <c r="AM176" i="11"/>
  <c r="W177" i="3" s="1"/>
  <c r="AM177" i="11"/>
  <c r="W178" i="3" s="1"/>
  <c r="AM178" i="11"/>
  <c r="W179" i="3" s="1"/>
  <c r="AM179" i="11"/>
  <c r="W180" i="3" s="1"/>
  <c r="AM180" i="11"/>
  <c r="W181" i="3" s="1"/>
  <c r="AM181" i="11"/>
  <c r="W182" i="3" s="1"/>
  <c r="AM182" i="11"/>
  <c r="W183" i="3" s="1"/>
  <c r="AM183" i="11"/>
  <c r="W184" i="3" s="1"/>
  <c r="AM184" i="11"/>
  <c r="W185" i="3" s="1"/>
  <c r="AM185" i="11"/>
  <c r="W186" i="3" s="1"/>
  <c r="AM186" i="11"/>
  <c r="W187" i="3" s="1"/>
  <c r="AM187" i="11"/>
  <c r="W188" i="3" s="1"/>
  <c r="AM188" i="11"/>
  <c r="W189" i="3" s="1"/>
  <c r="AM189" i="11"/>
  <c r="W190" i="3" s="1"/>
  <c r="AM190" i="11"/>
  <c r="W191" i="3" s="1"/>
  <c r="AM191" i="11"/>
  <c r="W192" i="3" s="1"/>
  <c r="AM192" i="11"/>
  <c r="W193" i="3" s="1"/>
  <c r="AM193" i="11"/>
  <c r="W194" i="3" s="1"/>
  <c r="AM194" i="11"/>
  <c r="W195" i="3" s="1"/>
  <c r="AM195" i="11"/>
  <c r="W196" i="3" s="1"/>
  <c r="AM196" i="11"/>
  <c r="W197" i="3" s="1"/>
  <c r="AM197" i="11"/>
  <c r="W198" i="3" s="1"/>
  <c r="AM198" i="11"/>
  <c r="W199" i="3" s="1"/>
  <c r="AM199" i="11"/>
  <c r="W200" i="3" s="1"/>
  <c r="AM200" i="11"/>
  <c r="W201" i="3" s="1"/>
  <c r="AM201" i="11"/>
  <c r="W202" i="3" s="1"/>
  <c r="AM202" i="11"/>
  <c r="W203" i="3" s="1"/>
  <c r="AM203" i="11"/>
  <c r="W204" i="3" s="1"/>
  <c r="AM204" i="11"/>
  <c r="W205" i="3" s="1"/>
  <c r="AM205" i="11"/>
  <c r="W206" i="3" s="1"/>
  <c r="AM206" i="11"/>
  <c r="W207" i="3" s="1"/>
  <c r="AM207" i="11"/>
  <c r="W208" i="3" s="1"/>
  <c r="AM208" i="11"/>
  <c r="W209" i="3" s="1"/>
  <c r="AM209" i="11"/>
  <c r="W210" i="3" s="1"/>
  <c r="AM210" i="11"/>
  <c r="W211" i="3" s="1"/>
  <c r="AM211" i="11"/>
  <c r="W212" i="3" s="1"/>
  <c r="AM212" i="11"/>
  <c r="W213" i="3" s="1"/>
  <c r="AM213" i="11"/>
  <c r="W214" i="3" s="1"/>
  <c r="AM214" i="11"/>
  <c r="W215" i="3" s="1"/>
  <c r="AM215" i="11"/>
  <c r="W216" i="3" s="1"/>
  <c r="AM216" i="11"/>
  <c r="W217" i="3" s="1"/>
  <c r="AM217" i="11"/>
  <c r="W218" i="3" s="1"/>
  <c r="AM218" i="11"/>
  <c r="W219" i="3" s="1"/>
  <c r="AM219" i="11"/>
  <c r="W220" i="3" s="1"/>
  <c r="AM220" i="11"/>
  <c r="W221" i="3" s="1"/>
  <c r="AM221" i="11"/>
  <c r="W222" i="3" s="1"/>
  <c r="AM222" i="11"/>
  <c r="W223" i="3" s="1"/>
  <c r="AM223" i="11"/>
  <c r="W224" i="3" s="1"/>
  <c r="AM224" i="11"/>
  <c r="W225" i="3" s="1"/>
  <c r="AM225" i="11"/>
  <c r="W226" i="3" s="1"/>
  <c r="AM226" i="11"/>
  <c r="W227" i="3" s="1"/>
  <c r="AM227" i="11"/>
  <c r="W228" i="3" s="1"/>
  <c r="AM228" i="11"/>
  <c r="W229" i="3" s="1"/>
  <c r="AM229" i="11"/>
  <c r="W230" i="3" s="1"/>
  <c r="AM230" i="11"/>
  <c r="W231" i="3" s="1"/>
  <c r="AM231" i="11"/>
  <c r="W232" i="3" s="1"/>
  <c r="AM232" i="11"/>
  <c r="W233" i="3" s="1"/>
  <c r="AM233" i="11"/>
  <c r="W234" i="3" s="1"/>
  <c r="AM234" i="11"/>
  <c r="W235" i="3" s="1"/>
  <c r="AM235" i="11"/>
  <c r="W236" i="3" s="1"/>
  <c r="AM236" i="11"/>
  <c r="W237" i="3" s="1"/>
  <c r="AM237" i="11"/>
  <c r="W238" i="3" s="1"/>
  <c r="AM238" i="11"/>
  <c r="W239" i="3" s="1"/>
  <c r="AM239" i="11"/>
  <c r="W240" i="3" s="1"/>
  <c r="AM240" i="11"/>
  <c r="W241" i="3" s="1"/>
  <c r="AM241" i="11"/>
  <c r="W242" i="3" s="1"/>
  <c r="AM242" i="11"/>
  <c r="W243" i="3" s="1"/>
  <c r="AM243" i="11"/>
  <c r="W244" i="3" s="1"/>
  <c r="AM244" i="11"/>
  <c r="W245" i="3" s="1"/>
  <c r="AM245" i="11"/>
  <c r="W246" i="3" s="1"/>
  <c r="AM246" i="11"/>
  <c r="W247" i="3" s="1"/>
  <c r="AM247" i="11"/>
  <c r="W248" i="3" s="1"/>
  <c r="AM248" i="11"/>
  <c r="W249" i="3" s="1"/>
  <c r="AM249" i="11"/>
  <c r="W250" i="3" s="1"/>
  <c r="AM250" i="11"/>
  <c r="W251" i="3" s="1"/>
  <c r="AM251" i="11"/>
  <c r="W252" i="3" s="1"/>
  <c r="AM252" i="11"/>
  <c r="W253" i="3" s="1"/>
  <c r="AM253" i="11"/>
  <c r="W254" i="3" s="1"/>
  <c r="AM254" i="11"/>
  <c r="W255" i="3" s="1"/>
  <c r="AM255" i="11"/>
  <c r="W256" i="3" s="1"/>
  <c r="AM256" i="11"/>
  <c r="W257" i="3" s="1"/>
  <c r="AM257" i="11"/>
  <c r="W258" i="3" s="1"/>
  <c r="AM258" i="11"/>
  <c r="W259" i="3" s="1"/>
  <c r="AM259" i="11"/>
  <c r="W260" i="3" s="1"/>
  <c r="AM260" i="11"/>
  <c r="W261" i="3" s="1"/>
  <c r="AM261" i="11"/>
  <c r="W262" i="3" s="1"/>
  <c r="AM262" i="11"/>
  <c r="W263" i="3" s="1"/>
  <c r="AM263" i="11"/>
  <c r="W264" i="3" s="1"/>
  <c r="AM264" i="11"/>
  <c r="W265" i="3" s="1"/>
  <c r="AM265" i="11"/>
  <c r="W266" i="3" s="1"/>
  <c r="AM266" i="11"/>
  <c r="W267" i="3" s="1"/>
  <c r="AM267" i="11"/>
  <c r="W268" i="3" s="1"/>
  <c r="AM268" i="11"/>
  <c r="W269" i="3" s="1"/>
  <c r="AM269" i="11"/>
  <c r="W270" i="3" s="1"/>
  <c r="AM270" i="11"/>
  <c r="W271" i="3" s="1"/>
  <c r="AM271" i="11"/>
  <c r="W272" i="3" s="1"/>
  <c r="AM272" i="11"/>
  <c r="W273" i="3" s="1"/>
  <c r="AM273" i="11"/>
  <c r="W274" i="3" s="1"/>
  <c r="AM274" i="11"/>
  <c r="W275" i="3" s="1"/>
  <c r="AM275" i="11"/>
  <c r="W276" i="3" s="1"/>
  <c r="AM276" i="11"/>
  <c r="W277" i="3" s="1"/>
  <c r="AM277" i="11"/>
  <c r="W278" i="3" s="1"/>
  <c r="AM278" i="11"/>
  <c r="W279" i="3" s="1"/>
  <c r="AM279" i="11"/>
  <c r="W280" i="3" s="1"/>
  <c r="AM280" i="11"/>
  <c r="W281" i="3" s="1"/>
  <c r="AM281" i="11"/>
  <c r="W282" i="3" s="1"/>
  <c r="AM282" i="11"/>
  <c r="W283" i="3" s="1"/>
  <c r="AM283" i="11"/>
  <c r="W284" i="3" s="1"/>
  <c r="AM284" i="11"/>
  <c r="W285" i="3" s="1"/>
  <c r="AM285" i="11"/>
  <c r="W286" i="3" s="1"/>
  <c r="AM286" i="11"/>
  <c r="W287" i="3" s="1"/>
  <c r="AM287" i="11"/>
  <c r="W288" i="3" s="1"/>
  <c r="AM288" i="11"/>
  <c r="W289" i="3" s="1"/>
  <c r="AM289" i="11"/>
  <c r="W290" i="3" s="1"/>
  <c r="AM4" i="11"/>
  <c r="W5" i="3" s="1"/>
  <c r="AS289" i="11" l="1"/>
  <c r="AD290" i="3" s="1"/>
  <c r="AR289" i="11"/>
  <c r="AJ290" i="3" s="1"/>
  <c r="AQ289" i="11"/>
  <c r="AP289" i="11"/>
  <c r="AE290" i="3" s="1"/>
  <c r="AO289" i="11"/>
  <c r="AB290" i="3" s="1"/>
  <c r="AN289" i="11"/>
  <c r="Y290" i="3" s="1"/>
  <c r="AL289" i="11"/>
  <c r="T290" i="3" s="1"/>
  <c r="AK289" i="11"/>
  <c r="AU288" i="11"/>
  <c r="AS288" i="11"/>
  <c r="AD289" i="3" s="1"/>
  <c r="AR288" i="11"/>
  <c r="AJ289" i="3" s="1"/>
  <c r="AQ288" i="11"/>
  <c r="AP288" i="11"/>
  <c r="AE289" i="3" s="1"/>
  <c r="AO288" i="11"/>
  <c r="AB289" i="3" s="1"/>
  <c r="AN288" i="11"/>
  <c r="Y289" i="3" s="1"/>
  <c r="AL288" i="11"/>
  <c r="T289" i="3" s="1"/>
  <c r="AK288" i="11"/>
  <c r="AU287" i="11"/>
  <c r="AS287" i="11"/>
  <c r="AD288" i="3" s="1"/>
  <c r="AR287" i="11"/>
  <c r="AJ288" i="3" s="1"/>
  <c r="AQ287" i="11"/>
  <c r="AP287" i="11"/>
  <c r="AE288" i="3" s="1"/>
  <c r="AO287" i="11"/>
  <c r="AB288" i="3" s="1"/>
  <c r="AN287" i="11"/>
  <c r="Y288" i="3" s="1"/>
  <c r="AL287" i="11"/>
  <c r="T288" i="3" s="1"/>
  <c r="AK287" i="11"/>
  <c r="AS286" i="11"/>
  <c r="AD287" i="3" s="1"/>
  <c r="AR286" i="11"/>
  <c r="AJ287" i="3" s="1"/>
  <c r="AQ286" i="11"/>
  <c r="AP286" i="11"/>
  <c r="AE287" i="3" s="1"/>
  <c r="AO286" i="11"/>
  <c r="AB287" i="3" s="1"/>
  <c r="AN286" i="11"/>
  <c r="Y287" i="3" s="1"/>
  <c r="AL286" i="11"/>
  <c r="T287" i="3" s="1"/>
  <c r="AK286" i="11"/>
  <c r="AU285" i="11"/>
  <c r="AS285" i="11"/>
  <c r="AD286" i="3" s="1"/>
  <c r="AR285" i="11"/>
  <c r="AJ286" i="3" s="1"/>
  <c r="AQ285" i="11"/>
  <c r="AP285" i="11"/>
  <c r="AE286" i="3" s="1"/>
  <c r="AO285" i="11"/>
  <c r="AB286" i="3" s="1"/>
  <c r="AN285" i="11"/>
  <c r="Y286" i="3" s="1"/>
  <c r="AL285" i="11"/>
  <c r="T286" i="3" s="1"/>
  <c r="AK285" i="11"/>
  <c r="AS284" i="11"/>
  <c r="AD285" i="3" s="1"/>
  <c r="AR284" i="11"/>
  <c r="AJ285" i="3" s="1"/>
  <c r="AQ284" i="11"/>
  <c r="AP284" i="11"/>
  <c r="AE285" i="3" s="1"/>
  <c r="AO284" i="11"/>
  <c r="AB285" i="3" s="1"/>
  <c r="AN284" i="11"/>
  <c r="Y285" i="3" s="1"/>
  <c r="AL284" i="11"/>
  <c r="T285" i="3" s="1"/>
  <c r="AK284" i="11"/>
  <c r="AS283" i="11"/>
  <c r="AD284" i="3" s="1"/>
  <c r="AR283" i="11"/>
  <c r="AJ284" i="3" s="1"/>
  <c r="AQ283" i="11"/>
  <c r="AP283" i="11"/>
  <c r="AE284" i="3" s="1"/>
  <c r="AO283" i="11"/>
  <c r="AB284" i="3" s="1"/>
  <c r="AN283" i="11"/>
  <c r="Y284" i="3" s="1"/>
  <c r="AL283" i="11"/>
  <c r="T284" i="3" s="1"/>
  <c r="AK283" i="11"/>
  <c r="AS282" i="11"/>
  <c r="AD283" i="3" s="1"/>
  <c r="AR282" i="11"/>
  <c r="AJ283" i="3" s="1"/>
  <c r="AQ282" i="11"/>
  <c r="AP282" i="11"/>
  <c r="AE283" i="3" s="1"/>
  <c r="AO282" i="11"/>
  <c r="AB283" i="3" s="1"/>
  <c r="AN282" i="11"/>
  <c r="Y283" i="3" s="1"/>
  <c r="AL282" i="11"/>
  <c r="T283" i="3" s="1"/>
  <c r="AK282" i="11"/>
  <c r="AS281" i="11"/>
  <c r="AD282" i="3" s="1"/>
  <c r="AR281" i="11"/>
  <c r="AJ282" i="3" s="1"/>
  <c r="AQ281" i="11"/>
  <c r="AP281" i="11"/>
  <c r="AE282" i="3" s="1"/>
  <c r="AO281" i="11"/>
  <c r="AB282" i="3" s="1"/>
  <c r="AN281" i="11"/>
  <c r="Y282" i="3" s="1"/>
  <c r="AL281" i="11"/>
  <c r="T282" i="3" s="1"/>
  <c r="AK281" i="11"/>
  <c r="AU280" i="11"/>
  <c r="AS280" i="11"/>
  <c r="AD281" i="3" s="1"/>
  <c r="AR280" i="11"/>
  <c r="AJ281" i="3" s="1"/>
  <c r="AQ280" i="11"/>
  <c r="AP280" i="11"/>
  <c r="AE281" i="3" s="1"/>
  <c r="AO280" i="11"/>
  <c r="AB281" i="3" s="1"/>
  <c r="AN280" i="11"/>
  <c r="Y281" i="3" s="1"/>
  <c r="AL280" i="11"/>
  <c r="T281" i="3" s="1"/>
  <c r="AK280" i="11"/>
  <c r="AS279" i="11"/>
  <c r="AD280" i="3" s="1"/>
  <c r="AR279" i="11"/>
  <c r="AJ280" i="3" s="1"/>
  <c r="AQ279" i="11"/>
  <c r="AP279" i="11"/>
  <c r="AE280" i="3" s="1"/>
  <c r="AO279" i="11"/>
  <c r="AB280" i="3" s="1"/>
  <c r="AN279" i="11"/>
  <c r="Y280" i="3" s="1"/>
  <c r="AL279" i="11"/>
  <c r="T280" i="3" s="1"/>
  <c r="AK279" i="11"/>
  <c r="AS278" i="11"/>
  <c r="AD279" i="3" s="1"/>
  <c r="AR278" i="11"/>
  <c r="AJ279" i="3" s="1"/>
  <c r="AQ278" i="11"/>
  <c r="AP278" i="11"/>
  <c r="AE279" i="3" s="1"/>
  <c r="AO278" i="11"/>
  <c r="AB279" i="3" s="1"/>
  <c r="AN278" i="11"/>
  <c r="Y279" i="3" s="1"/>
  <c r="AL278" i="11"/>
  <c r="T279" i="3" s="1"/>
  <c r="AK278" i="11"/>
  <c r="AS277" i="11"/>
  <c r="AD278" i="3" s="1"/>
  <c r="AR277" i="11"/>
  <c r="AJ278" i="3" s="1"/>
  <c r="AQ277" i="11"/>
  <c r="AP277" i="11"/>
  <c r="AE278" i="3" s="1"/>
  <c r="AO277" i="11"/>
  <c r="AB278" i="3" s="1"/>
  <c r="AN277" i="11"/>
  <c r="Y278" i="3" s="1"/>
  <c r="AL277" i="11"/>
  <c r="T278" i="3" s="1"/>
  <c r="AK277" i="11"/>
  <c r="AU276" i="11"/>
  <c r="AS276" i="11"/>
  <c r="AD277" i="3" s="1"/>
  <c r="AR276" i="11"/>
  <c r="AJ277" i="3" s="1"/>
  <c r="AQ276" i="11"/>
  <c r="AP276" i="11"/>
  <c r="AE277" i="3" s="1"/>
  <c r="AO276" i="11"/>
  <c r="AB277" i="3" s="1"/>
  <c r="AN276" i="11"/>
  <c r="Y277" i="3" s="1"/>
  <c r="AL276" i="11"/>
  <c r="T277" i="3" s="1"/>
  <c r="AK276" i="11"/>
  <c r="AS275" i="11"/>
  <c r="AD276" i="3" s="1"/>
  <c r="AR275" i="11"/>
  <c r="AJ276" i="3" s="1"/>
  <c r="AQ275" i="11"/>
  <c r="AP275" i="11"/>
  <c r="AE276" i="3" s="1"/>
  <c r="AO275" i="11"/>
  <c r="AB276" i="3" s="1"/>
  <c r="AN275" i="11"/>
  <c r="Y276" i="3" s="1"/>
  <c r="AL275" i="11"/>
  <c r="T276" i="3" s="1"/>
  <c r="AK275" i="11"/>
  <c r="AU274" i="11"/>
  <c r="AS274" i="11"/>
  <c r="AD275" i="3" s="1"/>
  <c r="AR274" i="11"/>
  <c r="AJ275" i="3" s="1"/>
  <c r="AQ274" i="11"/>
  <c r="AP274" i="11"/>
  <c r="AE275" i="3" s="1"/>
  <c r="AO274" i="11"/>
  <c r="AB275" i="3" s="1"/>
  <c r="AN274" i="11"/>
  <c r="Y275" i="3" s="1"/>
  <c r="AL274" i="11"/>
  <c r="T275" i="3" s="1"/>
  <c r="AK274" i="11"/>
  <c r="AU273" i="11"/>
  <c r="AS273" i="11"/>
  <c r="AD274" i="3" s="1"/>
  <c r="AR273" i="11"/>
  <c r="AJ274" i="3" s="1"/>
  <c r="AQ273" i="11"/>
  <c r="AP273" i="11"/>
  <c r="AE274" i="3" s="1"/>
  <c r="AO273" i="11"/>
  <c r="AB274" i="3" s="1"/>
  <c r="AN273" i="11"/>
  <c r="Y274" i="3" s="1"/>
  <c r="AL273" i="11"/>
  <c r="T274" i="3" s="1"/>
  <c r="AK273" i="11"/>
  <c r="AU272" i="11"/>
  <c r="AS272" i="11"/>
  <c r="AD273" i="3" s="1"/>
  <c r="AR272" i="11"/>
  <c r="AJ273" i="3" s="1"/>
  <c r="AQ272" i="11"/>
  <c r="AP272" i="11"/>
  <c r="AE273" i="3" s="1"/>
  <c r="AO272" i="11"/>
  <c r="AB273" i="3" s="1"/>
  <c r="AN272" i="11"/>
  <c r="Y273" i="3" s="1"/>
  <c r="AL272" i="11"/>
  <c r="T273" i="3" s="1"/>
  <c r="AK272" i="11"/>
  <c r="AS271" i="11"/>
  <c r="AD272" i="3" s="1"/>
  <c r="AR271" i="11"/>
  <c r="AJ272" i="3" s="1"/>
  <c r="AQ271" i="11"/>
  <c r="AP271" i="11"/>
  <c r="AE272" i="3" s="1"/>
  <c r="AO271" i="11"/>
  <c r="AB272" i="3" s="1"/>
  <c r="AN271" i="11"/>
  <c r="Y272" i="3" s="1"/>
  <c r="AL271" i="11"/>
  <c r="T272" i="3" s="1"/>
  <c r="AK271" i="11"/>
  <c r="AU270" i="11"/>
  <c r="AS270" i="11"/>
  <c r="AD271" i="3" s="1"/>
  <c r="AR270" i="11"/>
  <c r="AJ271" i="3" s="1"/>
  <c r="AQ270" i="11"/>
  <c r="AP270" i="11"/>
  <c r="AE271" i="3" s="1"/>
  <c r="AO270" i="11"/>
  <c r="AB271" i="3" s="1"/>
  <c r="AN270" i="11"/>
  <c r="Y271" i="3" s="1"/>
  <c r="AL270" i="11"/>
  <c r="T271" i="3" s="1"/>
  <c r="AK270" i="11"/>
  <c r="AS269" i="11"/>
  <c r="AD270" i="3" s="1"/>
  <c r="AR269" i="11"/>
  <c r="AJ270" i="3" s="1"/>
  <c r="AQ269" i="11"/>
  <c r="AP269" i="11"/>
  <c r="AE270" i="3" s="1"/>
  <c r="AO269" i="11"/>
  <c r="AB270" i="3" s="1"/>
  <c r="AN269" i="11"/>
  <c r="Y270" i="3" s="1"/>
  <c r="AL269" i="11"/>
  <c r="T270" i="3" s="1"/>
  <c r="AK269" i="11"/>
  <c r="AS268" i="11"/>
  <c r="AD269" i="3" s="1"/>
  <c r="AR268" i="11"/>
  <c r="AJ269" i="3" s="1"/>
  <c r="AQ268" i="11"/>
  <c r="AP268" i="11"/>
  <c r="AE269" i="3" s="1"/>
  <c r="AO268" i="11"/>
  <c r="AB269" i="3" s="1"/>
  <c r="AN268" i="11"/>
  <c r="Y269" i="3" s="1"/>
  <c r="AL268" i="11"/>
  <c r="T269" i="3" s="1"/>
  <c r="AK268" i="11"/>
  <c r="AS267" i="11"/>
  <c r="AD268" i="3" s="1"/>
  <c r="AR267" i="11"/>
  <c r="AJ268" i="3" s="1"/>
  <c r="AQ267" i="11"/>
  <c r="AP267" i="11"/>
  <c r="AE268" i="3" s="1"/>
  <c r="AO267" i="11"/>
  <c r="AB268" i="3" s="1"/>
  <c r="AN267" i="11"/>
  <c r="Y268" i="3" s="1"/>
  <c r="AL267" i="11"/>
  <c r="T268" i="3" s="1"/>
  <c r="AK267" i="11"/>
  <c r="AS266" i="11"/>
  <c r="AD267" i="3" s="1"/>
  <c r="AR266" i="11"/>
  <c r="AJ267" i="3" s="1"/>
  <c r="AQ266" i="11"/>
  <c r="AP266" i="11"/>
  <c r="AE267" i="3" s="1"/>
  <c r="AO266" i="11"/>
  <c r="AB267" i="3" s="1"/>
  <c r="AN266" i="11"/>
  <c r="Y267" i="3" s="1"/>
  <c r="AL266" i="11"/>
  <c r="T267" i="3" s="1"/>
  <c r="AK266" i="11"/>
  <c r="AU265" i="11"/>
  <c r="AS265" i="11"/>
  <c r="AD266" i="3" s="1"/>
  <c r="AR265" i="11"/>
  <c r="AJ266" i="3" s="1"/>
  <c r="AQ265" i="11"/>
  <c r="AP265" i="11"/>
  <c r="AE266" i="3" s="1"/>
  <c r="AO265" i="11"/>
  <c r="AB266" i="3" s="1"/>
  <c r="AN265" i="11"/>
  <c r="Y266" i="3" s="1"/>
  <c r="AL265" i="11"/>
  <c r="T266" i="3" s="1"/>
  <c r="AK265" i="11"/>
  <c r="AS264" i="11"/>
  <c r="AD265" i="3" s="1"/>
  <c r="AR264" i="11"/>
  <c r="AJ265" i="3" s="1"/>
  <c r="AQ264" i="11"/>
  <c r="AP264" i="11"/>
  <c r="AE265" i="3" s="1"/>
  <c r="AO264" i="11"/>
  <c r="AB265" i="3" s="1"/>
  <c r="AN264" i="11"/>
  <c r="Y265" i="3" s="1"/>
  <c r="AL264" i="11"/>
  <c r="T265" i="3" s="1"/>
  <c r="AK264" i="11"/>
  <c r="AU263" i="11"/>
  <c r="AS263" i="11"/>
  <c r="AD264" i="3" s="1"/>
  <c r="AR263" i="11"/>
  <c r="AJ264" i="3" s="1"/>
  <c r="AQ263" i="11"/>
  <c r="AP263" i="11"/>
  <c r="AE264" i="3" s="1"/>
  <c r="AO263" i="11"/>
  <c r="AB264" i="3" s="1"/>
  <c r="AN263" i="11"/>
  <c r="Y264" i="3" s="1"/>
  <c r="AL263" i="11"/>
  <c r="T264" i="3" s="1"/>
  <c r="AK263" i="11"/>
  <c r="AS262" i="11"/>
  <c r="AD263" i="3" s="1"/>
  <c r="AQ262" i="11"/>
  <c r="AP262" i="11"/>
  <c r="AE263" i="3" s="1"/>
  <c r="AO262" i="11"/>
  <c r="AB263" i="3" s="1"/>
  <c r="AN262" i="11"/>
  <c r="Y263" i="3" s="1"/>
  <c r="AL262" i="11"/>
  <c r="T263" i="3" s="1"/>
  <c r="AK262" i="11"/>
  <c r="AS261" i="11"/>
  <c r="AD262" i="3" s="1"/>
  <c r="AR261" i="11"/>
  <c r="AJ262" i="3" s="1"/>
  <c r="AQ261" i="11"/>
  <c r="AP261" i="11"/>
  <c r="AE262" i="3" s="1"/>
  <c r="AO261" i="11"/>
  <c r="AB262" i="3" s="1"/>
  <c r="AN261" i="11"/>
  <c r="Y262" i="3" s="1"/>
  <c r="AL261" i="11"/>
  <c r="T262" i="3" s="1"/>
  <c r="AK261" i="11"/>
  <c r="AU260" i="11"/>
  <c r="AS260" i="11"/>
  <c r="AD261" i="3" s="1"/>
  <c r="AR260" i="11"/>
  <c r="AJ261" i="3" s="1"/>
  <c r="AQ260" i="11"/>
  <c r="AP260" i="11"/>
  <c r="AE261" i="3" s="1"/>
  <c r="AO260" i="11"/>
  <c r="AB261" i="3" s="1"/>
  <c r="AN260" i="11"/>
  <c r="Y261" i="3" s="1"/>
  <c r="AL260" i="11"/>
  <c r="T261" i="3" s="1"/>
  <c r="AK260" i="11"/>
  <c r="AU259" i="11"/>
  <c r="AS259" i="11"/>
  <c r="AD260" i="3" s="1"/>
  <c r="AR259" i="11"/>
  <c r="AJ260" i="3" s="1"/>
  <c r="AQ259" i="11"/>
  <c r="AP259" i="11"/>
  <c r="AE260" i="3" s="1"/>
  <c r="AO259" i="11"/>
  <c r="AB260" i="3" s="1"/>
  <c r="AN259" i="11"/>
  <c r="Y260" i="3" s="1"/>
  <c r="AL259" i="11"/>
  <c r="T260" i="3" s="1"/>
  <c r="AK259" i="11"/>
  <c r="AU258" i="11"/>
  <c r="AS258" i="11"/>
  <c r="AD259" i="3" s="1"/>
  <c r="AR258" i="11"/>
  <c r="AJ259" i="3" s="1"/>
  <c r="AQ258" i="11"/>
  <c r="AP258" i="11"/>
  <c r="AE259" i="3" s="1"/>
  <c r="AO258" i="11"/>
  <c r="AB259" i="3" s="1"/>
  <c r="AN258" i="11"/>
  <c r="Y259" i="3" s="1"/>
  <c r="AL258" i="11"/>
  <c r="T259" i="3" s="1"/>
  <c r="AK258" i="11"/>
  <c r="AS257" i="11"/>
  <c r="AD258" i="3" s="1"/>
  <c r="AR257" i="11"/>
  <c r="AJ258" i="3" s="1"/>
  <c r="AQ257" i="11"/>
  <c r="AP257" i="11"/>
  <c r="AE258" i="3" s="1"/>
  <c r="AO257" i="11"/>
  <c r="AB258" i="3" s="1"/>
  <c r="AN257" i="11"/>
  <c r="Y258" i="3" s="1"/>
  <c r="AL257" i="11"/>
  <c r="AK257" i="11"/>
  <c r="AU256" i="11"/>
  <c r="AS256" i="11"/>
  <c r="AD257" i="3" s="1"/>
  <c r="AR256" i="11"/>
  <c r="AJ257" i="3" s="1"/>
  <c r="AQ256" i="11"/>
  <c r="AP256" i="11"/>
  <c r="AE257" i="3" s="1"/>
  <c r="AO256" i="11"/>
  <c r="AB257" i="3" s="1"/>
  <c r="AN256" i="11"/>
  <c r="Y257" i="3" s="1"/>
  <c r="AL256" i="11"/>
  <c r="T257" i="3" s="1"/>
  <c r="AK256" i="11"/>
  <c r="AS255" i="11"/>
  <c r="AD256" i="3" s="1"/>
  <c r="AR255" i="11"/>
  <c r="AJ256" i="3" s="1"/>
  <c r="AQ255" i="11"/>
  <c r="AP255" i="11"/>
  <c r="AE256" i="3" s="1"/>
  <c r="AO255" i="11"/>
  <c r="AB256" i="3" s="1"/>
  <c r="AN255" i="11"/>
  <c r="Y256" i="3" s="1"/>
  <c r="AL255" i="11"/>
  <c r="T256" i="3" s="1"/>
  <c r="AK255" i="11"/>
  <c r="AU254" i="11"/>
  <c r="AS254" i="11"/>
  <c r="AD255" i="3" s="1"/>
  <c r="AR254" i="11"/>
  <c r="AJ255" i="3" s="1"/>
  <c r="AQ254" i="11"/>
  <c r="AP254" i="11"/>
  <c r="AE255" i="3" s="1"/>
  <c r="AO254" i="11"/>
  <c r="AB255" i="3" s="1"/>
  <c r="AN254" i="11"/>
  <c r="Y255" i="3" s="1"/>
  <c r="AL254" i="11"/>
  <c r="T255" i="3" s="1"/>
  <c r="AK254" i="11"/>
  <c r="AS253" i="11"/>
  <c r="AD254" i="3" s="1"/>
  <c r="AR253" i="11"/>
  <c r="AJ254" i="3" s="1"/>
  <c r="AQ253" i="11"/>
  <c r="AP253" i="11"/>
  <c r="AE254" i="3" s="1"/>
  <c r="AO253" i="11"/>
  <c r="AB254" i="3" s="1"/>
  <c r="AN253" i="11"/>
  <c r="Y254" i="3" s="1"/>
  <c r="AL253" i="11"/>
  <c r="T254" i="3" s="1"/>
  <c r="AK253" i="11"/>
  <c r="AS252" i="11"/>
  <c r="AD253" i="3" s="1"/>
  <c r="AR252" i="11"/>
  <c r="AJ253" i="3" s="1"/>
  <c r="AQ252" i="11"/>
  <c r="AP252" i="11"/>
  <c r="AE253" i="3" s="1"/>
  <c r="AO252" i="11"/>
  <c r="AB253" i="3" s="1"/>
  <c r="AN252" i="11"/>
  <c r="Y253" i="3" s="1"/>
  <c r="AL252" i="11"/>
  <c r="T253" i="3" s="1"/>
  <c r="AK252" i="11"/>
  <c r="AU251" i="11"/>
  <c r="AS251" i="11"/>
  <c r="AD252" i="3" s="1"/>
  <c r="AR251" i="11"/>
  <c r="AJ252" i="3" s="1"/>
  <c r="AQ251" i="11"/>
  <c r="AP251" i="11"/>
  <c r="AE252" i="3" s="1"/>
  <c r="AO251" i="11"/>
  <c r="AB252" i="3" s="1"/>
  <c r="AN251" i="11"/>
  <c r="Y252" i="3" s="1"/>
  <c r="AL251" i="11"/>
  <c r="T252" i="3" s="1"/>
  <c r="AK251" i="11"/>
  <c r="AU250" i="11"/>
  <c r="AS250" i="11"/>
  <c r="AD251" i="3" s="1"/>
  <c r="AR250" i="11"/>
  <c r="AJ251" i="3" s="1"/>
  <c r="AQ250" i="11"/>
  <c r="AP250" i="11"/>
  <c r="AE251" i="3" s="1"/>
  <c r="AO250" i="11"/>
  <c r="AB251" i="3" s="1"/>
  <c r="AN250" i="11"/>
  <c r="Y251" i="3" s="1"/>
  <c r="AL250" i="11"/>
  <c r="T251" i="3" s="1"/>
  <c r="AK250" i="11"/>
  <c r="AU249" i="11"/>
  <c r="AS249" i="11"/>
  <c r="AD250" i="3" s="1"/>
  <c r="AR249" i="11"/>
  <c r="AJ250" i="3" s="1"/>
  <c r="AQ249" i="11"/>
  <c r="AP249" i="11"/>
  <c r="AE250" i="3" s="1"/>
  <c r="AO249" i="11"/>
  <c r="AB250" i="3" s="1"/>
  <c r="AN249" i="11"/>
  <c r="Y250" i="3" s="1"/>
  <c r="AL249" i="11"/>
  <c r="T250" i="3" s="1"/>
  <c r="AK249" i="11"/>
  <c r="AS248" i="11"/>
  <c r="AD249" i="3" s="1"/>
  <c r="AR248" i="11"/>
  <c r="AJ249" i="3" s="1"/>
  <c r="AQ248" i="11"/>
  <c r="AP248" i="11"/>
  <c r="AE249" i="3" s="1"/>
  <c r="AO248" i="11"/>
  <c r="AB249" i="3" s="1"/>
  <c r="AN248" i="11"/>
  <c r="Y249" i="3" s="1"/>
  <c r="AL248" i="11"/>
  <c r="T249" i="3" s="1"/>
  <c r="AK248" i="11"/>
  <c r="AS247" i="11"/>
  <c r="AD248" i="3" s="1"/>
  <c r="AR247" i="11"/>
  <c r="AJ248" i="3" s="1"/>
  <c r="AQ247" i="11"/>
  <c r="AP247" i="11"/>
  <c r="AE248" i="3" s="1"/>
  <c r="AO247" i="11"/>
  <c r="AB248" i="3" s="1"/>
  <c r="AN247" i="11"/>
  <c r="Y248" i="3" s="1"/>
  <c r="AL247" i="11"/>
  <c r="T248" i="3" s="1"/>
  <c r="AK247" i="11"/>
  <c r="AU246" i="11"/>
  <c r="AS246" i="11"/>
  <c r="AD247" i="3" s="1"/>
  <c r="AR246" i="11"/>
  <c r="AJ247" i="3" s="1"/>
  <c r="AQ246" i="11"/>
  <c r="AP246" i="11"/>
  <c r="AE247" i="3" s="1"/>
  <c r="AO246" i="11"/>
  <c r="AB247" i="3" s="1"/>
  <c r="AN246" i="11"/>
  <c r="Y247" i="3" s="1"/>
  <c r="AL246" i="11"/>
  <c r="T247" i="3" s="1"/>
  <c r="AK246" i="11"/>
  <c r="AU245" i="11"/>
  <c r="AS245" i="11"/>
  <c r="AD246" i="3" s="1"/>
  <c r="AR245" i="11"/>
  <c r="AJ246" i="3" s="1"/>
  <c r="AQ245" i="11"/>
  <c r="AP245" i="11"/>
  <c r="AE246" i="3" s="1"/>
  <c r="AO245" i="11"/>
  <c r="AB246" i="3" s="1"/>
  <c r="AN245" i="11"/>
  <c r="Y246" i="3" s="1"/>
  <c r="AL245" i="11"/>
  <c r="T246" i="3" s="1"/>
  <c r="AK245" i="11"/>
  <c r="AS244" i="11"/>
  <c r="AD245" i="3" s="1"/>
  <c r="AR244" i="11"/>
  <c r="AJ245" i="3" s="1"/>
  <c r="AQ244" i="11"/>
  <c r="AP244" i="11"/>
  <c r="AE245" i="3" s="1"/>
  <c r="AO244" i="11"/>
  <c r="AB245" i="3" s="1"/>
  <c r="AN244" i="11"/>
  <c r="Y245" i="3" s="1"/>
  <c r="AL244" i="11"/>
  <c r="T245" i="3" s="1"/>
  <c r="AK244" i="11"/>
  <c r="AU243" i="11"/>
  <c r="AS243" i="11"/>
  <c r="AD244" i="3" s="1"/>
  <c r="AR243" i="11"/>
  <c r="AJ244" i="3" s="1"/>
  <c r="AQ243" i="11"/>
  <c r="AP243" i="11"/>
  <c r="AE244" i="3" s="1"/>
  <c r="AO243" i="11"/>
  <c r="AB244" i="3" s="1"/>
  <c r="AN243" i="11"/>
  <c r="Y244" i="3" s="1"/>
  <c r="AL243" i="11"/>
  <c r="T244" i="3" s="1"/>
  <c r="AK243" i="11"/>
  <c r="AS242" i="11"/>
  <c r="AD243" i="3" s="1"/>
  <c r="AR242" i="11"/>
  <c r="AJ243" i="3" s="1"/>
  <c r="AQ242" i="11"/>
  <c r="AP242" i="11"/>
  <c r="AE243" i="3" s="1"/>
  <c r="AO242" i="11"/>
  <c r="AB243" i="3" s="1"/>
  <c r="AN242" i="11"/>
  <c r="Y243" i="3" s="1"/>
  <c r="AL242" i="11"/>
  <c r="T243" i="3" s="1"/>
  <c r="AK242" i="11"/>
  <c r="AS241" i="11"/>
  <c r="AD242" i="3" s="1"/>
  <c r="AR241" i="11"/>
  <c r="AJ242" i="3" s="1"/>
  <c r="AQ241" i="11"/>
  <c r="AP241" i="11"/>
  <c r="AE242" i="3" s="1"/>
  <c r="AO241" i="11"/>
  <c r="AB242" i="3" s="1"/>
  <c r="AN241" i="11"/>
  <c r="Y242" i="3" s="1"/>
  <c r="AL241" i="11"/>
  <c r="T242" i="3" s="1"/>
  <c r="AK241" i="11"/>
  <c r="AS240" i="11"/>
  <c r="AD241" i="3" s="1"/>
  <c r="AR240" i="11"/>
  <c r="AJ241" i="3" s="1"/>
  <c r="AQ240" i="11"/>
  <c r="AP240" i="11"/>
  <c r="AE241" i="3" s="1"/>
  <c r="AO240" i="11"/>
  <c r="AB241" i="3" s="1"/>
  <c r="AN240" i="11"/>
  <c r="Y241" i="3" s="1"/>
  <c r="AL240" i="11"/>
  <c r="T241" i="3" s="1"/>
  <c r="AK240" i="11"/>
  <c r="AU239" i="11"/>
  <c r="AS239" i="11"/>
  <c r="AD240" i="3" s="1"/>
  <c r="AR239" i="11"/>
  <c r="AJ240" i="3" s="1"/>
  <c r="AQ239" i="11"/>
  <c r="AP239" i="11"/>
  <c r="AE240" i="3" s="1"/>
  <c r="AO239" i="11"/>
  <c r="AB240" i="3" s="1"/>
  <c r="AN239" i="11"/>
  <c r="Y240" i="3" s="1"/>
  <c r="AL239" i="11"/>
  <c r="T240" i="3" s="1"/>
  <c r="AK239" i="11"/>
  <c r="AU238" i="11"/>
  <c r="AS238" i="11"/>
  <c r="AD239" i="3" s="1"/>
  <c r="AR238" i="11"/>
  <c r="AJ239" i="3" s="1"/>
  <c r="AQ238" i="11"/>
  <c r="AP238" i="11"/>
  <c r="AE239" i="3" s="1"/>
  <c r="AO238" i="11"/>
  <c r="AB239" i="3" s="1"/>
  <c r="AN238" i="11"/>
  <c r="Y239" i="3" s="1"/>
  <c r="AL238" i="11"/>
  <c r="T239" i="3" s="1"/>
  <c r="AK238" i="11"/>
  <c r="AS237" i="11"/>
  <c r="AD238" i="3" s="1"/>
  <c r="AR237" i="11"/>
  <c r="AJ238" i="3" s="1"/>
  <c r="AQ237" i="11"/>
  <c r="AP237" i="11"/>
  <c r="AE238" i="3" s="1"/>
  <c r="AO237" i="11"/>
  <c r="AB238" i="3" s="1"/>
  <c r="AN237" i="11"/>
  <c r="Y238" i="3" s="1"/>
  <c r="AL237" i="11"/>
  <c r="T238" i="3" s="1"/>
  <c r="AK237" i="11"/>
  <c r="AS236" i="11"/>
  <c r="AD237" i="3" s="1"/>
  <c r="AR236" i="11"/>
  <c r="AJ237" i="3" s="1"/>
  <c r="AQ236" i="11"/>
  <c r="AP236" i="11"/>
  <c r="AE237" i="3" s="1"/>
  <c r="AO236" i="11"/>
  <c r="AB237" i="3" s="1"/>
  <c r="AN236" i="11"/>
  <c r="Y237" i="3" s="1"/>
  <c r="AL236" i="11"/>
  <c r="T237" i="3" s="1"/>
  <c r="AK236" i="11"/>
  <c r="AS235" i="11"/>
  <c r="AD236" i="3" s="1"/>
  <c r="AR235" i="11"/>
  <c r="AJ236" i="3" s="1"/>
  <c r="AQ235" i="11"/>
  <c r="AP235" i="11"/>
  <c r="AE236" i="3" s="1"/>
  <c r="AO235" i="11"/>
  <c r="AB236" i="3" s="1"/>
  <c r="AN235" i="11"/>
  <c r="Y236" i="3" s="1"/>
  <c r="AL235" i="11"/>
  <c r="T236" i="3" s="1"/>
  <c r="AK235" i="11"/>
  <c r="AS234" i="11"/>
  <c r="AD235" i="3" s="1"/>
  <c r="AR234" i="11"/>
  <c r="AJ235" i="3" s="1"/>
  <c r="AQ234" i="11"/>
  <c r="AP234" i="11"/>
  <c r="AE235" i="3" s="1"/>
  <c r="AO234" i="11"/>
  <c r="AB235" i="3" s="1"/>
  <c r="AN234" i="11"/>
  <c r="Y235" i="3" s="1"/>
  <c r="AL234" i="11"/>
  <c r="T235" i="3" s="1"/>
  <c r="AK234" i="11"/>
  <c r="AS233" i="11"/>
  <c r="AD234" i="3" s="1"/>
  <c r="AR233" i="11"/>
  <c r="AJ234" i="3" s="1"/>
  <c r="AQ233" i="11"/>
  <c r="AP233" i="11"/>
  <c r="AE234" i="3" s="1"/>
  <c r="AO233" i="11"/>
  <c r="AB234" i="3" s="1"/>
  <c r="AN233" i="11"/>
  <c r="Y234" i="3" s="1"/>
  <c r="AL233" i="11"/>
  <c r="T234" i="3" s="1"/>
  <c r="AK233" i="11"/>
  <c r="AS232" i="11"/>
  <c r="AD233" i="3" s="1"/>
  <c r="AR232" i="11"/>
  <c r="AJ233" i="3" s="1"/>
  <c r="AQ232" i="11"/>
  <c r="AP232" i="11"/>
  <c r="AE233" i="3" s="1"/>
  <c r="AO232" i="11"/>
  <c r="AB233" i="3" s="1"/>
  <c r="AN232" i="11"/>
  <c r="Y233" i="3" s="1"/>
  <c r="AL232" i="11"/>
  <c r="T233" i="3" s="1"/>
  <c r="AK232" i="11"/>
  <c r="AS231" i="11"/>
  <c r="AD232" i="3" s="1"/>
  <c r="AR231" i="11"/>
  <c r="AJ232" i="3" s="1"/>
  <c r="AQ231" i="11"/>
  <c r="AP231" i="11"/>
  <c r="AE232" i="3" s="1"/>
  <c r="AO231" i="11"/>
  <c r="AB232" i="3" s="1"/>
  <c r="AN231" i="11"/>
  <c r="Y232" i="3" s="1"/>
  <c r="AL231" i="11"/>
  <c r="T232" i="3" s="1"/>
  <c r="AK231" i="11"/>
  <c r="AS230" i="11"/>
  <c r="AR230" i="11"/>
  <c r="AJ231" i="3" s="1"/>
  <c r="AQ230" i="11"/>
  <c r="AP230" i="11"/>
  <c r="AE231" i="3" s="1"/>
  <c r="AO230" i="11"/>
  <c r="AB231" i="3" s="1"/>
  <c r="AN230" i="11"/>
  <c r="Y231" i="3" s="1"/>
  <c r="AL230" i="11"/>
  <c r="T231" i="3" s="1"/>
  <c r="AK230" i="11"/>
  <c r="AS229" i="11"/>
  <c r="AD230" i="3" s="1"/>
  <c r="AR229" i="11"/>
  <c r="AJ230" i="3" s="1"/>
  <c r="AQ229" i="11"/>
  <c r="AP229" i="11"/>
  <c r="AE230" i="3" s="1"/>
  <c r="AO229" i="11"/>
  <c r="AB230" i="3" s="1"/>
  <c r="AN229" i="11"/>
  <c r="Y230" i="3" s="1"/>
  <c r="AL229" i="11"/>
  <c r="T230" i="3" s="1"/>
  <c r="AK229" i="11"/>
  <c r="AS228" i="11"/>
  <c r="AD229" i="3" s="1"/>
  <c r="AR228" i="11"/>
  <c r="AJ229" i="3" s="1"/>
  <c r="AQ228" i="11"/>
  <c r="AP228" i="11"/>
  <c r="AE229" i="3" s="1"/>
  <c r="AO228" i="11"/>
  <c r="AB229" i="3" s="1"/>
  <c r="AN228" i="11"/>
  <c r="Y229" i="3" s="1"/>
  <c r="AL228" i="11"/>
  <c r="T229" i="3" s="1"/>
  <c r="AK228" i="11"/>
  <c r="AS227" i="11"/>
  <c r="AD228" i="3" s="1"/>
  <c r="AR227" i="11"/>
  <c r="AJ228" i="3" s="1"/>
  <c r="AQ227" i="11"/>
  <c r="AP227" i="11"/>
  <c r="AE228" i="3" s="1"/>
  <c r="AO227" i="11"/>
  <c r="AB228" i="3" s="1"/>
  <c r="AN227" i="11"/>
  <c r="Y228" i="3" s="1"/>
  <c r="AL227" i="11"/>
  <c r="T228" i="3" s="1"/>
  <c r="AK227" i="11"/>
  <c r="AS226" i="11"/>
  <c r="AD227" i="3" s="1"/>
  <c r="AR226" i="11"/>
  <c r="AJ227" i="3" s="1"/>
  <c r="AQ226" i="11"/>
  <c r="AP226" i="11"/>
  <c r="AE227" i="3" s="1"/>
  <c r="AO226" i="11"/>
  <c r="AB227" i="3" s="1"/>
  <c r="AN226" i="11"/>
  <c r="Y227" i="3" s="1"/>
  <c r="AL226" i="11"/>
  <c r="T227" i="3" s="1"/>
  <c r="AK226" i="11"/>
  <c r="AS225" i="11"/>
  <c r="AD226" i="3" s="1"/>
  <c r="AR225" i="11"/>
  <c r="AJ226" i="3" s="1"/>
  <c r="AQ225" i="11"/>
  <c r="AP225" i="11"/>
  <c r="AE226" i="3" s="1"/>
  <c r="AO225" i="11"/>
  <c r="AB226" i="3" s="1"/>
  <c r="AN225" i="11"/>
  <c r="Y226" i="3" s="1"/>
  <c r="AL225" i="11"/>
  <c r="T226" i="3" s="1"/>
  <c r="AK225" i="11"/>
  <c r="AS224" i="11"/>
  <c r="AD225" i="3" s="1"/>
  <c r="AR224" i="11"/>
  <c r="AJ225" i="3" s="1"/>
  <c r="AQ224" i="11"/>
  <c r="AP224" i="11"/>
  <c r="AE225" i="3" s="1"/>
  <c r="AO224" i="11"/>
  <c r="AB225" i="3" s="1"/>
  <c r="AN224" i="11"/>
  <c r="Y225" i="3" s="1"/>
  <c r="AL224" i="11"/>
  <c r="T225" i="3" s="1"/>
  <c r="AK224" i="11"/>
  <c r="AS223" i="11"/>
  <c r="AD224" i="3" s="1"/>
  <c r="AR223" i="11"/>
  <c r="AJ224" i="3" s="1"/>
  <c r="AQ223" i="11"/>
  <c r="AP223" i="11"/>
  <c r="AE224" i="3" s="1"/>
  <c r="AO223" i="11"/>
  <c r="AB224" i="3" s="1"/>
  <c r="AN223" i="11"/>
  <c r="Y224" i="3" s="1"/>
  <c r="AL223" i="11"/>
  <c r="T224" i="3" s="1"/>
  <c r="AK223" i="11"/>
  <c r="AS222" i="11"/>
  <c r="AD223" i="3" s="1"/>
  <c r="AR222" i="11"/>
  <c r="AJ223" i="3" s="1"/>
  <c r="AQ222" i="11"/>
  <c r="AP222" i="11"/>
  <c r="AE223" i="3" s="1"/>
  <c r="AO222" i="11"/>
  <c r="AB223" i="3" s="1"/>
  <c r="AN222" i="11"/>
  <c r="Y223" i="3" s="1"/>
  <c r="AL222" i="11"/>
  <c r="T223" i="3" s="1"/>
  <c r="AK222" i="11"/>
  <c r="AS221" i="11"/>
  <c r="AD222" i="3" s="1"/>
  <c r="AR221" i="11"/>
  <c r="AJ222" i="3" s="1"/>
  <c r="AQ221" i="11"/>
  <c r="AP221" i="11"/>
  <c r="AE222" i="3" s="1"/>
  <c r="AO221" i="11"/>
  <c r="AB222" i="3" s="1"/>
  <c r="AN221" i="11"/>
  <c r="Y222" i="3" s="1"/>
  <c r="AL221" i="11"/>
  <c r="T222" i="3" s="1"/>
  <c r="AK221" i="11"/>
  <c r="AS220" i="11"/>
  <c r="AD221" i="3" s="1"/>
  <c r="AR220" i="11"/>
  <c r="AJ221" i="3" s="1"/>
  <c r="AQ220" i="11"/>
  <c r="AP220" i="11"/>
  <c r="AE221" i="3" s="1"/>
  <c r="AO220" i="11"/>
  <c r="AB221" i="3" s="1"/>
  <c r="AN220" i="11"/>
  <c r="Y221" i="3" s="1"/>
  <c r="AL220" i="11"/>
  <c r="T221" i="3" s="1"/>
  <c r="AK220" i="11"/>
  <c r="AS219" i="11"/>
  <c r="AD220" i="3" s="1"/>
  <c r="AR219" i="11"/>
  <c r="AJ220" i="3" s="1"/>
  <c r="AQ219" i="11"/>
  <c r="AP219" i="11"/>
  <c r="AE220" i="3" s="1"/>
  <c r="AO219" i="11"/>
  <c r="AB220" i="3" s="1"/>
  <c r="AN219" i="11"/>
  <c r="Y220" i="3" s="1"/>
  <c r="AL219" i="11"/>
  <c r="T220" i="3" s="1"/>
  <c r="AK219" i="11"/>
  <c r="AS218" i="11"/>
  <c r="AD219" i="3" s="1"/>
  <c r="AR218" i="11"/>
  <c r="AJ219" i="3" s="1"/>
  <c r="AQ218" i="11"/>
  <c r="AP218" i="11"/>
  <c r="AE219" i="3" s="1"/>
  <c r="AO218" i="11"/>
  <c r="AB219" i="3" s="1"/>
  <c r="AN218" i="11"/>
  <c r="Y219" i="3" s="1"/>
  <c r="AL218" i="11"/>
  <c r="T219" i="3" s="1"/>
  <c r="AK218" i="11"/>
  <c r="AS217" i="11"/>
  <c r="AD218" i="3" s="1"/>
  <c r="AR217" i="11"/>
  <c r="AJ218" i="3" s="1"/>
  <c r="AQ217" i="11"/>
  <c r="AP217" i="11"/>
  <c r="AE218" i="3" s="1"/>
  <c r="AO217" i="11"/>
  <c r="AB218" i="3" s="1"/>
  <c r="AN217" i="11"/>
  <c r="Y218" i="3" s="1"/>
  <c r="AL217" i="11"/>
  <c r="T218" i="3" s="1"/>
  <c r="AK217" i="11"/>
  <c r="AS216" i="11"/>
  <c r="AD217" i="3" s="1"/>
  <c r="AR216" i="11"/>
  <c r="AJ217" i="3" s="1"/>
  <c r="AQ216" i="11"/>
  <c r="AP216" i="11"/>
  <c r="AE217" i="3" s="1"/>
  <c r="AO216" i="11"/>
  <c r="AB217" i="3" s="1"/>
  <c r="AN216" i="11"/>
  <c r="Y217" i="3" s="1"/>
  <c r="AL216" i="11"/>
  <c r="T217" i="3" s="1"/>
  <c r="AK216" i="11"/>
  <c r="AS215" i="11"/>
  <c r="AD216" i="3" s="1"/>
  <c r="AR215" i="11"/>
  <c r="AJ216" i="3" s="1"/>
  <c r="AQ215" i="11"/>
  <c r="AP215" i="11"/>
  <c r="AE216" i="3" s="1"/>
  <c r="AO215" i="11"/>
  <c r="AB216" i="3" s="1"/>
  <c r="AN215" i="11"/>
  <c r="Y216" i="3" s="1"/>
  <c r="AL215" i="11"/>
  <c r="T216" i="3" s="1"/>
  <c r="AK215" i="11"/>
  <c r="AS214" i="11"/>
  <c r="AD215" i="3" s="1"/>
  <c r="AR214" i="11"/>
  <c r="AJ215" i="3" s="1"/>
  <c r="AQ214" i="11"/>
  <c r="AP214" i="11"/>
  <c r="AE215" i="3" s="1"/>
  <c r="AO214" i="11"/>
  <c r="AB215" i="3" s="1"/>
  <c r="AN214" i="11"/>
  <c r="Y215" i="3" s="1"/>
  <c r="AL214" i="11"/>
  <c r="T215" i="3" s="1"/>
  <c r="AK214" i="11"/>
  <c r="AS213" i="11"/>
  <c r="AD214" i="3" s="1"/>
  <c r="AR213" i="11"/>
  <c r="AJ214" i="3" s="1"/>
  <c r="AQ213" i="11"/>
  <c r="AP213" i="11"/>
  <c r="AE214" i="3" s="1"/>
  <c r="AO213" i="11"/>
  <c r="AB214" i="3" s="1"/>
  <c r="AN213" i="11"/>
  <c r="Y214" i="3" s="1"/>
  <c r="AL213" i="11"/>
  <c r="T214" i="3" s="1"/>
  <c r="AK213" i="11"/>
  <c r="AS212" i="11"/>
  <c r="AD213" i="3" s="1"/>
  <c r="AR212" i="11"/>
  <c r="AJ213" i="3" s="1"/>
  <c r="AQ212" i="11"/>
  <c r="AP212" i="11"/>
  <c r="AE213" i="3" s="1"/>
  <c r="AO212" i="11"/>
  <c r="AB213" i="3" s="1"/>
  <c r="AN212" i="11"/>
  <c r="Y213" i="3" s="1"/>
  <c r="AL212" i="11"/>
  <c r="T213" i="3" s="1"/>
  <c r="AK212" i="11"/>
  <c r="AS211" i="11"/>
  <c r="AD212" i="3" s="1"/>
  <c r="AR211" i="11"/>
  <c r="AJ212" i="3" s="1"/>
  <c r="AQ211" i="11"/>
  <c r="AP211" i="11"/>
  <c r="AE212" i="3" s="1"/>
  <c r="AO211" i="11"/>
  <c r="AB212" i="3" s="1"/>
  <c r="AN211" i="11"/>
  <c r="Y212" i="3" s="1"/>
  <c r="AL211" i="11"/>
  <c r="T212" i="3" s="1"/>
  <c r="AK211" i="11"/>
  <c r="AS210" i="11"/>
  <c r="AD211" i="3" s="1"/>
  <c r="AR210" i="11"/>
  <c r="AJ211" i="3" s="1"/>
  <c r="AQ210" i="11"/>
  <c r="AP210" i="11"/>
  <c r="AE211" i="3" s="1"/>
  <c r="AO210" i="11"/>
  <c r="AB211" i="3" s="1"/>
  <c r="AN210" i="11"/>
  <c r="Y211" i="3" s="1"/>
  <c r="AL210" i="11"/>
  <c r="T211" i="3" s="1"/>
  <c r="AK210" i="11"/>
  <c r="AS209" i="11"/>
  <c r="AD210" i="3" s="1"/>
  <c r="AR209" i="11"/>
  <c r="AJ210" i="3" s="1"/>
  <c r="AQ209" i="11"/>
  <c r="AP209" i="11"/>
  <c r="AE210" i="3" s="1"/>
  <c r="AO209" i="11"/>
  <c r="AB210" i="3" s="1"/>
  <c r="AN209" i="11"/>
  <c r="Y210" i="3" s="1"/>
  <c r="AL209" i="11"/>
  <c r="T210" i="3" s="1"/>
  <c r="AK209" i="11"/>
  <c r="AS208" i="11"/>
  <c r="AD209" i="3" s="1"/>
  <c r="AR208" i="11"/>
  <c r="AJ209" i="3" s="1"/>
  <c r="AQ208" i="11"/>
  <c r="AP208" i="11"/>
  <c r="AE209" i="3" s="1"/>
  <c r="AO208" i="11"/>
  <c r="AB209" i="3" s="1"/>
  <c r="AN208" i="11"/>
  <c r="Y209" i="3" s="1"/>
  <c r="AL208" i="11"/>
  <c r="T209" i="3" s="1"/>
  <c r="AK208" i="11"/>
  <c r="AS207" i="11"/>
  <c r="AD208" i="3" s="1"/>
  <c r="AR207" i="11"/>
  <c r="AJ208" i="3" s="1"/>
  <c r="AQ207" i="11"/>
  <c r="AP207" i="11"/>
  <c r="AE208" i="3" s="1"/>
  <c r="AO207" i="11"/>
  <c r="AB208" i="3" s="1"/>
  <c r="AN207" i="11"/>
  <c r="Y208" i="3" s="1"/>
  <c r="AL207" i="11"/>
  <c r="T208" i="3" s="1"/>
  <c r="AK207" i="11"/>
  <c r="AS206" i="11"/>
  <c r="AD207" i="3" s="1"/>
  <c r="AR206" i="11"/>
  <c r="AJ207" i="3" s="1"/>
  <c r="AQ206" i="11"/>
  <c r="AP206" i="11"/>
  <c r="AE207" i="3" s="1"/>
  <c r="AO206" i="11"/>
  <c r="AB207" i="3" s="1"/>
  <c r="AN206" i="11"/>
  <c r="Y207" i="3" s="1"/>
  <c r="AL206" i="11"/>
  <c r="T207" i="3" s="1"/>
  <c r="AK206" i="11"/>
  <c r="AS205" i="11"/>
  <c r="AD206" i="3" s="1"/>
  <c r="AR205" i="11"/>
  <c r="AJ206" i="3" s="1"/>
  <c r="AQ205" i="11"/>
  <c r="AP205" i="11"/>
  <c r="AE206" i="3" s="1"/>
  <c r="AO205" i="11"/>
  <c r="AB206" i="3" s="1"/>
  <c r="AN205" i="11"/>
  <c r="Y206" i="3" s="1"/>
  <c r="AL205" i="11"/>
  <c r="T206" i="3" s="1"/>
  <c r="AK205" i="11"/>
  <c r="AS204" i="11"/>
  <c r="AD205" i="3" s="1"/>
  <c r="AR204" i="11"/>
  <c r="AJ205" i="3" s="1"/>
  <c r="AQ204" i="11"/>
  <c r="AP204" i="11"/>
  <c r="AE205" i="3" s="1"/>
  <c r="AO204" i="11"/>
  <c r="AB205" i="3" s="1"/>
  <c r="AN204" i="11"/>
  <c r="Y205" i="3" s="1"/>
  <c r="AL204" i="11"/>
  <c r="T205" i="3" s="1"/>
  <c r="AK204" i="11"/>
  <c r="AS203" i="11"/>
  <c r="AD204" i="3" s="1"/>
  <c r="AR203" i="11"/>
  <c r="AJ204" i="3" s="1"/>
  <c r="AQ203" i="11"/>
  <c r="AP203" i="11"/>
  <c r="AE204" i="3" s="1"/>
  <c r="AO203" i="11"/>
  <c r="AB204" i="3" s="1"/>
  <c r="AN203" i="11"/>
  <c r="Y204" i="3" s="1"/>
  <c r="AL203" i="11"/>
  <c r="T204" i="3" s="1"/>
  <c r="AK203" i="11"/>
  <c r="AS202" i="11"/>
  <c r="AD203" i="3" s="1"/>
  <c r="AR202" i="11"/>
  <c r="AJ203" i="3" s="1"/>
  <c r="AQ202" i="11"/>
  <c r="AP202" i="11"/>
  <c r="AE203" i="3" s="1"/>
  <c r="AO202" i="11"/>
  <c r="AB203" i="3" s="1"/>
  <c r="AN202" i="11"/>
  <c r="Y203" i="3" s="1"/>
  <c r="AL202" i="11"/>
  <c r="T203" i="3" s="1"/>
  <c r="AK202" i="11"/>
  <c r="AS201" i="11"/>
  <c r="AD202" i="3" s="1"/>
  <c r="AR201" i="11"/>
  <c r="AJ202" i="3" s="1"/>
  <c r="AQ201" i="11"/>
  <c r="AP201" i="11"/>
  <c r="AE202" i="3" s="1"/>
  <c r="AO201" i="11"/>
  <c r="AB202" i="3" s="1"/>
  <c r="AN201" i="11"/>
  <c r="Y202" i="3" s="1"/>
  <c r="AL201" i="11"/>
  <c r="T202" i="3" s="1"/>
  <c r="AK201" i="11"/>
  <c r="AS200" i="11"/>
  <c r="AD201" i="3" s="1"/>
  <c r="AR200" i="11"/>
  <c r="AJ201" i="3" s="1"/>
  <c r="AQ200" i="11"/>
  <c r="AP200" i="11"/>
  <c r="AE201" i="3" s="1"/>
  <c r="AO200" i="11"/>
  <c r="AB201" i="3" s="1"/>
  <c r="AN200" i="11"/>
  <c r="Y201" i="3" s="1"/>
  <c r="AL200" i="11"/>
  <c r="T201" i="3" s="1"/>
  <c r="AK200" i="11"/>
  <c r="AS199" i="11"/>
  <c r="AD200" i="3" s="1"/>
  <c r="AR199" i="11"/>
  <c r="AJ200" i="3" s="1"/>
  <c r="AQ199" i="11"/>
  <c r="AP199" i="11"/>
  <c r="AE200" i="3" s="1"/>
  <c r="AO199" i="11"/>
  <c r="AB200" i="3" s="1"/>
  <c r="AN199" i="11"/>
  <c r="Y200" i="3" s="1"/>
  <c r="AL199" i="11"/>
  <c r="T200" i="3" s="1"/>
  <c r="AK199" i="11"/>
  <c r="AS198" i="11"/>
  <c r="AD199" i="3" s="1"/>
  <c r="AR198" i="11"/>
  <c r="AJ199" i="3" s="1"/>
  <c r="AQ198" i="11"/>
  <c r="AP198" i="11"/>
  <c r="AE199" i="3" s="1"/>
  <c r="AO198" i="11"/>
  <c r="AB199" i="3" s="1"/>
  <c r="AN198" i="11"/>
  <c r="Y199" i="3" s="1"/>
  <c r="AL198" i="11"/>
  <c r="T199" i="3" s="1"/>
  <c r="AK198" i="11"/>
  <c r="AS197" i="11"/>
  <c r="AD198" i="3" s="1"/>
  <c r="AR197" i="11"/>
  <c r="AJ198" i="3" s="1"/>
  <c r="AQ197" i="11"/>
  <c r="AP197" i="11"/>
  <c r="AE198" i="3" s="1"/>
  <c r="AO197" i="11"/>
  <c r="AB198" i="3" s="1"/>
  <c r="AN197" i="11"/>
  <c r="Y198" i="3" s="1"/>
  <c r="AL197" i="11"/>
  <c r="T198" i="3" s="1"/>
  <c r="AK197" i="11"/>
  <c r="AS196" i="11"/>
  <c r="AD197" i="3" s="1"/>
  <c r="AR196" i="11"/>
  <c r="AJ197" i="3" s="1"/>
  <c r="AQ196" i="11"/>
  <c r="AP196" i="11"/>
  <c r="AE197" i="3" s="1"/>
  <c r="AO196" i="11"/>
  <c r="AB197" i="3" s="1"/>
  <c r="AN196" i="11"/>
  <c r="Y197" i="3" s="1"/>
  <c r="AL196" i="11"/>
  <c r="T197" i="3" s="1"/>
  <c r="AK196" i="11"/>
  <c r="AS195" i="11"/>
  <c r="AD196" i="3" s="1"/>
  <c r="AR195" i="11"/>
  <c r="AJ196" i="3" s="1"/>
  <c r="AQ195" i="11"/>
  <c r="AP195" i="11"/>
  <c r="AE196" i="3" s="1"/>
  <c r="AO195" i="11"/>
  <c r="AB196" i="3" s="1"/>
  <c r="AN195" i="11"/>
  <c r="Y196" i="3" s="1"/>
  <c r="AL195" i="11"/>
  <c r="T196" i="3" s="1"/>
  <c r="AK195" i="11"/>
  <c r="AS194" i="11"/>
  <c r="AD195" i="3" s="1"/>
  <c r="AR194" i="11"/>
  <c r="AJ195" i="3" s="1"/>
  <c r="AQ194" i="11"/>
  <c r="AP194" i="11"/>
  <c r="AE195" i="3" s="1"/>
  <c r="AO194" i="11"/>
  <c r="AB195" i="3" s="1"/>
  <c r="AN194" i="11"/>
  <c r="Y195" i="3" s="1"/>
  <c r="AL194" i="11"/>
  <c r="T195" i="3" s="1"/>
  <c r="AK194" i="11"/>
  <c r="AS193" i="11"/>
  <c r="AD194" i="3" s="1"/>
  <c r="AR193" i="11"/>
  <c r="AJ194" i="3" s="1"/>
  <c r="AQ193" i="11"/>
  <c r="AP193" i="11"/>
  <c r="AE194" i="3" s="1"/>
  <c r="AO193" i="11"/>
  <c r="AB194" i="3" s="1"/>
  <c r="AN193" i="11"/>
  <c r="Y194" i="3" s="1"/>
  <c r="AL193" i="11"/>
  <c r="T194" i="3" s="1"/>
  <c r="AK193" i="11"/>
  <c r="AS192" i="11"/>
  <c r="AD193" i="3" s="1"/>
  <c r="AR192" i="11"/>
  <c r="AJ193" i="3" s="1"/>
  <c r="AQ192" i="11"/>
  <c r="AP192" i="11"/>
  <c r="AE193" i="3" s="1"/>
  <c r="AO192" i="11"/>
  <c r="AB193" i="3" s="1"/>
  <c r="AN192" i="11"/>
  <c r="Y193" i="3" s="1"/>
  <c r="AL192" i="11"/>
  <c r="T193" i="3" s="1"/>
  <c r="AK192" i="11"/>
  <c r="AS191" i="11"/>
  <c r="AD192" i="3" s="1"/>
  <c r="AR191" i="11"/>
  <c r="AJ192" i="3" s="1"/>
  <c r="AQ191" i="11"/>
  <c r="AP191" i="11"/>
  <c r="AE192" i="3" s="1"/>
  <c r="AO191" i="11"/>
  <c r="AB192" i="3" s="1"/>
  <c r="AN191" i="11"/>
  <c r="Y192" i="3" s="1"/>
  <c r="AL191" i="11"/>
  <c r="T192" i="3" s="1"/>
  <c r="AK191" i="11"/>
  <c r="AS190" i="11"/>
  <c r="AD191" i="3" s="1"/>
  <c r="AR190" i="11"/>
  <c r="AJ191" i="3" s="1"/>
  <c r="AQ190" i="11"/>
  <c r="AP190" i="11"/>
  <c r="AE191" i="3" s="1"/>
  <c r="AO190" i="11"/>
  <c r="AB191" i="3" s="1"/>
  <c r="AN190" i="11"/>
  <c r="Y191" i="3" s="1"/>
  <c r="AL190" i="11"/>
  <c r="T191" i="3" s="1"/>
  <c r="AK190" i="11"/>
  <c r="AS189" i="11"/>
  <c r="AD190" i="3" s="1"/>
  <c r="AR189" i="11"/>
  <c r="AJ190" i="3" s="1"/>
  <c r="AQ189" i="11"/>
  <c r="AP189" i="11"/>
  <c r="AE190" i="3" s="1"/>
  <c r="AO189" i="11"/>
  <c r="AB190" i="3" s="1"/>
  <c r="AN189" i="11"/>
  <c r="Y190" i="3" s="1"/>
  <c r="AL189" i="11"/>
  <c r="T190" i="3" s="1"/>
  <c r="AK189" i="11"/>
  <c r="AS188" i="11"/>
  <c r="AD189" i="3" s="1"/>
  <c r="AR188" i="11"/>
  <c r="AJ189" i="3" s="1"/>
  <c r="AQ188" i="11"/>
  <c r="AP188" i="11"/>
  <c r="AE189" i="3" s="1"/>
  <c r="AO188" i="11"/>
  <c r="AB189" i="3" s="1"/>
  <c r="AN188" i="11"/>
  <c r="Y189" i="3" s="1"/>
  <c r="AL188" i="11"/>
  <c r="T189" i="3" s="1"/>
  <c r="AK188" i="11"/>
  <c r="AS187" i="11"/>
  <c r="AD188" i="3" s="1"/>
  <c r="AR187" i="11"/>
  <c r="AJ188" i="3" s="1"/>
  <c r="AQ187" i="11"/>
  <c r="AP187" i="11"/>
  <c r="AE188" i="3" s="1"/>
  <c r="AO187" i="11"/>
  <c r="AB188" i="3" s="1"/>
  <c r="AN187" i="11"/>
  <c r="Y188" i="3" s="1"/>
  <c r="AL187" i="11"/>
  <c r="T188" i="3" s="1"/>
  <c r="AK187" i="11"/>
  <c r="AS186" i="11"/>
  <c r="AD187" i="3" s="1"/>
  <c r="AR186" i="11"/>
  <c r="AJ187" i="3" s="1"/>
  <c r="AQ186" i="11"/>
  <c r="AP186" i="11"/>
  <c r="AE187" i="3" s="1"/>
  <c r="AO186" i="11"/>
  <c r="AB187" i="3" s="1"/>
  <c r="AN186" i="11"/>
  <c r="Y187" i="3" s="1"/>
  <c r="AL186" i="11"/>
  <c r="T187" i="3" s="1"/>
  <c r="AK186" i="11"/>
  <c r="AS185" i="11"/>
  <c r="AD186" i="3" s="1"/>
  <c r="AR185" i="11"/>
  <c r="AJ186" i="3" s="1"/>
  <c r="AQ185" i="11"/>
  <c r="AP185" i="11"/>
  <c r="AE186" i="3" s="1"/>
  <c r="AO185" i="11"/>
  <c r="AB186" i="3" s="1"/>
  <c r="AN185" i="11"/>
  <c r="Y186" i="3" s="1"/>
  <c r="AL185" i="11"/>
  <c r="T186" i="3" s="1"/>
  <c r="AK185" i="11"/>
  <c r="AS184" i="11"/>
  <c r="AD185" i="3" s="1"/>
  <c r="AR184" i="11"/>
  <c r="AJ185" i="3" s="1"/>
  <c r="AQ184" i="11"/>
  <c r="AP184" i="11"/>
  <c r="AE185" i="3" s="1"/>
  <c r="AO184" i="11"/>
  <c r="AB185" i="3" s="1"/>
  <c r="AN184" i="11"/>
  <c r="Y185" i="3" s="1"/>
  <c r="AL184" i="11"/>
  <c r="T185" i="3" s="1"/>
  <c r="AK184" i="11"/>
  <c r="AS183" i="11"/>
  <c r="AD184" i="3" s="1"/>
  <c r="AR183" i="11"/>
  <c r="AJ184" i="3" s="1"/>
  <c r="AQ183" i="11"/>
  <c r="AP183" i="11"/>
  <c r="AE184" i="3" s="1"/>
  <c r="AO183" i="11"/>
  <c r="AB184" i="3" s="1"/>
  <c r="AN183" i="11"/>
  <c r="Y184" i="3" s="1"/>
  <c r="AL183" i="11"/>
  <c r="T184" i="3" s="1"/>
  <c r="AK183" i="11"/>
  <c r="AS182" i="11"/>
  <c r="AD183" i="3" s="1"/>
  <c r="AR182" i="11"/>
  <c r="AJ183" i="3" s="1"/>
  <c r="AQ182" i="11"/>
  <c r="AP182" i="11"/>
  <c r="AE183" i="3" s="1"/>
  <c r="AO182" i="11"/>
  <c r="AB183" i="3" s="1"/>
  <c r="AN182" i="11"/>
  <c r="Y183" i="3" s="1"/>
  <c r="AL182" i="11"/>
  <c r="T183" i="3" s="1"/>
  <c r="AK182" i="11"/>
  <c r="AS181" i="11"/>
  <c r="AD182" i="3" s="1"/>
  <c r="AR181" i="11"/>
  <c r="AJ182" i="3" s="1"/>
  <c r="AQ181" i="11"/>
  <c r="AP181" i="11"/>
  <c r="AE182" i="3" s="1"/>
  <c r="AO181" i="11"/>
  <c r="AB182" i="3" s="1"/>
  <c r="AN181" i="11"/>
  <c r="Y182" i="3" s="1"/>
  <c r="AL181" i="11"/>
  <c r="T182" i="3" s="1"/>
  <c r="AK181" i="11"/>
  <c r="AS180" i="11"/>
  <c r="AD181" i="3" s="1"/>
  <c r="AR180" i="11"/>
  <c r="AJ181" i="3" s="1"/>
  <c r="AQ180" i="11"/>
  <c r="AP180" i="11"/>
  <c r="AE181" i="3" s="1"/>
  <c r="AO180" i="11"/>
  <c r="AB181" i="3" s="1"/>
  <c r="AN180" i="11"/>
  <c r="Y181" i="3" s="1"/>
  <c r="AL180" i="11"/>
  <c r="T181" i="3" s="1"/>
  <c r="AK180" i="11"/>
  <c r="AS179" i="11"/>
  <c r="AD180" i="3" s="1"/>
  <c r="AR179" i="11"/>
  <c r="AJ180" i="3" s="1"/>
  <c r="AQ179" i="11"/>
  <c r="AP179" i="11"/>
  <c r="AE180" i="3" s="1"/>
  <c r="AO179" i="11"/>
  <c r="AB180" i="3" s="1"/>
  <c r="AN179" i="11"/>
  <c r="Y180" i="3" s="1"/>
  <c r="AL179" i="11"/>
  <c r="T180" i="3" s="1"/>
  <c r="AK179" i="11"/>
  <c r="AS178" i="11"/>
  <c r="AD179" i="3" s="1"/>
  <c r="AR178" i="11"/>
  <c r="AJ179" i="3" s="1"/>
  <c r="AQ178" i="11"/>
  <c r="AP178" i="11"/>
  <c r="AE179" i="3" s="1"/>
  <c r="AO178" i="11"/>
  <c r="AB179" i="3" s="1"/>
  <c r="AN178" i="11"/>
  <c r="Y179" i="3" s="1"/>
  <c r="AL178" i="11"/>
  <c r="T179" i="3" s="1"/>
  <c r="AK178" i="11"/>
  <c r="AS177" i="11"/>
  <c r="AD178" i="3" s="1"/>
  <c r="AR177" i="11"/>
  <c r="AJ178" i="3" s="1"/>
  <c r="AQ177" i="11"/>
  <c r="AP177" i="11"/>
  <c r="AE178" i="3" s="1"/>
  <c r="AO177" i="11"/>
  <c r="AB178" i="3" s="1"/>
  <c r="AN177" i="11"/>
  <c r="Y178" i="3" s="1"/>
  <c r="AL177" i="11"/>
  <c r="T178" i="3" s="1"/>
  <c r="AK177" i="11"/>
  <c r="AS176" i="11"/>
  <c r="AD177" i="3" s="1"/>
  <c r="AR176" i="11"/>
  <c r="AJ177" i="3" s="1"/>
  <c r="AQ176" i="11"/>
  <c r="AP176" i="11"/>
  <c r="AE177" i="3" s="1"/>
  <c r="AO176" i="11"/>
  <c r="AB177" i="3" s="1"/>
  <c r="AN176" i="11"/>
  <c r="Y177" i="3" s="1"/>
  <c r="AL176" i="11"/>
  <c r="T177" i="3" s="1"/>
  <c r="AK176" i="11"/>
  <c r="AS175" i="11"/>
  <c r="AD176" i="3" s="1"/>
  <c r="AR175" i="11"/>
  <c r="AJ176" i="3" s="1"/>
  <c r="AQ175" i="11"/>
  <c r="AP175" i="11"/>
  <c r="AE176" i="3" s="1"/>
  <c r="AO175" i="11"/>
  <c r="AB176" i="3" s="1"/>
  <c r="AN175" i="11"/>
  <c r="Y176" i="3" s="1"/>
  <c r="AL175" i="11"/>
  <c r="T176" i="3" s="1"/>
  <c r="AK175" i="11"/>
  <c r="AS174" i="11"/>
  <c r="AD175" i="3" s="1"/>
  <c r="AR174" i="11"/>
  <c r="AJ175" i="3" s="1"/>
  <c r="AQ174" i="11"/>
  <c r="AP174" i="11"/>
  <c r="AE175" i="3" s="1"/>
  <c r="AO174" i="11"/>
  <c r="AB175" i="3" s="1"/>
  <c r="AN174" i="11"/>
  <c r="Y175" i="3" s="1"/>
  <c r="AL174" i="11"/>
  <c r="T175" i="3" s="1"/>
  <c r="AK174" i="11"/>
  <c r="AS173" i="11"/>
  <c r="AD174" i="3" s="1"/>
  <c r="AR173" i="11"/>
  <c r="AJ174" i="3" s="1"/>
  <c r="AQ173" i="11"/>
  <c r="AP173" i="11"/>
  <c r="AE174" i="3" s="1"/>
  <c r="AO173" i="11"/>
  <c r="AB174" i="3" s="1"/>
  <c r="AN173" i="11"/>
  <c r="Y174" i="3" s="1"/>
  <c r="AL173" i="11"/>
  <c r="T174" i="3" s="1"/>
  <c r="AK173" i="11"/>
  <c r="AS172" i="11"/>
  <c r="AD173" i="3" s="1"/>
  <c r="AR172" i="11"/>
  <c r="AJ173" i="3" s="1"/>
  <c r="AQ172" i="11"/>
  <c r="AP172" i="11"/>
  <c r="AE173" i="3" s="1"/>
  <c r="AO172" i="11"/>
  <c r="AB173" i="3" s="1"/>
  <c r="AN172" i="11"/>
  <c r="Y173" i="3" s="1"/>
  <c r="AL172" i="11"/>
  <c r="T173" i="3" s="1"/>
  <c r="AK172" i="11"/>
  <c r="AS171" i="11"/>
  <c r="AD172" i="3" s="1"/>
  <c r="AR171" i="11"/>
  <c r="AJ172" i="3" s="1"/>
  <c r="AQ171" i="11"/>
  <c r="AP171" i="11"/>
  <c r="AE172" i="3" s="1"/>
  <c r="AO171" i="11"/>
  <c r="AB172" i="3" s="1"/>
  <c r="AN171" i="11"/>
  <c r="Y172" i="3" s="1"/>
  <c r="AL171" i="11"/>
  <c r="T172" i="3" s="1"/>
  <c r="AK171" i="11"/>
  <c r="AS170" i="11"/>
  <c r="AD171" i="3" s="1"/>
  <c r="AR170" i="11"/>
  <c r="AJ171" i="3" s="1"/>
  <c r="AQ170" i="11"/>
  <c r="AP170" i="11"/>
  <c r="AE171" i="3" s="1"/>
  <c r="AO170" i="11"/>
  <c r="AB171" i="3" s="1"/>
  <c r="AN170" i="11"/>
  <c r="Y171" i="3" s="1"/>
  <c r="AL170" i="11"/>
  <c r="T171" i="3" s="1"/>
  <c r="AK170" i="11"/>
  <c r="AS169" i="11"/>
  <c r="AD170" i="3" s="1"/>
  <c r="AR169" i="11"/>
  <c r="AJ170" i="3" s="1"/>
  <c r="AQ169" i="11"/>
  <c r="AP169" i="11"/>
  <c r="AE170" i="3" s="1"/>
  <c r="AO169" i="11"/>
  <c r="AB170" i="3" s="1"/>
  <c r="AN169" i="11"/>
  <c r="Y170" i="3" s="1"/>
  <c r="AL169" i="11"/>
  <c r="T170" i="3" s="1"/>
  <c r="AK169" i="11"/>
  <c r="AS168" i="11"/>
  <c r="AD169" i="3" s="1"/>
  <c r="AR168" i="11"/>
  <c r="AJ169" i="3" s="1"/>
  <c r="AQ168" i="11"/>
  <c r="AP168" i="11"/>
  <c r="AE169" i="3" s="1"/>
  <c r="AO168" i="11"/>
  <c r="AB169" i="3" s="1"/>
  <c r="AN168" i="11"/>
  <c r="Y169" i="3" s="1"/>
  <c r="AL168" i="11"/>
  <c r="T169" i="3" s="1"/>
  <c r="AK168" i="11"/>
  <c r="AS167" i="11"/>
  <c r="AD168" i="3" s="1"/>
  <c r="AR167" i="11"/>
  <c r="AJ168" i="3" s="1"/>
  <c r="AQ167" i="11"/>
  <c r="AP167" i="11"/>
  <c r="AE168" i="3" s="1"/>
  <c r="AO167" i="11"/>
  <c r="AB168" i="3" s="1"/>
  <c r="AN167" i="11"/>
  <c r="Y168" i="3" s="1"/>
  <c r="AL167" i="11"/>
  <c r="T168" i="3" s="1"/>
  <c r="AK167" i="11"/>
  <c r="AS166" i="11"/>
  <c r="AD167" i="3" s="1"/>
  <c r="AR166" i="11"/>
  <c r="AJ167" i="3" s="1"/>
  <c r="AQ166" i="11"/>
  <c r="AP166" i="11"/>
  <c r="AE167" i="3" s="1"/>
  <c r="AO166" i="11"/>
  <c r="AB167" i="3" s="1"/>
  <c r="AN166" i="11"/>
  <c r="Y167" i="3" s="1"/>
  <c r="AL166" i="11"/>
  <c r="T167" i="3" s="1"/>
  <c r="AK166" i="11"/>
  <c r="AS165" i="11"/>
  <c r="AD166" i="3" s="1"/>
  <c r="AR165" i="11"/>
  <c r="AJ166" i="3" s="1"/>
  <c r="AQ165" i="11"/>
  <c r="AP165" i="11"/>
  <c r="AE166" i="3" s="1"/>
  <c r="AO165" i="11"/>
  <c r="AB166" i="3" s="1"/>
  <c r="AN165" i="11"/>
  <c r="Y166" i="3" s="1"/>
  <c r="AL165" i="11"/>
  <c r="T166" i="3" s="1"/>
  <c r="AK165" i="11"/>
  <c r="AS164" i="11"/>
  <c r="AD165" i="3" s="1"/>
  <c r="AR164" i="11"/>
  <c r="AJ165" i="3" s="1"/>
  <c r="AQ164" i="11"/>
  <c r="AP164" i="11"/>
  <c r="AE165" i="3" s="1"/>
  <c r="AO164" i="11"/>
  <c r="AB165" i="3" s="1"/>
  <c r="AN164" i="11"/>
  <c r="Y165" i="3" s="1"/>
  <c r="AL164" i="11"/>
  <c r="T165" i="3" s="1"/>
  <c r="AK164" i="11"/>
  <c r="AS163" i="11"/>
  <c r="AD164" i="3" s="1"/>
  <c r="AR163" i="11"/>
  <c r="AJ164" i="3" s="1"/>
  <c r="AQ163" i="11"/>
  <c r="AP163" i="11"/>
  <c r="AE164" i="3" s="1"/>
  <c r="AO163" i="11"/>
  <c r="AB164" i="3" s="1"/>
  <c r="AN163" i="11"/>
  <c r="Y164" i="3" s="1"/>
  <c r="AL163" i="11"/>
  <c r="T164" i="3" s="1"/>
  <c r="AK163" i="11"/>
  <c r="AS162" i="11"/>
  <c r="AD163" i="3" s="1"/>
  <c r="AR162" i="11"/>
  <c r="AJ163" i="3" s="1"/>
  <c r="AQ162" i="11"/>
  <c r="AP162" i="11"/>
  <c r="AE163" i="3" s="1"/>
  <c r="AO162" i="11"/>
  <c r="AB163" i="3" s="1"/>
  <c r="AN162" i="11"/>
  <c r="Y163" i="3" s="1"/>
  <c r="AL162" i="11"/>
  <c r="T163" i="3" s="1"/>
  <c r="AK162" i="11"/>
  <c r="AS161" i="11"/>
  <c r="AD162" i="3" s="1"/>
  <c r="AR161" i="11"/>
  <c r="AJ162" i="3" s="1"/>
  <c r="AQ161" i="11"/>
  <c r="AP161" i="11"/>
  <c r="AE162" i="3" s="1"/>
  <c r="AO161" i="11"/>
  <c r="AB162" i="3" s="1"/>
  <c r="AN161" i="11"/>
  <c r="Y162" i="3" s="1"/>
  <c r="AL161" i="11"/>
  <c r="T162" i="3" s="1"/>
  <c r="AK161" i="11"/>
  <c r="AS160" i="11"/>
  <c r="AD161" i="3" s="1"/>
  <c r="AR160" i="11"/>
  <c r="AJ161" i="3" s="1"/>
  <c r="AQ160" i="11"/>
  <c r="AP160" i="11"/>
  <c r="AE161" i="3" s="1"/>
  <c r="AO160" i="11"/>
  <c r="AB161" i="3" s="1"/>
  <c r="AN160" i="11"/>
  <c r="Y161" i="3" s="1"/>
  <c r="AL160" i="11"/>
  <c r="T161" i="3" s="1"/>
  <c r="AK160" i="11"/>
  <c r="AS159" i="11"/>
  <c r="AD160" i="3" s="1"/>
  <c r="AR159" i="11"/>
  <c r="AJ160" i="3" s="1"/>
  <c r="AQ159" i="11"/>
  <c r="AP159" i="11"/>
  <c r="AE160" i="3" s="1"/>
  <c r="AO159" i="11"/>
  <c r="AB160" i="3" s="1"/>
  <c r="AN159" i="11"/>
  <c r="Y160" i="3" s="1"/>
  <c r="AL159" i="11"/>
  <c r="T160" i="3" s="1"/>
  <c r="AK159" i="11"/>
  <c r="AS158" i="11"/>
  <c r="AD159" i="3" s="1"/>
  <c r="AR158" i="11"/>
  <c r="AJ159" i="3" s="1"/>
  <c r="AQ158" i="11"/>
  <c r="AP158" i="11"/>
  <c r="AE159" i="3" s="1"/>
  <c r="AO158" i="11"/>
  <c r="AB159" i="3" s="1"/>
  <c r="AN158" i="11"/>
  <c r="Y159" i="3" s="1"/>
  <c r="AL158" i="11"/>
  <c r="T159" i="3" s="1"/>
  <c r="AK158" i="11"/>
  <c r="AS157" i="11"/>
  <c r="AD158" i="3" s="1"/>
  <c r="AR157" i="11"/>
  <c r="AJ158" i="3" s="1"/>
  <c r="AQ157" i="11"/>
  <c r="AP157" i="11"/>
  <c r="AE158" i="3" s="1"/>
  <c r="AO157" i="11"/>
  <c r="AB158" i="3" s="1"/>
  <c r="AN157" i="11"/>
  <c r="Y158" i="3" s="1"/>
  <c r="AL157" i="11"/>
  <c r="T158" i="3" s="1"/>
  <c r="AK157" i="11"/>
  <c r="AS156" i="11"/>
  <c r="AD157" i="3" s="1"/>
  <c r="AR156" i="11"/>
  <c r="AJ157" i="3" s="1"/>
  <c r="AQ156" i="11"/>
  <c r="AP156" i="11"/>
  <c r="AE157" i="3" s="1"/>
  <c r="AO156" i="11"/>
  <c r="AB157" i="3" s="1"/>
  <c r="AN156" i="11"/>
  <c r="Y157" i="3" s="1"/>
  <c r="AL156" i="11"/>
  <c r="T157" i="3" s="1"/>
  <c r="AK156" i="11"/>
  <c r="AS155" i="11"/>
  <c r="AD156" i="3" s="1"/>
  <c r="AR155" i="11"/>
  <c r="AJ156" i="3" s="1"/>
  <c r="AQ155" i="11"/>
  <c r="AP155" i="11"/>
  <c r="AE156" i="3" s="1"/>
  <c r="AO155" i="11"/>
  <c r="AB156" i="3" s="1"/>
  <c r="AN155" i="11"/>
  <c r="Y156" i="3" s="1"/>
  <c r="AL155" i="11"/>
  <c r="T156" i="3" s="1"/>
  <c r="AK155" i="11"/>
  <c r="AS154" i="11"/>
  <c r="AD155" i="3" s="1"/>
  <c r="AR154" i="11"/>
  <c r="AJ155" i="3" s="1"/>
  <c r="AQ154" i="11"/>
  <c r="AP154" i="11"/>
  <c r="AE155" i="3" s="1"/>
  <c r="AO154" i="11"/>
  <c r="AB155" i="3" s="1"/>
  <c r="AN154" i="11"/>
  <c r="Y155" i="3" s="1"/>
  <c r="AL154" i="11"/>
  <c r="T155" i="3" s="1"/>
  <c r="AK154" i="11"/>
  <c r="AS153" i="11"/>
  <c r="AD154" i="3" s="1"/>
  <c r="AR153" i="11"/>
  <c r="AJ154" i="3" s="1"/>
  <c r="AQ153" i="11"/>
  <c r="AP153" i="11"/>
  <c r="AE154" i="3" s="1"/>
  <c r="AO153" i="11"/>
  <c r="AB154" i="3" s="1"/>
  <c r="AN153" i="11"/>
  <c r="Y154" i="3" s="1"/>
  <c r="AL153" i="11"/>
  <c r="T154" i="3" s="1"/>
  <c r="AK153" i="11"/>
  <c r="AS152" i="11"/>
  <c r="AD153" i="3" s="1"/>
  <c r="AR152" i="11"/>
  <c r="AJ153" i="3" s="1"/>
  <c r="AQ152" i="11"/>
  <c r="AP152" i="11"/>
  <c r="AE153" i="3" s="1"/>
  <c r="AO152" i="11"/>
  <c r="AB153" i="3" s="1"/>
  <c r="AN152" i="11"/>
  <c r="Y153" i="3" s="1"/>
  <c r="AL152" i="11"/>
  <c r="T153" i="3" s="1"/>
  <c r="AK152" i="11"/>
  <c r="AS151" i="11"/>
  <c r="AD152" i="3" s="1"/>
  <c r="AR151" i="11"/>
  <c r="AJ152" i="3" s="1"/>
  <c r="AQ151" i="11"/>
  <c r="AP151" i="11"/>
  <c r="AE152" i="3" s="1"/>
  <c r="AO151" i="11"/>
  <c r="AB152" i="3" s="1"/>
  <c r="AN151" i="11"/>
  <c r="Y152" i="3" s="1"/>
  <c r="AL151" i="11"/>
  <c r="T152" i="3" s="1"/>
  <c r="AK151" i="11"/>
  <c r="AS150" i="11"/>
  <c r="AD151" i="3" s="1"/>
  <c r="AR150" i="11"/>
  <c r="AJ151" i="3" s="1"/>
  <c r="AQ150" i="11"/>
  <c r="AP150" i="11"/>
  <c r="AE151" i="3" s="1"/>
  <c r="AO150" i="11"/>
  <c r="AB151" i="3" s="1"/>
  <c r="AN150" i="11"/>
  <c r="Y151" i="3" s="1"/>
  <c r="AL150" i="11"/>
  <c r="T151" i="3" s="1"/>
  <c r="AK150" i="11"/>
  <c r="AS149" i="11"/>
  <c r="AD150" i="3" s="1"/>
  <c r="AR149" i="11"/>
  <c r="AJ150" i="3" s="1"/>
  <c r="AQ149" i="11"/>
  <c r="AP149" i="11"/>
  <c r="AE150" i="3" s="1"/>
  <c r="AO149" i="11"/>
  <c r="AB150" i="3" s="1"/>
  <c r="AN149" i="11"/>
  <c r="Y150" i="3" s="1"/>
  <c r="AL149" i="11"/>
  <c r="T150" i="3" s="1"/>
  <c r="AK149" i="11"/>
  <c r="AS148" i="11"/>
  <c r="AD149" i="3" s="1"/>
  <c r="AR148" i="11"/>
  <c r="AJ149" i="3" s="1"/>
  <c r="AQ148" i="11"/>
  <c r="AP148" i="11"/>
  <c r="AE149" i="3" s="1"/>
  <c r="AO148" i="11"/>
  <c r="AB149" i="3" s="1"/>
  <c r="AN148" i="11"/>
  <c r="Y149" i="3" s="1"/>
  <c r="AL148" i="11"/>
  <c r="T149" i="3" s="1"/>
  <c r="AK148" i="11"/>
  <c r="AS147" i="11"/>
  <c r="AD148" i="3" s="1"/>
  <c r="AR147" i="11"/>
  <c r="AJ148" i="3" s="1"/>
  <c r="AQ147" i="11"/>
  <c r="AP147" i="11"/>
  <c r="AE148" i="3" s="1"/>
  <c r="AO147" i="11"/>
  <c r="AB148" i="3" s="1"/>
  <c r="AN147" i="11"/>
  <c r="Y148" i="3" s="1"/>
  <c r="AL147" i="11"/>
  <c r="T148" i="3" s="1"/>
  <c r="AK147" i="11"/>
  <c r="AS146" i="11"/>
  <c r="AD147" i="3" s="1"/>
  <c r="AR146" i="11"/>
  <c r="AJ147" i="3" s="1"/>
  <c r="AQ146" i="11"/>
  <c r="AP146" i="11"/>
  <c r="AE147" i="3" s="1"/>
  <c r="AO146" i="11"/>
  <c r="AB147" i="3" s="1"/>
  <c r="AN146" i="11"/>
  <c r="Y147" i="3" s="1"/>
  <c r="AL146" i="11"/>
  <c r="T147" i="3" s="1"/>
  <c r="AK146" i="11"/>
  <c r="AS145" i="11"/>
  <c r="AD146" i="3" s="1"/>
  <c r="AR145" i="11"/>
  <c r="AJ146" i="3" s="1"/>
  <c r="AQ145" i="11"/>
  <c r="AP145" i="11"/>
  <c r="AE146" i="3" s="1"/>
  <c r="AO145" i="11"/>
  <c r="AB146" i="3" s="1"/>
  <c r="AN145" i="11"/>
  <c r="Y146" i="3" s="1"/>
  <c r="AL145" i="11"/>
  <c r="T146" i="3" s="1"/>
  <c r="AK145" i="11"/>
  <c r="AS144" i="11"/>
  <c r="AD145" i="3" s="1"/>
  <c r="AR144" i="11"/>
  <c r="AJ145" i="3" s="1"/>
  <c r="AQ144" i="11"/>
  <c r="AP144" i="11"/>
  <c r="AE145" i="3" s="1"/>
  <c r="AO144" i="11"/>
  <c r="AB145" i="3" s="1"/>
  <c r="AN144" i="11"/>
  <c r="Y145" i="3" s="1"/>
  <c r="AL144" i="11"/>
  <c r="T145" i="3" s="1"/>
  <c r="AK144" i="11"/>
  <c r="AS143" i="11"/>
  <c r="AD144" i="3" s="1"/>
  <c r="AR143" i="11"/>
  <c r="AJ144" i="3" s="1"/>
  <c r="AQ143" i="11"/>
  <c r="AP143" i="11"/>
  <c r="AE144" i="3" s="1"/>
  <c r="AO143" i="11"/>
  <c r="AB144" i="3" s="1"/>
  <c r="AN143" i="11"/>
  <c r="Y144" i="3" s="1"/>
  <c r="AL143" i="11"/>
  <c r="T144" i="3" s="1"/>
  <c r="AK143" i="11"/>
  <c r="AS142" i="11"/>
  <c r="AD143" i="3" s="1"/>
  <c r="AR142" i="11"/>
  <c r="AJ143" i="3" s="1"/>
  <c r="AQ142" i="11"/>
  <c r="AP142" i="11"/>
  <c r="AE143" i="3" s="1"/>
  <c r="AO142" i="11"/>
  <c r="AB143" i="3" s="1"/>
  <c r="AN142" i="11"/>
  <c r="Y143" i="3" s="1"/>
  <c r="AL142" i="11"/>
  <c r="T143" i="3" s="1"/>
  <c r="AK142" i="11"/>
  <c r="AS141" i="11"/>
  <c r="AD142" i="3" s="1"/>
  <c r="AR141" i="11"/>
  <c r="AJ142" i="3" s="1"/>
  <c r="AQ141" i="11"/>
  <c r="AP141" i="11"/>
  <c r="AE142" i="3" s="1"/>
  <c r="AO141" i="11"/>
  <c r="AB142" i="3" s="1"/>
  <c r="AN141" i="11"/>
  <c r="Y142" i="3" s="1"/>
  <c r="AL141" i="11"/>
  <c r="T142" i="3" s="1"/>
  <c r="AK141" i="11"/>
  <c r="AS140" i="11"/>
  <c r="AD141" i="3" s="1"/>
  <c r="AR140" i="11"/>
  <c r="AJ141" i="3" s="1"/>
  <c r="AQ140" i="11"/>
  <c r="AP140" i="11"/>
  <c r="AE141" i="3" s="1"/>
  <c r="AO140" i="11"/>
  <c r="AB141" i="3" s="1"/>
  <c r="AN140" i="11"/>
  <c r="Y141" i="3" s="1"/>
  <c r="AL140" i="11"/>
  <c r="T141" i="3" s="1"/>
  <c r="AK140" i="11"/>
  <c r="AS139" i="11"/>
  <c r="AD140" i="3" s="1"/>
  <c r="AR139" i="11"/>
  <c r="AJ140" i="3" s="1"/>
  <c r="AQ139" i="11"/>
  <c r="AP139" i="11"/>
  <c r="AE140" i="3" s="1"/>
  <c r="AO139" i="11"/>
  <c r="AB140" i="3" s="1"/>
  <c r="AN139" i="11"/>
  <c r="Y140" i="3" s="1"/>
  <c r="AL139" i="11"/>
  <c r="T140" i="3" s="1"/>
  <c r="AK139" i="11"/>
  <c r="AS138" i="11"/>
  <c r="AD139" i="3" s="1"/>
  <c r="AR138" i="11"/>
  <c r="AJ139" i="3" s="1"/>
  <c r="AQ138" i="11"/>
  <c r="AP138" i="11"/>
  <c r="AE139" i="3" s="1"/>
  <c r="AO138" i="11"/>
  <c r="AB139" i="3" s="1"/>
  <c r="AN138" i="11"/>
  <c r="Y139" i="3" s="1"/>
  <c r="AL138" i="11"/>
  <c r="T139" i="3" s="1"/>
  <c r="AK138" i="11"/>
  <c r="AS137" i="11"/>
  <c r="AD138" i="3" s="1"/>
  <c r="AR137" i="11"/>
  <c r="AJ138" i="3" s="1"/>
  <c r="AQ137" i="11"/>
  <c r="AP137" i="11"/>
  <c r="AE138" i="3" s="1"/>
  <c r="AO137" i="11"/>
  <c r="AB138" i="3" s="1"/>
  <c r="AN137" i="11"/>
  <c r="Y138" i="3" s="1"/>
  <c r="AL137" i="11"/>
  <c r="T138" i="3" s="1"/>
  <c r="AK137" i="11"/>
  <c r="AS136" i="11"/>
  <c r="AD137" i="3" s="1"/>
  <c r="AR136" i="11"/>
  <c r="AJ137" i="3" s="1"/>
  <c r="AQ136" i="11"/>
  <c r="AP136" i="11"/>
  <c r="AE137" i="3" s="1"/>
  <c r="AO136" i="11"/>
  <c r="AB137" i="3" s="1"/>
  <c r="AN136" i="11"/>
  <c r="Y137" i="3" s="1"/>
  <c r="AL136" i="11"/>
  <c r="T137" i="3" s="1"/>
  <c r="AK136" i="11"/>
  <c r="AS135" i="11"/>
  <c r="AD136" i="3" s="1"/>
  <c r="AR135" i="11"/>
  <c r="AJ136" i="3" s="1"/>
  <c r="AQ135" i="11"/>
  <c r="AP135" i="11"/>
  <c r="AE136" i="3" s="1"/>
  <c r="AO135" i="11"/>
  <c r="AB136" i="3" s="1"/>
  <c r="AN135" i="11"/>
  <c r="Y136" i="3" s="1"/>
  <c r="AL135" i="11"/>
  <c r="T136" i="3" s="1"/>
  <c r="AK135" i="11"/>
  <c r="AS134" i="11"/>
  <c r="AD135" i="3" s="1"/>
  <c r="AR134" i="11"/>
  <c r="AJ135" i="3" s="1"/>
  <c r="AQ134" i="11"/>
  <c r="AP134" i="11"/>
  <c r="AE135" i="3" s="1"/>
  <c r="AO134" i="11"/>
  <c r="AB135" i="3" s="1"/>
  <c r="AN134" i="11"/>
  <c r="Y135" i="3" s="1"/>
  <c r="AL134" i="11"/>
  <c r="T135" i="3" s="1"/>
  <c r="AK134" i="11"/>
  <c r="AS133" i="11"/>
  <c r="AD134" i="3" s="1"/>
  <c r="AR133" i="11"/>
  <c r="AJ134" i="3" s="1"/>
  <c r="AQ133" i="11"/>
  <c r="AP133" i="11"/>
  <c r="AE134" i="3" s="1"/>
  <c r="AO133" i="11"/>
  <c r="AB134" i="3" s="1"/>
  <c r="AN133" i="11"/>
  <c r="Y134" i="3" s="1"/>
  <c r="AL133" i="11"/>
  <c r="T134" i="3" s="1"/>
  <c r="AK133" i="11"/>
  <c r="AS132" i="11"/>
  <c r="AD133" i="3" s="1"/>
  <c r="AR132" i="11"/>
  <c r="AJ133" i="3" s="1"/>
  <c r="AQ132" i="11"/>
  <c r="AP132" i="11"/>
  <c r="AE133" i="3" s="1"/>
  <c r="AO132" i="11"/>
  <c r="AB133" i="3" s="1"/>
  <c r="AN132" i="11"/>
  <c r="Y133" i="3" s="1"/>
  <c r="AL132" i="11"/>
  <c r="T133" i="3" s="1"/>
  <c r="AK132" i="11"/>
  <c r="AS131" i="11"/>
  <c r="AD132" i="3" s="1"/>
  <c r="AR131" i="11"/>
  <c r="AJ132" i="3" s="1"/>
  <c r="AQ131" i="11"/>
  <c r="AP131" i="11"/>
  <c r="AE132" i="3" s="1"/>
  <c r="AO131" i="11"/>
  <c r="AB132" i="3" s="1"/>
  <c r="AN131" i="11"/>
  <c r="Y132" i="3" s="1"/>
  <c r="AL131" i="11"/>
  <c r="T132" i="3" s="1"/>
  <c r="AK131" i="11"/>
  <c r="AS130" i="11"/>
  <c r="AD131" i="3" s="1"/>
  <c r="AR130" i="11"/>
  <c r="AJ131" i="3" s="1"/>
  <c r="AQ130" i="11"/>
  <c r="AP130" i="11"/>
  <c r="AE131" i="3" s="1"/>
  <c r="AO130" i="11"/>
  <c r="AB131" i="3" s="1"/>
  <c r="AN130" i="11"/>
  <c r="Y131" i="3" s="1"/>
  <c r="AL130" i="11"/>
  <c r="T131" i="3" s="1"/>
  <c r="AK130" i="11"/>
  <c r="AS129" i="11"/>
  <c r="AD130" i="3" s="1"/>
  <c r="AR129" i="11"/>
  <c r="AJ130" i="3" s="1"/>
  <c r="AQ129" i="11"/>
  <c r="AP129" i="11"/>
  <c r="AE130" i="3" s="1"/>
  <c r="AO129" i="11"/>
  <c r="AB130" i="3" s="1"/>
  <c r="AN129" i="11"/>
  <c r="Y130" i="3" s="1"/>
  <c r="AL129" i="11"/>
  <c r="T130" i="3" s="1"/>
  <c r="AK129" i="11"/>
  <c r="AS128" i="11"/>
  <c r="AD129" i="3" s="1"/>
  <c r="AR128" i="11"/>
  <c r="AJ129" i="3" s="1"/>
  <c r="AQ128" i="11"/>
  <c r="AP128" i="11"/>
  <c r="AE129" i="3" s="1"/>
  <c r="AO128" i="11"/>
  <c r="AB129" i="3" s="1"/>
  <c r="AN128" i="11"/>
  <c r="Y129" i="3" s="1"/>
  <c r="AL128" i="11"/>
  <c r="T129" i="3" s="1"/>
  <c r="AK128" i="11"/>
  <c r="AS127" i="11"/>
  <c r="AD128" i="3" s="1"/>
  <c r="AR127" i="11"/>
  <c r="AJ128" i="3" s="1"/>
  <c r="AQ127" i="11"/>
  <c r="AP127" i="11"/>
  <c r="AE128" i="3" s="1"/>
  <c r="AO127" i="11"/>
  <c r="AB128" i="3" s="1"/>
  <c r="AN127" i="11"/>
  <c r="Y128" i="3" s="1"/>
  <c r="AL127" i="11"/>
  <c r="T128" i="3" s="1"/>
  <c r="AK127" i="11"/>
  <c r="AS126" i="11"/>
  <c r="AD127" i="3" s="1"/>
  <c r="AR126" i="11"/>
  <c r="AJ127" i="3" s="1"/>
  <c r="AQ126" i="11"/>
  <c r="AP126" i="11"/>
  <c r="AE127" i="3" s="1"/>
  <c r="AO126" i="11"/>
  <c r="AB127" i="3" s="1"/>
  <c r="AN126" i="11"/>
  <c r="Y127" i="3" s="1"/>
  <c r="AL126" i="11"/>
  <c r="T127" i="3" s="1"/>
  <c r="AK126" i="11"/>
  <c r="AS125" i="11"/>
  <c r="AD126" i="3" s="1"/>
  <c r="AR125" i="11"/>
  <c r="AJ126" i="3" s="1"/>
  <c r="AQ125" i="11"/>
  <c r="AP125" i="11"/>
  <c r="AE126" i="3" s="1"/>
  <c r="AO125" i="11"/>
  <c r="AB126" i="3" s="1"/>
  <c r="AN125" i="11"/>
  <c r="Y126" i="3" s="1"/>
  <c r="AL125" i="11"/>
  <c r="T126" i="3" s="1"/>
  <c r="AK125" i="11"/>
  <c r="AS124" i="11"/>
  <c r="AD125" i="3" s="1"/>
  <c r="AR124" i="11"/>
  <c r="AJ125" i="3" s="1"/>
  <c r="AQ124" i="11"/>
  <c r="AP124" i="11"/>
  <c r="AE125" i="3" s="1"/>
  <c r="AO124" i="11"/>
  <c r="AB125" i="3" s="1"/>
  <c r="AN124" i="11"/>
  <c r="Y125" i="3" s="1"/>
  <c r="AL124" i="11"/>
  <c r="T125" i="3" s="1"/>
  <c r="AK124" i="11"/>
  <c r="AS123" i="11"/>
  <c r="AD124" i="3" s="1"/>
  <c r="AR123" i="11"/>
  <c r="AJ124" i="3" s="1"/>
  <c r="AQ123" i="11"/>
  <c r="AP123" i="11"/>
  <c r="AE124" i="3" s="1"/>
  <c r="AO123" i="11"/>
  <c r="AB124" i="3" s="1"/>
  <c r="AN123" i="11"/>
  <c r="Y124" i="3" s="1"/>
  <c r="AL123" i="11"/>
  <c r="T124" i="3" s="1"/>
  <c r="AK123" i="11"/>
  <c r="AS122" i="11"/>
  <c r="AD123" i="3" s="1"/>
  <c r="AR122" i="11"/>
  <c r="AJ123" i="3" s="1"/>
  <c r="AQ122" i="11"/>
  <c r="AP122" i="11"/>
  <c r="AE123" i="3" s="1"/>
  <c r="AO122" i="11"/>
  <c r="AB123" i="3" s="1"/>
  <c r="AN122" i="11"/>
  <c r="Y123" i="3" s="1"/>
  <c r="AL122" i="11"/>
  <c r="T123" i="3" s="1"/>
  <c r="AK122" i="11"/>
  <c r="AS121" i="11"/>
  <c r="AD122" i="3" s="1"/>
  <c r="AR121" i="11"/>
  <c r="AJ122" i="3" s="1"/>
  <c r="AQ121" i="11"/>
  <c r="AP121" i="11"/>
  <c r="AE122" i="3" s="1"/>
  <c r="AO121" i="11"/>
  <c r="AB122" i="3" s="1"/>
  <c r="AN121" i="11"/>
  <c r="Y122" i="3" s="1"/>
  <c r="AL121" i="11"/>
  <c r="T122" i="3" s="1"/>
  <c r="AK121" i="11"/>
  <c r="AS120" i="11"/>
  <c r="AD121" i="3" s="1"/>
  <c r="AR120" i="11"/>
  <c r="AJ121" i="3" s="1"/>
  <c r="AQ120" i="11"/>
  <c r="AP120" i="11"/>
  <c r="AE121" i="3" s="1"/>
  <c r="AO120" i="11"/>
  <c r="AB121" i="3" s="1"/>
  <c r="AN120" i="11"/>
  <c r="Y121" i="3" s="1"/>
  <c r="AL120" i="11"/>
  <c r="T121" i="3" s="1"/>
  <c r="AK120" i="11"/>
  <c r="AS119" i="11"/>
  <c r="AD120" i="3" s="1"/>
  <c r="AR119" i="11"/>
  <c r="AJ120" i="3" s="1"/>
  <c r="AQ119" i="11"/>
  <c r="AP119" i="11"/>
  <c r="AE120" i="3" s="1"/>
  <c r="AO119" i="11"/>
  <c r="AB120" i="3" s="1"/>
  <c r="AN119" i="11"/>
  <c r="Y120" i="3" s="1"/>
  <c r="AL119" i="11"/>
  <c r="T120" i="3" s="1"/>
  <c r="AK119" i="11"/>
  <c r="AS118" i="11"/>
  <c r="AD119" i="3" s="1"/>
  <c r="AR118" i="11"/>
  <c r="AJ119" i="3" s="1"/>
  <c r="AQ118" i="11"/>
  <c r="AP118" i="11"/>
  <c r="AE119" i="3" s="1"/>
  <c r="AO118" i="11"/>
  <c r="AB119" i="3" s="1"/>
  <c r="AN118" i="11"/>
  <c r="Y119" i="3" s="1"/>
  <c r="AL118" i="11"/>
  <c r="T119" i="3" s="1"/>
  <c r="AK118" i="11"/>
  <c r="AS117" i="11"/>
  <c r="AD118" i="3" s="1"/>
  <c r="AR117" i="11"/>
  <c r="AJ118" i="3" s="1"/>
  <c r="AQ117" i="11"/>
  <c r="AP117" i="11"/>
  <c r="AE118" i="3" s="1"/>
  <c r="AO117" i="11"/>
  <c r="AB118" i="3" s="1"/>
  <c r="AN117" i="11"/>
  <c r="Y118" i="3" s="1"/>
  <c r="AL117" i="11"/>
  <c r="T118" i="3" s="1"/>
  <c r="AK117" i="11"/>
  <c r="AS116" i="11"/>
  <c r="AD117" i="3" s="1"/>
  <c r="AR116" i="11"/>
  <c r="AJ117" i="3" s="1"/>
  <c r="AQ116" i="11"/>
  <c r="AP116" i="11"/>
  <c r="AE117" i="3" s="1"/>
  <c r="AO116" i="11"/>
  <c r="AB117" i="3" s="1"/>
  <c r="AN116" i="11"/>
  <c r="Y117" i="3" s="1"/>
  <c r="AL116" i="11"/>
  <c r="T117" i="3" s="1"/>
  <c r="AK116" i="11"/>
  <c r="AS115" i="11"/>
  <c r="AD116" i="3" s="1"/>
  <c r="AR115" i="11"/>
  <c r="AJ116" i="3" s="1"/>
  <c r="AQ115" i="11"/>
  <c r="AP115" i="11"/>
  <c r="AE116" i="3" s="1"/>
  <c r="AO115" i="11"/>
  <c r="AB116" i="3" s="1"/>
  <c r="AN115" i="11"/>
  <c r="Y116" i="3" s="1"/>
  <c r="AL115" i="11"/>
  <c r="T116" i="3" s="1"/>
  <c r="AK115" i="11"/>
  <c r="AS114" i="11"/>
  <c r="AD115" i="3" s="1"/>
  <c r="AR114" i="11"/>
  <c r="AJ115" i="3" s="1"/>
  <c r="AQ114" i="11"/>
  <c r="AP114" i="11"/>
  <c r="AE115" i="3" s="1"/>
  <c r="AO114" i="11"/>
  <c r="AB115" i="3" s="1"/>
  <c r="AN114" i="11"/>
  <c r="Y115" i="3" s="1"/>
  <c r="AL114" i="11"/>
  <c r="T115" i="3" s="1"/>
  <c r="AK114" i="11"/>
  <c r="AS113" i="11"/>
  <c r="AD114" i="3" s="1"/>
  <c r="AR113" i="11"/>
  <c r="AJ114" i="3" s="1"/>
  <c r="AQ113" i="11"/>
  <c r="AP113" i="11"/>
  <c r="AE114" i="3" s="1"/>
  <c r="AO113" i="11"/>
  <c r="AB114" i="3" s="1"/>
  <c r="AN113" i="11"/>
  <c r="Y114" i="3" s="1"/>
  <c r="AL113" i="11"/>
  <c r="T114" i="3" s="1"/>
  <c r="AK113" i="11"/>
  <c r="AS112" i="11"/>
  <c r="AD113" i="3" s="1"/>
  <c r="AR112" i="11"/>
  <c r="AJ113" i="3" s="1"/>
  <c r="AQ112" i="11"/>
  <c r="AP112" i="11"/>
  <c r="AE113" i="3" s="1"/>
  <c r="AO112" i="11"/>
  <c r="AB113" i="3" s="1"/>
  <c r="AN112" i="11"/>
  <c r="Y113" i="3" s="1"/>
  <c r="AL112" i="11"/>
  <c r="T113" i="3" s="1"/>
  <c r="AK112" i="11"/>
  <c r="AS111" i="11"/>
  <c r="AD112" i="3" s="1"/>
  <c r="AR111" i="11"/>
  <c r="AJ112" i="3" s="1"/>
  <c r="AQ111" i="11"/>
  <c r="AP111" i="11"/>
  <c r="AE112" i="3" s="1"/>
  <c r="AO111" i="11"/>
  <c r="AB112" i="3" s="1"/>
  <c r="AN111" i="11"/>
  <c r="Y112" i="3" s="1"/>
  <c r="AL111" i="11"/>
  <c r="T112" i="3" s="1"/>
  <c r="AK111" i="11"/>
  <c r="AS110" i="11"/>
  <c r="AD111" i="3" s="1"/>
  <c r="AR110" i="11"/>
  <c r="AJ111" i="3" s="1"/>
  <c r="AQ110" i="11"/>
  <c r="AP110" i="11"/>
  <c r="AE111" i="3" s="1"/>
  <c r="AO110" i="11"/>
  <c r="AB111" i="3" s="1"/>
  <c r="AN110" i="11"/>
  <c r="Y111" i="3" s="1"/>
  <c r="AL110" i="11"/>
  <c r="T111" i="3" s="1"/>
  <c r="AK110" i="11"/>
  <c r="AS109" i="11"/>
  <c r="AD110" i="3" s="1"/>
  <c r="AR109" i="11"/>
  <c r="AJ110" i="3" s="1"/>
  <c r="AQ109" i="11"/>
  <c r="AP109" i="11"/>
  <c r="AE110" i="3" s="1"/>
  <c r="AO109" i="11"/>
  <c r="AB110" i="3" s="1"/>
  <c r="AN109" i="11"/>
  <c r="Y110" i="3" s="1"/>
  <c r="AL109" i="11"/>
  <c r="T110" i="3" s="1"/>
  <c r="AK109" i="11"/>
  <c r="AS108" i="11"/>
  <c r="AD109" i="3" s="1"/>
  <c r="AR108" i="11"/>
  <c r="AJ109" i="3" s="1"/>
  <c r="AQ108" i="11"/>
  <c r="AP108" i="11"/>
  <c r="AE109" i="3" s="1"/>
  <c r="AO108" i="11"/>
  <c r="AB109" i="3" s="1"/>
  <c r="AN108" i="11"/>
  <c r="Y109" i="3" s="1"/>
  <c r="AL108" i="11"/>
  <c r="T109" i="3" s="1"/>
  <c r="AK108" i="11"/>
  <c r="AS107" i="11"/>
  <c r="AD108" i="3" s="1"/>
  <c r="AR107" i="11"/>
  <c r="AJ108" i="3" s="1"/>
  <c r="AQ107" i="11"/>
  <c r="AP107" i="11"/>
  <c r="AE108" i="3" s="1"/>
  <c r="AO107" i="11"/>
  <c r="AB108" i="3" s="1"/>
  <c r="AN107" i="11"/>
  <c r="Y108" i="3" s="1"/>
  <c r="AL107" i="11"/>
  <c r="T108" i="3" s="1"/>
  <c r="AK107" i="11"/>
  <c r="AS106" i="11"/>
  <c r="AD107" i="3" s="1"/>
  <c r="AR106" i="11"/>
  <c r="AJ107" i="3" s="1"/>
  <c r="AQ106" i="11"/>
  <c r="AP106" i="11"/>
  <c r="AE107" i="3" s="1"/>
  <c r="AO106" i="11"/>
  <c r="AB107" i="3" s="1"/>
  <c r="AN106" i="11"/>
  <c r="Y107" i="3" s="1"/>
  <c r="AL106" i="11"/>
  <c r="T107" i="3" s="1"/>
  <c r="AK106" i="11"/>
  <c r="AS105" i="11"/>
  <c r="AD106" i="3" s="1"/>
  <c r="AR105" i="11"/>
  <c r="AJ106" i="3" s="1"/>
  <c r="AQ105" i="11"/>
  <c r="AP105" i="11"/>
  <c r="AE106" i="3" s="1"/>
  <c r="AO105" i="11"/>
  <c r="AB106" i="3" s="1"/>
  <c r="AN105" i="11"/>
  <c r="Y106" i="3" s="1"/>
  <c r="AL105" i="11"/>
  <c r="T106" i="3" s="1"/>
  <c r="AK105" i="11"/>
  <c r="AS104" i="11"/>
  <c r="AD105" i="3" s="1"/>
  <c r="AR104" i="11"/>
  <c r="AJ105" i="3" s="1"/>
  <c r="AQ104" i="11"/>
  <c r="AP104" i="11"/>
  <c r="AE105" i="3" s="1"/>
  <c r="AO104" i="11"/>
  <c r="AB105" i="3" s="1"/>
  <c r="AN104" i="11"/>
  <c r="Y105" i="3" s="1"/>
  <c r="AL104" i="11"/>
  <c r="T105" i="3" s="1"/>
  <c r="AK104" i="11"/>
  <c r="AS103" i="11"/>
  <c r="AD104" i="3" s="1"/>
  <c r="AR103" i="11"/>
  <c r="AJ104" i="3" s="1"/>
  <c r="AQ103" i="11"/>
  <c r="AP103" i="11"/>
  <c r="AE104" i="3" s="1"/>
  <c r="AO103" i="11"/>
  <c r="AB104" i="3" s="1"/>
  <c r="AN103" i="11"/>
  <c r="Y104" i="3" s="1"/>
  <c r="AL103" i="11"/>
  <c r="T104" i="3" s="1"/>
  <c r="AK103" i="11"/>
  <c r="AS102" i="11"/>
  <c r="AD103" i="3" s="1"/>
  <c r="AR102" i="11"/>
  <c r="AJ103" i="3" s="1"/>
  <c r="AQ102" i="11"/>
  <c r="AP102" i="11"/>
  <c r="AE103" i="3" s="1"/>
  <c r="AO102" i="11"/>
  <c r="AB103" i="3" s="1"/>
  <c r="AN102" i="11"/>
  <c r="Y103" i="3" s="1"/>
  <c r="AL102" i="11"/>
  <c r="T103" i="3" s="1"/>
  <c r="AK102" i="11"/>
  <c r="AS101" i="11"/>
  <c r="AD102" i="3" s="1"/>
  <c r="AR101" i="11"/>
  <c r="AJ102" i="3" s="1"/>
  <c r="AQ101" i="11"/>
  <c r="AP101" i="11"/>
  <c r="AE102" i="3" s="1"/>
  <c r="AO101" i="11"/>
  <c r="AB102" i="3" s="1"/>
  <c r="AN101" i="11"/>
  <c r="Y102" i="3" s="1"/>
  <c r="AL101" i="11"/>
  <c r="T102" i="3" s="1"/>
  <c r="AK101" i="11"/>
  <c r="AS100" i="11"/>
  <c r="AD101" i="3" s="1"/>
  <c r="AR100" i="11"/>
  <c r="AJ101" i="3" s="1"/>
  <c r="AQ100" i="11"/>
  <c r="AP100" i="11"/>
  <c r="AE101" i="3" s="1"/>
  <c r="AO100" i="11"/>
  <c r="AB101" i="3" s="1"/>
  <c r="AN100" i="11"/>
  <c r="Y101" i="3" s="1"/>
  <c r="AL100" i="11"/>
  <c r="T101" i="3" s="1"/>
  <c r="AK100" i="11"/>
  <c r="AS99" i="11"/>
  <c r="AD100" i="3" s="1"/>
  <c r="AR99" i="11"/>
  <c r="AJ100" i="3" s="1"/>
  <c r="AQ99" i="11"/>
  <c r="AP99" i="11"/>
  <c r="AE100" i="3" s="1"/>
  <c r="AO99" i="11"/>
  <c r="AB100" i="3" s="1"/>
  <c r="AN99" i="11"/>
  <c r="Y100" i="3" s="1"/>
  <c r="AL99" i="11"/>
  <c r="T100" i="3" s="1"/>
  <c r="AK99" i="11"/>
  <c r="AS98" i="11"/>
  <c r="AD99" i="3" s="1"/>
  <c r="AR98" i="11"/>
  <c r="AJ99" i="3" s="1"/>
  <c r="AQ98" i="11"/>
  <c r="AP98" i="11"/>
  <c r="AE99" i="3" s="1"/>
  <c r="AO98" i="11"/>
  <c r="AB99" i="3" s="1"/>
  <c r="AN98" i="11"/>
  <c r="Y99" i="3" s="1"/>
  <c r="AL98" i="11"/>
  <c r="T99" i="3" s="1"/>
  <c r="AK98" i="11"/>
  <c r="AS97" i="11"/>
  <c r="AD98" i="3" s="1"/>
  <c r="AR97" i="11"/>
  <c r="AJ98" i="3" s="1"/>
  <c r="AQ97" i="11"/>
  <c r="AP97" i="11"/>
  <c r="AE98" i="3" s="1"/>
  <c r="AO97" i="11"/>
  <c r="AB98" i="3" s="1"/>
  <c r="AN97" i="11"/>
  <c r="Y98" i="3" s="1"/>
  <c r="AL97" i="11"/>
  <c r="T98" i="3" s="1"/>
  <c r="AK97" i="11"/>
  <c r="AS96" i="11"/>
  <c r="AD97" i="3" s="1"/>
  <c r="AR96" i="11"/>
  <c r="AJ97" i="3" s="1"/>
  <c r="AQ96" i="11"/>
  <c r="AP96" i="11"/>
  <c r="AE97" i="3" s="1"/>
  <c r="AO96" i="11"/>
  <c r="AB97" i="3" s="1"/>
  <c r="AN96" i="11"/>
  <c r="Y97" i="3" s="1"/>
  <c r="AL96" i="11"/>
  <c r="T97" i="3" s="1"/>
  <c r="AK96" i="11"/>
  <c r="AS95" i="11"/>
  <c r="AD96" i="3" s="1"/>
  <c r="AR95" i="11"/>
  <c r="AJ96" i="3" s="1"/>
  <c r="AQ95" i="11"/>
  <c r="AP95" i="11"/>
  <c r="AE96" i="3" s="1"/>
  <c r="AO95" i="11"/>
  <c r="AB96" i="3" s="1"/>
  <c r="AN95" i="11"/>
  <c r="Y96" i="3" s="1"/>
  <c r="AL95" i="11"/>
  <c r="T96" i="3" s="1"/>
  <c r="AK95" i="11"/>
  <c r="AS94" i="11"/>
  <c r="AD95" i="3" s="1"/>
  <c r="AR94" i="11"/>
  <c r="AJ95" i="3" s="1"/>
  <c r="AQ94" i="11"/>
  <c r="AP94" i="11"/>
  <c r="AE95" i="3" s="1"/>
  <c r="AO94" i="11"/>
  <c r="AB95" i="3" s="1"/>
  <c r="AN94" i="11"/>
  <c r="Y95" i="3" s="1"/>
  <c r="AL94" i="11"/>
  <c r="T95" i="3" s="1"/>
  <c r="AK94" i="11"/>
  <c r="AS93" i="11"/>
  <c r="AD94" i="3" s="1"/>
  <c r="AR93" i="11"/>
  <c r="AJ94" i="3" s="1"/>
  <c r="AQ93" i="11"/>
  <c r="AP93" i="11"/>
  <c r="AE94" i="3" s="1"/>
  <c r="AO93" i="11"/>
  <c r="AB94" i="3" s="1"/>
  <c r="AN93" i="11"/>
  <c r="Y94" i="3" s="1"/>
  <c r="AL93" i="11"/>
  <c r="T94" i="3" s="1"/>
  <c r="AK93" i="11"/>
  <c r="AS92" i="11"/>
  <c r="AD93" i="3" s="1"/>
  <c r="AR92" i="11"/>
  <c r="AJ93" i="3" s="1"/>
  <c r="AQ92" i="11"/>
  <c r="AP92" i="11"/>
  <c r="AE93" i="3" s="1"/>
  <c r="AO92" i="11"/>
  <c r="AB93" i="3" s="1"/>
  <c r="AN92" i="11"/>
  <c r="Y93" i="3" s="1"/>
  <c r="AL92" i="11"/>
  <c r="T93" i="3" s="1"/>
  <c r="AK92" i="11"/>
  <c r="AS91" i="11"/>
  <c r="AD92" i="3" s="1"/>
  <c r="AR91" i="11"/>
  <c r="AJ92" i="3" s="1"/>
  <c r="AQ91" i="11"/>
  <c r="AP91" i="11"/>
  <c r="AE92" i="3" s="1"/>
  <c r="AO91" i="11"/>
  <c r="AB92" i="3" s="1"/>
  <c r="AN91" i="11"/>
  <c r="Y92" i="3" s="1"/>
  <c r="AL91" i="11"/>
  <c r="T92" i="3" s="1"/>
  <c r="AK91" i="11"/>
  <c r="AS90" i="11"/>
  <c r="AD91" i="3" s="1"/>
  <c r="AR90" i="11"/>
  <c r="AJ91" i="3" s="1"/>
  <c r="AQ90" i="11"/>
  <c r="AP90" i="11"/>
  <c r="AE91" i="3" s="1"/>
  <c r="AO90" i="11"/>
  <c r="AB91" i="3" s="1"/>
  <c r="AN90" i="11"/>
  <c r="Y91" i="3" s="1"/>
  <c r="AL90" i="11"/>
  <c r="T91" i="3" s="1"/>
  <c r="AK90" i="11"/>
  <c r="AS89" i="11"/>
  <c r="AD90" i="3" s="1"/>
  <c r="AR89" i="11"/>
  <c r="AJ90" i="3" s="1"/>
  <c r="AQ89" i="11"/>
  <c r="AP89" i="11"/>
  <c r="AE90" i="3" s="1"/>
  <c r="AO89" i="11"/>
  <c r="AB90" i="3" s="1"/>
  <c r="AN89" i="11"/>
  <c r="Y90" i="3" s="1"/>
  <c r="AL89" i="11"/>
  <c r="T90" i="3" s="1"/>
  <c r="AK89" i="11"/>
  <c r="AS88" i="11"/>
  <c r="AD89" i="3" s="1"/>
  <c r="AR88" i="11"/>
  <c r="AJ89" i="3" s="1"/>
  <c r="AQ88" i="11"/>
  <c r="AP88" i="11"/>
  <c r="AE89" i="3" s="1"/>
  <c r="AO88" i="11"/>
  <c r="AB89" i="3" s="1"/>
  <c r="AN88" i="11"/>
  <c r="Y89" i="3" s="1"/>
  <c r="AL88" i="11"/>
  <c r="T89" i="3" s="1"/>
  <c r="AK88" i="11"/>
  <c r="AS87" i="11"/>
  <c r="AD88" i="3" s="1"/>
  <c r="AR87" i="11"/>
  <c r="AJ88" i="3" s="1"/>
  <c r="AQ87" i="11"/>
  <c r="AP87" i="11"/>
  <c r="AE88" i="3" s="1"/>
  <c r="AO87" i="11"/>
  <c r="AB88" i="3" s="1"/>
  <c r="AN87" i="11"/>
  <c r="Y88" i="3" s="1"/>
  <c r="AL87" i="11"/>
  <c r="T88" i="3" s="1"/>
  <c r="AK87" i="11"/>
  <c r="AS86" i="11"/>
  <c r="AD87" i="3" s="1"/>
  <c r="AR86" i="11"/>
  <c r="AJ87" i="3" s="1"/>
  <c r="AQ86" i="11"/>
  <c r="AP86" i="11"/>
  <c r="AE87" i="3" s="1"/>
  <c r="AO86" i="11"/>
  <c r="AB87" i="3" s="1"/>
  <c r="AN86" i="11"/>
  <c r="Y87" i="3" s="1"/>
  <c r="AL86" i="11"/>
  <c r="T87" i="3" s="1"/>
  <c r="AK86" i="11"/>
  <c r="AS85" i="11"/>
  <c r="AD86" i="3" s="1"/>
  <c r="AR85" i="11"/>
  <c r="AJ86" i="3" s="1"/>
  <c r="AQ85" i="11"/>
  <c r="AP85" i="11"/>
  <c r="AE86" i="3" s="1"/>
  <c r="AO85" i="11"/>
  <c r="AB86" i="3" s="1"/>
  <c r="AN85" i="11"/>
  <c r="Y86" i="3" s="1"/>
  <c r="AL85" i="11"/>
  <c r="T86" i="3" s="1"/>
  <c r="AK85" i="11"/>
  <c r="AS84" i="11"/>
  <c r="AD85" i="3" s="1"/>
  <c r="AR84" i="11"/>
  <c r="AJ85" i="3" s="1"/>
  <c r="AQ84" i="11"/>
  <c r="AP84" i="11"/>
  <c r="AE85" i="3" s="1"/>
  <c r="AO84" i="11"/>
  <c r="AB85" i="3" s="1"/>
  <c r="AN84" i="11"/>
  <c r="Y85" i="3" s="1"/>
  <c r="AL84" i="11"/>
  <c r="T85" i="3" s="1"/>
  <c r="AK84" i="11"/>
  <c r="AS83" i="11"/>
  <c r="AD84" i="3" s="1"/>
  <c r="AR83" i="11"/>
  <c r="AJ84" i="3" s="1"/>
  <c r="AQ83" i="11"/>
  <c r="AP83" i="11"/>
  <c r="AE84" i="3" s="1"/>
  <c r="AO83" i="11"/>
  <c r="AB84" i="3" s="1"/>
  <c r="AN83" i="11"/>
  <c r="Y84" i="3" s="1"/>
  <c r="AL83" i="11"/>
  <c r="T84" i="3" s="1"/>
  <c r="AK83" i="11"/>
  <c r="AS82" i="11"/>
  <c r="AD83" i="3" s="1"/>
  <c r="AR82" i="11"/>
  <c r="AJ83" i="3" s="1"/>
  <c r="AQ82" i="11"/>
  <c r="AP82" i="11"/>
  <c r="AE83" i="3" s="1"/>
  <c r="AO82" i="11"/>
  <c r="AB83" i="3" s="1"/>
  <c r="AN82" i="11"/>
  <c r="Y83" i="3" s="1"/>
  <c r="AL82" i="11"/>
  <c r="T83" i="3" s="1"/>
  <c r="AK82" i="11"/>
  <c r="AS81" i="11"/>
  <c r="AD82" i="3" s="1"/>
  <c r="AR81" i="11"/>
  <c r="AJ82" i="3" s="1"/>
  <c r="AQ81" i="11"/>
  <c r="AP81" i="11"/>
  <c r="AE82" i="3" s="1"/>
  <c r="AO81" i="11"/>
  <c r="AB82" i="3" s="1"/>
  <c r="AN81" i="11"/>
  <c r="Y82" i="3" s="1"/>
  <c r="AL81" i="11"/>
  <c r="T82" i="3" s="1"/>
  <c r="AK81" i="11"/>
  <c r="AS80" i="11"/>
  <c r="AD81" i="3" s="1"/>
  <c r="AR80" i="11"/>
  <c r="AJ81" i="3" s="1"/>
  <c r="AQ80" i="11"/>
  <c r="AP80" i="11"/>
  <c r="AE81" i="3" s="1"/>
  <c r="AO80" i="11"/>
  <c r="AB81" i="3" s="1"/>
  <c r="AN80" i="11"/>
  <c r="Y81" i="3" s="1"/>
  <c r="AL80" i="11"/>
  <c r="T81" i="3" s="1"/>
  <c r="AK80" i="11"/>
  <c r="AS79" i="11"/>
  <c r="AD80" i="3" s="1"/>
  <c r="AR79" i="11"/>
  <c r="AJ80" i="3" s="1"/>
  <c r="AQ79" i="11"/>
  <c r="AP79" i="11"/>
  <c r="AE80" i="3" s="1"/>
  <c r="AO79" i="11"/>
  <c r="AB80" i="3" s="1"/>
  <c r="AN79" i="11"/>
  <c r="Y80" i="3" s="1"/>
  <c r="AL79" i="11"/>
  <c r="T80" i="3" s="1"/>
  <c r="AK79" i="11"/>
  <c r="AS78" i="11"/>
  <c r="AD79" i="3" s="1"/>
  <c r="AR78" i="11"/>
  <c r="AJ79" i="3" s="1"/>
  <c r="AQ78" i="11"/>
  <c r="AP78" i="11"/>
  <c r="AE79" i="3" s="1"/>
  <c r="AO78" i="11"/>
  <c r="AB79" i="3" s="1"/>
  <c r="AN78" i="11"/>
  <c r="Y79" i="3" s="1"/>
  <c r="AL78" i="11"/>
  <c r="T79" i="3" s="1"/>
  <c r="AK78" i="11"/>
  <c r="AS77" i="11"/>
  <c r="AD78" i="3" s="1"/>
  <c r="AR77" i="11"/>
  <c r="AJ78" i="3" s="1"/>
  <c r="AQ77" i="11"/>
  <c r="AP77" i="11"/>
  <c r="AE78" i="3" s="1"/>
  <c r="AO77" i="11"/>
  <c r="AB78" i="3" s="1"/>
  <c r="AN77" i="11"/>
  <c r="Y78" i="3" s="1"/>
  <c r="AL77" i="11"/>
  <c r="T78" i="3" s="1"/>
  <c r="AK77" i="11"/>
  <c r="AS76" i="11"/>
  <c r="AD77" i="3" s="1"/>
  <c r="AR76" i="11"/>
  <c r="AJ77" i="3" s="1"/>
  <c r="AQ76" i="11"/>
  <c r="AP76" i="11"/>
  <c r="AE77" i="3" s="1"/>
  <c r="AO76" i="11"/>
  <c r="AB77" i="3" s="1"/>
  <c r="AN76" i="11"/>
  <c r="Y77" i="3" s="1"/>
  <c r="AL76" i="11"/>
  <c r="T77" i="3" s="1"/>
  <c r="AK76" i="11"/>
  <c r="AS75" i="11"/>
  <c r="AD76" i="3" s="1"/>
  <c r="AR75" i="11"/>
  <c r="AJ76" i="3" s="1"/>
  <c r="AQ75" i="11"/>
  <c r="AP75" i="11"/>
  <c r="AE76" i="3" s="1"/>
  <c r="AO75" i="11"/>
  <c r="AB76" i="3" s="1"/>
  <c r="AN75" i="11"/>
  <c r="Y76" i="3" s="1"/>
  <c r="AL75" i="11"/>
  <c r="T76" i="3" s="1"/>
  <c r="AK75" i="11"/>
  <c r="AS74" i="11"/>
  <c r="AD75" i="3" s="1"/>
  <c r="AR74" i="11"/>
  <c r="AJ75" i="3" s="1"/>
  <c r="AQ74" i="11"/>
  <c r="AP74" i="11"/>
  <c r="AE75" i="3" s="1"/>
  <c r="AO74" i="11"/>
  <c r="AB75" i="3" s="1"/>
  <c r="AN74" i="11"/>
  <c r="Y75" i="3" s="1"/>
  <c r="AL74" i="11"/>
  <c r="T75" i="3" s="1"/>
  <c r="AK74" i="11"/>
  <c r="AS73" i="11"/>
  <c r="AD74" i="3" s="1"/>
  <c r="AR73" i="11"/>
  <c r="AJ74" i="3" s="1"/>
  <c r="AQ73" i="11"/>
  <c r="AP73" i="11"/>
  <c r="AE74" i="3" s="1"/>
  <c r="AO73" i="11"/>
  <c r="AB74" i="3" s="1"/>
  <c r="AN73" i="11"/>
  <c r="Y74" i="3" s="1"/>
  <c r="AL73" i="11"/>
  <c r="T74" i="3" s="1"/>
  <c r="AK73" i="11"/>
  <c r="AS72" i="11"/>
  <c r="AD73" i="3" s="1"/>
  <c r="AR72" i="11"/>
  <c r="AJ73" i="3" s="1"/>
  <c r="AQ72" i="11"/>
  <c r="AP72" i="11"/>
  <c r="AE73" i="3" s="1"/>
  <c r="AO72" i="11"/>
  <c r="AB73" i="3" s="1"/>
  <c r="AN72" i="11"/>
  <c r="Y73" i="3" s="1"/>
  <c r="AL72" i="11"/>
  <c r="T73" i="3" s="1"/>
  <c r="AK72" i="11"/>
  <c r="AS71" i="11"/>
  <c r="AD72" i="3" s="1"/>
  <c r="AR71" i="11"/>
  <c r="AJ72" i="3" s="1"/>
  <c r="AQ71" i="11"/>
  <c r="AP71" i="11"/>
  <c r="AE72" i="3" s="1"/>
  <c r="AO71" i="11"/>
  <c r="AB72" i="3" s="1"/>
  <c r="AN71" i="11"/>
  <c r="Y72" i="3" s="1"/>
  <c r="AL71" i="11"/>
  <c r="T72" i="3" s="1"/>
  <c r="AS70" i="11"/>
  <c r="AD71" i="3" s="1"/>
  <c r="AR70" i="11"/>
  <c r="AJ71" i="3" s="1"/>
  <c r="AQ70" i="11"/>
  <c r="AP70" i="11"/>
  <c r="AE71" i="3" s="1"/>
  <c r="AO70" i="11"/>
  <c r="AB71" i="3" s="1"/>
  <c r="AN70" i="11"/>
  <c r="Y71" i="3" s="1"/>
  <c r="AL70" i="11"/>
  <c r="T71" i="3" s="1"/>
  <c r="AK70" i="11"/>
  <c r="AS69" i="11"/>
  <c r="AD70" i="3" s="1"/>
  <c r="AR69" i="11"/>
  <c r="AJ70" i="3" s="1"/>
  <c r="AQ69" i="11"/>
  <c r="AP69" i="11"/>
  <c r="AE70" i="3" s="1"/>
  <c r="AO69" i="11"/>
  <c r="AB70" i="3" s="1"/>
  <c r="AN69" i="11"/>
  <c r="Y70" i="3" s="1"/>
  <c r="AL69" i="11"/>
  <c r="T70" i="3" s="1"/>
  <c r="AK69" i="11"/>
  <c r="AS68" i="11"/>
  <c r="AD69" i="3" s="1"/>
  <c r="AR68" i="11"/>
  <c r="AJ69" i="3" s="1"/>
  <c r="AQ68" i="11"/>
  <c r="AP68" i="11"/>
  <c r="AE69" i="3" s="1"/>
  <c r="AO68" i="11"/>
  <c r="AB69" i="3" s="1"/>
  <c r="AN68" i="11"/>
  <c r="Y69" i="3" s="1"/>
  <c r="AL68" i="11"/>
  <c r="T69" i="3" s="1"/>
  <c r="AK68" i="11"/>
  <c r="AS67" i="11"/>
  <c r="AD68" i="3" s="1"/>
  <c r="AR67" i="11"/>
  <c r="AJ68" i="3" s="1"/>
  <c r="AQ67" i="11"/>
  <c r="AP67" i="11"/>
  <c r="AE68" i="3" s="1"/>
  <c r="AO67" i="11"/>
  <c r="AB68" i="3" s="1"/>
  <c r="AN67" i="11"/>
  <c r="Y68" i="3" s="1"/>
  <c r="AL67" i="11"/>
  <c r="T68" i="3" s="1"/>
  <c r="AK67" i="11"/>
  <c r="AS66" i="11"/>
  <c r="AD67" i="3" s="1"/>
  <c r="AR66" i="11"/>
  <c r="AJ67" i="3" s="1"/>
  <c r="AQ66" i="11"/>
  <c r="AP66" i="11"/>
  <c r="AE67" i="3" s="1"/>
  <c r="AO66" i="11"/>
  <c r="AB67" i="3" s="1"/>
  <c r="AN66" i="11"/>
  <c r="Y67" i="3" s="1"/>
  <c r="AL66" i="11"/>
  <c r="T67" i="3" s="1"/>
  <c r="AK66" i="11"/>
  <c r="AS65" i="11"/>
  <c r="AD66" i="3" s="1"/>
  <c r="AR65" i="11"/>
  <c r="AJ66" i="3" s="1"/>
  <c r="AQ65" i="11"/>
  <c r="AP65" i="11"/>
  <c r="AE66" i="3" s="1"/>
  <c r="AO65" i="11"/>
  <c r="AB66" i="3" s="1"/>
  <c r="AN65" i="11"/>
  <c r="Y66" i="3" s="1"/>
  <c r="AL65" i="11"/>
  <c r="T66" i="3" s="1"/>
  <c r="AK65" i="11"/>
  <c r="AS64" i="11"/>
  <c r="AD65" i="3" s="1"/>
  <c r="AR64" i="11"/>
  <c r="AJ65" i="3" s="1"/>
  <c r="AQ64" i="11"/>
  <c r="AP64" i="11"/>
  <c r="AE65" i="3" s="1"/>
  <c r="AO64" i="11"/>
  <c r="AB65" i="3" s="1"/>
  <c r="AN64" i="11"/>
  <c r="Y65" i="3" s="1"/>
  <c r="AL64" i="11"/>
  <c r="T65" i="3" s="1"/>
  <c r="AK64" i="11"/>
  <c r="AS63" i="11"/>
  <c r="AD64" i="3" s="1"/>
  <c r="AR63" i="11"/>
  <c r="AJ64" i="3" s="1"/>
  <c r="AQ63" i="11"/>
  <c r="AP63" i="11"/>
  <c r="AE64" i="3" s="1"/>
  <c r="AO63" i="11"/>
  <c r="AB64" i="3" s="1"/>
  <c r="AN63" i="11"/>
  <c r="Y64" i="3" s="1"/>
  <c r="AL63" i="11"/>
  <c r="T64" i="3" s="1"/>
  <c r="AK63" i="11"/>
  <c r="AS62" i="11"/>
  <c r="AD63" i="3" s="1"/>
  <c r="AR62" i="11"/>
  <c r="AJ63" i="3" s="1"/>
  <c r="AQ62" i="11"/>
  <c r="AP62" i="11"/>
  <c r="AE63" i="3" s="1"/>
  <c r="AO62" i="11"/>
  <c r="AB63" i="3" s="1"/>
  <c r="AN62" i="11"/>
  <c r="Y63" i="3" s="1"/>
  <c r="AL62" i="11"/>
  <c r="T63" i="3" s="1"/>
  <c r="AK62" i="11"/>
  <c r="AS61" i="11"/>
  <c r="AD62" i="3" s="1"/>
  <c r="AR61" i="11"/>
  <c r="AJ62" i="3" s="1"/>
  <c r="AQ61" i="11"/>
  <c r="AP61" i="11"/>
  <c r="AE62" i="3" s="1"/>
  <c r="AO61" i="11"/>
  <c r="AB62" i="3" s="1"/>
  <c r="AN61" i="11"/>
  <c r="Y62" i="3" s="1"/>
  <c r="AL61" i="11"/>
  <c r="T62" i="3" s="1"/>
  <c r="AK61" i="11"/>
  <c r="AS60" i="11"/>
  <c r="AD61" i="3" s="1"/>
  <c r="AR60" i="11"/>
  <c r="AJ61" i="3" s="1"/>
  <c r="AQ60" i="11"/>
  <c r="AP60" i="11"/>
  <c r="AE61" i="3" s="1"/>
  <c r="AO60" i="11"/>
  <c r="AB61" i="3" s="1"/>
  <c r="AN60" i="11"/>
  <c r="Y61" i="3" s="1"/>
  <c r="AL60" i="11"/>
  <c r="T61" i="3" s="1"/>
  <c r="AK60" i="11"/>
  <c r="AS59" i="11"/>
  <c r="AD60" i="3" s="1"/>
  <c r="AR59" i="11"/>
  <c r="AJ60" i="3" s="1"/>
  <c r="AQ59" i="11"/>
  <c r="AP59" i="11"/>
  <c r="AE60" i="3" s="1"/>
  <c r="AO59" i="11"/>
  <c r="AB60" i="3" s="1"/>
  <c r="AN59" i="11"/>
  <c r="Y60" i="3" s="1"/>
  <c r="AL59" i="11"/>
  <c r="T60" i="3" s="1"/>
  <c r="AK59" i="11"/>
  <c r="AS58" i="11"/>
  <c r="AD59" i="3" s="1"/>
  <c r="AR58" i="11"/>
  <c r="AJ59" i="3" s="1"/>
  <c r="AQ58" i="11"/>
  <c r="AP58" i="11"/>
  <c r="AE59" i="3" s="1"/>
  <c r="AO58" i="11"/>
  <c r="AB59" i="3" s="1"/>
  <c r="AN58" i="11"/>
  <c r="Y59" i="3" s="1"/>
  <c r="AL58" i="11"/>
  <c r="T59" i="3" s="1"/>
  <c r="AK58" i="11"/>
  <c r="AS57" i="11"/>
  <c r="AD58" i="3" s="1"/>
  <c r="AR57" i="11"/>
  <c r="AJ58" i="3" s="1"/>
  <c r="AQ57" i="11"/>
  <c r="AP57" i="11"/>
  <c r="AE58" i="3" s="1"/>
  <c r="AO57" i="11"/>
  <c r="AB58" i="3" s="1"/>
  <c r="AN57" i="11"/>
  <c r="Y58" i="3" s="1"/>
  <c r="AL57" i="11"/>
  <c r="T58" i="3" s="1"/>
  <c r="AK57" i="11"/>
  <c r="AS56" i="11"/>
  <c r="AD57" i="3" s="1"/>
  <c r="AR56" i="11"/>
  <c r="AJ57" i="3" s="1"/>
  <c r="AQ56" i="11"/>
  <c r="AP56" i="11"/>
  <c r="AE57" i="3" s="1"/>
  <c r="AO56" i="11"/>
  <c r="AB57" i="3" s="1"/>
  <c r="AN56" i="11"/>
  <c r="Y57" i="3" s="1"/>
  <c r="AL56" i="11"/>
  <c r="T57" i="3" s="1"/>
  <c r="AK56" i="11"/>
  <c r="AS55" i="11"/>
  <c r="AD56" i="3" s="1"/>
  <c r="AR55" i="11"/>
  <c r="AJ56" i="3" s="1"/>
  <c r="AQ55" i="11"/>
  <c r="AP55" i="11"/>
  <c r="AE56" i="3" s="1"/>
  <c r="AO55" i="11"/>
  <c r="AB56" i="3" s="1"/>
  <c r="AN55" i="11"/>
  <c r="Y56" i="3" s="1"/>
  <c r="AL55" i="11"/>
  <c r="T56" i="3" s="1"/>
  <c r="AK55" i="11"/>
  <c r="AS54" i="11"/>
  <c r="AD55" i="3" s="1"/>
  <c r="AR54" i="11"/>
  <c r="AJ55" i="3" s="1"/>
  <c r="AQ54" i="11"/>
  <c r="AP54" i="11"/>
  <c r="AE55" i="3" s="1"/>
  <c r="AO54" i="11"/>
  <c r="AB55" i="3" s="1"/>
  <c r="AN54" i="11"/>
  <c r="Y55" i="3" s="1"/>
  <c r="AL54" i="11"/>
  <c r="T55" i="3" s="1"/>
  <c r="AK54" i="11"/>
  <c r="AS53" i="11"/>
  <c r="AD54" i="3" s="1"/>
  <c r="AR53" i="11"/>
  <c r="AJ54" i="3" s="1"/>
  <c r="AQ53" i="11"/>
  <c r="AP53" i="11"/>
  <c r="AE54" i="3" s="1"/>
  <c r="AO53" i="11"/>
  <c r="AB54" i="3" s="1"/>
  <c r="AN53" i="11"/>
  <c r="Y54" i="3" s="1"/>
  <c r="AL53" i="11"/>
  <c r="T54" i="3" s="1"/>
  <c r="AK53" i="11"/>
  <c r="AS52" i="11"/>
  <c r="AD53" i="3" s="1"/>
  <c r="AR52" i="11"/>
  <c r="AJ53" i="3" s="1"/>
  <c r="AQ52" i="11"/>
  <c r="AP52" i="11"/>
  <c r="AE53" i="3" s="1"/>
  <c r="AO52" i="11"/>
  <c r="AB53" i="3" s="1"/>
  <c r="AN52" i="11"/>
  <c r="Y53" i="3" s="1"/>
  <c r="AL52" i="11"/>
  <c r="T53" i="3" s="1"/>
  <c r="AK52" i="11"/>
  <c r="AS51" i="11"/>
  <c r="AD52" i="3" s="1"/>
  <c r="AR51" i="11"/>
  <c r="AJ52" i="3" s="1"/>
  <c r="AQ51" i="11"/>
  <c r="AP51" i="11"/>
  <c r="AE52" i="3" s="1"/>
  <c r="AO51" i="11"/>
  <c r="AB52" i="3" s="1"/>
  <c r="AN51" i="11"/>
  <c r="Y52" i="3" s="1"/>
  <c r="AL51" i="11"/>
  <c r="T52" i="3" s="1"/>
  <c r="AK51" i="11"/>
  <c r="AS50" i="11"/>
  <c r="AD51" i="3" s="1"/>
  <c r="AR50" i="11"/>
  <c r="AJ51" i="3" s="1"/>
  <c r="AQ50" i="11"/>
  <c r="AP50" i="11"/>
  <c r="AE51" i="3" s="1"/>
  <c r="AO50" i="11"/>
  <c r="AB51" i="3" s="1"/>
  <c r="AN50" i="11"/>
  <c r="Y51" i="3" s="1"/>
  <c r="AL50" i="11"/>
  <c r="T51" i="3" s="1"/>
  <c r="AK50" i="11"/>
  <c r="AS49" i="11"/>
  <c r="AD50" i="3" s="1"/>
  <c r="AR49" i="11"/>
  <c r="AJ50" i="3" s="1"/>
  <c r="AQ49" i="11"/>
  <c r="AP49" i="11"/>
  <c r="AE50" i="3" s="1"/>
  <c r="AO49" i="11"/>
  <c r="AB50" i="3" s="1"/>
  <c r="AN49" i="11"/>
  <c r="Y50" i="3" s="1"/>
  <c r="AL49" i="11"/>
  <c r="T50" i="3" s="1"/>
  <c r="AK49" i="11"/>
  <c r="AS48" i="11"/>
  <c r="AD49" i="3" s="1"/>
  <c r="AR48" i="11"/>
  <c r="AJ49" i="3" s="1"/>
  <c r="AQ48" i="11"/>
  <c r="AP48" i="11"/>
  <c r="AE49" i="3" s="1"/>
  <c r="AO48" i="11"/>
  <c r="AB49" i="3" s="1"/>
  <c r="AN48" i="11"/>
  <c r="Y49" i="3" s="1"/>
  <c r="AL48" i="11"/>
  <c r="T49" i="3" s="1"/>
  <c r="AK48" i="11"/>
  <c r="AS47" i="11"/>
  <c r="AD48" i="3" s="1"/>
  <c r="AR47" i="11"/>
  <c r="AJ48" i="3" s="1"/>
  <c r="AQ47" i="11"/>
  <c r="AP47" i="11"/>
  <c r="AE48" i="3" s="1"/>
  <c r="AO47" i="11"/>
  <c r="AB48" i="3" s="1"/>
  <c r="AN47" i="11"/>
  <c r="Y48" i="3" s="1"/>
  <c r="AL47" i="11"/>
  <c r="T48" i="3" s="1"/>
  <c r="AK47" i="11"/>
  <c r="AS46" i="11"/>
  <c r="AD47" i="3" s="1"/>
  <c r="AR46" i="11"/>
  <c r="AJ47" i="3" s="1"/>
  <c r="AQ46" i="11"/>
  <c r="AP46" i="11"/>
  <c r="AE47" i="3" s="1"/>
  <c r="AO46" i="11"/>
  <c r="AB47" i="3" s="1"/>
  <c r="AN46" i="11"/>
  <c r="Y47" i="3" s="1"/>
  <c r="AL46" i="11"/>
  <c r="T47" i="3" s="1"/>
  <c r="AK46" i="11"/>
  <c r="AS45" i="11"/>
  <c r="AD46" i="3" s="1"/>
  <c r="AR45" i="11"/>
  <c r="AJ46" i="3" s="1"/>
  <c r="AQ45" i="11"/>
  <c r="AP45" i="11"/>
  <c r="AE46" i="3" s="1"/>
  <c r="AO45" i="11"/>
  <c r="AB46" i="3" s="1"/>
  <c r="AN45" i="11"/>
  <c r="Y46" i="3" s="1"/>
  <c r="AL45" i="11"/>
  <c r="T46" i="3" s="1"/>
  <c r="AK45" i="11"/>
  <c r="AS44" i="11"/>
  <c r="AD45" i="3" s="1"/>
  <c r="AR44" i="11"/>
  <c r="AJ45" i="3" s="1"/>
  <c r="AQ44" i="11"/>
  <c r="AP44" i="11"/>
  <c r="AE45" i="3" s="1"/>
  <c r="AO44" i="11"/>
  <c r="AB45" i="3" s="1"/>
  <c r="AN44" i="11"/>
  <c r="Y45" i="3" s="1"/>
  <c r="AL44" i="11"/>
  <c r="T45" i="3" s="1"/>
  <c r="AK44" i="11"/>
  <c r="AS43" i="11"/>
  <c r="AD44" i="3" s="1"/>
  <c r="AR43" i="11"/>
  <c r="AJ44" i="3" s="1"/>
  <c r="AQ43" i="11"/>
  <c r="AP43" i="11"/>
  <c r="AE44" i="3" s="1"/>
  <c r="AO43" i="11"/>
  <c r="AB44" i="3" s="1"/>
  <c r="AN43" i="11"/>
  <c r="Y44" i="3" s="1"/>
  <c r="AL43" i="11"/>
  <c r="T44" i="3" s="1"/>
  <c r="AK43" i="11"/>
  <c r="AS42" i="11"/>
  <c r="AD43" i="3" s="1"/>
  <c r="AR42" i="11"/>
  <c r="AJ43" i="3" s="1"/>
  <c r="AQ42" i="11"/>
  <c r="AP42" i="11"/>
  <c r="AE43" i="3" s="1"/>
  <c r="AO42" i="11"/>
  <c r="AB43" i="3" s="1"/>
  <c r="AN42" i="11"/>
  <c r="Y43" i="3" s="1"/>
  <c r="AL42" i="11"/>
  <c r="T43" i="3" s="1"/>
  <c r="AK42" i="11"/>
  <c r="AS41" i="11"/>
  <c r="AD42" i="3" s="1"/>
  <c r="AR41" i="11"/>
  <c r="AJ42" i="3" s="1"/>
  <c r="AQ41" i="11"/>
  <c r="AP41" i="11"/>
  <c r="AE42" i="3" s="1"/>
  <c r="AO41" i="11"/>
  <c r="AB42" i="3" s="1"/>
  <c r="AN41" i="11"/>
  <c r="Y42" i="3" s="1"/>
  <c r="AL41" i="11"/>
  <c r="T42" i="3" s="1"/>
  <c r="AK41" i="11"/>
  <c r="AS40" i="11"/>
  <c r="AD41" i="3" s="1"/>
  <c r="AR40" i="11"/>
  <c r="AJ41" i="3" s="1"/>
  <c r="AQ40" i="11"/>
  <c r="AP40" i="11"/>
  <c r="AE41" i="3" s="1"/>
  <c r="AO40" i="11"/>
  <c r="AB41" i="3" s="1"/>
  <c r="AN40" i="11"/>
  <c r="Y41" i="3" s="1"/>
  <c r="AL40" i="11"/>
  <c r="T41" i="3" s="1"/>
  <c r="AK40" i="11"/>
  <c r="AS39" i="11"/>
  <c r="AD40" i="3" s="1"/>
  <c r="AR39" i="11"/>
  <c r="AJ40" i="3" s="1"/>
  <c r="AQ39" i="11"/>
  <c r="AP39" i="11"/>
  <c r="AE40" i="3" s="1"/>
  <c r="AO39" i="11"/>
  <c r="AB40" i="3" s="1"/>
  <c r="AN39" i="11"/>
  <c r="Y40" i="3" s="1"/>
  <c r="AL39" i="11"/>
  <c r="T40" i="3" s="1"/>
  <c r="AK39" i="11"/>
  <c r="AS38" i="11"/>
  <c r="AD39" i="3" s="1"/>
  <c r="AR38" i="11"/>
  <c r="AJ39" i="3" s="1"/>
  <c r="AQ38" i="11"/>
  <c r="AP38" i="11"/>
  <c r="AE39" i="3" s="1"/>
  <c r="AO38" i="11"/>
  <c r="AB39" i="3" s="1"/>
  <c r="AN38" i="11"/>
  <c r="Y39" i="3" s="1"/>
  <c r="AL38" i="11"/>
  <c r="T39" i="3" s="1"/>
  <c r="AK38" i="11"/>
  <c r="AS37" i="11"/>
  <c r="AD38" i="3" s="1"/>
  <c r="AR37" i="11"/>
  <c r="AJ38" i="3" s="1"/>
  <c r="AQ37" i="11"/>
  <c r="AP37" i="11"/>
  <c r="AE38" i="3" s="1"/>
  <c r="AO37" i="11"/>
  <c r="AB38" i="3" s="1"/>
  <c r="AN37" i="11"/>
  <c r="Y38" i="3" s="1"/>
  <c r="AL37" i="11"/>
  <c r="T38" i="3" s="1"/>
  <c r="AK37" i="11"/>
  <c r="AS36" i="11"/>
  <c r="AD37" i="3" s="1"/>
  <c r="AR36" i="11"/>
  <c r="AJ37" i="3" s="1"/>
  <c r="AQ36" i="11"/>
  <c r="AP36" i="11"/>
  <c r="AE37" i="3" s="1"/>
  <c r="AO36" i="11"/>
  <c r="AB37" i="3" s="1"/>
  <c r="AN36" i="11"/>
  <c r="Y37" i="3" s="1"/>
  <c r="AL36" i="11"/>
  <c r="T37" i="3" s="1"/>
  <c r="AK36" i="11"/>
  <c r="AS35" i="11"/>
  <c r="AD36" i="3" s="1"/>
  <c r="AR35" i="11"/>
  <c r="AJ36" i="3" s="1"/>
  <c r="AQ35" i="11"/>
  <c r="AP35" i="11"/>
  <c r="AE36" i="3" s="1"/>
  <c r="AO35" i="11"/>
  <c r="AB36" i="3" s="1"/>
  <c r="AN35" i="11"/>
  <c r="Y36" i="3" s="1"/>
  <c r="AL35" i="11"/>
  <c r="T36" i="3" s="1"/>
  <c r="AK35" i="11"/>
  <c r="AS34" i="11"/>
  <c r="AD35" i="3" s="1"/>
  <c r="AR34" i="11"/>
  <c r="AJ35" i="3" s="1"/>
  <c r="AQ34" i="11"/>
  <c r="AP34" i="11"/>
  <c r="AE35" i="3" s="1"/>
  <c r="AO34" i="11"/>
  <c r="AB35" i="3" s="1"/>
  <c r="AN34" i="11"/>
  <c r="Y35" i="3" s="1"/>
  <c r="AL34" i="11"/>
  <c r="T35" i="3" s="1"/>
  <c r="AK34" i="11"/>
  <c r="AS33" i="11"/>
  <c r="AD34" i="3" s="1"/>
  <c r="AR33" i="11"/>
  <c r="AJ34" i="3" s="1"/>
  <c r="AQ33" i="11"/>
  <c r="AP33" i="11"/>
  <c r="AE34" i="3" s="1"/>
  <c r="AO33" i="11"/>
  <c r="AB34" i="3" s="1"/>
  <c r="AN33" i="11"/>
  <c r="Y34" i="3" s="1"/>
  <c r="AL33" i="11"/>
  <c r="T34" i="3" s="1"/>
  <c r="AK33" i="11"/>
  <c r="AS32" i="11"/>
  <c r="AD33" i="3" s="1"/>
  <c r="AR32" i="11"/>
  <c r="AJ33" i="3" s="1"/>
  <c r="AQ32" i="11"/>
  <c r="AP32" i="11"/>
  <c r="AE33" i="3" s="1"/>
  <c r="AO32" i="11"/>
  <c r="AB33" i="3" s="1"/>
  <c r="AN32" i="11"/>
  <c r="Y33" i="3" s="1"/>
  <c r="AL32" i="11"/>
  <c r="T33" i="3" s="1"/>
  <c r="AK32" i="11"/>
  <c r="AS31" i="11"/>
  <c r="AD32" i="3" s="1"/>
  <c r="AR31" i="11"/>
  <c r="AJ32" i="3" s="1"/>
  <c r="AQ31" i="11"/>
  <c r="AP31" i="11"/>
  <c r="AE32" i="3" s="1"/>
  <c r="AO31" i="11"/>
  <c r="AB32" i="3" s="1"/>
  <c r="AN31" i="11"/>
  <c r="Y32" i="3" s="1"/>
  <c r="AL31" i="11"/>
  <c r="T32" i="3" s="1"/>
  <c r="AK31" i="11"/>
  <c r="AS30" i="11"/>
  <c r="AD31" i="3" s="1"/>
  <c r="AR30" i="11"/>
  <c r="AJ31" i="3" s="1"/>
  <c r="AQ30" i="11"/>
  <c r="AP30" i="11"/>
  <c r="AE31" i="3" s="1"/>
  <c r="AO30" i="11"/>
  <c r="AB31" i="3" s="1"/>
  <c r="AN30" i="11"/>
  <c r="Y31" i="3" s="1"/>
  <c r="AL30" i="11"/>
  <c r="T31" i="3" s="1"/>
  <c r="AK30" i="11"/>
  <c r="AS29" i="11"/>
  <c r="AD30" i="3" s="1"/>
  <c r="AR29" i="11"/>
  <c r="AJ30" i="3" s="1"/>
  <c r="AQ29" i="11"/>
  <c r="AP29" i="11"/>
  <c r="AE30" i="3" s="1"/>
  <c r="AO29" i="11"/>
  <c r="AB30" i="3" s="1"/>
  <c r="AN29" i="11"/>
  <c r="Y30" i="3" s="1"/>
  <c r="AL29" i="11"/>
  <c r="T30" i="3" s="1"/>
  <c r="AK29" i="11"/>
  <c r="AS28" i="11"/>
  <c r="AD29" i="3" s="1"/>
  <c r="AR28" i="11"/>
  <c r="AJ29" i="3" s="1"/>
  <c r="AQ28" i="11"/>
  <c r="AP28" i="11"/>
  <c r="AE29" i="3" s="1"/>
  <c r="AO28" i="11"/>
  <c r="AB29" i="3" s="1"/>
  <c r="AN28" i="11"/>
  <c r="Y29" i="3" s="1"/>
  <c r="AL28" i="11"/>
  <c r="T29" i="3" s="1"/>
  <c r="AK28" i="11"/>
  <c r="AS27" i="11"/>
  <c r="AD28" i="3" s="1"/>
  <c r="AR27" i="11"/>
  <c r="AJ28" i="3" s="1"/>
  <c r="AQ27" i="11"/>
  <c r="AP27" i="11"/>
  <c r="AE28" i="3" s="1"/>
  <c r="AO27" i="11"/>
  <c r="AB28" i="3" s="1"/>
  <c r="AN27" i="11"/>
  <c r="Y28" i="3" s="1"/>
  <c r="AL27" i="11"/>
  <c r="T28" i="3" s="1"/>
  <c r="AK27" i="11"/>
  <c r="AS26" i="11"/>
  <c r="AD27" i="3" s="1"/>
  <c r="AR26" i="11"/>
  <c r="AJ27" i="3" s="1"/>
  <c r="AQ26" i="11"/>
  <c r="AP26" i="11"/>
  <c r="AE27" i="3" s="1"/>
  <c r="AO26" i="11"/>
  <c r="AB27" i="3" s="1"/>
  <c r="AN26" i="11"/>
  <c r="Y27" i="3" s="1"/>
  <c r="AL26" i="11"/>
  <c r="T27" i="3" s="1"/>
  <c r="AK26" i="11"/>
  <c r="AS25" i="11"/>
  <c r="AD26" i="3" s="1"/>
  <c r="AR25" i="11"/>
  <c r="AJ26" i="3" s="1"/>
  <c r="AQ25" i="11"/>
  <c r="AP25" i="11"/>
  <c r="AE26" i="3" s="1"/>
  <c r="AO25" i="11"/>
  <c r="AB26" i="3" s="1"/>
  <c r="AN25" i="11"/>
  <c r="Y26" i="3" s="1"/>
  <c r="AL25" i="11"/>
  <c r="T26" i="3" s="1"/>
  <c r="AK25" i="11"/>
  <c r="AS24" i="11"/>
  <c r="AD25" i="3" s="1"/>
  <c r="AR24" i="11"/>
  <c r="AJ25" i="3" s="1"/>
  <c r="AQ24" i="11"/>
  <c r="AP24" i="11"/>
  <c r="AE25" i="3" s="1"/>
  <c r="AO24" i="11"/>
  <c r="AB25" i="3" s="1"/>
  <c r="AN24" i="11"/>
  <c r="Y25" i="3" s="1"/>
  <c r="AL24" i="11"/>
  <c r="T25" i="3" s="1"/>
  <c r="AK24" i="11"/>
  <c r="AS23" i="11"/>
  <c r="AD24" i="3" s="1"/>
  <c r="AR23" i="11"/>
  <c r="AJ24" i="3" s="1"/>
  <c r="AQ23" i="11"/>
  <c r="AP23" i="11"/>
  <c r="AE24" i="3" s="1"/>
  <c r="AO23" i="11"/>
  <c r="AB24" i="3" s="1"/>
  <c r="AN23" i="11"/>
  <c r="Y24" i="3" s="1"/>
  <c r="AL23" i="11"/>
  <c r="T24" i="3" s="1"/>
  <c r="AK23" i="11"/>
  <c r="AS22" i="11"/>
  <c r="AD23" i="3" s="1"/>
  <c r="AR22" i="11"/>
  <c r="AJ23" i="3" s="1"/>
  <c r="AQ22" i="11"/>
  <c r="AP22" i="11"/>
  <c r="AE23" i="3" s="1"/>
  <c r="AO22" i="11"/>
  <c r="AB23" i="3" s="1"/>
  <c r="AN22" i="11"/>
  <c r="Y23" i="3" s="1"/>
  <c r="AL22" i="11"/>
  <c r="T23" i="3" s="1"/>
  <c r="AK22" i="11"/>
  <c r="AS21" i="11"/>
  <c r="AD22" i="3" s="1"/>
  <c r="AR21" i="11"/>
  <c r="AJ22" i="3" s="1"/>
  <c r="AQ21" i="11"/>
  <c r="AP21" i="11"/>
  <c r="AE22" i="3" s="1"/>
  <c r="AO21" i="11"/>
  <c r="AB22" i="3" s="1"/>
  <c r="AN21" i="11"/>
  <c r="Y22" i="3" s="1"/>
  <c r="AL21" i="11"/>
  <c r="T22" i="3" s="1"/>
  <c r="AK21" i="11"/>
  <c r="AS20" i="11"/>
  <c r="AD21" i="3" s="1"/>
  <c r="AR20" i="11"/>
  <c r="AJ21" i="3" s="1"/>
  <c r="AQ20" i="11"/>
  <c r="AP20" i="11"/>
  <c r="AE21" i="3" s="1"/>
  <c r="AO20" i="11"/>
  <c r="AB21" i="3" s="1"/>
  <c r="AN20" i="11"/>
  <c r="Y21" i="3" s="1"/>
  <c r="AL20" i="11"/>
  <c r="T21" i="3" s="1"/>
  <c r="AK20" i="11"/>
  <c r="AS19" i="11"/>
  <c r="AD20" i="3" s="1"/>
  <c r="AR19" i="11"/>
  <c r="AJ20" i="3" s="1"/>
  <c r="AQ19" i="11"/>
  <c r="AP19" i="11"/>
  <c r="AE20" i="3" s="1"/>
  <c r="AO19" i="11"/>
  <c r="AB20" i="3" s="1"/>
  <c r="AN19" i="11"/>
  <c r="Y20" i="3" s="1"/>
  <c r="AL19" i="11"/>
  <c r="T20" i="3" s="1"/>
  <c r="AK19" i="11"/>
  <c r="AS18" i="11"/>
  <c r="AD19" i="3" s="1"/>
  <c r="AR18" i="11"/>
  <c r="AJ19" i="3" s="1"/>
  <c r="AQ18" i="11"/>
  <c r="AP18" i="11"/>
  <c r="AE19" i="3" s="1"/>
  <c r="AO18" i="11"/>
  <c r="AB19" i="3" s="1"/>
  <c r="AN18" i="11"/>
  <c r="Y19" i="3" s="1"/>
  <c r="AL18" i="11"/>
  <c r="T19" i="3" s="1"/>
  <c r="AK18" i="11"/>
  <c r="AS17" i="11"/>
  <c r="AD18" i="3" s="1"/>
  <c r="AR17" i="11"/>
  <c r="AJ18" i="3" s="1"/>
  <c r="AQ17" i="11"/>
  <c r="AP17" i="11"/>
  <c r="AE18" i="3" s="1"/>
  <c r="AO17" i="11"/>
  <c r="AB18" i="3" s="1"/>
  <c r="AN17" i="11"/>
  <c r="Y18" i="3" s="1"/>
  <c r="AL17" i="11"/>
  <c r="T18" i="3" s="1"/>
  <c r="AK17" i="11"/>
  <c r="AS16" i="11"/>
  <c r="AD17" i="3" s="1"/>
  <c r="AR16" i="11"/>
  <c r="AJ17" i="3" s="1"/>
  <c r="AQ16" i="11"/>
  <c r="AP16" i="11"/>
  <c r="AE17" i="3" s="1"/>
  <c r="AO16" i="11"/>
  <c r="AB17" i="3" s="1"/>
  <c r="AN16" i="11"/>
  <c r="Y17" i="3" s="1"/>
  <c r="AL16" i="11"/>
  <c r="T17" i="3" s="1"/>
  <c r="AK16" i="11"/>
  <c r="AS15" i="11"/>
  <c r="AD16" i="3" s="1"/>
  <c r="AR15" i="11"/>
  <c r="AJ16" i="3" s="1"/>
  <c r="AQ15" i="11"/>
  <c r="AP15" i="11"/>
  <c r="AE16" i="3" s="1"/>
  <c r="AO15" i="11"/>
  <c r="AB16" i="3" s="1"/>
  <c r="AN15" i="11"/>
  <c r="Y16" i="3" s="1"/>
  <c r="AL15" i="11"/>
  <c r="T16" i="3" s="1"/>
  <c r="AK15" i="11"/>
  <c r="AS14" i="11"/>
  <c r="AD15" i="3" s="1"/>
  <c r="AR14" i="11"/>
  <c r="AJ15" i="3" s="1"/>
  <c r="AQ14" i="11"/>
  <c r="AP14" i="11"/>
  <c r="AE15" i="3" s="1"/>
  <c r="AO14" i="11"/>
  <c r="AB15" i="3" s="1"/>
  <c r="AN14" i="11"/>
  <c r="Y15" i="3" s="1"/>
  <c r="AL14" i="11"/>
  <c r="T15" i="3" s="1"/>
  <c r="AK14" i="11"/>
  <c r="AS13" i="11"/>
  <c r="AD14" i="3" s="1"/>
  <c r="AR13" i="11"/>
  <c r="AJ14" i="3" s="1"/>
  <c r="AQ13" i="11"/>
  <c r="AP13" i="11"/>
  <c r="AE14" i="3" s="1"/>
  <c r="AO13" i="11"/>
  <c r="AB14" i="3" s="1"/>
  <c r="AN13" i="11"/>
  <c r="Y14" i="3" s="1"/>
  <c r="AL13" i="11"/>
  <c r="T14" i="3" s="1"/>
  <c r="AK13" i="11"/>
  <c r="AS12" i="11"/>
  <c r="AD13" i="3" s="1"/>
  <c r="AR12" i="11"/>
  <c r="AJ13" i="3" s="1"/>
  <c r="AQ12" i="11"/>
  <c r="AP12" i="11"/>
  <c r="AE13" i="3" s="1"/>
  <c r="AO12" i="11"/>
  <c r="AB13" i="3" s="1"/>
  <c r="AN12" i="11"/>
  <c r="Y13" i="3" s="1"/>
  <c r="AL12" i="11"/>
  <c r="T13" i="3" s="1"/>
  <c r="AK12" i="11"/>
  <c r="AS11" i="11"/>
  <c r="AD12" i="3" s="1"/>
  <c r="AR11" i="11"/>
  <c r="AJ12" i="3" s="1"/>
  <c r="AQ11" i="11"/>
  <c r="AP11" i="11"/>
  <c r="AE12" i="3" s="1"/>
  <c r="AO11" i="11"/>
  <c r="AB12" i="3" s="1"/>
  <c r="AN11" i="11"/>
  <c r="Y12" i="3" s="1"/>
  <c r="AL11" i="11"/>
  <c r="T12" i="3" s="1"/>
  <c r="AK11" i="11"/>
  <c r="AS10" i="11"/>
  <c r="AD11" i="3" s="1"/>
  <c r="AR10" i="11"/>
  <c r="AJ11" i="3" s="1"/>
  <c r="AQ10" i="11"/>
  <c r="AP10" i="11"/>
  <c r="AE11" i="3" s="1"/>
  <c r="AO10" i="11"/>
  <c r="AB11" i="3" s="1"/>
  <c r="AN10" i="11"/>
  <c r="Y11" i="3" s="1"/>
  <c r="AL10" i="11"/>
  <c r="T11" i="3" s="1"/>
  <c r="AK10" i="11"/>
  <c r="AS9" i="11"/>
  <c r="AD10" i="3" s="1"/>
  <c r="AR9" i="11"/>
  <c r="AJ10" i="3" s="1"/>
  <c r="AQ9" i="11"/>
  <c r="AP9" i="11"/>
  <c r="AE10" i="3" s="1"/>
  <c r="AO9" i="11"/>
  <c r="AB10" i="3" s="1"/>
  <c r="AN9" i="11"/>
  <c r="Y10" i="3" s="1"/>
  <c r="AL9" i="11"/>
  <c r="T10" i="3" s="1"/>
  <c r="AK9" i="11"/>
  <c r="AS8" i="11"/>
  <c r="AD9" i="3" s="1"/>
  <c r="AR8" i="11"/>
  <c r="AJ9" i="3" s="1"/>
  <c r="AQ8" i="11"/>
  <c r="AP8" i="11"/>
  <c r="AE9" i="3" s="1"/>
  <c r="AO8" i="11"/>
  <c r="AB9" i="3" s="1"/>
  <c r="AN8" i="11"/>
  <c r="Y9" i="3" s="1"/>
  <c r="AL8" i="11"/>
  <c r="T9" i="3" s="1"/>
  <c r="AK8" i="11"/>
  <c r="AS7" i="11"/>
  <c r="AD8" i="3" s="1"/>
  <c r="AR7" i="11"/>
  <c r="AJ8" i="3" s="1"/>
  <c r="AQ7" i="11"/>
  <c r="AP7" i="11"/>
  <c r="AE8" i="3" s="1"/>
  <c r="AO7" i="11"/>
  <c r="AB8" i="3" s="1"/>
  <c r="AN7" i="11"/>
  <c r="Y8" i="3" s="1"/>
  <c r="AL7" i="11"/>
  <c r="T8" i="3" s="1"/>
  <c r="AK7" i="11"/>
  <c r="AS6" i="11"/>
  <c r="AD7" i="3" s="1"/>
  <c r="AR6" i="11"/>
  <c r="AJ7" i="3" s="1"/>
  <c r="AQ6" i="11"/>
  <c r="AP6" i="11"/>
  <c r="AE7" i="3" s="1"/>
  <c r="AO6" i="11"/>
  <c r="AN6" i="11"/>
  <c r="Y7" i="3" s="1"/>
  <c r="AL6" i="11"/>
  <c r="T7" i="3" s="1"/>
  <c r="AK6" i="11"/>
  <c r="AS5" i="11"/>
  <c r="AD6" i="3" s="1"/>
  <c r="AR5" i="11"/>
  <c r="AJ6" i="3" s="1"/>
  <c r="AQ5" i="11"/>
  <c r="AP5" i="11"/>
  <c r="AE6" i="3" s="1"/>
  <c r="AO5" i="11"/>
  <c r="AN5" i="11"/>
  <c r="Y6" i="3" s="1"/>
  <c r="AL5" i="11"/>
  <c r="T6" i="3" s="1"/>
  <c r="AK5" i="11"/>
  <c r="AD5" i="3"/>
  <c r="AR4" i="11"/>
  <c r="AJ5" i="3" s="1"/>
  <c r="AQ4" i="11"/>
  <c r="AP4" i="11"/>
  <c r="AE5" i="3" s="1"/>
  <c r="AO4" i="11"/>
  <c r="AN4" i="11"/>
  <c r="Y5" i="3" s="1"/>
  <c r="AL4" i="11"/>
  <c r="T5" i="3" s="1"/>
  <c r="AB7" i="3" l="1"/>
  <c r="AB6" i="3"/>
  <c r="AB5" i="3"/>
  <c r="AU267" i="11"/>
  <c r="AU271" i="11"/>
  <c r="AU281" i="11"/>
  <c r="AU268" i="11"/>
  <c r="AU248" i="11"/>
  <c r="AU283" i="11"/>
  <c r="AU242" i="11"/>
  <c r="AU266" i="11"/>
  <c r="AU277" i="11"/>
  <c r="AU282" i="11"/>
  <c r="AU252" i="11"/>
  <c r="AU244" i="11"/>
  <c r="AU257" i="11"/>
  <c r="AU262" i="11"/>
  <c r="AU247" i="11"/>
  <c r="AU240" i="11"/>
  <c r="AU289" i="11"/>
  <c r="AU261" i="11"/>
  <c r="AU284" i="11"/>
  <c r="AU275" i="11"/>
  <c r="AU241" i="11"/>
  <c r="AU269" i="11"/>
  <c r="AU255" i="11"/>
  <c r="AU278" i="11"/>
  <c r="AU286" i="11"/>
  <c r="AU279" i="11"/>
  <c r="AU264" i="11"/>
  <c r="AU253" i="11"/>
  <c r="AU22" i="11"/>
  <c r="AU111" i="11"/>
  <c r="AU112" i="11"/>
  <c r="AU7" i="11"/>
  <c r="AU53" i="11"/>
  <c r="AU154" i="11"/>
  <c r="AU62" i="11"/>
  <c r="AU137" i="11"/>
  <c r="AU40" i="11"/>
  <c r="AU168" i="11"/>
  <c r="AU172" i="11"/>
  <c r="AU90" i="11"/>
  <c r="AU220" i="11"/>
  <c r="AU11" i="11"/>
  <c r="AU226" i="11"/>
  <c r="AU84" i="11"/>
  <c r="AU107" i="11"/>
  <c r="AU18" i="11"/>
  <c r="AU52" i="11"/>
  <c r="AU225" i="11"/>
  <c r="AU147" i="11"/>
  <c r="AU5" i="11"/>
  <c r="AU197" i="11"/>
  <c r="AU143" i="11"/>
  <c r="AU178" i="11"/>
  <c r="AU31" i="11"/>
  <c r="AU194" i="11"/>
  <c r="AU192" i="11"/>
  <c r="AU41" i="11"/>
  <c r="AU202" i="11"/>
  <c r="AU92" i="11" l="1"/>
  <c r="AU87" i="11"/>
  <c r="AU56" i="11"/>
  <c r="AU184" i="11"/>
  <c r="AU186" i="11"/>
  <c r="AU29" i="11"/>
  <c r="AU203" i="11"/>
  <c r="AU49" i="11"/>
  <c r="AU170" i="11"/>
  <c r="AU36" i="11"/>
  <c r="AU180" i="11"/>
  <c r="AU86" i="11"/>
  <c r="AU136" i="11"/>
  <c r="AU67" i="11"/>
  <c r="AU57" i="11"/>
  <c r="AU191" i="11"/>
  <c r="AU33" i="11"/>
  <c r="AU208" i="11"/>
  <c r="AU156" i="11"/>
  <c r="AU81" i="11"/>
  <c r="AU32" i="11"/>
  <c r="AU128" i="11"/>
  <c r="AU234" i="11"/>
  <c r="AU23" i="11"/>
  <c r="AU151" i="11"/>
  <c r="AU27" i="11"/>
  <c r="AU127" i="11"/>
  <c r="AU95" i="11"/>
  <c r="AU210" i="11"/>
  <c r="AU142" i="11"/>
  <c r="AU175" i="11"/>
  <c r="AU232" i="11"/>
  <c r="AU165" i="11"/>
  <c r="AU110" i="11"/>
  <c r="AU101" i="11"/>
  <c r="AU233" i="11"/>
  <c r="AU140" i="11"/>
  <c r="AU231" i="11"/>
  <c r="AU152" i="11"/>
  <c r="AU8" i="11"/>
  <c r="AU189" i="11"/>
  <c r="AU98" i="11"/>
  <c r="AU144" i="11"/>
  <c r="AU115" i="11"/>
  <c r="AU235" i="11"/>
  <c r="AU148" i="11"/>
  <c r="AU139" i="11"/>
  <c r="AU236" i="11"/>
  <c r="AU171" i="11"/>
  <c r="AU215" i="11"/>
  <c r="AU214" i="11"/>
  <c r="AU75" i="11"/>
  <c r="AU12" i="11"/>
  <c r="AU237" i="11"/>
  <c r="AU20" i="11"/>
  <c r="AU89" i="11"/>
  <c r="AU30" i="11"/>
  <c r="AU16" i="11"/>
  <c r="AU66" i="11"/>
  <c r="AU182" i="11"/>
  <c r="AU28" i="11"/>
  <c r="AU74" i="11"/>
  <c r="AU26" i="11"/>
  <c r="AU38" i="11"/>
  <c r="AU205" i="11"/>
  <c r="AU106" i="11"/>
  <c r="AU82" i="11"/>
  <c r="AU6" i="11"/>
  <c r="AU198" i="11"/>
  <c r="AU68" i="11"/>
  <c r="AU126" i="11"/>
  <c r="AU39" i="11"/>
  <c r="AU212" i="11"/>
  <c r="AU50" i="11"/>
  <c r="AU121" i="11"/>
  <c r="AU118" i="11"/>
  <c r="AU188" i="11"/>
  <c r="AU174" i="11"/>
  <c r="AU223" i="11"/>
  <c r="AU79" i="11"/>
  <c r="AU130" i="11"/>
  <c r="AU97" i="11"/>
  <c r="AU222" i="11"/>
  <c r="AU25" i="11"/>
  <c r="AU94" i="11"/>
  <c r="AU185" i="11"/>
  <c r="AU204" i="11"/>
  <c r="AU105" i="11"/>
  <c r="AU48" i="11"/>
  <c r="AU183" i="11"/>
  <c r="AU59" i="11"/>
  <c r="AU133" i="11"/>
  <c r="AU83" i="11"/>
  <c r="AU51" i="11"/>
  <c r="AU155" i="11"/>
  <c r="AU227" i="11"/>
  <c r="AU211" i="11"/>
  <c r="AU193" i="11"/>
  <c r="AU47" i="11"/>
  <c r="AU145" i="11"/>
  <c r="AU65" i="11"/>
  <c r="AU114" i="11"/>
  <c r="AU93" i="11"/>
  <c r="AU230" i="11"/>
  <c r="AU91" i="11"/>
  <c r="AU166" i="11"/>
  <c r="AU163" i="11"/>
  <c r="AU117" i="11"/>
  <c r="AU99" i="11"/>
  <c r="AU122" i="11"/>
  <c r="AU157" i="11"/>
  <c r="AU55" i="11"/>
  <c r="AU201" i="11"/>
  <c r="AU100" i="11"/>
  <c r="AU195" i="11"/>
  <c r="AU132" i="11"/>
  <c r="AU73" i="11"/>
  <c r="AU131" i="11"/>
  <c r="AU206" i="11"/>
  <c r="AU15" i="11"/>
  <c r="AU54" i="11"/>
  <c r="AU78" i="11"/>
  <c r="AU207" i="11"/>
  <c r="AU135" i="11"/>
  <c r="AU70" i="11"/>
  <c r="AU108" i="11"/>
  <c r="AU124" i="11"/>
  <c r="AU44" i="11"/>
  <c r="AU219" i="11"/>
  <c r="AU102" i="11"/>
  <c r="AU77" i="11"/>
  <c r="AU199" i="11"/>
  <c r="AU138" i="11"/>
  <c r="AU190" i="11"/>
  <c r="AU69" i="11"/>
  <c r="AU96" i="11"/>
  <c r="AU37" i="11"/>
  <c r="AU109" i="11"/>
  <c r="AU153" i="11"/>
  <c r="AU129" i="11"/>
  <c r="AU161" i="11"/>
  <c r="AU116" i="11"/>
  <c r="AU104" i="11"/>
  <c r="AU71" i="11"/>
  <c r="AU150" i="11"/>
  <c r="AU221" i="11"/>
  <c r="AU176" i="11"/>
  <c r="AU85" i="11"/>
  <c r="AU63" i="11"/>
  <c r="AU200" i="11"/>
  <c r="AU72" i="11"/>
  <c r="AU64" i="11"/>
  <c r="AU177" i="11"/>
  <c r="AU9" i="11"/>
  <c r="AU224" i="11"/>
  <c r="AU229" i="11"/>
  <c r="AU43" i="11"/>
  <c r="AU24" i="11"/>
  <c r="AU42" i="11"/>
  <c r="AU80" i="11"/>
  <c r="AU169" i="11"/>
  <c r="AU149" i="11"/>
  <c r="AU88" i="11"/>
  <c r="AU158" i="11"/>
  <c r="AU181" i="11"/>
  <c r="AU134" i="11"/>
  <c r="AU46" i="11"/>
  <c r="AU119" i="11"/>
  <c r="AU162" i="11"/>
  <c r="AU61" i="11"/>
  <c r="AU159" i="11"/>
  <c r="AU58" i="11"/>
  <c r="AU173" i="11"/>
  <c r="AU123" i="11"/>
  <c r="AU45" i="11"/>
  <c r="AU216" i="11"/>
  <c r="AU17" i="11"/>
  <c r="AU196" i="11"/>
  <c r="AU213" i="11"/>
  <c r="AU19" i="11"/>
  <c r="AU13" i="11"/>
  <c r="AU218" i="11"/>
  <c r="AU21" i="11"/>
  <c r="AU179" i="11"/>
  <c r="AU167" i="11"/>
  <c r="AU14" i="11"/>
  <c r="AU103" i="11"/>
  <c r="AU160" i="11"/>
  <c r="AU120" i="11"/>
  <c r="AU10" i="11"/>
  <c r="AU35" i="11"/>
  <c r="AU113" i="11"/>
  <c r="AU146" i="11"/>
  <c r="AU209" i="11"/>
  <c r="AU141" i="11"/>
  <c r="AU228" i="11"/>
  <c r="AU217" i="11"/>
  <c r="AU34" i="11"/>
  <c r="AU76" i="11"/>
  <c r="AU187" i="11"/>
  <c r="AU164" i="11"/>
  <c r="AU60" i="11"/>
  <c r="AU125" i="11"/>
  <c r="CE6" i="3" l="1"/>
  <c r="CE7" i="3"/>
  <c r="CE8" i="3"/>
  <c r="CE9" i="3"/>
  <c r="CE10" i="3"/>
  <c r="CE11" i="3"/>
  <c r="CE12" i="3"/>
  <c r="CE13" i="3"/>
  <c r="CE14" i="3"/>
  <c r="CE15" i="3"/>
  <c r="CE16" i="3"/>
  <c r="CE17" i="3"/>
  <c r="CE18" i="3"/>
  <c r="CE19" i="3"/>
  <c r="CE20" i="3"/>
  <c r="CE21" i="3"/>
  <c r="CE22" i="3"/>
  <c r="CE23" i="3"/>
  <c r="CE24" i="3"/>
  <c r="CE25" i="3"/>
  <c r="CE26" i="3"/>
  <c r="CE27" i="3"/>
  <c r="CE28" i="3"/>
  <c r="CE29" i="3"/>
  <c r="CE30" i="3"/>
  <c r="CE31" i="3"/>
  <c r="CE32" i="3"/>
  <c r="CE33" i="3"/>
  <c r="CE34" i="3"/>
  <c r="CE35" i="3"/>
  <c r="CE36" i="3"/>
  <c r="CE37" i="3"/>
  <c r="CE38" i="3"/>
  <c r="CE39" i="3"/>
  <c r="CE40" i="3"/>
  <c r="CE41" i="3"/>
  <c r="CE42" i="3"/>
  <c r="CE43" i="3"/>
  <c r="CE44" i="3"/>
  <c r="CE45" i="3"/>
  <c r="CE46" i="3"/>
  <c r="CE47" i="3"/>
  <c r="CE48" i="3"/>
  <c r="CE49" i="3"/>
  <c r="CE50" i="3"/>
  <c r="CE51" i="3"/>
  <c r="CE52" i="3"/>
  <c r="CE53" i="3"/>
  <c r="CE54" i="3"/>
  <c r="CE55" i="3"/>
  <c r="CE56" i="3"/>
  <c r="CE57" i="3"/>
  <c r="CE58" i="3"/>
  <c r="CE59" i="3"/>
  <c r="CE60" i="3"/>
  <c r="CE61" i="3"/>
  <c r="CE62" i="3"/>
  <c r="CE63" i="3"/>
  <c r="CE64" i="3"/>
  <c r="CE65" i="3"/>
  <c r="CE66" i="3"/>
  <c r="CE67" i="3"/>
  <c r="CE68" i="3"/>
  <c r="CE69" i="3"/>
  <c r="CE70" i="3"/>
  <c r="CE71" i="3"/>
  <c r="CE72" i="3"/>
  <c r="CE73" i="3"/>
  <c r="CE74" i="3"/>
  <c r="CE75" i="3"/>
  <c r="CE76" i="3"/>
  <c r="CE77" i="3"/>
  <c r="CE78" i="3"/>
  <c r="CE79" i="3"/>
  <c r="CE80" i="3"/>
  <c r="CE81" i="3"/>
  <c r="CE82" i="3"/>
  <c r="CE83" i="3"/>
  <c r="CE84" i="3"/>
  <c r="CE85" i="3"/>
  <c r="CE86" i="3"/>
  <c r="CE87" i="3"/>
  <c r="CE88" i="3"/>
  <c r="CE89" i="3"/>
  <c r="CE90" i="3"/>
  <c r="CE91" i="3"/>
  <c r="CE92" i="3"/>
  <c r="CE93" i="3"/>
  <c r="CE94" i="3"/>
  <c r="CE95" i="3"/>
  <c r="CE96" i="3"/>
  <c r="CE97" i="3"/>
  <c r="CE98" i="3"/>
  <c r="CE99" i="3"/>
  <c r="CE100" i="3"/>
  <c r="CE101" i="3"/>
  <c r="CE102" i="3"/>
  <c r="CE103" i="3"/>
  <c r="CE104" i="3"/>
  <c r="CE105" i="3"/>
  <c r="CE106" i="3"/>
  <c r="CE107" i="3"/>
  <c r="CE108" i="3"/>
  <c r="CE109" i="3"/>
  <c r="CE110" i="3"/>
  <c r="CE111" i="3"/>
  <c r="CE112" i="3"/>
  <c r="CE113" i="3"/>
  <c r="CE114" i="3"/>
  <c r="CE115" i="3"/>
  <c r="CE116" i="3"/>
  <c r="CE117" i="3"/>
  <c r="CE118" i="3"/>
  <c r="CE119" i="3"/>
  <c r="CE120" i="3"/>
  <c r="CE121" i="3"/>
  <c r="CE122" i="3"/>
  <c r="CE123" i="3"/>
  <c r="CE124" i="3"/>
  <c r="CE125" i="3"/>
  <c r="CE126" i="3"/>
  <c r="CE127" i="3"/>
  <c r="CE128" i="3"/>
  <c r="CE129" i="3"/>
  <c r="CE130" i="3"/>
  <c r="CE131" i="3"/>
  <c r="CE132" i="3"/>
  <c r="CE133" i="3"/>
  <c r="CE134" i="3"/>
  <c r="CE135" i="3"/>
  <c r="CE136" i="3"/>
  <c r="CE137" i="3"/>
  <c r="CE138" i="3"/>
  <c r="CE139" i="3"/>
  <c r="CE140" i="3"/>
  <c r="CE141" i="3"/>
  <c r="CE142" i="3"/>
  <c r="CE143" i="3"/>
  <c r="CE144" i="3"/>
  <c r="CE145" i="3"/>
  <c r="CE146" i="3"/>
  <c r="CE147" i="3"/>
  <c r="CE148" i="3"/>
  <c r="CE149" i="3"/>
  <c r="CE150" i="3"/>
  <c r="CE151" i="3"/>
  <c r="CE152" i="3"/>
  <c r="CE153" i="3"/>
  <c r="CE154" i="3"/>
  <c r="CE155" i="3"/>
  <c r="CE156" i="3"/>
  <c r="CE157" i="3"/>
  <c r="CE158" i="3"/>
  <c r="CE159" i="3"/>
  <c r="CE160" i="3"/>
  <c r="CE161" i="3"/>
  <c r="CE162" i="3"/>
  <c r="CE163" i="3"/>
  <c r="CE164" i="3"/>
  <c r="CE165" i="3"/>
  <c r="CE166" i="3"/>
  <c r="CE167" i="3"/>
  <c r="CE168" i="3"/>
  <c r="CE169" i="3"/>
  <c r="CE170" i="3"/>
  <c r="CE171" i="3"/>
  <c r="CE172" i="3"/>
  <c r="CE173" i="3"/>
  <c r="CE174" i="3"/>
  <c r="CE175" i="3"/>
  <c r="CE176" i="3"/>
  <c r="CE177" i="3"/>
  <c r="CE178" i="3"/>
  <c r="CE179" i="3"/>
  <c r="CE180" i="3"/>
  <c r="CE181" i="3"/>
  <c r="CE182" i="3"/>
  <c r="CE183" i="3"/>
  <c r="CE184" i="3"/>
  <c r="CE185" i="3"/>
  <c r="CE186" i="3"/>
  <c r="CE187" i="3"/>
  <c r="CE188" i="3"/>
  <c r="CE189" i="3"/>
  <c r="CE190" i="3"/>
  <c r="CE191" i="3"/>
  <c r="CE192" i="3"/>
  <c r="CE193" i="3"/>
  <c r="CE194" i="3"/>
  <c r="CE195" i="3"/>
  <c r="CE196" i="3"/>
  <c r="CE197" i="3"/>
  <c r="CE198" i="3"/>
  <c r="CE199" i="3"/>
  <c r="CE200" i="3"/>
  <c r="CE201" i="3"/>
  <c r="CE202" i="3"/>
  <c r="CE203" i="3"/>
  <c r="CE204" i="3"/>
  <c r="CE205" i="3"/>
  <c r="CE206" i="3"/>
  <c r="CE207" i="3"/>
  <c r="CE208" i="3"/>
  <c r="CE209" i="3"/>
  <c r="CE210" i="3"/>
  <c r="CE211" i="3"/>
  <c r="CE212" i="3"/>
  <c r="CE213" i="3"/>
  <c r="CE214" i="3"/>
  <c r="CE215" i="3"/>
  <c r="CE216" i="3"/>
  <c r="CE217" i="3"/>
  <c r="CE218" i="3"/>
  <c r="CE219" i="3"/>
  <c r="CE220" i="3"/>
  <c r="CE221" i="3"/>
  <c r="CE222" i="3"/>
  <c r="CE223" i="3"/>
  <c r="CE224" i="3"/>
  <c r="CE225" i="3"/>
  <c r="CE226" i="3"/>
  <c r="CE227" i="3"/>
  <c r="CE228" i="3"/>
  <c r="CE229" i="3"/>
  <c r="CE230" i="3"/>
  <c r="CE231" i="3"/>
  <c r="CE232" i="3"/>
  <c r="CE233" i="3"/>
  <c r="CE234" i="3"/>
  <c r="CE235" i="3"/>
  <c r="CE236" i="3"/>
  <c r="CE237" i="3"/>
  <c r="CE238" i="3"/>
  <c r="CE239" i="3"/>
  <c r="CE240" i="3"/>
  <c r="CE241" i="3"/>
  <c r="CE242" i="3"/>
  <c r="CE243" i="3"/>
  <c r="CE244" i="3"/>
  <c r="CE245" i="3"/>
  <c r="CE246" i="3"/>
  <c r="CE247" i="3"/>
  <c r="CE248" i="3"/>
  <c r="CE249" i="3"/>
  <c r="CE250" i="3"/>
  <c r="CE251" i="3"/>
  <c r="CE252" i="3"/>
  <c r="CE253" i="3"/>
  <c r="CE254" i="3"/>
  <c r="CE255" i="3"/>
  <c r="CE256" i="3"/>
  <c r="CE257" i="3"/>
  <c r="CE258" i="3"/>
  <c r="CE259" i="3"/>
  <c r="CE260" i="3"/>
  <c r="CE261" i="3"/>
  <c r="CE262" i="3"/>
  <c r="CE263" i="3"/>
  <c r="CE264" i="3"/>
  <c r="CE265" i="3"/>
  <c r="CE266" i="3"/>
  <c r="CE267" i="3"/>
  <c r="CE268" i="3"/>
  <c r="CE269" i="3"/>
  <c r="CE270" i="3"/>
  <c r="CE271" i="3"/>
  <c r="CE272" i="3"/>
  <c r="CE273" i="3"/>
  <c r="CE274" i="3"/>
  <c r="CE275" i="3"/>
  <c r="CE276" i="3"/>
  <c r="CE277" i="3"/>
  <c r="CE278" i="3"/>
  <c r="CE279" i="3"/>
  <c r="CE280" i="3"/>
  <c r="CE281" i="3"/>
  <c r="CE282" i="3"/>
  <c r="CE283" i="3"/>
  <c r="CE284" i="3"/>
  <c r="CE285" i="3"/>
  <c r="CE286" i="3"/>
  <c r="CE287" i="3"/>
  <c r="CE288" i="3"/>
  <c r="CE289" i="3"/>
  <c r="CE290" i="3"/>
  <c r="AT6" i="3" l="1"/>
  <c r="AX6" i="3" s="1"/>
  <c r="AT7" i="3"/>
  <c r="AX7" i="3" s="1"/>
  <c r="AT8" i="3"/>
  <c r="AX8" i="3" s="1"/>
  <c r="AT9" i="3"/>
  <c r="AX9" i="3" s="1"/>
  <c r="AT10" i="3"/>
  <c r="AX10" i="3" s="1"/>
  <c r="AT11" i="3"/>
  <c r="AX11" i="3" s="1"/>
  <c r="AT12" i="3"/>
  <c r="AX12" i="3" s="1"/>
  <c r="AT13" i="3"/>
  <c r="AX13" i="3" s="1"/>
  <c r="AT14" i="3"/>
  <c r="AX14" i="3" s="1"/>
  <c r="AT15" i="3"/>
  <c r="AX15" i="3" s="1"/>
  <c r="AT16" i="3"/>
  <c r="AX16" i="3" s="1"/>
  <c r="AT17" i="3"/>
  <c r="AX17" i="3" s="1"/>
  <c r="AT18" i="3"/>
  <c r="AX18" i="3" s="1"/>
  <c r="AT19" i="3"/>
  <c r="AX19" i="3" s="1"/>
  <c r="AT20" i="3"/>
  <c r="AX20" i="3" s="1"/>
  <c r="AT21" i="3"/>
  <c r="AX21" i="3" s="1"/>
  <c r="AT22" i="3"/>
  <c r="AX22" i="3" s="1"/>
  <c r="AT23" i="3"/>
  <c r="AX23" i="3" s="1"/>
  <c r="AT24" i="3"/>
  <c r="AX24" i="3" s="1"/>
  <c r="AT25" i="3"/>
  <c r="AX25" i="3" s="1"/>
  <c r="AT26" i="3"/>
  <c r="AX26" i="3" s="1"/>
  <c r="AT27" i="3"/>
  <c r="AX27" i="3" s="1"/>
  <c r="AT28" i="3"/>
  <c r="AX28" i="3" s="1"/>
  <c r="AT29" i="3"/>
  <c r="AX29" i="3" s="1"/>
  <c r="AT30" i="3"/>
  <c r="AX30" i="3" s="1"/>
  <c r="AT31" i="3"/>
  <c r="AX31" i="3" s="1"/>
  <c r="AT32" i="3"/>
  <c r="AX32" i="3" s="1"/>
  <c r="AT33" i="3"/>
  <c r="AX33" i="3" s="1"/>
  <c r="AT34" i="3"/>
  <c r="AX34" i="3" s="1"/>
  <c r="AT35" i="3"/>
  <c r="AX35" i="3" s="1"/>
  <c r="AT36" i="3"/>
  <c r="AX36" i="3" s="1"/>
  <c r="AT37" i="3"/>
  <c r="AX37" i="3" s="1"/>
  <c r="AT38" i="3"/>
  <c r="AX38" i="3" s="1"/>
  <c r="AT39" i="3"/>
  <c r="AX39" i="3" s="1"/>
  <c r="AT40" i="3"/>
  <c r="AX40" i="3" s="1"/>
  <c r="AT41" i="3"/>
  <c r="AX41" i="3" s="1"/>
  <c r="AT42" i="3"/>
  <c r="AX42" i="3" s="1"/>
  <c r="AT43" i="3"/>
  <c r="AX43" i="3" s="1"/>
  <c r="AT44" i="3"/>
  <c r="AX44" i="3" s="1"/>
  <c r="AT45" i="3"/>
  <c r="AX45" i="3" s="1"/>
  <c r="AT46" i="3"/>
  <c r="AX46" i="3" s="1"/>
  <c r="AT47" i="3"/>
  <c r="AX47" i="3" s="1"/>
  <c r="AT48" i="3"/>
  <c r="AX48" i="3" s="1"/>
  <c r="AT49" i="3"/>
  <c r="AX49" i="3" s="1"/>
  <c r="AT50" i="3"/>
  <c r="AX50" i="3" s="1"/>
  <c r="AT51" i="3"/>
  <c r="AX51" i="3" s="1"/>
  <c r="AT52" i="3"/>
  <c r="AX52" i="3" s="1"/>
  <c r="AT53" i="3"/>
  <c r="AX53" i="3" s="1"/>
  <c r="AT54" i="3"/>
  <c r="AX54" i="3" s="1"/>
  <c r="AT55" i="3"/>
  <c r="AX55" i="3" s="1"/>
  <c r="AT56" i="3"/>
  <c r="AX56" i="3" s="1"/>
  <c r="AT57" i="3"/>
  <c r="AX57" i="3" s="1"/>
  <c r="AT58" i="3"/>
  <c r="AX58" i="3" s="1"/>
  <c r="AT59" i="3"/>
  <c r="AX59" i="3" s="1"/>
  <c r="AT60" i="3"/>
  <c r="AX60" i="3" s="1"/>
  <c r="AT61" i="3"/>
  <c r="AX61" i="3" s="1"/>
  <c r="AT62" i="3"/>
  <c r="AX62" i="3" s="1"/>
  <c r="AT63" i="3"/>
  <c r="AX63" i="3" s="1"/>
  <c r="AT64" i="3"/>
  <c r="AX64" i="3" s="1"/>
  <c r="AT65" i="3"/>
  <c r="AX65" i="3" s="1"/>
  <c r="AT66" i="3"/>
  <c r="AX66" i="3" s="1"/>
  <c r="AT67" i="3"/>
  <c r="AX67" i="3" s="1"/>
  <c r="AT68" i="3"/>
  <c r="AX68" i="3" s="1"/>
  <c r="AT69" i="3"/>
  <c r="AX69" i="3" s="1"/>
  <c r="AT70" i="3"/>
  <c r="AX70" i="3" s="1"/>
  <c r="AT71" i="3"/>
  <c r="AX71" i="3" s="1"/>
  <c r="AT72" i="3"/>
  <c r="AX72" i="3" s="1"/>
  <c r="AT73" i="3"/>
  <c r="AX73" i="3" s="1"/>
  <c r="AT74" i="3"/>
  <c r="AX74" i="3" s="1"/>
  <c r="AT75" i="3"/>
  <c r="AX75" i="3" s="1"/>
  <c r="AT76" i="3"/>
  <c r="AX76" i="3" s="1"/>
  <c r="AT77" i="3"/>
  <c r="AX77" i="3" s="1"/>
  <c r="AT78" i="3"/>
  <c r="AX78" i="3" s="1"/>
  <c r="AT79" i="3"/>
  <c r="AX79" i="3" s="1"/>
  <c r="AT80" i="3"/>
  <c r="AX80" i="3" s="1"/>
  <c r="AT81" i="3"/>
  <c r="AX81" i="3" s="1"/>
  <c r="AT82" i="3"/>
  <c r="AX82" i="3" s="1"/>
  <c r="AT83" i="3"/>
  <c r="AX83" i="3" s="1"/>
  <c r="AT84" i="3"/>
  <c r="AX84" i="3" s="1"/>
  <c r="AT85" i="3"/>
  <c r="AX85" i="3" s="1"/>
  <c r="AT86" i="3"/>
  <c r="AX86" i="3" s="1"/>
  <c r="AT87" i="3"/>
  <c r="AX87" i="3" s="1"/>
  <c r="AT88" i="3"/>
  <c r="AX88" i="3" s="1"/>
  <c r="AT89" i="3"/>
  <c r="AX89" i="3" s="1"/>
  <c r="AT90" i="3"/>
  <c r="AX90" i="3" s="1"/>
  <c r="AT91" i="3"/>
  <c r="AX91" i="3" s="1"/>
  <c r="AT92" i="3"/>
  <c r="AX92" i="3" s="1"/>
  <c r="AT93" i="3"/>
  <c r="AX93" i="3" s="1"/>
  <c r="AT94" i="3"/>
  <c r="AX94" i="3" s="1"/>
  <c r="AT95" i="3"/>
  <c r="AX95" i="3" s="1"/>
  <c r="AT96" i="3"/>
  <c r="AX96" i="3" s="1"/>
  <c r="AT97" i="3"/>
  <c r="AX97" i="3" s="1"/>
  <c r="AT98" i="3"/>
  <c r="AX98" i="3" s="1"/>
  <c r="AT99" i="3"/>
  <c r="AX99" i="3" s="1"/>
  <c r="AT100" i="3"/>
  <c r="AX100" i="3" s="1"/>
  <c r="AT101" i="3"/>
  <c r="AX101" i="3" s="1"/>
  <c r="AT102" i="3"/>
  <c r="AX102" i="3" s="1"/>
  <c r="AT103" i="3"/>
  <c r="AX103" i="3" s="1"/>
  <c r="AT104" i="3"/>
  <c r="AX104" i="3" s="1"/>
  <c r="AT105" i="3"/>
  <c r="AX105" i="3" s="1"/>
  <c r="AT106" i="3"/>
  <c r="AX106" i="3" s="1"/>
  <c r="AT107" i="3"/>
  <c r="AX107" i="3" s="1"/>
  <c r="AT108" i="3"/>
  <c r="AX108" i="3" s="1"/>
  <c r="AT109" i="3"/>
  <c r="AX109" i="3" s="1"/>
  <c r="AT110" i="3"/>
  <c r="AX110" i="3" s="1"/>
  <c r="AT111" i="3"/>
  <c r="AX111" i="3" s="1"/>
  <c r="AT112" i="3"/>
  <c r="AX112" i="3" s="1"/>
  <c r="AT113" i="3"/>
  <c r="AX113" i="3" s="1"/>
  <c r="AT114" i="3"/>
  <c r="AX114" i="3" s="1"/>
  <c r="AT115" i="3"/>
  <c r="AX115" i="3" s="1"/>
  <c r="AT116" i="3"/>
  <c r="AX116" i="3" s="1"/>
  <c r="AT117" i="3"/>
  <c r="AX117" i="3" s="1"/>
  <c r="AT118" i="3"/>
  <c r="AX118" i="3" s="1"/>
  <c r="AT119" i="3"/>
  <c r="AX119" i="3" s="1"/>
  <c r="AT120" i="3"/>
  <c r="AX120" i="3" s="1"/>
  <c r="AT121" i="3"/>
  <c r="AX121" i="3" s="1"/>
  <c r="AT122" i="3"/>
  <c r="AX122" i="3" s="1"/>
  <c r="AT123" i="3"/>
  <c r="AX123" i="3" s="1"/>
  <c r="AT124" i="3"/>
  <c r="AX124" i="3" s="1"/>
  <c r="AT125" i="3"/>
  <c r="AX125" i="3" s="1"/>
  <c r="AT126" i="3"/>
  <c r="AX126" i="3" s="1"/>
  <c r="AT127" i="3"/>
  <c r="AX127" i="3" s="1"/>
  <c r="AT128" i="3"/>
  <c r="AX128" i="3" s="1"/>
  <c r="AT129" i="3"/>
  <c r="AX129" i="3" s="1"/>
  <c r="AT130" i="3"/>
  <c r="AX130" i="3" s="1"/>
  <c r="AT131" i="3"/>
  <c r="AX131" i="3" s="1"/>
  <c r="AT132" i="3"/>
  <c r="AX132" i="3" s="1"/>
  <c r="AT133" i="3"/>
  <c r="AX133" i="3" s="1"/>
  <c r="AT134" i="3"/>
  <c r="AX134" i="3" s="1"/>
  <c r="AT135" i="3"/>
  <c r="AX135" i="3" s="1"/>
  <c r="AT136" i="3"/>
  <c r="AX136" i="3" s="1"/>
  <c r="AT137" i="3"/>
  <c r="AX137" i="3" s="1"/>
  <c r="AT138" i="3"/>
  <c r="AX138" i="3" s="1"/>
  <c r="AT139" i="3"/>
  <c r="AX139" i="3" s="1"/>
  <c r="AT140" i="3"/>
  <c r="AX140" i="3" s="1"/>
  <c r="AT141" i="3"/>
  <c r="AX141" i="3" s="1"/>
  <c r="AT142" i="3"/>
  <c r="AX142" i="3" s="1"/>
  <c r="AT143" i="3"/>
  <c r="AX143" i="3" s="1"/>
  <c r="AT144" i="3"/>
  <c r="AX144" i="3" s="1"/>
  <c r="AT145" i="3"/>
  <c r="AX145" i="3" s="1"/>
  <c r="AT146" i="3"/>
  <c r="AX146" i="3" s="1"/>
  <c r="AT147" i="3"/>
  <c r="AX147" i="3" s="1"/>
  <c r="AT148" i="3"/>
  <c r="AX148" i="3" s="1"/>
  <c r="AT149" i="3"/>
  <c r="AX149" i="3" s="1"/>
  <c r="AT150" i="3"/>
  <c r="AX150" i="3" s="1"/>
  <c r="AT151" i="3"/>
  <c r="AX151" i="3" s="1"/>
  <c r="AT152" i="3"/>
  <c r="AX152" i="3" s="1"/>
  <c r="AT153" i="3"/>
  <c r="AX153" i="3" s="1"/>
  <c r="AT154" i="3"/>
  <c r="AX154" i="3" s="1"/>
  <c r="AT155" i="3"/>
  <c r="AX155" i="3" s="1"/>
  <c r="AT156" i="3"/>
  <c r="AX156" i="3" s="1"/>
  <c r="AT157" i="3"/>
  <c r="AX157" i="3" s="1"/>
  <c r="AT158" i="3"/>
  <c r="AX158" i="3" s="1"/>
  <c r="AT159" i="3"/>
  <c r="AX159" i="3" s="1"/>
  <c r="AT160" i="3"/>
  <c r="AX160" i="3" s="1"/>
  <c r="AT161" i="3"/>
  <c r="AX161" i="3" s="1"/>
  <c r="AT162" i="3"/>
  <c r="AX162" i="3" s="1"/>
  <c r="AT163" i="3"/>
  <c r="AX163" i="3" s="1"/>
  <c r="AT164" i="3"/>
  <c r="AX164" i="3" s="1"/>
  <c r="AT165" i="3"/>
  <c r="AX165" i="3" s="1"/>
  <c r="AT166" i="3"/>
  <c r="AX166" i="3" s="1"/>
  <c r="AT167" i="3"/>
  <c r="AX167" i="3" s="1"/>
  <c r="AT168" i="3"/>
  <c r="AX168" i="3" s="1"/>
  <c r="AT169" i="3"/>
  <c r="AX169" i="3" s="1"/>
  <c r="AT170" i="3"/>
  <c r="AT171" i="3"/>
  <c r="AX171" i="3" s="1"/>
  <c r="AT172" i="3"/>
  <c r="AX172" i="3" s="1"/>
  <c r="AT173" i="3"/>
  <c r="AX173" i="3" s="1"/>
  <c r="AT174" i="3"/>
  <c r="AX174" i="3" s="1"/>
  <c r="AT175" i="3"/>
  <c r="AX175" i="3" s="1"/>
  <c r="AT176" i="3"/>
  <c r="AX176" i="3" s="1"/>
  <c r="AT177" i="3"/>
  <c r="AX177" i="3" s="1"/>
  <c r="AT178" i="3"/>
  <c r="AX178" i="3" s="1"/>
  <c r="AT179" i="3"/>
  <c r="AX179" i="3" s="1"/>
  <c r="AT180" i="3"/>
  <c r="AX180" i="3" s="1"/>
  <c r="AT181" i="3"/>
  <c r="AX181" i="3" s="1"/>
  <c r="AT182" i="3"/>
  <c r="AX182" i="3" s="1"/>
  <c r="AT183" i="3"/>
  <c r="AX183" i="3" s="1"/>
  <c r="AT184" i="3"/>
  <c r="AX184" i="3" s="1"/>
  <c r="AT185" i="3"/>
  <c r="AX185" i="3" s="1"/>
  <c r="AT186" i="3"/>
  <c r="AX186" i="3" s="1"/>
  <c r="AT187" i="3"/>
  <c r="AX187" i="3" s="1"/>
  <c r="AT188" i="3"/>
  <c r="AX188" i="3" s="1"/>
  <c r="AT189" i="3"/>
  <c r="AX189" i="3" s="1"/>
  <c r="AT190" i="3"/>
  <c r="AX190" i="3" s="1"/>
  <c r="AT191" i="3"/>
  <c r="AX191" i="3" s="1"/>
  <c r="AT192" i="3"/>
  <c r="AX192" i="3" s="1"/>
  <c r="AT193" i="3"/>
  <c r="AX193" i="3" s="1"/>
  <c r="AT194" i="3"/>
  <c r="AX194" i="3" s="1"/>
  <c r="AT195" i="3"/>
  <c r="AX195" i="3" s="1"/>
  <c r="AT196" i="3"/>
  <c r="AX196" i="3" s="1"/>
  <c r="AT197" i="3"/>
  <c r="AX197" i="3" s="1"/>
  <c r="AT198" i="3"/>
  <c r="AX198" i="3" s="1"/>
  <c r="AT199" i="3"/>
  <c r="AX199" i="3" s="1"/>
  <c r="AT200" i="3"/>
  <c r="AX200" i="3" s="1"/>
  <c r="AT201" i="3"/>
  <c r="AX201" i="3" s="1"/>
  <c r="AT202" i="3"/>
  <c r="AX202" i="3" s="1"/>
  <c r="AT203" i="3"/>
  <c r="AX203" i="3" s="1"/>
  <c r="AT204" i="3"/>
  <c r="AX204" i="3" s="1"/>
  <c r="AT205" i="3"/>
  <c r="AX205" i="3" s="1"/>
  <c r="AT206" i="3"/>
  <c r="AX206" i="3" s="1"/>
  <c r="AT207" i="3"/>
  <c r="AX207" i="3" s="1"/>
  <c r="AT208" i="3"/>
  <c r="AX208" i="3" s="1"/>
  <c r="AT209" i="3"/>
  <c r="AX209" i="3" s="1"/>
  <c r="AT210" i="3"/>
  <c r="AX210" i="3" s="1"/>
  <c r="AT211" i="3"/>
  <c r="AX211" i="3" s="1"/>
  <c r="AT212" i="3"/>
  <c r="AX212" i="3" s="1"/>
  <c r="AT213" i="3"/>
  <c r="AX213" i="3" s="1"/>
  <c r="AT214" i="3"/>
  <c r="AX214" i="3" s="1"/>
  <c r="AT215" i="3"/>
  <c r="AX215" i="3" s="1"/>
  <c r="AT216" i="3"/>
  <c r="AX216" i="3" s="1"/>
  <c r="AT217" i="3"/>
  <c r="AX217" i="3" s="1"/>
  <c r="AT218" i="3"/>
  <c r="AX218" i="3" s="1"/>
  <c r="AT219" i="3"/>
  <c r="AX219" i="3" s="1"/>
  <c r="AT220" i="3"/>
  <c r="AX220" i="3" s="1"/>
  <c r="AT221" i="3"/>
  <c r="AX221" i="3" s="1"/>
  <c r="AT222" i="3"/>
  <c r="AX222" i="3" s="1"/>
  <c r="AT223" i="3"/>
  <c r="AX223" i="3" s="1"/>
  <c r="AT224" i="3"/>
  <c r="AX224" i="3" s="1"/>
  <c r="AT225" i="3"/>
  <c r="AX225" i="3" s="1"/>
  <c r="AT226" i="3"/>
  <c r="AX226" i="3" s="1"/>
  <c r="AT227" i="3"/>
  <c r="AX227" i="3" s="1"/>
  <c r="AT228" i="3"/>
  <c r="AX228" i="3" s="1"/>
  <c r="AT229" i="3"/>
  <c r="AX229" i="3" s="1"/>
  <c r="AT230" i="3"/>
  <c r="AX230" i="3" s="1"/>
  <c r="AT231" i="3"/>
  <c r="AX231" i="3" s="1"/>
  <c r="AT232" i="3"/>
  <c r="AX232" i="3" s="1"/>
  <c r="AT233" i="3"/>
  <c r="AX233" i="3" s="1"/>
  <c r="AT234" i="3"/>
  <c r="AX234" i="3" s="1"/>
  <c r="AT235" i="3"/>
  <c r="AX235" i="3" s="1"/>
  <c r="AT236" i="3"/>
  <c r="AX236" i="3" s="1"/>
  <c r="AT237" i="3"/>
  <c r="AX237" i="3" s="1"/>
  <c r="AT238" i="3"/>
  <c r="AX238" i="3" s="1"/>
  <c r="AT239" i="3"/>
  <c r="AX239" i="3" s="1"/>
  <c r="AT240" i="3"/>
  <c r="AX240" i="3" s="1"/>
  <c r="AT241" i="3"/>
  <c r="AX241" i="3" s="1"/>
  <c r="AT242" i="3"/>
  <c r="AX242" i="3" s="1"/>
  <c r="AT243" i="3"/>
  <c r="AX243" i="3" s="1"/>
  <c r="AT244" i="3"/>
  <c r="AX244" i="3" s="1"/>
  <c r="AT245" i="3"/>
  <c r="AX245" i="3" s="1"/>
  <c r="AT246" i="3"/>
  <c r="AX246" i="3" s="1"/>
  <c r="AT247" i="3"/>
  <c r="AX247" i="3" s="1"/>
  <c r="AT248" i="3"/>
  <c r="AX248" i="3" s="1"/>
  <c r="AT249" i="3"/>
  <c r="AX249" i="3" s="1"/>
  <c r="AT250" i="3"/>
  <c r="AX250" i="3" s="1"/>
  <c r="AT251" i="3"/>
  <c r="AX251" i="3" s="1"/>
  <c r="AT252" i="3"/>
  <c r="AX252" i="3" s="1"/>
  <c r="AT253" i="3"/>
  <c r="AX253" i="3" s="1"/>
  <c r="AT254" i="3"/>
  <c r="AX254" i="3" s="1"/>
  <c r="AT255" i="3"/>
  <c r="AX255" i="3" s="1"/>
  <c r="AT256" i="3"/>
  <c r="AX256" i="3" s="1"/>
  <c r="AT257" i="3"/>
  <c r="AX257" i="3" s="1"/>
  <c r="AT258" i="3"/>
  <c r="AX258" i="3" s="1"/>
  <c r="AT259" i="3"/>
  <c r="AX259" i="3" s="1"/>
  <c r="AT260" i="3"/>
  <c r="AX260" i="3" s="1"/>
  <c r="AT261" i="3"/>
  <c r="AX261" i="3" s="1"/>
  <c r="AT262" i="3"/>
  <c r="AX262" i="3" s="1"/>
  <c r="AT263" i="3"/>
  <c r="AX263" i="3" s="1"/>
  <c r="AT264" i="3"/>
  <c r="AX264" i="3" s="1"/>
  <c r="AT265" i="3"/>
  <c r="AX265" i="3" s="1"/>
  <c r="AT266" i="3"/>
  <c r="AX266" i="3" s="1"/>
  <c r="AT267" i="3"/>
  <c r="AX267" i="3" s="1"/>
  <c r="AT268" i="3"/>
  <c r="AX268" i="3" s="1"/>
  <c r="AT269" i="3"/>
  <c r="AT270" i="3"/>
  <c r="AX270" i="3" s="1"/>
  <c r="AT271" i="3"/>
  <c r="AX271" i="3" s="1"/>
  <c r="AT272" i="3"/>
  <c r="AX272" i="3" s="1"/>
  <c r="AT273" i="3"/>
  <c r="AX273" i="3" s="1"/>
  <c r="AT274" i="3"/>
  <c r="AX274" i="3" s="1"/>
  <c r="AT275" i="3"/>
  <c r="AX275" i="3" s="1"/>
  <c r="AT276" i="3"/>
  <c r="AT277" i="3"/>
  <c r="AX277" i="3" s="1"/>
  <c r="AT278" i="3"/>
  <c r="AX278" i="3" s="1"/>
  <c r="AT279" i="3"/>
  <c r="AX279" i="3" s="1"/>
  <c r="AT280" i="3"/>
  <c r="AX280" i="3" s="1"/>
  <c r="AT281" i="3"/>
  <c r="AX281" i="3" s="1"/>
  <c r="AT282" i="3"/>
  <c r="AX282" i="3" s="1"/>
  <c r="AT283" i="3"/>
  <c r="AX283" i="3" s="1"/>
  <c r="AT284" i="3"/>
  <c r="AX284" i="3" s="1"/>
  <c r="AT285" i="3"/>
  <c r="AX285" i="3" s="1"/>
  <c r="AT286" i="3"/>
  <c r="AX286" i="3" s="1"/>
  <c r="AT287" i="3"/>
  <c r="AX287" i="3" s="1"/>
  <c r="AT288" i="3"/>
  <c r="AX288" i="3" s="1"/>
  <c r="AT289" i="3"/>
  <c r="AX289" i="3" s="1"/>
  <c r="AT290" i="3"/>
  <c r="AX290" i="3" s="1"/>
  <c r="AT5" i="3"/>
  <c r="AX5" i="3" s="1"/>
  <c r="AP6" i="3"/>
  <c r="AP7" i="3"/>
  <c r="AP8" i="3"/>
  <c r="AP9" i="3"/>
  <c r="AP10" i="3"/>
  <c r="AP11" i="3"/>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P107" i="3"/>
  <c r="AP108" i="3"/>
  <c r="AP109" i="3"/>
  <c r="AP110" i="3"/>
  <c r="AP111" i="3"/>
  <c r="AP112" i="3"/>
  <c r="AP113" i="3"/>
  <c r="AP114" i="3"/>
  <c r="AP115" i="3"/>
  <c r="AP116" i="3"/>
  <c r="AP117" i="3"/>
  <c r="AP118" i="3"/>
  <c r="AP119" i="3"/>
  <c r="AP120" i="3"/>
  <c r="AP121" i="3"/>
  <c r="AP122" i="3"/>
  <c r="AP123" i="3"/>
  <c r="AP124" i="3"/>
  <c r="AP125" i="3"/>
  <c r="AP126" i="3"/>
  <c r="AP127" i="3"/>
  <c r="AP128" i="3"/>
  <c r="AP129" i="3"/>
  <c r="AP130" i="3"/>
  <c r="AP131" i="3"/>
  <c r="AP132" i="3"/>
  <c r="AP133" i="3"/>
  <c r="AP134" i="3"/>
  <c r="AP135" i="3"/>
  <c r="AP136" i="3"/>
  <c r="AP137" i="3"/>
  <c r="AP138" i="3"/>
  <c r="AP139" i="3"/>
  <c r="AP140" i="3"/>
  <c r="AP141" i="3"/>
  <c r="AP142" i="3"/>
  <c r="AP143" i="3"/>
  <c r="AP144" i="3"/>
  <c r="AP145" i="3"/>
  <c r="AP146" i="3"/>
  <c r="AP147" i="3"/>
  <c r="AP148" i="3"/>
  <c r="AP149" i="3"/>
  <c r="AP150" i="3"/>
  <c r="AP151" i="3"/>
  <c r="AP152" i="3"/>
  <c r="AP153" i="3"/>
  <c r="AP154" i="3"/>
  <c r="AP155" i="3"/>
  <c r="AP156" i="3"/>
  <c r="AP157" i="3"/>
  <c r="AP158" i="3"/>
  <c r="AP159" i="3"/>
  <c r="AP160" i="3"/>
  <c r="AP161" i="3"/>
  <c r="AP162" i="3"/>
  <c r="AP163" i="3"/>
  <c r="AP164" i="3"/>
  <c r="AP165" i="3"/>
  <c r="AP166" i="3"/>
  <c r="AP167" i="3"/>
  <c r="AP168" i="3"/>
  <c r="AP169" i="3"/>
  <c r="AP170" i="3"/>
  <c r="AP171" i="3"/>
  <c r="AP172" i="3"/>
  <c r="AP173" i="3"/>
  <c r="AP174" i="3"/>
  <c r="AP175" i="3"/>
  <c r="AP176" i="3"/>
  <c r="AP177" i="3"/>
  <c r="AP178" i="3"/>
  <c r="AP179" i="3"/>
  <c r="AP180" i="3"/>
  <c r="AP181" i="3"/>
  <c r="AP182" i="3"/>
  <c r="AP183" i="3"/>
  <c r="AP184" i="3"/>
  <c r="AP185" i="3"/>
  <c r="AP186" i="3"/>
  <c r="AP187" i="3"/>
  <c r="AP188" i="3"/>
  <c r="AP189" i="3"/>
  <c r="AP190" i="3"/>
  <c r="AP191" i="3"/>
  <c r="AP192" i="3"/>
  <c r="AP193" i="3"/>
  <c r="AP194" i="3"/>
  <c r="AP195" i="3"/>
  <c r="AP196" i="3"/>
  <c r="AP197" i="3"/>
  <c r="AP198" i="3"/>
  <c r="AP199" i="3"/>
  <c r="AP200" i="3"/>
  <c r="AP201" i="3"/>
  <c r="AP202" i="3"/>
  <c r="AP203" i="3"/>
  <c r="AP204" i="3"/>
  <c r="AP205" i="3"/>
  <c r="AP206" i="3"/>
  <c r="AP207" i="3"/>
  <c r="AP208" i="3"/>
  <c r="AP209" i="3"/>
  <c r="AP210" i="3"/>
  <c r="AP211" i="3"/>
  <c r="AP212" i="3"/>
  <c r="AP213" i="3"/>
  <c r="AP214" i="3"/>
  <c r="AP215" i="3"/>
  <c r="AP216" i="3"/>
  <c r="AP217" i="3"/>
  <c r="AP218" i="3"/>
  <c r="AP219" i="3"/>
  <c r="AP220" i="3"/>
  <c r="AP221" i="3"/>
  <c r="AP222" i="3"/>
  <c r="AP223" i="3"/>
  <c r="AP224" i="3"/>
  <c r="AP225" i="3"/>
  <c r="AP226" i="3"/>
  <c r="AP227" i="3"/>
  <c r="AP228" i="3"/>
  <c r="AP229" i="3"/>
  <c r="AP230" i="3"/>
  <c r="AP231" i="3"/>
  <c r="AP232" i="3"/>
  <c r="AP233" i="3"/>
  <c r="AP234" i="3"/>
  <c r="AP235" i="3"/>
  <c r="AP236" i="3"/>
  <c r="AP237" i="3"/>
  <c r="AP238" i="3"/>
  <c r="AP239" i="3"/>
  <c r="AP240" i="3"/>
  <c r="AP241" i="3"/>
  <c r="AP242" i="3"/>
  <c r="AP243" i="3"/>
  <c r="AP244" i="3"/>
  <c r="AP245" i="3"/>
  <c r="AP246" i="3"/>
  <c r="AP247" i="3"/>
  <c r="AP248" i="3"/>
  <c r="AP249" i="3"/>
  <c r="AP250" i="3"/>
  <c r="AP251" i="3"/>
  <c r="AP252" i="3"/>
  <c r="AP253" i="3"/>
  <c r="AP254" i="3"/>
  <c r="AP255" i="3"/>
  <c r="AP256" i="3"/>
  <c r="AP257" i="3"/>
  <c r="AP258" i="3"/>
  <c r="AP259" i="3"/>
  <c r="AP260" i="3"/>
  <c r="AP261" i="3"/>
  <c r="AP262" i="3"/>
  <c r="AP263" i="3"/>
  <c r="AP264" i="3"/>
  <c r="AP265" i="3"/>
  <c r="AP266" i="3"/>
  <c r="AP267" i="3"/>
  <c r="AP268" i="3"/>
  <c r="AP269" i="3"/>
  <c r="AP270" i="3"/>
  <c r="AP271" i="3"/>
  <c r="AP272" i="3"/>
  <c r="AP273" i="3"/>
  <c r="AP274" i="3"/>
  <c r="AP275" i="3"/>
  <c r="AP276" i="3"/>
  <c r="AP277" i="3"/>
  <c r="AP278" i="3"/>
  <c r="AP279" i="3"/>
  <c r="AP280" i="3"/>
  <c r="AP281" i="3"/>
  <c r="AP282" i="3"/>
  <c r="AP283" i="3"/>
  <c r="AP284" i="3"/>
  <c r="AP285" i="3"/>
  <c r="AP286" i="3"/>
  <c r="AP287" i="3"/>
  <c r="AP288" i="3"/>
  <c r="AP289" i="3"/>
  <c r="AP290" i="3"/>
  <c r="CB6" i="3"/>
  <c r="CC6" i="3" s="1"/>
  <c r="CD6" i="3" s="1"/>
  <c r="CB7" i="3"/>
  <c r="CC7" i="3" s="1"/>
  <c r="CD7" i="3" s="1"/>
  <c r="CB8" i="3"/>
  <c r="CC8" i="3" s="1"/>
  <c r="CD8" i="3" s="1"/>
  <c r="CB9" i="3"/>
  <c r="CC9" i="3" s="1"/>
  <c r="CD9" i="3" s="1"/>
  <c r="CB10" i="3"/>
  <c r="CC10" i="3" s="1"/>
  <c r="CD10" i="3" s="1"/>
  <c r="CB11" i="3"/>
  <c r="CC11" i="3" s="1"/>
  <c r="CD11" i="3" s="1"/>
  <c r="CB12" i="3"/>
  <c r="CC12" i="3" s="1"/>
  <c r="CD12" i="3" s="1"/>
  <c r="CB13" i="3"/>
  <c r="CC13" i="3" s="1"/>
  <c r="CD13" i="3" s="1"/>
  <c r="CB14" i="3"/>
  <c r="CC14" i="3" s="1"/>
  <c r="CD14" i="3" s="1"/>
  <c r="CB15" i="3"/>
  <c r="CC15" i="3" s="1"/>
  <c r="CD15" i="3" s="1"/>
  <c r="CB16" i="3"/>
  <c r="CC16" i="3" s="1"/>
  <c r="CD16" i="3" s="1"/>
  <c r="CB17" i="3"/>
  <c r="CC17" i="3" s="1"/>
  <c r="CD17" i="3" s="1"/>
  <c r="CB18" i="3"/>
  <c r="CC18" i="3" s="1"/>
  <c r="CD18" i="3" s="1"/>
  <c r="CB19" i="3"/>
  <c r="CC19" i="3" s="1"/>
  <c r="CD19" i="3" s="1"/>
  <c r="CB20" i="3"/>
  <c r="CC20" i="3" s="1"/>
  <c r="CD20" i="3" s="1"/>
  <c r="CB21" i="3"/>
  <c r="CC21" i="3" s="1"/>
  <c r="CD21" i="3" s="1"/>
  <c r="CB22" i="3"/>
  <c r="CC22" i="3" s="1"/>
  <c r="CD22" i="3" s="1"/>
  <c r="CB23" i="3"/>
  <c r="CC23" i="3" s="1"/>
  <c r="CD23" i="3" s="1"/>
  <c r="CB24" i="3"/>
  <c r="CC24" i="3" s="1"/>
  <c r="CD24" i="3" s="1"/>
  <c r="CB25" i="3"/>
  <c r="CC25" i="3" s="1"/>
  <c r="CD25" i="3" s="1"/>
  <c r="CB26" i="3"/>
  <c r="CC26" i="3" s="1"/>
  <c r="CD26" i="3" s="1"/>
  <c r="CB27" i="3"/>
  <c r="CC27" i="3" s="1"/>
  <c r="CD27" i="3" s="1"/>
  <c r="CB28" i="3"/>
  <c r="CC28" i="3" s="1"/>
  <c r="CD28" i="3" s="1"/>
  <c r="CB29" i="3"/>
  <c r="CC29" i="3" s="1"/>
  <c r="CD29" i="3" s="1"/>
  <c r="CB30" i="3"/>
  <c r="CC30" i="3" s="1"/>
  <c r="CD30" i="3" s="1"/>
  <c r="CB31" i="3"/>
  <c r="CC31" i="3" s="1"/>
  <c r="CD31" i="3" s="1"/>
  <c r="CB32" i="3"/>
  <c r="CC32" i="3" s="1"/>
  <c r="CD32" i="3" s="1"/>
  <c r="CB33" i="3"/>
  <c r="CC33" i="3" s="1"/>
  <c r="CD33" i="3" s="1"/>
  <c r="CB34" i="3"/>
  <c r="CC34" i="3" s="1"/>
  <c r="CD34" i="3" s="1"/>
  <c r="CB35" i="3"/>
  <c r="CC35" i="3" s="1"/>
  <c r="CD35" i="3" s="1"/>
  <c r="CB36" i="3"/>
  <c r="CC36" i="3" s="1"/>
  <c r="CD36" i="3" s="1"/>
  <c r="CB37" i="3"/>
  <c r="CC37" i="3" s="1"/>
  <c r="CD37" i="3" s="1"/>
  <c r="CB38" i="3"/>
  <c r="CC38" i="3" s="1"/>
  <c r="CD38" i="3" s="1"/>
  <c r="CB39" i="3"/>
  <c r="CC39" i="3" s="1"/>
  <c r="CD39" i="3" s="1"/>
  <c r="CB40" i="3"/>
  <c r="CC40" i="3" s="1"/>
  <c r="CD40" i="3" s="1"/>
  <c r="CB41" i="3"/>
  <c r="CC41" i="3" s="1"/>
  <c r="CD41" i="3" s="1"/>
  <c r="CB42" i="3"/>
  <c r="CC42" i="3" s="1"/>
  <c r="CD42" i="3" s="1"/>
  <c r="CB43" i="3"/>
  <c r="CC43" i="3" s="1"/>
  <c r="CD43" i="3" s="1"/>
  <c r="CB44" i="3"/>
  <c r="CC44" i="3" s="1"/>
  <c r="CD44" i="3" s="1"/>
  <c r="CB45" i="3"/>
  <c r="CC45" i="3" s="1"/>
  <c r="CD45" i="3" s="1"/>
  <c r="CB46" i="3"/>
  <c r="CC46" i="3" s="1"/>
  <c r="CD46" i="3" s="1"/>
  <c r="CB47" i="3"/>
  <c r="CC47" i="3" s="1"/>
  <c r="CD47" i="3" s="1"/>
  <c r="CB48" i="3"/>
  <c r="CC48" i="3" s="1"/>
  <c r="CD48" i="3" s="1"/>
  <c r="CB49" i="3"/>
  <c r="CC49" i="3" s="1"/>
  <c r="CD49" i="3" s="1"/>
  <c r="CB50" i="3"/>
  <c r="CC50" i="3" s="1"/>
  <c r="CD50" i="3" s="1"/>
  <c r="CB51" i="3"/>
  <c r="CC51" i="3" s="1"/>
  <c r="CD51" i="3" s="1"/>
  <c r="CB52" i="3"/>
  <c r="CC52" i="3" s="1"/>
  <c r="CD52" i="3" s="1"/>
  <c r="CB53" i="3"/>
  <c r="CC53" i="3" s="1"/>
  <c r="CD53" i="3" s="1"/>
  <c r="CB54" i="3"/>
  <c r="CC54" i="3" s="1"/>
  <c r="CD54" i="3" s="1"/>
  <c r="CB55" i="3"/>
  <c r="CC55" i="3" s="1"/>
  <c r="CD55" i="3" s="1"/>
  <c r="CB56" i="3"/>
  <c r="CC56" i="3" s="1"/>
  <c r="CD56" i="3" s="1"/>
  <c r="CB57" i="3"/>
  <c r="CC57" i="3" s="1"/>
  <c r="CD57" i="3" s="1"/>
  <c r="CB58" i="3"/>
  <c r="CC58" i="3" s="1"/>
  <c r="CD58" i="3" s="1"/>
  <c r="CB59" i="3"/>
  <c r="CC59" i="3" s="1"/>
  <c r="CD59" i="3" s="1"/>
  <c r="CB60" i="3"/>
  <c r="CC60" i="3" s="1"/>
  <c r="CD60" i="3" s="1"/>
  <c r="CB61" i="3"/>
  <c r="CC61" i="3" s="1"/>
  <c r="CD61" i="3" s="1"/>
  <c r="CB62" i="3"/>
  <c r="CC62" i="3" s="1"/>
  <c r="CD62" i="3" s="1"/>
  <c r="CB63" i="3"/>
  <c r="CC63" i="3" s="1"/>
  <c r="CD63" i="3" s="1"/>
  <c r="CB64" i="3"/>
  <c r="CC64" i="3" s="1"/>
  <c r="CD64" i="3" s="1"/>
  <c r="CB65" i="3"/>
  <c r="CC65" i="3" s="1"/>
  <c r="CD65" i="3" s="1"/>
  <c r="CB66" i="3"/>
  <c r="CC66" i="3" s="1"/>
  <c r="CD66" i="3" s="1"/>
  <c r="CB67" i="3"/>
  <c r="CC67" i="3" s="1"/>
  <c r="CD67" i="3" s="1"/>
  <c r="CB68" i="3"/>
  <c r="CC68" i="3" s="1"/>
  <c r="CD68" i="3" s="1"/>
  <c r="CB69" i="3"/>
  <c r="CC69" i="3" s="1"/>
  <c r="CD69" i="3" s="1"/>
  <c r="CB70" i="3"/>
  <c r="CC70" i="3" s="1"/>
  <c r="CD70" i="3" s="1"/>
  <c r="CB71" i="3"/>
  <c r="CC71" i="3" s="1"/>
  <c r="CD71" i="3" s="1"/>
  <c r="CB72" i="3"/>
  <c r="CC72" i="3" s="1"/>
  <c r="CD72" i="3" s="1"/>
  <c r="CB73" i="3"/>
  <c r="CC73" i="3" s="1"/>
  <c r="CD73" i="3" s="1"/>
  <c r="CB74" i="3"/>
  <c r="CC74" i="3" s="1"/>
  <c r="CD74" i="3" s="1"/>
  <c r="CB75" i="3"/>
  <c r="CC75" i="3" s="1"/>
  <c r="CD75" i="3" s="1"/>
  <c r="CB76" i="3"/>
  <c r="CC76" i="3" s="1"/>
  <c r="CD76" i="3" s="1"/>
  <c r="CB77" i="3"/>
  <c r="CC77" i="3" s="1"/>
  <c r="CD77" i="3" s="1"/>
  <c r="CB78" i="3"/>
  <c r="CC78" i="3" s="1"/>
  <c r="CD78" i="3" s="1"/>
  <c r="CB79" i="3"/>
  <c r="CC79" i="3" s="1"/>
  <c r="CD79" i="3" s="1"/>
  <c r="CB80" i="3"/>
  <c r="CC80" i="3" s="1"/>
  <c r="CD80" i="3" s="1"/>
  <c r="CB81" i="3"/>
  <c r="CC81" i="3" s="1"/>
  <c r="CD81" i="3" s="1"/>
  <c r="CB82" i="3"/>
  <c r="CC82" i="3" s="1"/>
  <c r="CD82" i="3" s="1"/>
  <c r="CB83" i="3"/>
  <c r="CC83" i="3" s="1"/>
  <c r="CD83" i="3" s="1"/>
  <c r="CB84" i="3"/>
  <c r="CC84" i="3" s="1"/>
  <c r="CD84" i="3" s="1"/>
  <c r="CB85" i="3"/>
  <c r="CC85" i="3" s="1"/>
  <c r="CD85" i="3" s="1"/>
  <c r="CB86" i="3"/>
  <c r="CC86" i="3" s="1"/>
  <c r="CD86" i="3" s="1"/>
  <c r="CB87" i="3"/>
  <c r="CC87" i="3" s="1"/>
  <c r="CD87" i="3" s="1"/>
  <c r="CB88" i="3"/>
  <c r="CC88" i="3" s="1"/>
  <c r="CD88" i="3" s="1"/>
  <c r="CB89" i="3"/>
  <c r="CC89" i="3" s="1"/>
  <c r="CD89" i="3" s="1"/>
  <c r="CB90" i="3"/>
  <c r="CC90" i="3" s="1"/>
  <c r="CD90" i="3" s="1"/>
  <c r="CB91" i="3"/>
  <c r="CC91" i="3" s="1"/>
  <c r="CD91" i="3" s="1"/>
  <c r="CB92" i="3"/>
  <c r="CC92" i="3" s="1"/>
  <c r="CD92" i="3" s="1"/>
  <c r="CB93" i="3"/>
  <c r="CC93" i="3" s="1"/>
  <c r="CD93" i="3" s="1"/>
  <c r="CB94" i="3"/>
  <c r="CC94" i="3" s="1"/>
  <c r="CD94" i="3" s="1"/>
  <c r="CB95" i="3"/>
  <c r="CC95" i="3" s="1"/>
  <c r="CD95" i="3" s="1"/>
  <c r="CB96" i="3"/>
  <c r="CC96" i="3" s="1"/>
  <c r="CD96" i="3" s="1"/>
  <c r="CB97" i="3"/>
  <c r="CC97" i="3" s="1"/>
  <c r="CD97" i="3" s="1"/>
  <c r="CB98" i="3"/>
  <c r="CC98" i="3" s="1"/>
  <c r="CD98" i="3" s="1"/>
  <c r="CB99" i="3"/>
  <c r="CC99" i="3" s="1"/>
  <c r="CD99" i="3" s="1"/>
  <c r="CB100" i="3"/>
  <c r="CC100" i="3" s="1"/>
  <c r="CD100" i="3" s="1"/>
  <c r="CB101" i="3"/>
  <c r="CC101" i="3" s="1"/>
  <c r="CD101" i="3" s="1"/>
  <c r="CB102" i="3"/>
  <c r="CC102" i="3" s="1"/>
  <c r="CD102" i="3" s="1"/>
  <c r="CB103" i="3"/>
  <c r="CC103" i="3" s="1"/>
  <c r="CD103" i="3" s="1"/>
  <c r="CB104" i="3"/>
  <c r="CC104" i="3" s="1"/>
  <c r="CD104" i="3" s="1"/>
  <c r="CB105" i="3"/>
  <c r="CC105" i="3" s="1"/>
  <c r="CD105" i="3" s="1"/>
  <c r="CB106" i="3"/>
  <c r="CC106" i="3" s="1"/>
  <c r="CD106" i="3" s="1"/>
  <c r="CB107" i="3"/>
  <c r="CC107" i="3" s="1"/>
  <c r="CD107" i="3" s="1"/>
  <c r="CB108" i="3"/>
  <c r="CC108" i="3" s="1"/>
  <c r="CD108" i="3" s="1"/>
  <c r="CB109" i="3"/>
  <c r="CC109" i="3" s="1"/>
  <c r="CD109" i="3" s="1"/>
  <c r="CB110" i="3"/>
  <c r="CC110" i="3" s="1"/>
  <c r="CD110" i="3" s="1"/>
  <c r="CB111" i="3"/>
  <c r="CC111" i="3" s="1"/>
  <c r="CD111" i="3" s="1"/>
  <c r="CB112" i="3"/>
  <c r="CC112" i="3" s="1"/>
  <c r="CD112" i="3" s="1"/>
  <c r="CB113" i="3"/>
  <c r="CC113" i="3" s="1"/>
  <c r="CD113" i="3" s="1"/>
  <c r="CB114" i="3"/>
  <c r="CC114" i="3" s="1"/>
  <c r="CD114" i="3" s="1"/>
  <c r="CB115" i="3"/>
  <c r="CC115" i="3" s="1"/>
  <c r="CD115" i="3" s="1"/>
  <c r="CB116" i="3"/>
  <c r="CC116" i="3" s="1"/>
  <c r="CD116" i="3" s="1"/>
  <c r="CB117" i="3"/>
  <c r="CC117" i="3" s="1"/>
  <c r="CD117" i="3" s="1"/>
  <c r="CB118" i="3"/>
  <c r="CC118" i="3" s="1"/>
  <c r="CD118" i="3" s="1"/>
  <c r="CB119" i="3"/>
  <c r="CC119" i="3" s="1"/>
  <c r="CD119" i="3" s="1"/>
  <c r="CB120" i="3"/>
  <c r="CC120" i="3" s="1"/>
  <c r="CD120" i="3" s="1"/>
  <c r="CB121" i="3"/>
  <c r="CC121" i="3" s="1"/>
  <c r="CD121" i="3" s="1"/>
  <c r="CB122" i="3"/>
  <c r="CC122" i="3" s="1"/>
  <c r="CD122" i="3" s="1"/>
  <c r="CB123" i="3"/>
  <c r="CC123" i="3" s="1"/>
  <c r="CD123" i="3" s="1"/>
  <c r="CB124" i="3"/>
  <c r="CC124" i="3" s="1"/>
  <c r="CD124" i="3" s="1"/>
  <c r="CB125" i="3"/>
  <c r="CC125" i="3" s="1"/>
  <c r="CD125" i="3" s="1"/>
  <c r="CB126" i="3"/>
  <c r="CC126" i="3" s="1"/>
  <c r="CD126" i="3" s="1"/>
  <c r="CB127" i="3"/>
  <c r="CC127" i="3" s="1"/>
  <c r="CD127" i="3" s="1"/>
  <c r="CB128" i="3"/>
  <c r="CC128" i="3" s="1"/>
  <c r="CD128" i="3" s="1"/>
  <c r="CB129" i="3"/>
  <c r="CC129" i="3" s="1"/>
  <c r="CD129" i="3" s="1"/>
  <c r="CB130" i="3"/>
  <c r="CC130" i="3" s="1"/>
  <c r="CD130" i="3" s="1"/>
  <c r="CB131" i="3"/>
  <c r="CC131" i="3" s="1"/>
  <c r="CD131" i="3" s="1"/>
  <c r="CB132" i="3"/>
  <c r="CC132" i="3" s="1"/>
  <c r="CD132" i="3" s="1"/>
  <c r="CB133" i="3"/>
  <c r="CC133" i="3" s="1"/>
  <c r="CD133" i="3" s="1"/>
  <c r="CB134" i="3"/>
  <c r="CC134" i="3" s="1"/>
  <c r="CD134" i="3" s="1"/>
  <c r="CB135" i="3"/>
  <c r="CC135" i="3" s="1"/>
  <c r="CD135" i="3" s="1"/>
  <c r="CB136" i="3"/>
  <c r="CC136" i="3" s="1"/>
  <c r="CD136" i="3" s="1"/>
  <c r="CB137" i="3"/>
  <c r="CC137" i="3" s="1"/>
  <c r="CD137" i="3" s="1"/>
  <c r="CB138" i="3"/>
  <c r="CC138" i="3" s="1"/>
  <c r="CD138" i="3" s="1"/>
  <c r="CB139" i="3"/>
  <c r="CC139" i="3" s="1"/>
  <c r="CD139" i="3" s="1"/>
  <c r="CB140" i="3"/>
  <c r="CC140" i="3" s="1"/>
  <c r="CD140" i="3" s="1"/>
  <c r="CB141" i="3"/>
  <c r="CC141" i="3" s="1"/>
  <c r="CD141" i="3" s="1"/>
  <c r="CB142" i="3"/>
  <c r="CC142" i="3" s="1"/>
  <c r="CD142" i="3" s="1"/>
  <c r="CB143" i="3"/>
  <c r="CC143" i="3" s="1"/>
  <c r="CD143" i="3" s="1"/>
  <c r="CB144" i="3"/>
  <c r="CC144" i="3" s="1"/>
  <c r="CD144" i="3" s="1"/>
  <c r="CB145" i="3"/>
  <c r="CC145" i="3" s="1"/>
  <c r="CD145" i="3" s="1"/>
  <c r="CB146" i="3"/>
  <c r="CC146" i="3" s="1"/>
  <c r="CD146" i="3" s="1"/>
  <c r="CB147" i="3"/>
  <c r="CC147" i="3" s="1"/>
  <c r="CD147" i="3" s="1"/>
  <c r="CB148" i="3"/>
  <c r="CC148" i="3" s="1"/>
  <c r="CD148" i="3" s="1"/>
  <c r="CB149" i="3"/>
  <c r="CC149" i="3" s="1"/>
  <c r="CD149" i="3" s="1"/>
  <c r="CB150" i="3"/>
  <c r="CC150" i="3" s="1"/>
  <c r="CD150" i="3" s="1"/>
  <c r="CB151" i="3"/>
  <c r="CC151" i="3" s="1"/>
  <c r="CD151" i="3" s="1"/>
  <c r="CB152" i="3"/>
  <c r="CC152" i="3" s="1"/>
  <c r="CD152" i="3" s="1"/>
  <c r="CB153" i="3"/>
  <c r="CC153" i="3" s="1"/>
  <c r="CD153" i="3" s="1"/>
  <c r="CB154" i="3"/>
  <c r="CC154" i="3" s="1"/>
  <c r="CD154" i="3" s="1"/>
  <c r="CB155" i="3"/>
  <c r="CC155" i="3" s="1"/>
  <c r="CD155" i="3" s="1"/>
  <c r="CB156" i="3"/>
  <c r="CC156" i="3" s="1"/>
  <c r="CD156" i="3" s="1"/>
  <c r="CB157" i="3"/>
  <c r="CC157" i="3" s="1"/>
  <c r="CD157" i="3" s="1"/>
  <c r="CB158" i="3"/>
  <c r="CC158" i="3" s="1"/>
  <c r="CD158" i="3" s="1"/>
  <c r="CB159" i="3"/>
  <c r="CC159" i="3" s="1"/>
  <c r="CD159" i="3" s="1"/>
  <c r="CB160" i="3"/>
  <c r="CC160" i="3" s="1"/>
  <c r="CD160" i="3" s="1"/>
  <c r="CB161" i="3"/>
  <c r="CC161" i="3" s="1"/>
  <c r="CD161" i="3" s="1"/>
  <c r="CB162" i="3"/>
  <c r="CC162" i="3" s="1"/>
  <c r="CD162" i="3" s="1"/>
  <c r="CB163" i="3"/>
  <c r="CC163" i="3" s="1"/>
  <c r="CD163" i="3" s="1"/>
  <c r="CB164" i="3"/>
  <c r="CC164" i="3" s="1"/>
  <c r="CD164" i="3" s="1"/>
  <c r="CB165" i="3"/>
  <c r="CC165" i="3" s="1"/>
  <c r="CD165" i="3" s="1"/>
  <c r="CB166" i="3"/>
  <c r="CC166" i="3" s="1"/>
  <c r="CD166" i="3" s="1"/>
  <c r="CB167" i="3"/>
  <c r="CC167" i="3" s="1"/>
  <c r="CD167" i="3" s="1"/>
  <c r="CB168" i="3"/>
  <c r="CC168" i="3" s="1"/>
  <c r="CD168" i="3" s="1"/>
  <c r="CB169" i="3"/>
  <c r="CC169" i="3" s="1"/>
  <c r="CD169" i="3" s="1"/>
  <c r="CB170" i="3"/>
  <c r="CC170" i="3" s="1"/>
  <c r="CD170" i="3" s="1"/>
  <c r="CB171" i="3"/>
  <c r="CC171" i="3" s="1"/>
  <c r="CD171" i="3" s="1"/>
  <c r="CB172" i="3"/>
  <c r="CC172" i="3" s="1"/>
  <c r="CD172" i="3" s="1"/>
  <c r="CB173" i="3"/>
  <c r="CC173" i="3" s="1"/>
  <c r="CD173" i="3" s="1"/>
  <c r="CB174" i="3"/>
  <c r="CC174" i="3" s="1"/>
  <c r="CD174" i="3" s="1"/>
  <c r="CB175" i="3"/>
  <c r="CC175" i="3" s="1"/>
  <c r="CD175" i="3" s="1"/>
  <c r="CB176" i="3"/>
  <c r="CC176" i="3" s="1"/>
  <c r="CD176" i="3" s="1"/>
  <c r="CB177" i="3"/>
  <c r="CC177" i="3" s="1"/>
  <c r="CD177" i="3" s="1"/>
  <c r="CB178" i="3"/>
  <c r="CC178" i="3" s="1"/>
  <c r="CD178" i="3" s="1"/>
  <c r="CB179" i="3"/>
  <c r="CC179" i="3" s="1"/>
  <c r="CD179" i="3" s="1"/>
  <c r="CB180" i="3"/>
  <c r="CC180" i="3" s="1"/>
  <c r="CD180" i="3" s="1"/>
  <c r="CB181" i="3"/>
  <c r="CC181" i="3" s="1"/>
  <c r="CD181" i="3" s="1"/>
  <c r="CB182" i="3"/>
  <c r="CC182" i="3" s="1"/>
  <c r="CD182" i="3" s="1"/>
  <c r="CB183" i="3"/>
  <c r="CC183" i="3" s="1"/>
  <c r="CD183" i="3" s="1"/>
  <c r="CB184" i="3"/>
  <c r="CC184" i="3" s="1"/>
  <c r="CD184" i="3" s="1"/>
  <c r="CB185" i="3"/>
  <c r="CC185" i="3" s="1"/>
  <c r="CD185" i="3" s="1"/>
  <c r="CB186" i="3"/>
  <c r="CC186" i="3" s="1"/>
  <c r="CD186" i="3" s="1"/>
  <c r="CB187" i="3"/>
  <c r="CC187" i="3" s="1"/>
  <c r="CD187" i="3" s="1"/>
  <c r="CB188" i="3"/>
  <c r="CC188" i="3" s="1"/>
  <c r="CD188" i="3" s="1"/>
  <c r="CB189" i="3"/>
  <c r="CC189" i="3" s="1"/>
  <c r="CD189" i="3" s="1"/>
  <c r="CB190" i="3"/>
  <c r="CC190" i="3" s="1"/>
  <c r="CD190" i="3" s="1"/>
  <c r="CB191" i="3"/>
  <c r="CC191" i="3" s="1"/>
  <c r="CD191" i="3" s="1"/>
  <c r="CB192" i="3"/>
  <c r="CC192" i="3" s="1"/>
  <c r="CD192" i="3" s="1"/>
  <c r="CB193" i="3"/>
  <c r="CC193" i="3" s="1"/>
  <c r="CD193" i="3" s="1"/>
  <c r="CB194" i="3"/>
  <c r="CC194" i="3" s="1"/>
  <c r="CD194" i="3" s="1"/>
  <c r="CB195" i="3"/>
  <c r="CC195" i="3" s="1"/>
  <c r="CD195" i="3" s="1"/>
  <c r="CB196" i="3"/>
  <c r="CC196" i="3" s="1"/>
  <c r="CD196" i="3" s="1"/>
  <c r="CB197" i="3"/>
  <c r="CC197" i="3" s="1"/>
  <c r="CD197" i="3" s="1"/>
  <c r="CB198" i="3"/>
  <c r="CC198" i="3" s="1"/>
  <c r="CD198" i="3" s="1"/>
  <c r="CB199" i="3"/>
  <c r="CC199" i="3" s="1"/>
  <c r="CD199" i="3" s="1"/>
  <c r="CB200" i="3"/>
  <c r="CC200" i="3" s="1"/>
  <c r="CD200" i="3" s="1"/>
  <c r="CB201" i="3"/>
  <c r="CC201" i="3" s="1"/>
  <c r="CD201" i="3" s="1"/>
  <c r="CB202" i="3"/>
  <c r="CC202" i="3" s="1"/>
  <c r="CD202" i="3" s="1"/>
  <c r="CB203" i="3"/>
  <c r="CC203" i="3" s="1"/>
  <c r="CD203" i="3" s="1"/>
  <c r="CB204" i="3"/>
  <c r="CC204" i="3" s="1"/>
  <c r="CD204" i="3" s="1"/>
  <c r="CB205" i="3"/>
  <c r="CC205" i="3" s="1"/>
  <c r="CD205" i="3" s="1"/>
  <c r="CB206" i="3"/>
  <c r="CC206" i="3" s="1"/>
  <c r="CD206" i="3" s="1"/>
  <c r="CB207" i="3"/>
  <c r="CC207" i="3" s="1"/>
  <c r="CD207" i="3" s="1"/>
  <c r="CB208" i="3"/>
  <c r="CC208" i="3" s="1"/>
  <c r="CD208" i="3" s="1"/>
  <c r="CB209" i="3"/>
  <c r="CC209" i="3" s="1"/>
  <c r="CD209" i="3" s="1"/>
  <c r="CB210" i="3"/>
  <c r="CC210" i="3" s="1"/>
  <c r="CD210" i="3" s="1"/>
  <c r="CB211" i="3"/>
  <c r="CC211" i="3" s="1"/>
  <c r="CD211" i="3" s="1"/>
  <c r="CB212" i="3"/>
  <c r="CC212" i="3" s="1"/>
  <c r="CD212" i="3" s="1"/>
  <c r="CB213" i="3"/>
  <c r="CC213" i="3" s="1"/>
  <c r="CD213" i="3" s="1"/>
  <c r="CB214" i="3"/>
  <c r="CC214" i="3" s="1"/>
  <c r="CD214" i="3" s="1"/>
  <c r="CB215" i="3"/>
  <c r="CC215" i="3" s="1"/>
  <c r="CD215" i="3" s="1"/>
  <c r="CB216" i="3"/>
  <c r="CC216" i="3" s="1"/>
  <c r="CD216" i="3" s="1"/>
  <c r="CB217" i="3"/>
  <c r="CC217" i="3" s="1"/>
  <c r="CD217" i="3" s="1"/>
  <c r="CB218" i="3"/>
  <c r="CC218" i="3" s="1"/>
  <c r="CD218" i="3" s="1"/>
  <c r="CB219" i="3"/>
  <c r="CC219" i="3" s="1"/>
  <c r="CD219" i="3" s="1"/>
  <c r="CB220" i="3"/>
  <c r="CC220" i="3" s="1"/>
  <c r="CD220" i="3" s="1"/>
  <c r="CB221" i="3"/>
  <c r="CC221" i="3" s="1"/>
  <c r="CD221" i="3" s="1"/>
  <c r="CB222" i="3"/>
  <c r="CC222" i="3" s="1"/>
  <c r="CD222" i="3" s="1"/>
  <c r="CB223" i="3"/>
  <c r="CC223" i="3" s="1"/>
  <c r="CD223" i="3" s="1"/>
  <c r="CB224" i="3"/>
  <c r="CC224" i="3" s="1"/>
  <c r="CD224" i="3" s="1"/>
  <c r="CB225" i="3"/>
  <c r="CC225" i="3" s="1"/>
  <c r="CD225" i="3" s="1"/>
  <c r="CB226" i="3"/>
  <c r="CC226" i="3" s="1"/>
  <c r="CD226" i="3" s="1"/>
  <c r="CB227" i="3"/>
  <c r="CC227" i="3" s="1"/>
  <c r="CD227" i="3" s="1"/>
  <c r="CB228" i="3"/>
  <c r="CC228" i="3" s="1"/>
  <c r="CD228" i="3" s="1"/>
  <c r="CB229" i="3"/>
  <c r="CC229" i="3" s="1"/>
  <c r="CD229" i="3" s="1"/>
  <c r="CB230" i="3"/>
  <c r="CC230" i="3" s="1"/>
  <c r="CD230" i="3" s="1"/>
  <c r="CB231" i="3"/>
  <c r="CC231" i="3" s="1"/>
  <c r="CD231" i="3" s="1"/>
  <c r="CB232" i="3"/>
  <c r="CC232" i="3" s="1"/>
  <c r="CD232" i="3" s="1"/>
  <c r="CB233" i="3"/>
  <c r="CC233" i="3" s="1"/>
  <c r="CD233" i="3" s="1"/>
  <c r="CB234" i="3"/>
  <c r="CC234" i="3" s="1"/>
  <c r="CD234" i="3" s="1"/>
  <c r="CB235" i="3"/>
  <c r="CC235" i="3" s="1"/>
  <c r="CD235" i="3" s="1"/>
  <c r="CB236" i="3"/>
  <c r="CC236" i="3" s="1"/>
  <c r="CD236" i="3" s="1"/>
  <c r="CB237" i="3"/>
  <c r="CC237" i="3" s="1"/>
  <c r="CD237" i="3" s="1"/>
  <c r="CB238" i="3"/>
  <c r="CC238" i="3" s="1"/>
  <c r="CD238" i="3" s="1"/>
  <c r="CB239" i="3"/>
  <c r="CC239" i="3" s="1"/>
  <c r="CD239" i="3" s="1"/>
  <c r="CB240" i="3"/>
  <c r="CC240" i="3" s="1"/>
  <c r="CD240" i="3" s="1"/>
  <c r="CB241" i="3"/>
  <c r="CC241" i="3" s="1"/>
  <c r="CD241" i="3" s="1"/>
  <c r="CB242" i="3"/>
  <c r="CC242" i="3" s="1"/>
  <c r="CD242" i="3" s="1"/>
  <c r="CB243" i="3"/>
  <c r="CC243" i="3" s="1"/>
  <c r="CD243" i="3" s="1"/>
  <c r="CB244" i="3"/>
  <c r="CC244" i="3" s="1"/>
  <c r="CD244" i="3" s="1"/>
  <c r="CB245" i="3"/>
  <c r="CC245" i="3" s="1"/>
  <c r="CD245" i="3" s="1"/>
  <c r="CB246" i="3"/>
  <c r="CC246" i="3" s="1"/>
  <c r="CD246" i="3" s="1"/>
  <c r="CB247" i="3"/>
  <c r="CC247" i="3" s="1"/>
  <c r="CD247" i="3" s="1"/>
  <c r="CB248" i="3"/>
  <c r="CC248" i="3" s="1"/>
  <c r="CD248" i="3" s="1"/>
  <c r="CB249" i="3"/>
  <c r="CC249" i="3" s="1"/>
  <c r="CD249" i="3" s="1"/>
  <c r="CB250" i="3"/>
  <c r="CC250" i="3" s="1"/>
  <c r="CD250" i="3" s="1"/>
  <c r="CB251" i="3"/>
  <c r="CC251" i="3" s="1"/>
  <c r="CD251" i="3" s="1"/>
  <c r="CB252" i="3"/>
  <c r="CC252" i="3" s="1"/>
  <c r="CD252" i="3" s="1"/>
  <c r="CB253" i="3"/>
  <c r="CC253" i="3" s="1"/>
  <c r="CD253" i="3" s="1"/>
  <c r="CB254" i="3"/>
  <c r="CC254" i="3" s="1"/>
  <c r="CD254" i="3" s="1"/>
  <c r="CB255" i="3"/>
  <c r="CC255" i="3" s="1"/>
  <c r="CD255" i="3" s="1"/>
  <c r="CB256" i="3"/>
  <c r="CC256" i="3" s="1"/>
  <c r="CD256" i="3" s="1"/>
  <c r="CB257" i="3"/>
  <c r="CC257" i="3" s="1"/>
  <c r="CD257" i="3" s="1"/>
  <c r="CB258" i="3"/>
  <c r="CC258" i="3" s="1"/>
  <c r="CD258" i="3" s="1"/>
  <c r="CB259" i="3"/>
  <c r="CC259" i="3" s="1"/>
  <c r="CD259" i="3" s="1"/>
  <c r="CB260" i="3"/>
  <c r="CC260" i="3" s="1"/>
  <c r="CD260" i="3" s="1"/>
  <c r="CB261" i="3"/>
  <c r="CC261" i="3" s="1"/>
  <c r="CD261" i="3" s="1"/>
  <c r="CB262" i="3"/>
  <c r="CC262" i="3" s="1"/>
  <c r="CD262" i="3" s="1"/>
  <c r="CB263" i="3"/>
  <c r="CC263" i="3" s="1"/>
  <c r="CD263" i="3" s="1"/>
  <c r="CB264" i="3"/>
  <c r="CC264" i="3" s="1"/>
  <c r="CD264" i="3" s="1"/>
  <c r="CB265" i="3"/>
  <c r="CC265" i="3" s="1"/>
  <c r="CD265" i="3" s="1"/>
  <c r="CB266" i="3"/>
  <c r="CC266" i="3" s="1"/>
  <c r="CD266" i="3" s="1"/>
  <c r="CB267" i="3"/>
  <c r="CC267" i="3" s="1"/>
  <c r="CD267" i="3" s="1"/>
  <c r="CB268" i="3"/>
  <c r="CC268" i="3" s="1"/>
  <c r="CD268" i="3" s="1"/>
  <c r="CB269" i="3"/>
  <c r="CC269" i="3" s="1"/>
  <c r="CD269" i="3" s="1"/>
  <c r="CB270" i="3"/>
  <c r="CC270" i="3" s="1"/>
  <c r="CD270" i="3" s="1"/>
  <c r="CB271" i="3"/>
  <c r="CC271" i="3" s="1"/>
  <c r="CD271" i="3" s="1"/>
  <c r="CB272" i="3"/>
  <c r="CC272" i="3" s="1"/>
  <c r="CD272" i="3" s="1"/>
  <c r="CB273" i="3"/>
  <c r="CC273" i="3" s="1"/>
  <c r="CD273" i="3" s="1"/>
  <c r="CB274" i="3"/>
  <c r="CC274" i="3" s="1"/>
  <c r="CD274" i="3" s="1"/>
  <c r="CB275" i="3"/>
  <c r="CC275" i="3" s="1"/>
  <c r="CD275" i="3" s="1"/>
  <c r="CB276" i="3"/>
  <c r="CC276" i="3" s="1"/>
  <c r="CD276" i="3" s="1"/>
  <c r="CB277" i="3"/>
  <c r="CC277" i="3" s="1"/>
  <c r="CD277" i="3" s="1"/>
  <c r="CB278" i="3"/>
  <c r="CC278" i="3" s="1"/>
  <c r="CD278" i="3" s="1"/>
  <c r="CB279" i="3"/>
  <c r="CC279" i="3" s="1"/>
  <c r="CD279" i="3" s="1"/>
  <c r="CB280" i="3"/>
  <c r="CC280" i="3" s="1"/>
  <c r="CD280" i="3" s="1"/>
  <c r="CB281" i="3"/>
  <c r="CC281" i="3" s="1"/>
  <c r="CD281" i="3" s="1"/>
  <c r="CB282" i="3"/>
  <c r="CC282" i="3" s="1"/>
  <c r="CD282" i="3" s="1"/>
  <c r="CB283" i="3"/>
  <c r="CC283" i="3" s="1"/>
  <c r="CD283" i="3" s="1"/>
  <c r="CB284" i="3"/>
  <c r="CC284" i="3" s="1"/>
  <c r="CD284" i="3" s="1"/>
  <c r="CB285" i="3"/>
  <c r="CC285" i="3" s="1"/>
  <c r="CD285" i="3" s="1"/>
  <c r="CB286" i="3"/>
  <c r="CC286" i="3" s="1"/>
  <c r="CD286" i="3" s="1"/>
  <c r="CB287" i="3"/>
  <c r="CC287" i="3" s="1"/>
  <c r="CD287" i="3" s="1"/>
  <c r="CB288" i="3"/>
  <c r="CC288" i="3" s="1"/>
  <c r="CD288" i="3" s="1"/>
  <c r="CB289" i="3"/>
  <c r="CC289" i="3" s="1"/>
  <c r="CD289" i="3" s="1"/>
  <c r="CB290" i="3"/>
  <c r="CC290" i="3" s="1"/>
  <c r="CD290" i="3" s="1"/>
  <c r="AC6" i="3"/>
  <c r="AC7" i="3"/>
  <c r="AC8" i="3"/>
  <c r="AC9" i="3"/>
  <c r="AC10" i="3"/>
  <c r="AC11" i="3"/>
  <c r="AC12" i="3"/>
  <c r="AC13" i="3"/>
  <c r="AC14" i="3"/>
  <c r="AC15" i="3"/>
  <c r="AC16" i="3"/>
  <c r="AC17" i="3"/>
  <c r="AC18" i="3"/>
  <c r="AC19" i="3"/>
  <c r="AC20" i="3"/>
  <c r="AC21" i="3"/>
  <c r="AC22" i="3"/>
  <c r="AC23" i="3"/>
  <c r="AC24" i="3"/>
  <c r="AC25" i="3"/>
  <c r="AC26" i="3"/>
  <c r="AC27" i="3"/>
  <c r="AC28" i="3"/>
  <c r="AC29" i="3"/>
  <c r="AC30" i="3"/>
  <c r="AC31" i="3"/>
  <c r="AC32" i="3"/>
  <c r="AC33" i="3"/>
  <c r="AC34" i="3"/>
  <c r="AC35" i="3"/>
  <c r="AC36" i="3"/>
  <c r="AC37" i="3"/>
  <c r="AC38" i="3"/>
  <c r="AC39" i="3"/>
  <c r="AC40" i="3"/>
  <c r="AC41" i="3"/>
  <c r="AC42" i="3"/>
  <c r="AC43" i="3"/>
  <c r="AC44" i="3"/>
  <c r="AC45" i="3"/>
  <c r="AC46" i="3"/>
  <c r="AC47" i="3"/>
  <c r="AC48" i="3"/>
  <c r="AC49" i="3"/>
  <c r="AC50" i="3"/>
  <c r="AC51" i="3"/>
  <c r="AC52" i="3"/>
  <c r="AC53" i="3"/>
  <c r="AC54" i="3"/>
  <c r="AC55" i="3"/>
  <c r="AC56" i="3"/>
  <c r="AC57" i="3"/>
  <c r="AC58" i="3"/>
  <c r="AC59" i="3"/>
  <c r="AC60" i="3"/>
  <c r="AC61" i="3"/>
  <c r="AC62" i="3"/>
  <c r="AC63" i="3"/>
  <c r="AC64" i="3"/>
  <c r="AC65" i="3"/>
  <c r="AC66" i="3"/>
  <c r="AC67" i="3"/>
  <c r="AC68" i="3"/>
  <c r="AC69" i="3"/>
  <c r="AC70" i="3"/>
  <c r="AC71" i="3"/>
  <c r="AC72" i="3"/>
  <c r="AC73" i="3"/>
  <c r="AC74" i="3"/>
  <c r="AC75" i="3"/>
  <c r="AC76" i="3"/>
  <c r="AC77" i="3"/>
  <c r="AC78" i="3"/>
  <c r="AC79" i="3"/>
  <c r="AC80" i="3"/>
  <c r="AC81" i="3"/>
  <c r="AC82" i="3"/>
  <c r="AC83" i="3"/>
  <c r="AC84" i="3"/>
  <c r="AC85" i="3"/>
  <c r="AC86" i="3"/>
  <c r="AC87" i="3"/>
  <c r="AC88" i="3"/>
  <c r="AC89" i="3"/>
  <c r="AC90" i="3"/>
  <c r="AC91" i="3"/>
  <c r="AC92" i="3"/>
  <c r="AC93" i="3"/>
  <c r="AC94" i="3"/>
  <c r="AC95" i="3"/>
  <c r="AC96" i="3"/>
  <c r="AC97" i="3"/>
  <c r="AC98" i="3"/>
  <c r="AC99" i="3"/>
  <c r="AC100" i="3"/>
  <c r="AC101" i="3"/>
  <c r="AC102" i="3"/>
  <c r="AC103" i="3"/>
  <c r="AC104" i="3"/>
  <c r="AC105" i="3"/>
  <c r="AC106" i="3"/>
  <c r="AC107" i="3"/>
  <c r="AC108" i="3"/>
  <c r="AC109" i="3"/>
  <c r="AC110" i="3"/>
  <c r="AC111" i="3"/>
  <c r="AC112" i="3"/>
  <c r="AC113" i="3"/>
  <c r="AC114" i="3"/>
  <c r="AC115" i="3"/>
  <c r="AC116" i="3"/>
  <c r="AC117" i="3"/>
  <c r="AC118" i="3"/>
  <c r="AC119" i="3"/>
  <c r="AC120" i="3"/>
  <c r="AC121" i="3"/>
  <c r="AC122" i="3"/>
  <c r="AC123" i="3"/>
  <c r="AC124" i="3"/>
  <c r="AC125" i="3"/>
  <c r="AC126" i="3"/>
  <c r="AC127" i="3"/>
  <c r="AC128" i="3"/>
  <c r="AC129" i="3"/>
  <c r="AC130" i="3"/>
  <c r="AC131" i="3"/>
  <c r="AC132" i="3"/>
  <c r="AC133" i="3"/>
  <c r="AC134" i="3"/>
  <c r="AC135" i="3"/>
  <c r="AC136" i="3"/>
  <c r="AC137" i="3"/>
  <c r="AC138" i="3"/>
  <c r="AC139" i="3"/>
  <c r="AC140" i="3"/>
  <c r="AC141" i="3"/>
  <c r="AC142" i="3"/>
  <c r="AC143" i="3"/>
  <c r="AC144" i="3"/>
  <c r="AC145" i="3"/>
  <c r="AC146" i="3"/>
  <c r="AC147" i="3"/>
  <c r="AC148" i="3"/>
  <c r="AC149" i="3"/>
  <c r="AC150" i="3"/>
  <c r="AC151" i="3"/>
  <c r="AC152" i="3"/>
  <c r="AC153" i="3"/>
  <c r="AC154" i="3"/>
  <c r="AC155" i="3"/>
  <c r="AC156" i="3"/>
  <c r="AC157" i="3"/>
  <c r="AC158" i="3"/>
  <c r="AC159" i="3"/>
  <c r="AC160" i="3"/>
  <c r="AC161" i="3"/>
  <c r="AC162" i="3"/>
  <c r="AC163" i="3"/>
  <c r="AC164" i="3"/>
  <c r="AC165" i="3"/>
  <c r="AC166" i="3"/>
  <c r="AC167" i="3"/>
  <c r="AC168" i="3"/>
  <c r="AC169" i="3"/>
  <c r="AC170" i="3"/>
  <c r="AC171" i="3"/>
  <c r="AC172" i="3"/>
  <c r="AC173" i="3"/>
  <c r="AC174" i="3"/>
  <c r="AC175" i="3"/>
  <c r="AC176" i="3"/>
  <c r="AC177" i="3"/>
  <c r="AC178" i="3"/>
  <c r="AC179" i="3"/>
  <c r="AC180" i="3"/>
  <c r="AC181" i="3"/>
  <c r="AC182" i="3"/>
  <c r="AC183" i="3"/>
  <c r="AC184" i="3"/>
  <c r="AC185" i="3"/>
  <c r="AC186" i="3"/>
  <c r="AC187" i="3"/>
  <c r="AC188" i="3"/>
  <c r="AC189" i="3"/>
  <c r="AC190" i="3"/>
  <c r="AC191" i="3"/>
  <c r="AC192" i="3"/>
  <c r="AC193" i="3"/>
  <c r="AC194" i="3"/>
  <c r="AC195" i="3"/>
  <c r="AC196" i="3"/>
  <c r="AC197" i="3"/>
  <c r="AC198" i="3"/>
  <c r="AC199" i="3"/>
  <c r="AC200" i="3"/>
  <c r="AC201" i="3"/>
  <c r="AC202" i="3"/>
  <c r="AC203" i="3"/>
  <c r="AC204" i="3"/>
  <c r="AC205" i="3"/>
  <c r="AC206" i="3"/>
  <c r="AC207" i="3"/>
  <c r="AC208" i="3"/>
  <c r="AC209" i="3"/>
  <c r="AC210" i="3"/>
  <c r="AC211" i="3"/>
  <c r="AC212" i="3"/>
  <c r="AC213" i="3"/>
  <c r="AC214" i="3"/>
  <c r="AC215" i="3"/>
  <c r="AC216" i="3"/>
  <c r="AC217" i="3"/>
  <c r="AC218" i="3"/>
  <c r="AC219" i="3"/>
  <c r="AC220" i="3"/>
  <c r="AC221" i="3"/>
  <c r="AC222" i="3"/>
  <c r="AC223" i="3"/>
  <c r="AC224" i="3"/>
  <c r="AC225" i="3"/>
  <c r="AC226" i="3"/>
  <c r="AC227" i="3"/>
  <c r="AC228" i="3"/>
  <c r="AC229" i="3"/>
  <c r="AC230" i="3"/>
  <c r="AC231" i="3"/>
  <c r="AC232" i="3"/>
  <c r="AC233" i="3"/>
  <c r="AC234" i="3"/>
  <c r="AC235" i="3"/>
  <c r="AC236" i="3"/>
  <c r="AC237" i="3"/>
  <c r="AC238" i="3"/>
  <c r="AC239" i="3"/>
  <c r="AC240" i="3"/>
  <c r="AC241" i="3"/>
  <c r="AC242" i="3"/>
  <c r="AC243" i="3"/>
  <c r="AC244" i="3"/>
  <c r="AC245" i="3"/>
  <c r="AC246" i="3"/>
  <c r="AC247" i="3"/>
  <c r="AC248" i="3"/>
  <c r="AC249" i="3"/>
  <c r="AC250" i="3"/>
  <c r="AC251" i="3"/>
  <c r="AC252" i="3"/>
  <c r="AC253" i="3"/>
  <c r="AC254" i="3"/>
  <c r="AC255" i="3"/>
  <c r="AC256" i="3"/>
  <c r="AC257" i="3"/>
  <c r="AC258" i="3"/>
  <c r="AC259" i="3"/>
  <c r="AC260" i="3"/>
  <c r="AC261" i="3"/>
  <c r="AC262" i="3"/>
  <c r="AC263" i="3"/>
  <c r="AC264" i="3"/>
  <c r="AC265" i="3"/>
  <c r="AC266" i="3"/>
  <c r="AC267" i="3"/>
  <c r="AC268" i="3"/>
  <c r="AC269" i="3"/>
  <c r="AC270" i="3"/>
  <c r="AC271" i="3"/>
  <c r="AC272" i="3"/>
  <c r="AC273" i="3"/>
  <c r="AC274" i="3"/>
  <c r="AC275" i="3"/>
  <c r="AC276" i="3"/>
  <c r="AC277" i="3"/>
  <c r="AC278" i="3"/>
  <c r="AC279" i="3"/>
  <c r="AC280" i="3"/>
  <c r="AC281" i="3"/>
  <c r="AC282" i="3"/>
  <c r="AC283" i="3"/>
  <c r="AC284" i="3"/>
  <c r="AC285" i="3"/>
  <c r="AC286" i="3"/>
  <c r="AC287" i="3"/>
  <c r="AC288" i="3"/>
  <c r="AC289" i="3"/>
  <c r="AC290" i="3"/>
  <c r="Z6" i="3"/>
  <c r="Z7" i="3"/>
  <c r="Z8" i="3"/>
  <c r="Z9" i="3"/>
  <c r="Z10" i="3"/>
  <c r="Z11" i="3"/>
  <c r="Z12" i="3"/>
  <c r="Z13" i="3"/>
  <c r="Z14" i="3"/>
  <c r="Z15" i="3"/>
  <c r="Z16" i="3"/>
  <c r="Z17" i="3"/>
  <c r="Z18" i="3"/>
  <c r="Z19" i="3"/>
  <c r="Z20" i="3"/>
  <c r="Z21" i="3"/>
  <c r="Z22" i="3"/>
  <c r="Z23" i="3"/>
  <c r="Z24" i="3"/>
  <c r="Z25" i="3"/>
  <c r="Z26" i="3"/>
  <c r="Z27" i="3"/>
  <c r="Z28" i="3"/>
  <c r="Z29" i="3"/>
  <c r="Z30" i="3"/>
  <c r="Z31" i="3"/>
  <c r="Z32"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89" i="3"/>
  <c r="Z90" i="3"/>
  <c r="Z91" i="3"/>
  <c r="Z92" i="3"/>
  <c r="Z93" i="3"/>
  <c r="Z94" i="3"/>
  <c r="Z95" i="3"/>
  <c r="Z96" i="3"/>
  <c r="Z97" i="3"/>
  <c r="Z98" i="3"/>
  <c r="Z99" i="3"/>
  <c r="Z100" i="3"/>
  <c r="Z101" i="3"/>
  <c r="Z102" i="3"/>
  <c r="Z103" i="3"/>
  <c r="Z104" i="3"/>
  <c r="Z105" i="3"/>
  <c r="Z106" i="3"/>
  <c r="Z107" i="3"/>
  <c r="Z108" i="3"/>
  <c r="Z109" i="3"/>
  <c r="Z110" i="3"/>
  <c r="Z111" i="3"/>
  <c r="Z112" i="3"/>
  <c r="Z113" i="3"/>
  <c r="Z114" i="3"/>
  <c r="Z115" i="3"/>
  <c r="Z116" i="3"/>
  <c r="Z117" i="3"/>
  <c r="Z118" i="3"/>
  <c r="Z119" i="3"/>
  <c r="Z120" i="3"/>
  <c r="Z121" i="3"/>
  <c r="Z122" i="3"/>
  <c r="Z123" i="3"/>
  <c r="Z124" i="3"/>
  <c r="Z125" i="3"/>
  <c r="Z126" i="3"/>
  <c r="Z127" i="3"/>
  <c r="Z128" i="3"/>
  <c r="Z129" i="3"/>
  <c r="Z130" i="3"/>
  <c r="Z131" i="3"/>
  <c r="Z132" i="3"/>
  <c r="Z133" i="3"/>
  <c r="Z134" i="3"/>
  <c r="Z135" i="3"/>
  <c r="Z136" i="3"/>
  <c r="Z137" i="3"/>
  <c r="Z138" i="3"/>
  <c r="Z139" i="3"/>
  <c r="Z140" i="3"/>
  <c r="Z141" i="3"/>
  <c r="Z142" i="3"/>
  <c r="Z143" i="3"/>
  <c r="Z144" i="3"/>
  <c r="Z145" i="3"/>
  <c r="Z146" i="3"/>
  <c r="Z147" i="3"/>
  <c r="Z148" i="3"/>
  <c r="Z149" i="3"/>
  <c r="Z150" i="3"/>
  <c r="Z151" i="3"/>
  <c r="Z152" i="3"/>
  <c r="Z153" i="3"/>
  <c r="Z154" i="3"/>
  <c r="Z155" i="3"/>
  <c r="Z156" i="3"/>
  <c r="Z157" i="3"/>
  <c r="Z158" i="3"/>
  <c r="Z159" i="3"/>
  <c r="Z160" i="3"/>
  <c r="Z161" i="3"/>
  <c r="Z162" i="3"/>
  <c r="Z163" i="3"/>
  <c r="Z164" i="3"/>
  <c r="Z165" i="3"/>
  <c r="Z166" i="3"/>
  <c r="Z167" i="3"/>
  <c r="Z168" i="3"/>
  <c r="Z169" i="3"/>
  <c r="Z170" i="3"/>
  <c r="Z171" i="3"/>
  <c r="Z172" i="3"/>
  <c r="Z173" i="3"/>
  <c r="Z174" i="3"/>
  <c r="Z175" i="3"/>
  <c r="Z176" i="3"/>
  <c r="Z177" i="3"/>
  <c r="Z178" i="3"/>
  <c r="Z179" i="3"/>
  <c r="Z180" i="3"/>
  <c r="Z181" i="3"/>
  <c r="Z182" i="3"/>
  <c r="Z183" i="3"/>
  <c r="Z184" i="3"/>
  <c r="Z185" i="3"/>
  <c r="Z186" i="3"/>
  <c r="Z187" i="3"/>
  <c r="Z188" i="3"/>
  <c r="Z189" i="3"/>
  <c r="Z190" i="3"/>
  <c r="Z191" i="3"/>
  <c r="Z192" i="3"/>
  <c r="Z193" i="3"/>
  <c r="Z194" i="3"/>
  <c r="Z195" i="3"/>
  <c r="Z196" i="3"/>
  <c r="Z197" i="3"/>
  <c r="Z198" i="3"/>
  <c r="Z199" i="3"/>
  <c r="Z200" i="3"/>
  <c r="Z201" i="3"/>
  <c r="Z202" i="3"/>
  <c r="Z203" i="3"/>
  <c r="Z204" i="3"/>
  <c r="Z205" i="3"/>
  <c r="Z206" i="3"/>
  <c r="Z207" i="3"/>
  <c r="Z208" i="3"/>
  <c r="Z209" i="3"/>
  <c r="Z210" i="3"/>
  <c r="Z211" i="3"/>
  <c r="Z212" i="3"/>
  <c r="Z213" i="3"/>
  <c r="Z214" i="3"/>
  <c r="Z215" i="3"/>
  <c r="Z216" i="3"/>
  <c r="Z217" i="3"/>
  <c r="Z218" i="3"/>
  <c r="Z219" i="3"/>
  <c r="Z220" i="3"/>
  <c r="Z221" i="3"/>
  <c r="Z222" i="3"/>
  <c r="Z223" i="3"/>
  <c r="Z224" i="3"/>
  <c r="Z225" i="3"/>
  <c r="Z226" i="3"/>
  <c r="Z227" i="3"/>
  <c r="Z228" i="3"/>
  <c r="Z229" i="3"/>
  <c r="Z230" i="3"/>
  <c r="Z231" i="3"/>
  <c r="Z232" i="3"/>
  <c r="Z233" i="3"/>
  <c r="Z234" i="3"/>
  <c r="Z235" i="3"/>
  <c r="Z236" i="3"/>
  <c r="Z237" i="3"/>
  <c r="Z238" i="3"/>
  <c r="Z239" i="3"/>
  <c r="Z240" i="3"/>
  <c r="Z241" i="3"/>
  <c r="Z242" i="3"/>
  <c r="Z243" i="3"/>
  <c r="Z244" i="3"/>
  <c r="Z245" i="3"/>
  <c r="Z246" i="3"/>
  <c r="Z247" i="3"/>
  <c r="Z248" i="3"/>
  <c r="Z249" i="3"/>
  <c r="Z250" i="3"/>
  <c r="Z251" i="3"/>
  <c r="Z252" i="3"/>
  <c r="Z253" i="3"/>
  <c r="Z254" i="3"/>
  <c r="Z255" i="3"/>
  <c r="Z256" i="3"/>
  <c r="Z257" i="3"/>
  <c r="Z258" i="3"/>
  <c r="Z259" i="3"/>
  <c r="Z260" i="3"/>
  <c r="Z261" i="3"/>
  <c r="Z262" i="3"/>
  <c r="Z263" i="3"/>
  <c r="Z264" i="3"/>
  <c r="Z265" i="3"/>
  <c r="Z266" i="3"/>
  <c r="Z267" i="3"/>
  <c r="Z268" i="3"/>
  <c r="Z269" i="3"/>
  <c r="Z270" i="3"/>
  <c r="Z271" i="3"/>
  <c r="Z272" i="3"/>
  <c r="Z273" i="3"/>
  <c r="Z274" i="3"/>
  <c r="Z275" i="3"/>
  <c r="Z276" i="3"/>
  <c r="Z277" i="3"/>
  <c r="Z278" i="3"/>
  <c r="Z279" i="3"/>
  <c r="Z280" i="3"/>
  <c r="Z281" i="3"/>
  <c r="Z282" i="3"/>
  <c r="Z283" i="3"/>
  <c r="Z284" i="3"/>
  <c r="Z285" i="3"/>
  <c r="Z286" i="3"/>
  <c r="Z287" i="3"/>
  <c r="Z288" i="3"/>
  <c r="Z289" i="3"/>
  <c r="Z290" i="3"/>
  <c r="X6" i="3"/>
  <c r="X7" i="3"/>
  <c r="X8" i="3"/>
  <c r="X9" i="3"/>
  <c r="X10" i="3"/>
  <c r="X11" i="3"/>
  <c r="X12" i="3"/>
  <c r="X13" i="3"/>
  <c r="X14" i="3"/>
  <c r="X15" i="3"/>
  <c r="X16" i="3"/>
  <c r="X17" i="3"/>
  <c r="X18" i="3"/>
  <c r="X19" i="3"/>
  <c r="X20" i="3"/>
  <c r="X21" i="3"/>
  <c r="X22" i="3"/>
  <c r="X23" i="3"/>
  <c r="X24" i="3"/>
  <c r="X25" i="3"/>
  <c r="X26" i="3"/>
  <c r="X27" i="3"/>
  <c r="X28" i="3"/>
  <c r="X29" i="3"/>
  <c r="X30" i="3"/>
  <c r="X31" i="3"/>
  <c r="X32" i="3"/>
  <c r="X33" i="3"/>
  <c r="X34" i="3"/>
  <c r="X35" i="3"/>
  <c r="X36" i="3"/>
  <c r="X37" i="3"/>
  <c r="X38" i="3"/>
  <c r="X39" i="3"/>
  <c r="X40" i="3"/>
  <c r="X41" i="3"/>
  <c r="X42" i="3"/>
  <c r="X43" i="3"/>
  <c r="X44" i="3"/>
  <c r="X45" i="3"/>
  <c r="X46" i="3"/>
  <c r="X47" i="3"/>
  <c r="X48" i="3"/>
  <c r="X49" i="3"/>
  <c r="X50" i="3"/>
  <c r="X51" i="3"/>
  <c r="X52" i="3"/>
  <c r="X53" i="3"/>
  <c r="X54" i="3"/>
  <c r="X55" i="3"/>
  <c r="X56" i="3"/>
  <c r="X57" i="3"/>
  <c r="X58" i="3"/>
  <c r="X59" i="3"/>
  <c r="X60" i="3"/>
  <c r="X61" i="3"/>
  <c r="X62" i="3"/>
  <c r="X63" i="3"/>
  <c r="X64" i="3"/>
  <c r="X65" i="3"/>
  <c r="X66" i="3"/>
  <c r="X67" i="3"/>
  <c r="X68" i="3"/>
  <c r="X69" i="3"/>
  <c r="X70" i="3"/>
  <c r="X71" i="3"/>
  <c r="X72" i="3"/>
  <c r="X73" i="3"/>
  <c r="X74" i="3"/>
  <c r="X75" i="3"/>
  <c r="X76" i="3"/>
  <c r="X77" i="3"/>
  <c r="X78" i="3"/>
  <c r="X79" i="3"/>
  <c r="X80" i="3"/>
  <c r="X81" i="3"/>
  <c r="X82" i="3"/>
  <c r="X83" i="3"/>
  <c r="X84" i="3"/>
  <c r="X85" i="3"/>
  <c r="X86" i="3"/>
  <c r="X87" i="3"/>
  <c r="X88" i="3"/>
  <c r="X89" i="3"/>
  <c r="X90" i="3"/>
  <c r="X91" i="3"/>
  <c r="X92" i="3"/>
  <c r="X93" i="3"/>
  <c r="X94" i="3"/>
  <c r="X95" i="3"/>
  <c r="X96" i="3"/>
  <c r="X97" i="3"/>
  <c r="X98" i="3"/>
  <c r="X99" i="3"/>
  <c r="X100" i="3"/>
  <c r="X101" i="3"/>
  <c r="X102" i="3"/>
  <c r="X103" i="3"/>
  <c r="X104" i="3"/>
  <c r="X105" i="3"/>
  <c r="X106" i="3"/>
  <c r="X107" i="3"/>
  <c r="X108" i="3"/>
  <c r="X109" i="3"/>
  <c r="X110" i="3"/>
  <c r="X111" i="3"/>
  <c r="X112" i="3"/>
  <c r="X113" i="3"/>
  <c r="X114" i="3"/>
  <c r="X115" i="3"/>
  <c r="X116" i="3"/>
  <c r="X117" i="3"/>
  <c r="X118" i="3"/>
  <c r="X119" i="3"/>
  <c r="X120" i="3"/>
  <c r="X121" i="3"/>
  <c r="X122" i="3"/>
  <c r="X123" i="3"/>
  <c r="X124" i="3"/>
  <c r="X125" i="3"/>
  <c r="X126" i="3"/>
  <c r="X127" i="3"/>
  <c r="X128" i="3"/>
  <c r="X129" i="3"/>
  <c r="X130" i="3"/>
  <c r="X131" i="3"/>
  <c r="X132" i="3"/>
  <c r="X133" i="3"/>
  <c r="X134" i="3"/>
  <c r="X135" i="3"/>
  <c r="X136" i="3"/>
  <c r="X137" i="3"/>
  <c r="X138" i="3"/>
  <c r="X139" i="3"/>
  <c r="X140" i="3"/>
  <c r="X141" i="3"/>
  <c r="X142" i="3"/>
  <c r="X143" i="3"/>
  <c r="X144" i="3"/>
  <c r="X145" i="3"/>
  <c r="X146" i="3"/>
  <c r="X147" i="3"/>
  <c r="X148" i="3"/>
  <c r="X149" i="3"/>
  <c r="X150" i="3"/>
  <c r="X151" i="3"/>
  <c r="X152" i="3"/>
  <c r="X153" i="3"/>
  <c r="X154" i="3"/>
  <c r="X155" i="3"/>
  <c r="X156" i="3"/>
  <c r="X157" i="3"/>
  <c r="X158" i="3"/>
  <c r="X159" i="3"/>
  <c r="X160" i="3"/>
  <c r="X161" i="3"/>
  <c r="X162" i="3"/>
  <c r="X163" i="3"/>
  <c r="X164" i="3"/>
  <c r="X165" i="3"/>
  <c r="X166" i="3"/>
  <c r="X167" i="3"/>
  <c r="X168" i="3"/>
  <c r="X169" i="3"/>
  <c r="X170" i="3"/>
  <c r="X171" i="3"/>
  <c r="X172" i="3"/>
  <c r="X173" i="3"/>
  <c r="X174" i="3"/>
  <c r="X175" i="3"/>
  <c r="X176" i="3"/>
  <c r="X177" i="3"/>
  <c r="X178" i="3"/>
  <c r="X179" i="3"/>
  <c r="X180" i="3"/>
  <c r="X181" i="3"/>
  <c r="X182" i="3"/>
  <c r="X183" i="3"/>
  <c r="X184" i="3"/>
  <c r="X185" i="3"/>
  <c r="X186" i="3"/>
  <c r="X187" i="3"/>
  <c r="X188" i="3"/>
  <c r="X189" i="3"/>
  <c r="X190" i="3"/>
  <c r="X191" i="3"/>
  <c r="X192" i="3"/>
  <c r="X193" i="3"/>
  <c r="X194" i="3"/>
  <c r="X195" i="3"/>
  <c r="X196" i="3"/>
  <c r="X197" i="3"/>
  <c r="X198" i="3"/>
  <c r="X199" i="3"/>
  <c r="X200" i="3"/>
  <c r="X201" i="3"/>
  <c r="X202" i="3"/>
  <c r="X203" i="3"/>
  <c r="X204" i="3"/>
  <c r="X205" i="3"/>
  <c r="X206" i="3"/>
  <c r="X207" i="3"/>
  <c r="X208" i="3"/>
  <c r="X209" i="3"/>
  <c r="X210" i="3"/>
  <c r="X211" i="3"/>
  <c r="X212" i="3"/>
  <c r="X213" i="3"/>
  <c r="X214" i="3"/>
  <c r="X215" i="3"/>
  <c r="X216" i="3"/>
  <c r="X217" i="3"/>
  <c r="X218" i="3"/>
  <c r="X219" i="3"/>
  <c r="X220" i="3"/>
  <c r="X221" i="3"/>
  <c r="X222" i="3"/>
  <c r="X223" i="3"/>
  <c r="X224" i="3"/>
  <c r="X225" i="3"/>
  <c r="X226" i="3"/>
  <c r="X227" i="3"/>
  <c r="X228" i="3"/>
  <c r="X229" i="3"/>
  <c r="X230" i="3"/>
  <c r="X231" i="3"/>
  <c r="X232" i="3"/>
  <c r="X233" i="3"/>
  <c r="X234" i="3"/>
  <c r="X235" i="3"/>
  <c r="X236" i="3"/>
  <c r="X237" i="3"/>
  <c r="X238" i="3"/>
  <c r="X239" i="3"/>
  <c r="X240" i="3"/>
  <c r="X241" i="3"/>
  <c r="X242" i="3"/>
  <c r="X243" i="3"/>
  <c r="X244" i="3"/>
  <c r="X245" i="3"/>
  <c r="X246" i="3"/>
  <c r="X247" i="3"/>
  <c r="X248" i="3"/>
  <c r="X249" i="3"/>
  <c r="X250" i="3"/>
  <c r="X251" i="3"/>
  <c r="X252" i="3"/>
  <c r="X253" i="3"/>
  <c r="X254" i="3"/>
  <c r="X255" i="3"/>
  <c r="X256" i="3"/>
  <c r="X257" i="3"/>
  <c r="X258" i="3"/>
  <c r="X259" i="3"/>
  <c r="X260" i="3"/>
  <c r="X261" i="3"/>
  <c r="X262" i="3"/>
  <c r="X263" i="3"/>
  <c r="X264" i="3"/>
  <c r="X265" i="3"/>
  <c r="X266" i="3"/>
  <c r="X267" i="3"/>
  <c r="X268" i="3"/>
  <c r="X269" i="3"/>
  <c r="X270" i="3"/>
  <c r="X271" i="3"/>
  <c r="X272" i="3"/>
  <c r="X273" i="3"/>
  <c r="X274" i="3"/>
  <c r="X275" i="3"/>
  <c r="X276" i="3"/>
  <c r="X277" i="3"/>
  <c r="X278" i="3"/>
  <c r="X279" i="3"/>
  <c r="X280" i="3"/>
  <c r="X281" i="3"/>
  <c r="X282" i="3"/>
  <c r="X283" i="3"/>
  <c r="X284" i="3"/>
  <c r="X285" i="3"/>
  <c r="X286" i="3"/>
  <c r="X287" i="3"/>
  <c r="X288" i="3"/>
  <c r="X289" i="3"/>
  <c r="X290" i="3"/>
  <c r="AX276" i="3" l="1"/>
  <c r="CV276" i="3"/>
  <c r="CO289" i="3"/>
  <c r="CO281" i="3"/>
  <c r="CO273" i="3"/>
  <c r="CO265" i="3"/>
  <c r="CO257" i="3"/>
  <c r="CO249" i="3"/>
  <c r="CO241" i="3"/>
  <c r="CO233" i="3"/>
  <c r="CO225" i="3"/>
  <c r="CO217" i="3"/>
  <c r="CO209" i="3"/>
  <c r="CO201" i="3"/>
  <c r="CO193" i="3"/>
  <c r="CO185" i="3"/>
  <c r="CO177" i="3"/>
  <c r="CO169" i="3"/>
  <c r="CO161" i="3"/>
  <c r="CO153" i="3"/>
  <c r="CO145" i="3"/>
  <c r="CO137" i="3"/>
  <c r="CO129" i="3"/>
  <c r="CO121" i="3"/>
  <c r="CO113" i="3"/>
  <c r="CO105" i="3"/>
  <c r="CO97" i="3"/>
  <c r="CO89" i="3"/>
  <c r="CO81" i="3"/>
  <c r="CO73" i="3"/>
  <c r="CO65" i="3"/>
  <c r="CO57" i="3"/>
  <c r="CO49" i="3"/>
  <c r="CO41" i="3"/>
  <c r="CO33" i="3"/>
  <c r="CO25" i="3"/>
  <c r="CO17" i="3"/>
  <c r="CO9" i="3"/>
  <c r="CO283" i="3"/>
  <c r="CO275" i="3"/>
  <c r="CO267" i="3"/>
  <c r="CO259" i="3"/>
  <c r="CO251" i="3"/>
  <c r="CO243" i="3"/>
  <c r="CO235" i="3"/>
  <c r="CO227" i="3"/>
  <c r="CO219" i="3"/>
  <c r="CO211" i="3"/>
  <c r="CO203" i="3"/>
  <c r="CO195" i="3"/>
  <c r="CO187" i="3"/>
  <c r="CO179" i="3"/>
  <c r="CO171" i="3"/>
  <c r="CO163" i="3"/>
  <c r="CO155" i="3"/>
  <c r="CO147" i="3"/>
  <c r="CO139" i="3"/>
  <c r="CO131" i="3"/>
  <c r="CO123" i="3"/>
  <c r="CO115" i="3"/>
  <c r="CO107" i="3"/>
  <c r="CO99" i="3"/>
  <c r="CO91" i="3"/>
  <c r="CO83" i="3"/>
  <c r="CO75" i="3"/>
  <c r="CO67" i="3"/>
  <c r="CO59" i="3"/>
  <c r="CO51" i="3"/>
  <c r="CO43" i="3"/>
  <c r="CO35" i="3"/>
  <c r="CO27" i="3"/>
  <c r="CO19" i="3"/>
  <c r="CO11" i="3"/>
  <c r="CO290" i="3"/>
  <c r="CO282" i="3"/>
  <c r="CO274" i="3"/>
  <c r="CO266" i="3"/>
  <c r="CO258" i="3"/>
  <c r="CO250" i="3"/>
  <c r="CO242" i="3"/>
  <c r="CO234" i="3"/>
  <c r="CO226" i="3"/>
  <c r="CO218" i="3"/>
  <c r="CO210" i="3"/>
  <c r="CO202" i="3"/>
  <c r="CO194" i="3"/>
  <c r="CO186" i="3"/>
  <c r="CO178" i="3"/>
  <c r="CO170" i="3"/>
  <c r="CO162" i="3"/>
  <c r="CO154" i="3"/>
  <c r="CO146" i="3"/>
  <c r="CO138" i="3"/>
  <c r="CO130" i="3"/>
  <c r="CO122" i="3"/>
  <c r="CO114" i="3"/>
  <c r="CO106" i="3"/>
  <c r="CO98" i="3"/>
  <c r="CO90" i="3"/>
  <c r="CO82" i="3"/>
  <c r="CO74" i="3"/>
  <c r="CO66" i="3"/>
  <c r="CO58" i="3"/>
  <c r="CO50" i="3"/>
  <c r="CO42" i="3"/>
  <c r="CO34" i="3"/>
  <c r="CO26" i="3"/>
  <c r="CO18" i="3"/>
  <c r="CO10" i="3"/>
  <c r="CO288" i="3"/>
  <c r="CO280" i="3"/>
  <c r="CO272" i="3"/>
  <c r="CO264" i="3"/>
  <c r="CO256" i="3"/>
  <c r="CO248" i="3"/>
  <c r="CO240" i="3"/>
  <c r="CO232" i="3"/>
  <c r="CO224" i="3"/>
  <c r="CO216" i="3"/>
  <c r="CO208" i="3"/>
  <c r="CO200" i="3"/>
  <c r="CO192" i="3"/>
  <c r="CO184" i="3"/>
  <c r="CO176" i="3"/>
  <c r="CO168" i="3"/>
  <c r="CO160" i="3"/>
  <c r="CO152" i="3"/>
  <c r="CO144" i="3"/>
  <c r="CO136" i="3"/>
  <c r="CO128" i="3"/>
  <c r="CO120" i="3"/>
  <c r="CO112" i="3"/>
  <c r="CO104" i="3"/>
  <c r="CO96" i="3"/>
  <c r="CO88" i="3"/>
  <c r="CO80" i="3"/>
  <c r="CO72" i="3"/>
  <c r="CO64" i="3"/>
  <c r="CO56" i="3"/>
  <c r="CO48" i="3"/>
  <c r="CO40" i="3"/>
  <c r="CO32" i="3"/>
  <c r="CO24" i="3"/>
  <c r="CO16" i="3"/>
  <c r="CO8" i="3"/>
  <c r="CO287" i="3"/>
  <c r="CO279" i="3"/>
  <c r="CO271" i="3"/>
  <c r="CO263" i="3"/>
  <c r="CO255" i="3"/>
  <c r="CO247" i="3"/>
  <c r="CO239" i="3"/>
  <c r="CO231" i="3"/>
  <c r="CO223" i="3"/>
  <c r="CO215" i="3"/>
  <c r="CO207" i="3"/>
  <c r="CO199" i="3"/>
  <c r="CO191" i="3"/>
  <c r="CO183" i="3"/>
  <c r="CO175" i="3"/>
  <c r="CO167" i="3"/>
  <c r="CO159" i="3"/>
  <c r="CO151" i="3"/>
  <c r="CO143" i="3"/>
  <c r="CO135" i="3"/>
  <c r="CO127" i="3"/>
  <c r="CO119" i="3"/>
  <c r="CO111" i="3"/>
  <c r="CO103" i="3"/>
  <c r="CO95" i="3"/>
  <c r="CO87" i="3"/>
  <c r="CO79" i="3"/>
  <c r="CO71" i="3"/>
  <c r="CO63" i="3"/>
  <c r="CO55" i="3"/>
  <c r="CO47" i="3"/>
  <c r="CO39" i="3"/>
  <c r="CO31" i="3"/>
  <c r="CO23" i="3"/>
  <c r="CO15" i="3"/>
  <c r="CO7" i="3"/>
  <c r="CO286" i="3"/>
  <c r="CO278" i="3"/>
  <c r="CO270" i="3"/>
  <c r="CO262" i="3"/>
  <c r="CO254" i="3"/>
  <c r="CO246" i="3"/>
  <c r="CO238" i="3"/>
  <c r="CO230" i="3"/>
  <c r="CO222" i="3"/>
  <c r="CO214" i="3"/>
  <c r="CO206" i="3"/>
  <c r="CO198" i="3"/>
  <c r="CO190" i="3"/>
  <c r="CO182" i="3"/>
  <c r="CO174" i="3"/>
  <c r="CO166" i="3"/>
  <c r="CO158" i="3"/>
  <c r="CO150" i="3"/>
  <c r="CO142" i="3"/>
  <c r="CO134" i="3"/>
  <c r="CO126" i="3"/>
  <c r="CO118" i="3"/>
  <c r="CO110" i="3"/>
  <c r="CO102" i="3"/>
  <c r="CO94" i="3"/>
  <c r="CO86" i="3"/>
  <c r="CO78" i="3"/>
  <c r="CO70" i="3"/>
  <c r="CO62" i="3"/>
  <c r="CO54" i="3"/>
  <c r="CO46" i="3"/>
  <c r="CO38" i="3"/>
  <c r="CO30" i="3"/>
  <c r="CO22" i="3"/>
  <c r="CO14" i="3"/>
  <c r="CO6" i="3"/>
  <c r="CO285" i="3"/>
  <c r="CO277" i="3"/>
  <c r="CO269" i="3"/>
  <c r="CO261" i="3"/>
  <c r="CO253" i="3"/>
  <c r="CO245" i="3"/>
  <c r="CO237" i="3"/>
  <c r="CO229" i="3"/>
  <c r="CO221" i="3"/>
  <c r="CO213" i="3"/>
  <c r="CO205" i="3"/>
  <c r="CO197" i="3"/>
  <c r="CO189" i="3"/>
  <c r="CO181" i="3"/>
  <c r="CO173" i="3"/>
  <c r="CO165" i="3"/>
  <c r="CO157" i="3"/>
  <c r="CO149" i="3"/>
  <c r="CO141" i="3"/>
  <c r="CO133" i="3"/>
  <c r="CO125" i="3"/>
  <c r="CO117" i="3"/>
  <c r="CO109" i="3"/>
  <c r="CO101" i="3"/>
  <c r="CO93" i="3"/>
  <c r="CO85" i="3"/>
  <c r="CO77" i="3"/>
  <c r="CO69" i="3"/>
  <c r="CO61" i="3"/>
  <c r="CO53" i="3"/>
  <c r="CO45" i="3"/>
  <c r="CO37" i="3"/>
  <c r="CO29" i="3"/>
  <c r="CO21" i="3"/>
  <c r="CO13" i="3"/>
  <c r="CO284" i="3"/>
  <c r="CO276" i="3"/>
  <c r="CO268" i="3"/>
  <c r="CO260" i="3"/>
  <c r="CO252" i="3"/>
  <c r="CO244" i="3"/>
  <c r="CO236" i="3"/>
  <c r="CO228" i="3"/>
  <c r="CO220" i="3"/>
  <c r="CO212" i="3"/>
  <c r="CO204" i="3"/>
  <c r="CO196" i="3"/>
  <c r="CO188" i="3"/>
  <c r="CO180" i="3"/>
  <c r="CO172" i="3"/>
  <c r="CO164" i="3"/>
  <c r="CO156" i="3"/>
  <c r="CO148" i="3"/>
  <c r="CO140" i="3"/>
  <c r="CO132" i="3"/>
  <c r="CO124" i="3"/>
  <c r="CO116" i="3"/>
  <c r="CO108" i="3"/>
  <c r="CO100" i="3"/>
  <c r="CO92" i="3"/>
  <c r="CO84" i="3"/>
  <c r="CO76" i="3"/>
  <c r="CO68" i="3"/>
  <c r="CO60" i="3"/>
  <c r="CO52" i="3"/>
  <c r="CO44" i="3"/>
  <c r="CO36" i="3"/>
  <c r="CO28" i="3"/>
  <c r="CO20" i="3"/>
  <c r="CO12" i="3"/>
  <c r="AA264" i="3"/>
  <c r="AA224" i="3"/>
  <c r="AA208" i="3"/>
  <c r="AA200" i="3"/>
  <c r="AA184" i="3"/>
  <c r="AA176" i="3"/>
  <c r="AA168" i="3"/>
  <c r="AA160" i="3"/>
  <c r="AA152" i="3"/>
  <c r="AA144" i="3"/>
  <c r="AA136" i="3"/>
  <c r="AA128" i="3"/>
  <c r="AA120" i="3"/>
  <c r="AA112" i="3"/>
  <c r="AA104" i="3"/>
  <c r="AA96" i="3"/>
  <c r="AA88" i="3"/>
  <c r="AA80" i="3"/>
  <c r="AA72" i="3"/>
  <c r="AA64" i="3"/>
  <c r="AA56" i="3"/>
  <c r="AA48" i="3"/>
  <c r="AA40" i="3"/>
  <c r="AA32" i="3"/>
  <c r="AA24" i="3"/>
  <c r="AA16" i="3"/>
  <c r="AA8" i="3"/>
  <c r="AA280" i="3"/>
  <c r="AA256" i="3"/>
  <c r="AA216" i="3"/>
  <c r="AA192" i="3"/>
  <c r="AA240" i="3"/>
  <c r="AA272" i="3"/>
  <c r="AA288" i="3"/>
  <c r="AA232" i="3"/>
  <c r="AA248" i="3"/>
  <c r="AA275" i="3"/>
  <c r="AA283" i="3"/>
  <c r="AA267" i="3"/>
  <c r="AA253" i="3"/>
  <c r="AA245" i="3"/>
  <c r="AA237" i="3"/>
  <c r="AA229" i="3"/>
  <c r="AA221" i="3"/>
  <c r="AA213" i="3"/>
  <c r="AA205" i="3"/>
  <c r="AA197" i="3"/>
  <c r="AA189" i="3"/>
  <c r="AA181" i="3"/>
  <c r="AA173" i="3"/>
  <c r="AA165" i="3"/>
  <c r="AA157" i="3"/>
  <c r="AA149" i="3"/>
  <c r="AA141" i="3"/>
  <c r="AA133" i="3"/>
  <c r="AA125" i="3"/>
  <c r="AA117" i="3"/>
  <c r="AA109" i="3"/>
  <c r="AA101" i="3"/>
  <c r="AA93" i="3"/>
  <c r="AA85" i="3"/>
  <c r="AA77" i="3"/>
  <c r="AA69" i="3"/>
  <c r="AA61" i="3"/>
  <c r="AA53" i="3"/>
  <c r="AA45" i="3"/>
  <c r="AA37" i="3"/>
  <c r="AA29" i="3"/>
  <c r="AA21" i="3"/>
  <c r="AA13" i="3"/>
  <c r="AA277" i="3"/>
  <c r="AA261" i="3"/>
  <c r="AA285" i="3"/>
  <c r="AA269" i="3"/>
  <c r="AA259" i="3"/>
  <c r="AA251" i="3"/>
  <c r="AA243" i="3"/>
  <c r="AA235" i="3"/>
  <c r="AA227" i="3"/>
  <c r="AA219" i="3"/>
  <c r="AA211" i="3"/>
  <c r="AA203" i="3"/>
  <c r="AA195" i="3"/>
  <c r="AA187" i="3"/>
  <c r="AA179" i="3"/>
  <c r="AA171" i="3"/>
  <c r="AA163" i="3"/>
  <c r="AA155" i="3"/>
  <c r="AA147" i="3"/>
  <c r="AA139" i="3"/>
  <c r="AA131" i="3"/>
  <c r="AA123" i="3"/>
  <c r="AA115" i="3"/>
  <c r="AA107" i="3"/>
  <c r="AA99" i="3"/>
  <c r="AA91" i="3"/>
  <c r="AA83" i="3"/>
  <c r="AA75" i="3"/>
  <c r="AA290" i="3"/>
  <c r="AA266" i="3"/>
  <c r="AA258" i="3"/>
  <c r="AA250" i="3"/>
  <c r="AA242" i="3"/>
  <c r="AA234" i="3"/>
  <c r="AA226" i="3"/>
  <c r="AA218" i="3"/>
  <c r="AA210" i="3"/>
  <c r="AA202" i="3"/>
  <c r="AA194" i="3"/>
  <c r="AA186" i="3"/>
  <c r="AA178" i="3"/>
  <c r="AA170" i="3"/>
  <c r="AA162" i="3"/>
  <c r="AA154" i="3"/>
  <c r="AA146" i="3"/>
  <c r="AA138" i="3"/>
  <c r="AA130" i="3"/>
  <c r="AA122" i="3"/>
  <c r="AA114" i="3"/>
  <c r="AA106" i="3"/>
  <c r="AA98" i="3"/>
  <c r="AA90" i="3"/>
  <c r="AA82" i="3"/>
  <c r="AA66" i="3"/>
  <c r="AA50" i="3"/>
  <c r="AA34" i="3"/>
  <c r="AA18" i="3"/>
  <c r="AA274" i="3"/>
  <c r="AA282" i="3"/>
  <c r="AA279" i="3"/>
  <c r="AA263" i="3"/>
  <c r="AA247" i="3"/>
  <c r="AA231" i="3"/>
  <c r="AA215" i="3"/>
  <c r="AA199" i="3"/>
  <c r="AA183" i="3"/>
  <c r="AA175" i="3"/>
  <c r="AA167" i="3"/>
  <c r="AA159" i="3"/>
  <c r="AA151" i="3"/>
  <c r="AA143" i="3"/>
  <c r="AA135" i="3"/>
  <c r="AA127" i="3"/>
  <c r="AA119" i="3"/>
  <c r="AA111" i="3"/>
  <c r="AA103" i="3"/>
  <c r="AA95" i="3"/>
  <c r="AA87" i="3"/>
  <c r="AA79" i="3"/>
  <c r="AA71" i="3"/>
  <c r="AA63" i="3"/>
  <c r="AA55" i="3"/>
  <c r="AA47" i="3"/>
  <c r="AA39" i="3"/>
  <c r="AA31" i="3"/>
  <c r="AA23" i="3"/>
  <c r="AA15" i="3"/>
  <c r="AA7" i="3"/>
  <c r="AA287" i="3"/>
  <c r="AA271" i="3"/>
  <c r="AA255" i="3"/>
  <c r="AA239" i="3"/>
  <c r="AA223" i="3"/>
  <c r="AA207" i="3"/>
  <c r="AA191" i="3"/>
  <c r="AA270" i="3"/>
  <c r="AA262" i="3"/>
  <c r="AA254" i="3"/>
  <c r="AA246" i="3"/>
  <c r="AA238" i="3"/>
  <c r="AA230" i="3"/>
  <c r="AA222" i="3"/>
  <c r="AA214" i="3"/>
  <c r="AA206" i="3"/>
  <c r="AA198" i="3"/>
  <c r="AA190" i="3"/>
  <c r="AA182" i="3"/>
  <c r="AA174" i="3"/>
  <c r="AA166" i="3"/>
  <c r="AA158" i="3"/>
  <c r="AA150" i="3"/>
  <c r="AA142" i="3"/>
  <c r="AA134" i="3"/>
  <c r="AA126" i="3"/>
  <c r="AA118" i="3"/>
  <c r="AA110" i="3"/>
  <c r="AA102" i="3"/>
  <c r="AA94" i="3"/>
  <c r="AA86" i="3"/>
  <c r="AA78" i="3"/>
  <c r="AA70" i="3"/>
  <c r="AA54" i="3"/>
  <c r="AA38" i="3"/>
  <c r="AA22" i="3"/>
  <c r="AA6" i="3"/>
  <c r="AA286" i="3"/>
  <c r="AA278" i="3"/>
  <c r="AA236" i="3"/>
  <c r="AA172" i="3"/>
  <c r="AA108" i="3"/>
  <c r="AA74" i="3"/>
  <c r="AA58" i="3"/>
  <c r="AA42" i="3"/>
  <c r="AA26" i="3"/>
  <c r="AA10" i="3"/>
  <c r="AA257" i="3"/>
  <c r="AA217" i="3"/>
  <c r="AA209" i="3"/>
  <c r="AA201" i="3"/>
  <c r="AA193" i="3"/>
  <c r="AA185" i="3"/>
  <c r="AA177" i="3"/>
  <c r="AA169" i="3"/>
  <c r="AA161" i="3"/>
  <c r="AA153" i="3"/>
  <c r="AA145" i="3"/>
  <c r="AA137" i="3"/>
  <c r="AA129" i="3"/>
  <c r="AA121" i="3"/>
  <c r="AA113" i="3"/>
  <c r="AA105" i="3"/>
  <c r="AA97" i="3"/>
  <c r="AA89" i="3"/>
  <c r="AA81" i="3"/>
  <c r="AA73" i="3"/>
  <c r="AA65" i="3"/>
  <c r="AA57" i="3"/>
  <c r="AA49" i="3"/>
  <c r="AA41" i="3"/>
  <c r="AA33" i="3"/>
  <c r="AA25" i="3"/>
  <c r="AA17" i="3"/>
  <c r="AA9" i="3"/>
  <c r="AA265" i="3"/>
  <c r="AA281" i="3"/>
  <c r="AA241" i="3"/>
  <c r="AA273" i="3"/>
  <c r="AA225" i="3"/>
  <c r="AA62" i="3"/>
  <c r="AA46" i="3"/>
  <c r="AA30" i="3"/>
  <c r="AA14" i="3"/>
  <c r="AA284" i="3"/>
  <c r="AA276" i="3"/>
  <c r="AA268" i="3"/>
  <c r="AA260" i="3"/>
  <c r="AA252" i="3"/>
  <c r="AA244" i="3"/>
  <c r="AA228" i="3"/>
  <c r="AA220" i="3"/>
  <c r="AA212" i="3"/>
  <c r="AA204" i="3"/>
  <c r="AA196" i="3"/>
  <c r="AA188" i="3"/>
  <c r="AA180" i="3"/>
  <c r="AA164" i="3"/>
  <c r="AA156" i="3"/>
  <c r="AA148" i="3"/>
  <c r="AA140" i="3"/>
  <c r="AA132" i="3"/>
  <c r="AA124" i="3"/>
  <c r="AA116" i="3"/>
  <c r="AA100" i="3"/>
  <c r="AA92" i="3"/>
  <c r="AA84" i="3"/>
  <c r="AA76" i="3"/>
  <c r="AA68" i="3"/>
  <c r="AA60" i="3"/>
  <c r="AA52" i="3"/>
  <c r="AA44" i="3"/>
  <c r="AA36" i="3"/>
  <c r="AA28" i="3"/>
  <c r="AA20" i="3"/>
  <c r="AA12" i="3"/>
  <c r="AA289" i="3"/>
  <c r="AA233" i="3"/>
  <c r="AA249" i="3"/>
  <c r="AA67" i="3"/>
  <c r="AA59" i="3"/>
  <c r="AA51" i="3"/>
  <c r="AA43" i="3"/>
  <c r="AA35" i="3"/>
  <c r="AA27" i="3"/>
  <c r="AA19" i="3"/>
  <c r="AA11" i="3"/>
  <c r="AM5" i="3"/>
  <c r="Z5" i="3"/>
  <c r="M12" i="23" l="1"/>
  <c r="N193" i="23"/>
  <c r="M193" i="23"/>
  <c r="M239" i="23"/>
  <c r="N218" i="23"/>
  <c r="M218" i="23"/>
  <c r="N173" i="23"/>
  <c r="M173" i="23"/>
  <c r="M27" i="23"/>
  <c r="M289" i="23"/>
  <c r="N68" i="23"/>
  <c r="M68" i="23"/>
  <c r="M140" i="23"/>
  <c r="M212" i="23"/>
  <c r="M284" i="23"/>
  <c r="M281" i="23"/>
  <c r="N57" i="23"/>
  <c r="M57" i="23"/>
  <c r="M121" i="23"/>
  <c r="N185" i="23"/>
  <c r="M185" i="23"/>
  <c r="M42" i="23"/>
  <c r="M6" i="23"/>
  <c r="M102" i="23"/>
  <c r="M166" i="23"/>
  <c r="M230" i="23"/>
  <c r="M223" i="23"/>
  <c r="M31" i="23"/>
  <c r="M95" i="23"/>
  <c r="M159" i="23"/>
  <c r="M263" i="23"/>
  <c r="N82" i="23"/>
  <c r="M82" i="23"/>
  <c r="M146" i="23"/>
  <c r="M210" i="23"/>
  <c r="M290" i="23"/>
  <c r="N131" i="23"/>
  <c r="M131" i="23"/>
  <c r="M195" i="23"/>
  <c r="M259" i="23"/>
  <c r="M37" i="23"/>
  <c r="N101" i="23"/>
  <c r="M101" i="23"/>
  <c r="M165" i="23"/>
  <c r="M229" i="23"/>
  <c r="M232" i="23"/>
  <c r="M8" i="23"/>
  <c r="M72" i="23"/>
  <c r="N136" i="23"/>
  <c r="M136" i="23"/>
  <c r="M208" i="23"/>
  <c r="N220" i="23"/>
  <c r="M220" i="23"/>
  <c r="M22" i="23"/>
  <c r="N167" i="23"/>
  <c r="M167" i="23"/>
  <c r="M203" i="23"/>
  <c r="N16" i="23"/>
  <c r="M16" i="23"/>
  <c r="M43" i="23"/>
  <c r="N156" i="23"/>
  <c r="M156" i="23"/>
  <c r="M30" i="23"/>
  <c r="M9" i="23"/>
  <c r="M73" i="23"/>
  <c r="M137" i="23"/>
  <c r="N201" i="23"/>
  <c r="M201" i="23"/>
  <c r="M74" i="23"/>
  <c r="M38" i="23"/>
  <c r="M118" i="23"/>
  <c r="N182" i="23"/>
  <c r="M182" i="23"/>
  <c r="N246" i="23"/>
  <c r="M246" i="23"/>
  <c r="M255" i="23"/>
  <c r="N255" i="23"/>
  <c r="M47" i="23"/>
  <c r="M111" i="23"/>
  <c r="M175" i="23"/>
  <c r="M282" i="23"/>
  <c r="N98" i="23"/>
  <c r="M98" i="23"/>
  <c r="N162" i="23"/>
  <c r="M162" i="23"/>
  <c r="M226" i="23"/>
  <c r="M83" i="23"/>
  <c r="M147" i="23"/>
  <c r="M211" i="23"/>
  <c r="N285" i="23"/>
  <c r="M285" i="23"/>
  <c r="M53" i="23"/>
  <c r="M117" i="23"/>
  <c r="M181" i="23"/>
  <c r="M245" i="23"/>
  <c r="M272" i="23"/>
  <c r="N272" i="23"/>
  <c r="M24" i="23"/>
  <c r="N88" i="23"/>
  <c r="M88" i="23"/>
  <c r="M152" i="23"/>
  <c r="N152" i="23"/>
  <c r="M264" i="23"/>
  <c r="M265" i="23"/>
  <c r="M174" i="23"/>
  <c r="N90" i="23"/>
  <c r="M90" i="23"/>
  <c r="M45" i="23"/>
  <c r="N80" i="23"/>
  <c r="M80" i="23"/>
  <c r="M20" i="23"/>
  <c r="M84" i="23"/>
  <c r="M228" i="23"/>
  <c r="N51" i="23"/>
  <c r="M51" i="23"/>
  <c r="M28" i="23"/>
  <c r="N92" i="23"/>
  <c r="M92" i="23"/>
  <c r="M164" i="23"/>
  <c r="M244" i="23"/>
  <c r="M46" i="23"/>
  <c r="N17" i="23"/>
  <c r="M17" i="23"/>
  <c r="N81" i="23"/>
  <c r="M81" i="23"/>
  <c r="M145" i="23"/>
  <c r="M209" i="23"/>
  <c r="N108" i="23"/>
  <c r="M108" i="23"/>
  <c r="M54" i="23"/>
  <c r="M126" i="23"/>
  <c r="M190" i="23"/>
  <c r="M254" i="23"/>
  <c r="M271" i="23"/>
  <c r="N271" i="23"/>
  <c r="N55" i="23"/>
  <c r="M55" i="23"/>
  <c r="M119" i="23"/>
  <c r="N183" i="23"/>
  <c r="M183" i="23"/>
  <c r="M274" i="23"/>
  <c r="M106" i="23"/>
  <c r="M170" i="23"/>
  <c r="M234" i="23"/>
  <c r="N234" i="23"/>
  <c r="M91" i="23"/>
  <c r="N155" i="23"/>
  <c r="M155" i="23"/>
  <c r="M219" i="23"/>
  <c r="M261" i="23"/>
  <c r="M61" i="23"/>
  <c r="M125" i="23"/>
  <c r="N189" i="23"/>
  <c r="M189" i="23"/>
  <c r="M253" i="23"/>
  <c r="M240" i="23"/>
  <c r="N240" i="23"/>
  <c r="M32" i="23"/>
  <c r="M96" i="23"/>
  <c r="M160" i="23"/>
  <c r="M14" i="23"/>
  <c r="M110" i="23"/>
  <c r="M279" i="23"/>
  <c r="M269" i="23"/>
  <c r="M144" i="23"/>
  <c r="M36" i="23"/>
  <c r="M252" i="23"/>
  <c r="M62" i="23"/>
  <c r="M25" i="23"/>
  <c r="M89" i="23"/>
  <c r="M153" i="23"/>
  <c r="M217" i="23"/>
  <c r="M172" i="23"/>
  <c r="M70" i="23"/>
  <c r="M134" i="23"/>
  <c r="M198" i="23"/>
  <c r="M262" i="23"/>
  <c r="M287" i="23"/>
  <c r="M63" i="23"/>
  <c r="N127" i="23"/>
  <c r="M127" i="23"/>
  <c r="M199" i="23"/>
  <c r="M18" i="23"/>
  <c r="M114" i="23"/>
  <c r="M178" i="23"/>
  <c r="M242" i="23"/>
  <c r="M99" i="23"/>
  <c r="M163" i="23"/>
  <c r="M227" i="23"/>
  <c r="M277" i="23"/>
  <c r="M69" i="23"/>
  <c r="M133" i="23"/>
  <c r="M197" i="23"/>
  <c r="M267" i="23"/>
  <c r="M192" i="23"/>
  <c r="N192" i="23"/>
  <c r="M40" i="23"/>
  <c r="M104" i="23"/>
  <c r="M168" i="23"/>
  <c r="M76" i="23"/>
  <c r="M65" i="23"/>
  <c r="M238" i="23"/>
  <c r="M154" i="23"/>
  <c r="M109" i="23"/>
  <c r="M224" i="23"/>
  <c r="N59" i="23"/>
  <c r="M59" i="23"/>
  <c r="N67" i="23"/>
  <c r="M67" i="23"/>
  <c r="M44" i="23"/>
  <c r="N116" i="23"/>
  <c r="M116" i="23"/>
  <c r="M188" i="23"/>
  <c r="M260" i="23"/>
  <c r="M225" i="23"/>
  <c r="M33" i="23"/>
  <c r="M97" i="23"/>
  <c r="M161" i="23"/>
  <c r="M257" i="23"/>
  <c r="N257" i="23"/>
  <c r="M236" i="23"/>
  <c r="M78" i="23"/>
  <c r="M142" i="23"/>
  <c r="M206" i="23"/>
  <c r="M270" i="23"/>
  <c r="M7" i="23"/>
  <c r="M71" i="23"/>
  <c r="N135" i="23"/>
  <c r="M135" i="23"/>
  <c r="M215" i="23"/>
  <c r="M34" i="23"/>
  <c r="M122" i="23"/>
  <c r="M186" i="23"/>
  <c r="M250" i="23"/>
  <c r="M107" i="23"/>
  <c r="M171" i="23"/>
  <c r="M235" i="23"/>
  <c r="N235" i="23"/>
  <c r="N13" i="23"/>
  <c r="M13" i="23"/>
  <c r="M77" i="23"/>
  <c r="N141" i="23"/>
  <c r="M141" i="23"/>
  <c r="M205" i="23"/>
  <c r="N283" i="23"/>
  <c r="M283" i="23"/>
  <c r="M216" i="23"/>
  <c r="N216" i="23"/>
  <c r="M48" i="23"/>
  <c r="M112" i="23"/>
  <c r="M176" i="23"/>
  <c r="M35" i="23"/>
  <c r="N129" i="23"/>
  <c r="M129" i="23"/>
  <c r="M103" i="23"/>
  <c r="N139" i="23"/>
  <c r="M139" i="23"/>
  <c r="M288" i="23"/>
  <c r="N288" i="23"/>
  <c r="M100" i="23"/>
  <c r="M249" i="23"/>
  <c r="N124" i="23"/>
  <c r="M124" i="23"/>
  <c r="M268" i="23"/>
  <c r="M273" i="23"/>
  <c r="M41" i="23"/>
  <c r="N105" i="23"/>
  <c r="M105" i="23"/>
  <c r="M169" i="23"/>
  <c r="M10" i="23"/>
  <c r="M278" i="23"/>
  <c r="M86" i="23"/>
  <c r="M150" i="23"/>
  <c r="M214" i="23"/>
  <c r="N191" i="23"/>
  <c r="M191" i="23"/>
  <c r="N15" i="23"/>
  <c r="M15" i="23"/>
  <c r="M79" i="23"/>
  <c r="M143" i="23"/>
  <c r="M231" i="23"/>
  <c r="M50" i="23"/>
  <c r="M130" i="23"/>
  <c r="M194" i="23"/>
  <c r="M258" i="23"/>
  <c r="M115" i="23"/>
  <c r="N179" i="23"/>
  <c r="M179" i="23"/>
  <c r="M243" i="23"/>
  <c r="M21" i="23"/>
  <c r="M85" i="23"/>
  <c r="M149" i="23"/>
  <c r="M213" i="23"/>
  <c r="M275" i="23"/>
  <c r="M256" i="23"/>
  <c r="M56" i="23"/>
  <c r="M120" i="23"/>
  <c r="M184" i="23"/>
  <c r="N184" i="23"/>
  <c r="M148" i="23"/>
  <c r="M58" i="23"/>
  <c r="M39" i="23"/>
  <c r="M75" i="23"/>
  <c r="M237" i="23"/>
  <c r="M180" i="23"/>
  <c r="M11" i="23"/>
  <c r="M52" i="23"/>
  <c r="M196" i="23"/>
  <c r="M19" i="23"/>
  <c r="M233" i="23"/>
  <c r="M60" i="23"/>
  <c r="N132" i="23"/>
  <c r="M132" i="23"/>
  <c r="M204" i="23"/>
  <c r="M276" i="23"/>
  <c r="M241" i="23"/>
  <c r="N49" i="23"/>
  <c r="M49" i="23"/>
  <c r="N113" i="23"/>
  <c r="M113" i="23"/>
  <c r="M177" i="23"/>
  <c r="N26" i="23"/>
  <c r="M26" i="23"/>
  <c r="M286" i="23"/>
  <c r="N94" i="23"/>
  <c r="M94" i="23"/>
  <c r="M158" i="23"/>
  <c r="N222" i="23"/>
  <c r="M222" i="23"/>
  <c r="M207" i="23"/>
  <c r="M23" i="23"/>
  <c r="N87" i="23"/>
  <c r="M87" i="23"/>
  <c r="M151" i="23"/>
  <c r="M247" i="23"/>
  <c r="M66" i="23"/>
  <c r="N138" i="23"/>
  <c r="M138" i="23"/>
  <c r="M202" i="23"/>
  <c r="M266" i="23"/>
  <c r="N266" i="23"/>
  <c r="M123" i="23"/>
  <c r="N187" i="23"/>
  <c r="M187" i="23"/>
  <c r="M251" i="23"/>
  <c r="M29" i="23"/>
  <c r="M93" i="23"/>
  <c r="M157" i="23"/>
  <c r="N221" i="23"/>
  <c r="M221" i="23"/>
  <c r="M248" i="23"/>
  <c r="M280" i="23"/>
  <c r="M64" i="23"/>
  <c r="M128" i="23"/>
  <c r="M200" i="23"/>
  <c r="CP52" i="3"/>
  <c r="CQ52" i="3"/>
  <c r="CP116" i="3"/>
  <c r="CQ116" i="3"/>
  <c r="CP180" i="3"/>
  <c r="CQ180" i="3"/>
  <c r="CP244" i="3"/>
  <c r="CQ244" i="3"/>
  <c r="CP29" i="3"/>
  <c r="CQ29" i="3"/>
  <c r="CP93" i="3"/>
  <c r="CQ93" i="3"/>
  <c r="CP157" i="3"/>
  <c r="CQ157" i="3"/>
  <c r="CP221" i="3"/>
  <c r="CQ221" i="3"/>
  <c r="CP285" i="3"/>
  <c r="CQ285" i="3"/>
  <c r="CP62" i="3"/>
  <c r="CQ62" i="3"/>
  <c r="CP126" i="3"/>
  <c r="CQ126" i="3"/>
  <c r="CP190" i="3"/>
  <c r="CQ190" i="3"/>
  <c r="CP254" i="3"/>
  <c r="CQ254" i="3"/>
  <c r="CP31" i="3"/>
  <c r="CQ31" i="3"/>
  <c r="CP95" i="3"/>
  <c r="CQ95" i="3"/>
  <c r="CP159" i="3"/>
  <c r="CQ159" i="3"/>
  <c r="CP223" i="3"/>
  <c r="CQ223" i="3"/>
  <c r="CP287" i="3"/>
  <c r="CQ287" i="3"/>
  <c r="CP64" i="3"/>
  <c r="CQ64" i="3"/>
  <c r="CP128" i="3"/>
  <c r="CQ128" i="3"/>
  <c r="CP192" i="3"/>
  <c r="CQ192" i="3"/>
  <c r="CP256" i="3"/>
  <c r="CQ256" i="3"/>
  <c r="CP34" i="3"/>
  <c r="CQ34" i="3"/>
  <c r="CP98" i="3"/>
  <c r="CQ98" i="3"/>
  <c r="CP162" i="3"/>
  <c r="CQ162" i="3"/>
  <c r="CP226" i="3"/>
  <c r="CQ226" i="3"/>
  <c r="CP290" i="3"/>
  <c r="CQ290" i="3"/>
  <c r="CP67" i="3"/>
  <c r="CQ67" i="3"/>
  <c r="CP131" i="3"/>
  <c r="CQ131" i="3"/>
  <c r="CP195" i="3"/>
  <c r="CQ195" i="3"/>
  <c r="CP259" i="3"/>
  <c r="CQ259" i="3"/>
  <c r="CP41" i="3"/>
  <c r="CQ41" i="3"/>
  <c r="CP105" i="3"/>
  <c r="CQ105" i="3"/>
  <c r="CP169" i="3"/>
  <c r="CQ169" i="3"/>
  <c r="CP233" i="3"/>
  <c r="CQ233" i="3"/>
  <c r="CP60" i="3"/>
  <c r="CQ60" i="3"/>
  <c r="CP124" i="3"/>
  <c r="CQ124" i="3"/>
  <c r="CP188" i="3"/>
  <c r="CQ188" i="3"/>
  <c r="CP252" i="3"/>
  <c r="CQ252" i="3"/>
  <c r="CP37" i="3"/>
  <c r="CQ37" i="3"/>
  <c r="CP101" i="3"/>
  <c r="CQ101" i="3"/>
  <c r="CP165" i="3"/>
  <c r="CQ165" i="3"/>
  <c r="CP229" i="3"/>
  <c r="CQ229" i="3"/>
  <c r="CP6" i="3"/>
  <c r="CQ6" i="3"/>
  <c r="CP70" i="3"/>
  <c r="CQ70" i="3"/>
  <c r="CP134" i="3"/>
  <c r="CQ134" i="3"/>
  <c r="CP198" i="3"/>
  <c r="CQ198" i="3"/>
  <c r="CP262" i="3"/>
  <c r="CQ262" i="3"/>
  <c r="CP39" i="3"/>
  <c r="CQ39" i="3"/>
  <c r="CP103" i="3"/>
  <c r="CQ103" i="3"/>
  <c r="CP167" i="3"/>
  <c r="CQ167" i="3"/>
  <c r="CP231" i="3"/>
  <c r="CQ231" i="3"/>
  <c r="CP8" i="3"/>
  <c r="CQ8" i="3"/>
  <c r="CP72" i="3"/>
  <c r="CQ72" i="3"/>
  <c r="CP136" i="3"/>
  <c r="CQ136" i="3"/>
  <c r="CP200" i="3"/>
  <c r="CQ200" i="3"/>
  <c r="CP264" i="3"/>
  <c r="CQ264" i="3"/>
  <c r="CP42" i="3"/>
  <c r="CQ42" i="3"/>
  <c r="CP106" i="3"/>
  <c r="CQ106" i="3"/>
  <c r="CP170" i="3"/>
  <c r="CQ170" i="3"/>
  <c r="CP234" i="3"/>
  <c r="CQ234" i="3"/>
  <c r="CP11" i="3"/>
  <c r="CQ11" i="3"/>
  <c r="CP75" i="3"/>
  <c r="CQ75" i="3"/>
  <c r="CP139" i="3"/>
  <c r="CQ139" i="3"/>
  <c r="CP203" i="3"/>
  <c r="CQ203" i="3"/>
  <c r="CP267" i="3"/>
  <c r="CQ267" i="3"/>
  <c r="CP49" i="3"/>
  <c r="CQ49" i="3"/>
  <c r="CP113" i="3"/>
  <c r="CQ113" i="3"/>
  <c r="CP177" i="3"/>
  <c r="CQ177" i="3"/>
  <c r="CP241" i="3"/>
  <c r="CQ241" i="3"/>
  <c r="CP68" i="3"/>
  <c r="CQ68" i="3"/>
  <c r="CP132" i="3"/>
  <c r="CQ132" i="3"/>
  <c r="CP196" i="3"/>
  <c r="CQ196" i="3"/>
  <c r="CP260" i="3"/>
  <c r="CQ260" i="3"/>
  <c r="CP45" i="3"/>
  <c r="CQ45" i="3"/>
  <c r="CP109" i="3"/>
  <c r="CQ109" i="3"/>
  <c r="CP173" i="3"/>
  <c r="CQ173" i="3"/>
  <c r="CP237" i="3"/>
  <c r="CQ237" i="3"/>
  <c r="CP14" i="3"/>
  <c r="CQ14" i="3"/>
  <c r="CP78" i="3"/>
  <c r="CQ78" i="3"/>
  <c r="CP142" i="3"/>
  <c r="CQ142" i="3"/>
  <c r="CP206" i="3"/>
  <c r="CQ206" i="3"/>
  <c r="CP270" i="3"/>
  <c r="CQ270" i="3"/>
  <c r="CP47" i="3"/>
  <c r="CQ47" i="3"/>
  <c r="CP111" i="3"/>
  <c r="CQ111" i="3"/>
  <c r="CP175" i="3"/>
  <c r="CQ175" i="3"/>
  <c r="CP239" i="3"/>
  <c r="CQ239" i="3"/>
  <c r="CP16" i="3"/>
  <c r="CQ16" i="3"/>
  <c r="CP80" i="3"/>
  <c r="CQ80" i="3"/>
  <c r="CP144" i="3"/>
  <c r="CQ144" i="3"/>
  <c r="CP208" i="3"/>
  <c r="CQ208" i="3"/>
  <c r="CP272" i="3"/>
  <c r="CQ272" i="3"/>
  <c r="CP50" i="3"/>
  <c r="CQ50" i="3"/>
  <c r="CP114" i="3"/>
  <c r="CQ114" i="3"/>
  <c r="CP178" i="3"/>
  <c r="CQ178" i="3"/>
  <c r="CP242" i="3"/>
  <c r="CQ242" i="3"/>
  <c r="CP19" i="3"/>
  <c r="CQ19" i="3"/>
  <c r="CP83" i="3"/>
  <c r="CQ83" i="3"/>
  <c r="CP147" i="3"/>
  <c r="CQ147" i="3"/>
  <c r="CP211" i="3"/>
  <c r="CQ211" i="3"/>
  <c r="CP275" i="3"/>
  <c r="CQ275" i="3"/>
  <c r="CP57" i="3"/>
  <c r="CQ57" i="3"/>
  <c r="CP121" i="3"/>
  <c r="CQ121" i="3"/>
  <c r="CP185" i="3"/>
  <c r="CQ185" i="3"/>
  <c r="CP249" i="3"/>
  <c r="CQ249" i="3"/>
  <c r="CP12" i="3"/>
  <c r="CQ12" i="3"/>
  <c r="CP76" i="3"/>
  <c r="CQ76" i="3"/>
  <c r="CP140" i="3"/>
  <c r="CQ140" i="3"/>
  <c r="CP204" i="3"/>
  <c r="CQ204" i="3"/>
  <c r="CP268" i="3"/>
  <c r="CQ268" i="3"/>
  <c r="CP53" i="3"/>
  <c r="CQ53" i="3"/>
  <c r="CP117" i="3"/>
  <c r="CQ117" i="3"/>
  <c r="CP181" i="3"/>
  <c r="CQ181" i="3"/>
  <c r="CP245" i="3"/>
  <c r="CQ245" i="3"/>
  <c r="CP22" i="3"/>
  <c r="CQ22" i="3"/>
  <c r="CP86" i="3"/>
  <c r="CQ86" i="3"/>
  <c r="CP150" i="3"/>
  <c r="CQ150" i="3"/>
  <c r="CP214" i="3"/>
  <c r="CQ214" i="3"/>
  <c r="CP278" i="3"/>
  <c r="CQ278" i="3"/>
  <c r="CP55" i="3"/>
  <c r="CQ55" i="3"/>
  <c r="CP119" i="3"/>
  <c r="CQ119" i="3"/>
  <c r="CP183" i="3"/>
  <c r="CQ183" i="3"/>
  <c r="CP247" i="3"/>
  <c r="CQ247" i="3"/>
  <c r="CP24" i="3"/>
  <c r="CQ24" i="3"/>
  <c r="CP88" i="3"/>
  <c r="CQ88" i="3"/>
  <c r="CP152" i="3"/>
  <c r="CQ152" i="3"/>
  <c r="CP216" i="3"/>
  <c r="CQ216" i="3"/>
  <c r="CP280" i="3"/>
  <c r="CQ280" i="3"/>
  <c r="CP58" i="3"/>
  <c r="CQ58" i="3"/>
  <c r="CP122" i="3"/>
  <c r="CQ122" i="3"/>
  <c r="CP186" i="3"/>
  <c r="CQ186" i="3"/>
  <c r="CP250" i="3"/>
  <c r="CQ250" i="3"/>
  <c r="CP27" i="3"/>
  <c r="CQ27" i="3"/>
  <c r="CP91" i="3"/>
  <c r="CQ91" i="3"/>
  <c r="CP155" i="3"/>
  <c r="CQ155" i="3"/>
  <c r="CP219" i="3"/>
  <c r="CQ219" i="3"/>
  <c r="CP283" i="3"/>
  <c r="CQ283" i="3"/>
  <c r="CP65" i="3"/>
  <c r="CQ65" i="3"/>
  <c r="CP129" i="3"/>
  <c r="CQ129" i="3"/>
  <c r="CP193" i="3"/>
  <c r="CQ193" i="3"/>
  <c r="CP257" i="3"/>
  <c r="CQ257" i="3"/>
  <c r="CP20" i="3"/>
  <c r="CQ20" i="3"/>
  <c r="CP84" i="3"/>
  <c r="CQ84" i="3"/>
  <c r="CP148" i="3"/>
  <c r="CQ148" i="3"/>
  <c r="CP212" i="3"/>
  <c r="CQ212" i="3"/>
  <c r="CP276" i="3"/>
  <c r="CQ276" i="3"/>
  <c r="CP61" i="3"/>
  <c r="CQ61" i="3"/>
  <c r="CP125" i="3"/>
  <c r="CQ125" i="3"/>
  <c r="CP189" i="3"/>
  <c r="CQ189" i="3"/>
  <c r="CP253" i="3"/>
  <c r="CQ253" i="3"/>
  <c r="CP30" i="3"/>
  <c r="CQ30" i="3"/>
  <c r="CP94" i="3"/>
  <c r="CQ94" i="3"/>
  <c r="CP158" i="3"/>
  <c r="CQ158" i="3"/>
  <c r="CP222" i="3"/>
  <c r="CQ222" i="3"/>
  <c r="CP286" i="3"/>
  <c r="CQ286" i="3"/>
  <c r="CP63" i="3"/>
  <c r="CQ63" i="3"/>
  <c r="CP127" i="3"/>
  <c r="CQ127" i="3"/>
  <c r="CP191" i="3"/>
  <c r="CQ191" i="3"/>
  <c r="CP255" i="3"/>
  <c r="CQ255" i="3"/>
  <c r="CP32" i="3"/>
  <c r="CQ32" i="3"/>
  <c r="CP96" i="3"/>
  <c r="CQ96" i="3"/>
  <c r="CP160" i="3"/>
  <c r="CQ160" i="3"/>
  <c r="CP224" i="3"/>
  <c r="CQ224" i="3"/>
  <c r="CP288" i="3"/>
  <c r="CQ288" i="3"/>
  <c r="CP66" i="3"/>
  <c r="CQ66" i="3"/>
  <c r="CP130" i="3"/>
  <c r="CQ130" i="3"/>
  <c r="CP194" i="3"/>
  <c r="CQ194" i="3"/>
  <c r="CP258" i="3"/>
  <c r="CQ258" i="3"/>
  <c r="CP35" i="3"/>
  <c r="CQ35" i="3"/>
  <c r="CP99" i="3"/>
  <c r="CQ99" i="3"/>
  <c r="CP163" i="3"/>
  <c r="CQ163" i="3"/>
  <c r="CP227" i="3"/>
  <c r="CQ227" i="3"/>
  <c r="CP9" i="3"/>
  <c r="CQ9" i="3"/>
  <c r="CP73" i="3"/>
  <c r="CQ73" i="3"/>
  <c r="CP137" i="3"/>
  <c r="CQ137" i="3"/>
  <c r="CP201" i="3"/>
  <c r="CQ201" i="3"/>
  <c r="CP265" i="3"/>
  <c r="CQ265" i="3"/>
  <c r="CP28" i="3"/>
  <c r="CQ28" i="3"/>
  <c r="CP92" i="3"/>
  <c r="CQ92" i="3"/>
  <c r="CP156" i="3"/>
  <c r="CQ156" i="3"/>
  <c r="CP220" i="3"/>
  <c r="CQ220" i="3"/>
  <c r="CP284" i="3"/>
  <c r="CQ284" i="3"/>
  <c r="CP69" i="3"/>
  <c r="CQ69" i="3"/>
  <c r="CP133" i="3"/>
  <c r="CQ133" i="3"/>
  <c r="CP197" i="3"/>
  <c r="CQ197" i="3"/>
  <c r="CP261" i="3"/>
  <c r="CQ261" i="3"/>
  <c r="CP38" i="3"/>
  <c r="CQ38" i="3"/>
  <c r="CP102" i="3"/>
  <c r="CQ102" i="3"/>
  <c r="CP166" i="3"/>
  <c r="CQ166" i="3"/>
  <c r="CP230" i="3"/>
  <c r="CQ230" i="3"/>
  <c r="CP7" i="3"/>
  <c r="CQ7" i="3"/>
  <c r="CP71" i="3"/>
  <c r="CQ71" i="3"/>
  <c r="CP135" i="3"/>
  <c r="CQ135" i="3"/>
  <c r="CP199" i="3"/>
  <c r="CQ199" i="3"/>
  <c r="CP263" i="3"/>
  <c r="CQ263" i="3"/>
  <c r="CP40" i="3"/>
  <c r="CQ40" i="3"/>
  <c r="CP104" i="3"/>
  <c r="CQ104" i="3"/>
  <c r="CP168" i="3"/>
  <c r="CQ168" i="3"/>
  <c r="CP232" i="3"/>
  <c r="CQ232" i="3"/>
  <c r="CP10" i="3"/>
  <c r="CQ10" i="3"/>
  <c r="CP74" i="3"/>
  <c r="CQ74" i="3"/>
  <c r="CP138" i="3"/>
  <c r="CQ138" i="3"/>
  <c r="CP202" i="3"/>
  <c r="CQ202" i="3"/>
  <c r="CP266" i="3"/>
  <c r="CQ266" i="3"/>
  <c r="CP43" i="3"/>
  <c r="CQ43" i="3"/>
  <c r="CP107" i="3"/>
  <c r="CQ107" i="3"/>
  <c r="CP171" i="3"/>
  <c r="CQ171" i="3"/>
  <c r="CP235" i="3"/>
  <c r="CQ235" i="3"/>
  <c r="CP17" i="3"/>
  <c r="CQ17" i="3"/>
  <c r="CP81" i="3"/>
  <c r="CQ81" i="3"/>
  <c r="CP145" i="3"/>
  <c r="CQ145" i="3"/>
  <c r="CP209" i="3"/>
  <c r="CQ209" i="3"/>
  <c r="CP273" i="3"/>
  <c r="CQ273" i="3"/>
  <c r="CP36" i="3"/>
  <c r="CQ36" i="3"/>
  <c r="CP100" i="3"/>
  <c r="CQ100" i="3"/>
  <c r="CP164" i="3"/>
  <c r="CQ164" i="3"/>
  <c r="CP228" i="3"/>
  <c r="CQ228" i="3"/>
  <c r="CP13" i="3"/>
  <c r="CQ13" i="3"/>
  <c r="CP77" i="3"/>
  <c r="CQ77" i="3"/>
  <c r="CP141" i="3"/>
  <c r="CQ141" i="3"/>
  <c r="CP205" i="3"/>
  <c r="CQ205" i="3"/>
  <c r="CP269" i="3"/>
  <c r="CQ269" i="3"/>
  <c r="CP46" i="3"/>
  <c r="CQ46" i="3"/>
  <c r="CP110" i="3"/>
  <c r="CQ110" i="3"/>
  <c r="CP174" i="3"/>
  <c r="CQ174" i="3"/>
  <c r="CP238" i="3"/>
  <c r="CQ238" i="3"/>
  <c r="CP15" i="3"/>
  <c r="CQ15" i="3"/>
  <c r="CP79" i="3"/>
  <c r="CQ79" i="3"/>
  <c r="CP143" i="3"/>
  <c r="CQ143" i="3"/>
  <c r="CP207" i="3"/>
  <c r="CQ207" i="3"/>
  <c r="CP271" i="3"/>
  <c r="CQ271" i="3"/>
  <c r="CP48" i="3"/>
  <c r="CQ48" i="3"/>
  <c r="CP112" i="3"/>
  <c r="CQ112" i="3"/>
  <c r="CP176" i="3"/>
  <c r="CQ176" i="3"/>
  <c r="CP240" i="3"/>
  <c r="CQ240" i="3"/>
  <c r="CP18" i="3"/>
  <c r="CQ18" i="3"/>
  <c r="CP82" i="3"/>
  <c r="CQ82" i="3"/>
  <c r="CP146" i="3"/>
  <c r="CQ146" i="3"/>
  <c r="CP210" i="3"/>
  <c r="CQ210" i="3"/>
  <c r="CP274" i="3"/>
  <c r="CQ274" i="3"/>
  <c r="CP51" i="3"/>
  <c r="CQ51" i="3"/>
  <c r="CP115" i="3"/>
  <c r="CQ115" i="3"/>
  <c r="CP179" i="3"/>
  <c r="CQ179" i="3"/>
  <c r="CP243" i="3"/>
  <c r="CQ243" i="3"/>
  <c r="CP25" i="3"/>
  <c r="CQ25" i="3"/>
  <c r="CP89" i="3"/>
  <c r="CQ89" i="3"/>
  <c r="CP153" i="3"/>
  <c r="CQ153" i="3"/>
  <c r="CP217" i="3"/>
  <c r="CQ217" i="3"/>
  <c r="CP281" i="3"/>
  <c r="CQ281" i="3"/>
  <c r="CP44" i="3"/>
  <c r="CQ44" i="3"/>
  <c r="CP108" i="3"/>
  <c r="CQ108" i="3"/>
  <c r="CP172" i="3"/>
  <c r="CQ172" i="3"/>
  <c r="CP236" i="3"/>
  <c r="CQ236" i="3"/>
  <c r="CP21" i="3"/>
  <c r="CQ21" i="3"/>
  <c r="CP85" i="3"/>
  <c r="CQ85" i="3"/>
  <c r="CP149" i="3"/>
  <c r="CQ149" i="3"/>
  <c r="CP213" i="3"/>
  <c r="CQ213" i="3"/>
  <c r="CP277" i="3"/>
  <c r="CQ277" i="3"/>
  <c r="CP54" i="3"/>
  <c r="CQ54" i="3"/>
  <c r="CP118" i="3"/>
  <c r="CQ118" i="3"/>
  <c r="CP182" i="3"/>
  <c r="CQ182" i="3"/>
  <c r="CP246" i="3"/>
  <c r="CQ246" i="3"/>
  <c r="CP23" i="3"/>
  <c r="CQ23" i="3"/>
  <c r="CP87" i="3"/>
  <c r="CQ87" i="3"/>
  <c r="CP151" i="3"/>
  <c r="CQ151" i="3"/>
  <c r="CP215" i="3"/>
  <c r="CQ215" i="3"/>
  <c r="CP279" i="3"/>
  <c r="CQ279" i="3"/>
  <c r="CP56" i="3"/>
  <c r="CQ56" i="3"/>
  <c r="CP120" i="3"/>
  <c r="CQ120" i="3"/>
  <c r="CP184" i="3"/>
  <c r="CQ184" i="3"/>
  <c r="CP248" i="3"/>
  <c r="CQ248" i="3"/>
  <c r="CP26" i="3"/>
  <c r="CQ26" i="3"/>
  <c r="CP90" i="3"/>
  <c r="CQ90" i="3"/>
  <c r="CP154" i="3"/>
  <c r="CQ154" i="3"/>
  <c r="CP218" i="3"/>
  <c r="CQ218" i="3"/>
  <c r="CP282" i="3"/>
  <c r="CQ282" i="3"/>
  <c r="CP59" i="3"/>
  <c r="CQ59" i="3"/>
  <c r="CP123" i="3"/>
  <c r="CQ123" i="3"/>
  <c r="CP187" i="3"/>
  <c r="CQ187" i="3"/>
  <c r="CP251" i="3"/>
  <c r="CQ251" i="3"/>
  <c r="CP33" i="3"/>
  <c r="CQ33" i="3"/>
  <c r="CP97" i="3"/>
  <c r="CQ97" i="3"/>
  <c r="CP161" i="3"/>
  <c r="CQ161" i="3"/>
  <c r="CP225" i="3"/>
  <c r="CQ225" i="3"/>
  <c r="CP289" i="3"/>
  <c r="CQ289" i="3"/>
  <c r="AF5" i="3"/>
  <c r="AG274" i="3" l="1"/>
  <c r="AG48" i="3"/>
  <c r="AG79" i="3"/>
  <c r="AG110" i="3"/>
  <c r="AG141" i="3"/>
  <c r="AG164" i="3"/>
  <c r="AG209" i="3"/>
  <c r="AG235" i="3"/>
  <c r="AG266" i="3"/>
  <c r="AG40" i="3"/>
  <c r="AG71" i="3"/>
  <c r="AG102" i="3"/>
  <c r="AG133" i="3"/>
  <c r="AG156" i="3"/>
  <c r="AG201" i="3"/>
  <c r="AG227" i="3"/>
  <c r="AG258" i="3"/>
  <c r="AG288" i="3"/>
  <c r="AG32" i="3"/>
  <c r="AG63" i="3"/>
  <c r="AG94" i="3"/>
  <c r="AG125" i="3"/>
  <c r="AG148" i="3"/>
  <c r="AG193" i="3"/>
  <c r="AG219" i="3"/>
  <c r="AG250" i="3"/>
  <c r="AG280" i="3"/>
  <c r="AG55" i="3"/>
  <c r="AG86" i="3"/>
  <c r="AG117" i="3"/>
  <c r="AG140" i="3"/>
  <c r="AG185" i="3"/>
  <c r="AG211" i="3"/>
  <c r="AG242" i="3"/>
  <c r="AG272" i="3"/>
  <c r="AG47" i="3"/>
  <c r="AG78" i="3"/>
  <c r="AG109" i="3"/>
  <c r="AG132" i="3"/>
  <c r="AG113" i="3"/>
  <c r="AG139" i="3"/>
  <c r="AG170" i="3"/>
  <c r="AG200" i="3"/>
  <c r="AG231" i="3"/>
  <c r="AG262" i="3"/>
  <c r="AG37" i="3"/>
  <c r="AG60" i="3"/>
  <c r="AG41" i="3"/>
  <c r="AG67" i="3"/>
  <c r="AG98" i="3"/>
  <c r="AG128" i="3"/>
  <c r="AG159" i="3"/>
  <c r="AG190" i="3"/>
  <c r="AG289" i="3"/>
  <c r="AG59" i="3"/>
  <c r="AG120" i="3"/>
  <c r="AG151" i="3"/>
  <c r="AG213" i="3"/>
  <c r="AG281" i="3"/>
  <c r="AG25" i="3"/>
  <c r="AG51" i="3"/>
  <c r="AG112" i="3"/>
  <c r="AG143" i="3"/>
  <c r="AG174" i="3"/>
  <c r="AG205" i="3"/>
  <c r="AG228" i="3"/>
  <c r="AG273" i="3"/>
  <c r="AG43" i="3"/>
  <c r="AG74" i="3"/>
  <c r="AG104" i="3"/>
  <c r="AG135" i="3"/>
  <c r="AG166" i="3"/>
  <c r="AG197" i="3"/>
  <c r="AG220" i="3"/>
  <c r="AG265" i="3"/>
  <c r="AG35" i="3"/>
  <c r="AG66" i="3"/>
  <c r="AG96" i="3"/>
  <c r="AG127" i="3"/>
  <c r="AG158" i="3"/>
  <c r="AG189" i="3"/>
  <c r="AG212" i="3"/>
  <c r="AG257" i="3"/>
  <c r="AG283" i="3"/>
  <c r="AG27" i="3"/>
  <c r="AG58" i="3"/>
  <c r="AG88" i="3"/>
  <c r="AG119" i="3"/>
  <c r="AG150" i="3"/>
  <c r="AG181" i="3"/>
  <c r="AG204" i="3"/>
  <c r="AG249" i="3"/>
  <c r="AG275" i="3"/>
  <c r="AG50" i="3"/>
  <c r="AG80" i="3"/>
  <c r="AG111" i="3"/>
  <c r="AG142" i="3"/>
  <c r="AG173" i="3"/>
  <c r="AG196" i="3"/>
  <c r="AG177" i="3"/>
  <c r="AG203" i="3"/>
  <c r="AG234" i="3"/>
  <c r="AG264" i="3"/>
  <c r="AG39" i="3"/>
  <c r="AG70" i="3"/>
  <c r="AG101" i="3"/>
  <c r="AG124" i="3"/>
  <c r="AG105" i="3"/>
  <c r="AG131" i="3"/>
  <c r="AG162" i="3"/>
  <c r="AG192" i="3"/>
  <c r="AG223" i="3"/>
  <c r="AG254" i="3"/>
  <c r="AG285" i="3"/>
  <c r="AG33" i="3"/>
  <c r="AG90" i="3"/>
  <c r="AG182" i="3"/>
  <c r="AG236" i="3"/>
  <c r="AG82" i="3"/>
  <c r="AG251" i="3"/>
  <c r="AG56" i="3"/>
  <c r="AG172" i="3"/>
  <c r="AG123" i="3"/>
  <c r="AG154" i="3"/>
  <c r="AG184" i="3"/>
  <c r="AG215" i="3"/>
  <c r="AG246" i="3"/>
  <c r="AG277" i="3"/>
  <c r="AG44" i="3"/>
  <c r="AG89" i="3"/>
  <c r="AG115" i="3"/>
  <c r="AG146" i="3"/>
  <c r="AG176" i="3"/>
  <c r="AG207" i="3"/>
  <c r="AG238" i="3"/>
  <c r="AG269" i="3"/>
  <c r="AG36" i="3"/>
  <c r="AG81" i="3"/>
  <c r="AG107" i="3"/>
  <c r="AG138" i="3"/>
  <c r="AG168" i="3"/>
  <c r="AG199" i="3"/>
  <c r="AG230" i="3"/>
  <c r="AG261" i="3"/>
  <c r="AG284" i="3"/>
  <c r="AG28" i="3"/>
  <c r="AG73" i="3"/>
  <c r="AG99" i="3"/>
  <c r="AG130" i="3"/>
  <c r="AG160" i="3"/>
  <c r="AG191" i="3"/>
  <c r="AG222" i="3"/>
  <c r="AG253" i="3"/>
  <c r="AG276" i="3"/>
  <c r="AG65" i="3"/>
  <c r="AG91" i="3"/>
  <c r="AG122" i="3"/>
  <c r="AG152" i="3"/>
  <c r="AG183" i="3"/>
  <c r="AG214" i="3"/>
  <c r="AG245" i="3"/>
  <c r="AG268" i="3"/>
  <c r="AG57" i="3"/>
  <c r="AG83" i="3"/>
  <c r="AG114" i="3"/>
  <c r="AG144" i="3"/>
  <c r="AG175" i="3"/>
  <c r="AG206" i="3"/>
  <c r="AG237" i="3"/>
  <c r="AG260" i="3"/>
  <c r="AG241" i="3"/>
  <c r="AG267" i="3"/>
  <c r="AG42" i="3"/>
  <c r="AG72" i="3"/>
  <c r="AG103" i="3"/>
  <c r="AG134" i="3"/>
  <c r="AG165" i="3"/>
  <c r="AG188" i="3"/>
  <c r="AG169" i="3"/>
  <c r="AG195" i="3"/>
  <c r="AG226" i="3"/>
  <c r="AG256" i="3"/>
  <c r="AG287" i="3"/>
  <c r="AG31" i="3"/>
  <c r="AG62" i="3"/>
  <c r="AG93" i="3"/>
  <c r="AG116" i="3"/>
  <c r="AG97" i="3"/>
  <c r="AG29" i="3"/>
  <c r="AG282" i="3"/>
  <c r="AG87" i="3"/>
  <c r="AG149" i="3"/>
  <c r="AG243" i="3"/>
  <c r="AG221" i="3"/>
  <c r="AG225" i="3"/>
  <c r="AG26" i="3"/>
  <c r="AG118" i="3"/>
  <c r="AG217" i="3"/>
  <c r="AG161" i="3"/>
  <c r="AG187" i="3"/>
  <c r="AG218" i="3"/>
  <c r="AG248" i="3"/>
  <c r="AG279" i="3"/>
  <c r="AG54" i="3"/>
  <c r="AG85" i="3"/>
  <c r="AG108" i="3"/>
  <c r="AG153" i="3"/>
  <c r="AG179" i="3"/>
  <c r="AG210" i="3"/>
  <c r="AG240" i="3"/>
  <c r="AG271" i="3"/>
  <c r="AG46" i="3"/>
  <c r="AG77" i="3"/>
  <c r="AG100" i="3"/>
  <c r="AG145" i="3"/>
  <c r="AG171" i="3"/>
  <c r="AG202" i="3"/>
  <c r="AG232" i="3"/>
  <c r="AG263" i="3"/>
  <c r="AG38" i="3"/>
  <c r="AG69" i="3"/>
  <c r="AG92" i="3"/>
  <c r="AG137" i="3"/>
  <c r="AG163" i="3"/>
  <c r="AG194" i="3"/>
  <c r="AG224" i="3"/>
  <c r="AG255" i="3"/>
  <c r="AG286" i="3"/>
  <c r="AG30" i="3"/>
  <c r="AG61" i="3"/>
  <c r="AG84" i="3"/>
  <c r="AG129" i="3"/>
  <c r="AG155" i="3"/>
  <c r="AG186" i="3"/>
  <c r="AG216" i="3"/>
  <c r="AG247" i="3"/>
  <c r="AG278" i="3"/>
  <c r="AG53" i="3"/>
  <c r="AG76" i="3"/>
  <c r="AG121" i="3"/>
  <c r="AG147" i="3"/>
  <c r="AG178" i="3"/>
  <c r="AG208" i="3"/>
  <c r="AG239" i="3"/>
  <c r="AG270" i="3"/>
  <c r="AG45" i="3"/>
  <c r="AG68" i="3"/>
  <c r="AG49" i="3"/>
  <c r="AG75" i="3"/>
  <c r="AG106" i="3"/>
  <c r="AG136" i="3"/>
  <c r="AG167" i="3"/>
  <c r="AG198" i="3"/>
  <c r="AG229" i="3"/>
  <c r="AG252" i="3"/>
  <c r="AG233" i="3"/>
  <c r="AG259" i="3"/>
  <c r="AG290" i="3"/>
  <c r="AG34" i="3"/>
  <c r="AG64" i="3"/>
  <c r="AG95" i="3"/>
  <c r="AG126" i="3"/>
  <c r="AG157" i="3"/>
  <c r="AG180" i="3"/>
  <c r="AG52" i="3"/>
  <c r="AG244" i="3"/>
  <c r="F5" i="23"/>
  <c r="J5" i="23"/>
  <c r="AU4" i="11" l="1"/>
  <c r="BJ4" i="10" l="1"/>
  <c r="BK4" i="10"/>
  <c r="BL4" i="10"/>
  <c r="BM4" i="10"/>
  <c r="BN4" i="10"/>
  <c r="BP4" i="10"/>
  <c r="BG3" i="10"/>
  <c r="R6" i="17" l="1"/>
  <c r="O5" i="21" l="1"/>
  <c r="O6" i="21"/>
  <c r="O7" i="21"/>
  <c r="O8" i="21"/>
  <c r="O9" i="21"/>
  <c r="O10" i="21"/>
  <c r="O11" i="21"/>
  <c r="O12" i="21"/>
  <c r="O13" i="21"/>
  <c r="O14" i="21"/>
  <c r="O15" i="21"/>
  <c r="O16" i="21"/>
  <c r="O17" i="21"/>
  <c r="O18" i="21"/>
  <c r="O19" i="21"/>
  <c r="O20" i="21"/>
  <c r="O21" i="21"/>
  <c r="O22" i="21"/>
  <c r="O23" i="21"/>
  <c r="O24" i="21"/>
  <c r="O25" i="21"/>
  <c r="O26" i="21"/>
  <c r="O27" i="21"/>
  <c r="O28" i="21"/>
  <c r="O29" i="21"/>
  <c r="O30" i="21"/>
  <c r="O31" i="21"/>
  <c r="O32" i="21"/>
  <c r="O33" i="21"/>
  <c r="O34" i="21"/>
  <c r="O35" i="21"/>
  <c r="O36" i="21"/>
  <c r="O37" i="21"/>
  <c r="O38" i="21"/>
  <c r="O39" i="21"/>
  <c r="O40" i="21"/>
  <c r="O41" i="21"/>
  <c r="O42" i="21"/>
  <c r="O43" i="21"/>
  <c r="O44" i="21"/>
  <c r="O45" i="21"/>
  <c r="O46" i="21"/>
  <c r="O47" i="21"/>
  <c r="O48" i="21"/>
  <c r="O49" i="21"/>
  <c r="O50" i="21"/>
  <c r="O51" i="21"/>
  <c r="O52" i="21"/>
  <c r="O53" i="21"/>
  <c r="O54" i="21"/>
  <c r="O55" i="21"/>
  <c r="O56" i="21"/>
  <c r="O57" i="21"/>
  <c r="O58" i="21"/>
  <c r="O59" i="21"/>
  <c r="O60" i="21"/>
  <c r="O61" i="21"/>
  <c r="O62" i="21"/>
  <c r="O63" i="21"/>
  <c r="O64" i="21"/>
  <c r="O65" i="21"/>
  <c r="O66" i="21"/>
  <c r="O67" i="21"/>
  <c r="O68" i="21"/>
  <c r="O69" i="21"/>
  <c r="O70" i="21"/>
  <c r="O71" i="21"/>
  <c r="O72" i="21"/>
  <c r="O73" i="21"/>
  <c r="O74" i="21"/>
  <c r="O75" i="21"/>
  <c r="O76" i="21"/>
  <c r="O77" i="21"/>
  <c r="O78" i="21"/>
  <c r="O79" i="21"/>
  <c r="O80" i="21"/>
  <c r="O81" i="21"/>
  <c r="O82" i="21"/>
  <c r="O83" i="21"/>
  <c r="O84" i="21"/>
  <c r="O85" i="21"/>
  <c r="O86" i="21"/>
  <c r="O87" i="21"/>
  <c r="O88" i="21"/>
  <c r="O89" i="21"/>
  <c r="O90" i="21"/>
  <c r="O91" i="21"/>
  <c r="O92" i="21"/>
  <c r="O93" i="21"/>
  <c r="O94" i="21"/>
  <c r="O95" i="21"/>
  <c r="O96" i="21"/>
  <c r="O97" i="21"/>
  <c r="O98" i="21"/>
  <c r="O99" i="21"/>
  <c r="O100" i="21"/>
  <c r="O101" i="21"/>
  <c r="O102" i="21"/>
  <c r="O103" i="21"/>
  <c r="O104" i="21"/>
  <c r="O105" i="21"/>
  <c r="O106" i="21"/>
  <c r="O107" i="21"/>
  <c r="O108" i="21"/>
  <c r="O109" i="21"/>
  <c r="O110" i="21"/>
  <c r="O111" i="21"/>
  <c r="O112" i="21"/>
  <c r="O113" i="21"/>
  <c r="O114" i="21"/>
  <c r="O115" i="21"/>
  <c r="O116" i="21"/>
  <c r="O117" i="21"/>
  <c r="O118" i="21"/>
  <c r="O119" i="21"/>
  <c r="O120" i="21"/>
  <c r="O121" i="21"/>
  <c r="O122" i="21"/>
  <c r="O123" i="21"/>
  <c r="O124" i="21"/>
  <c r="O125" i="21"/>
  <c r="O126" i="21"/>
  <c r="O127" i="21"/>
  <c r="O128" i="21"/>
  <c r="O129" i="21"/>
  <c r="O130" i="21"/>
  <c r="O131" i="21"/>
  <c r="O132" i="21"/>
  <c r="O133" i="21"/>
  <c r="O134" i="21"/>
  <c r="O135" i="21"/>
  <c r="O136" i="21"/>
  <c r="O137" i="21"/>
  <c r="O138" i="21"/>
  <c r="O139" i="21"/>
  <c r="O140" i="21"/>
  <c r="O141" i="21"/>
  <c r="O142" i="21"/>
  <c r="O143" i="21"/>
  <c r="O144" i="21"/>
  <c r="O145" i="21"/>
  <c r="O146" i="21"/>
  <c r="O147" i="21"/>
  <c r="O148" i="21"/>
  <c r="O149" i="21"/>
  <c r="O150" i="21"/>
  <c r="O151" i="21"/>
  <c r="O152" i="21"/>
  <c r="O153" i="21"/>
  <c r="O154" i="21"/>
  <c r="O155" i="21"/>
  <c r="O156" i="21"/>
  <c r="O157" i="21"/>
  <c r="O158" i="21"/>
  <c r="O159" i="21"/>
  <c r="O160" i="21"/>
  <c r="O161" i="21"/>
  <c r="O162" i="21"/>
  <c r="O163" i="21"/>
  <c r="O164" i="21"/>
  <c r="O165" i="21"/>
  <c r="O166" i="21"/>
  <c r="O167" i="21"/>
  <c r="O168" i="21"/>
  <c r="O169" i="21"/>
  <c r="O170" i="21"/>
  <c r="O171" i="21"/>
  <c r="O172" i="21"/>
  <c r="O173" i="21"/>
  <c r="O174" i="21"/>
  <c r="O175" i="21"/>
  <c r="O176" i="21"/>
  <c r="O177" i="21"/>
  <c r="O178" i="21"/>
  <c r="O179" i="21"/>
  <c r="O180" i="21"/>
  <c r="O181" i="21"/>
  <c r="O182" i="21"/>
  <c r="O183" i="21"/>
  <c r="O184" i="21"/>
  <c r="O185" i="21"/>
  <c r="O186" i="21"/>
  <c r="O187" i="21"/>
  <c r="O188" i="21"/>
  <c r="O189" i="21"/>
  <c r="O190" i="21"/>
  <c r="O191" i="21"/>
  <c r="O192" i="21"/>
  <c r="O193" i="21"/>
  <c r="O194" i="21"/>
  <c r="O195" i="21"/>
  <c r="O196" i="21"/>
  <c r="O197" i="21"/>
  <c r="O198" i="21"/>
  <c r="O199" i="21"/>
  <c r="O200" i="21"/>
  <c r="O201" i="21"/>
  <c r="O202" i="21"/>
  <c r="O203" i="21"/>
  <c r="O204" i="21"/>
  <c r="O205" i="21"/>
  <c r="O206" i="21"/>
  <c r="O207" i="21"/>
  <c r="O208" i="21"/>
  <c r="O209" i="21"/>
  <c r="O210" i="21"/>
  <c r="O211" i="21"/>
  <c r="O212" i="21"/>
  <c r="O213" i="21"/>
  <c r="O214" i="21"/>
  <c r="O215" i="21"/>
  <c r="O216" i="21"/>
  <c r="O217" i="21"/>
  <c r="O218" i="21"/>
  <c r="O219" i="21"/>
  <c r="O220" i="21"/>
  <c r="O221" i="21"/>
  <c r="O222" i="21"/>
  <c r="O223" i="21"/>
  <c r="O224" i="21"/>
  <c r="O225" i="21"/>
  <c r="O226" i="21"/>
  <c r="O227" i="21"/>
  <c r="O228" i="21"/>
  <c r="O229" i="21"/>
  <c r="O230" i="21"/>
  <c r="O231" i="21"/>
  <c r="O232" i="21"/>
  <c r="O233" i="21"/>
  <c r="O234" i="21"/>
  <c r="O235" i="21"/>
  <c r="O236" i="21"/>
  <c r="O237" i="21"/>
  <c r="O238" i="21"/>
  <c r="O239" i="21"/>
  <c r="O240" i="21"/>
  <c r="O241" i="21"/>
  <c r="O242" i="21"/>
  <c r="O243" i="21"/>
  <c r="O244" i="21"/>
  <c r="O245" i="21"/>
  <c r="O246" i="21"/>
  <c r="O247" i="21"/>
  <c r="O248" i="21"/>
  <c r="O249" i="21"/>
  <c r="O250" i="21"/>
  <c r="O251" i="21"/>
  <c r="O252" i="21"/>
  <c r="O253" i="21"/>
  <c r="O254" i="21"/>
  <c r="O255" i="21"/>
  <c r="O256" i="21"/>
  <c r="O257" i="21"/>
  <c r="O258" i="21"/>
  <c r="O259" i="21"/>
  <c r="O260" i="21"/>
  <c r="O261" i="21"/>
  <c r="O262" i="21"/>
  <c r="O263" i="21"/>
  <c r="O264" i="21"/>
  <c r="O265" i="21"/>
  <c r="O266" i="21"/>
  <c r="O267" i="21"/>
  <c r="O268" i="21"/>
  <c r="O269" i="21"/>
  <c r="O270" i="21"/>
  <c r="O271" i="21"/>
  <c r="O272" i="21"/>
  <c r="O273" i="21"/>
  <c r="O274" i="21"/>
  <c r="O275" i="21"/>
  <c r="O276" i="21"/>
  <c r="O277" i="21"/>
  <c r="O278" i="21"/>
  <c r="O279" i="21"/>
  <c r="O280" i="21"/>
  <c r="O281" i="21"/>
  <c r="O282" i="21"/>
  <c r="O283" i="21"/>
  <c r="O284" i="21"/>
  <c r="O285" i="21"/>
  <c r="O286" i="21"/>
  <c r="O287" i="21"/>
  <c r="O288" i="21"/>
  <c r="O289" i="21"/>
  <c r="O4" i="21"/>
  <c r="P280" i="21" l="1"/>
  <c r="P287" i="21"/>
  <c r="P274" i="21"/>
  <c r="P256" i="21"/>
  <c r="P263" i="21" l="1"/>
  <c r="P266" i="21"/>
  <c r="P272" i="21"/>
  <c r="P259" i="21"/>
  <c r="P260" i="21"/>
  <c r="P277" i="21"/>
  <c r="P283" i="21"/>
  <c r="P262" i="21"/>
  <c r="P269" i="21"/>
  <c r="P286" i="21"/>
  <c r="P270" i="21"/>
  <c r="P284" i="21"/>
  <c r="P258" i="21"/>
  <c r="P268" i="21"/>
  <c r="P257" i="21"/>
  <c r="P276" i="21"/>
  <c r="P271" i="21"/>
  <c r="P281" i="21"/>
  <c r="P275" i="21"/>
  <c r="P261" i="21"/>
  <c r="P273" i="21"/>
  <c r="P289" i="21"/>
  <c r="P264" i="21"/>
  <c r="P267" i="21"/>
  <c r="P265" i="21"/>
  <c r="P282" i="21"/>
  <c r="P288" i="21"/>
  <c r="P285" i="21"/>
  <c r="P236" i="21" l="1"/>
  <c r="P245" i="21"/>
  <c r="P250" i="21"/>
  <c r="P212" i="21"/>
  <c r="P233" i="21"/>
  <c r="P205" i="21"/>
  <c r="P206" i="21"/>
  <c r="P254" i="21"/>
  <c r="P234" i="21"/>
  <c r="P211" i="21"/>
  <c r="P231" i="21"/>
  <c r="P203" i="21"/>
  <c r="P249" i="21"/>
  <c r="P202" i="21"/>
  <c r="P230" i="21"/>
  <c r="P218" i="21"/>
  <c r="P238" i="21"/>
  <c r="P279" i="21"/>
  <c r="P278" i="21"/>
  <c r="P237" i="21"/>
  <c r="P210" i="21"/>
  <c r="P251" i="21"/>
  <c r="P255" i="21"/>
  <c r="P204" i="21"/>
  <c r="P232" i="21"/>
  <c r="P217" i="21"/>
  <c r="P253" i="21"/>
  <c r="P239" i="21"/>
  <c r="P240" i="21"/>
  <c r="P221" i="21"/>
  <c r="P243" i="21"/>
  <c r="P225" i="21"/>
  <c r="P241" i="21"/>
  <c r="P201" i="21"/>
  <c r="P224" i="21"/>
  <c r="P252" i="21"/>
  <c r="P207" i="21"/>
  <c r="P209" i="21"/>
  <c r="P216" i="21"/>
  <c r="P208" i="21"/>
  <c r="P219" i="21"/>
  <c r="P247" i="21"/>
  <c r="P215" i="21"/>
  <c r="P213" i="21"/>
  <c r="P229" i="21"/>
  <c r="P222" i="21"/>
  <c r="P220" i="21"/>
  <c r="P227" i="21"/>
  <c r="P248" i="21"/>
  <c r="P244" i="21"/>
  <c r="P223" i="21"/>
  <c r="P235" i="21"/>
  <c r="P242" i="21"/>
  <c r="P228" i="21"/>
  <c r="P226" i="21"/>
  <c r="P214" i="21"/>
  <c r="P246" i="21"/>
  <c r="P190" i="21"/>
  <c r="P181" i="21"/>
  <c r="P182" i="21"/>
  <c r="E5" i="21"/>
  <c r="E6" i="21"/>
  <c r="E7" i="21"/>
  <c r="E8" i="21"/>
  <c r="E9" i="21"/>
  <c r="E10" i="21"/>
  <c r="E11" i="21"/>
  <c r="E12" i="21"/>
  <c r="E13" i="21"/>
  <c r="E14" i="21"/>
  <c r="E15" i="21"/>
  <c r="E16" i="21"/>
  <c r="E17" i="21"/>
  <c r="E18" i="21"/>
  <c r="E19" i="21"/>
  <c r="E20" i="21"/>
  <c r="E21" i="21"/>
  <c r="E22" i="21"/>
  <c r="E23" i="21"/>
  <c r="E24" i="21"/>
  <c r="E25" i="21"/>
  <c r="E26" i="21"/>
  <c r="E27" i="21"/>
  <c r="E28" i="21"/>
  <c r="E29" i="21"/>
  <c r="E30" i="21"/>
  <c r="E31" i="21"/>
  <c r="E32" i="21"/>
  <c r="E33" i="21"/>
  <c r="E34" i="21"/>
  <c r="E35" i="21"/>
  <c r="E36" i="21"/>
  <c r="E37" i="21"/>
  <c r="E38" i="21"/>
  <c r="E39" i="21"/>
  <c r="E40" i="21"/>
  <c r="E41" i="21"/>
  <c r="E42" i="21"/>
  <c r="E43" i="21"/>
  <c r="E44" i="21"/>
  <c r="E45" i="21"/>
  <c r="E46" i="21"/>
  <c r="E47" i="21"/>
  <c r="E48" i="21"/>
  <c r="E49" i="21"/>
  <c r="E50" i="21"/>
  <c r="E51" i="21"/>
  <c r="E52" i="21"/>
  <c r="E53" i="21"/>
  <c r="E54" i="21"/>
  <c r="E55" i="21"/>
  <c r="E56" i="21"/>
  <c r="E57" i="21"/>
  <c r="E58" i="21"/>
  <c r="E59" i="21"/>
  <c r="E60" i="21"/>
  <c r="E61" i="21"/>
  <c r="E62" i="21"/>
  <c r="E63" i="21"/>
  <c r="E64" i="21"/>
  <c r="E65" i="21"/>
  <c r="E66" i="21"/>
  <c r="E67" i="21"/>
  <c r="E68" i="21"/>
  <c r="E69" i="21"/>
  <c r="E70" i="21"/>
  <c r="E71" i="21"/>
  <c r="E72" i="21"/>
  <c r="E73" i="21"/>
  <c r="E74" i="21"/>
  <c r="E75" i="21"/>
  <c r="E76" i="21"/>
  <c r="E77" i="21"/>
  <c r="E78" i="21"/>
  <c r="E79" i="21"/>
  <c r="E80" i="21"/>
  <c r="E81" i="21"/>
  <c r="E82" i="21"/>
  <c r="E83" i="21"/>
  <c r="E84" i="21"/>
  <c r="E85" i="21"/>
  <c r="E86" i="21"/>
  <c r="E87" i="21"/>
  <c r="E88" i="21"/>
  <c r="E89" i="21"/>
  <c r="E90" i="21"/>
  <c r="E91" i="21"/>
  <c r="E92" i="21"/>
  <c r="E93" i="21"/>
  <c r="E94" i="21"/>
  <c r="E95" i="21"/>
  <c r="E96" i="21"/>
  <c r="E97" i="21"/>
  <c r="E98" i="21"/>
  <c r="E99" i="21"/>
  <c r="E100" i="21"/>
  <c r="E101" i="21"/>
  <c r="E102" i="21"/>
  <c r="E103" i="21"/>
  <c r="E104" i="21"/>
  <c r="E105" i="21"/>
  <c r="E106" i="21"/>
  <c r="E107" i="21"/>
  <c r="E108" i="21"/>
  <c r="E109" i="21"/>
  <c r="E110" i="21"/>
  <c r="E111" i="21"/>
  <c r="E112" i="21"/>
  <c r="E113" i="21"/>
  <c r="E114" i="21"/>
  <c r="E115" i="21"/>
  <c r="E116" i="21"/>
  <c r="E117" i="21"/>
  <c r="E118" i="21"/>
  <c r="E119" i="21"/>
  <c r="E120" i="21"/>
  <c r="E121" i="21"/>
  <c r="E122" i="21"/>
  <c r="E123" i="21"/>
  <c r="E124" i="21"/>
  <c r="E125" i="21"/>
  <c r="E126" i="21"/>
  <c r="E127" i="21"/>
  <c r="E128" i="21"/>
  <c r="E129" i="21"/>
  <c r="E130" i="21"/>
  <c r="E131" i="21"/>
  <c r="E132" i="21"/>
  <c r="E133" i="21"/>
  <c r="E134" i="21"/>
  <c r="E135" i="21"/>
  <c r="E136" i="21"/>
  <c r="E137" i="21"/>
  <c r="E138" i="21"/>
  <c r="E139" i="21"/>
  <c r="E140" i="21"/>
  <c r="E141" i="21"/>
  <c r="E142" i="21"/>
  <c r="E143" i="21"/>
  <c r="E144" i="21"/>
  <c r="E145" i="21"/>
  <c r="E146" i="21"/>
  <c r="E147" i="21"/>
  <c r="E148" i="21"/>
  <c r="E149" i="21"/>
  <c r="E150" i="21"/>
  <c r="E151" i="21"/>
  <c r="E152" i="21"/>
  <c r="E153" i="21"/>
  <c r="E154" i="21"/>
  <c r="E155" i="21"/>
  <c r="E156" i="21"/>
  <c r="E157" i="21"/>
  <c r="E158" i="21"/>
  <c r="E159" i="21"/>
  <c r="E160" i="21"/>
  <c r="E161" i="21"/>
  <c r="E162" i="21"/>
  <c r="E163" i="21"/>
  <c r="E164" i="21"/>
  <c r="E165" i="21"/>
  <c r="E166" i="21"/>
  <c r="E167" i="21"/>
  <c r="E168" i="21"/>
  <c r="E169" i="21"/>
  <c r="E170" i="21"/>
  <c r="E171" i="21"/>
  <c r="E172" i="21"/>
  <c r="E173" i="21"/>
  <c r="E174" i="21"/>
  <c r="E175" i="21"/>
  <c r="E176" i="21"/>
  <c r="E177" i="21"/>
  <c r="E178" i="21"/>
  <c r="E179" i="21"/>
  <c r="E180" i="21"/>
  <c r="E181" i="21"/>
  <c r="E182" i="21"/>
  <c r="E183" i="21"/>
  <c r="E184" i="21"/>
  <c r="E185" i="21"/>
  <c r="E186" i="21"/>
  <c r="E187" i="21"/>
  <c r="E188" i="21"/>
  <c r="E189" i="21"/>
  <c r="E190" i="21"/>
  <c r="E191" i="21"/>
  <c r="E192" i="21"/>
  <c r="E193" i="21"/>
  <c r="E194" i="21"/>
  <c r="E195" i="21"/>
  <c r="E196" i="21"/>
  <c r="E197" i="21"/>
  <c r="E198" i="21"/>
  <c r="E199" i="21"/>
  <c r="E200" i="21"/>
  <c r="E201" i="21"/>
  <c r="E202" i="21"/>
  <c r="E203" i="21"/>
  <c r="E204" i="21"/>
  <c r="E205" i="21"/>
  <c r="E206" i="21"/>
  <c r="E207" i="21"/>
  <c r="E208" i="21"/>
  <c r="E209" i="21"/>
  <c r="E210" i="21"/>
  <c r="E211" i="21"/>
  <c r="E212" i="21"/>
  <c r="E213" i="21"/>
  <c r="E214" i="21"/>
  <c r="E215" i="21"/>
  <c r="E216" i="21"/>
  <c r="E217" i="21"/>
  <c r="E218" i="21"/>
  <c r="E219" i="21"/>
  <c r="E220" i="21"/>
  <c r="E221" i="21"/>
  <c r="E222" i="21"/>
  <c r="E223" i="21"/>
  <c r="E224" i="21"/>
  <c r="E225" i="21"/>
  <c r="E226" i="21"/>
  <c r="E227" i="21"/>
  <c r="E228" i="21"/>
  <c r="E229" i="21"/>
  <c r="E230" i="21"/>
  <c r="E231" i="21"/>
  <c r="E232" i="21"/>
  <c r="E233" i="21"/>
  <c r="E234" i="21"/>
  <c r="E235" i="21"/>
  <c r="E236" i="21"/>
  <c r="E237" i="21"/>
  <c r="E238" i="21"/>
  <c r="E239" i="21"/>
  <c r="E240" i="21"/>
  <c r="E241" i="21"/>
  <c r="E242" i="21"/>
  <c r="E243" i="21"/>
  <c r="E244" i="21"/>
  <c r="E245" i="21"/>
  <c r="E246" i="21"/>
  <c r="E247" i="21"/>
  <c r="E248" i="21"/>
  <c r="E249" i="21"/>
  <c r="E250" i="21"/>
  <c r="E251" i="21"/>
  <c r="E252" i="21"/>
  <c r="E253" i="21"/>
  <c r="E254" i="21"/>
  <c r="E255" i="21"/>
  <c r="E256" i="21"/>
  <c r="E257" i="21"/>
  <c r="E258" i="21"/>
  <c r="E259" i="21"/>
  <c r="E260" i="21"/>
  <c r="E261" i="21"/>
  <c r="E262" i="21"/>
  <c r="E263" i="21"/>
  <c r="E264" i="21"/>
  <c r="E265" i="21"/>
  <c r="E266" i="21"/>
  <c r="E267" i="21"/>
  <c r="E268" i="21"/>
  <c r="E269" i="21"/>
  <c r="E270" i="21"/>
  <c r="E271" i="21"/>
  <c r="E272" i="21"/>
  <c r="E273" i="21"/>
  <c r="E274" i="21"/>
  <c r="E275" i="21"/>
  <c r="E276" i="21"/>
  <c r="E277" i="21"/>
  <c r="E278" i="21"/>
  <c r="E279" i="21"/>
  <c r="E280" i="21"/>
  <c r="E281" i="21"/>
  <c r="E282" i="21"/>
  <c r="E283" i="21"/>
  <c r="E284" i="21"/>
  <c r="E285" i="21"/>
  <c r="E286" i="21"/>
  <c r="E287" i="21"/>
  <c r="E288" i="21"/>
  <c r="E289" i="21"/>
  <c r="E4" i="21"/>
  <c r="P184" i="21" l="1"/>
  <c r="P176" i="21"/>
  <c r="P186" i="21"/>
  <c r="P165" i="21"/>
  <c r="P160" i="21"/>
  <c r="P196" i="21"/>
  <c r="P161" i="21"/>
  <c r="P200" i="21"/>
  <c r="P183" i="21"/>
  <c r="P192" i="21"/>
  <c r="P169" i="21"/>
  <c r="P168" i="21"/>
  <c r="P197" i="21"/>
  <c r="P170" i="21"/>
  <c r="P172" i="21"/>
  <c r="P157" i="21"/>
  <c r="P164" i="21"/>
  <c r="P162" i="21"/>
  <c r="P166" i="21"/>
  <c r="P180" i="21"/>
  <c r="P159" i="21"/>
  <c r="P178" i="21"/>
  <c r="P175" i="21"/>
  <c r="P158" i="21"/>
  <c r="P189" i="21"/>
  <c r="P179" i="21"/>
  <c r="P199" i="21"/>
  <c r="P171" i="21"/>
  <c r="P173" i="21"/>
  <c r="P198" i="21"/>
  <c r="P194" i="21"/>
  <c r="P193" i="21"/>
  <c r="P185" i="21"/>
  <c r="P195" i="21"/>
  <c r="P142" i="21"/>
  <c r="P143" i="21"/>
  <c r="P129" i="21"/>
  <c r="P153" i="21"/>
  <c r="D4" i="21"/>
  <c r="P124" i="21" l="1"/>
  <c r="P134" i="21"/>
  <c r="P135" i="21"/>
  <c r="P126" i="21"/>
  <c r="P132" i="21"/>
  <c r="P137" i="21"/>
  <c r="P156" i="21"/>
  <c r="P147" i="21"/>
  <c r="P146" i="21"/>
  <c r="P141" i="21"/>
  <c r="P152" i="21"/>
  <c r="P138" i="21"/>
  <c r="P167" i="21"/>
  <c r="P130" i="21"/>
  <c r="P149" i="21"/>
  <c r="P177" i="21"/>
  <c r="P140" i="21"/>
  <c r="P139" i="21"/>
  <c r="P122" i="21"/>
  <c r="P187" i="21"/>
  <c r="P163" i="21"/>
  <c r="P188" i="21"/>
  <c r="P125" i="21"/>
  <c r="P151" i="21"/>
  <c r="P148" i="21"/>
  <c r="P133" i="21"/>
  <c r="P154" i="21"/>
  <c r="P131" i="21"/>
  <c r="P128" i="21"/>
  <c r="P150" i="21"/>
  <c r="P136" i="21"/>
  <c r="P155" i="21"/>
  <c r="P145" i="21"/>
  <c r="P127" i="21"/>
  <c r="P123" i="21"/>
  <c r="P174" i="21"/>
  <c r="P191" i="21"/>
  <c r="P144" i="21"/>
  <c r="P120" i="21" l="1"/>
  <c r="P107" i="21" l="1"/>
  <c r="P104" i="21"/>
  <c r="P108" i="21"/>
  <c r="P105" i="21"/>
  <c r="P119" i="21"/>
  <c r="P118" i="21"/>
  <c r="P121" i="21"/>
  <c r="P117" i="21"/>
  <c r="P106" i="21"/>
  <c r="P109" i="21"/>
  <c r="P103" i="21"/>
  <c r="P116" i="21"/>
  <c r="P115" i="21"/>
  <c r="P111" i="21"/>
  <c r="P113" i="21"/>
  <c r="P112" i="21"/>
  <c r="P110" i="21"/>
  <c r="P114" i="21"/>
  <c r="P88" i="21" l="1"/>
  <c r="P102" i="21"/>
  <c r="P98" i="21"/>
  <c r="P48" i="21" l="1"/>
  <c r="P59" i="21"/>
  <c r="P40" i="21"/>
  <c r="P50" i="21"/>
  <c r="P84" i="21"/>
  <c r="P13" i="21"/>
  <c r="P95" i="21"/>
  <c r="P65" i="21"/>
  <c r="P74" i="21"/>
  <c r="P57" i="21"/>
  <c r="P21" i="21"/>
  <c r="P81" i="21"/>
  <c r="P11" i="21"/>
  <c r="P75" i="21"/>
  <c r="P32" i="21"/>
  <c r="P18" i="21"/>
  <c r="P35" i="21"/>
  <c r="P69" i="21"/>
  <c r="P66" i="21"/>
  <c r="P6" i="21"/>
  <c r="P90" i="21"/>
  <c r="P83" i="21"/>
  <c r="P33" i="21"/>
  <c r="P34" i="21"/>
  <c r="P17" i="21"/>
  <c r="P31" i="21"/>
  <c r="P23" i="21"/>
  <c r="P5" i="21"/>
  <c r="P80" i="21"/>
  <c r="P20" i="21"/>
  <c r="P99" i="21"/>
  <c r="P37" i="21"/>
  <c r="P87" i="21"/>
  <c r="P55" i="21"/>
  <c r="P10" i="21"/>
  <c r="P56" i="21"/>
  <c r="P71" i="21"/>
  <c r="P25" i="21"/>
  <c r="P79" i="21"/>
  <c r="P27" i="21"/>
  <c r="P29" i="21"/>
  <c r="P97" i="21"/>
  <c r="P63" i="21"/>
  <c r="P54" i="21"/>
  <c r="P28" i="21"/>
  <c r="P82" i="21"/>
  <c r="P39" i="21"/>
  <c r="P96" i="21"/>
  <c r="P93" i="21"/>
  <c r="P22" i="21"/>
  <c r="P46" i="21"/>
  <c r="P64" i="21"/>
  <c r="P47" i="21"/>
  <c r="P60" i="21"/>
  <c r="P62" i="21"/>
  <c r="P4" i="21"/>
  <c r="P52" i="21"/>
  <c r="P8" i="21"/>
  <c r="P70" i="21"/>
  <c r="P41" i="21"/>
  <c r="P101" i="21"/>
  <c r="P26" i="21"/>
  <c r="P42" i="21"/>
  <c r="P45" i="21"/>
  <c r="P12" i="21"/>
  <c r="P73" i="21"/>
  <c r="P38" i="21"/>
  <c r="P92" i="21"/>
  <c r="P7" i="21"/>
  <c r="P14" i="21"/>
  <c r="P86" i="21"/>
  <c r="P72" i="21"/>
  <c r="P78" i="21"/>
  <c r="P53" i="21"/>
  <c r="P67" i="21"/>
  <c r="P36" i="21"/>
  <c r="P9" i="21"/>
  <c r="P44" i="21"/>
  <c r="P58" i="21"/>
  <c r="P43" i="21"/>
  <c r="P89" i="21"/>
  <c r="P68" i="21"/>
  <c r="P19" i="21"/>
  <c r="P94" i="21"/>
  <c r="P24" i="21"/>
  <c r="P76" i="21"/>
  <c r="P91" i="21"/>
  <c r="P61" i="21"/>
  <c r="P85" i="21"/>
  <c r="P77" i="21"/>
  <c r="P100" i="21"/>
  <c r="P30" i="21"/>
  <c r="P49" i="21"/>
  <c r="P16" i="21"/>
  <c r="P51" i="21"/>
  <c r="P15" i="21"/>
  <c r="BN4" i="3"/>
  <c r="P3" i="21" l="1"/>
  <c r="R20" i="3"/>
  <c r="CV20" i="3" s="1"/>
  <c r="R277" i="3"/>
  <c r="CV277" i="3" s="1"/>
  <c r="R19" i="3" l="1"/>
  <c r="CV19" i="3" s="1"/>
  <c r="R27" i="3"/>
  <c r="CV27" i="3" s="1"/>
  <c r="R107" i="3"/>
  <c r="CV107" i="3" s="1"/>
  <c r="R99" i="3"/>
  <c r="CV99" i="3" s="1"/>
  <c r="R91" i="3"/>
  <c r="CV91" i="3" s="1"/>
  <c r="R83" i="3"/>
  <c r="CV83" i="3" s="1"/>
  <c r="R75" i="3"/>
  <c r="CV75" i="3" s="1"/>
  <c r="R67" i="3"/>
  <c r="CV67" i="3" s="1"/>
  <c r="R59" i="3"/>
  <c r="CV59" i="3" s="1"/>
  <c r="R51" i="3"/>
  <c r="CV51" i="3" s="1"/>
  <c r="R43" i="3"/>
  <c r="CV43" i="3" s="1"/>
  <c r="R35" i="3"/>
  <c r="CV35" i="3" s="1"/>
  <c r="R243" i="3"/>
  <c r="CV243" i="3" s="1"/>
  <c r="R227" i="3"/>
  <c r="CV227" i="3" s="1"/>
  <c r="R219" i="3"/>
  <c r="CV219" i="3" s="1"/>
  <c r="R203" i="3"/>
  <c r="CV203" i="3" s="1"/>
  <c r="R195" i="3"/>
  <c r="CV195" i="3" s="1"/>
  <c r="R187" i="3"/>
  <c r="CV187" i="3" s="1"/>
  <c r="R179" i="3"/>
  <c r="CV179" i="3" s="1"/>
  <c r="R171" i="3"/>
  <c r="CV171" i="3" s="1"/>
  <c r="R163" i="3"/>
  <c r="CV163" i="3" s="1"/>
  <c r="R155" i="3"/>
  <c r="CV155" i="3" s="1"/>
  <c r="R147" i="3"/>
  <c r="CV147" i="3" s="1"/>
  <c r="R139" i="3"/>
  <c r="CV139" i="3" s="1"/>
  <c r="R131" i="3"/>
  <c r="CV131" i="3" s="1"/>
  <c r="R123" i="3"/>
  <c r="CV123" i="3" s="1"/>
  <c r="R115" i="3"/>
  <c r="CV115" i="3" s="1"/>
  <c r="R235" i="3"/>
  <c r="CV235" i="3" s="1"/>
  <c r="R211" i="3"/>
  <c r="CV211" i="3" s="1"/>
  <c r="R275" i="3"/>
  <c r="CV275" i="3" s="1"/>
  <c r="R259" i="3"/>
  <c r="CV259" i="3" s="1"/>
  <c r="R45" i="3"/>
  <c r="CV45" i="3" s="1"/>
  <c r="R37" i="3"/>
  <c r="CV37" i="3" s="1"/>
  <c r="R29" i="3"/>
  <c r="CV29" i="3" s="1"/>
  <c r="R21" i="3"/>
  <c r="CV21" i="3" s="1"/>
  <c r="R13" i="3"/>
  <c r="CV13" i="3" s="1"/>
  <c r="R283" i="3"/>
  <c r="CV283" i="3" s="1"/>
  <c r="R251" i="3"/>
  <c r="CV251" i="3" s="1"/>
  <c r="R267" i="3"/>
  <c r="CV267" i="3" s="1"/>
  <c r="R5" i="3"/>
  <c r="CV5" i="3" s="1"/>
  <c r="R284" i="3"/>
  <c r="CV284" i="3" s="1"/>
  <c r="R268" i="3"/>
  <c r="CV268" i="3" s="1"/>
  <c r="R260" i="3"/>
  <c r="CV260" i="3" s="1"/>
  <c r="R252" i="3"/>
  <c r="CV252" i="3" s="1"/>
  <c r="R244" i="3"/>
  <c r="CV244" i="3" s="1"/>
  <c r="R236" i="3"/>
  <c r="CV236" i="3" s="1"/>
  <c r="R228" i="3"/>
  <c r="CV228" i="3" s="1"/>
  <c r="R220" i="3"/>
  <c r="CV220" i="3" s="1"/>
  <c r="R212" i="3"/>
  <c r="CV212" i="3" s="1"/>
  <c r="R204" i="3"/>
  <c r="CV204" i="3" s="1"/>
  <c r="R196" i="3"/>
  <c r="CV196" i="3" s="1"/>
  <c r="R188" i="3"/>
  <c r="CV188" i="3" s="1"/>
  <c r="R180" i="3"/>
  <c r="CV180" i="3" s="1"/>
  <c r="R172" i="3"/>
  <c r="CV172" i="3" s="1"/>
  <c r="R164" i="3"/>
  <c r="CV164" i="3" s="1"/>
  <c r="R156" i="3"/>
  <c r="CV156" i="3" s="1"/>
  <c r="R148" i="3"/>
  <c r="CV148" i="3" s="1"/>
  <c r="R140" i="3"/>
  <c r="CV140" i="3" s="1"/>
  <c r="R132" i="3"/>
  <c r="CV132" i="3" s="1"/>
  <c r="R124" i="3"/>
  <c r="CV124" i="3" s="1"/>
  <c r="R116" i="3"/>
  <c r="CV116" i="3" s="1"/>
  <c r="R108" i="3"/>
  <c r="CV108" i="3" s="1"/>
  <c r="R100" i="3"/>
  <c r="CV100" i="3" s="1"/>
  <c r="R92" i="3"/>
  <c r="CV92" i="3" s="1"/>
  <c r="R84" i="3"/>
  <c r="CV84" i="3" s="1"/>
  <c r="R76" i="3"/>
  <c r="CV76" i="3" s="1"/>
  <c r="R68" i="3"/>
  <c r="CV68" i="3" s="1"/>
  <c r="R60" i="3"/>
  <c r="CV60" i="3" s="1"/>
  <c r="R52" i="3"/>
  <c r="CV52" i="3" s="1"/>
  <c r="R44" i="3"/>
  <c r="CV44" i="3" s="1"/>
  <c r="R36" i="3"/>
  <c r="CV36" i="3" s="1"/>
  <c r="R28" i="3"/>
  <c r="CV28" i="3" s="1"/>
  <c r="R12" i="3"/>
  <c r="CV12" i="3" s="1"/>
  <c r="R278" i="3"/>
  <c r="CV278" i="3" s="1"/>
  <c r="R262" i="3"/>
  <c r="CV262" i="3" s="1"/>
  <c r="R254" i="3"/>
  <c r="CV254" i="3" s="1"/>
  <c r="R238" i="3"/>
  <c r="CV238" i="3" s="1"/>
  <c r="R230" i="3"/>
  <c r="CV230" i="3" s="1"/>
  <c r="R222" i="3"/>
  <c r="CV222" i="3" s="1"/>
  <c r="R214" i="3"/>
  <c r="CV214" i="3" s="1"/>
  <c r="R206" i="3"/>
  <c r="CV206" i="3" s="1"/>
  <c r="R198" i="3"/>
  <c r="CV198" i="3" s="1"/>
  <c r="R190" i="3"/>
  <c r="CV190" i="3" s="1"/>
  <c r="R182" i="3"/>
  <c r="CV182" i="3" s="1"/>
  <c r="R174" i="3"/>
  <c r="CV174" i="3" s="1"/>
  <c r="R166" i="3"/>
  <c r="CV166" i="3" s="1"/>
  <c r="R158" i="3"/>
  <c r="CV158" i="3" s="1"/>
  <c r="R150" i="3"/>
  <c r="CV150" i="3" s="1"/>
  <c r="R142" i="3"/>
  <c r="CV142" i="3" s="1"/>
  <c r="R134" i="3"/>
  <c r="CV134" i="3" s="1"/>
  <c r="R126" i="3"/>
  <c r="CV126" i="3" s="1"/>
  <c r="R118" i="3"/>
  <c r="CV118" i="3" s="1"/>
  <c r="R110" i="3"/>
  <c r="CV110" i="3" s="1"/>
  <c r="R102" i="3"/>
  <c r="CV102" i="3" s="1"/>
  <c r="R94" i="3"/>
  <c r="CV94" i="3" s="1"/>
  <c r="R86" i="3"/>
  <c r="CV86" i="3" s="1"/>
  <c r="R78" i="3"/>
  <c r="CV78" i="3" s="1"/>
  <c r="R70" i="3"/>
  <c r="CV70" i="3" s="1"/>
  <c r="R62" i="3"/>
  <c r="CV62" i="3" s="1"/>
  <c r="R54" i="3"/>
  <c r="CV54" i="3" s="1"/>
  <c r="R46" i="3"/>
  <c r="CV46" i="3" s="1"/>
  <c r="R38" i="3"/>
  <c r="CV38" i="3" s="1"/>
  <c r="R30" i="3"/>
  <c r="CV30" i="3" s="1"/>
  <c r="R22" i="3"/>
  <c r="CV22" i="3" s="1"/>
  <c r="R14" i="3"/>
  <c r="CV14" i="3" s="1"/>
  <c r="R6" i="3"/>
  <c r="CV6" i="3" s="1"/>
  <c r="R286" i="3"/>
  <c r="CV286" i="3" s="1"/>
  <c r="R270" i="3"/>
  <c r="CV270" i="3" s="1"/>
  <c r="R246" i="3"/>
  <c r="CV246" i="3" s="1"/>
  <c r="R285" i="3"/>
  <c r="CV285" i="3" s="1"/>
  <c r="R269" i="3"/>
  <c r="CV269" i="3" s="1"/>
  <c r="R261" i="3"/>
  <c r="CV261" i="3" s="1"/>
  <c r="R253" i="3"/>
  <c r="CV253" i="3" s="1"/>
  <c r="R245" i="3"/>
  <c r="CV245" i="3" s="1"/>
  <c r="R237" i="3"/>
  <c r="CV237" i="3" s="1"/>
  <c r="R229" i="3"/>
  <c r="CV229" i="3" s="1"/>
  <c r="R221" i="3"/>
  <c r="CV221" i="3" s="1"/>
  <c r="R213" i="3"/>
  <c r="CV213" i="3" s="1"/>
  <c r="R205" i="3"/>
  <c r="CV205" i="3" s="1"/>
  <c r="R197" i="3"/>
  <c r="CV197" i="3" s="1"/>
  <c r="R189" i="3"/>
  <c r="CV189" i="3" s="1"/>
  <c r="R181" i="3"/>
  <c r="CV181" i="3" s="1"/>
  <c r="R173" i="3"/>
  <c r="CV173" i="3" s="1"/>
  <c r="R165" i="3"/>
  <c r="CV165" i="3" s="1"/>
  <c r="R157" i="3"/>
  <c r="CV157" i="3" s="1"/>
  <c r="R149" i="3"/>
  <c r="CV149" i="3" s="1"/>
  <c r="R141" i="3"/>
  <c r="CV141" i="3" s="1"/>
  <c r="R133" i="3"/>
  <c r="CV133" i="3" s="1"/>
  <c r="R125" i="3"/>
  <c r="CV125" i="3" s="1"/>
  <c r="R117" i="3"/>
  <c r="CV117" i="3" s="1"/>
  <c r="R109" i="3"/>
  <c r="CV109" i="3" s="1"/>
  <c r="R101" i="3"/>
  <c r="CV101" i="3" s="1"/>
  <c r="R93" i="3"/>
  <c r="CV93" i="3" s="1"/>
  <c r="R85" i="3"/>
  <c r="CV85" i="3" s="1"/>
  <c r="R77" i="3"/>
  <c r="CV77" i="3" s="1"/>
  <c r="R69" i="3"/>
  <c r="CV69" i="3" s="1"/>
  <c r="R61" i="3"/>
  <c r="CV61" i="3" s="1"/>
  <c r="R53" i="3"/>
  <c r="CV53" i="3" s="1"/>
  <c r="R279" i="3"/>
  <c r="CV279" i="3" s="1"/>
  <c r="R263" i="3"/>
  <c r="CV263" i="3" s="1"/>
  <c r="R255" i="3"/>
  <c r="CV255" i="3" s="1"/>
  <c r="R247" i="3"/>
  <c r="CV247" i="3" s="1"/>
  <c r="R239" i="3"/>
  <c r="CV239" i="3" s="1"/>
  <c r="R231" i="3"/>
  <c r="CV231" i="3" s="1"/>
  <c r="R223" i="3"/>
  <c r="CV223" i="3" s="1"/>
  <c r="R215" i="3"/>
  <c r="CV215" i="3" s="1"/>
  <c r="R207" i="3"/>
  <c r="CV207" i="3" s="1"/>
  <c r="R199" i="3"/>
  <c r="CV199" i="3" s="1"/>
  <c r="R191" i="3"/>
  <c r="CV191" i="3" s="1"/>
  <c r="R183" i="3"/>
  <c r="CV183" i="3" s="1"/>
  <c r="R175" i="3"/>
  <c r="CV175" i="3" s="1"/>
  <c r="R167" i="3"/>
  <c r="CV167" i="3" s="1"/>
  <c r="R159" i="3"/>
  <c r="CV159" i="3" s="1"/>
  <c r="R151" i="3"/>
  <c r="CV151" i="3" s="1"/>
  <c r="R143" i="3"/>
  <c r="CV143" i="3" s="1"/>
  <c r="R135" i="3"/>
  <c r="CV135" i="3" s="1"/>
  <c r="R127" i="3"/>
  <c r="CV127" i="3" s="1"/>
  <c r="R119" i="3"/>
  <c r="CV119" i="3" s="1"/>
  <c r="R111" i="3"/>
  <c r="CV111" i="3" s="1"/>
  <c r="R103" i="3"/>
  <c r="CV103" i="3" s="1"/>
  <c r="R95" i="3"/>
  <c r="CV95" i="3" s="1"/>
  <c r="R87" i="3"/>
  <c r="CV87" i="3" s="1"/>
  <c r="R79" i="3"/>
  <c r="CV79" i="3" s="1"/>
  <c r="R71" i="3"/>
  <c r="CV71" i="3" s="1"/>
  <c r="R63" i="3"/>
  <c r="CV63" i="3" s="1"/>
  <c r="R55" i="3"/>
  <c r="CV55" i="3" s="1"/>
  <c r="R47" i="3"/>
  <c r="CV47" i="3" s="1"/>
  <c r="R39" i="3"/>
  <c r="CV39" i="3" s="1"/>
  <c r="R31" i="3"/>
  <c r="CV31" i="3" s="1"/>
  <c r="R23" i="3"/>
  <c r="CV23" i="3" s="1"/>
  <c r="R271" i="3"/>
  <c r="CV271" i="3" s="1"/>
  <c r="R287" i="3"/>
  <c r="CV287" i="3" s="1"/>
  <c r="R15" i="3"/>
  <c r="CV15" i="3" s="1"/>
  <c r="R11" i="3"/>
  <c r="CV11" i="3" s="1"/>
  <c r="R7" i="3"/>
  <c r="CV7" i="3" s="1"/>
  <c r="R280" i="3"/>
  <c r="CV280" i="3" s="1"/>
  <c r="R272" i="3"/>
  <c r="CV272" i="3" s="1"/>
  <c r="R264" i="3"/>
  <c r="CV264" i="3" s="1"/>
  <c r="R256" i="3"/>
  <c r="CV256" i="3" s="1"/>
  <c r="R248" i="3"/>
  <c r="CV248" i="3" s="1"/>
  <c r="R240" i="3"/>
  <c r="CV240" i="3" s="1"/>
  <c r="R232" i="3"/>
  <c r="CV232" i="3" s="1"/>
  <c r="R224" i="3"/>
  <c r="CV224" i="3" s="1"/>
  <c r="R216" i="3"/>
  <c r="CV216" i="3" s="1"/>
  <c r="R208" i="3"/>
  <c r="CV208" i="3" s="1"/>
  <c r="R200" i="3"/>
  <c r="CV200" i="3" s="1"/>
  <c r="R192" i="3"/>
  <c r="CV192" i="3" s="1"/>
  <c r="R184" i="3"/>
  <c r="CV184" i="3" s="1"/>
  <c r="R176" i="3"/>
  <c r="CV176" i="3" s="1"/>
  <c r="R168" i="3"/>
  <c r="CV168" i="3" s="1"/>
  <c r="R160" i="3"/>
  <c r="CV160" i="3" s="1"/>
  <c r="R152" i="3"/>
  <c r="CV152" i="3" s="1"/>
  <c r="R144" i="3"/>
  <c r="CV144" i="3" s="1"/>
  <c r="R136" i="3"/>
  <c r="CV136" i="3" s="1"/>
  <c r="R128" i="3"/>
  <c r="CV128" i="3" s="1"/>
  <c r="R120" i="3"/>
  <c r="CV120" i="3" s="1"/>
  <c r="R112" i="3"/>
  <c r="CV112" i="3" s="1"/>
  <c r="R104" i="3"/>
  <c r="CV104" i="3" s="1"/>
  <c r="R96" i="3"/>
  <c r="CV96" i="3" s="1"/>
  <c r="R88" i="3"/>
  <c r="CV88" i="3" s="1"/>
  <c r="R80" i="3"/>
  <c r="CV80" i="3" s="1"/>
  <c r="R72" i="3"/>
  <c r="CV72" i="3" s="1"/>
  <c r="R64" i="3"/>
  <c r="CV64" i="3" s="1"/>
  <c r="R56" i="3"/>
  <c r="CV56" i="3" s="1"/>
  <c r="R48" i="3"/>
  <c r="CV48" i="3" s="1"/>
  <c r="R40" i="3"/>
  <c r="CV40" i="3" s="1"/>
  <c r="R32" i="3"/>
  <c r="CV32" i="3" s="1"/>
  <c r="R24" i="3"/>
  <c r="CV24" i="3" s="1"/>
  <c r="R16" i="3"/>
  <c r="CV16" i="3" s="1"/>
  <c r="R8" i="3"/>
  <c r="CV8" i="3" s="1"/>
  <c r="R288" i="3"/>
  <c r="CV288" i="3" s="1"/>
  <c r="R266" i="3"/>
  <c r="CV266" i="3" s="1"/>
  <c r="R250" i="3"/>
  <c r="CV250" i="3" s="1"/>
  <c r="R242" i="3"/>
  <c r="CV242" i="3" s="1"/>
  <c r="R226" i="3"/>
  <c r="CV226" i="3" s="1"/>
  <c r="R218" i="3"/>
  <c r="CV218" i="3" s="1"/>
  <c r="R210" i="3"/>
  <c r="CV210" i="3" s="1"/>
  <c r="R202" i="3"/>
  <c r="CV202" i="3" s="1"/>
  <c r="R194" i="3"/>
  <c r="CV194" i="3" s="1"/>
  <c r="R186" i="3"/>
  <c r="CV186" i="3" s="1"/>
  <c r="R178" i="3"/>
  <c r="CV178" i="3" s="1"/>
  <c r="R170" i="3"/>
  <c r="CV170" i="3" s="1"/>
  <c r="R162" i="3"/>
  <c r="CV162" i="3" s="1"/>
  <c r="R154" i="3"/>
  <c r="CV154" i="3" s="1"/>
  <c r="R146" i="3"/>
  <c r="CV146" i="3" s="1"/>
  <c r="R138" i="3"/>
  <c r="CV138" i="3" s="1"/>
  <c r="R130" i="3"/>
  <c r="CV130" i="3" s="1"/>
  <c r="R122" i="3"/>
  <c r="CV122" i="3" s="1"/>
  <c r="R114" i="3"/>
  <c r="CV114" i="3" s="1"/>
  <c r="R106" i="3"/>
  <c r="CV106" i="3" s="1"/>
  <c r="R98" i="3"/>
  <c r="CV98" i="3" s="1"/>
  <c r="R90" i="3"/>
  <c r="CV90" i="3" s="1"/>
  <c r="R82" i="3"/>
  <c r="CV82" i="3" s="1"/>
  <c r="R74" i="3"/>
  <c r="CV74" i="3" s="1"/>
  <c r="R66" i="3"/>
  <c r="CV66" i="3" s="1"/>
  <c r="R58" i="3"/>
  <c r="CV58" i="3" s="1"/>
  <c r="R50" i="3"/>
  <c r="CV50" i="3" s="1"/>
  <c r="R42" i="3"/>
  <c r="CV42" i="3" s="1"/>
  <c r="R34" i="3"/>
  <c r="CV34" i="3" s="1"/>
  <c r="R26" i="3"/>
  <c r="CV26" i="3" s="1"/>
  <c r="R18" i="3"/>
  <c r="CV18" i="3" s="1"/>
  <c r="R10" i="3"/>
  <c r="CV10" i="3" s="1"/>
  <c r="R258" i="3"/>
  <c r="CV258" i="3" s="1"/>
  <c r="R234" i="3"/>
  <c r="CV234" i="3" s="1"/>
  <c r="R274" i="3"/>
  <c r="CV274" i="3" s="1"/>
  <c r="R282" i="3"/>
  <c r="CV282" i="3" s="1"/>
  <c r="R290" i="3"/>
  <c r="CV290" i="3" s="1"/>
  <c r="R289" i="3"/>
  <c r="CV289" i="3" s="1"/>
  <c r="R281" i="3"/>
  <c r="CV281" i="3" s="1"/>
  <c r="R273" i="3"/>
  <c r="CV273" i="3" s="1"/>
  <c r="R265" i="3"/>
  <c r="CV265" i="3" s="1"/>
  <c r="R257" i="3"/>
  <c r="CV257" i="3" s="1"/>
  <c r="R249" i="3"/>
  <c r="CV249" i="3" s="1"/>
  <c r="R241" i="3"/>
  <c r="CV241" i="3" s="1"/>
  <c r="R233" i="3"/>
  <c r="CV233" i="3" s="1"/>
  <c r="R225" i="3"/>
  <c r="CV225" i="3" s="1"/>
  <c r="R217" i="3"/>
  <c r="CV217" i="3" s="1"/>
  <c r="R209" i="3"/>
  <c r="CV209" i="3" s="1"/>
  <c r="R201" i="3"/>
  <c r="CV201" i="3" s="1"/>
  <c r="R193" i="3"/>
  <c r="CV193" i="3" s="1"/>
  <c r="R185" i="3"/>
  <c r="CV185" i="3" s="1"/>
  <c r="R177" i="3"/>
  <c r="CV177" i="3" s="1"/>
  <c r="R169" i="3"/>
  <c r="CV169" i="3" s="1"/>
  <c r="R161" i="3"/>
  <c r="CV161" i="3" s="1"/>
  <c r="R153" i="3"/>
  <c r="CV153" i="3" s="1"/>
  <c r="R145" i="3"/>
  <c r="CV145" i="3" s="1"/>
  <c r="R137" i="3"/>
  <c r="CV137" i="3" s="1"/>
  <c r="R129" i="3"/>
  <c r="CV129" i="3" s="1"/>
  <c r="R121" i="3"/>
  <c r="CV121" i="3" s="1"/>
  <c r="R113" i="3"/>
  <c r="CV113" i="3" s="1"/>
  <c r="R105" i="3"/>
  <c r="CV105" i="3" s="1"/>
  <c r="R97" i="3"/>
  <c r="CV97" i="3" s="1"/>
  <c r="R89" i="3"/>
  <c r="CV89" i="3" s="1"/>
  <c r="R81" i="3"/>
  <c r="CV81" i="3" s="1"/>
  <c r="R73" i="3"/>
  <c r="CV73" i="3" s="1"/>
  <c r="R65" i="3"/>
  <c r="CV65" i="3" s="1"/>
  <c r="R57" i="3"/>
  <c r="CV57" i="3" s="1"/>
  <c r="R49" i="3"/>
  <c r="CV49" i="3" s="1"/>
  <c r="R41" i="3"/>
  <c r="CV41" i="3" s="1"/>
  <c r="R33" i="3"/>
  <c r="CV33" i="3" s="1"/>
  <c r="R25" i="3"/>
  <c r="CV25" i="3" s="1"/>
  <c r="R17" i="3"/>
  <c r="CV17" i="3" s="1"/>
  <c r="R9" i="3"/>
  <c r="CV9" i="3" s="1"/>
  <c r="F252" i="21"/>
  <c r="U252" i="21"/>
  <c r="F220" i="21"/>
  <c r="U220" i="21"/>
  <c r="F133" i="21"/>
  <c r="U133" i="21"/>
  <c r="F98" i="21"/>
  <c r="U98" i="21"/>
  <c r="F243" i="21"/>
  <c r="U243" i="21"/>
  <c r="F212" i="21"/>
  <c r="U212" i="21"/>
  <c r="F126" i="21"/>
  <c r="U126" i="21"/>
  <c r="F92" i="21"/>
  <c r="U92" i="21"/>
  <c r="F231" i="21"/>
  <c r="U231" i="21"/>
  <c r="F208" i="21"/>
  <c r="U208" i="21"/>
  <c r="F123" i="21"/>
  <c r="U123" i="21"/>
  <c r="F73" i="21"/>
  <c r="U73" i="21"/>
  <c r="F228" i="21"/>
  <c r="U228" i="21"/>
  <c r="F199" i="21"/>
  <c r="U199" i="21"/>
  <c r="F117" i="21"/>
  <c r="U117" i="21"/>
  <c r="F69" i="21"/>
  <c r="U69" i="21"/>
  <c r="F227" i="21"/>
  <c r="U227" i="21"/>
  <c r="F177" i="21"/>
  <c r="U177" i="21"/>
  <c r="F116" i="21"/>
  <c r="U116" i="21"/>
  <c r="F57" i="21"/>
  <c r="U57" i="21"/>
  <c r="F225" i="21"/>
  <c r="U225" i="21"/>
  <c r="F168" i="21"/>
  <c r="U168" i="21"/>
  <c r="F109" i="21"/>
  <c r="U109" i="21"/>
  <c r="F48" i="21"/>
  <c r="U48" i="21"/>
  <c r="F276" i="21"/>
  <c r="U276" i="21"/>
  <c r="F224" i="21"/>
  <c r="U224" i="21"/>
  <c r="F166" i="21"/>
  <c r="U166" i="21"/>
  <c r="F103" i="21"/>
  <c r="U103" i="21"/>
  <c r="F20" i="21"/>
  <c r="U20" i="21"/>
  <c r="F257" i="21"/>
  <c r="U257" i="21"/>
  <c r="F223" i="21"/>
  <c r="U223" i="21"/>
  <c r="F156" i="21"/>
  <c r="U156" i="21"/>
  <c r="F102" i="21"/>
  <c r="U102" i="21"/>
  <c r="F10" i="21"/>
  <c r="U10" i="21"/>
  <c r="CV4" i="3" l="1"/>
  <c r="F289" i="21"/>
  <c r="U289" i="21"/>
  <c r="F281" i="21"/>
  <c r="U281" i="21"/>
  <c r="F272" i="21"/>
  <c r="U272" i="21"/>
  <c r="F264" i="21"/>
  <c r="U264" i="21"/>
  <c r="F255" i="21"/>
  <c r="U255" i="21"/>
  <c r="F246" i="21"/>
  <c r="U246" i="21"/>
  <c r="F237" i="21"/>
  <c r="U237" i="21"/>
  <c r="F226" i="21"/>
  <c r="U226" i="21"/>
  <c r="F214" i="21"/>
  <c r="U214" i="21"/>
  <c r="F204" i="21"/>
  <c r="U204" i="21"/>
  <c r="F195" i="21"/>
  <c r="U195" i="21"/>
  <c r="F187" i="21"/>
  <c r="U187" i="21"/>
  <c r="F179" i="21"/>
  <c r="U179" i="21"/>
  <c r="F170" i="21"/>
  <c r="U170" i="21"/>
  <c r="F160" i="21"/>
  <c r="U160" i="21"/>
  <c r="F151" i="21"/>
  <c r="U151" i="21"/>
  <c r="F143" i="21"/>
  <c r="U143" i="21"/>
  <c r="F135" i="21"/>
  <c r="U135" i="21"/>
  <c r="F125" i="21"/>
  <c r="U125" i="21"/>
  <c r="F114" i="21"/>
  <c r="U114" i="21"/>
  <c r="F105" i="21"/>
  <c r="U105" i="21"/>
  <c r="F94" i="21"/>
  <c r="U94" i="21"/>
  <c r="F85" i="21"/>
  <c r="U85" i="21"/>
  <c r="F77" i="21"/>
  <c r="U77" i="21"/>
  <c r="F67" i="21"/>
  <c r="U67" i="21"/>
  <c r="F59" i="21"/>
  <c r="U59" i="21"/>
  <c r="F50" i="21"/>
  <c r="U50" i="21"/>
  <c r="F41" i="21"/>
  <c r="U41" i="21"/>
  <c r="F33" i="21"/>
  <c r="U33" i="21"/>
  <c r="F25" i="21"/>
  <c r="U25" i="21"/>
  <c r="F16" i="21"/>
  <c r="U16" i="21"/>
  <c r="F7" i="21"/>
  <c r="U7" i="21"/>
  <c r="F288" i="21"/>
  <c r="U288" i="21"/>
  <c r="F280" i="21"/>
  <c r="U280" i="21"/>
  <c r="F271" i="21"/>
  <c r="U271" i="21"/>
  <c r="F263" i="21"/>
  <c r="U263" i="21"/>
  <c r="F254" i="21"/>
  <c r="U254" i="21"/>
  <c r="F245" i="21"/>
  <c r="U245" i="21"/>
  <c r="F236" i="21"/>
  <c r="U236" i="21"/>
  <c r="F222" i="21"/>
  <c r="U222" i="21"/>
  <c r="F213" i="21"/>
  <c r="U213" i="21"/>
  <c r="F203" i="21"/>
  <c r="U203" i="21"/>
  <c r="F194" i="21"/>
  <c r="U194" i="21"/>
  <c r="F186" i="21"/>
  <c r="U186" i="21"/>
  <c r="F178" i="21"/>
  <c r="U178" i="21"/>
  <c r="F169" i="21"/>
  <c r="U169" i="21"/>
  <c r="F159" i="21"/>
  <c r="U159" i="21"/>
  <c r="F150" i="21"/>
  <c r="U150" i="21"/>
  <c r="F142" i="21"/>
  <c r="U142" i="21"/>
  <c r="F134" i="21"/>
  <c r="U134" i="21"/>
  <c r="F124" i="21"/>
  <c r="U124" i="21"/>
  <c r="F113" i="21"/>
  <c r="U113" i="21"/>
  <c r="F104" i="21"/>
  <c r="U104" i="21"/>
  <c r="F93" i="21"/>
  <c r="U93" i="21"/>
  <c r="F84" i="21"/>
  <c r="U84" i="21"/>
  <c r="F76" i="21"/>
  <c r="U76" i="21"/>
  <c r="F66" i="21"/>
  <c r="U66" i="21"/>
  <c r="F58" i="21"/>
  <c r="U58" i="21"/>
  <c r="F49" i="21"/>
  <c r="U49" i="21"/>
  <c r="F40" i="21"/>
  <c r="U40" i="21"/>
  <c r="F32" i="21"/>
  <c r="U32" i="21"/>
  <c r="F24" i="21"/>
  <c r="U24" i="21"/>
  <c r="F15" i="21"/>
  <c r="U15" i="21"/>
  <c r="F6" i="21"/>
  <c r="U6" i="21"/>
  <c r="F287" i="21"/>
  <c r="U287" i="21"/>
  <c r="F279" i="21"/>
  <c r="U279" i="21"/>
  <c r="F270" i="21"/>
  <c r="U270" i="21"/>
  <c r="F262" i="21"/>
  <c r="U262" i="21"/>
  <c r="F253" i="21"/>
  <c r="U253" i="21"/>
  <c r="F244" i="21"/>
  <c r="U244" i="21"/>
  <c r="F235" i="21"/>
  <c r="U235" i="21"/>
  <c r="F221" i="21"/>
  <c r="U221" i="21"/>
  <c r="F211" i="21"/>
  <c r="U211" i="21"/>
  <c r="F202" i="21"/>
  <c r="U202" i="21"/>
  <c r="F193" i="21"/>
  <c r="U193" i="21"/>
  <c r="F185" i="21"/>
  <c r="U185" i="21"/>
  <c r="F176" i="21"/>
  <c r="U176" i="21"/>
  <c r="F167" i="21"/>
  <c r="U167" i="21"/>
  <c r="F158" i="21"/>
  <c r="U158" i="21"/>
  <c r="F149" i="21"/>
  <c r="U149" i="21"/>
  <c r="F141" i="21"/>
  <c r="U141" i="21"/>
  <c r="F132" i="21"/>
  <c r="U132" i="21"/>
  <c r="F122" i="21"/>
  <c r="U122" i="21"/>
  <c r="F112" i="21"/>
  <c r="U112" i="21"/>
  <c r="F101" i="21"/>
  <c r="U101" i="21"/>
  <c r="F91" i="21"/>
  <c r="U91" i="21"/>
  <c r="F83" i="21"/>
  <c r="U83" i="21"/>
  <c r="F75" i="21"/>
  <c r="U75" i="21"/>
  <c r="F65" i="21"/>
  <c r="U65" i="21"/>
  <c r="F56" i="21"/>
  <c r="U56" i="21"/>
  <c r="F47" i="21"/>
  <c r="U47" i="21"/>
  <c r="F39" i="21"/>
  <c r="U39" i="21"/>
  <c r="F31" i="21"/>
  <c r="U31" i="21"/>
  <c r="F23" i="21"/>
  <c r="U23" i="21"/>
  <c r="F14" i="21"/>
  <c r="U14" i="21"/>
  <c r="F5" i="21"/>
  <c r="U5" i="21"/>
  <c r="F286" i="21"/>
  <c r="U286" i="21"/>
  <c r="F278" i="21"/>
  <c r="U278" i="21"/>
  <c r="F269" i="21"/>
  <c r="U269" i="21"/>
  <c r="F261" i="21"/>
  <c r="U261" i="21"/>
  <c r="F251" i="21"/>
  <c r="U251" i="21"/>
  <c r="F242" i="21"/>
  <c r="U242" i="21"/>
  <c r="F234" i="21"/>
  <c r="U234" i="21"/>
  <c r="F219" i="21"/>
  <c r="U219" i="21"/>
  <c r="F210" i="21"/>
  <c r="U210" i="21"/>
  <c r="F201" i="21"/>
  <c r="U201" i="21"/>
  <c r="F192" i="21"/>
  <c r="U192" i="21"/>
  <c r="F184" i="21"/>
  <c r="U184" i="21"/>
  <c r="F175" i="21"/>
  <c r="U175" i="21"/>
  <c r="F165" i="21"/>
  <c r="U165" i="21"/>
  <c r="F157" i="21"/>
  <c r="U157" i="21"/>
  <c r="F148" i="21"/>
  <c r="U148" i="21"/>
  <c r="F140" i="21"/>
  <c r="U140" i="21"/>
  <c r="F131" i="21"/>
  <c r="U131" i="21"/>
  <c r="F121" i="21"/>
  <c r="U121" i="21"/>
  <c r="F111" i="21"/>
  <c r="U111" i="21"/>
  <c r="F100" i="21"/>
  <c r="U100" i="21"/>
  <c r="F90" i="21"/>
  <c r="U90" i="21"/>
  <c r="F82" i="21"/>
  <c r="U82" i="21"/>
  <c r="F74" i="21"/>
  <c r="U74" i="21"/>
  <c r="F64" i="21"/>
  <c r="U64" i="21"/>
  <c r="F55" i="21"/>
  <c r="U55" i="21"/>
  <c r="F46" i="21"/>
  <c r="U46" i="21"/>
  <c r="F38" i="21"/>
  <c r="U38" i="21"/>
  <c r="F30" i="21"/>
  <c r="U30" i="21"/>
  <c r="F22" i="21"/>
  <c r="U22" i="21"/>
  <c r="F13" i="21"/>
  <c r="U13" i="21"/>
  <c r="F285" i="21"/>
  <c r="U285" i="21"/>
  <c r="F277" i="21"/>
  <c r="U277" i="21"/>
  <c r="F268" i="21"/>
  <c r="U268" i="21"/>
  <c r="F260" i="21"/>
  <c r="U260" i="21"/>
  <c r="F250" i="21"/>
  <c r="U250" i="21"/>
  <c r="F241" i="21"/>
  <c r="U241" i="21"/>
  <c r="F233" i="21"/>
  <c r="U233" i="21"/>
  <c r="F218" i="21"/>
  <c r="U218" i="21"/>
  <c r="F209" i="21"/>
  <c r="U209" i="21"/>
  <c r="F200" i="21"/>
  <c r="U200" i="21"/>
  <c r="F191" i="21"/>
  <c r="U191" i="21"/>
  <c r="F183" i="21"/>
  <c r="U183" i="21"/>
  <c r="F174" i="21"/>
  <c r="U174" i="21"/>
  <c r="F164" i="21"/>
  <c r="U164" i="21"/>
  <c r="F155" i="21"/>
  <c r="U155" i="21"/>
  <c r="F147" i="21"/>
  <c r="U147" i="21"/>
  <c r="F139" i="21"/>
  <c r="U139" i="21"/>
  <c r="F130" i="21"/>
  <c r="U130" i="21"/>
  <c r="F120" i="21"/>
  <c r="U120" i="21"/>
  <c r="F110" i="21"/>
  <c r="U110" i="21"/>
  <c r="F99" i="21"/>
  <c r="U99" i="21"/>
  <c r="F89" i="21"/>
  <c r="U89" i="21"/>
  <c r="F81" i="21"/>
  <c r="U81" i="21"/>
  <c r="F72" i="21"/>
  <c r="U72" i="21"/>
  <c r="F63" i="21"/>
  <c r="U63" i="21"/>
  <c r="F54" i="21"/>
  <c r="U54" i="21"/>
  <c r="F45" i="21"/>
  <c r="U45" i="21"/>
  <c r="F37" i="21"/>
  <c r="U37" i="21"/>
  <c r="F29" i="21"/>
  <c r="U29" i="21"/>
  <c r="F21" i="21"/>
  <c r="U21" i="21"/>
  <c r="F12" i="21"/>
  <c r="U12" i="21"/>
  <c r="F284" i="21"/>
  <c r="U284" i="21"/>
  <c r="F275" i="21"/>
  <c r="U275" i="21"/>
  <c r="F267" i="21"/>
  <c r="U267" i="21"/>
  <c r="F259" i="21"/>
  <c r="U259" i="21"/>
  <c r="F249" i="21"/>
  <c r="U249" i="21"/>
  <c r="F240" i="21"/>
  <c r="U240" i="21"/>
  <c r="F232" i="21"/>
  <c r="U232" i="21"/>
  <c r="F217" i="21"/>
  <c r="U217" i="21"/>
  <c r="F207" i="21"/>
  <c r="U207" i="21"/>
  <c r="F198" i="21"/>
  <c r="U198" i="21"/>
  <c r="F190" i="21"/>
  <c r="U190" i="21"/>
  <c r="F182" i="21"/>
  <c r="U182" i="21"/>
  <c r="F173" i="21"/>
  <c r="U173" i="21"/>
  <c r="F163" i="21"/>
  <c r="U163" i="21"/>
  <c r="F154" i="21"/>
  <c r="U154" i="21"/>
  <c r="F146" i="21"/>
  <c r="U146" i="21"/>
  <c r="F138" i="21"/>
  <c r="U138" i="21"/>
  <c r="F129" i="21"/>
  <c r="U129" i="21"/>
  <c r="F119" i="21"/>
  <c r="U119" i="21"/>
  <c r="F108" i="21"/>
  <c r="U108" i="21"/>
  <c r="F97" i="21"/>
  <c r="U97" i="21"/>
  <c r="F88" i="21"/>
  <c r="U88" i="21"/>
  <c r="F80" i="21"/>
  <c r="U80" i="21"/>
  <c r="F71" i="21"/>
  <c r="U71" i="21"/>
  <c r="F62" i="21"/>
  <c r="U62" i="21"/>
  <c r="F53" i="21"/>
  <c r="U53" i="21"/>
  <c r="F44" i="21"/>
  <c r="U44" i="21"/>
  <c r="F36" i="21"/>
  <c r="U36" i="21"/>
  <c r="F28" i="21"/>
  <c r="U28" i="21"/>
  <c r="F19" i="21"/>
  <c r="U19" i="21"/>
  <c r="F11" i="21"/>
  <c r="U11" i="21"/>
  <c r="F283" i="21"/>
  <c r="U283" i="21"/>
  <c r="F274" i="21"/>
  <c r="U274" i="21"/>
  <c r="F266" i="21"/>
  <c r="U266" i="21"/>
  <c r="F258" i="21"/>
  <c r="U258" i="21"/>
  <c r="F248" i="21"/>
  <c r="U248" i="21"/>
  <c r="F239" i="21"/>
  <c r="U239" i="21"/>
  <c r="F230" i="21"/>
  <c r="U230" i="21"/>
  <c r="F216" i="21"/>
  <c r="U216" i="21"/>
  <c r="F206" i="21"/>
  <c r="U206" i="21"/>
  <c r="F197" i="21"/>
  <c r="U197" i="21"/>
  <c r="F189" i="21"/>
  <c r="U189" i="21"/>
  <c r="F181" i="21"/>
  <c r="U181" i="21"/>
  <c r="F172" i="21"/>
  <c r="U172" i="21"/>
  <c r="F162" i="21"/>
  <c r="U162" i="21"/>
  <c r="F153" i="21"/>
  <c r="U153" i="21"/>
  <c r="F145" i="21"/>
  <c r="U145" i="21"/>
  <c r="F137" i="21"/>
  <c r="U137" i="21"/>
  <c r="F128" i="21"/>
  <c r="U128" i="21"/>
  <c r="F118" i="21"/>
  <c r="U118" i="21"/>
  <c r="F107" i="21"/>
  <c r="U107" i="21"/>
  <c r="F96" i="21"/>
  <c r="U96" i="21"/>
  <c r="F87" i="21"/>
  <c r="U87" i="21"/>
  <c r="F79" i="21"/>
  <c r="U79" i="21"/>
  <c r="F70" i="21"/>
  <c r="U70" i="21"/>
  <c r="F61" i="21"/>
  <c r="U61" i="21"/>
  <c r="F52" i="21"/>
  <c r="U52" i="21"/>
  <c r="F43" i="21"/>
  <c r="U43" i="21"/>
  <c r="F35" i="21"/>
  <c r="U35" i="21"/>
  <c r="F27" i="21"/>
  <c r="U27" i="21"/>
  <c r="F18" i="21"/>
  <c r="U18" i="21"/>
  <c r="F9" i="21"/>
  <c r="U9" i="21"/>
  <c r="F282" i="21"/>
  <c r="U282" i="21"/>
  <c r="F273" i="21"/>
  <c r="U273" i="21"/>
  <c r="F265" i="21"/>
  <c r="U265" i="21"/>
  <c r="F256" i="21"/>
  <c r="U256" i="21"/>
  <c r="F247" i="21"/>
  <c r="U247" i="21"/>
  <c r="F238" i="21"/>
  <c r="U238" i="21"/>
  <c r="F229" i="21"/>
  <c r="U229" i="21"/>
  <c r="F215" i="21"/>
  <c r="U215" i="21"/>
  <c r="F205" i="21"/>
  <c r="U205" i="21"/>
  <c r="F196" i="21"/>
  <c r="U196" i="21"/>
  <c r="F188" i="21"/>
  <c r="U188" i="21"/>
  <c r="F180" i="21"/>
  <c r="U180" i="21"/>
  <c r="F171" i="21"/>
  <c r="U171" i="21"/>
  <c r="F161" i="21"/>
  <c r="U161" i="21"/>
  <c r="F152" i="21"/>
  <c r="U152" i="21"/>
  <c r="F144" i="21"/>
  <c r="U144" i="21"/>
  <c r="F136" i="21"/>
  <c r="U136" i="21"/>
  <c r="F127" i="21"/>
  <c r="U127" i="21"/>
  <c r="F115" i="21"/>
  <c r="U115" i="21"/>
  <c r="F106" i="21"/>
  <c r="U106" i="21"/>
  <c r="F95" i="21"/>
  <c r="U95" i="21"/>
  <c r="F86" i="21"/>
  <c r="U86" i="21"/>
  <c r="F78" i="21"/>
  <c r="U78" i="21"/>
  <c r="F68" i="21"/>
  <c r="U68" i="21"/>
  <c r="F60" i="21"/>
  <c r="U60" i="21"/>
  <c r="F51" i="21"/>
  <c r="U51" i="21"/>
  <c r="F42" i="21"/>
  <c r="U42" i="21"/>
  <c r="F34" i="21"/>
  <c r="U34" i="21"/>
  <c r="F26" i="21"/>
  <c r="U26" i="21"/>
  <c r="F17" i="21"/>
  <c r="U17" i="21"/>
  <c r="F8" i="21"/>
  <c r="U8" i="21"/>
  <c r="F4" i="21"/>
  <c r="U4" i="21"/>
  <c r="BF290" i="3" l="1"/>
  <c r="BF289" i="3"/>
  <c r="BF288" i="3"/>
  <c r="BF287" i="3"/>
  <c r="BF286" i="3"/>
  <c r="BF285" i="3"/>
  <c r="BF284" i="3"/>
  <c r="BF283" i="3"/>
  <c r="BF282" i="3"/>
  <c r="BF281" i="3"/>
  <c r="BF280" i="3"/>
  <c r="BF279" i="3"/>
  <c r="BF278" i="3"/>
  <c r="BF277" i="3"/>
  <c r="BF276" i="3"/>
  <c r="BF275" i="3"/>
  <c r="BF274" i="3"/>
  <c r="BF273" i="3"/>
  <c r="BF272" i="3"/>
  <c r="BF271" i="3"/>
  <c r="BF270" i="3"/>
  <c r="BF269" i="3"/>
  <c r="BF268" i="3"/>
  <c r="BF267" i="3"/>
  <c r="BF266" i="3"/>
  <c r="BF265" i="3"/>
  <c r="BF264" i="3"/>
  <c r="BF263" i="3"/>
  <c r="BF262" i="3"/>
  <c r="BF261" i="3"/>
  <c r="BF260" i="3"/>
  <c r="BF259" i="3"/>
  <c r="BF258" i="3"/>
  <c r="BF257" i="3"/>
  <c r="BF256" i="3"/>
  <c r="BF255" i="3"/>
  <c r="BF254" i="3"/>
  <c r="BF253" i="3"/>
  <c r="BF252" i="3"/>
  <c r="BF251" i="3"/>
  <c r="BF250" i="3"/>
  <c r="BF249" i="3"/>
  <c r="BF248" i="3"/>
  <c r="BF247" i="3"/>
  <c r="BF246" i="3"/>
  <c r="BF245" i="3"/>
  <c r="BF244" i="3"/>
  <c r="BF243" i="3"/>
  <c r="BF242" i="3"/>
  <c r="BF241" i="3"/>
  <c r="BF240" i="3"/>
  <c r="BF239" i="3"/>
  <c r="BF238" i="3"/>
  <c r="BF237" i="3"/>
  <c r="BF236" i="3"/>
  <c r="BF235" i="3"/>
  <c r="BF234" i="3"/>
  <c r="BF233" i="3"/>
  <c r="BF232" i="3"/>
  <c r="BF231" i="3"/>
  <c r="BF230" i="3"/>
  <c r="BF229" i="3"/>
  <c r="BF228" i="3"/>
  <c r="BF227" i="3"/>
  <c r="BF226" i="3"/>
  <c r="BF225" i="3"/>
  <c r="BF224" i="3"/>
  <c r="BF223" i="3"/>
  <c r="BF222" i="3"/>
  <c r="BF221" i="3"/>
  <c r="BF220" i="3"/>
  <c r="BF219" i="3"/>
  <c r="BF218" i="3"/>
  <c r="BF217" i="3"/>
  <c r="BF216" i="3"/>
  <c r="BF215" i="3"/>
  <c r="BF214" i="3"/>
  <c r="BF213" i="3"/>
  <c r="BF212" i="3"/>
  <c r="BF211" i="3"/>
  <c r="BF210" i="3"/>
  <c r="BF209" i="3"/>
  <c r="BF208" i="3"/>
  <c r="BF207" i="3"/>
  <c r="BF206" i="3"/>
  <c r="BF205" i="3"/>
  <c r="BF204" i="3"/>
  <c r="BF203" i="3"/>
  <c r="BF202" i="3"/>
  <c r="BF201" i="3"/>
  <c r="BF200" i="3"/>
  <c r="BF199" i="3"/>
  <c r="BF198" i="3"/>
  <c r="BF197" i="3"/>
  <c r="BF196" i="3"/>
  <c r="BF195" i="3"/>
  <c r="BF194" i="3"/>
  <c r="BF193" i="3"/>
  <c r="BF192" i="3"/>
  <c r="BF191" i="3"/>
  <c r="BF190" i="3"/>
  <c r="BF189" i="3"/>
  <c r="BF188" i="3"/>
  <c r="BF187" i="3"/>
  <c r="BF186" i="3"/>
  <c r="BF185" i="3"/>
  <c r="BF184" i="3"/>
  <c r="BF183" i="3"/>
  <c r="BF182" i="3"/>
  <c r="BF181" i="3"/>
  <c r="BF180" i="3"/>
  <c r="BF179" i="3"/>
  <c r="BF178" i="3"/>
  <c r="BF177" i="3"/>
  <c r="BF176" i="3"/>
  <c r="BF175" i="3"/>
  <c r="BF174" i="3"/>
  <c r="BF173" i="3"/>
  <c r="BF172" i="3"/>
  <c r="BF171" i="3"/>
  <c r="BF170" i="3"/>
  <c r="BF169" i="3"/>
  <c r="BF168" i="3"/>
  <c r="BF167" i="3"/>
  <c r="BF166" i="3"/>
  <c r="BF165" i="3"/>
  <c r="BF164" i="3"/>
  <c r="BF163" i="3"/>
  <c r="BF162" i="3"/>
  <c r="BF161" i="3"/>
  <c r="BF160" i="3"/>
  <c r="BF159" i="3"/>
  <c r="BF158" i="3"/>
  <c r="BF157" i="3"/>
  <c r="BF156" i="3"/>
  <c r="BF155" i="3"/>
  <c r="BF154" i="3"/>
  <c r="BF153" i="3"/>
  <c r="BF152" i="3"/>
  <c r="BF151" i="3"/>
  <c r="BF150" i="3"/>
  <c r="BF149" i="3"/>
  <c r="BF148" i="3"/>
  <c r="BF147" i="3"/>
  <c r="BF146" i="3"/>
  <c r="BF145" i="3"/>
  <c r="BF144" i="3"/>
  <c r="BF143" i="3"/>
  <c r="BF142" i="3"/>
  <c r="BF141" i="3"/>
  <c r="BF140" i="3"/>
  <c r="BF139" i="3"/>
  <c r="BF138" i="3"/>
  <c r="BF137" i="3"/>
  <c r="BF136" i="3"/>
  <c r="BF135" i="3"/>
  <c r="BF134" i="3"/>
  <c r="BF133" i="3"/>
  <c r="BF132" i="3"/>
  <c r="BF131" i="3"/>
  <c r="BF130" i="3"/>
  <c r="BF129" i="3"/>
  <c r="BF128" i="3"/>
  <c r="BF127" i="3"/>
  <c r="BF126" i="3"/>
  <c r="BF125" i="3"/>
  <c r="BF124" i="3"/>
  <c r="BF123" i="3"/>
  <c r="BF122" i="3"/>
  <c r="BF121" i="3"/>
  <c r="BF120" i="3"/>
  <c r="BF119" i="3"/>
  <c r="BF118" i="3"/>
  <c r="BF117" i="3"/>
  <c r="BF116" i="3"/>
  <c r="BF115" i="3"/>
  <c r="BF114" i="3"/>
  <c r="BF113" i="3"/>
  <c r="BF112" i="3"/>
  <c r="BF111" i="3"/>
  <c r="BF110" i="3"/>
  <c r="BF109" i="3"/>
  <c r="BF108" i="3"/>
  <c r="BF107" i="3"/>
  <c r="BF106" i="3"/>
  <c r="BF105" i="3"/>
  <c r="BF104" i="3"/>
  <c r="BF103" i="3"/>
  <c r="BF102" i="3"/>
  <c r="BF101" i="3"/>
  <c r="BF100" i="3"/>
  <c r="BF99" i="3"/>
  <c r="BF98" i="3"/>
  <c r="BF97" i="3"/>
  <c r="BF96" i="3"/>
  <c r="BF95" i="3"/>
  <c r="BF94" i="3"/>
  <c r="BF93" i="3"/>
  <c r="BF92" i="3"/>
  <c r="BF91" i="3"/>
  <c r="BF90" i="3"/>
  <c r="BF89" i="3"/>
  <c r="BF88" i="3"/>
  <c r="BF87" i="3"/>
  <c r="BF86" i="3"/>
  <c r="BF85" i="3"/>
  <c r="BF84" i="3"/>
  <c r="BF83" i="3"/>
  <c r="BF82" i="3"/>
  <c r="BF81" i="3"/>
  <c r="BF80" i="3"/>
  <c r="BF79" i="3"/>
  <c r="BF78" i="3"/>
  <c r="BF77" i="3"/>
  <c r="BF76" i="3"/>
  <c r="BF75" i="3"/>
  <c r="BF74" i="3"/>
  <c r="BF73" i="3"/>
  <c r="BF72" i="3"/>
  <c r="BF71" i="3"/>
  <c r="BF70" i="3"/>
  <c r="BF69" i="3"/>
  <c r="BF68" i="3"/>
  <c r="BF67" i="3"/>
  <c r="BF66" i="3"/>
  <c r="BF65" i="3"/>
  <c r="BF64" i="3"/>
  <c r="BF63" i="3"/>
  <c r="BF62" i="3"/>
  <c r="BF61" i="3"/>
  <c r="BF60" i="3"/>
  <c r="BF59" i="3"/>
  <c r="BF58" i="3"/>
  <c r="BF57" i="3"/>
  <c r="BF56" i="3"/>
  <c r="BF55" i="3"/>
  <c r="BF54" i="3"/>
  <c r="BF53" i="3"/>
  <c r="BF52" i="3"/>
  <c r="BF51" i="3"/>
  <c r="BF50" i="3"/>
  <c r="BF49" i="3"/>
  <c r="BF48" i="3"/>
  <c r="BF47" i="3"/>
  <c r="BF46" i="3"/>
  <c r="BF45" i="3"/>
  <c r="BF44" i="3"/>
  <c r="BF43" i="3"/>
  <c r="BF42" i="3"/>
  <c r="BF41" i="3"/>
  <c r="BF40" i="3"/>
  <c r="BF39" i="3"/>
  <c r="BF38" i="3"/>
  <c r="BF37" i="3"/>
  <c r="BF36" i="3"/>
  <c r="BF35" i="3"/>
  <c r="BF34" i="3"/>
  <c r="BF33" i="3"/>
  <c r="BF32" i="3"/>
  <c r="BF31" i="3"/>
  <c r="BF30" i="3"/>
  <c r="BF29" i="3"/>
  <c r="BF28" i="3"/>
  <c r="BF27" i="3"/>
  <c r="BF26" i="3"/>
  <c r="BF25" i="3"/>
  <c r="BF24" i="3"/>
  <c r="BF23" i="3"/>
  <c r="BF22" i="3"/>
  <c r="BF21" i="3"/>
  <c r="BF20" i="3"/>
  <c r="BF19" i="3"/>
  <c r="BF18" i="3"/>
  <c r="BF17" i="3"/>
  <c r="BF16" i="3"/>
  <c r="BF15" i="3"/>
  <c r="BF14" i="3"/>
  <c r="BF13" i="3"/>
  <c r="BF12" i="3"/>
  <c r="BF11" i="3"/>
  <c r="BF10" i="3"/>
  <c r="BF9" i="3"/>
  <c r="BF8" i="3"/>
  <c r="BF7" i="3"/>
  <c r="BF6" i="3"/>
  <c r="BF5" i="3"/>
  <c r="AP5" i="3" l="1"/>
  <c r="AY4" i="10" l="1"/>
  <c r="AY5" i="10" s="1"/>
  <c r="AY6" i="10" s="1"/>
  <c r="AY7" i="10" s="1"/>
  <c r="AY8" i="10" s="1"/>
  <c r="AY9" i="10" s="1"/>
  <c r="AY10" i="10" s="1"/>
  <c r="AY11" i="10" s="1"/>
  <c r="AY12" i="10" s="1"/>
  <c r="AY13" i="10" s="1"/>
  <c r="AY14" i="10" s="1"/>
  <c r="AY15" i="10" s="1"/>
  <c r="AY16" i="10" s="1"/>
  <c r="AY17" i="10" s="1"/>
  <c r="AY18" i="10" s="1"/>
  <c r="AY19" i="10" s="1"/>
  <c r="AY20" i="10" s="1"/>
  <c r="AY21" i="10" s="1"/>
  <c r="AY22" i="10" s="1"/>
  <c r="AY23" i="10" s="1"/>
  <c r="AY24" i="10" s="1"/>
  <c r="AY25" i="10" s="1"/>
  <c r="AY26" i="10" s="1"/>
  <c r="AY27" i="10" s="1"/>
  <c r="AY28" i="10" s="1"/>
  <c r="AY29" i="10" s="1"/>
  <c r="AY30" i="10" s="1"/>
  <c r="AY31" i="10" s="1"/>
  <c r="AY32" i="10" s="1"/>
  <c r="AY33" i="10" s="1"/>
  <c r="AY34" i="10" s="1"/>
  <c r="AY35" i="10" s="1"/>
  <c r="AY36" i="10" s="1"/>
  <c r="AY37" i="10" s="1"/>
  <c r="AY38" i="10" s="1"/>
  <c r="AY39" i="10" s="1"/>
  <c r="AY40" i="10" s="1"/>
  <c r="AY41" i="10" s="1"/>
  <c r="AY42" i="10" s="1"/>
  <c r="AY43" i="10" s="1"/>
  <c r="AY44" i="10" s="1"/>
  <c r="AY45" i="10" s="1"/>
  <c r="AY46" i="10" s="1"/>
  <c r="AY47" i="10" s="1"/>
  <c r="AY48" i="10" s="1"/>
  <c r="AY49" i="10" s="1"/>
  <c r="AY50" i="10" s="1"/>
  <c r="AY51" i="10" s="1"/>
  <c r="AY52" i="10" s="1"/>
  <c r="M6" i="17"/>
  <c r="L6" i="17"/>
  <c r="BA4" i="10"/>
  <c r="BF4" i="10"/>
  <c r="BM3" i="10"/>
  <c r="BF3" i="10"/>
  <c r="BX3" i="10"/>
  <c r="BT3" i="10"/>
  <c r="BW3" i="10" s="1"/>
  <c r="BP3" i="10"/>
  <c r="BO3" i="10"/>
  <c r="BN3" i="10"/>
  <c r="BL3" i="10"/>
  <c r="BK3" i="10"/>
  <c r="BJ3" i="10"/>
  <c r="BI3" i="10"/>
  <c r="M4" i="17"/>
  <c r="CL4" i="3"/>
  <c r="CE5" i="3"/>
  <c r="R5" i="9"/>
  <c r="R5" i="17"/>
  <c r="BA3" i="10"/>
  <c r="BO2" i="10"/>
  <c r="BP2" i="10"/>
  <c r="BM2" i="10"/>
  <c r="BA2" i="10"/>
  <c r="AZ2" i="10"/>
  <c r="BX2" i="10"/>
  <c r="BR2" i="10"/>
  <c r="BN2" i="10"/>
  <c r="BL2" i="10"/>
  <c r="BK2" i="10"/>
  <c r="BJ2" i="10"/>
  <c r="BG2" i="10"/>
  <c r="BF2" i="10"/>
  <c r="BH2" i="10"/>
  <c r="BI2" i="10"/>
  <c r="N5" i="17"/>
  <c r="O5" i="17" s="1"/>
  <c r="O4" i="17" s="1"/>
  <c r="H4" i="17"/>
  <c r="G4" i="17"/>
  <c r="F4" i="17"/>
  <c r="AF290" i="3"/>
  <c r="AF289" i="3"/>
  <c r="AF288" i="3"/>
  <c r="AF287" i="3"/>
  <c r="AF286" i="3"/>
  <c r="AF285" i="3"/>
  <c r="AF284" i="3"/>
  <c r="AF283" i="3"/>
  <c r="AF282" i="3"/>
  <c r="AF281" i="3"/>
  <c r="AF280" i="3"/>
  <c r="AF279" i="3"/>
  <c r="AF278" i="3"/>
  <c r="AF277" i="3"/>
  <c r="AF276" i="3"/>
  <c r="AF275" i="3"/>
  <c r="AF274" i="3"/>
  <c r="AF273" i="3"/>
  <c r="AF272" i="3"/>
  <c r="AF271" i="3"/>
  <c r="AF270" i="3"/>
  <c r="AF269" i="3"/>
  <c r="AF268" i="3"/>
  <c r="AF267" i="3"/>
  <c r="AF265" i="3"/>
  <c r="AF264" i="3"/>
  <c r="AF263" i="3"/>
  <c r="AF262" i="3"/>
  <c r="AF261" i="3"/>
  <c r="AF260" i="3"/>
  <c r="AF259" i="3"/>
  <c r="AF258" i="3"/>
  <c r="AF257" i="3"/>
  <c r="AF256" i="3"/>
  <c r="AF255" i="3"/>
  <c r="AF254" i="3"/>
  <c r="AF253" i="3"/>
  <c r="AF252" i="3"/>
  <c r="AF251" i="3"/>
  <c r="AF250" i="3"/>
  <c r="AF249" i="3"/>
  <c r="AF247" i="3"/>
  <c r="AF246" i="3"/>
  <c r="AF245" i="3"/>
  <c r="AF244" i="3"/>
  <c r="AF243" i="3"/>
  <c r="AF242" i="3"/>
  <c r="AF241" i="3"/>
  <c r="AF240" i="3"/>
  <c r="AF238" i="3"/>
  <c r="AF237" i="3"/>
  <c r="AF236" i="3"/>
  <c r="AF235" i="3"/>
  <c r="AF234" i="3"/>
  <c r="AF233" i="3"/>
  <c r="AF232" i="3"/>
  <c r="AF231" i="3"/>
  <c r="AF230" i="3"/>
  <c r="AF229" i="3"/>
  <c r="AF228" i="3"/>
  <c r="AF227" i="3"/>
  <c r="AF226" i="3"/>
  <c r="AF225" i="3"/>
  <c r="AF224" i="3"/>
  <c r="AF223" i="3"/>
  <c r="AF222" i="3"/>
  <c r="AF221" i="3"/>
  <c r="AF220" i="3"/>
  <c r="AF219" i="3"/>
  <c r="AF218" i="3"/>
  <c r="AF217" i="3"/>
  <c r="AF216" i="3"/>
  <c r="AF215" i="3"/>
  <c r="AF213" i="3"/>
  <c r="AF212" i="3"/>
  <c r="AF211" i="3"/>
  <c r="AF209" i="3"/>
  <c r="AF208" i="3"/>
  <c r="AF207" i="3"/>
  <c r="AF206" i="3"/>
  <c r="AF205" i="3"/>
  <c r="AF204" i="3"/>
  <c r="AF203" i="3"/>
  <c r="AF202" i="3"/>
  <c r="AF201" i="3"/>
  <c r="AF200" i="3"/>
  <c r="AF199" i="3"/>
  <c r="AF198" i="3"/>
  <c r="AF197" i="3"/>
  <c r="AF196" i="3"/>
  <c r="AF195" i="3"/>
  <c r="AF194" i="3"/>
  <c r="AF193" i="3"/>
  <c r="AF192" i="3"/>
  <c r="AF191" i="3"/>
  <c r="AF190" i="3"/>
  <c r="AF189" i="3"/>
  <c r="AF188" i="3"/>
  <c r="AF187" i="3"/>
  <c r="AF186" i="3"/>
  <c r="AF185" i="3"/>
  <c r="AF184" i="3"/>
  <c r="AF183" i="3"/>
  <c r="AF182" i="3"/>
  <c r="AF181" i="3"/>
  <c r="AF180" i="3"/>
  <c r="AF179" i="3"/>
  <c r="AF178" i="3"/>
  <c r="AF177" i="3"/>
  <c r="AF176" i="3"/>
  <c r="AF175" i="3"/>
  <c r="AF174" i="3"/>
  <c r="AF173" i="3"/>
  <c r="AF172" i="3"/>
  <c r="AF171" i="3"/>
  <c r="AF170" i="3"/>
  <c r="AF169" i="3"/>
  <c r="AF168" i="3"/>
  <c r="AF167" i="3"/>
  <c r="AF166" i="3"/>
  <c r="AF165" i="3"/>
  <c r="AF164" i="3"/>
  <c r="AF163" i="3"/>
  <c r="AF162" i="3"/>
  <c r="AF161" i="3"/>
  <c r="AF160" i="3"/>
  <c r="AF159" i="3"/>
  <c r="AF158" i="3"/>
  <c r="AF157" i="3"/>
  <c r="AF156" i="3"/>
  <c r="AF155" i="3"/>
  <c r="AF154" i="3"/>
  <c r="AF153" i="3"/>
  <c r="AF152" i="3"/>
  <c r="AF151" i="3"/>
  <c r="AF150" i="3"/>
  <c r="AF149" i="3"/>
  <c r="AF148" i="3"/>
  <c r="AF147" i="3"/>
  <c r="AF146" i="3"/>
  <c r="AF145" i="3"/>
  <c r="AF144" i="3"/>
  <c r="AF143" i="3"/>
  <c r="AF142" i="3"/>
  <c r="AF141" i="3"/>
  <c r="AF140" i="3"/>
  <c r="AF139" i="3"/>
  <c r="AF138" i="3"/>
  <c r="AF137" i="3"/>
  <c r="AF136" i="3"/>
  <c r="AF135" i="3"/>
  <c r="AF134" i="3"/>
  <c r="AF133" i="3"/>
  <c r="AF132" i="3"/>
  <c r="AF131" i="3"/>
  <c r="AF130" i="3"/>
  <c r="AF129" i="3"/>
  <c r="AF128" i="3"/>
  <c r="AF127" i="3"/>
  <c r="AF126" i="3"/>
  <c r="AF125" i="3"/>
  <c r="AF124" i="3"/>
  <c r="AF123" i="3"/>
  <c r="AF122" i="3"/>
  <c r="AF121" i="3"/>
  <c r="AF120" i="3"/>
  <c r="AF119" i="3"/>
  <c r="AF118" i="3"/>
  <c r="AF117" i="3"/>
  <c r="AF116" i="3"/>
  <c r="AF115" i="3"/>
  <c r="AF114" i="3"/>
  <c r="AF113" i="3"/>
  <c r="AF112" i="3"/>
  <c r="AF111" i="3"/>
  <c r="AF110" i="3"/>
  <c r="AF109" i="3"/>
  <c r="AF108" i="3"/>
  <c r="AF107" i="3"/>
  <c r="AF106" i="3"/>
  <c r="AF105" i="3"/>
  <c r="AF104" i="3"/>
  <c r="AF103" i="3"/>
  <c r="AF102" i="3"/>
  <c r="AF101" i="3"/>
  <c r="AF100" i="3"/>
  <c r="AF99" i="3"/>
  <c r="AF98" i="3"/>
  <c r="AF97" i="3"/>
  <c r="AF96" i="3"/>
  <c r="AF95" i="3"/>
  <c r="AF94" i="3"/>
  <c r="AF93" i="3"/>
  <c r="AF92" i="3"/>
  <c r="AF91" i="3"/>
  <c r="AF90" i="3"/>
  <c r="AF89" i="3"/>
  <c r="AF88" i="3"/>
  <c r="AF87" i="3"/>
  <c r="AF86" i="3"/>
  <c r="AF85" i="3"/>
  <c r="AF84" i="3"/>
  <c r="AF83" i="3"/>
  <c r="AF82" i="3"/>
  <c r="AF81" i="3"/>
  <c r="AF80" i="3"/>
  <c r="AF79" i="3"/>
  <c r="AF78" i="3"/>
  <c r="AF77" i="3"/>
  <c r="AF76" i="3"/>
  <c r="AF75" i="3"/>
  <c r="AF74" i="3"/>
  <c r="AF73" i="3"/>
  <c r="AF71" i="3"/>
  <c r="AF70" i="3"/>
  <c r="AF69" i="3"/>
  <c r="AF68" i="3"/>
  <c r="AF67" i="3"/>
  <c r="AF66" i="3"/>
  <c r="AF65" i="3"/>
  <c r="AF64" i="3"/>
  <c r="AF63" i="3"/>
  <c r="AF62" i="3"/>
  <c r="AF61" i="3"/>
  <c r="AF60" i="3"/>
  <c r="AF59" i="3"/>
  <c r="AF58" i="3"/>
  <c r="AF57" i="3"/>
  <c r="AF55" i="3"/>
  <c r="AF54" i="3"/>
  <c r="AF53" i="3"/>
  <c r="AF52" i="3"/>
  <c r="AF51" i="3"/>
  <c r="AF50" i="3"/>
  <c r="AF49" i="3"/>
  <c r="AF47" i="3"/>
  <c r="AF46" i="3"/>
  <c r="AF45" i="3"/>
  <c r="AF44" i="3"/>
  <c r="AF43" i="3"/>
  <c r="AF42" i="3"/>
  <c r="AF41" i="3"/>
  <c r="AF40" i="3"/>
  <c r="AF39" i="3"/>
  <c r="AF38" i="3"/>
  <c r="AF37" i="3"/>
  <c r="AF36" i="3"/>
  <c r="AF34" i="3"/>
  <c r="AF33" i="3"/>
  <c r="AF32" i="3"/>
  <c r="AF31" i="3"/>
  <c r="AF30" i="3"/>
  <c r="AF29" i="3"/>
  <c r="AF28" i="3"/>
  <c r="AF26" i="3"/>
  <c r="AF25" i="3"/>
  <c r="AF24" i="3"/>
  <c r="AF23" i="3"/>
  <c r="AF22" i="3"/>
  <c r="AF21" i="3"/>
  <c r="AF20" i="3"/>
  <c r="AF19" i="3"/>
  <c r="AF18" i="3"/>
  <c r="AF17" i="3"/>
  <c r="AF16" i="3"/>
  <c r="AF15" i="3"/>
  <c r="AF14" i="3"/>
  <c r="AF13" i="3"/>
  <c r="AF12" i="3"/>
  <c r="AF11" i="3"/>
  <c r="AF10" i="3"/>
  <c r="AF9" i="3"/>
  <c r="AF8" i="3"/>
  <c r="AF7" i="3"/>
  <c r="AF6" i="3"/>
  <c r="AO4" i="3"/>
  <c r="F7" i="14"/>
  <c r="F8" i="14"/>
  <c r="F9" i="14"/>
  <c r="F10" i="14"/>
  <c r="F11" i="14"/>
  <c r="F12" i="14"/>
  <c r="F1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F62" i="14"/>
  <c r="F63" i="14"/>
  <c r="F64" i="14"/>
  <c r="F65" i="14"/>
  <c r="F66" i="14"/>
  <c r="F67" i="14"/>
  <c r="F68" i="14"/>
  <c r="F69" i="14"/>
  <c r="F70" i="14"/>
  <c r="F71" i="14"/>
  <c r="F72" i="14"/>
  <c r="F73" i="14"/>
  <c r="F74" i="14"/>
  <c r="F75" i="14"/>
  <c r="F76" i="14"/>
  <c r="F77" i="14"/>
  <c r="F78" i="14"/>
  <c r="F79" i="14"/>
  <c r="F80" i="14"/>
  <c r="F81" i="14"/>
  <c r="F82" i="14"/>
  <c r="F83" i="14"/>
  <c r="F84" i="14"/>
  <c r="F85" i="14"/>
  <c r="F86" i="14"/>
  <c r="F87" i="14"/>
  <c r="F88" i="14"/>
  <c r="F89" i="14"/>
  <c r="F90" i="14"/>
  <c r="F91" i="14"/>
  <c r="F92" i="14"/>
  <c r="F93" i="14"/>
  <c r="F94" i="14"/>
  <c r="F95" i="14"/>
  <c r="F96" i="14"/>
  <c r="F97" i="14"/>
  <c r="F98" i="14"/>
  <c r="F99" i="14"/>
  <c r="F100" i="14"/>
  <c r="F101" i="14"/>
  <c r="F102" i="14"/>
  <c r="F103" i="14"/>
  <c r="F104" i="14"/>
  <c r="F105" i="14"/>
  <c r="F106" i="14"/>
  <c r="F107" i="14"/>
  <c r="F108" i="14"/>
  <c r="F109" i="14"/>
  <c r="F110" i="14"/>
  <c r="F111" i="14"/>
  <c r="F112" i="14"/>
  <c r="F113" i="14"/>
  <c r="F114" i="14"/>
  <c r="F115" i="14"/>
  <c r="F116" i="14"/>
  <c r="F117" i="14"/>
  <c r="F118" i="14"/>
  <c r="F119" i="14"/>
  <c r="F120" i="14"/>
  <c r="F121" i="14"/>
  <c r="F122" i="14"/>
  <c r="F123" i="14"/>
  <c r="F124" i="14"/>
  <c r="F125" i="14"/>
  <c r="F126" i="14"/>
  <c r="F127" i="14"/>
  <c r="F128" i="14"/>
  <c r="F129" i="14"/>
  <c r="F130" i="14"/>
  <c r="F131" i="14"/>
  <c r="F132" i="14"/>
  <c r="F133" i="14"/>
  <c r="F134" i="14"/>
  <c r="F135" i="14"/>
  <c r="F136" i="14"/>
  <c r="F137" i="14"/>
  <c r="F138" i="14"/>
  <c r="F139" i="14"/>
  <c r="F140" i="14"/>
  <c r="F141" i="14"/>
  <c r="F142" i="14"/>
  <c r="F143" i="14"/>
  <c r="F144" i="14"/>
  <c r="F145" i="14"/>
  <c r="F146" i="14"/>
  <c r="F147" i="14"/>
  <c r="F148" i="14"/>
  <c r="F149" i="14"/>
  <c r="F150" i="14"/>
  <c r="F151" i="14"/>
  <c r="F152" i="14"/>
  <c r="F153" i="14"/>
  <c r="F154" i="14"/>
  <c r="F155" i="14"/>
  <c r="F156" i="14"/>
  <c r="F157" i="14"/>
  <c r="F158" i="14"/>
  <c r="F159" i="14"/>
  <c r="F160" i="14"/>
  <c r="F161" i="14"/>
  <c r="F162" i="14"/>
  <c r="F163" i="14"/>
  <c r="F164" i="14"/>
  <c r="F165" i="14"/>
  <c r="F166" i="14"/>
  <c r="F167" i="14"/>
  <c r="F168" i="14"/>
  <c r="F169" i="14"/>
  <c r="F170" i="14"/>
  <c r="F171" i="14"/>
  <c r="F172" i="14"/>
  <c r="F173" i="14"/>
  <c r="F174" i="14"/>
  <c r="F175" i="14"/>
  <c r="F176" i="14"/>
  <c r="F177" i="14"/>
  <c r="F178" i="14"/>
  <c r="F179" i="14"/>
  <c r="F180" i="14"/>
  <c r="F181" i="14"/>
  <c r="F182" i="14"/>
  <c r="F183" i="14"/>
  <c r="F184" i="14"/>
  <c r="F185" i="14"/>
  <c r="F186" i="14"/>
  <c r="F187" i="14"/>
  <c r="F188" i="14"/>
  <c r="F189" i="14"/>
  <c r="F190" i="14"/>
  <c r="F191" i="14"/>
  <c r="F192" i="14"/>
  <c r="F193" i="14"/>
  <c r="F194" i="14"/>
  <c r="F195" i="14"/>
  <c r="F196" i="14"/>
  <c r="F197" i="14"/>
  <c r="F198" i="14"/>
  <c r="F199" i="14"/>
  <c r="F200" i="14"/>
  <c r="F201" i="14"/>
  <c r="F202" i="14"/>
  <c r="F203" i="14"/>
  <c r="F204" i="14"/>
  <c r="F205" i="14"/>
  <c r="F206" i="14"/>
  <c r="F207" i="14"/>
  <c r="F208" i="14"/>
  <c r="F209" i="14"/>
  <c r="F210" i="14"/>
  <c r="F211" i="14"/>
  <c r="F212" i="14"/>
  <c r="F213" i="14"/>
  <c r="F214" i="14"/>
  <c r="F215" i="14"/>
  <c r="F216" i="14"/>
  <c r="F217" i="14"/>
  <c r="F218" i="14"/>
  <c r="F219" i="14"/>
  <c r="F220" i="14"/>
  <c r="F221" i="14"/>
  <c r="F222" i="14"/>
  <c r="F223" i="14"/>
  <c r="F224" i="14"/>
  <c r="F225" i="14"/>
  <c r="F226" i="14"/>
  <c r="F227" i="14"/>
  <c r="F228" i="14"/>
  <c r="F229" i="14"/>
  <c r="F230" i="14"/>
  <c r="F231" i="14"/>
  <c r="F232" i="14"/>
  <c r="F233" i="14"/>
  <c r="F234" i="14"/>
  <c r="F235" i="14"/>
  <c r="F236" i="14"/>
  <c r="F237" i="14"/>
  <c r="F238" i="14"/>
  <c r="F239" i="14"/>
  <c r="F240" i="14"/>
  <c r="F241" i="14"/>
  <c r="F242" i="14"/>
  <c r="F243" i="14"/>
  <c r="F244" i="14"/>
  <c r="F245" i="14"/>
  <c r="F246" i="14"/>
  <c r="F247" i="14"/>
  <c r="F248" i="14"/>
  <c r="F249" i="14"/>
  <c r="F250" i="14"/>
  <c r="F251" i="14"/>
  <c r="F252" i="14"/>
  <c r="F253" i="14"/>
  <c r="F254" i="14"/>
  <c r="F255" i="14"/>
  <c r="F256" i="14"/>
  <c r="F257" i="14"/>
  <c r="F258" i="14"/>
  <c r="F259" i="14"/>
  <c r="F260" i="14"/>
  <c r="F261" i="14"/>
  <c r="F262" i="14"/>
  <c r="F263" i="14"/>
  <c r="F264" i="14"/>
  <c r="F265" i="14"/>
  <c r="F266" i="14"/>
  <c r="F267" i="14"/>
  <c r="F268" i="14"/>
  <c r="F269" i="14"/>
  <c r="F270" i="14"/>
  <c r="F271" i="14"/>
  <c r="F272" i="14"/>
  <c r="F273" i="14"/>
  <c r="F274" i="14"/>
  <c r="F275" i="14"/>
  <c r="F276" i="14"/>
  <c r="F277" i="14"/>
  <c r="F278" i="14"/>
  <c r="F279" i="14"/>
  <c r="F280" i="14"/>
  <c r="F281" i="14"/>
  <c r="F282" i="14"/>
  <c r="F283" i="14"/>
  <c r="F284" i="14"/>
  <c r="F285" i="14"/>
  <c r="F286" i="14"/>
  <c r="F287" i="14"/>
  <c r="F288" i="14"/>
  <c r="F289" i="14"/>
  <c r="F290" i="14"/>
  <c r="F5" i="14"/>
  <c r="E4" i="14"/>
  <c r="B85" i="9"/>
  <c r="B10" i="9"/>
  <c r="E73" i="6"/>
  <c r="E76" i="6" s="1"/>
  <c r="B73" i="6"/>
  <c r="B76" i="6" s="1"/>
  <c r="H60" i="6"/>
  <c r="H63" i="6" s="1"/>
  <c r="E60" i="6"/>
  <c r="E63" i="6" s="1"/>
  <c r="B60" i="6"/>
  <c r="B63" i="6" s="1"/>
  <c r="H47" i="6"/>
  <c r="H50" i="6" s="1"/>
  <c r="E47" i="6"/>
  <c r="E50" i="6" s="1"/>
  <c r="B47" i="6"/>
  <c r="B50" i="6" s="1"/>
  <c r="H34" i="6"/>
  <c r="H37" i="6" s="1"/>
  <c r="E34" i="6"/>
  <c r="E37" i="6" s="1"/>
  <c r="B34" i="6"/>
  <c r="B37" i="6" s="1"/>
  <c r="H21" i="6"/>
  <c r="H24" i="6" s="1"/>
  <c r="E21" i="6"/>
  <c r="E24" i="6" s="1"/>
  <c r="B21" i="6"/>
  <c r="B24" i="6" s="1"/>
  <c r="H8" i="6"/>
  <c r="H11" i="6" s="1"/>
  <c r="E8" i="6"/>
  <c r="E11" i="6" s="1"/>
  <c r="B8" i="6"/>
  <c r="B11" i="6" s="1"/>
  <c r="AM290" i="3"/>
  <c r="AM289" i="3"/>
  <c r="AM288" i="3"/>
  <c r="AM287" i="3"/>
  <c r="AM286" i="3"/>
  <c r="AM285" i="3"/>
  <c r="AM284" i="3"/>
  <c r="AM283" i="3"/>
  <c r="AM282" i="3"/>
  <c r="AM281" i="3"/>
  <c r="AM280" i="3"/>
  <c r="AM279" i="3"/>
  <c r="AM278" i="3"/>
  <c r="AM277" i="3"/>
  <c r="AM276" i="3"/>
  <c r="AM275" i="3"/>
  <c r="AM274" i="3"/>
  <c r="AM273" i="3"/>
  <c r="AM272" i="3"/>
  <c r="AM271" i="3"/>
  <c r="AM270" i="3"/>
  <c r="AM269" i="3"/>
  <c r="AM268" i="3"/>
  <c r="AM267" i="3"/>
  <c r="AM266" i="3"/>
  <c r="AM265" i="3"/>
  <c r="AM264" i="3"/>
  <c r="AM263" i="3"/>
  <c r="AM262" i="3"/>
  <c r="AM261" i="3"/>
  <c r="AM260" i="3"/>
  <c r="AM259" i="3"/>
  <c r="AM258" i="3"/>
  <c r="AM257" i="3"/>
  <c r="AM256" i="3"/>
  <c r="AM255" i="3"/>
  <c r="AM254" i="3"/>
  <c r="AM253" i="3"/>
  <c r="AM252" i="3"/>
  <c r="AM251" i="3"/>
  <c r="AM250" i="3"/>
  <c r="AM249" i="3"/>
  <c r="AM248" i="3"/>
  <c r="AM247" i="3"/>
  <c r="AM246" i="3"/>
  <c r="AM245" i="3"/>
  <c r="AM244" i="3"/>
  <c r="AM243" i="3"/>
  <c r="AM242" i="3"/>
  <c r="AM241" i="3"/>
  <c r="AM240" i="3"/>
  <c r="AM239" i="3"/>
  <c r="AM238" i="3"/>
  <c r="AM237" i="3"/>
  <c r="AM236" i="3"/>
  <c r="AM235" i="3"/>
  <c r="AM234" i="3"/>
  <c r="AM233" i="3"/>
  <c r="AM232" i="3"/>
  <c r="AM231" i="3"/>
  <c r="AM230" i="3"/>
  <c r="AM229" i="3"/>
  <c r="AM228" i="3"/>
  <c r="AM227" i="3"/>
  <c r="AM226" i="3"/>
  <c r="AM225" i="3"/>
  <c r="AM224" i="3"/>
  <c r="AM223" i="3"/>
  <c r="AM222" i="3"/>
  <c r="AM221" i="3"/>
  <c r="AM220" i="3"/>
  <c r="AM219" i="3"/>
  <c r="AM218" i="3"/>
  <c r="AM217" i="3"/>
  <c r="AM216" i="3"/>
  <c r="AM215" i="3"/>
  <c r="E77" i="6"/>
  <c r="AM214" i="3"/>
  <c r="AM213" i="3"/>
  <c r="AM212" i="3"/>
  <c r="AM211" i="3"/>
  <c r="AM210" i="3"/>
  <c r="AM209" i="3"/>
  <c r="AM208" i="3"/>
  <c r="AM207" i="3"/>
  <c r="AM206" i="3"/>
  <c r="AM205" i="3"/>
  <c r="AM204" i="3"/>
  <c r="AM203" i="3"/>
  <c r="AM202" i="3"/>
  <c r="AM201" i="3"/>
  <c r="AM200" i="3"/>
  <c r="AM199" i="3"/>
  <c r="AM198" i="3"/>
  <c r="AM197" i="3"/>
  <c r="AM196" i="3"/>
  <c r="AM195" i="3"/>
  <c r="AM194" i="3"/>
  <c r="AM193" i="3"/>
  <c r="AM192" i="3"/>
  <c r="AM191" i="3"/>
  <c r="AM190" i="3"/>
  <c r="AM189" i="3"/>
  <c r="AM188" i="3"/>
  <c r="AM187" i="3"/>
  <c r="AM186" i="3"/>
  <c r="AM185" i="3"/>
  <c r="AM184" i="3"/>
  <c r="AM183" i="3"/>
  <c r="AM182" i="3"/>
  <c r="AM181" i="3"/>
  <c r="AM180" i="3"/>
  <c r="AM179" i="3"/>
  <c r="AM178" i="3"/>
  <c r="AM177" i="3"/>
  <c r="AM176" i="3"/>
  <c r="AM175" i="3"/>
  <c r="AM174" i="3"/>
  <c r="AM173" i="3"/>
  <c r="AM172" i="3"/>
  <c r="AM171" i="3"/>
  <c r="AM170" i="3"/>
  <c r="AM169" i="3"/>
  <c r="AM168" i="3"/>
  <c r="AM167" i="3"/>
  <c r="AM166" i="3"/>
  <c r="AM165" i="3"/>
  <c r="AM164" i="3"/>
  <c r="AM163" i="3"/>
  <c r="AM162" i="3"/>
  <c r="AM161" i="3"/>
  <c r="AM160" i="3"/>
  <c r="AM159" i="3"/>
  <c r="AM158" i="3"/>
  <c r="AM157" i="3"/>
  <c r="AM156" i="3"/>
  <c r="AM155" i="3"/>
  <c r="AM154" i="3"/>
  <c r="AM153" i="3"/>
  <c r="AM152" i="3"/>
  <c r="AM151" i="3"/>
  <c r="AM150" i="3"/>
  <c r="AM149" i="3"/>
  <c r="AM148" i="3"/>
  <c r="AM147" i="3"/>
  <c r="AM146" i="3"/>
  <c r="AM145" i="3"/>
  <c r="AM144" i="3"/>
  <c r="AM143" i="3"/>
  <c r="AM142" i="3"/>
  <c r="AM141" i="3"/>
  <c r="AM140" i="3"/>
  <c r="AM139" i="3"/>
  <c r="AM138" i="3"/>
  <c r="AM137" i="3"/>
  <c r="AM136" i="3"/>
  <c r="AM135" i="3"/>
  <c r="AM134" i="3"/>
  <c r="AM133" i="3"/>
  <c r="AM132" i="3"/>
  <c r="AM131" i="3"/>
  <c r="AM130" i="3"/>
  <c r="AM129" i="3"/>
  <c r="AM128" i="3"/>
  <c r="AM127" i="3"/>
  <c r="AM126" i="3"/>
  <c r="AM125" i="3"/>
  <c r="AM124" i="3"/>
  <c r="AM123" i="3"/>
  <c r="AM122" i="3"/>
  <c r="AM121" i="3"/>
  <c r="AM120" i="3"/>
  <c r="AM119" i="3"/>
  <c r="AM118" i="3"/>
  <c r="AM117" i="3"/>
  <c r="AM116" i="3"/>
  <c r="AM115" i="3"/>
  <c r="AM114" i="3"/>
  <c r="AM113" i="3"/>
  <c r="AM112" i="3"/>
  <c r="AM111" i="3"/>
  <c r="AM110" i="3"/>
  <c r="AM109" i="3"/>
  <c r="AM108" i="3"/>
  <c r="AM107" i="3"/>
  <c r="AM106" i="3"/>
  <c r="AM105" i="3"/>
  <c r="AM104" i="3"/>
  <c r="AM103" i="3"/>
  <c r="AM102" i="3"/>
  <c r="AM101" i="3"/>
  <c r="AM100" i="3"/>
  <c r="AM99" i="3"/>
  <c r="AM98" i="3"/>
  <c r="AM97" i="3"/>
  <c r="AM96" i="3"/>
  <c r="AM95" i="3"/>
  <c r="AM94" i="3"/>
  <c r="AM93" i="3"/>
  <c r="AM92" i="3"/>
  <c r="AM91" i="3"/>
  <c r="AM90" i="3"/>
  <c r="AM89" i="3"/>
  <c r="B12" i="6"/>
  <c r="AM88" i="3"/>
  <c r="AM87" i="3"/>
  <c r="AM86" i="3"/>
  <c r="B51" i="6"/>
  <c r="AM85" i="3"/>
  <c r="AM84" i="3"/>
  <c r="AM83" i="3"/>
  <c r="AM82" i="3"/>
  <c r="AM81" i="3"/>
  <c r="AM80" i="3"/>
  <c r="AM79" i="3"/>
  <c r="AM78" i="3"/>
  <c r="AM77" i="3"/>
  <c r="AM76" i="3"/>
  <c r="AM75" i="3"/>
  <c r="AM74" i="3"/>
  <c r="AM73" i="3"/>
  <c r="AM72" i="3"/>
  <c r="AM71" i="3"/>
  <c r="AM70" i="3"/>
  <c r="AM69" i="3"/>
  <c r="AM68" i="3"/>
  <c r="AM67" i="3"/>
  <c r="AM66" i="3"/>
  <c r="AM65" i="3"/>
  <c r="AM64" i="3"/>
  <c r="AM63" i="3"/>
  <c r="AM62" i="3"/>
  <c r="AM61" i="3"/>
  <c r="AM60" i="3"/>
  <c r="AM59" i="3"/>
  <c r="AM58" i="3"/>
  <c r="AM57" i="3"/>
  <c r="AM56" i="3"/>
  <c r="AM55" i="3"/>
  <c r="AM54" i="3"/>
  <c r="AM53" i="3"/>
  <c r="AM52" i="3"/>
  <c r="AM51" i="3"/>
  <c r="AM50" i="3"/>
  <c r="AM49" i="3"/>
  <c r="AM48" i="3"/>
  <c r="AM47" i="3"/>
  <c r="AM46" i="3"/>
  <c r="AM45" i="3"/>
  <c r="AM44" i="3"/>
  <c r="B77" i="6"/>
  <c r="AM42" i="3"/>
  <c r="AM41" i="3"/>
  <c r="AM40" i="3"/>
  <c r="AM39" i="3"/>
  <c r="AM38" i="3"/>
  <c r="AM37" i="3"/>
  <c r="AM36" i="3"/>
  <c r="AM35" i="3"/>
  <c r="AM34" i="3"/>
  <c r="AM33" i="3"/>
  <c r="AM32" i="3"/>
  <c r="AM31" i="3"/>
  <c r="AM30" i="3"/>
  <c r="E64" i="6"/>
  <c r="AM29" i="3"/>
  <c r="AM28" i="3"/>
  <c r="AM27" i="3"/>
  <c r="AM26" i="3"/>
  <c r="AM25" i="3"/>
  <c r="AM24" i="3"/>
  <c r="AM23" i="3"/>
  <c r="AM22" i="3"/>
  <c r="AM21" i="3"/>
  <c r="AM20" i="3"/>
  <c r="AM19" i="3"/>
  <c r="H64" i="6"/>
  <c r="AM18" i="3"/>
  <c r="B64" i="6"/>
  <c r="AM17" i="3"/>
  <c r="H51" i="6"/>
  <c r="AM16" i="3"/>
  <c r="E51" i="6"/>
  <c r="AM15" i="3"/>
  <c r="E38" i="6"/>
  <c r="AM14" i="3"/>
  <c r="B38" i="6"/>
  <c r="AM13" i="3"/>
  <c r="H25" i="6"/>
  <c r="AM12" i="3"/>
  <c r="E25" i="6"/>
  <c r="AM11" i="3"/>
  <c r="B25" i="6"/>
  <c r="AM10" i="3"/>
  <c r="H12" i="6"/>
  <c r="AM9" i="3"/>
  <c r="E12" i="6"/>
  <c r="AM8" i="3"/>
  <c r="AM7" i="3"/>
  <c r="AM6" i="3"/>
  <c r="BA5" i="3"/>
  <c r="CK4" i="3"/>
  <c r="CJ4" i="3"/>
  <c r="CA4" i="3"/>
  <c r="BF4" i="3"/>
  <c r="H38" i="6"/>
  <c r="AY53" i="10" l="1"/>
  <c r="AY54" i="10" s="1"/>
  <c r="AY55" i="10" s="1"/>
  <c r="AY56" i="10" s="1"/>
  <c r="AY57" i="10" s="1"/>
  <c r="AY58" i="10" s="1"/>
  <c r="AY59" i="10" s="1"/>
  <c r="AY60" i="10" s="1"/>
  <c r="AY61" i="10" s="1"/>
  <c r="AY62" i="10" s="1"/>
  <c r="AY63" i="10" s="1"/>
  <c r="AY64" i="10" s="1"/>
  <c r="AY65" i="10" s="1"/>
  <c r="AY66" i="10" s="1"/>
  <c r="AY67" i="10" s="1"/>
  <c r="AY68" i="10" s="1"/>
  <c r="AY69" i="10" s="1"/>
  <c r="AY70" i="10" s="1"/>
  <c r="AY71" i="10" s="1"/>
  <c r="AY72" i="10" s="1"/>
  <c r="AY73" i="10" s="1"/>
  <c r="AY74" i="10" s="1"/>
  <c r="AY75" i="10" s="1"/>
  <c r="AY76" i="10" s="1"/>
  <c r="AY77" i="10" s="1"/>
  <c r="AY78" i="10" s="1"/>
  <c r="AY79" i="10" s="1"/>
  <c r="AY80" i="10" s="1"/>
  <c r="AY81" i="10" s="1"/>
  <c r="AY82" i="10" s="1"/>
  <c r="AY83" i="10" s="1"/>
  <c r="AY84" i="10" s="1"/>
  <c r="AY85" i="10" s="1"/>
  <c r="AY86" i="10" s="1"/>
  <c r="AY87" i="10" s="1"/>
  <c r="AY88" i="10" s="1"/>
  <c r="AY89" i="10" s="1"/>
  <c r="AY90" i="10" s="1"/>
  <c r="AY91" i="10" s="1"/>
  <c r="AY92" i="10" s="1"/>
  <c r="AY93" i="10" s="1"/>
  <c r="AY94" i="10" s="1"/>
  <c r="AY95" i="10" s="1"/>
  <c r="AY96" i="10" s="1"/>
  <c r="AY97" i="10" s="1"/>
  <c r="AY98" i="10" s="1"/>
  <c r="AY99" i="10" s="1"/>
  <c r="AY100" i="10" s="1"/>
  <c r="AY101" i="10" s="1"/>
  <c r="AY102" i="10" s="1"/>
  <c r="AY103" i="10" s="1"/>
  <c r="AY104" i="10" s="1"/>
  <c r="AY105" i="10" s="1"/>
  <c r="AY106" i="10" s="1"/>
  <c r="AY107" i="10" s="1"/>
  <c r="AY108" i="10" s="1"/>
  <c r="AY109" i="10" s="1"/>
  <c r="AY110" i="10" s="1"/>
  <c r="AY111" i="10" s="1"/>
  <c r="AY112" i="10" s="1"/>
  <c r="AY113" i="10" s="1"/>
  <c r="AY114" i="10" s="1"/>
  <c r="AY115" i="10" s="1"/>
  <c r="AY116" i="10" s="1"/>
  <c r="AY117" i="10" s="1"/>
  <c r="AY118" i="10" s="1"/>
  <c r="AY119" i="10" s="1"/>
  <c r="AY120" i="10" s="1"/>
  <c r="AY121" i="10" s="1"/>
  <c r="AY122" i="10" s="1"/>
  <c r="AY123" i="10" s="1"/>
  <c r="AY124" i="10" s="1"/>
  <c r="AY125" i="10" s="1"/>
  <c r="AY126" i="10" s="1"/>
  <c r="AY127" i="10" s="1"/>
  <c r="AY128" i="10" s="1"/>
  <c r="AY129" i="10" s="1"/>
  <c r="AY130" i="10" s="1"/>
  <c r="AY131" i="10" s="1"/>
  <c r="AY132" i="10" s="1"/>
  <c r="AY133" i="10" s="1"/>
  <c r="AY134" i="10" s="1"/>
  <c r="AY135" i="10" s="1"/>
  <c r="AY136" i="10" s="1"/>
  <c r="AY137" i="10" s="1"/>
  <c r="AY138" i="10" s="1"/>
  <c r="AY139" i="10" s="1"/>
  <c r="AY140" i="10" s="1"/>
  <c r="AY141" i="10" s="1"/>
  <c r="AY142" i="10" s="1"/>
  <c r="AY143" i="10" s="1"/>
  <c r="AY144" i="10" s="1"/>
  <c r="AY145" i="10" s="1"/>
  <c r="AY146" i="10" s="1"/>
  <c r="AY147" i="10" s="1"/>
  <c r="AY148" i="10" s="1"/>
  <c r="AY149" i="10" s="1"/>
  <c r="AY150" i="10" s="1"/>
  <c r="AY151" i="10" s="1"/>
  <c r="AY152" i="10" s="1"/>
  <c r="AY153" i="10" s="1"/>
  <c r="AY154" i="10" s="1"/>
  <c r="AY155" i="10" s="1"/>
  <c r="AY156" i="10" s="1"/>
  <c r="AY157" i="10" s="1"/>
  <c r="AY158" i="10" s="1"/>
  <c r="AY159" i="10" s="1"/>
  <c r="AY160" i="10" s="1"/>
  <c r="AY161" i="10" s="1"/>
  <c r="AY162" i="10" s="1"/>
  <c r="AY163" i="10" s="1"/>
  <c r="AY164" i="10" s="1"/>
  <c r="AY165" i="10" s="1"/>
  <c r="AY166" i="10" s="1"/>
  <c r="AY167" i="10" s="1"/>
  <c r="AY168" i="10" s="1"/>
  <c r="AY169" i="10" s="1"/>
  <c r="AY170" i="10" s="1"/>
  <c r="AY171" i="10" s="1"/>
  <c r="AY172" i="10" s="1"/>
  <c r="AY173" i="10" s="1"/>
  <c r="AY174" i="10" s="1"/>
  <c r="AY175" i="10" s="1"/>
  <c r="AY176" i="10" s="1"/>
  <c r="AY177" i="10" s="1"/>
  <c r="AY178" i="10" s="1"/>
  <c r="AY179" i="10" s="1"/>
  <c r="AY180" i="10" s="1"/>
  <c r="AY181" i="10" s="1"/>
  <c r="AY182" i="10" s="1"/>
  <c r="AY183" i="10" s="1"/>
  <c r="AY184" i="10" s="1"/>
  <c r="AY185" i="10" s="1"/>
  <c r="AY186" i="10" s="1"/>
  <c r="AY187" i="10" s="1"/>
  <c r="AY188" i="10" s="1"/>
  <c r="AY189" i="10" s="1"/>
  <c r="AY190" i="10" s="1"/>
  <c r="AY191" i="10" s="1"/>
  <c r="AY192" i="10" s="1"/>
  <c r="AY193" i="10" s="1"/>
  <c r="AY194" i="10" s="1"/>
  <c r="AY195" i="10" s="1"/>
  <c r="AY196" i="10" s="1"/>
  <c r="AY197" i="10" s="1"/>
  <c r="AY198" i="10" s="1"/>
  <c r="AY199" i="10" s="1"/>
  <c r="AY200" i="10" s="1"/>
  <c r="AY201" i="10" s="1"/>
  <c r="AY202" i="10" s="1"/>
  <c r="AY203" i="10" s="1"/>
  <c r="AY204" i="10" s="1"/>
  <c r="AY205" i="10" s="1"/>
  <c r="AY206" i="10" s="1"/>
  <c r="AY207" i="10" s="1"/>
  <c r="AY208" i="10" s="1"/>
  <c r="AY209" i="10" s="1"/>
  <c r="AY210" i="10" s="1"/>
  <c r="AY211" i="10" s="1"/>
  <c r="AY212" i="10" s="1"/>
  <c r="AY213" i="10" s="1"/>
  <c r="AY214" i="10" s="1"/>
  <c r="AY215" i="10" s="1"/>
  <c r="AY216" i="10" s="1"/>
  <c r="AY217" i="10" s="1"/>
  <c r="AY218" i="10" s="1"/>
  <c r="AY219" i="10" s="1"/>
  <c r="AY220" i="10" s="1"/>
  <c r="AY221" i="10" s="1"/>
  <c r="AY222" i="10" s="1"/>
  <c r="AY223" i="10" s="1"/>
  <c r="AY224" i="10" s="1"/>
  <c r="AY225" i="10" s="1"/>
  <c r="AY226" i="10" s="1"/>
  <c r="AY227" i="10" s="1"/>
  <c r="AY228" i="10" s="1"/>
  <c r="AY229" i="10" s="1"/>
  <c r="AY230" i="10" s="1"/>
  <c r="AY231" i="10" s="1"/>
  <c r="AY232" i="10" s="1"/>
  <c r="AY233" i="10" s="1"/>
  <c r="AY234" i="10" s="1"/>
  <c r="AY235" i="10" s="1"/>
  <c r="AY236" i="10" s="1"/>
  <c r="AY237" i="10" s="1"/>
  <c r="AY238" i="10" s="1"/>
  <c r="AY239" i="10" s="1"/>
  <c r="AY240" i="10" s="1"/>
  <c r="AY241" i="10" s="1"/>
  <c r="AY242" i="10" s="1"/>
  <c r="AY243" i="10" s="1"/>
  <c r="AY244" i="10" s="1"/>
  <c r="AY245" i="10" s="1"/>
  <c r="AY246" i="10" s="1"/>
  <c r="AY247" i="10" s="1"/>
  <c r="AY248" i="10" s="1"/>
  <c r="AY249" i="10" s="1"/>
  <c r="AY250" i="10" s="1"/>
  <c r="AY251" i="10" s="1"/>
  <c r="AY252" i="10" s="1"/>
  <c r="AY253" i="10" s="1"/>
  <c r="AY254" i="10" s="1"/>
  <c r="AY255" i="10" s="1"/>
  <c r="AY256" i="10" s="1"/>
  <c r="AY257" i="10" s="1"/>
  <c r="AY258" i="10" s="1"/>
  <c r="AY259" i="10" s="1"/>
  <c r="AY260" i="10" s="1"/>
  <c r="AY261" i="10" s="1"/>
  <c r="AY262" i="10" s="1"/>
  <c r="AY263" i="10" s="1"/>
  <c r="AY264" i="10" s="1"/>
  <c r="AY265" i="10" s="1"/>
  <c r="AY266" i="10" s="1"/>
  <c r="AY267" i="10" s="1"/>
  <c r="AY268" i="10" s="1"/>
  <c r="AY269" i="10" s="1"/>
  <c r="AY270" i="10" s="1"/>
  <c r="AY271" i="10" s="1"/>
  <c r="AY272" i="10" s="1"/>
  <c r="AY273" i="10" s="1"/>
  <c r="AY274" i="10" s="1"/>
  <c r="AY275" i="10" s="1"/>
  <c r="AY276" i="10" s="1"/>
  <c r="AY277" i="10" s="1"/>
  <c r="AY278" i="10" s="1"/>
  <c r="AY279" i="10" s="1"/>
  <c r="AY280" i="10" s="1"/>
  <c r="AY281" i="10" s="1"/>
  <c r="AY282" i="10" s="1"/>
  <c r="AY283" i="10" s="1"/>
  <c r="AY284" i="10" s="1"/>
  <c r="AY285" i="10" s="1"/>
  <c r="AY286" i="10" s="1"/>
  <c r="AY287" i="10" s="1"/>
  <c r="AY288" i="10" s="1"/>
  <c r="AY290" i="10" s="1"/>
  <c r="AY26" i="3"/>
  <c r="AY104" i="3"/>
  <c r="F58" i="23"/>
  <c r="J58" i="23"/>
  <c r="F16" i="23"/>
  <c r="J16" i="23"/>
  <c r="F24" i="23"/>
  <c r="J24" i="23"/>
  <c r="F33" i="23"/>
  <c r="J33" i="23"/>
  <c r="F42" i="23"/>
  <c r="J42" i="23"/>
  <c r="F85" i="23"/>
  <c r="J85" i="23"/>
  <c r="F93" i="23"/>
  <c r="J93" i="23"/>
  <c r="F101" i="23"/>
  <c r="J101" i="23"/>
  <c r="F109" i="23"/>
  <c r="J109" i="23"/>
  <c r="F117" i="23"/>
  <c r="J117" i="23"/>
  <c r="F125" i="23"/>
  <c r="J125" i="23"/>
  <c r="F133" i="23"/>
  <c r="J133" i="23"/>
  <c r="F141" i="23"/>
  <c r="J141" i="23"/>
  <c r="F149" i="23"/>
  <c r="J149" i="23"/>
  <c r="F157" i="23"/>
  <c r="J157" i="23"/>
  <c r="F165" i="23"/>
  <c r="J165" i="23"/>
  <c r="F173" i="23"/>
  <c r="J173" i="23"/>
  <c r="F181" i="23"/>
  <c r="J181" i="23"/>
  <c r="F189" i="23"/>
  <c r="J189" i="23"/>
  <c r="F197" i="23"/>
  <c r="J197" i="23"/>
  <c r="F205" i="23"/>
  <c r="J205" i="23"/>
  <c r="F215" i="23"/>
  <c r="J215" i="23"/>
  <c r="F223" i="23"/>
  <c r="J223" i="23"/>
  <c r="F231" i="23"/>
  <c r="J231" i="23"/>
  <c r="F240" i="23"/>
  <c r="J240" i="23"/>
  <c r="F249" i="23"/>
  <c r="J249" i="23"/>
  <c r="F257" i="23"/>
  <c r="J257" i="23"/>
  <c r="F265" i="23"/>
  <c r="J265" i="23"/>
  <c r="F274" i="23"/>
  <c r="J274" i="23"/>
  <c r="F282" i="23"/>
  <c r="J282" i="23"/>
  <c r="F290" i="23"/>
  <c r="J290" i="23"/>
  <c r="F31" i="23"/>
  <c r="J31" i="23"/>
  <c r="F60" i="23"/>
  <c r="J60" i="23"/>
  <c r="F9" i="23"/>
  <c r="J9" i="23"/>
  <c r="F17" i="23"/>
  <c r="J17" i="23"/>
  <c r="F25" i="23"/>
  <c r="J25" i="23"/>
  <c r="F34" i="23"/>
  <c r="J34" i="23"/>
  <c r="F43" i="23"/>
  <c r="J43" i="23"/>
  <c r="F52" i="23"/>
  <c r="J52" i="23"/>
  <c r="F61" i="23"/>
  <c r="J61" i="23"/>
  <c r="F69" i="23"/>
  <c r="J69" i="23"/>
  <c r="F78" i="23"/>
  <c r="J78" i="23"/>
  <c r="F86" i="23"/>
  <c r="J86" i="23"/>
  <c r="F94" i="23"/>
  <c r="J94" i="23"/>
  <c r="F102" i="23"/>
  <c r="J102" i="23"/>
  <c r="F110" i="23"/>
  <c r="J110" i="23"/>
  <c r="F118" i="23"/>
  <c r="J118" i="23"/>
  <c r="F126" i="23"/>
  <c r="J126" i="23"/>
  <c r="F134" i="23"/>
  <c r="J134" i="23"/>
  <c r="F142" i="23"/>
  <c r="J142" i="23"/>
  <c r="F150" i="23"/>
  <c r="J150" i="23"/>
  <c r="F158" i="23"/>
  <c r="J158" i="23"/>
  <c r="F166" i="23"/>
  <c r="J166" i="23"/>
  <c r="F174" i="23"/>
  <c r="J174" i="23"/>
  <c r="F182" i="23"/>
  <c r="J182" i="23"/>
  <c r="F190" i="23"/>
  <c r="J190" i="23"/>
  <c r="F198" i="23"/>
  <c r="J198" i="23"/>
  <c r="F206" i="23"/>
  <c r="J206" i="23"/>
  <c r="F216" i="23"/>
  <c r="J216" i="23"/>
  <c r="F224" i="23"/>
  <c r="J224" i="23"/>
  <c r="F232" i="23"/>
  <c r="J232" i="23"/>
  <c r="F241" i="23"/>
  <c r="J241" i="23"/>
  <c r="F250" i="23"/>
  <c r="J250" i="23"/>
  <c r="F258" i="23"/>
  <c r="J258" i="23"/>
  <c r="F267" i="23"/>
  <c r="J267" i="23"/>
  <c r="F275" i="23"/>
  <c r="J275" i="23"/>
  <c r="F283" i="23"/>
  <c r="J283" i="23"/>
  <c r="F8" i="23"/>
  <c r="J8" i="23"/>
  <c r="F68" i="23"/>
  <c r="J68" i="23"/>
  <c r="F10" i="23"/>
  <c r="J10" i="23"/>
  <c r="F18" i="23"/>
  <c r="J18" i="23"/>
  <c r="F26" i="23"/>
  <c r="J26" i="23"/>
  <c r="F36" i="23"/>
  <c r="J36" i="23"/>
  <c r="F44" i="23"/>
  <c r="J44" i="23"/>
  <c r="F53" i="23"/>
  <c r="J53" i="23"/>
  <c r="F62" i="23"/>
  <c r="J62" i="23"/>
  <c r="F70" i="23"/>
  <c r="J70" i="23"/>
  <c r="F79" i="23"/>
  <c r="J79" i="23"/>
  <c r="F87" i="23"/>
  <c r="J87" i="23"/>
  <c r="F95" i="23"/>
  <c r="J95" i="23"/>
  <c r="F103" i="23"/>
  <c r="J103" i="23"/>
  <c r="F111" i="23"/>
  <c r="J111" i="23"/>
  <c r="F119" i="23"/>
  <c r="J119" i="23"/>
  <c r="F127" i="23"/>
  <c r="J127" i="23"/>
  <c r="F135" i="23"/>
  <c r="J135" i="23"/>
  <c r="F143" i="23"/>
  <c r="J143" i="23"/>
  <c r="F151" i="23"/>
  <c r="J151" i="23"/>
  <c r="F159" i="23"/>
  <c r="J159" i="23"/>
  <c r="F167" i="23"/>
  <c r="J167" i="23"/>
  <c r="F175" i="23"/>
  <c r="J175" i="23"/>
  <c r="F183" i="23"/>
  <c r="J183" i="23"/>
  <c r="F191" i="23"/>
  <c r="J191" i="23"/>
  <c r="F199" i="23"/>
  <c r="J199" i="23"/>
  <c r="F207" i="23"/>
  <c r="J207" i="23"/>
  <c r="F217" i="23"/>
  <c r="J217" i="23"/>
  <c r="F225" i="23"/>
  <c r="J225" i="23"/>
  <c r="F233" i="23"/>
  <c r="J233" i="23"/>
  <c r="F242" i="23"/>
  <c r="J242" i="23"/>
  <c r="F251" i="23"/>
  <c r="J251" i="23"/>
  <c r="F259" i="23"/>
  <c r="J259" i="23"/>
  <c r="F268" i="23"/>
  <c r="J268" i="23"/>
  <c r="F276" i="23"/>
  <c r="J276" i="23"/>
  <c r="F284" i="23"/>
  <c r="J284" i="23"/>
  <c r="F22" i="23"/>
  <c r="J22" i="23"/>
  <c r="F77" i="23"/>
  <c r="J77" i="23"/>
  <c r="F11" i="23"/>
  <c r="J11" i="23"/>
  <c r="F19" i="23"/>
  <c r="J19" i="23"/>
  <c r="F28" i="23"/>
  <c r="J28" i="23"/>
  <c r="F37" i="23"/>
  <c r="J37" i="23"/>
  <c r="F45" i="23"/>
  <c r="J45" i="23"/>
  <c r="F54" i="23"/>
  <c r="J54" i="23"/>
  <c r="F63" i="23"/>
  <c r="J63" i="23"/>
  <c r="F71" i="23"/>
  <c r="J71" i="23"/>
  <c r="F80" i="23"/>
  <c r="J80" i="23"/>
  <c r="F88" i="23"/>
  <c r="J88" i="23"/>
  <c r="F96" i="23"/>
  <c r="J96" i="23"/>
  <c r="F104" i="23"/>
  <c r="J104" i="23"/>
  <c r="F112" i="23"/>
  <c r="J112" i="23"/>
  <c r="F120" i="23"/>
  <c r="J120" i="23"/>
  <c r="F128" i="23"/>
  <c r="J128" i="23"/>
  <c r="F136" i="23"/>
  <c r="J136" i="23"/>
  <c r="F144" i="23"/>
  <c r="J144" i="23"/>
  <c r="F152" i="23"/>
  <c r="J152" i="23"/>
  <c r="F160" i="23"/>
  <c r="J160" i="23"/>
  <c r="F168" i="23"/>
  <c r="J168" i="23"/>
  <c r="F176" i="23"/>
  <c r="J176" i="23"/>
  <c r="F184" i="23"/>
  <c r="J184" i="23"/>
  <c r="F192" i="23"/>
  <c r="J192" i="23"/>
  <c r="F200" i="23"/>
  <c r="J200" i="23"/>
  <c r="F208" i="23"/>
  <c r="J208" i="23"/>
  <c r="F218" i="23"/>
  <c r="J218" i="23"/>
  <c r="F226" i="23"/>
  <c r="J226" i="23"/>
  <c r="F234" i="23"/>
  <c r="J234" i="23"/>
  <c r="F243" i="23"/>
  <c r="J243" i="23"/>
  <c r="F252" i="23"/>
  <c r="J252" i="23"/>
  <c r="F260" i="23"/>
  <c r="J260" i="23"/>
  <c r="F269" i="23"/>
  <c r="J269" i="23"/>
  <c r="F277" i="23"/>
  <c r="J277" i="23"/>
  <c r="F285" i="23"/>
  <c r="J285" i="23"/>
  <c r="F66" i="23"/>
  <c r="J66" i="23"/>
  <c r="F51" i="23"/>
  <c r="J51" i="23"/>
  <c r="F12" i="23"/>
  <c r="J12" i="23"/>
  <c r="F20" i="23"/>
  <c r="J20" i="23"/>
  <c r="F29" i="23"/>
  <c r="J29" i="23"/>
  <c r="F38" i="23"/>
  <c r="J38" i="23"/>
  <c r="F46" i="23"/>
  <c r="J46" i="23"/>
  <c r="F55" i="23"/>
  <c r="J55" i="23"/>
  <c r="F64" i="23"/>
  <c r="J64" i="23"/>
  <c r="F73" i="23"/>
  <c r="J73" i="23"/>
  <c r="F81" i="23"/>
  <c r="J81" i="23"/>
  <c r="F89" i="23"/>
  <c r="J89" i="23"/>
  <c r="F97" i="23"/>
  <c r="J97" i="23"/>
  <c r="F105" i="23"/>
  <c r="J105" i="23"/>
  <c r="F113" i="23"/>
  <c r="J113" i="23"/>
  <c r="F121" i="23"/>
  <c r="J121" i="23"/>
  <c r="F129" i="23"/>
  <c r="J129" i="23"/>
  <c r="F137" i="23"/>
  <c r="J137" i="23"/>
  <c r="F145" i="23"/>
  <c r="J145" i="23"/>
  <c r="F153" i="23"/>
  <c r="J153" i="23"/>
  <c r="F161" i="23"/>
  <c r="J161" i="23"/>
  <c r="F169" i="23"/>
  <c r="J169" i="23"/>
  <c r="F177" i="23"/>
  <c r="J177" i="23"/>
  <c r="F185" i="23"/>
  <c r="J185" i="23"/>
  <c r="F193" i="23"/>
  <c r="J193" i="23"/>
  <c r="F201" i="23"/>
  <c r="J201" i="23"/>
  <c r="F209" i="23"/>
  <c r="J209" i="23"/>
  <c r="F219" i="23"/>
  <c r="J219" i="23"/>
  <c r="F227" i="23"/>
  <c r="J227" i="23"/>
  <c r="F235" i="23"/>
  <c r="J235" i="23"/>
  <c r="F244" i="23"/>
  <c r="J244" i="23"/>
  <c r="F253" i="23"/>
  <c r="J253" i="23"/>
  <c r="F261" i="23"/>
  <c r="J261" i="23"/>
  <c r="F270" i="23"/>
  <c r="J270" i="23"/>
  <c r="F278" i="23"/>
  <c r="J278" i="23"/>
  <c r="F286" i="23"/>
  <c r="J286" i="23"/>
  <c r="F13" i="23"/>
  <c r="J13" i="23"/>
  <c r="F21" i="23"/>
  <c r="J21" i="23"/>
  <c r="F30" i="23"/>
  <c r="J30" i="23"/>
  <c r="F39" i="23"/>
  <c r="J39" i="23"/>
  <c r="F47" i="23"/>
  <c r="J47" i="23"/>
  <c r="F57" i="23"/>
  <c r="J57" i="23"/>
  <c r="F65" i="23"/>
  <c r="J65" i="23"/>
  <c r="F74" i="23"/>
  <c r="J74" i="23"/>
  <c r="F82" i="23"/>
  <c r="J82" i="23"/>
  <c r="F90" i="23"/>
  <c r="J90" i="23"/>
  <c r="F98" i="23"/>
  <c r="J98" i="23"/>
  <c r="F106" i="23"/>
  <c r="J106" i="23"/>
  <c r="F114" i="23"/>
  <c r="J114" i="23"/>
  <c r="F122" i="23"/>
  <c r="J122" i="23"/>
  <c r="F130" i="23"/>
  <c r="J130" i="23"/>
  <c r="F138" i="23"/>
  <c r="J138" i="23"/>
  <c r="F146" i="23"/>
  <c r="J146" i="23"/>
  <c r="F154" i="23"/>
  <c r="J154" i="23"/>
  <c r="F162" i="23"/>
  <c r="J162" i="23"/>
  <c r="F170" i="23"/>
  <c r="J170" i="23"/>
  <c r="F178" i="23"/>
  <c r="J178" i="23"/>
  <c r="F186" i="23"/>
  <c r="J186" i="23"/>
  <c r="F194" i="23"/>
  <c r="J194" i="23"/>
  <c r="F202" i="23"/>
  <c r="J202" i="23"/>
  <c r="F211" i="23"/>
  <c r="J211" i="23"/>
  <c r="F220" i="23"/>
  <c r="J220" i="23"/>
  <c r="F228" i="23"/>
  <c r="J228" i="23"/>
  <c r="F236" i="23"/>
  <c r="J236" i="23"/>
  <c r="F245" i="23"/>
  <c r="J245" i="23"/>
  <c r="F254" i="23"/>
  <c r="J254" i="23"/>
  <c r="F262" i="23"/>
  <c r="J262" i="23"/>
  <c r="F271" i="23"/>
  <c r="J271" i="23"/>
  <c r="F279" i="23"/>
  <c r="J279" i="23"/>
  <c r="F287" i="23"/>
  <c r="J287" i="23"/>
  <c r="F14" i="23"/>
  <c r="J14" i="23"/>
  <c r="F49" i="23"/>
  <c r="J49" i="23"/>
  <c r="F83" i="23"/>
  <c r="J83" i="23"/>
  <c r="F99" i="23"/>
  <c r="J99" i="23"/>
  <c r="F115" i="23"/>
  <c r="J115" i="23"/>
  <c r="F131" i="23"/>
  <c r="J131" i="23"/>
  <c r="F139" i="23"/>
  <c r="J139" i="23"/>
  <c r="F147" i="23"/>
  <c r="J147" i="23"/>
  <c r="F155" i="23"/>
  <c r="J155" i="23"/>
  <c r="F163" i="23"/>
  <c r="J163" i="23"/>
  <c r="F171" i="23"/>
  <c r="J171" i="23"/>
  <c r="F187" i="23"/>
  <c r="J187" i="23"/>
  <c r="F195" i="23"/>
  <c r="J195" i="23"/>
  <c r="F203" i="23"/>
  <c r="J203" i="23"/>
  <c r="F212" i="23"/>
  <c r="J212" i="23"/>
  <c r="F221" i="23"/>
  <c r="J221" i="23"/>
  <c r="F229" i="23"/>
  <c r="J229" i="23"/>
  <c r="F237" i="23"/>
  <c r="J237" i="23"/>
  <c r="F246" i="23"/>
  <c r="J246" i="23"/>
  <c r="F255" i="23"/>
  <c r="J255" i="23"/>
  <c r="F263" i="23"/>
  <c r="J263" i="23"/>
  <c r="F272" i="23"/>
  <c r="J272" i="23"/>
  <c r="F280" i="23"/>
  <c r="J280" i="23"/>
  <c r="F288" i="23"/>
  <c r="J288" i="23"/>
  <c r="F6" i="23"/>
  <c r="J6" i="23"/>
  <c r="F40" i="23"/>
  <c r="J40" i="23"/>
  <c r="F75" i="23"/>
  <c r="J75" i="23"/>
  <c r="F91" i="23"/>
  <c r="J91" i="23"/>
  <c r="F107" i="23"/>
  <c r="J107" i="23"/>
  <c r="F123" i="23"/>
  <c r="J123" i="23"/>
  <c r="F179" i="23"/>
  <c r="J179" i="23"/>
  <c r="F7" i="23"/>
  <c r="J7" i="23"/>
  <c r="F15" i="23"/>
  <c r="J15" i="23"/>
  <c r="F23" i="23"/>
  <c r="J23" i="23"/>
  <c r="F32" i="23"/>
  <c r="J32" i="23"/>
  <c r="F41" i="23"/>
  <c r="J41" i="23"/>
  <c r="F50" i="23"/>
  <c r="J50" i="23"/>
  <c r="F59" i="23"/>
  <c r="J59" i="23"/>
  <c r="F67" i="23"/>
  <c r="J67" i="23"/>
  <c r="F76" i="23"/>
  <c r="J76" i="23"/>
  <c r="F84" i="23"/>
  <c r="J84" i="23"/>
  <c r="F92" i="23"/>
  <c r="J92" i="23"/>
  <c r="F100" i="23"/>
  <c r="J100" i="23"/>
  <c r="F108" i="23"/>
  <c r="J108" i="23"/>
  <c r="F116" i="23"/>
  <c r="J116" i="23"/>
  <c r="F124" i="23"/>
  <c r="J124" i="23"/>
  <c r="F132" i="23"/>
  <c r="J132" i="23"/>
  <c r="F140" i="23"/>
  <c r="J140" i="23"/>
  <c r="F148" i="23"/>
  <c r="J148" i="23"/>
  <c r="F156" i="23"/>
  <c r="J156" i="23"/>
  <c r="F164" i="23"/>
  <c r="J164" i="23"/>
  <c r="F172" i="23"/>
  <c r="J172" i="23"/>
  <c r="F180" i="23"/>
  <c r="J180" i="23"/>
  <c r="F188" i="23"/>
  <c r="J188" i="23"/>
  <c r="F196" i="23"/>
  <c r="J196" i="23"/>
  <c r="F204" i="23"/>
  <c r="J204" i="23"/>
  <c r="F213" i="23"/>
  <c r="J213" i="23"/>
  <c r="F222" i="23"/>
  <c r="J222" i="23"/>
  <c r="F230" i="23"/>
  <c r="J230" i="23"/>
  <c r="F238" i="23"/>
  <c r="J238" i="23"/>
  <c r="F247" i="23"/>
  <c r="J247" i="23"/>
  <c r="F256" i="23"/>
  <c r="J256" i="23"/>
  <c r="F264" i="23"/>
  <c r="J264" i="23"/>
  <c r="F273" i="23"/>
  <c r="J273" i="23"/>
  <c r="F281" i="23"/>
  <c r="J281" i="23"/>
  <c r="F289" i="23"/>
  <c r="J289" i="23"/>
  <c r="D258" i="21"/>
  <c r="D262" i="21"/>
  <c r="D266" i="21"/>
  <c r="D270" i="21"/>
  <c r="D274" i="21"/>
  <c r="D278" i="21"/>
  <c r="D282" i="21"/>
  <c r="D286" i="21"/>
  <c r="D14" i="21"/>
  <c r="D26" i="21"/>
  <c r="D42" i="21"/>
  <c r="D58" i="21"/>
  <c r="D66" i="21"/>
  <c r="D138" i="21"/>
  <c r="D158" i="21"/>
  <c r="D166" i="21"/>
  <c r="D178" i="21"/>
  <c r="D190" i="21"/>
  <c r="D254" i="21"/>
  <c r="D18" i="21"/>
  <c r="D70" i="21"/>
  <c r="D78" i="21"/>
  <c r="D82" i="21"/>
  <c r="D90" i="21"/>
  <c r="D94" i="21"/>
  <c r="D146" i="21"/>
  <c r="D162" i="21"/>
  <c r="D182" i="21"/>
  <c r="D186" i="21"/>
  <c r="D202" i="21"/>
  <c r="D214" i="21"/>
  <c r="D222" i="21"/>
  <c r="D226" i="21"/>
  <c r="D234" i="21"/>
  <c r="D250" i="21"/>
  <c r="D263" i="21"/>
  <c r="D7" i="21"/>
  <c r="D11" i="21"/>
  <c r="D15" i="21"/>
  <c r="D19" i="21"/>
  <c r="D23" i="21"/>
  <c r="D27" i="21"/>
  <c r="D31" i="21"/>
  <c r="D35" i="21"/>
  <c r="D39" i="21"/>
  <c r="D43" i="21"/>
  <c r="D47" i="21"/>
  <c r="D51" i="21"/>
  <c r="D55" i="21"/>
  <c r="D59" i="21"/>
  <c r="D63" i="21"/>
  <c r="D67" i="21"/>
  <c r="D71" i="21"/>
  <c r="D75" i="21"/>
  <c r="D79" i="21"/>
  <c r="D83" i="21"/>
  <c r="D87" i="21"/>
  <c r="D91" i="21"/>
  <c r="D95" i="21"/>
  <c r="D99" i="21"/>
  <c r="D103" i="21"/>
  <c r="D107" i="21"/>
  <c r="D111" i="21"/>
  <c r="D115" i="21"/>
  <c r="D119" i="21"/>
  <c r="D123" i="21"/>
  <c r="D127" i="21"/>
  <c r="D131" i="21"/>
  <c r="D135" i="21"/>
  <c r="D139" i="21"/>
  <c r="D143" i="21"/>
  <c r="D147" i="21"/>
  <c r="D151" i="21"/>
  <c r="D155" i="21"/>
  <c r="D159" i="21"/>
  <c r="D163" i="21"/>
  <c r="D167" i="21"/>
  <c r="D171" i="21"/>
  <c r="D175" i="21"/>
  <c r="D179" i="21"/>
  <c r="D183" i="21"/>
  <c r="D187" i="21"/>
  <c r="D191" i="21"/>
  <c r="D195" i="21"/>
  <c r="D199" i="21"/>
  <c r="D203" i="21"/>
  <c r="D207" i="21"/>
  <c r="D211" i="21"/>
  <c r="D215" i="21"/>
  <c r="D219" i="21"/>
  <c r="D223" i="21"/>
  <c r="D227" i="21"/>
  <c r="D231" i="21"/>
  <c r="D235" i="21"/>
  <c r="D239" i="21"/>
  <c r="D243" i="21"/>
  <c r="D247" i="21"/>
  <c r="D251" i="21"/>
  <c r="D255" i="21"/>
  <c r="D22" i="21"/>
  <c r="D30" i="21"/>
  <c r="D34" i="21"/>
  <c r="D50" i="21"/>
  <c r="D62" i="21"/>
  <c r="D110" i="21"/>
  <c r="D118" i="21"/>
  <c r="D122" i="21"/>
  <c r="D154" i="21"/>
  <c r="D218" i="21"/>
  <c r="D230" i="21"/>
  <c r="D260" i="21"/>
  <c r="D264" i="21"/>
  <c r="D268" i="21"/>
  <c r="D272" i="21"/>
  <c r="D276" i="21"/>
  <c r="D280" i="21"/>
  <c r="D284" i="21"/>
  <c r="D288" i="21"/>
  <c r="D38" i="21"/>
  <c r="D86" i="21"/>
  <c r="D102" i="21"/>
  <c r="D134" i="21"/>
  <c r="D142" i="21"/>
  <c r="D174" i="21"/>
  <c r="D210" i="21"/>
  <c r="D242" i="21"/>
  <c r="D271" i="21"/>
  <c r="D279" i="21"/>
  <c r="D283" i="21"/>
  <c r="D287" i="21"/>
  <c r="D8" i="21"/>
  <c r="D12" i="21"/>
  <c r="D16" i="21"/>
  <c r="D20" i="21"/>
  <c r="D24" i="21"/>
  <c r="D28" i="21"/>
  <c r="D32" i="21"/>
  <c r="D36" i="21"/>
  <c r="D40" i="21"/>
  <c r="D44" i="21"/>
  <c r="D48" i="21"/>
  <c r="D52" i="21"/>
  <c r="D56" i="21"/>
  <c r="D60" i="21"/>
  <c r="D64" i="21"/>
  <c r="D68" i="21"/>
  <c r="D72" i="21"/>
  <c r="D76" i="21"/>
  <c r="D80" i="21"/>
  <c r="D84" i="21"/>
  <c r="D88" i="21"/>
  <c r="D92" i="21"/>
  <c r="D96" i="21"/>
  <c r="D100" i="21"/>
  <c r="D104" i="21"/>
  <c r="D108" i="21"/>
  <c r="D112" i="21"/>
  <c r="D116" i="21"/>
  <c r="D120" i="21"/>
  <c r="D124" i="21"/>
  <c r="D128" i="21"/>
  <c r="D132" i="21"/>
  <c r="D136" i="21"/>
  <c r="D140" i="21"/>
  <c r="D144" i="21"/>
  <c r="D148" i="21"/>
  <c r="D152" i="21"/>
  <c r="D156" i="21"/>
  <c r="D160" i="21"/>
  <c r="D164" i="21"/>
  <c r="D168" i="21"/>
  <c r="D172" i="21"/>
  <c r="D176" i="21"/>
  <c r="D180" i="21"/>
  <c r="D184" i="21"/>
  <c r="D188" i="21"/>
  <c r="D192" i="21"/>
  <c r="D196" i="21"/>
  <c r="D200" i="21"/>
  <c r="D204" i="21"/>
  <c r="D208" i="21"/>
  <c r="D212" i="21"/>
  <c r="D216" i="21"/>
  <c r="D220" i="21"/>
  <c r="D224" i="21"/>
  <c r="D228" i="21"/>
  <c r="D232" i="21"/>
  <c r="D236" i="21"/>
  <c r="D240" i="21"/>
  <c r="D244" i="21"/>
  <c r="D248" i="21"/>
  <c r="D252" i="21"/>
  <c r="D256" i="21"/>
  <c r="D10" i="21"/>
  <c r="D194" i="21"/>
  <c r="D267" i="21"/>
  <c r="D261" i="21"/>
  <c r="D265" i="21"/>
  <c r="D269" i="21"/>
  <c r="D273" i="21"/>
  <c r="D277" i="21"/>
  <c r="D281" i="21"/>
  <c r="D285" i="21"/>
  <c r="D289" i="21"/>
  <c r="D6" i="21"/>
  <c r="D46" i="21"/>
  <c r="D54" i="21"/>
  <c r="D74" i="21"/>
  <c r="D98" i="21"/>
  <c r="D106" i="21"/>
  <c r="D114" i="21"/>
  <c r="D126" i="21"/>
  <c r="D130" i="21"/>
  <c r="D150" i="21"/>
  <c r="D170" i="21"/>
  <c r="D198" i="21"/>
  <c r="D206" i="21"/>
  <c r="D238" i="21"/>
  <c r="D246" i="21"/>
  <c r="D259" i="21"/>
  <c r="D275" i="21"/>
  <c r="D5" i="21"/>
  <c r="D9" i="21"/>
  <c r="D13" i="21"/>
  <c r="D17" i="21"/>
  <c r="D21" i="21"/>
  <c r="D25" i="21"/>
  <c r="D29" i="21"/>
  <c r="D33" i="21"/>
  <c r="D37" i="21"/>
  <c r="D41" i="21"/>
  <c r="D45" i="21"/>
  <c r="D49" i="21"/>
  <c r="D53" i="21"/>
  <c r="D57" i="21"/>
  <c r="D61" i="21"/>
  <c r="D65" i="21"/>
  <c r="D69" i="21"/>
  <c r="D73" i="21"/>
  <c r="D77" i="21"/>
  <c r="D81" i="21"/>
  <c r="D85" i="21"/>
  <c r="D89" i="21"/>
  <c r="D93" i="21"/>
  <c r="D97" i="21"/>
  <c r="D101" i="21"/>
  <c r="D105" i="21"/>
  <c r="D109" i="21"/>
  <c r="D113" i="21"/>
  <c r="D117" i="21"/>
  <c r="D121" i="21"/>
  <c r="D125" i="21"/>
  <c r="D129" i="21"/>
  <c r="D133" i="21"/>
  <c r="D137" i="21"/>
  <c r="D141" i="21"/>
  <c r="D145" i="21"/>
  <c r="D149" i="21"/>
  <c r="D153" i="21"/>
  <c r="D157" i="21"/>
  <c r="D161" i="21"/>
  <c r="D165" i="21"/>
  <c r="D169" i="21"/>
  <c r="D173" i="21"/>
  <c r="D177" i="21"/>
  <c r="D181" i="21"/>
  <c r="D185" i="21"/>
  <c r="D189" i="21"/>
  <c r="D193" i="21"/>
  <c r="D197" i="21"/>
  <c r="D201" i="21"/>
  <c r="D205" i="21"/>
  <c r="D209" i="21"/>
  <c r="D213" i="21"/>
  <c r="D217" i="21"/>
  <c r="D221" i="21"/>
  <c r="D225" i="21"/>
  <c r="D229" i="21"/>
  <c r="D233" i="21"/>
  <c r="D237" i="21"/>
  <c r="D241" i="21"/>
  <c r="D245" i="21"/>
  <c r="D249" i="21"/>
  <c r="D253" i="21"/>
  <c r="D257" i="21"/>
  <c r="CF191" i="3"/>
  <c r="CG191" i="3" s="1"/>
  <c r="CH191" i="3" s="1"/>
  <c r="AK191" i="3" s="1"/>
  <c r="AL191" i="3" s="1"/>
  <c r="CF207" i="3"/>
  <c r="CG207" i="3" s="1"/>
  <c r="CH207" i="3" s="1"/>
  <c r="AK207" i="3" s="1"/>
  <c r="AL207" i="3" s="1"/>
  <c r="CF239" i="3"/>
  <c r="CG239" i="3" s="1"/>
  <c r="CH239" i="3" s="1"/>
  <c r="AK239" i="3" s="1"/>
  <c r="AL239" i="3" s="1"/>
  <c r="CF180" i="3"/>
  <c r="CG180" i="3" s="1"/>
  <c r="CH180" i="3" s="1"/>
  <c r="AK180" i="3" s="1"/>
  <c r="AL180" i="3" s="1"/>
  <c r="CF192" i="3"/>
  <c r="CG192" i="3" s="1"/>
  <c r="CH192" i="3" s="1"/>
  <c r="AK192" i="3" s="1"/>
  <c r="AL192" i="3" s="1"/>
  <c r="CF266" i="3"/>
  <c r="CG266" i="3" s="1"/>
  <c r="CH266" i="3" s="1"/>
  <c r="AK266" i="3" s="1"/>
  <c r="AL266" i="3" s="1"/>
  <c r="CF210" i="3"/>
  <c r="CG210" i="3" s="1"/>
  <c r="CH210" i="3" s="1"/>
  <c r="AK210" i="3" s="1"/>
  <c r="AL210" i="3" s="1"/>
  <c r="CF214" i="3"/>
  <c r="CG214" i="3" s="1"/>
  <c r="CH214" i="3" s="1"/>
  <c r="AK214" i="3" s="1"/>
  <c r="AL214" i="3" s="1"/>
  <c r="CF242" i="3"/>
  <c r="CG242" i="3" s="1"/>
  <c r="CH242" i="3" s="1"/>
  <c r="AK242" i="3" s="1"/>
  <c r="AL242" i="3" s="1"/>
  <c r="CF267" i="3"/>
  <c r="CG267" i="3" s="1"/>
  <c r="CH267" i="3" s="1"/>
  <c r="AK267" i="3" s="1"/>
  <c r="AL267" i="3" s="1"/>
  <c r="CF27" i="3"/>
  <c r="CG27" i="3" s="1"/>
  <c r="CH27" i="3" s="1"/>
  <c r="AK27" i="3" s="1"/>
  <c r="AL27" i="3" s="1"/>
  <c r="CF35" i="3"/>
  <c r="CG35" i="3" s="1"/>
  <c r="CH35" i="3" s="1"/>
  <c r="AK35" i="3" s="1"/>
  <c r="AL35" i="3" s="1"/>
  <c r="CF47" i="3"/>
  <c r="CG47" i="3" s="1"/>
  <c r="CH47" i="3" s="1"/>
  <c r="AK47" i="3" s="1"/>
  <c r="AL47" i="3" s="1"/>
  <c r="CF56" i="3"/>
  <c r="CG56" i="3" s="1"/>
  <c r="CH56" i="3" s="1"/>
  <c r="AK56" i="3" s="1"/>
  <c r="AL56" i="3" s="1"/>
  <c r="CF46" i="3"/>
  <c r="CG46" i="3" s="1"/>
  <c r="CH46" i="3" s="1"/>
  <c r="AK46" i="3" s="1"/>
  <c r="AL46" i="3" s="1"/>
  <c r="CF162" i="3"/>
  <c r="CG162" i="3" s="1"/>
  <c r="CH162" i="3" s="1"/>
  <c r="AK162" i="3" s="1"/>
  <c r="AL162" i="3" s="1"/>
  <c r="CF182" i="3"/>
  <c r="CG182" i="3" s="1"/>
  <c r="CH182" i="3" s="1"/>
  <c r="AK182" i="3" s="1"/>
  <c r="AL182" i="3" s="1"/>
  <c r="CF222" i="3"/>
  <c r="CG222" i="3" s="1"/>
  <c r="CH222" i="3" s="1"/>
  <c r="AK222" i="3" s="1"/>
  <c r="AL222" i="3" s="1"/>
  <c r="CF234" i="3"/>
  <c r="CG234" i="3" s="1"/>
  <c r="CH234" i="3" s="1"/>
  <c r="AK234" i="3" s="1"/>
  <c r="AL234" i="3" s="1"/>
  <c r="CF238" i="3"/>
  <c r="CG238" i="3" s="1"/>
  <c r="CH238" i="3" s="1"/>
  <c r="AK238" i="3" s="1"/>
  <c r="AL238" i="3" s="1"/>
  <c r="CF290" i="3"/>
  <c r="CG290" i="3" s="1"/>
  <c r="CH290" i="3" s="1"/>
  <c r="AK290" i="3" s="1"/>
  <c r="AL290" i="3" s="1"/>
  <c r="CF79" i="3"/>
  <c r="CG79" i="3" s="1"/>
  <c r="CH79" i="3" s="1"/>
  <c r="AK79" i="3" s="1"/>
  <c r="AL79" i="3" s="1"/>
  <c r="CF159" i="3"/>
  <c r="CG159" i="3" s="1"/>
  <c r="CH159" i="3" s="1"/>
  <c r="AK159" i="3" s="1"/>
  <c r="AL159" i="3" s="1"/>
  <c r="CF279" i="3"/>
  <c r="CG279" i="3" s="1"/>
  <c r="CH279" i="3" s="1"/>
  <c r="AK279" i="3" s="1"/>
  <c r="AL279" i="3" s="1"/>
  <c r="CF44" i="3"/>
  <c r="CG44" i="3" s="1"/>
  <c r="CH44" i="3" s="1"/>
  <c r="AK44" i="3" s="1"/>
  <c r="AL44" i="3" s="1"/>
  <c r="CF64" i="3"/>
  <c r="CG64" i="3" s="1"/>
  <c r="CH64" i="3" s="1"/>
  <c r="AK64" i="3" s="1"/>
  <c r="AL64" i="3" s="1"/>
  <c r="CF148" i="3"/>
  <c r="CG148" i="3" s="1"/>
  <c r="CH148" i="3" s="1"/>
  <c r="AK148" i="3" s="1"/>
  <c r="AL148" i="3" s="1"/>
  <c r="CF168" i="3"/>
  <c r="CG168" i="3" s="1"/>
  <c r="CH168" i="3" s="1"/>
  <c r="AK168" i="3" s="1"/>
  <c r="AL168" i="3" s="1"/>
  <c r="CF208" i="3"/>
  <c r="CG208" i="3" s="1"/>
  <c r="CH208" i="3" s="1"/>
  <c r="AK208" i="3" s="1"/>
  <c r="AL208" i="3" s="1"/>
  <c r="CF276" i="3"/>
  <c r="CG276" i="3" s="1"/>
  <c r="CH276" i="3" s="1"/>
  <c r="AK276" i="3" s="1"/>
  <c r="AL276" i="3" s="1"/>
  <c r="CF280" i="3"/>
  <c r="CG280" i="3" s="1"/>
  <c r="CH280" i="3" s="1"/>
  <c r="AK280" i="3" s="1"/>
  <c r="AL280" i="3" s="1"/>
  <c r="CF25" i="3"/>
  <c r="CG25" i="3" s="1"/>
  <c r="CH25" i="3" s="1"/>
  <c r="AK25" i="3" s="1"/>
  <c r="AL25" i="3" s="1"/>
  <c r="CF125" i="3"/>
  <c r="CG125" i="3" s="1"/>
  <c r="CH125" i="3" s="1"/>
  <c r="AK125" i="3" s="1"/>
  <c r="AL125" i="3" s="1"/>
  <c r="CF213" i="3"/>
  <c r="CG213" i="3" s="1"/>
  <c r="CH213" i="3" s="1"/>
  <c r="AK213" i="3" s="1"/>
  <c r="AL213" i="3" s="1"/>
  <c r="CF241" i="3"/>
  <c r="CG241" i="3" s="1"/>
  <c r="CH241" i="3" s="1"/>
  <c r="AK241" i="3" s="1"/>
  <c r="AL241" i="3" s="1"/>
  <c r="CF281" i="3"/>
  <c r="CG281" i="3" s="1"/>
  <c r="CH281" i="3" s="1"/>
  <c r="AK281" i="3" s="1"/>
  <c r="AL281" i="3" s="1"/>
  <c r="CF258" i="3"/>
  <c r="CG258" i="3" s="1"/>
  <c r="CH258" i="3" s="1"/>
  <c r="CF282" i="3"/>
  <c r="CG282" i="3" s="1"/>
  <c r="CH282" i="3" s="1"/>
  <c r="AK282" i="3" s="1"/>
  <c r="AL282" i="3" s="1"/>
  <c r="CF13" i="3"/>
  <c r="CG13" i="3" s="1"/>
  <c r="CH13" i="3" s="1"/>
  <c r="AK13" i="3" s="1"/>
  <c r="AL13" i="3" s="1"/>
  <c r="CF205" i="3"/>
  <c r="CG205" i="3" s="1"/>
  <c r="CH205" i="3" s="1"/>
  <c r="AK205" i="3" s="1"/>
  <c r="AL205" i="3" s="1"/>
  <c r="CF170" i="3"/>
  <c r="CG170" i="3" s="1"/>
  <c r="CH170" i="3" s="1"/>
  <c r="AK170" i="3" s="1"/>
  <c r="AL170" i="3" s="1"/>
  <c r="CF93" i="3"/>
  <c r="CG93" i="3" s="1"/>
  <c r="CH93" i="3" s="1"/>
  <c r="AK93" i="3" s="1"/>
  <c r="AL93" i="3" s="1"/>
  <c r="CF31" i="3"/>
  <c r="CG31" i="3" s="1"/>
  <c r="CH31" i="3" s="1"/>
  <c r="AK31" i="3" s="1"/>
  <c r="AL31" i="3" s="1"/>
  <c r="CF261" i="3"/>
  <c r="CG261" i="3" s="1"/>
  <c r="CH261" i="3" s="1"/>
  <c r="AK261" i="3" s="1"/>
  <c r="AL261" i="3" s="1"/>
  <c r="CF220" i="3"/>
  <c r="CG220" i="3" s="1"/>
  <c r="CH220" i="3" s="1"/>
  <c r="AK220" i="3" s="1"/>
  <c r="AL220" i="3" s="1"/>
  <c r="CF156" i="3"/>
  <c r="CG156" i="3" s="1"/>
  <c r="CH156" i="3" s="1"/>
  <c r="AK156" i="3" s="1"/>
  <c r="AL156" i="3" s="1"/>
  <c r="CF255" i="3"/>
  <c r="CG255" i="3" s="1"/>
  <c r="CH255" i="3" s="1"/>
  <c r="AK255" i="3" s="1"/>
  <c r="AL255" i="3" s="1"/>
  <c r="CF188" i="3"/>
  <c r="CG188" i="3" s="1"/>
  <c r="CH188" i="3" s="1"/>
  <c r="AK188" i="3" s="1"/>
  <c r="AL188" i="3" s="1"/>
  <c r="CF39" i="3"/>
  <c r="CG39" i="3" s="1"/>
  <c r="CH39" i="3" s="1"/>
  <c r="AK39" i="3" s="1"/>
  <c r="AL39" i="3" s="1"/>
  <c r="CF289" i="3"/>
  <c r="CG289" i="3" s="1"/>
  <c r="CH289" i="3" s="1"/>
  <c r="AK289" i="3" s="1"/>
  <c r="AL289" i="3" s="1"/>
  <c r="CF120" i="3"/>
  <c r="CG120" i="3" s="1"/>
  <c r="CH120" i="3" s="1"/>
  <c r="AK120" i="3" s="1"/>
  <c r="AL120" i="3" s="1"/>
  <c r="CF136" i="3"/>
  <c r="CG136" i="3" s="1"/>
  <c r="CH136" i="3" s="1"/>
  <c r="AK136" i="3" s="1"/>
  <c r="AL136" i="3" s="1"/>
  <c r="CF286" i="3"/>
  <c r="CG286" i="3" s="1"/>
  <c r="CH286" i="3" s="1"/>
  <c r="AK286" i="3" s="1"/>
  <c r="AL286" i="3" s="1"/>
  <c r="CF212" i="3"/>
  <c r="CG212" i="3" s="1"/>
  <c r="CH212" i="3" s="1"/>
  <c r="AK212" i="3" s="1"/>
  <c r="AL212" i="3" s="1"/>
  <c r="CF60" i="3"/>
  <c r="CG60" i="3" s="1"/>
  <c r="CH60" i="3" s="1"/>
  <c r="AK60" i="3" s="1"/>
  <c r="AL60" i="3" s="1"/>
  <c r="CF226" i="3"/>
  <c r="CG226" i="3" s="1"/>
  <c r="CH226" i="3" s="1"/>
  <c r="AK226" i="3" s="1"/>
  <c r="AL226" i="3" s="1"/>
  <c r="CF274" i="3"/>
  <c r="CG274" i="3" s="1"/>
  <c r="CH274" i="3" s="1"/>
  <c r="AK274" i="3" s="1"/>
  <c r="AL274" i="3" s="1"/>
  <c r="CF216" i="3"/>
  <c r="CG216" i="3" s="1"/>
  <c r="CH216" i="3" s="1"/>
  <c r="AK216" i="3" s="1"/>
  <c r="AL216" i="3" s="1"/>
  <c r="CF204" i="3"/>
  <c r="CG204" i="3" s="1"/>
  <c r="CH204" i="3" s="1"/>
  <c r="AK204" i="3" s="1"/>
  <c r="AL204" i="3" s="1"/>
  <c r="CF259" i="3"/>
  <c r="CG259" i="3" s="1"/>
  <c r="CH259" i="3" s="1"/>
  <c r="AK259" i="3" s="1"/>
  <c r="AL259" i="3" s="1"/>
  <c r="CF63" i="3"/>
  <c r="CG63" i="3" s="1"/>
  <c r="CH63" i="3" s="1"/>
  <c r="AK63" i="3" s="1"/>
  <c r="AL63" i="3" s="1"/>
  <c r="CF224" i="3"/>
  <c r="CG224" i="3" s="1"/>
  <c r="CH224" i="3" s="1"/>
  <c r="AK224" i="3" s="1"/>
  <c r="AL224" i="3" s="1"/>
  <c r="CF219" i="3"/>
  <c r="CG219" i="3" s="1"/>
  <c r="CH219" i="3" s="1"/>
  <c r="AK219" i="3" s="1"/>
  <c r="AL219" i="3" s="1"/>
  <c r="CF229" i="3"/>
  <c r="CG229" i="3" s="1"/>
  <c r="CH229" i="3" s="1"/>
  <c r="AK229" i="3" s="1"/>
  <c r="AL229" i="3" s="1"/>
  <c r="CF200" i="3"/>
  <c r="CG200" i="3" s="1"/>
  <c r="CH200" i="3" s="1"/>
  <c r="AK200" i="3" s="1"/>
  <c r="AL200" i="3" s="1"/>
  <c r="CF53" i="3"/>
  <c r="CG53" i="3" s="1"/>
  <c r="CH53" i="3" s="1"/>
  <c r="AK53" i="3" s="1"/>
  <c r="AL53" i="3" s="1"/>
  <c r="CF284" i="3"/>
  <c r="CG284" i="3" s="1"/>
  <c r="CH284" i="3" s="1"/>
  <c r="AK284" i="3" s="1"/>
  <c r="AL284" i="3" s="1"/>
  <c r="CF260" i="3"/>
  <c r="CG260" i="3" s="1"/>
  <c r="CH260" i="3" s="1"/>
  <c r="AK260" i="3" s="1"/>
  <c r="AL260" i="3" s="1"/>
  <c r="CF233" i="3"/>
  <c r="CG233" i="3" s="1"/>
  <c r="CH233" i="3" s="1"/>
  <c r="AK233" i="3" s="1"/>
  <c r="AL233" i="3" s="1"/>
  <c r="CF61" i="3"/>
  <c r="CG61" i="3" s="1"/>
  <c r="CH61" i="3" s="1"/>
  <c r="AK61" i="3" s="1"/>
  <c r="AL61" i="3" s="1"/>
  <c r="CF41" i="3"/>
  <c r="CG41" i="3" s="1"/>
  <c r="CH41" i="3" s="1"/>
  <c r="AK41" i="3" s="1"/>
  <c r="AL41" i="3" s="1"/>
  <c r="CF33" i="3"/>
  <c r="CG33" i="3" s="1"/>
  <c r="CH33" i="3" s="1"/>
  <c r="AK33" i="3" s="1"/>
  <c r="AL33" i="3" s="1"/>
  <c r="CF272" i="3"/>
  <c r="CG272" i="3" s="1"/>
  <c r="CH272" i="3" s="1"/>
  <c r="AK272" i="3" s="1"/>
  <c r="AL272" i="3" s="1"/>
  <c r="CF7" i="3"/>
  <c r="CG7" i="3" s="1"/>
  <c r="CH7" i="3" s="1"/>
  <c r="AK7" i="3" s="1"/>
  <c r="AL7" i="3" s="1"/>
  <c r="CF264" i="3"/>
  <c r="CG264" i="3" s="1"/>
  <c r="CH264" i="3" s="1"/>
  <c r="AK264" i="3" s="1"/>
  <c r="AL264" i="3" s="1"/>
  <c r="CF244" i="3"/>
  <c r="CG244" i="3" s="1"/>
  <c r="CH244" i="3" s="1"/>
  <c r="AK244" i="3" s="1"/>
  <c r="AL244" i="3" s="1"/>
  <c r="CF177" i="3"/>
  <c r="CG177" i="3" s="1"/>
  <c r="CH177" i="3" s="1"/>
  <c r="AK177" i="3" s="1"/>
  <c r="AL177" i="3" s="1"/>
  <c r="CF77" i="3"/>
  <c r="CG77" i="3" s="1"/>
  <c r="CH77" i="3" s="1"/>
  <c r="AK77" i="3" s="1"/>
  <c r="AL77" i="3" s="1"/>
  <c r="CF57" i="3"/>
  <c r="CG57" i="3" s="1"/>
  <c r="CH57" i="3" s="1"/>
  <c r="AK57" i="3" s="1"/>
  <c r="AL57" i="3" s="1"/>
  <c r="CF199" i="3"/>
  <c r="CG199" i="3" s="1"/>
  <c r="CH199" i="3" s="1"/>
  <c r="AK199" i="3" s="1"/>
  <c r="AL199" i="3" s="1"/>
  <c r="CF153" i="3"/>
  <c r="CG153" i="3" s="1"/>
  <c r="CH153" i="3" s="1"/>
  <c r="AK153" i="3" s="1"/>
  <c r="AL153" i="3" s="1"/>
  <c r="CF66" i="3"/>
  <c r="CG66" i="3" s="1"/>
  <c r="CH66" i="3" s="1"/>
  <c r="AK66" i="3" s="1"/>
  <c r="AL66" i="3" s="1"/>
  <c r="CF269" i="3"/>
  <c r="CG269" i="3" s="1"/>
  <c r="CH269" i="3" s="1"/>
  <c r="AK269" i="3" s="1"/>
  <c r="AL269" i="3" s="1"/>
  <c r="CF227" i="3"/>
  <c r="CG227" i="3" s="1"/>
  <c r="CH227" i="3" s="1"/>
  <c r="AK227" i="3" s="1"/>
  <c r="AL227" i="3" s="1"/>
  <c r="CF173" i="3"/>
  <c r="CG173" i="3" s="1"/>
  <c r="CH173" i="3" s="1"/>
  <c r="AK173" i="3" s="1"/>
  <c r="AL173" i="3" s="1"/>
  <c r="CF50" i="3"/>
  <c r="CG50" i="3" s="1"/>
  <c r="CH50" i="3" s="1"/>
  <c r="AK50" i="3" s="1"/>
  <c r="AL50" i="3" s="1"/>
  <c r="CF218" i="3"/>
  <c r="CG218" i="3" s="1"/>
  <c r="CH218" i="3" s="1"/>
  <c r="AK218" i="3" s="1"/>
  <c r="AL218" i="3" s="1"/>
  <c r="CF45" i="3"/>
  <c r="CG45" i="3" s="1"/>
  <c r="CH45" i="3" s="1"/>
  <c r="AK45" i="3" s="1"/>
  <c r="AL45" i="3" s="1"/>
  <c r="CF254" i="3"/>
  <c r="CG254" i="3" s="1"/>
  <c r="CH254" i="3" s="1"/>
  <c r="AK254" i="3" s="1"/>
  <c r="AL254" i="3" s="1"/>
  <c r="CF237" i="3"/>
  <c r="CG237" i="3" s="1"/>
  <c r="CH237" i="3" s="1"/>
  <c r="AK237" i="3" s="1"/>
  <c r="AL237" i="3" s="1"/>
  <c r="CF34" i="3"/>
  <c r="CG34" i="3" s="1"/>
  <c r="CH34" i="3" s="1"/>
  <c r="AK34" i="3" s="1"/>
  <c r="AL34" i="3" s="1"/>
  <c r="CF265" i="3"/>
  <c r="CG265" i="3" s="1"/>
  <c r="CH265" i="3" s="1"/>
  <c r="AK265" i="3" s="1"/>
  <c r="AL265" i="3" s="1"/>
  <c r="CF11" i="3"/>
  <c r="CG11" i="3" s="1"/>
  <c r="CH11" i="3" s="1"/>
  <c r="AK11" i="3" s="1"/>
  <c r="AL11" i="3" s="1"/>
  <c r="CF243" i="3"/>
  <c r="CG243" i="3" s="1"/>
  <c r="CH243" i="3" s="1"/>
  <c r="AK243" i="3" s="1"/>
  <c r="AL243" i="3" s="1"/>
  <c r="CF52" i="3"/>
  <c r="CG52" i="3" s="1"/>
  <c r="CH52" i="3" s="1"/>
  <c r="AK52" i="3" s="1"/>
  <c r="AL52" i="3" s="1"/>
  <c r="CF225" i="3"/>
  <c r="CG225" i="3" s="1"/>
  <c r="CH225" i="3" s="1"/>
  <c r="AK225" i="3" s="1"/>
  <c r="AL225" i="3" s="1"/>
  <c r="CF270" i="3"/>
  <c r="CG270" i="3" s="1"/>
  <c r="CH270" i="3" s="1"/>
  <c r="AK270" i="3" s="1"/>
  <c r="AL270" i="3" s="1"/>
  <c r="CF155" i="3"/>
  <c r="CG155" i="3" s="1"/>
  <c r="CH155" i="3" s="1"/>
  <c r="AK155" i="3" s="1"/>
  <c r="AL155" i="3" s="1"/>
  <c r="CF68" i="3"/>
  <c r="CG68" i="3" s="1"/>
  <c r="CH68" i="3" s="1"/>
  <c r="AK68" i="3" s="1"/>
  <c r="AL68" i="3" s="1"/>
  <c r="CF268" i="3"/>
  <c r="CG268" i="3" s="1"/>
  <c r="CH268" i="3" s="1"/>
  <c r="AK268" i="3" s="1"/>
  <c r="AL268" i="3" s="1"/>
  <c r="CF249" i="3"/>
  <c r="CG249" i="3" s="1"/>
  <c r="CH249" i="3" s="1"/>
  <c r="AK249" i="3" s="1"/>
  <c r="AL249" i="3" s="1"/>
  <c r="CF184" i="3"/>
  <c r="CG184" i="3" s="1"/>
  <c r="CH184" i="3" s="1"/>
  <c r="AK184" i="3" s="1"/>
  <c r="AL184" i="3" s="1"/>
  <c r="CF197" i="3"/>
  <c r="CG197" i="3" s="1"/>
  <c r="CH197" i="3" s="1"/>
  <c r="AK197" i="3" s="1"/>
  <c r="AL197" i="3" s="1"/>
  <c r="CF285" i="3"/>
  <c r="CG285" i="3" s="1"/>
  <c r="CH285" i="3" s="1"/>
  <c r="AK285" i="3" s="1"/>
  <c r="AL285" i="3" s="1"/>
  <c r="CF22" i="3"/>
  <c r="CG22" i="3" s="1"/>
  <c r="CH22" i="3" s="1"/>
  <c r="AK22" i="3" s="1"/>
  <c r="AL22" i="3" s="1"/>
  <c r="CF87" i="3"/>
  <c r="CG87" i="3" s="1"/>
  <c r="CH87" i="3" s="1"/>
  <c r="AK87" i="3" s="1"/>
  <c r="AL87" i="3" s="1"/>
  <c r="CF271" i="3"/>
  <c r="CG271" i="3" s="1"/>
  <c r="CH271" i="3" s="1"/>
  <c r="AK271" i="3" s="1"/>
  <c r="AL271" i="3" s="1"/>
  <c r="CF106" i="3"/>
  <c r="CG106" i="3" s="1"/>
  <c r="CH106" i="3" s="1"/>
  <c r="AK106" i="3" s="1"/>
  <c r="AL106" i="3" s="1"/>
  <c r="CF236" i="3"/>
  <c r="CG236" i="3" s="1"/>
  <c r="CH236" i="3" s="1"/>
  <c r="AK236" i="3" s="1"/>
  <c r="AL236" i="3" s="1"/>
  <c r="CF149" i="3"/>
  <c r="CG149" i="3" s="1"/>
  <c r="CH149" i="3" s="1"/>
  <c r="AK149" i="3" s="1"/>
  <c r="AL149" i="3" s="1"/>
  <c r="CF131" i="3"/>
  <c r="CG131" i="3" s="1"/>
  <c r="CH131" i="3" s="1"/>
  <c r="AK131" i="3" s="1"/>
  <c r="AL131" i="3" s="1"/>
  <c r="CF76" i="3"/>
  <c r="CG76" i="3" s="1"/>
  <c r="CH76" i="3" s="1"/>
  <c r="AK76" i="3" s="1"/>
  <c r="AL76" i="3" s="1"/>
  <c r="CF49" i="3"/>
  <c r="CG49" i="3" s="1"/>
  <c r="CH49" i="3" s="1"/>
  <c r="AK49" i="3" s="1"/>
  <c r="AL49" i="3" s="1"/>
  <c r="CF161" i="3"/>
  <c r="CG161" i="3" s="1"/>
  <c r="CH161" i="3" s="1"/>
  <c r="AK161" i="3" s="1"/>
  <c r="AL161" i="3" s="1"/>
  <c r="CF29" i="3"/>
  <c r="CG29" i="3" s="1"/>
  <c r="CH29" i="3" s="1"/>
  <c r="AK29" i="3" s="1"/>
  <c r="AL29" i="3" s="1"/>
  <c r="CF228" i="3"/>
  <c r="CG228" i="3" s="1"/>
  <c r="CH228" i="3" s="1"/>
  <c r="AK228" i="3" s="1"/>
  <c r="AL228" i="3" s="1"/>
  <c r="CF283" i="3"/>
  <c r="CG283" i="3" s="1"/>
  <c r="CH283" i="3" s="1"/>
  <c r="AK283" i="3" s="1"/>
  <c r="AL283" i="3" s="1"/>
  <c r="CF202" i="3"/>
  <c r="CG202" i="3" s="1"/>
  <c r="CH202" i="3" s="1"/>
  <c r="AK202" i="3" s="1"/>
  <c r="AL202" i="3" s="1"/>
  <c r="CF147" i="3"/>
  <c r="CG147" i="3" s="1"/>
  <c r="CH147" i="3" s="1"/>
  <c r="AK147" i="3" s="1"/>
  <c r="AL147" i="3" s="1"/>
  <c r="CF58" i="3"/>
  <c r="CG58" i="3" s="1"/>
  <c r="CH58" i="3" s="1"/>
  <c r="AK58" i="3" s="1"/>
  <c r="AL58" i="3" s="1"/>
  <c r="CF221" i="3"/>
  <c r="CG221" i="3" s="1"/>
  <c r="CH221" i="3" s="1"/>
  <c r="AK221" i="3" s="1"/>
  <c r="AL221" i="3" s="1"/>
  <c r="CF193" i="3"/>
  <c r="CG193" i="3" s="1"/>
  <c r="CH193" i="3" s="1"/>
  <c r="AK193" i="3" s="1"/>
  <c r="AL193" i="3" s="1"/>
  <c r="CF288" i="3"/>
  <c r="CG288" i="3" s="1"/>
  <c r="CH288" i="3" s="1"/>
  <c r="AK288" i="3" s="1"/>
  <c r="AL288" i="3" s="1"/>
  <c r="CF250" i="3"/>
  <c r="CG250" i="3" s="1"/>
  <c r="CH250" i="3" s="1"/>
  <c r="AK250" i="3" s="1"/>
  <c r="AL250" i="3" s="1"/>
  <c r="CF190" i="3"/>
  <c r="CG190" i="3" s="1"/>
  <c r="CH190" i="3" s="1"/>
  <c r="AK190" i="3" s="1"/>
  <c r="AL190" i="3" s="1"/>
  <c r="CF230" i="3"/>
  <c r="CG230" i="3" s="1"/>
  <c r="CH230" i="3" s="1"/>
  <c r="AK230" i="3" s="1"/>
  <c r="AL230" i="3" s="1"/>
  <c r="CF65" i="3"/>
  <c r="CG65" i="3" s="1"/>
  <c r="CH65" i="3" s="1"/>
  <c r="AK65" i="3" s="1"/>
  <c r="AL65" i="3" s="1"/>
  <c r="CF62" i="3"/>
  <c r="CG62" i="3" s="1"/>
  <c r="CH62" i="3" s="1"/>
  <c r="AK62" i="3" s="1"/>
  <c r="AL62" i="3" s="1"/>
  <c r="CF10" i="3"/>
  <c r="CG10" i="3" s="1"/>
  <c r="CH10" i="3" s="1"/>
  <c r="AK10" i="3" s="1"/>
  <c r="AL10" i="3" s="1"/>
  <c r="CF235" i="3"/>
  <c r="CG235" i="3" s="1"/>
  <c r="CH235" i="3" s="1"/>
  <c r="AK235" i="3" s="1"/>
  <c r="AL235" i="3" s="1"/>
  <c r="CF253" i="3"/>
  <c r="CG253" i="3" s="1"/>
  <c r="CH253" i="3" s="1"/>
  <c r="AK253" i="3" s="1"/>
  <c r="AL253" i="3" s="1"/>
  <c r="CF277" i="3"/>
  <c r="CG277" i="3" s="1"/>
  <c r="CH277" i="3" s="1"/>
  <c r="AK277" i="3" s="1"/>
  <c r="AL277" i="3" s="1"/>
  <c r="CF9" i="3"/>
  <c r="CG9" i="3" s="1"/>
  <c r="CH9" i="3" s="1"/>
  <c r="AK9" i="3" s="1"/>
  <c r="AL9" i="3" s="1"/>
  <c r="CF38" i="3"/>
  <c r="CG38" i="3" s="1"/>
  <c r="CH38" i="3" s="1"/>
  <c r="AK38" i="3" s="1"/>
  <c r="AL38" i="3" s="1"/>
  <c r="CF257" i="3"/>
  <c r="CG257" i="3" s="1"/>
  <c r="CH257" i="3" s="1"/>
  <c r="AK257" i="3" s="1"/>
  <c r="AL257" i="3" s="1"/>
  <c r="CF138" i="3"/>
  <c r="CG138" i="3" s="1"/>
  <c r="CH138" i="3" s="1"/>
  <c r="AK138" i="3" s="1"/>
  <c r="AL138" i="3" s="1"/>
  <c r="CF231" i="3"/>
  <c r="CG231" i="3" s="1"/>
  <c r="CH231" i="3" s="1"/>
  <c r="AK231" i="3" s="1"/>
  <c r="AL231" i="3" s="1"/>
  <c r="CF278" i="3"/>
  <c r="CG278" i="3" s="1"/>
  <c r="CH278" i="3" s="1"/>
  <c r="AK278" i="3" s="1"/>
  <c r="AL278" i="3" s="1"/>
  <c r="CF275" i="3"/>
  <c r="CG275" i="3" s="1"/>
  <c r="CH275" i="3" s="1"/>
  <c r="AK275" i="3" s="1"/>
  <c r="AL275" i="3" s="1"/>
  <c r="CF287" i="3"/>
  <c r="CG287" i="3" s="1"/>
  <c r="CH287" i="3" s="1"/>
  <c r="AK287" i="3" s="1"/>
  <c r="AL287" i="3" s="1"/>
  <c r="CF198" i="3"/>
  <c r="CG198" i="3" s="1"/>
  <c r="CH198" i="3" s="1"/>
  <c r="AK198" i="3" s="1"/>
  <c r="AL198" i="3" s="1"/>
  <c r="CF211" i="3"/>
  <c r="CG211" i="3" s="1"/>
  <c r="CH211" i="3" s="1"/>
  <c r="AK211" i="3" s="1"/>
  <c r="AL211" i="3" s="1"/>
  <c r="CF54" i="3"/>
  <c r="CG54" i="3" s="1"/>
  <c r="CH54" i="3" s="1"/>
  <c r="AK54" i="3" s="1"/>
  <c r="AL54" i="3" s="1"/>
  <c r="CF273" i="3"/>
  <c r="CG273" i="3" s="1"/>
  <c r="CH273" i="3" s="1"/>
  <c r="AK273" i="3" s="1"/>
  <c r="AL273" i="3" s="1"/>
  <c r="CF116" i="3"/>
  <c r="CG116" i="3" s="1"/>
  <c r="CH116" i="3" s="1"/>
  <c r="AK116" i="3" s="1"/>
  <c r="AL116" i="3" s="1"/>
  <c r="CF104" i="3"/>
  <c r="CG104" i="3" s="1"/>
  <c r="CH104" i="3" s="1"/>
  <c r="AK104" i="3" s="1"/>
  <c r="AL104" i="3" s="1"/>
  <c r="CF55" i="3"/>
  <c r="CG55" i="3" s="1"/>
  <c r="CH55" i="3" s="1"/>
  <c r="AK55" i="3" s="1"/>
  <c r="AL55" i="3" s="1"/>
  <c r="CF185" i="3"/>
  <c r="CG185" i="3" s="1"/>
  <c r="CH185" i="3" s="1"/>
  <c r="AK185" i="3" s="1"/>
  <c r="AL185" i="3" s="1"/>
  <c r="CF40" i="3"/>
  <c r="CG40" i="3" s="1"/>
  <c r="CH40" i="3" s="1"/>
  <c r="AK40" i="3" s="1"/>
  <c r="AL40" i="3" s="1"/>
  <c r="CF67" i="3"/>
  <c r="CG67" i="3" s="1"/>
  <c r="CH67" i="3" s="1"/>
  <c r="AK67" i="3" s="1"/>
  <c r="AL67" i="3" s="1"/>
  <c r="CF160" i="3"/>
  <c r="CG160" i="3" s="1"/>
  <c r="CH160" i="3" s="1"/>
  <c r="AK160" i="3" s="1"/>
  <c r="AL160" i="3" s="1"/>
  <c r="CF132" i="3"/>
  <c r="CG132" i="3" s="1"/>
  <c r="CH132" i="3" s="1"/>
  <c r="AK132" i="3" s="1"/>
  <c r="AL132" i="3" s="1"/>
  <c r="CF86" i="3"/>
  <c r="CG86" i="3" s="1"/>
  <c r="CH86" i="3" s="1"/>
  <c r="AK86" i="3" s="1"/>
  <c r="AL86" i="3" s="1"/>
  <c r="CF16" i="3"/>
  <c r="CG16" i="3" s="1"/>
  <c r="CH16" i="3" s="1"/>
  <c r="AK16" i="3" s="1"/>
  <c r="AL16" i="3" s="1"/>
  <c r="CF71" i="3"/>
  <c r="CG71" i="3" s="1"/>
  <c r="CH71" i="3" s="1"/>
  <c r="AK71" i="3" s="1"/>
  <c r="AL71" i="3" s="1"/>
  <c r="CF37" i="3"/>
  <c r="CG37" i="3" s="1"/>
  <c r="CH37" i="3" s="1"/>
  <c r="AK37" i="3" s="1"/>
  <c r="AL37" i="3" s="1"/>
  <c r="CF30" i="3"/>
  <c r="CG30" i="3" s="1"/>
  <c r="CH30" i="3" s="1"/>
  <c r="AK30" i="3" s="1"/>
  <c r="AL30" i="3" s="1"/>
  <c r="CF240" i="3"/>
  <c r="CG240" i="3" s="1"/>
  <c r="CH240" i="3" s="1"/>
  <c r="AK240" i="3" s="1"/>
  <c r="AL240" i="3" s="1"/>
  <c r="CF42" i="3"/>
  <c r="CG42" i="3" s="1"/>
  <c r="CH42" i="3" s="1"/>
  <c r="AK42" i="3" s="1"/>
  <c r="AL42" i="3" s="1"/>
  <c r="CF203" i="3"/>
  <c r="CG203" i="3" s="1"/>
  <c r="CH203" i="3" s="1"/>
  <c r="AK203" i="3" s="1"/>
  <c r="AL203" i="3" s="1"/>
  <c r="CF163" i="3"/>
  <c r="CG163" i="3" s="1"/>
  <c r="CH163" i="3" s="1"/>
  <c r="AK163" i="3" s="1"/>
  <c r="AL163" i="3" s="1"/>
  <c r="CF59" i="3"/>
  <c r="CG59" i="3" s="1"/>
  <c r="CH59" i="3" s="1"/>
  <c r="AK59" i="3" s="1"/>
  <c r="AL59" i="3" s="1"/>
  <c r="CF262" i="3"/>
  <c r="CG262" i="3" s="1"/>
  <c r="CH262" i="3" s="1"/>
  <c r="AK262" i="3" s="1"/>
  <c r="AL262" i="3" s="1"/>
  <c r="CF195" i="3"/>
  <c r="CG195" i="3" s="1"/>
  <c r="CH195" i="3" s="1"/>
  <c r="AK195" i="3" s="1"/>
  <c r="AL195" i="3" s="1"/>
  <c r="CF171" i="3"/>
  <c r="CG171" i="3" s="1"/>
  <c r="CH171" i="3" s="1"/>
  <c r="AK171" i="3" s="1"/>
  <c r="AL171" i="3" s="1"/>
  <c r="CF251" i="3"/>
  <c r="CG251" i="3" s="1"/>
  <c r="CH251" i="3" s="1"/>
  <c r="AK251" i="3" s="1"/>
  <c r="AL251" i="3" s="1"/>
  <c r="CF246" i="3"/>
  <c r="CG246" i="3" s="1"/>
  <c r="CH246" i="3" s="1"/>
  <c r="AK246" i="3" s="1"/>
  <c r="AL246" i="3" s="1"/>
  <c r="CF186" i="3"/>
  <c r="CG186" i="3" s="1"/>
  <c r="CH186" i="3" s="1"/>
  <c r="AK186" i="3" s="1"/>
  <c r="AL186" i="3" s="1"/>
  <c r="CF17" i="3"/>
  <c r="CG17" i="3" s="1"/>
  <c r="CH17" i="3" s="1"/>
  <c r="AK17" i="3" s="1"/>
  <c r="AL17" i="3" s="1"/>
  <c r="CF70" i="3"/>
  <c r="CG70" i="3" s="1"/>
  <c r="CH70" i="3" s="1"/>
  <c r="AK70" i="3" s="1"/>
  <c r="AL70" i="3" s="1"/>
  <c r="CF69" i="3"/>
  <c r="CG69" i="3" s="1"/>
  <c r="CH69" i="3" s="1"/>
  <c r="AK69" i="3" s="1"/>
  <c r="AL69" i="3" s="1"/>
  <c r="CF18" i="3"/>
  <c r="CG18" i="3" s="1"/>
  <c r="CH18" i="3" s="1"/>
  <c r="AK18" i="3" s="1"/>
  <c r="AL18" i="3" s="1"/>
  <c r="CF223" i="3"/>
  <c r="CG223" i="3" s="1"/>
  <c r="CH223" i="3" s="1"/>
  <c r="AK223" i="3" s="1"/>
  <c r="AL223" i="3" s="1"/>
  <c r="CF256" i="3"/>
  <c r="CG256" i="3" s="1"/>
  <c r="CH256" i="3" s="1"/>
  <c r="AK256" i="3" s="1"/>
  <c r="AL256" i="3" s="1"/>
  <c r="CF172" i="3"/>
  <c r="CG172" i="3" s="1"/>
  <c r="CH172" i="3" s="1"/>
  <c r="AK172" i="3" s="1"/>
  <c r="AL172" i="3" s="1"/>
  <c r="CF105" i="3"/>
  <c r="CG105" i="3" s="1"/>
  <c r="CH105" i="3" s="1"/>
  <c r="AK105" i="3" s="1"/>
  <c r="AL105" i="3" s="1"/>
  <c r="CF263" i="3"/>
  <c r="CG263" i="3" s="1"/>
  <c r="CH263" i="3" s="1"/>
  <c r="AK263" i="3" s="1"/>
  <c r="AL263" i="3" s="1"/>
  <c r="CF164" i="3"/>
  <c r="CG164" i="3" s="1"/>
  <c r="CH164" i="3" s="1"/>
  <c r="AK164" i="3" s="1"/>
  <c r="AL164" i="3" s="1"/>
  <c r="CF245" i="3"/>
  <c r="CG245" i="3" s="1"/>
  <c r="CH245" i="3" s="1"/>
  <c r="AK245" i="3" s="1"/>
  <c r="AL245" i="3" s="1"/>
  <c r="CF32" i="3"/>
  <c r="CG32" i="3" s="1"/>
  <c r="CH32" i="3" s="1"/>
  <c r="AK32" i="3" s="1"/>
  <c r="AL32" i="3" s="1"/>
  <c r="CF201" i="3"/>
  <c r="CG201" i="3" s="1"/>
  <c r="CH201" i="3" s="1"/>
  <c r="AK201" i="3" s="1"/>
  <c r="AL201" i="3" s="1"/>
  <c r="CF143" i="3"/>
  <c r="CG143" i="3" s="1"/>
  <c r="CH143" i="3" s="1"/>
  <c r="AK143" i="3" s="1"/>
  <c r="AL143" i="3" s="1"/>
  <c r="CF24" i="3"/>
  <c r="CG24" i="3" s="1"/>
  <c r="CH24" i="3" s="1"/>
  <c r="AK24" i="3" s="1"/>
  <c r="AL24" i="3" s="1"/>
  <c r="CF217" i="3"/>
  <c r="CG217" i="3" s="1"/>
  <c r="CH217" i="3" s="1"/>
  <c r="AK217" i="3" s="1"/>
  <c r="AL217" i="3" s="1"/>
  <c r="CF215" i="3"/>
  <c r="CG215" i="3" s="1"/>
  <c r="CH215" i="3" s="1"/>
  <c r="AK215" i="3" s="1"/>
  <c r="AL215" i="3" s="1"/>
  <c r="CF247" i="3"/>
  <c r="CG247" i="3" s="1"/>
  <c r="CH247" i="3" s="1"/>
  <c r="AK247" i="3" s="1"/>
  <c r="AL247" i="3" s="1"/>
  <c r="CF232" i="3"/>
  <c r="CG232" i="3" s="1"/>
  <c r="CH232" i="3" s="1"/>
  <c r="AK232" i="3" s="1"/>
  <c r="AL232" i="3" s="1"/>
  <c r="CB5" i="3"/>
  <c r="CC5" i="3" s="1"/>
  <c r="CD5" i="3" s="1"/>
  <c r="CF5" i="3" s="1"/>
  <c r="CG5" i="3" s="1"/>
  <c r="CH5" i="3" s="1"/>
  <c r="AK5" i="3" s="1"/>
  <c r="AL5" i="3" s="1"/>
  <c r="CF26" i="3"/>
  <c r="CG26" i="3" s="1"/>
  <c r="CH26" i="3" s="1"/>
  <c r="AK26" i="3" s="1"/>
  <c r="AL26" i="3" s="1"/>
  <c r="AC5" i="3"/>
  <c r="X5" i="3"/>
  <c r="G220" i="14"/>
  <c r="H220" i="14" s="1"/>
  <c r="I220" i="14" s="1"/>
  <c r="G172" i="14"/>
  <c r="H172" i="14" s="1"/>
  <c r="I172" i="14" s="1"/>
  <c r="G12" i="14"/>
  <c r="H12" i="14" s="1"/>
  <c r="I12" i="14" s="1"/>
  <c r="G87" i="14"/>
  <c r="H87" i="14" s="1"/>
  <c r="I87" i="14" s="1"/>
  <c r="G71" i="14"/>
  <c r="H71" i="14" s="1"/>
  <c r="I71" i="14" s="1"/>
  <c r="G229" i="14"/>
  <c r="H229" i="14" s="1"/>
  <c r="I229" i="14" s="1"/>
  <c r="G34" i="14"/>
  <c r="H34" i="14" s="1"/>
  <c r="I34" i="14" s="1"/>
  <c r="G290" i="14"/>
  <c r="H290" i="14" s="1"/>
  <c r="I290" i="14" s="1"/>
  <c r="S290" i="3" s="1"/>
  <c r="G186" i="14"/>
  <c r="H186" i="14" s="1"/>
  <c r="I186" i="14" s="1"/>
  <c r="G138" i="14"/>
  <c r="H138" i="14" s="1"/>
  <c r="I138" i="14" s="1"/>
  <c r="G98" i="14"/>
  <c r="H98" i="14" s="1"/>
  <c r="I98" i="14" s="1"/>
  <c r="G90" i="14"/>
  <c r="H90" i="14" s="1"/>
  <c r="I90" i="14" s="1"/>
  <c r="G82" i="14"/>
  <c r="H82" i="14" s="1"/>
  <c r="I82" i="14" s="1"/>
  <c r="G151" i="14"/>
  <c r="H151" i="14" s="1"/>
  <c r="I151" i="14" s="1"/>
  <c r="G244" i="14"/>
  <c r="H244" i="14" s="1"/>
  <c r="I244" i="14" s="1"/>
  <c r="G84" i="14"/>
  <c r="H84" i="14" s="1"/>
  <c r="I84" i="14" s="1"/>
  <c r="G286" i="14"/>
  <c r="H286" i="14" s="1"/>
  <c r="I286" i="14" s="1"/>
  <c r="S286" i="3" s="1"/>
  <c r="G118" i="14"/>
  <c r="H118" i="14" s="1"/>
  <c r="I118" i="14" s="1"/>
  <c r="G273" i="14"/>
  <c r="H273" i="14" s="1"/>
  <c r="I273" i="14" s="1"/>
  <c r="G249" i="14"/>
  <c r="H249" i="14" s="1"/>
  <c r="I249" i="14" s="1"/>
  <c r="G187" i="14"/>
  <c r="H187" i="14" s="1"/>
  <c r="I187" i="14" s="1"/>
  <c r="G262" i="14"/>
  <c r="H262" i="14" s="1"/>
  <c r="I262" i="14" s="1"/>
  <c r="S262" i="3" s="1"/>
  <c r="G206" i="14"/>
  <c r="H206" i="14" s="1"/>
  <c r="I206" i="14" s="1"/>
  <c r="G150" i="14"/>
  <c r="H150" i="14" s="1"/>
  <c r="I150" i="14" s="1"/>
  <c r="G102" i="14"/>
  <c r="H102" i="14" s="1"/>
  <c r="I102" i="14" s="1"/>
  <c r="G94" i="14"/>
  <c r="H94" i="14" s="1"/>
  <c r="I94" i="14" s="1"/>
  <c r="G62" i="14"/>
  <c r="H62" i="14" s="1"/>
  <c r="I62" i="14" s="1"/>
  <c r="G54" i="14"/>
  <c r="H54" i="14" s="1"/>
  <c r="I54" i="14" s="1"/>
  <c r="G30" i="14"/>
  <c r="H30" i="14" s="1"/>
  <c r="I30" i="14" s="1"/>
  <c r="G22" i="14"/>
  <c r="H22" i="14" s="1"/>
  <c r="I22" i="14" s="1"/>
  <c r="G14" i="14"/>
  <c r="H14" i="14" s="1"/>
  <c r="I14" i="14" s="1"/>
  <c r="G289" i="14"/>
  <c r="H289" i="14" s="1"/>
  <c r="I289" i="14" s="1"/>
  <c r="G281" i="14"/>
  <c r="H281" i="14" s="1"/>
  <c r="I281" i="14" s="1"/>
  <c r="G265" i="14"/>
  <c r="H265" i="14" s="1"/>
  <c r="I265" i="14" s="1"/>
  <c r="G217" i="14"/>
  <c r="H217" i="14" s="1"/>
  <c r="I217" i="14" s="1"/>
  <c r="G193" i="14"/>
  <c r="H193" i="14" s="1"/>
  <c r="I193" i="14" s="1"/>
  <c r="G177" i="14"/>
  <c r="H177" i="14" s="1"/>
  <c r="I177" i="14" s="1"/>
  <c r="G121" i="14"/>
  <c r="H121" i="14" s="1"/>
  <c r="I121" i="14" s="1"/>
  <c r="G73" i="14"/>
  <c r="H73" i="14" s="1"/>
  <c r="I73" i="14" s="1"/>
  <c r="G275" i="14"/>
  <c r="H275" i="14" s="1"/>
  <c r="I275" i="14" s="1"/>
  <c r="G235" i="14"/>
  <c r="H235" i="14" s="1"/>
  <c r="I235" i="14" s="1"/>
  <c r="G227" i="14"/>
  <c r="H227" i="14" s="1"/>
  <c r="I227" i="14" s="1"/>
  <c r="G179" i="14"/>
  <c r="H179" i="14" s="1"/>
  <c r="I179" i="14" s="1"/>
  <c r="G163" i="14"/>
  <c r="H163" i="14" s="1"/>
  <c r="I163" i="14" s="1"/>
  <c r="G131" i="14"/>
  <c r="H131" i="14" s="1"/>
  <c r="I131" i="14" s="1"/>
  <c r="G115" i="14"/>
  <c r="H115" i="14" s="1"/>
  <c r="I115" i="14" s="1"/>
  <c r="G99" i="14"/>
  <c r="H99" i="14" s="1"/>
  <c r="I99" i="14" s="1"/>
  <c r="G51" i="14"/>
  <c r="H51" i="14" s="1"/>
  <c r="I51" i="14" s="1"/>
  <c r="N4" i="17"/>
  <c r="G284" i="14"/>
  <c r="H284" i="14" s="1"/>
  <c r="I284" i="14" s="1"/>
  <c r="G276" i="14"/>
  <c r="H276" i="14" s="1"/>
  <c r="I276" i="14" s="1"/>
  <c r="S276" i="3" s="1"/>
  <c r="G268" i="14"/>
  <c r="H268" i="14" s="1"/>
  <c r="I268" i="14" s="1"/>
  <c r="S268" i="3" s="1"/>
  <c r="G252" i="14"/>
  <c r="H252" i="14" s="1"/>
  <c r="I252" i="14" s="1"/>
  <c r="G228" i="14"/>
  <c r="H228" i="14" s="1"/>
  <c r="I228" i="14" s="1"/>
  <c r="G212" i="14"/>
  <c r="H212" i="14" s="1"/>
  <c r="I212" i="14" s="1"/>
  <c r="S212" i="3" s="1"/>
  <c r="G204" i="14"/>
  <c r="H204" i="14" s="1"/>
  <c r="I204" i="14" s="1"/>
  <c r="G196" i="14"/>
  <c r="H196" i="14" s="1"/>
  <c r="I196" i="14" s="1"/>
  <c r="G188" i="14"/>
  <c r="H188" i="14" s="1"/>
  <c r="I188" i="14" s="1"/>
  <c r="G156" i="14"/>
  <c r="H156" i="14" s="1"/>
  <c r="I156" i="14" s="1"/>
  <c r="G148" i="14"/>
  <c r="H148" i="14" s="1"/>
  <c r="I148" i="14" s="1"/>
  <c r="G132" i="14"/>
  <c r="H132" i="14" s="1"/>
  <c r="I132" i="14" s="1"/>
  <c r="G116" i="14"/>
  <c r="H116" i="14" s="1"/>
  <c r="I116" i="14" s="1"/>
  <c r="G108" i="14"/>
  <c r="H108" i="14" s="1"/>
  <c r="I108" i="14" s="1"/>
  <c r="G92" i="14"/>
  <c r="H92" i="14" s="1"/>
  <c r="I92" i="14" s="1"/>
  <c r="G76" i="14"/>
  <c r="H76" i="14" s="1"/>
  <c r="I76" i="14" s="1"/>
  <c r="G68" i="14"/>
  <c r="H68" i="14" s="1"/>
  <c r="I68" i="14" s="1"/>
  <c r="G60" i="14"/>
  <c r="H60" i="14" s="1"/>
  <c r="I60" i="14" s="1"/>
  <c r="G44" i="14"/>
  <c r="H44" i="14" s="1"/>
  <c r="I44" i="14" s="1"/>
  <c r="G36" i="14"/>
  <c r="H36" i="14" s="1"/>
  <c r="I36" i="14" s="1"/>
  <c r="G20" i="14"/>
  <c r="H20" i="14" s="1"/>
  <c r="I20" i="14" s="1"/>
  <c r="P5" i="17"/>
  <c r="Q5" i="17" s="1"/>
  <c r="Q4" i="17" s="1"/>
  <c r="G283" i="14"/>
  <c r="H283" i="14" s="1"/>
  <c r="I283" i="14" s="1"/>
  <c r="S283" i="3" s="1"/>
  <c r="G267" i="14"/>
  <c r="H267" i="14" s="1"/>
  <c r="I267" i="14" s="1"/>
  <c r="S267" i="3" s="1"/>
  <c r="G243" i="14"/>
  <c r="H243" i="14" s="1"/>
  <c r="I243" i="14" s="1"/>
  <c r="G219" i="14"/>
  <c r="H219" i="14" s="1"/>
  <c r="I219" i="14" s="1"/>
  <c r="G211" i="14"/>
  <c r="H211" i="14" s="1"/>
  <c r="I211" i="14" s="1"/>
  <c r="G171" i="14"/>
  <c r="H171" i="14" s="1"/>
  <c r="I171" i="14" s="1"/>
  <c r="G139" i="14"/>
  <c r="H139" i="14" s="1"/>
  <c r="I139" i="14" s="1"/>
  <c r="G123" i="14"/>
  <c r="H123" i="14" s="1"/>
  <c r="I123" i="14" s="1"/>
  <c r="G107" i="14"/>
  <c r="H107" i="14" s="1"/>
  <c r="I107" i="14" s="1"/>
  <c r="S107" i="3" s="1"/>
  <c r="G91" i="14"/>
  <c r="H91" i="14" s="1"/>
  <c r="I91" i="14" s="1"/>
  <c r="G83" i="14"/>
  <c r="H83" i="14" s="1"/>
  <c r="I83" i="14" s="1"/>
  <c r="G67" i="14"/>
  <c r="H67" i="14" s="1"/>
  <c r="I67" i="14" s="1"/>
  <c r="G59" i="14"/>
  <c r="H59" i="14" s="1"/>
  <c r="I59" i="14" s="1"/>
  <c r="G35" i="14"/>
  <c r="H35" i="14" s="1"/>
  <c r="I35" i="14" s="1"/>
  <c r="G27" i="14"/>
  <c r="H27" i="14" s="1"/>
  <c r="I27" i="14" s="1"/>
  <c r="G19" i="14"/>
  <c r="H19" i="14" s="1"/>
  <c r="I19" i="14" s="1"/>
  <c r="G11" i="14"/>
  <c r="H11" i="14" s="1"/>
  <c r="I11" i="14" s="1"/>
  <c r="G287" i="14"/>
  <c r="H287" i="14" s="1"/>
  <c r="I287" i="14" s="1"/>
  <c r="G279" i="14"/>
  <c r="H279" i="14" s="1"/>
  <c r="I279" i="14" s="1"/>
  <c r="S279" i="3" s="1"/>
  <c r="G271" i="14"/>
  <c r="H271" i="14" s="1"/>
  <c r="I271" i="14" s="1"/>
  <c r="S271" i="3" s="1"/>
  <c r="G263" i="14"/>
  <c r="H263" i="14" s="1"/>
  <c r="I263" i="14" s="1"/>
  <c r="S263" i="3" s="1"/>
  <c r="G255" i="14"/>
  <c r="H255" i="14" s="1"/>
  <c r="I255" i="14" s="1"/>
  <c r="S255" i="3" s="1"/>
  <c r="G247" i="14"/>
  <c r="H247" i="14" s="1"/>
  <c r="I247" i="14" s="1"/>
  <c r="G223" i="14"/>
  <c r="H223" i="14" s="1"/>
  <c r="I223" i="14" s="1"/>
  <c r="G199" i="14"/>
  <c r="H199" i="14" s="1"/>
  <c r="I199" i="14" s="1"/>
  <c r="S199" i="3" s="1"/>
  <c r="G191" i="14"/>
  <c r="H191" i="14" s="1"/>
  <c r="I191" i="14" s="1"/>
  <c r="G159" i="14"/>
  <c r="H159" i="14" s="1"/>
  <c r="I159" i="14" s="1"/>
  <c r="S159" i="3" s="1"/>
  <c r="G127" i="14"/>
  <c r="H127" i="14" s="1"/>
  <c r="I127" i="14" s="1"/>
  <c r="G95" i="14"/>
  <c r="H95" i="14" s="1"/>
  <c r="I95" i="14" s="1"/>
  <c r="G79" i="14"/>
  <c r="H79" i="14" s="1"/>
  <c r="I79" i="14" s="1"/>
  <c r="G63" i="14"/>
  <c r="H63" i="14" s="1"/>
  <c r="I63" i="14" s="1"/>
  <c r="G47" i="14"/>
  <c r="H47" i="14" s="1"/>
  <c r="I47" i="14" s="1"/>
  <c r="G39" i="14"/>
  <c r="H39" i="14" s="1"/>
  <c r="I39" i="14" s="1"/>
  <c r="G7" i="14"/>
  <c r="H7" i="14" s="1"/>
  <c r="I7" i="14" s="1"/>
  <c r="G246" i="14"/>
  <c r="H246" i="14" s="1"/>
  <c r="I246" i="14" s="1"/>
  <c r="S246" i="3" s="1"/>
  <c r="U246" i="3" s="1"/>
  <c r="G230" i="14"/>
  <c r="H230" i="14" s="1"/>
  <c r="I230" i="14" s="1"/>
  <c r="G222" i="14"/>
  <c r="H222" i="14" s="1"/>
  <c r="I222" i="14" s="1"/>
  <c r="G214" i="14"/>
  <c r="H214" i="14" s="1"/>
  <c r="I214" i="14" s="1"/>
  <c r="G198" i="14"/>
  <c r="H198" i="14" s="1"/>
  <c r="I198" i="14" s="1"/>
  <c r="G174" i="14"/>
  <c r="H174" i="14" s="1"/>
  <c r="I174" i="14" s="1"/>
  <c r="S174" i="3" s="1"/>
  <c r="G166" i="14"/>
  <c r="H166" i="14" s="1"/>
  <c r="I166" i="14" s="1"/>
  <c r="G126" i="14"/>
  <c r="H126" i="14" s="1"/>
  <c r="I126" i="14" s="1"/>
  <c r="G78" i="14"/>
  <c r="H78" i="14" s="1"/>
  <c r="I78" i="14" s="1"/>
  <c r="S78" i="3" s="1"/>
  <c r="G46" i="14"/>
  <c r="H46" i="14" s="1"/>
  <c r="I46" i="14" s="1"/>
  <c r="G38" i="14"/>
  <c r="H38" i="14" s="1"/>
  <c r="I38" i="14" s="1"/>
  <c r="G6" i="14"/>
  <c r="H6" i="14" s="1"/>
  <c r="I6" i="14" s="1"/>
  <c r="G282" i="14"/>
  <c r="H282" i="14" s="1"/>
  <c r="I282" i="14" s="1"/>
  <c r="G274" i="14"/>
  <c r="H274" i="14" s="1"/>
  <c r="I274" i="14" s="1"/>
  <c r="S274" i="3" s="1"/>
  <c r="U274" i="3" s="1"/>
  <c r="G266" i="14"/>
  <c r="H266" i="14" s="1"/>
  <c r="I266" i="14" s="1"/>
  <c r="S266" i="3" s="1"/>
  <c r="G258" i="14"/>
  <c r="H258" i="14" s="1"/>
  <c r="I258" i="14" s="1"/>
  <c r="G250" i="14"/>
  <c r="H250" i="14" s="1"/>
  <c r="I250" i="14" s="1"/>
  <c r="G242" i="14"/>
  <c r="H242" i="14" s="1"/>
  <c r="I242" i="14" s="1"/>
  <c r="G234" i="14"/>
  <c r="H234" i="14" s="1"/>
  <c r="I234" i="14" s="1"/>
  <c r="G226" i="14"/>
  <c r="H226" i="14" s="1"/>
  <c r="I226" i="14" s="1"/>
  <c r="G218" i="14"/>
  <c r="H218" i="14" s="1"/>
  <c r="I218" i="14" s="1"/>
  <c r="G210" i="14"/>
  <c r="H210" i="14" s="1"/>
  <c r="I210" i="14" s="1"/>
  <c r="G202" i="14"/>
  <c r="H202" i="14" s="1"/>
  <c r="I202" i="14" s="1"/>
  <c r="S202" i="3" s="1"/>
  <c r="G194" i="14"/>
  <c r="H194" i="14" s="1"/>
  <c r="I194" i="14" s="1"/>
  <c r="S194" i="3" s="1"/>
  <c r="G178" i="14"/>
  <c r="H178" i="14" s="1"/>
  <c r="I178" i="14" s="1"/>
  <c r="G170" i="14"/>
  <c r="H170" i="14" s="1"/>
  <c r="I170" i="14" s="1"/>
  <c r="G162" i="14"/>
  <c r="H162" i="14" s="1"/>
  <c r="I162" i="14" s="1"/>
  <c r="G154" i="14"/>
  <c r="H154" i="14" s="1"/>
  <c r="I154" i="14" s="1"/>
  <c r="G146" i="14"/>
  <c r="H146" i="14" s="1"/>
  <c r="I146" i="14" s="1"/>
  <c r="S146" i="3" s="1"/>
  <c r="G130" i="14"/>
  <c r="H130" i="14" s="1"/>
  <c r="I130" i="14" s="1"/>
  <c r="S130" i="3" s="1"/>
  <c r="G122" i="14"/>
  <c r="H122" i="14" s="1"/>
  <c r="I122" i="14" s="1"/>
  <c r="G114" i="14"/>
  <c r="H114" i="14" s="1"/>
  <c r="I114" i="14" s="1"/>
  <c r="G106" i="14"/>
  <c r="H106" i="14" s="1"/>
  <c r="I106" i="14" s="1"/>
  <c r="G74" i="14"/>
  <c r="H74" i="14" s="1"/>
  <c r="I74" i="14" s="1"/>
  <c r="S74" i="3" s="1"/>
  <c r="G66" i="14"/>
  <c r="H66" i="14" s="1"/>
  <c r="I66" i="14" s="1"/>
  <c r="G58" i="14"/>
  <c r="H58" i="14" s="1"/>
  <c r="I58" i="14" s="1"/>
  <c r="S58" i="3" s="1"/>
  <c r="G50" i="14"/>
  <c r="H50" i="14" s="1"/>
  <c r="I50" i="14" s="1"/>
  <c r="G42" i="14"/>
  <c r="H42" i="14" s="1"/>
  <c r="I42" i="14" s="1"/>
  <c r="G26" i="14"/>
  <c r="H26" i="14" s="1"/>
  <c r="I26" i="14" s="1"/>
  <c r="G18" i="14"/>
  <c r="H18" i="14" s="1"/>
  <c r="I18" i="14" s="1"/>
  <c r="G10" i="14"/>
  <c r="H10" i="14" s="1"/>
  <c r="I10" i="14" s="1"/>
  <c r="CF196" i="3"/>
  <c r="CG196" i="3" s="1"/>
  <c r="CH196" i="3" s="1"/>
  <c r="AK196" i="3" s="1"/>
  <c r="AL196" i="3" s="1"/>
  <c r="G257" i="14"/>
  <c r="H257" i="14" s="1"/>
  <c r="I257" i="14" s="1"/>
  <c r="S257" i="3" s="1"/>
  <c r="U257" i="3" s="1"/>
  <c r="G241" i="14"/>
  <c r="H241" i="14" s="1"/>
  <c r="I241" i="14" s="1"/>
  <c r="G233" i="14"/>
  <c r="H233" i="14" s="1"/>
  <c r="I233" i="14" s="1"/>
  <c r="S233" i="3" s="1"/>
  <c r="G225" i="14"/>
  <c r="H225" i="14" s="1"/>
  <c r="I225" i="14" s="1"/>
  <c r="S225" i="3" s="1"/>
  <c r="G209" i="14"/>
  <c r="H209" i="14" s="1"/>
  <c r="I209" i="14" s="1"/>
  <c r="G201" i="14"/>
  <c r="H201" i="14" s="1"/>
  <c r="I201" i="14" s="1"/>
  <c r="G185" i="14"/>
  <c r="H185" i="14" s="1"/>
  <c r="I185" i="14" s="1"/>
  <c r="G169" i="14"/>
  <c r="H169" i="14" s="1"/>
  <c r="I169" i="14" s="1"/>
  <c r="G161" i="14"/>
  <c r="H161" i="14" s="1"/>
  <c r="I161" i="14" s="1"/>
  <c r="G153" i="14"/>
  <c r="H153" i="14" s="1"/>
  <c r="I153" i="14" s="1"/>
  <c r="G145" i="14"/>
  <c r="H145" i="14" s="1"/>
  <c r="I145" i="14" s="1"/>
  <c r="S145" i="3" s="1"/>
  <c r="G137" i="14"/>
  <c r="H137" i="14" s="1"/>
  <c r="I137" i="14" s="1"/>
  <c r="S137" i="3" s="1"/>
  <c r="G129" i="14"/>
  <c r="H129" i="14" s="1"/>
  <c r="I129" i="14" s="1"/>
  <c r="S129" i="3" s="1"/>
  <c r="G113" i="14"/>
  <c r="H113" i="14" s="1"/>
  <c r="I113" i="14" s="1"/>
  <c r="S113" i="3" s="1"/>
  <c r="G105" i="14"/>
  <c r="H105" i="14" s="1"/>
  <c r="I105" i="14" s="1"/>
  <c r="G97" i="14"/>
  <c r="H97" i="14" s="1"/>
  <c r="I97" i="14" s="1"/>
  <c r="S97" i="3" s="1"/>
  <c r="G89" i="14"/>
  <c r="H89" i="14" s="1"/>
  <c r="I89" i="14" s="1"/>
  <c r="G81" i="14"/>
  <c r="H81" i="14" s="1"/>
  <c r="I81" i="14" s="1"/>
  <c r="G65" i="14"/>
  <c r="H65" i="14" s="1"/>
  <c r="I65" i="14" s="1"/>
  <c r="G57" i="14"/>
  <c r="H57" i="14" s="1"/>
  <c r="I57" i="14" s="1"/>
  <c r="G49" i="14"/>
  <c r="H49" i="14" s="1"/>
  <c r="I49" i="14" s="1"/>
  <c r="G41" i="14"/>
  <c r="H41" i="14" s="1"/>
  <c r="I41" i="14" s="1"/>
  <c r="G33" i="14"/>
  <c r="H33" i="14" s="1"/>
  <c r="I33" i="14" s="1"/>
  <c r="G25" i="14"/>
  <c r="H25" i="14" s="1"/>
  <c r="I25" i="14" s="1"/>
  <c r="G17" i="14"/>
  <c r="H17" i="14" s="1"/>
  <c r="I17" i="14" s="1"/>
  <c r="G9" i="14"/>
  <c r="H9" i="14" s="1"/>
  <c r="I9" i="14" s="1"/>
  <c r="G120" i="14"/>
  <c r="H120" i="14" s="1"/>
  <c r="I120" i="14" s="1"/>
  <c r="G80" i="14"/>
  <c r="H80" i="14" s="1"/>
  <c r="I80" i="14" s="1"/>
  <c r="G40" i="14"/>
  <c r="H40" i="14" s="1"/>
  <c r="I40" i="14" s="1"/>
  <c r="G16" i="14"/>
  <c r="H16" i="14" s="1"/>
  <c r="I16" i="14" s="1"/>
  <c r="G285" i="14"/>
  <c r="H285" i="14" s="1"/>
  <c r="I285" i="14" s="1"/>
  <c r="S285" i="3" s="1"/>
  <c r="G269" i="14"/>
  <c r="H269" i="14" s="1"/>
  <c r="I269" i="14" s="1"/>
  <c r="S269" i="3" s="1"/>
  <c r="G253" i="14"/>
  <c r="H253" i="14" s="1"/>
  <c r="I253" i="14" s="1"/>
  <c r="G237" i="14"/>
  <c r="H237" i="14" s="1"/>
  <c r="I237" i="14" s="1"/>
  <c r="G213" i="14"/>
  <c r="H213" i="14" s="1"/>
  <c r="I213" i="14" s="1"/>
  <c r="G197" i="14"/>
  <c r="H197" i="14" s="1"/>
  <c r="I197" i="14" s="1"/>
  <c r="S197" i="3" s="1"/>
  <c r="G189" i="14"/>
  <c r="H189" i="14" s="1"/>
  <c r="I189" i="14" s="1"/>
  <c r="G181" i="14"/>
  <c r="H181" i="14" s="1"/>
  <c r="I181" i="14" s="1"/>
  <c r="G173" i="14"/>
  <c r="H173" i="14" s="1"/>
  <c r="I173" i="14" s="1"/>
  <c r="S173" i="3" s="1"/>
  <c r="G157" i="14"/>
  <c r="H157" i="14" s="1"/>
  <c r="I157" i="14" s="1"/>
  <c r="G149" i="14"/>
  <c r="H149" i="14" s="1"/>
  <c r="I149" i="14" s="1"/>
  <c r="G141" i="14"/>
  <c r="H141" i="14" s="1"/>
  <c r="I141" i="14" s="1"/>
  <c r="G125" i="14"/>
  <c r="H125" i="14" s="1"/>
  <c r="I125" i="14" s="1"/>
  <c r="G117" i="14"/>
  <c r="H117" i="14" s="1"/>
  <c r="I117" i="14" s="1"/>
  <c r="G109" i="14"/>
  <c r="H109" i="14" s="1"/>
  <c r="I109" i="14" s="1"/>
  <c r="G101" i="14"/>
  <c r="H101" i="14" s="1"/>
  <c r="I101" i="14" s="1"/>
  <c r="S101" i="3" s="1"/>
  <c r="G85" i="14"/>
  <c r="H85" i="14" s="1"/>
  <c r="I85" i="14" s="1"/>
  <c r="S85" i="3" s="1"/>
  <c r="G77" i="14"/>
  <c r="H77" i="14" s="1"/>
  <c r="I77" i="14" s="1"/>
  <c r="S77" i="3" s="1"/>
  <c r="G69" i="14"/>
  <c r="H69" i="14" s="1"/>
  <c r="I69" i="14" s="1"/>
  <c r="S69" i="3" s="1"/>
  <c r="G53" i="14"/>
  <c r="H53" i="14" s="1"/>
  <c r="I53" i="14" s="1"/>
  <c r="G37" i="14"/>
  <c r="H37" i="14" s="1"/>
  <c r="I37" i="14" s="1"/>
  <c r="G29" i="14"/>
  <c r="H29" i="14" s="1"/>
  <c r="I29" i="14" s="1"/>
  <c r="G13" i="14"/>
  <c r="H13" i="14" s="1"/>
  <c r="I13" i="14" s="1"/>
  <c r="O4" i="3"/>
  <c r="G288" i="14"/>
  <c r="H288" i="14" s="1"/>
  <c r="I288" i="14" s="1"/>
  <c r="S288" i="3" s="1"/>
  <c r="G272" i="14"/>
  <c r="H272" i="14" s="1"/>
  <c r="I272" i="14" s="1"/>
  <c r="S272" i="3" s="1"/>
  <c r="G264" i="14"/>
  <c r="H264" i="14" s="1"/>
  <c r="I264" i="14" s="1"/>
  <c r="S264" i="3" s="1"/>
  <c r="G256" i="14"/>
  <c r="H256" i="14" s="1"/>
  <c r="I256" i="14" s="1"/>
  <c r="G240" i="14"/>
  <c r="H240" i="14" s="1"/>
  <c r="I240" i="14" s="1"/>
  <c r="G232" i="14"/>
  <c r="H232" i="14" s="1"/>
  <c r="I232" i="14" s="1"/>
  <c r="G224" i="14"/>
  <c r="H224" i="14" s="1"/>
  <c r="I224" i="14" s="1"/>
  <c r="G216" i="14"/>
  <c r="H216" i="14" s="1"/>
  <c r="I216" i="14" s="1"/>
  <c r="G208" i="14"/>
  <c r="H208" i="14" s="1"/>
  <c r="I208" i="14" s="1"/>
  <c r="G200" i="14"/>
  <c r="H200" i="14" s="1"/>
  <c r="I200" i="14" s="1"/>
  <c r="S200" i="3" s="1"/>
  <c r="G192" i="14"/>
  <c r="H192" i="14" s="1"/>
  <c r="I192" i="14" s="1"/>
  <c r="S192" i="3" s="1"/>
  <c r="G184" i="14"/>
  <c r="H184" i="14" s="1"/>
  <c r="I184" i="14" s="1"/>
  <c r="G168" i="14"/>
  <c r="H168" i="14" s="1"/>
  <c r="I168" i="14" s="1"/>
  <c r="S168" i="3" s="1"/>
  <c r="G160" i="14"/>
  <c r="H160" i="14" s="1"/>
  <c r="I160" i="14" s="1"/>
  <c r="S160" i="3" s="1"/>
  <c r="G152" i="14"/>
  <c r="H152" i="14" s="1"/>
  <c r="I152" i="14" s="1"/>
  <c r="G144" i="14"/>
  <c r="H144" i="14" s="1"/>
  <c r="I144" i="14" s="1"/>
  <c r="G136" i="14"/>
  <c r="H136" i="14" s="1"/>
  <c r="I136" i="14" s="1"/>
  <c r="G104" i="14"/>
  <c r="H104" i="14" s="1"/>
  <c r="I104" i="14" s="1"/>
  <c r="S104" i="3" s="1"/>
  <c r="G72" i="14"/>
  <c r="H72" i="14" s="1"/>
  <c r="I72" i="14" s="1"/>
  <c r="G64" i="14"/>
  <c r="H64" i="14" s="1"/>
  <c r="I64" i="14" s="1"/>
  <c r="S64" i="3" s="1"/>
  <c r="G56" i="14"/>
  <c r="H56" i="14" s="1"/>
  <c r="I56" i="14" s="1"/>
  <c r="S56" i="3" s="1"/>
  <c r="G48" i="14"/>
  <c r="H48" i="14" s="1"/>
  <c r="I48" i="14" s="1"/>
  <c r="G24" i="14"/>
  <c r="H24" i="14" s="1"/>
  <c r="I24" i="14" s="1"/>
  <c r="K4" i="3"/>
  <c r="CF194" i="3"/>
  <c r="CG194" i="3" s="1"/>
  <c r="CH194" i="3" s="1"/>
  <c r="AK194" i="3" s="1"/>
  <c r="AL194" i="3" s="1"/>
  <c r="CE4" i="3"/>
  <c r="G239" i="14"/>
  <c r="H239" i="14" s="1"/>
  <c r="I239" i="14" s="1"/>
  <c r="S239" i="3" s="1"/>
  <c r="U239" i="3" s="1"/>
  <c r="G231" i="14"/>
  <c r="H231" i="14" s="1"/>
  <c r="I231" i="14" s="1"/>
  <c r="S231" i="3" s="1"/>
  <c r="G215" i="14"/>
  <c r="H215" i="14" s="1"/>
  <c r="I215" i="14" s="1"/>
  <c r="S215" i="3" s="1"/>
  <c r="G207" i="14"/>
  <c r="H207" i="14" s="1"/>
  <c r="I207" i="14" s="1"/>
  <c r="S207" i="3" s="1"/>
  <c r="G183" i="14"/>
  <c r="H183" i="14" s="1"/>
  <c r="I183" i="14" s="1"/>
  <c r="S183" i="3" s="1"/>
  <c r="G175" i="14"/>
  <c r="H175" i="14" s="1"/>
  <c r="I175" i="14" s="1"/>
  <c r="G167" i="14"/>
  <c r="H167" i="14" s="1"/>
  <c r="I167" i="14" s="1"/>
  <c r="S167" i="3" s="1"/>
  <c r="G143" i="14"/>
  <c r="H143" i="14" s="1"/>
  <c r="I143" i="14" s="1"/>
  <c r="G135" i="14"/>
  <c r="H135" i="14" s="1"/>
  <c r="I135" i="14" s="1"/>
  <c r="G119" i="14"/>
  <c r="H119" i="14" s="1"/>
  <c r="I119" i="14" s="1"/>
  <c r="G111" i="14"/>
  <c r="H111" i="14" s="1"/>
  <c r="I111" i="14" s="1"/>
  <c r="S111" i="3" s="1"/>
  <c r="G103" i="14"/>
  <c r="H103" i="14" s="1"/>
  <c r="I103" i="14" s="1"/>
  <c r="G55" i="14"/>
  <c r="H55" i="14" s="1"/>
  <c r="I55" i="14" s="1"/>
  <c r="S55" i="3" s="1"/>
  <c r="G31" i="14"/>
  <c r="H31" i="14" s="1"/>
  <c r="I31" i="14" s="1"/>
  <c r="G23" i="14"/>
  <c r="H23" i="14" s="1"/>
  <c r="I23" i="14" s="1"/>
  <c r="G15" i="14"/>
  <c r="H15" i="14" s="1"/>
  <c r="I15" i="14" s="1"/>
  <c r="G260" i="14"/>
  <c r="H260" i="14" s="1"/>
  <c r="I260" i="14" s="1"/>
  <c r="S260" i="3" s="1"/>
  <c r="G236" i="14"/>
  <c r="H236" i="14" s="1"/>
  <c r="I236" i="14" s="1"/>
  <c r="S236" i="3" s="1"/>
  <c r="G180" i="14"/>
  <c r="H180" i="14" s="1"/>
  <c r="I180" i="14" s="1"/>
  <c r="S180" i="3" s="1"/>
  <c r="G164" i="14"/>
  <c r="H164" i="14" s="1"/>
  <c r="I164" i="14" s="1"/>
  <c r="G140" i="14"/>
  <c r="H140" i="14" s="1"/>
  <c r="I140" i="14" s="1"/>
  <c r="G124" i="14"/>
  <c r="H124" i="14" s="1"/>
  <c r="I124" i="14" s="1"/>
  <c r="G100" i="14"/>
  <c r="H100" i="14" s="1"/>
  <c r="I100" i="14" s="1"/>
  <c r="S100" i="3" s="1"/>
  <c r="G52" i="14"/>
  <c r="H52" i="14" s="1"/>
  <c r="I52" i="14" s="1"/>
  <c r="G28" i="14"/>
  <c r="H28" i="14" s="1"/>
  <c r="I28" i="14" s="1"/>
  <c r="G278" i="14"/>
  <c r="H278" i="14" s="1"/>
  <c r="I278" i="14" s="1"/>
  <c r="G270" i="14"/>
  <c r="H270" i="14" s="1"/>
  <c r="I270" i="14" s="1"/>
  <c r="S270" i="3" s="1"/>
  <c r="G254" i="14"/>
  <c r="H254" i="14" s="1"/>
  <c r="I254" i="14" s="1"/>
  <c r="G238" i="14"/>
  <c r="H238" i="14" s="1"/>
  <c r="I238" i="14" s="1"/>
  <c r="S238" i="3" s="1"/>
  <c r="G190" i="14"/>
  <c r="H190" i="14" s="1"/>
  <c r="I190" i="14" s="1"/>
  <c r="S190" i="3" s="1"/>
  <c r="G182" i="14"/>
  <c r="H182" i="14" s="1"/>
  <c r="I182" i="14" s="1"/>
  <c r="S182" i="3" s="1"/>
  <c r="G158" i="14"/>
  <c r="H158" i="14" s="1"/>
  <c r="I158" i="14" s="1"/>
  <c r="G142" i="14"/>
  <c r="H142" i="14" s="1"/>
  <c r="I142" i="14" s="1"/>
  <c r="G134" i="14"/>
  <c r="H134" i="14" s="1"/>
  <c r="I134" i="14" s="1"/>
  <c r="S134" i="3" s="1"/>
  <c r="G110" i="14"/>
  <c r="H110" i="14" s="1"/>
  <c r="I110" i="14" s="1"/>
  <c r="G86" i="14"/>
  <c r="H86" i="14" s="1"/>
  <c r="I86" i="14" s="1"/>
  <c r="G70" i="14"/>
  <c r="H70" i="14" s="1"/>
  <c r="I70" i="14" s="1"/>
  <c r="CF187" i="3"/>
  <c r="CG187" i="3" s="1"/>
  <c r="CH187" i="3" s="1"/>
  <c r="AK187" i="3" s="1"/>
  <c r="AL187" i="3" s="1"/>
  <c r="CF175" i="3"/>
  <c r="CG175" i="3" s="1"/>
  <c r="CH175" i="3" s="1"/>
  <c r="AK175" i="3" s="1"/>
  <c r="AL175" i="3" s="1"/>
  <c r="CF183" i="3"/>
  <c r="CG183" i="3" s="1"/>
  <c r="CH183" i="3" s="1"/>
  <c r="AK183" i="3" s="1"/>
  <c r="AL183" i="3" s="1"/>
  <c r="CF107" i="3"/>
  <c r="CG107" i="3" s="1"/>
  <c r="CH107" i="3" s="1"/>
  <c r="AK107" i="3" s="1"/>
  <c r="AL107" i="3" s="1"/>
  <c r="CF179" i="3"/>
  <c r="CG179" i="3" s="1"/>
  <c r="CH179" i="3" s="1"/>
  <c r="AK179" i="3" s="1"/>
  <c r="AL179" i="3" s="1"/>
  <c r="G259" i="14"/>
  <c r="H259" i="14" s="1"/>
  <c r="I259" i="14" s="1"/>
  <c r="S259" i="3" s="1"/>
  <c r="G251" i="14"/>
  <c r="H251" i="14" s="1"/>
  <c r="I251" i="14" s="1"/>
  <c r="G203" i="14"/>
  <c r="H203" i="14" s="1"/>
  <c r="I203" i="14" s="1"/>
  <c r="G195" i="14"/>
  <c r="H195" i="14" s="1"/>
  <c r="I195" i="14" s="1"/>
  <c r="S195" i="3" s="1"/>
  <c r="G155" i="14"/>
  <c r="H155" i="14" s="1"/>
  <c r="I155" i="14" s="1"/>
  <c r="G147" i="14"/>
  <c r="H147" i="14" s="1"/>
  <c r="I147" i="14" s="1"/>
  <c r="S147" i="3" s="1"/>
  <c r="G75" i="14"/>
  <c r="H75" i="14" s="1"/>
  <c r="I75" i="14" s="1"/>
  <c r="S75" i="3" s="1"/>
  <c r="G43" i="14"/>
  <c r="H43" i="14" s="1"/>
  <c r="I43" i="14" s="1"/>
  <c r="CF167" i="3"/>
  <c r="CG167" i="3" s="1"/>
  <c r="CH167" i="3" s="1"/>
  <c r="AK167" i="3" s="1"/>
  <c r="AL167" i="3" s="1"/>
  <c r="CF176" i="3"/>
  <c r="CG176" i="3" s="1"/>
  <c r="CH176" i="3" s="1"/>
  <c r="AK176" i="3" s="1"/>
  <c r="AL176" i="3" s="1"/>
  <c r="G277" i="14"/>
  <c r="H277" i="14" s="1"/>
  <c r="I277" i="14" s="1"/>
  <c r="S277" i="3" s="1"/>
  <c r="G261" i="14"/>
  <c r="H261" i="14" s="1"/>
  <c r="I261" i="14" s="1"/>
  <c r="S261" i="3" s="1"/>
  <c r="G245" i="14"/>
  <c r="H245" i="14" s="1"/>
  <c r="I245" i="14" s="1"/>
  <c r="S245" i="3" s="1"/>
  <c r="G221" i="14"/>
  <c r="H221" i="14" s="1"/>
  <c r="I221" i="14" s="1"/>
  <c r="G205" i="14"/>
  <c r="H205" i="14" s="1"/>
  <c r="I205" i="14" s="1"/>
  <c r="G165" i="14"/>
  <c r="H165" i="14" s="1"/>
  <c r="I165" i="14" s="1"/>
  <c r="S165" i="3" s="1"/>
  <c r="G133" i="14"/>
  <c r="H133" i="14" s="1"/>
  <c r="I133" i="14" s="1"/>
  <c r="S133" i="3" s="1"/>
  <c r="G93" i="14"/>
  <c r="H93" i="14" s="1"/>
  <c r="I93" i="14" s="1"/>
  <c r="G61" i="14"/>
  <c r="H61" i="14" s="1"/>
  <c r="I61" i="14" s="1"/>
  <c r="S61" i="3" s="1"/>
  <c r="G45" i="14"/>
  <c r="H45" i="14" s="1"/>
  <c r="I45" i="14" s="1"/>
  <c r="G21" i="14"/>
  <c r="H21" i="14" s="1"/>
  <c r="I21" i="14" s="1"/>
  <c r="G5" i="14"/>
  <c r="H5" i="14" s="1"/>
  <c r="I5" i="14" s="1"/>
  <c r="S5" i="3" s="1"/>
  <c r="U5" i="3" s="1"/>
  <c r="G280" i="14"/>
  <c r="H280" i="14" s="1"/>
  <c r="I280" i="14" s="1"/>
  <c r="S280" i="3" s="1"/>
  <c r="G248" i="14"/>
  <c r="H248" i="14" s="1"/>
  <c r="I248" i="14" s="1"/>
  <c r="G176" i="14"/>
  <c r="H176" i="14" s="1"/>
  <c r="I176" i="14" s="1"/>
  <c r="S176" i="3" s="1"/>
  <c r="G128" i="14"/>
  <c r="H128" i="14" s="1"/>
  <c r="I128" i="14" s="1"/>
  <c r="S128" i="3" s="1"/>
  <c r="G112" i="14"/>
  <c r="H112" i="14" s="1"/>
  <c r="I112" i="14" s="1"/>
  <c r="G96" i="14"/>
  <c r="H96" i="14" s="1"/>
  <c r="I96" i="14" s="1"/>
  <c r="S96" i="3" s="1"/>
  <c r="U96" i="3" s="1"/>
  <c r="G88" i="14"/>
  <c r="H88" i="14" s="1"/>
  <c r="I88" i="14" s="1"/>
  <c r="G32" i="14"/>
  <c r="H32" i="14" s="1"/>
  <c r="I32" i="14" s="1"/>
  <c r="G8" i="14"/>
  <c r="H8" i="14" s="1"/>
  <c r="I8" i="14" s="1"/>
  <c r="AQ4" i="3"/>
  <c r="AT4" i="3"/>
  <c r="G4" i="3"/>
  <c r="AU4" i="3"/>
  <c r="AV4" i="3"/>
  <c r="B78" i="6"/>
  <c r="B39" i="6"/>
  <c r="E78" i="6"/>
  <c r="CF166" i="3"/>
  <c r="CG166" i="3" s="1"/>
  <c r="CH166" i="3" s="1"/>
  <c r="AK166" i="3" s="1"/>
  <c r="AL166" i="3" s="1"/>
  <c r="CF51" i="3"/>
  <c r="CG51" i="3" s="1"/>
  <c r="CH51" i="3" s="1"/>
  <c r="AK51" i="3" s="1"/>
  <c r="AL51" i="3" s="1"/>
  <c r="CF28" i="3"/>
  <c r="CG28" i="3" s="1"/>
  <c r="CH28" i="3" s="1"/>
  <c r="AK28" i="3" s="1"/>
  <c r="AL28" i="3" s="1"/>
  <c r="B13" i="6"/>
  <c r="CF110" i="3"/>
  <c r="CG110" i="3" s="1"/>
  <c r="CH110" i="3" s="1"/>
  <c r="AK110" i="3" s="1"/>
  <c r="AL110" i="3" s="1"/>
  <c r="P4" i="3"/>
  <c r="CF248" i="3"/>
  <c r="CG248" i="3" s="1"/>
  <c r="CH248" i="3" s="1"/>
  <c r="AK248" i="3" s="1"/>
  <c r="AL248" i="3" s="1"/>
  <c r="CF140" i="3"/>
  <c r="CG140" i="3" s="1"/>
  <c r="CH140" i="3" s="1"/>
  <c r="AK140" i="3" s="1"/>
  <c r="AL140" i="3" s="1"/>
  <c r="E65" i="6"/>
  <c r="CF252" i="3"/>
  <c r="CG252" i="3" s="1"/>
  <c r="CH252" i="3" s="1"/>
  <c r="AK252" i="3" s="1"/>
  <c r="AL252" i="3" s="1"/>
  <c r="CF181" i="3"/>
  <c r="CG181" i="3" s="1"/>
  <c r="CH181" i="3" s="1"/>
  <c r="AK181" i="3" s="1"/>
  <c r="AL181" i="3" s="1"/>
  <c r="CF151" i="3"/>
  <c r="CG151" i="3" s="1"/>
  <c r="CH151" i="3" s="1"/>
  <c r="AK151" i="3" s="1"/>
  <c r="AL151" i="3" s="1"/>
  <c r="CF72" i="3"/>
  <c r="CG72" i="3" s="1"/>
  <c r="CH72" i="3" s="1"/>
  <c r="AK72" i="3" s="1"/>
  <c r="AL72" i="3" s="1"/>
  <c r="Q4" i="3"/>
  <c r="H13" i="6"/>
  <c r="E13" i="6"/>
  <c r="E26" i="6"/>
  <c r="CF14" i="3"/>
  <c r="CG14" i="3" s="1"/>
  <c r="CH14" i="3" s="1"/>
  <c r="AK14" i="3" s="1"/>
  <c r="AL14" i="3" s="1"/>
  <c r="E52" i="6"/>
  <c r="CF8" i="3"/>
  <c r="CG8" i="3" s="1"/>
  <c r="CH8" i="3" s="1"/>
  <c r="AK8" i="3" s="1"/>
  <c r="AL8" i="3" s="1"/>
  <c r="CF15" i="3"/>
  <c r="CG15" i="3" s="1"/>
  <c r="CH15" i="3" s="1"/>
  <c r="AK15" i="3" s="1"/>
  <c r="AL15" i="3" s="1"/>
  <c r="CF12" i="3"/>
  <c r="CG12" i="3" s="1"/>
  <c r="CH12" i="3" s="1"/>
  <c r="CF36" i="3"/>
  <c r="CG36" i="3" s="1"/>
  <c r="CH36" i="3" s="1"/>
  <c r="AK36" i="3" s="1"/>
  <c r="AL36" i="3" s="1"/>
  <c r="CF19" i="3"/>
  <c r="CG19" i="3" s="1"/>
  <c r="CH19" i="3" s="1"/>
  <c r="AK19" i="3" s="1"/>
  <c r="AL19" i="3" s="1"/>
  <c r="CF43" i="3"/>
  <c r="CG43" i="3" s="1"/>
  <c r="CH43" i="3" s="1"/>
  <c r="AK43" i="3" s="1"/>
  <c r="AL43" i="3" s="1"/>
  <c r="AM4" i="3"/>
  <c r="B26" i="6"/>
  <c r="H65" i="6"/>
  <c r="H52" i="6"/>
  <c r="B52" i="6"/>
  <c r="E4" i="18"/>
  <c r="AP4" i="3"/>
  <c r="CF6" i="3"/>
  <c r="CG6" i="3" s="1"/>
  <c r="CH6" i="3" s="1"/>
  <c r="AK6" i="3" s="1"/>
  <c r="AL6" i="3" s="1"/>
  <c r="CF80" i="3"/>
  <c r="CG80" i="3" s="1"/>
  <c r="CH80" i="3" s="1"/>
  <c r="AK80" i="3" s="1"/>
  <c r="AL80" i="3" s="1"/>
  <c r="CF89" i="3"/>
  <c r="CG89" i="3" s="1"/>
  <c r="CH89" i="3" s="1"/>
  <c r="AK89" i="3" s="1"/>
  <c r="AL89" i="3" s="1"/>
  <c r="CF97" i="3"/>
  <c r="CG97" i="3" s="1"/>
  <c r="CH97" i="3" s="1"/>
  <c r="AK97" i="3" s="1"/>
  <c r="AL97" i="3" s="1"/>
  <c r="CF101" i="3"/>
  <c r="CG101" i="3" s="1"/>
  <c r="CH101" i="3" s="1"/>
  <c r="AK101" i="3" s="1"/>
  <c r="AL101" i="3" s="1"/>
  <c r="CF109" i="3"/>
  <c r="CG109" i="3" s="1"/>
  <c r="CH109" i="3" s="1"/>
  <c r="AK109" i="3" s="1"/>
  <c r="AL109" i="3" s="1"/>
  <c r="CF113" i="3"/>
  <c r="CG113" i="3" s="1"/>
  <c r="CH113" i="3" s="1"/>
  <c r="AK113" i="3" s="1"/>
  <c r="AL113" i="3" s="1"/>
  <c r="CF121" i="3"/>
  <c r="CG121" i="3" s="1"/>
  <c r="CH121" i="3" s="1"/>
  <c r="AK121" i="3" s="1"/>
  <c r="AL121" i="3" s="1"/>
  <c r="CF129" i="3"/>
  <c r="CG129" i="3" s="1"/>
  <c r="CH129" i="3" s="1"/>
  <c r="AK129" i="3" s="1"/>
  <c r="AL129" i="3" s="1"/>
  <c r="CF133" i="3"/>
  <c r="CG133" i="3" s="1"/>
  <c r="CH133" i="3" s="1"/>
  <c r="AK133" i="3" s="1"/>
  <c r="AL133" i="3" s="1"/>
  <c r="CF137" i="3"/>
  <c r="CG137" i="3" s="1"/>
  <c r="CH137" i="3" s="1"/>
  <c r="AK137" i="3" s="1"/>
  <c r="AL137" i="3" s="1"/>
  <c r="CF141" i="3"/>
  <c r="CG141" i="3" s="1"/>
  <c r="CH141" i="3" s="1"/>
  <c r="AK141" i="3" s="1"/>
  <c r="AL141" i="3" s="1"/>
  <c r="CF145" i="3"/>
  <c r="CG145" i="3" s="1"/>
  <c r="CH145" i="3" s="1"/>
  <c r="AK145" i="3" s="1"/>
  <c r="AL145" i="3" s="1"/>
  <c r="CF82" i="3"/>
  <c r="CG82" i="3" s="1"/>
  <c r="CH82" i="3" s="1"/>
  <c r="AK82" i="3" s="1"/>
  <c r="AL82" i="3" s="1"/>
  <c r="CF90" i="3"/>
  <c r="CG90" i="3" s="1"/>
  <c r="CH90" i="3" s="1"/>
  <c r="AK90" i="3" s="1"/>
  <c r="AL90" i="3" s="1"/>
  <c r="CF94" i="3"/>
  <c r="CG94" i="3" s="1"/>
  <c r="CH94" i="3" s="1"/>
  <c r="AK94" i="3" s="1"/>
  <c r="AL94" i="3" s="1"/>
  <c r="CF98" i="3"/>
  <c r="CG98" i="3" s="1"/>
  <c r="CH98" i="3" s="1"/>
  <c r="AK98" i="3" s="1"/>
  <c r="AL98" i="3" s="1"/>
  <c r="CF102" i="3"/>
  <c r="CG102" i="3" s="1"/>
  <c r="CH102" i="3" s="1"/>
  <c r="AK102" i="3" s="1"/>
  <c r="AL102" i="3" s="1"/>
  <c r="CF114" i="3"/>
  <c r="CG114" i="3" s="1"/>
  <c r="CH114" i="3" s="1"/>
  <c r="AK114" i="3" s="1"/>
  <c r="AL114" i="3" s="1"/>
  <c r="CF118" i="3"/>
  <c r="CG118" i="3" s="1"/>
  <c r="CH118" i="3" s="1"/>
  <c r="AK118" i="3" s="1"/>
  <c r="AL118" i="3" s="1"/>
  <c r="CF122" i="3"/>
  <c r="CG122" i="3" s="1"/>
  <c r="CH122" i="3" s="1"/>
  <c r="AK122" i="3" s="1"/>
  <c r="AL122" i="3" s="1"/>
  <c r="CF126" i="3"/>
  <c r="CG126" i="3" s="1"/>
  <c r="CH126" i="3" s="1"/>
  <c r="AK126" i="3" s="1"/>
  <c r="AL126" i="3" s="1"/>
  <c r="CF130" i="3"/>
  <c r="CG130" i="3" s="1"/>
  <c r="CH130" i="3" s="1"/>
  <c r="AK130" i="3" s="1"/>
  <c r="AL130" i="3" s="1"/>
  <c r="CF134" i="3"/>
  <c r="CG134" i="3" s="1"/>
  <c r="CH134" i="3" s="1"/>
  <c r="AK134" i="3" s="1"/>
  <c r="AL134" i="3" s="1"/>
  <c r="CF142" i="3"/>
  <c r="CG142" i="3" s="1"/>
  <c r="CH142" i="3" s="1"/>
  <c r="AK142" i="3" s="1"/>
  <c r="AL142" i="3" s="1"/>
  <c r="CF146" i="3"/>
  <c r="CG146" i="3" s="1"/>
  <c r="CH146" i="3" s="1"/>
  <c r="AK146" i="3" s="1"/>
  <c r="AL146" i="3" s="1"/>
  <c r="CF74" i="3"/>
  <c r="CG74" i="3" s="1"/>
  <c r="CH74" i="3" s="1"/>
  <c r="AK74" i="3" s="1"/>
  <c r="AL74" i="3" s="1"/>
  <c r="CF75" i="3"/>
  <c r="CG75" i="3" s="1"/>
  <c r="CH75" i="3" s="1"/>
  <c r="AK75" i="3" s="1"/>
  <c r="AL75" i="3" s="1"/>
  <c r="CF91" i="3"/>
  <c r="CG91" i="3" s="1"/>
  <c r="CH91" i="3" s="1"/>
  <c r="AK91" i="3" s="1"/>
  <c r="AL91" i="3" s="1"/>
  <c r="CF95" i="3"/>
  <c r="CG95" i="3" s="1"/>
  <c r="CH95" i="3" s="1"/>
  <c r="AK95" i="3" s="1"/>
  <c r="AL95" i="3" s="1"/>
  <c r="CF103" i="3"/>
  <c r="CG103" i="3" s="1"/>
  <c r="CH103" i="3" s="1"/>
  <c r="AK103" i="3" s="1"/>
  <c r="AL103" i="3" s="1"/>
  <c r="CF115" i="3"/>
  <c r="CG115" i="3" s="1"/>
  <c r="CH115" i="3" s="1"/>
  <c r="AK115" i="3" s="1"/>
  <c r="AL115" i="3" s="1"/>
  <c r="CF119" i="3"/>
  <c r="CG119" i="3" s="1"/>
  <c r="CH119" i="3" s="1"/>
  <c r="AK119" i="3" s="1"/>
  <c r="AL119" i="3" s="1"/>
  <c r="CF123" i="3"/>
  <c r="CG123" i="3" s="1"/>
  <c r="CH123" i="3" s="1"/>
  <c r="AK123" i="3" s="1"/>
  <c r="AL123" i="3" s="1"/>
  <c r="CF127" i="3"/>
  <c r="CG127" i="3" s="1"/>
  <c r="CH127" i="3" s="1"/>
  <c r="AK127" i="3" s="1"/>
  <c r="AL127" i="3" s="1"/>
  <c r="CF84" i="3"/>
  <c r="CG84" i="3" s="1"/>
  <c r="CH84" i="3" s="1"/>
  <c r="AK84" i="3" s="1"/>
  <c r="AL84" i="3" s="1"/>
  <c r="CF92" i="3"/>
  <c r="CG92" i="3" s="1"/>
  <c r="CH92" i="3" s="1"/>
  <c r="AK92" i="3" s="1"/>
  <c r="AL92" i="3" s="1"/>
  <c r="CF96" i="3"/>
  <c r="CG96" i="3" s="1"/>
  <c r="CH96" i="3" s="1"/>
  <c r="AK96" i="3" s="1"/>
  <c r="AL96" i="3" s="1"/>
  <c r="CF100" i="3"/>
  <c r="CG100" i="3" s="1"/>
  <c r="CH100" i="3" s="1"/>
  <c r="AK100" i="3" s="1"/>
  <c r="AL100" i="3" s="1"/>
  <c r="CF108" i="3"/>
  <c r="CG108" i="3" s="1"/>
  <c r="CH108" i="3" s="1"/>
  <c r="AK108" i="3" s="1"/>
  <c r="AL108" i="3" s="1"/>
  <c r="CF112" i="3"/>
  <c r="CG112" i="3" s="1"/>
  <c r="CH112" i="3" s="1"/>
  <c r="AK112" i="3" s="1"/>
  <c r="AL112" i="3" s="1"/>
  <c r="CF124" i="3"/>
  <c r="CG124" i="3" s="1"/>
  <c r="CH124" i="3" s="1"/>
  <c r="AK124" i="3" s="1"/>
  <c r="AL124" i="3" s="1"/>
  <c r="CF157" i="3"/>
  <c r="CG157" i="3" s="1"/>
  <c r="CH157" i="3" s="1"/>
  <c r="AK157" i="3" s="1"/>
  <c r="AL157" i="3" s="1"/>
  <c r="CF165" i="3"/>
  <c r="CG165" i="3" s="1"/>
  <c r="CH165" i="3" s="1"/>
  <c r="AK165" i="3" s="1"/>
  <c r="AL165" i="3" s="1"/>
  <c r="CF169" i="3"/>
  <c r="CG169" i="3" s="1"/>
  <c r="CH169" i="3" s="1"/>
  <c r="AK169" i="3" s="1"/>
  <c r="AL169" i="3" s="1"/>
  <c r="CF150" i="3"/>
  <c r="CG150" i="3" s="1"/>
  <c r="CH150" i="3" s="1"/>
  <c r="AK150" i="3" s="1"/>
  <c r="AL150" i="3" s="1"/>
  <c r="CF154" i="3"/>
  <c r="CG154" i="3" s="1"/>
  <c r="CH154" i="3" s="1"/>
  <c r="AK154" i="3" s="1"/>
  <c r="AL154" i="3" s="1"/>
  <c r="CF158" i="3"/>
  <c r="CG158" i="3" s="1"/>
  <c r="CH158" i="3" s="1"/>
  <c r="AK158" i="3" s="1"/>
  <c r="AL158" i="3" s="1"/>
  <c r="CF135" i="3"/>
  <c r="CG135" i="3" s="1"/>
  <c r="CH135" i="3" s="1"/>
  <c r="AK135" i="3" s="1"/>
  <c r="AL135" i="3" s="1"/>
  <c r="CF139" i="3"/>
  <c r="CG139" i="3" s="1"/>
  <c r="CH139" i="3" s="1"/>
  <c r="AK139" i="3" s="1"/>
  <c r="AL139" i="3" s="1"/>
  <c r="CF144" i="3"/>
  <c r="CG144" i="3" s="1"/>
  <c r="CH144" i="3" s="1"/>
  <c r="AK144" i="3" s="1"/>
  <c r="AL144" i="3" s="1"/>
  <c r="CF152" i="3"/>
  <c r="CG152" i="3" s="1"/>
  <c r="CH152" i="3" s="1"/>
  <c r="AK152" i="3" s="1"/>
  <c r="AL152" i="3" s="1"/>
  <c r="CF189" i="3"/>
  <c r="CG189" i="3" s="1"/>
  <c r="CH189" i="3" s="1"/>
  <c r="AK189" i="3" s="1"/>
  <c r="AL189" i="3" s="1"/>
  <c r="CF174" i="3"/>
  <c r="CG174" i="3" s="1"/>
  <c r="CH174" i="3" s="1"/>
  <c r="AK174" i="3" s="1"/>
  <c r="AL174" i="3" s="1"/>
  <c r="CF178" i="3"/>
  <c r="CG178" i="3" s="1"/>
  <c r="CH178" i="3" s="1"/>
  <c r="AK178" i="3" s="1"/>
  <c r="AL178" i="3" s="1"/>
  <c r="CF206" i="3"/>
  <c r="CG206" i="3" s="1"/>
  <c r="CH206" i="3" s="1"/>
  <c r="AK206" i="3" s="1"/>
  <c r="AL206" i="3" s="1"/>
  <c r="CF209" i="3"/>
  <c r="CG209" i="3" s="1"/>
  <c r="CH209" i="3" s="1"/>
  <c r="AK209" i="3" s="1"/>
  <c r="AL209" i="3" s="1"/>
  <c r="H26" i="6"/>
  <c r="H39" i="6"/>
  <c r="E39" i="6"/>
  <c r="B65" i="6"/>
  <c r="BD4" i="3"/>
  <c r="N6" i="17"/>
  <c r="O6" i="17" s="1"/>
  <c r="CF21" i="3"/>
  <c r="CG21" i="3" s="1"/>
  <c r="CH21" i="3" s="1"/>
  <c r="AK21" i="3" s="1"/>
  <c r="AL21" i="3" s="1"/>
  <c r="CF78" i="3"/>
  <c r="CG78" i="3" s="1"/>
  <c r="CH78" i="3" s="1"/>
  <c r="AK78" i="3" s="1"/>
  <c r="AL78" i="3" s="1"/>
  <c r="CF23" i="3"/>
  <c r="CG23" i="3" s="1"/>
  <c r="CH23" i="3" s="1"/>
  <c r="AK23" i="3" s="1"/>
  <c r="AL23" i="3" s="1"/>
  <c r="CF83" i="3"/>
  <c r="CG83" i="3" s="1"/>
  <c r="CH83" i="3" s="1"/>
  <c r="AK83" i="3" s="1"/>
  <c r="AL83" i="3" s="1"/>
  <c r="CF88" i="3"/>
  <c r="CG88" i="3" s="1"/>
  <c r="CH88" i="3" s="1"/>
  <c r="AK88" i="3" s="1"/>
  <c r="AL88" i="3" s="1"/>
  <c r="CF73" i="3"/>
  <c r="CG73" i="3" s="1"/>
  <c r="CH73" i="3" s="1"/>
  <c r="AK73" i="3" s="1"/>
  <c r="AL73" i="3" s="1"/>
  <c r="CF81" i="3"/>
  <c r="CG81" i="3" s="1"/>
  <c r="CH81" i="3" s="1"/>
  <c r="AK81" i="3" s="1"/>
  <c r="AL81" i="3" s="1"/>
  <c r="CF85" i="3"/>
  <c r="CG85" i="3" s="1"/>
  <c r="CH85" i="3" s="1"/>
  <c r="AK85" i="3" s="1"/>
  <c r="AL85" i="3" s="1"/>
  <c r="CF99" i="3"/>
  <c r="CG99" i="3" s="1"/>
  <c r="CH99" i="3" s="1"/>
  <c r="AK99" i="3" s="1"/>
  <c r="AL99" i="3" s="1"/>
  <c r="CF117" i="3"/>
  <c r="CG117" i="3" s="1"/>
  <c r="CH117" i="3" s="1"/>
  <c r="AK117" i="3" s="1"/>
  <c r="AL117" i="3" s="1"/>
  <c r="CF128" i="3"/>
  <c r="CG128" i="3" s="1"/>
  <c r="CH128" i="3" s="1"/>
  <c r="AK128" i="3" s="1"/>
  <c r="AL128" i="3" s="1"/>
  <c r="AY13" i="3" l="1"/>
  <c r="AY52" i="3"/>
  <c r="AY106" i="3"/>
  <c r="AY80" i="3"/>
  <c r="S278" i="3"/>
  <c r="U278" i="3" s="1"/>
  <c r="S141" i="3"/>
  <c r="U141" i="3" s="1"/>
  <c r="S252" i="3"/>
  <c r="U252" i="3" s="1"/>
  <c r="S193" i="3"/>
  <c r="U193" i="3" s="1"/>
  <c r="S15" i="3"/>
  <c r="U15" i="3" s="1"/>
  <c r="S273" i="3"/>
  <c r="U273" i="3" s="1"/>
  <c r="S284" i="3"/>
  <c r="U284" i="3" s="1"/>
  <c r="S265" i="3"/>
  <c r="U265" i="3" s="1"/>
  <c r="S144" i="3"/>
  <c r="U144" i="3" s="1"/>
  <c r="S287" i="3"/>
  <c r="U287" i="3" s="1"/>
  <c r="S281" i="3"/>
  <c r="U281" i="3" s="1"/>
  <c r="S40" i="3"/>
  <c r="U40" i="3" s="1"/>
  <c r="S11" i="3"/>
  <c r="U11" i="3" s="1"/>
  <c r="S275" i="3"/>
  <c r="U275" i="3" s="1"/>
  <c r="S289" i="3"/>
  <c r="U289" i="3" s="1"/>
  <c r="S232" i="3"/>
  <c r="U232" i="3" s="1"/>
  <c r="S29" i="3"/>
  <c r="U29" i="3" s="1"/>
  <c r="S42" i="3"/>
  <c r="U42" i="3" s="1"/>
  <c r="S50" i="3"/>
  <c r="U50" i="3" s="1"/>
  <c r="S282" i="3"/>
  <c r="U282" i="3" s="1"/>
  <c r="S93" i="3"/>
  <c r="U93" i="3" s="1"/>
  <c r="S88" i="3"/>
  <c r="U88" i="3" s="1"/>
  <c r="S210" i="3"/>
  <c r="U210" i="3" s="1"/>
  <c r="S205" i="3"/>
  <c r="U205" i="3" s="1"/>
  <c r="S161" i="3"/>
  <c r="U161" i="3" s="1"/>
  <c r="S23" i="3"/>
  <c r="U23" i="3" s="1"/>
  <c r="S208" i="3"/>
  <c r="U208" i="3" s="1"/>
  <c r="S10" i="3"/>
  <c r="U10" i="3" s="1"/>
  <c r="S203" i="3"/>
  <c r="U203" i="3" s="1"/>
  <c r="S109" i="3"/>
  <c r="U109" i="3" s="1"/>
  <c r="S90" i="3"/>
  <c r="U90" i="3" s="1"/>
  <c r="S86" i="3"/>
  <c r="U86" i="3" s="1"/>
  <c r="S223" i="3"/>
  <c r="U223" i="3" s="1"/>
  <c r="S248" i="3"/>
  <c r="U248" i="3" s="1"/>
  <c r="S53" i="3"/>
  <c r="U53" i="3" s="1"/>
  <c r="S81" i="3"/>
  <c r="U81" i="3" s="1"/>
  <c r="S20" i="3"/>
  <c r="U20" i="3" s="1"/>
  <c r="S142" i="3"/>
  <c r="U142" i="3" s="1"/>
  <c r="S79" i="3"/>
  <c r="U79" i="3" s="1"/>
  <c r="S35" i="3"/>
  <c r="U35" i="3" s="1"/>
  <c r="S66" i="3"/>
  <c r="U66" i="3" s="1"/>
  <c r="S45" i="3"/>
  <c r="U45" i="3" s="1"/>
  <c r="S181" i="3"/>
  <c r="U181" i="3" s="1"/>
  <c r="S114" i="3"/>
  <c r="U114" i="3" s="1"/>
  <c r="S164" i="3"/>
  <c r="U164" i="3" s="1"/>
  <c r="S48" i="3"/>
  <c r="U48" i="3" s="1"/>
  <c r="S32" i="3"/>
  <c r="U32" i="3" s="1"/>
  <c r="S157" i="3"/>
  <c r="U157" i="3" s="1"/>
  <c r="S162" i="3"/>
  <c r="U162" i="3" s="1"/>
  <c r="S234" i="3"/>
  <c r="U234" i="3" s="1"/>
  <c r="S44" i="3"/>
  <c r="U44" i="3" s="1"/>
  <c r="S21" i="3"/>
  <c r="U21" i="3" s="1"/>
  <c r="S136" i="3"/>
  <c r="U136" i="3" s="1"/>
  <c r="S250" i="3"/>
  <c r="U250" i="3" s="1"/>
  <c r="S70" i="3"/>
  <c r="U70" i="3" s="1"/>
  <c r="S152" i="3"/>
  <c r="U152" i="3" s="1"/>
  <c r="S224" i="3"/>
  <c r="U224" i="3" s="1"/>
  <c r="S251" i="3"/>
  <c r="U251" i="3" s="1"/>
  <c r="S110" i="3"/>
  <c r="U110" i="3" s="1"/>
  <c r="S240" i="3"/>
  <c r="U240" i="3" s="1"/>
  <c r="S37" i="3"/>
  <c r="U37" i="3" s="1"/>
  <c r="S213" i="3"/>
  <c r="U213" i="3" s="1"/>
  <c r="S120" i="3"/>
  <c r="U120" i="3" s="1"/>
  <c r="S65" i="3"/>
  <c r="U65" i="3" s="1"/>
  <c r="S47" i="3"/>
  <c r="U47" i="3" s="1"/>
  <c r="S19" i="3"/>
  <c r="U19" i="3" s="1"/>
  <c r="S123" i="3"/>
  <c r="U123" i="3" s="1"/>
  <c r="S108" i="3"/>
  <c r="U108" i="3" s="1"/>
  <c r="S99" i="3"/>
  <c r="U99" i="3" s="1"/>
  <c r="S73" i="3"/>
  <c r="U73" i="3" s="1"/>
  <c r="S14" i="3"/>
  <c r="U14" i="3" s="1"/>
  <c r="S206" i="3"/>
  <c r="U206" i="3" s="1"/>
  <c r="S244" i="3"/>
  <c r="U244" i="3" s="1"/>
  <c r="S34" i="3"/>
  <c r="U34" i="3" s="1"/>
  <c r="S17" i="3"/>
  <c r="U17" i="3" s="1"/>
  <c r="S175" i="3"/>
  <c r="U175" i="3" s="1"/>
  <c r="S131" i="3"/>
  <c r="U131" i="3" s="1"/>
  <c r="S31" i="3"/>
  <c r="U31" i="3" s="1"/>
  <c r="S106" i="3"/>
  <c r="U106" i="3" s="1"/>
  <c r="S227" i="3"/>
  <c r="U227" i="3" s="1"/>
  <c r="S254" i="3"/>
  <c r="U254" i="3" s="1"/>
  <c r="S103" i="3"/>
  <c r="U103" i="3" s="1"/>
  <c r="S117" i="3"/>
  <c r="U117" i="3" s="1"/>
  <c r="S80" i="3"/>
  <c r="U80" i="3" s="1"/>
  <c r="S57" i="3"/>
  <c r="U57" i="3" s="1"/>
  <c r="S26" i="3"/>
  <c r="U26" i="3" s="1"/>
  <c r="S122" i="3"/>
  <c r="U122" i="3" s="1"/>
  <c r="S166" i="3"/>
  <c r="U166" i="3" s="1"/>
  <c r="S39" i="3"/>
  <c r="U39" i="3" s="1"/>
  <c r="S92" i="3"/>
  <c r="U92" i="3" s="1"/>
  <c r="S204" i="3"/>
  <c r="U204" i="3" s="1"/>
  <c r="S51" i="3"/>
  <c r="U51" i="3" s="1"/>
  <c r="S150" i="3"/>
  <c r="U150" i="3" s="1"/>
  <c r="S84" i="3"/>
  <c r="U84" i="3" s="1"/>
  <c r="S43" i="3"/>
  <c r="U43" i="3" s="1"/>
  <c r="S119" i="3"/>
  <c r="U119" i="3" s="1"/>
  <c r="S184" i="3"/>
  <c r="U184" i="3" s="1"/>
  <c r="S256" i="3"/>
  <c r="U256" i="3" s="1"/>
  <c r="S237" i="3"/>
  <c r="U237" i="3" s="1"/>
  <c r="S9" i="3"/>
  <c r="U9" i="3" s="1"/>
  <c r="S153" i="3"/>
  <c r="U153" i="3" s="1"/>
  <c r="S241" i="3"/>
  <c r="U241" i="3" s="1"/>
  <c r="S218" i="3"/>
  <c r="U218" i="3" s="1"/>
  <c r="S198" i="3"/>
  <c r="U198" i="3" s="1"/>
  <c r="S63" i="3"/>
  <c r="U63" i="3" s="1"/>
  <c r="S247" i="3"/>
  <c r="U247" i="3" s="1"/>
  <c r="S27" i="3"/>
  <c r="U27" i="3" s="1"/>
  <c r="S139" i="3"/>
  <c r="U139" i="3" s="1"/>
  <c r="S116" i="3"/>
  <c r="U116" i="3" s="1"/>
  <c r="S228" i="3"/>
  <c r="U228" i="3" s="1"/>
  <c r="S115" i="3"/>
  <c r="U115" i="3" s="1"/>
  <c r="S121" i="3"/>
  <c r="U121" i="3" s="1"/>
  <c r="S22" i="3"/>
  <c r="U22" i="3" s="1"/>
  <c r="S151" i="3"/>
  <c r="U151" i="3" s="1"/>
  <c r="S229" i="3"/>
  <c r="U229" i="3" s="1"/>
  <c r="S8" i="3"/>
  <c r="U8" i="3" s="1"/>
  <c r="S28" i="3"/>
  <c r="U28" i="3" s="1"/>
  <c r="S135" i="3"/>
  <c r="U135" i="3" s="1"/>
  <c r="S72" i="3"/>
  <c r="U72" i="3" s="1"/>
  <c r="S149" i="3"/>
  <c r="U149" i="3" s="1"/>
  <c r="S253" i="3"/>
  <c r="U253" i="3" s="1"/>
  <c r="S89" i="3"/>
  <c r="U89" i="3" s="1"/>
  <c r="S154" i="3"/>
  <c r="U154" i="3" s="1"/>
  <c r="S226" i="3"/>
  <c r="U226" i="3" s="1"/>
  <c r="S6" i="3"/>
  <c r="U6" i="3" s="1"/>
  <c r="S214" i="3"/>
  <c r="U214" i="3" s="1"/>
  <c r="S171" i="3"/>
  <c r="U171" i="3" s="1"/>
  <c r="S36" i="3"/>
  <c r="S132" i="3"/>
  <c r="U132" i="3" s="1"/>
  <c r="S177" i="3"/>
  <c r="U177" i="3" s="1"/>
  <c r="S30" i="3"/>
  <c r="U30" i="3" s="1"/>
  <c r="S187" i="3"/>
  <c r="U187" i="3" s="1"/>
  <c r="S82" i="3"/>
  <c r="U82" i="3" s="1"/>
  <c r="S71" i="3"/>
  <c r="U71" i="3" s="1"/>
  <c r="S125" i="3"/>
  <c r="U125" i="3" s="1"/>
  <c r="S221" i="3"/>
  <c r="U221" i="3" s="1"/>
  <c r="S158" i="3"/>
  <c r="U158" i="3" s="1"/>
  <c r="S52" i="3"/>
  <c r="U52" i="3" s="1"/>
  <c r="S143" i="3"/>
  <c r="U143" i="3" s="1"/>
  <c r="S25" i="3"/>
  <c r="U25" i="3" s="1"/>
  <c r="S169" i="3"/>
  <c r="U169" i="3" s="1"/>
  <c r="S38" i="3"/>
  <c r="U38" i="3" s="1"/>
  <c r="S222" i="3"/>
  <c r="U222" i="3" s="1"/>
  <c r="S95" i="3"/>
  <c r="U95" i="3" s="1"/>
  <c r="S59" i="3"/>
  <c r="U59" i="3" s="1"/>
  <c r="S211" i="3"/>
  <c r="U211" i="3" s="1"/>
  <c r="S148" i="3"/>
  <c r="U148" i="3" s="1"/>
  <c r="S163" i="3"/>
  <c r="U163" i="3" s="1"/>
  <c r="S54" i="3"/>
  <c r="U54" i="3" s="1"/>
  <c r="S249" i="3"/>
  <c r="U249" i="3" s="1"/>
  <c r="S87" i="3"/>
  <c r="U87" i="3" s="1"/>
  <c r="S155" i="3"/>
  <c r="U155" i="3" s="1"/>
  <c r="S33" i="3"/>
  <c r="U33" i="3" s="1"/>
  <c r="S105" i="3"/>
  <c r="U105" i="3" s="1"/>
  <c r="S185" i="3"/>
  <c r="U185" i="3" s="1"/>
  <c r="S170" i="3"/>
  <c r="U170" i="3" s="1"/>
  <c r="S242" i="3"/>
  <c r="U242" i="3" s="1"/>
  <c r="S46" i="3"/>
  <c r="U46" i="3" s="1"/>
  <c r="S230" i="3"/>
  <c r="U230" i="3" s="1"/>
  <c r="S127" i="3"/>
  <c r="U127" i="3" s="1"/>
  <c r="S67" i="3"/>
  <c r="U67" i="3" s="1"/>
  <c r="S219" i="3"/>
  <c r="U219" i="3" s="1"/>
  <c r="S60" i="3"/>
  <c r="U60" i="3" s="1"/>
  <c r="S156" i="3"/>
  <c r="U156" i="3" s="1"/>
  <c r="S179" i="3"/>
  <c r="U179" i="3" s="1"/>
  <c r="S217" i="3"/>
  <c r="U217" i="3" s="1"/>
  <c r="S62" i="3"/>
  <c r="U62" i="3" s="1"/>
  <c r="S98" i="3"/>
  <c r="U98" i="3" s="1"/>
  <c r="S12" i="3"/>
  <c r="U12" i="3" s="1"/>
  <c r="S124" i="3"/>
  <c r="U124" i="3" s="1"/>
  <c r="S216" i="3"/>
  <c r="U216" i="3" s="1"/>
  <c r="S16" i="3"/>
  <c r="U16" i="3" s="1"/>
  <c r="S41" i="3"/>
  <c r="U41" i="3" s="1"/>
  <c r="S201" i="3"/>
  <c r="U201" i="3" s="1"/>
  <c r="S178" i="3"/>
  <c r="U178" i="3" s="1"/>
  <c r="S83" i="3"/>
  <c r="U83" i="3" s="1"/>
  <c r="S243" i="3"/>
  <c r="U243" i="3" s="1"/>
  <c r="S68" i="3"/>
  <c r="U68" i="3" s="1"/>
  <c r="S188" i="3"/>
  <c r="U188" i="3" s="1"/>
  <c r="S94" i="3"/>
  <c r="U94" i="3" s="1"/>
  <c r="S118" i="3"/>
  <c r="U118" i="3" s="1"/>
  <c r="S138" i="3"/>
  <c r="U138" i="3" s="1"/>
  <c r="S172" i="3"/>
  <c r="U172" i="3" s="1"/>
  <c r="S112" i="3"/>
  <c r="U112" i="3" s="1"/>
  <c r="S140" i="3"/>
  <c r="U140" i="3" s="1"/>
  <c r="S24" i="3"/>
  <c r="U24" i="3" s="1"/>
  <c r="S13" i="3"/>
  <c r="U13" i="3" s="1"/>
  <c r="S189" i="3"/>
  <c r="U189" i="3" s="1"/>
  <c r="S49" i="3"/>
  <c r="U49" i="3" s="1"/>
  <c r="S209" i="3"/>
  <c r="U209" i="3" s="1"/>
  <c r="S18" i="3"/>
  <c r="U18" i="3" s="1"/>
  <c r="S258" i="3"/>
  <c r="U258" i="3" s="1"/>
  <c r="S126" i="3"/>
  <c r="U126" i="3" s="1"/>
  <c r="S7" i="3"/>
  <c r="U7" i="3" s="1"/>
  <c r="S191" i="3"/>
  <c r="U191" i="3" s="1"/>
  <c r="S91" i="3"/>
  <c r="U91" i="3" s="1"/>
  <c r="S76" i="3"/>
  <c r="U76" i="3" s="1"/>
  <c r="S196" i="3"/>
  <c r="U196" i="3" s="1"/>
  <c r="S235" i="3"/>
  <c r="U235" i="3" s="1"/>
  <c r="S102" i="3"/>
  <c r="U102" i="3" s="1"/>
  <c r="S186" i="3"/>
  <c r="U186" i="3" s="1"/>
  <c r="S220" i="3"/>
  <c r="U220" i="3" s="1"/>
  <c r="AK258" i="3"/>
  <c r="AL258" i="3" s="1"/>
  <c r="F258" i="18" s="1"/>
  <c r="G258" i="18" s="1"/>
  <c r="U160" i="3"/>
  <c r="U233" i="3"/>
  <c r="U267" i="3"/>
  <c r="U277" i="3"/>
  <c r="U64" i="3"/>
  <c r="U128" i="3"/>
  <c r="U192" i="3"/>
  <c r="U255" i="3"/>
  <c r="U167" i="3"/>
  <c r="U58" i="3"/>
  <c r="U286" i="3"/>
  <c r="U137" i="3"/>
  <c r="U195" i="3"/>
  <c r="U259" i="3"/>
  <c r="U146" i="3"/>
  <c r="U207" i="3"/>
  <c r="U129" i="3"/>
  <c r="U111" i="3"/>
  <c r="U225" i="3"/>
  <c r="U56" i="3"/>
  <c r="U269" i="3"/>
  <c r="U97" i="3"/>
  <c r="U263" i="3"/>
  <c r="U271" i="3"/>
  <c r="U183" i="3"/>
  <c r="U264" i="3"/>
  <c r="U100" i="3"/>
  <c r="U147" i="3"/>
  <c r="U260" i="3"/>
  <c r="U77" i="3"/>
  <c r="U268" i="3"/>
  <c r="U290" i="3"/>
  <c r="U173" i="3"/>
  <c r="U165" i="3"/>
  <c r="U288" i="3"/>
  <c r="U197" i="3"/>
  <c r="U107" i="3"/>
  <c r="U69" i="3"/>
  <c r="U133" i="3"/>
  <c r="U101" i="3"/>
  <c r="U280" i="3"/>
  <c r="U238" i="3"/>
  <c r="U78" i="3"/>
  <c r="U75" i="3"/>
  <c r="U212" i="3"/>
  <c r="U180" i="3"/>
  <c r="U199" i="3"/>
  <c r="U174" i="3"/>
  <c r="U61" i="3"/>
  <c r="U182" i="3"/>
  <c r="U190" i="3"/>
  <c r="U145" i="3"/>
  <c r="U285" i="3"/>
  <c r="U104" i="3"/>
  <c r="U200" i="3"/>
  <c r="BV96" i="3"/>
  <c r="BW96" i="3" s="1"/>
  <c r="BX96" i="3" s="1"/>
  <c r="BZ96" i="3"/>
  <c r="J99" i="24" s="1"/>
  <c r="BV239" i="3"/>
  <c r="BZ239" i="3"/>
  <c r="J242" i="24" s="1"/>
  <c r="BV274" i="3"/>
  <c r="BW274" i="3" s="1"/>
  <c r="BX274" i="3" s="1"/>
  <c r="BZ274" i="3"/>
  <c r="J277" i="24" s="1"/>
  <c r="BV246" i="3"/>
  <c r="BW246" i="3" s="1"/>
  <c r="BX246" i="3" s="1"/>
  <c r="BZ246" i="3"/>
  <c r="J249" i="24" s="1"/>
  <c r="BV257" i="3"/>
  <c r="BW257" i="3" s="1"/>
  <c r="BZ257" i="3"/>
  <c r="J260" i="24" s="1"/>
  <c r="BQ96" i="3"/>
  <c r="BR96" i="3"/>
  <c r="BQ274" i="3"/>
  <c r="BR274" i="3"/>
  <c r="BQ246" i="3"/>
  <c r="BR246" i="3"/>
  <c r="BQ239" i="3"/>
  <c r="BR239" i="3"/>
  <c r="BQ257" i="3"/>
  <c r="BR257" i="3"/>
  <c r="U262" i="3"/>
  <c r="U168" i="3"/>
  <c r="U194" i="3"/>
  <c r="U113" i="3"/>
  <c r="U130" i="3"/>
  <c r="U276" i="3"/>
  <c r="U261" i="3"/>
  <c r="U55" i="3"/>
  <c r="U202" i="3"/>
  <c r="U266" i="3"/>
  <c r="U85" i="3"/>
  <c r="U134" i="3"/>
  <c r="U236" i="3"/>
  <c r="U231" i="3"/>
  <c r="U279" i="3"/>
  <c r="U245" i="3"/>
  <c r="U270" i="3"/>
  <c r="U215" i="3"/>
  <c r="U272" i="3"/>
  <c r="U176" i="3"/>
  <c r="U159" i="3"/>
  <c r="U74" i="3"/>
  <c r="U283" i="3"/>
  <c r="AF27" i="3"/>
  <c r="J27" i="23" s="1"/>
  <c r="AF35" i="3"/>
  <c r="J35" i="23" s="1"/>
  <c r="AF266" i="3"/>
  <c r="J266" i="23" s="1"/>
  <c r="AF72" i="3"/>
  <c r="J72" i="23" s="1"/>
  <c r="AF56" i="3"/>
  <c r="J56" i="23" s="1"/>
  <c r="AF48" i="3"/>
  <c r="J48" i="23" s="1"/>
  <c r="AF248" i="3"/>
  <c r="J248" i="23" s="1"/>
  <c r="AF239" i="3"/>
  <c r="J239" i="23" s="1"/>
  <c r="AF214" i="3"/>
  <c r="J214" i="23" s="1"/>
  <c r="AF210" i="3"/>
  <c r="J210" i="23" s="1"/>
  <c r="CI14" i="3"/>
  <c r="CI24" i="3"/>
  <c r="CI172" i="3"/>
  <c r="F246" i="18"/>
  <c r="G246" i="18" s="1"/>
  <c r="F42" i="18"/>
  <c r="G42" i="18" s="1"/>
  <c r="CI54" i="3"/>
  <c r="F257" i="18"/>
  <c r="G257" i="18" s="1"/>
  <c r="CI65" i="3"/>
  <c r="F65" i="18"/>
  <c r="G65" i="18" s="1"/>
  <c r="BG65" i="3" s="1"/>
  <c r="BI65" i="3" s="1"/>
  <c r="F285" i="18"/>
  <c r="G285" i="18" s="1"/>
  <c r="F254" i="18"/>
  <c r="G254" i="18" s="1"/>
  <c r="F272" i="18"/>
  <c r="G272" i="18" s="1"/>
  <c r="F200" i="18"/>
  <c r="G200" i="18" s="1"/>
  <c r="F274" i="18"/>
  <c r="G274" i="18" s="1"/>
  <c r="F207" i="18"/>
  <c r="G207" i="18" s="1"/>
  <c r="CI178" i="3"/>
  <c r="CI187" i="3"/>
  <c r="F187" i="18"/>
  <c r="G187" i="18" s="1"/>
  <c r="BG187" i="3" s="1"/>
  <c r="BI187" i="3" s="1"/>
  <c r="F143" i="18"/>
  <c r="G143" i="18" s="1"/>
  <c r="F256" i="18"/>
  <c r="G256" i="18" s="1"/>
  <c r="CI251" i="3"/>
  <c r="F240" i="18"/>
  <c r="G240" i="18" s="1"/>
  <c r="F67" i="18"/>
  <c r="G67" i="18" s="1"/>
  <c r="F38" i="18"/>
  <c r="G38" i="18" s="1"/>
  <c r="CI230" i="3"/>
  <c r="F202" i="18"/>
  <c r="G202" i="18" s="1"/>
  <c r="F149" i="18"/>
  <c r="G149" i="18" s="1"/>
  <c r="F197" i="18"/>
  <c r="G197" i="18" s="1"/>
  <c r="CI225" i="3"/>
  <c r="F225" i="18"/>
  <c r="G225" i="18" s="1"/>
  <c r="BG225" i="3" s="1"/>
  <c r="BI225" i="3" s="1"/>
  <c r="CI45" i="3"/>
  <c r="F45" i="18"/>
  <c r="G45" i="18" s="1"/>
  <c r="BG45" i="3" s="1"/>
  <c r="BI45" i="3" s="1"/>
  <c r="CI199" i="3"/>
  <c r="CI33" i="3"/>
  <c r="F229" i="18"/>
  <c r="G229" i="18" s="1"/>
  <c r="CI226" i="3"/>
  <c r="CI188" i="3"/>
  <c r="F188" i="18"/>
  <c r="G188" i="18" s="1"/>
  <c r="BG188" i="3" s="1"/>
  <c r="BI188" i="3" s="1"/>
  <c r="F168" i="18"/>
  <c r="G168" i="18" s="1"/>
  <c r="F162" i="18"/>
  <c r="G162" i="18" s="1"/>
  <c r="F242" i="18"/>
  <c r="G242" i="18" s="1"/>
  <c r="F201" i="18"/>
  <c r="G201" i="18" s="1"/>
  <c r="F223" i="18"/>
  <c r="G223" i="18" s="1"/>
  <c r="CI171" i="3"/>
  <c r="F171" i="18"/>
  <c r="G171" i="18" s="1"/>
  <c r="BG171" i="3" s="1"/>
  <c r="BI171" i="3" s="1"/>
  <c r="CI40" i="3"/>
  <c r="F198" i="18"/>
  <c r="G198" i="18" s="1"/>
  <c r="CI9" i="3"/>
  <c r="F9" i="18"/>
  <c r="G9" i="18" s="1"/>
  <c r="BG9" i="3" s="1"/>
  <c r="BI9" i="3" s="1"/>
  <c r="F190" i="18"/>
  <c r="G190" i="18" s="1"/>
  <c r="F283" i="18"/>
  <c r="G283" i="18" s="1"/>
  <c r="CI184" i="3"/>
  <c r="F184" i="18"/>
  <c r="G184" i="18" s="1"/>
  <c r="BG184" i="3" s="1"/>
  <c r="BI184" i="3" s="1"/>
  <c r="CI218" i="3"/>
  <c r="F57" i="18"/>
  <c r="G57" i="18" s="1"/>
  <c r="CI41" i="3"/>
  <c r="F41" i="18"/>
  <c r="G41" i="18" s="1"/>
  <c r="BG41" i="3" s="1"/>
  <c r="BI41" i="3" s="1"/>
  <c r="F219" i="18"/>
  <c r="G219" i="18" s="1"/>
  <c r="CI60" i="3"/>
  <c r="F60" i="18"/>
  <c r="G60" i="18" s="1"/>
  <c r="BG60" i="3" s="1"/>
  <c r="BI60" i="3" s="1"/>
  <c r="F255" i="18"/>
  <c r="G255" i="18" s="1"/>
  <c r="CI13" i="3"/>
  <c r="CI46" i="3"/>
  <c r="F5" i="18"/>
  <c r="G5" i="18" s="1"/>
  <c r="F32" i="18"/>
  <c r="G32" i="18" s="1"/>
  <c r="CI18" i="3"/>
  <c r="F195" i="18"/>
  <c r="G195" i="18" s="1"/>
  <c r="CI37" i="3"/>
  <c r="F37" i="18"/>
  <c r="G37" i="18" s="1"/>
  <c r="BG37" i="3" s="1"/>
  <c r="BI37" i="3" s="1"/>
  <c r="CI185" i="3"/>
  <c r="CI287" i="3"/>
  <c r="F287" i="18"/>
  <c r="G287" i="18" s="1"/>
  <c r="BG287" i="3" s="1"/>
  <c r="BI287" i="3" s="1"/>
  <c r="CI277" i="3"/>
  <c r="CI250" i="3"/>
  <c r="F250" i="18"/>
  <c r="G250" i="18" s="1"/>
  <c r="BG250" i="3" s="1"/>
  <c r="BI250" i="3" s="1"/>
  <c r="CI228" i="3"/>
  <c r="F106" i="18"/>
  <c r="G106" i="18" s="1"/>
  <c r="CI249" i="3"/>
  <c r="F243" i="18"/>
  <c r="G243" i="18" s="1"/>
  <c r="F50" i="18"/>
  <c r="G50" i="18" s="1"/>
  <c r="F61" i="18"/>
  <c r="G61" i="18" s="1"/>
  <c r="F212" i="18"/>
  <c r="G212" i="18" s="1"/>
  <c r="CI156" i="3"/>
  <c r="F156" i="18"/>
  <c r="G156" i="18" s="1"/>
  <c r="BG156" i="3" s="1"/>
  <c r="BI156" i="3" s="1"/>
  <c r="CI282" i="3"/>
  <c r="F213" i="18"/>
  <c r="G213" i="18" s="1"/>
  <c r="CI148" i="3"/>
  <c r="F159" i="18"/>
  <c r="G159" i="18" s="1"/>
  <c r="F238" i="18"/>
  <c r="G238" i="18" s="1"/>
  <c r="CI56" i="3"/>
  <c r="CI210" i="3"/>
  <c r="CI123" i="3"/>
  <c r="F123" i="18"/>
  <c r="G123" i="18" s="1"/>
  <c r="BG123" i="3" s="1"/>
  <c r="BI123" i="3" s="1"/>
  <c r="CI176" i="3"/>
  <c r="F176" i="18"/>
  <c r="G176" i="18" s="1"/>
  <c r="BG176" i="3" s="1"/>
  <c r="BI176" i="3" s="1"/>
  <c r="F232" i="18"/>
  <c r="G232" i="18" s="1"/>
  <c r="CI245" i="3"/>
  <c r="CI69" i="3"/>
  <c r="F69" i="18"/>
  <c r="G69" i="18" s="1"/>
  <c r="BG69" i="3" s="1"/>
  <c r="BI69" i="3" s="1"/>
  <c r="F262" i="18"/>
  <c r="G262" i="18" s="1"/>
  <c r="F55" i="18"/>
  <c r="G55" i="18" s="1"/>
  <c r="CI275" i="3"/>
  <c r="F275" i="18"/>
  <c r="G275" i="18" s="1"/>
  <c r="BG275" i="3" s="1"/>
  <c r="BI275" i="3" s="1"/>
  <c r="F253" i="18"/>
  <c r="G253" i="18" s="1"/>
  <c r="BG253" i="3" s="1"/>
  <c r="BI253" i="3" s="1"/>
  <c r="F29" i="18"/>
  <c r="G29" i="18" s="1"/>
  <c r="CI271" i="3"/>
  <c r="F271" i="18"/>
  <c r="G271" i="18" s="1"/>
  <c r="BG271" i="3" s="1"/>
  <c r="BI271" i="3" s="1"/>
  <c r="F268" i="18"/>
  <c r="G268" i="18" s="1"/>
  <c r="F11" i="18"/>
  <c r="G11" i="18" s="1"/>
  <c r="CI173" i="3"/>
  <c r="F173" i="18"/>
  <c r="G173" i="18" s="1"/>
  <c r="BG173" i="3" s="1"/>
  <c r="BI173" i="3" s="1"/>
  <c r="F177" i="18"/>
  <c r="G177" i="18" s="1"/>
  <c r="CI233" i="3"/>
  <c r="CI63" i="3"/>
  <c r="F63" i="18"/>
  <c r="G63" i="18" s="1"/>
  <c r="BG63" i="3" s="1"/>
  <c r="BI63" i="3" s="1"/>
  <c r="CI286" i="3"/>
  <c r="F286" i="18"/>
  <c r="G286" i="18" s="1"/>
  <c r="BG286" i="3" s="1"/>
  <c r="BI286" i="3" s="1"/>
  <c r="F220" i="18"/>
  <c r="G220" i="18" s="1"/>
  <c r="CI234" i="3"/>
  <c r="CI266" i="3"/>
  <c r="F266" i="18"/>
  <c r="G266" i="18" s="1"/>
  <c r="BG266" i="3" s="1"/>
  <c r="BI266" i="3" s="1"/>
  <c r="CI247" i="3"/>
  <c r="F247" i="18"/>
  <c r="G247" i="18" s="1"/>
  <c r="BG247" i="3" s="1"/>
  <c r="BI247" i="3" s="1"/>
  <c r="CI164" i="3"/>
  <c r="F164" i="18"/>
  <c r="G164" i="18" s="1"/>
  <c r="BG164" i="3" s="1"/>
  <c r="BI164" i="3" s="1"/>
  <c r="F70" i="18"/>
  <c r="G70" i="18" s="1"/>
  <c r="F59" i="18"/>
  <c r="G59" i="18" s="1"/>
  <c r="CI16" i="3"/>
  <c r="F16" i="18"/>
  <c r="G16" i="18" s="1"/>
  <c r="BG16" i="3" s="1"/>
  <c r="BI16" i="3" s="1"/>
  <c r="F278" i="18"/>
  <c r="G278" i="18" s="1"/>
  <c r="CI235" i="3"/>
  <c r="F235" i="18"/>
  <c r="G235" i="18" s="1"/>
  <c r="BG235" i="3" s="1"/>
  <c r="BI235" i="3" s="1"/>
  <c r="CI265" i="3"/>
  <c r="F227" i="18"/>
  <c r="G227" i="18" s="1"/>
  <c r="F244" i="18"/>
  <c r="G244" i="18" s="1"/>
  <c r="F259" i="18"/>
  <c r="G259" i="18" s="1"/>
  <c r="F261" i="18"/>
  <c r="G261" i="18" s="1"/>
  <c r="F125" i="18"/>
  <c r="G125" i="18" s="1"/>
  <c r="F64" i="18"/>
  <c r="G64" i="18" s="1"/>
  <c r="CI222" i="3"/>
  <c r="F192" i="18"/>
  <c r="G192" i="18" s="1"/>
  <c r="F215" i="18"/>
  <c r="G215" i="18" s="1"/>
  <c r="CI263" i="3"/>
  <c r="CI17" i="3"/>
  <c r="F17" i="18"/>
  <c r="G17" i="18" s="1"/>
  <c r="BG17" i="3" s="1"/>
  <c r="BI17" i="3" s="1"/>
  <c r="F163" i="18"/>
  <c r="G163" i="18" s="1"/>
  <c r="CI86" i="3"/>
  <c r="CI231" i="3"/>
  <c r="F231" i="18"/>
  <c r="G231" i="18" s="1"/>
  <c r="BG231" i="3" s="1"/>
  <c r="BI231" i="3" s="1"/>
  <c r="F221" i="18"/>
  <c r="G221" i="18" s="1"/>
  <c r="F49" i="18"/>
  <c r="G49" i="18" s="1"/>
  <c r="CI87" i="3"/>
  <c r="F87" i="18"/>
  <c r="G87" i="18" s="1"/>
  <c r="BG87" i="3" s="1"/>
  <c r="BI87" i="3" s="1"/>
  <c r="CI68" i="3"/>
  <c r="CI269" i="3"/>
  <c r="F269" i="18"/>
  <c r="G269" i="18" s="1"/>
  <c r="BG269" i="3" s="1"/>
  <c r="BI269" i="3" s="1"/>
  <c r="F264" i="18"/>
  <c r="G264" i="18" s="1"/>
  <c r="F284" i="18"/>
  <c r="G284" i="18" s="1"/>
  <c r="F120" i="18"/>
  <c r="G120" i="18" s="1"/>
  <c r="F281" i="18"/>
  <c r="G281" i="18" s="1"/>
  <c r="CI280" i="3"/>
  <c r="CI208" i="3"/>
  <c r="F208" i="18"/>
  <c r="G208" i="18" s="1"/>
  <c r="BG208" i="3" s="1"/>
  <c r="BI208" i="3" s="1"/>
  <c r="CI44" i="3"/>
  <c r="F44" i="18"/>
  <c r="G44" i="18" s="1"/>
  <c r="BG44" i="3" s="1"/>
  <c r="BI44" i="3" s="1"/>
  <c r="CI279" i="3"/>
  <c r="F279" i="18"/>
  <c r="G279" i="18" s="1"/>
  <c r="BG279" i="3" s="1"/>
  <c r="BI279" i="3" s="1"/>
  <c r="F79" i="18"/>
  <c r="G79" i="18" s="1"/>
  <c r="F35" i="18"/>
  <c r="G35" i="18" s="1"/>
  <c r="CI180" i="3"/>
  <c r="F217" i="18"/>
  <c r="G217" i="18" s="1"/>
  <c r="CI186" i="3"/>
  <c r="F186" i="18"/>
  <c r="G186" i="18" s="1"/>
  <c r="BG186" i="3" s="1"/>
  <c r="BI186" i="3" s="1"/>
  <c r="F203" i="18"/>
  <c r="G203" i="18" s="1"/>
  <c r="CI273" i="3"/>
  <c r="F138" i="18"/>
  <c r="G138" i="18" s="1"/>
  <c r="F62" i="18"/>
  <c r="G62" i="18" s="1"/>
  <c r="CI58" i="3"/>
  <c r="F58" i="18"/>
  <c r="G58" i="18" s="1"/>
  <c r="BG58" i="3" s="1"/>
  <c r="BI58" i="3" s="1"/>
  <c r="CI76" i="3"/>
  <c r="F76" i="18"/>
  <c r="G76" i="18" s="1"/>
  <c r="BG76" i="3" s="1"/>
  <c r="BI76" i="3" s="1"/>
  <c r="F22" i="18"/>
  <c r="G22" i="18" s="1"/>
  <c r="F237" i="18"/>
  <c r="G237" i="18" s="1"/>
  <c r="CI66" i="3"/>
  <c r="F66" i="18"/>
  <c r="G66" i="18" s="1"/>
  <c r="BG66" i="3" s="1"/>
  <c r="BI66" i="3" s="1"/>
  <c r="F216" i="18"/>
  <c r="G216" i="18" s="1"/>
  <c r="CI289" i="3"/>
  <c r="F289" i="18"/>
  <c r="G289" i="18" s="1"/>
  <c r="BG289" i="3" s="1"/>
  <c r="BI289" i="3" s="1"/>
  <c r="CI276" i="3"/>
  <c r="F290" i="18"/>
  <c r="G290" i="18" s="1"/>
  <c r="CI182" i="3"/>
  <c r="CI27" i="3"/>
  <c r="F27" i="18"/>
  <c r="G27" i="18" s="1"/>
  <c r="BG27" i="3" s="1"/>
  <c r="BI27" i="3" s="1"/>
  <c r="F239" i="18"/>
  <c r="G239" i="18" s="1"/>
  <c r="T4" i="3"/>
  <c r="D3" i="21"/>
  <c r="CF111" i="3"/>
  <c r="CG111" i="3" s="1"/>
  <c r="CH111" i="3" s="1"/>
  <c r="AK111" i="3" s="1"/>
  <c r="AL111" i="3" s="1"/>
  <c r="CF48" i="3"/>
  <c r="CG48" i="3" s="1"/>
  <c r="CH48" i="3" s="1"/>
  <c r="AK48" i="3" s="1"/>
  <c r="AL48" i="3" s="1"/>
  <c r="Y4" i="3"/>
  <c r="AE4" i="3"/>
  <c r="AJ4" i="3"/>
  <c r="W4" i="3"/>
  <c r="AB4" i="3"/>
  <c r="AC4" i="3"/>
  <c r="AA5" i="3"/>
  <c r="X4" i="3"/>
  <c r="CI261" i="3"/>
  <c r="CI242" i="3"/>
  <c r="CI244" i="3"/>
  <c r="F263" i="18"/>
  <c r="G263" i="18" s="1"/>
  <c r="BG263" i="3" s="1"/>
  <c r="BI263" i="3" s="1"/>
  <c r="CI268" i="3"/>
  <c r="CI50" i="3"/>
  <c r="CI213" i="3"/>
  <c r="CI190" i="3"/>
  <c r="CI201" i="3"/>
  <c r="CI64" i="3"/>
  <c r="CI197" i="3"/>
  <c r="F210" i="18"/>
  <c r="G210" i="18" s="1"/>
  <c r="BG210" i="3" s="1"/>
  <c r="BI210" i="3" s="1"/>
  <c r="F199" i="18"/>
  <c r="G199" i="18" s="1"/>
  <c r="BG199" i="3" s="1"/>
  <c r="BI199" i="3" s="1"/>
  <c r="CI237" i="3"/>
  <c r="CI238" i="3"/>
  <c r="CI163" i="3"/>
  <c r="CI219" i="3"/>
  <c r="CI255" i="3"/>
  <c r="CI264" i="3"/>
  <c r="F14" i="18"/>
  <c r="G14" i="18" s="1"/>
  <c r="BG14" i="3" s="1"/>
  <c r="BI14" i="3" s="1"/>
  <c r="F277" i="18"/>
  <c r="G277" i="18" s="1"/>
  <c r="BG277" i="3" s="1"/>
  <c r="BI277" i="3" s="1"/>
  <c r="CI281" i="3"/>
  <c r="CI49" i="3"/>
  <c r="F180" i="18"/>
  <c r="G180" i="18" s="1"/>
  <c r="BG180" i="3" s="1"/>
  <c r="BI180" i="3" s="1"/>
  <c r="CI290" i="3"/>
  <c r="F226" i="18"/>
  <c r="G226" i="18" s="1"/>
  <c r="BG226" i="3" s="1"/>
  <c r="BI226" i="3" s="1"/>
  <c r="CI192" i="3"/>
  <c r="CI79" i="3"/>
  <c r="F249" i="18"/>
  <c r="G249" i="18" s="1"/>
  <c r="BG249" i="3" s="1"/>
  <c r="BI249" i="3" s="1"/>
  <c r="CI5" i="3"/>
  <c r="F282" i="18"/>
  <c r="G282" i="18" s="1"/>
  <c r="BG282" i="3" s="1"/>
  <c r="BI282" i="3" s="1"/>
  <c r="CI35" i="3"/>
  <c r="CI38" i="3"/>
  <c r="CI246" i="3"/>
  <c r="F148" i="18"/>
  <c r="G148" i="18" s="1"/>
  <c r="BG148" i="3" s="1"/>
  <c r="BI148" i="3" s="1"/>
  <c r="CI217" i="3"/>
  <c r="CI159" i="3"/>
  <c r="F18" i="18"/>
  <c r="G18" i="18" s="1"/>
  <c r="BG18" i="3" s="1"/>
  <c r="BI18" i="3" s="1"/>
  <c r="CI232" i="3"/>
  <c r="CI240" i="3"/>
  <c r="CI254" i="3"/>
  <c r="P4" i="17"/>
  <c r="CI177" i="3"/>
  <c r="CI57" i="3"/>
  <c r="CI207" i="3"/>
  <c r="CI212" i="3"/>
  <c r="F40" i="18"/>
  <c r="G40" i="18" s="1"/>
  <c r="BG40" i="3" s="1"/>
  <c r="BI40" i="3" s="1"/>
  <c r="CI32" i="3"/>
  <c r="F233" i="18"/>
  <c r="G233" i="18" s="1"/>
  <c r="BG233" i="3" s="1"/>
  <c r="BI233" i="3" s="1"/>
  <c r="CI62" i="3"/>
  <c r="CI223" i="3"/>
  <c r="R280" i="21"/>
  <c r="F185" i="18"/>
  <c r="G185" i="18" s="1"/>
  <c r="BG185" i="3" s="1"/>
  <c r="BI185" i="3" s="1"/>
  <c r="CI229" i="3"/>
  <c r="CI59" i="3"/>
  <c r="CI283" i="3"/>
  <c r="CI284" i="3"/>
  <c r="CI138" i="3"/>
  <c r="F182" i="18"/>
  <c r="G182" i="18" s="1"/>
  <c r="BG182" i="3" s="1"/>
  <c r="BI182" i="3" s="1"/>
  <c r="F13" i="18"/>
  <c r="G13" i="18" s="1"/>
  <c r="BG13" i="3" s="1"/>
  <c r="BI13" i="3" s="1"/>
  <c r="CI239" i="3"/>
  <c r="F193" i="18"/>
  <c r="G193" i="18" s="1"/>
  <c r="BG193" i="3" s="1"/>
  <c r="BI193" i="3" s="1"/>
  <c r="CI193" i="3"/>
  <c r="CI22" i="3"/>
  <c r="F33" i="18"/>
  <c r="G33" i="18" s="1"/>
  <c r="BG33" i="3" s="1"/>
  <c r="BI33" i="3" s="1"/>
  <c r="CI61" i="3"/>
  <c r="F276" i="18"/>
  <c r="G276" i="18" s="1"/>
  <c r="BG276" i="3" s="1"/>
  <c r="BI276" i="3" s="1"/>
  <c r="CI215" i="3"/>
  <c r="F56" i="18"/>
  <c r="G56" i="18" s="1"/>
  <c r="BG56" i="3" s="1"/>
  <c r="BI56" i="3" s="1"/>
  <c r="CI120" i="3"/>
  <c r="F24" i="18"/>
  <c r="G24" i="18" s="1"/>
  <c r="BG24" i="3" s="1"/>
  <c r="BI24" i="3" s="1"/>
  <c r="CI220" i="3"/>
  <c r="CI195" i="3"/>
  <c r="CI253" i="3"/>
  <c r="P6" i="17"/>
  <c r="Q6" i="17" s="1"/>
  <c r="CI70" i="3"/>
  <c r="CI262" i="3"/>
  <c r="CI11" i="3"/>
  <c r="CI259" i="3"/>
  <c r="CI285" i="3"/>
  <c r="CI278" i="3"/>
  <c r="CI42" i="3"/>
  <c r="F251" i="18"/>
  <c r="G251" i="18" s="1"/>
  <c r="BG251" i="3" s="1"/>
  <c r="BI251" i="3" s="1"/>
  <c r="CI106" i="3"/>
  <c r="CI29" i="3"/>
  <c r="F273" i="18"/>
  <c r="G273" i="18" s="1"/>
  <c r="BG273" i="3" s="1"/>
  <c r="BI273" i="3" s="1"/>
  <c r="CI221" i="3"/>
  <c r="F218" i="18"/>
  <c r="G218" i="18" s="1"/>
  <c r="BG218" i="3" s="1"/>
  <c r="BI218" i="3" s="1"/>
  <c r="F222" i="18"/>
  <c r="G222" i="18" s="1"/>
  <c r="BG222" i="3" s="1"/>
  <c r="BI222" i="3" s="1"/>
  <c r="F288" i="18"/>
  <c r="G288" i="18" s="1"/>
  <c r="BG288" i="3" s="1"/>
  <c r="BI288" i="3" s="1"/>
  <c r="CI288" i="3"/>
  <c r="F236" i="18"/>
  <c r="G236" i="18" s="1"/>
  <c r="BG236" i="3" s="1"/>
  <c r="BI236" i="3" s="1"/>
  <c r="CI236" i="3"/>
  <c r="CI52" i="3"/>
  <c r="F52" i="18"/>
  <c r="G52" i="18" s="1"/>
  <c r="BG52" i="3" s="1"/>
  <c r="BI52" i="3" s="1"/>
  <c r="F71" i="18"/>
  <c r="G71" i="18" s="1"/>
  <c r="BG71" i="3" s="1"/>
  <c r="BI71" i="3" s="1"/>
  <c r="CI71" i="3"/>
  <c r="F270" i="18"/>
  <c r="G270" i="18" s="1"/>
  <c r="BG270" i="3" s="1"/>
  <c r="BI270" i="3" s="1"/>
  <c r="CI270" i="3"/>
  <c r="F204" i="18"/>
  <c r="G204" i="18" s="1"/>
  <c r="BG204" i="3" s="1"/>
  <c r="BI204" i="3" s="1"/>
  <c r="CI204" i="3"/>
  <c r="F260" i="18"/>
  <c r="G260" i="18" s="1"/>
  <c r="BG260" i="3" s="1"/>
  <c r="BI260" i="3" s="1"/>
  <c r="CI260" i="3"/>
  <c r="F191" i="18"/>
  <c r="G191" i="18" s="1"/>
  <c r="BG191" i="3" s="1"/>
  <c r="BI191" i="3" s="1"/>
  <c r="CI191" i="3"/>
  <c r="CI93" i="3"/>
  <c r="F93" i="18"/>
  <c r="G93" i="18" s="1"/>
  <c r="BG93" i="3" s="1"/>
  <c r="BI93" i="3" s="1"/>
  <c r="F53" i="18"/>
  <c r="G53" i="18" s="1"/>
  <c r="BG53" i="3" s="1"/>
  <c r="BI53" i="3" s="1"/>
  <c r="CI53" i="3"/>
  <c r="F205" i="18"/>
  <c r="G205" i="18" s="1"/>
  <c r="BG205" i="3" s="1"/>
  <c r="BI205" i="3" s="1"/>
  <c r="CI205" i="3"/>
  <c r="CI196" i="3"/>
  <c r="F196" i="18"/>
  <c r="G196" i="18" s="1"/>
  <c r="BG196" i="3" s="1"/>
  <c r="BI196" i="3" s="1"/>
  <c r="CI198" i="3"/>
  <c r="CI203" i="3"/>
  <c r="CI202" i="3"/>
  <c r="CI149" i="3"/>
  <c r="CI162" i="3"/>
  <c r="CI143" i="3"/>
  <c r="CI272" i="3"/>
  <c r="F86" i="18"/>
  <c r="G86" i="18" s="1"/>
  <c r="BG86" i="3" s="1"/>
  <c r="BI86" i="3" s="1"/>
  <c r="CI256" i="3"/>
  <c r="F54" i="18"/>
  <c r="G54" i="18" s="1"/>
  <c r="BG54" i="3" s="1"/>
  <c r="BI54" i="3" s="1"/>
  <c r="CI227" i="3"/>
  <c r="F265" i="18"/>
  <c r="G265" i="18" s="1"/>
  <c r="BG265" i="3" s="1"/>
  <c r="BI265" i="3" s="1"/>
  <c r="F46" i="18"/>
  <c r="G46" i="18" s="1"/>
  <c r="BG46" i="3" s="1"/>
  <c r="BI46" i="3" s="1"/>
  <c r="CI67" i="3"/>
  <c r="CI216" i="3"/>
  <c r="CI274" i="3"/>
  <c r="F68" i="18"/>
  <c r="G68" i="18" s="1"/>
  <c r="BG68" i="3" s="1"/>
  <c r="BI68" i="3" s="1"/>
  <c r="CI267" i="3"/>
  <c r="F267" i="18"/>
  <c r="G267" i="18" s="1"/>
  <c r="BG267" i="3" s="1"/>
  <c r="BI267" i="3" s="1"/>
  <c r="F214" i="18"/>
  <c r="G214" i="18" s="1"/>
  <c r="BG214" i="3" s="1"/>
  <c r="BI214" i="3" s="1"/>
  <c r="CI214" i="3"/>
  <c r="CI224" i="3"/>
  <c r="F224" i="18"/>
  <c r="G224" i="18" s="1"/>
  <c r="BG224" i="3" s="1"/>
  <c r="BI224" i="3" s="1"/>
  <c r="F172" i="18"/>
  <c r="G172" i="18" s="1"/>
  <c r="BG172" i="3" s="1"/>
  <c r="BI172" i="3" s="1"/>
  <c r="CI161" i="3"/>
  <c r="F161" i="18"/>
  <c r="G161" i="18" s="1"/>
  <c r="BG161" i="3" s="1"/>
  <c r="BI161" i="3" s="1"/>
  <c r="R190" i="21"/>
  <c r="CI194" i="3"/>
  <c r="F194" i="18"/>
  <c r="G194" i="18" s="1"/>
  <c r="BG194" i="3" s="1"/>
  <c r="BI194" i="3" s="1"/>
  <c r="CI168" i="3"/>
  <c r="F228" i="18"/>
  <c r="G228" i="18" s="1"/>
  <c r="BG228" i="3" s="1"/>
  <c r="BI228" i="3" s="1"/>
  <c r="CI257" i="3"/>
  <c r="CI55" i="3"/>
  <c r="F234" i="18"/>
  <c r="G234" i="18" s="1"/>
  <c r="BG234" i="3" s="1"/>
  <c r="BI234" i="3" s="1"/>
  <c r="F230" i="18"/>
  <c r="G230" i="18" s="1"/>
  <c r="BG230" i="3" s="1"/>
  <c r="BI230" i="3" s="1"/>
  <c r="F245" i="18"/>
  <c r="G245" i="18" s="1"/>
  <c r="BG245" i="3" s="1"/>
  <c r="BI245" i="3" s="1"/>
  <c r="AG20" i="3"/>
  <c r="CI243" i="3"/>
  <c r="F280" i="18"/>
  <c r="G280" i="18" s="1"/>
  <c r="BG280" i="3" s="1"/>
  <c r="BI280" i="3" s="1"/>
  <c r="F183" i="18"/>
  <c r="G183" i="18" s="1"/>
  <c r="BG183" i="3" s="1"/>
  <c r="BI183" i="3" s="1"/>
  <c r="CI183" i="3"/>
  <c r="CI125" i="3"/>
  <c r="CI200" i="3"/>
  <c r="CI175" i="3"/>
  <c r="F175" i="18"/>
  <c r="G175" i="18" s="1"/>
  <c r="BG175" i="3" s="1"/>
  <c r="BI175" i="3" s="1"/>
  <c r="F179" i="18"/>
  <c r="G179" i="18" s="1"/>
  <c r="BG179" i="3" s="1"/>
  <c r="BI179" i="3" s="1"/>
  <c r="CI179" i="3"/>
  <c r="F107" i="18"/>
  <c r="G107" i="18" s="1"/>
  <c r="BG107" i="3" s="1"/>
  <c r="BI107" i="3" s="1"/>
  <c r="CI107" i="3"/>
  <c r="CI147" i="3"/>
  <c r="F147" i="18"/>
  <c r="G147" i="18" s="1"/>
  <c r="BG147" i="3" s="1"/>
  <c r="BI147" i="3" s="1"/>
  <c r="F15" i="18"/>
  <c r="G15" i="18" s="1"/>
  <c r="BG15" i="3" s="1"/>
  <c r="BI15" i="3" s="1"/>
  <c r="CI15" i="3"/>
  <c r="F26" i="18"/>
  <c r="G26" i="18" s="1"/>
  <c r="BG26" i="3" s="1"/>
  <c r="BI26" i="3" s="1"/>
  <c r="CI26" i="3"/>
  <c r="F211" i="18"/>
  <c r="G211" i="18" s="1"/>
  <c r="BG211" i="3" s="1"/>
  <c r="BI211" i="3" s="1"/>
  <c r="CI211" i="3"/>
  <c r="AX4" i="3"/>
  <c r="CI241" i="3"/>
  <c r="F241" i="18"/>
  <c r="G241" i="18" s="1"/>
  <c r="BG241" i="3" s="1"/>
  <c r="BI241" i="3" s="1"/>
  <c r="F167" i="18"/>
  <c r="G167" i="18" s="1"/>
  <c r="BG167" i="3" s="1"/>
  <c r="BI167" i="3" s="1"/>
  <c r="CI167" i="3"/>
  <c r="CI98" i="3"/>
  <c r="F98" i="18"/>
  <c r="G98" i="18" s="1"/>
  <c r="BG98" i="3" s="1"/>
  <c r="BI98" i="3" s="1"/>
  <c r="F181" i="18"/>
  <c r="G181" i="18" s="1"/>
  <c r="BG181" i="3" s="1"/>
  <c r="BI181" i="3" s="1"/>
  <c r="CI181" i="3"/>
  <c r="CI110" i="3"/>
  <c r="F110" i="18"/>
  <c r="G110" i="18" s="1"/>
  <c r="BG110" i="3" s="1"/>
  <c r="BI110" i="3" s="1"/>
  <c r="F28" i="18"/>
  <c r="G28" i="18" s="1"/>
  <c r="BG28" i="3" s="1"/>
  <c r="BI28" i="3" s="1"/>
  <c r="CI28" i="3"/>
  <c r="F140" i="18"/>
  <c r="G140" i="18" s="1"/>
  <c r="BG140" i="3" s="1"/>
  <c r="BI140" i="3" s="1"/>
  <c r="CI140" i="3"/>
  <c r="F166" i="18"/>
  <c r="G166" i="18" s="1"/>
  <c r="BG166" i="3" s="1"/>
  <c r="BI166" i="3" s="1"/>
  <c r="CI166" i="3"/>
  <c r="F51" i="18"/>
  <c r="G51" i="18" s="1"/>
  <c r="BG51" i="3" s="1"/>
  <c r="BI51" i="3" s="1"/>
  <c r="CI51" i="3"/>
  <c r="F252" i="18"/>
  <c r="G252" i="18" s="1"/>
  <c r="BG252" i="3" s="1"/>
  <c r="BI252" i="3" s="1"/>
  <c r="CI252" i="3"/>
  <c r="CI72" i="3"/>
  <c r="F72" i="18"/>
  <c r="G72" i="18" s="1"/>
  <c r="BG72" i="3" s="1"/>
  <c r="BI72" i="3" s="1"/>
  <c r="CI109" i="3"/>
  <c r="F109" i="18"/>
  <c r="G109" i="18" s="1"/>
  <c r="BG109" i="3" s="1"/>
  <c r="BI109" i="3" s="1"/>
  <c r="F151" i="18"/>
  <c r="G151" i="18" s="1"/>
  <c r="BG151" i="3" s="1"/>
  <c r="BI151" i="3" s="1"/>
  <c r="CI151" i="3"/>
  <c r="F121" i="18"/>
  <c r="G121" i="18" s="1"/>
  <c r="BG121" i="3" s="1"/>
  <c r="BI121" i="3" s="1"/>
  <c r="CI121" i="3"/>
  <c r="F248" i="18"/>
  <c r="G248" i="18" s="1"/>
  <c r="BG248" i="3" s="1"/>
  <c r="BI248" i="3" s="1"/>
  <c r="CI248" i="3"/>
  <c r="F36" i="18"/>
  <c r="G36" i="18" s="1"/>
  <c r="BG36" i="3" s="1"/>
  <c r="BI36" i="3" s="1"/>
  <c r="CI36" i="3"/>
  <c r="F8" i="18"/>
  <c r="G8" i="18" s="1"/>
  <c r="BG8" i="3" s="1"/>
  <c r="BI8" i="3" s="1"/>
  <c r="CI8" i="3"/>
  <c r="CI43" i="3"/>
  <c r="F43" i="18"/>
  <c r="G43" i="18" s="1"/>
  <c r="BG43" i="3" s="1"/>
  <c r="BI43" i="3" s="1"/>
  <c r="CI126" i="3"/>
  <c r="F126" i="18"/>
  <c r="G126" i="18" s="1"/>
  <c r="BG126" i="3" s="1"/>
  <c r="BI126" i="3" s="1"/>
  <c r="F30" i="18"/>
  <c r="G30" i="18" s="1"/>
  <c r="BG30" i="3" s="1"/>
  <c r="BI30" i="3" s="1"/>
  <c r="CI30" i="3"/>
  <c r="F19" i="18"/>
  <c r="G19" i="18" s="1"/>
  <c r="BG19" i="3" s="1"/>
  <c r="BI19" i="3" s="1"/>
  <c r="CI19" i="3"/>
  <c r="R4" i="3"/>
  <c r="F39" i="18"/>
  <c r="G39" i="18" s="1"/>
  <c r="BG39" i="3" s="1"/>
  <c r="BI39" i="3" s="1"/>
  <c r="CI39" i="3"/>
  <c r="F7" i="18"/>
  <c r="G7" i="18" s="1"/>
  <c r="BG7" i="3" s="1"/>
  <c r="BI7" i="3" s="1"/>
  <c r="CI7" i="3"/>
  <c r="F25" i="18"/>
  <c r="G25" i="18" s="1"/>
  <c r="BG25" i="3" s="1"/>
  <c r="BI25" i="3" s="1"/>
  <c r="CI25" i="3"/>
  <c r="CI47" i="3"/>
  <c r="F47" i="18"/>
  <c r="G47" i="18" s="1"/>
  <c r="BG47" i="3" s="1"/>
  <c r="BI47" i="3" s="1"/>
  <c r="F31" i="18"/>
  <c r="G31" i="18" s="1"/>
  <c r="BG31" i="3" s="1"/>
  <c r="BI31" i="3" s="1"/>
  <c r="CI31" i="3"/>
  <c r="CI34" i="3"/>
  <c r="F34" i="18"/>
  <c r="G34" i="18" s="1"/>
  <c r="BG34" i="3" s="1"/>
  <c r="BI34" i="3" s="1"/>
  <c r="F206" i="18"/>
  <c r="G206" i="18" s="1"/>
  <c r="BG206" i="3" s="1"/>
  <c r="BI206" i="3" s="1"/>
  <c r="CI206" i="3"/>
  <c r="CI134" i="3"/>
  <c r="F134" i="18"/>
  <c r="G134" i="18" s="1"/>
  <c r="BG134" i="3" s="1"/>
  <c r="BI134" i="3" s="1"/>
  <c r="F89" i="18"/>
  <c r="G89" i="18" s="1"/>
  <c r="BG89" i="3" s="1"/>
  <c r="BI89" i="3" s="1"/>
  <c r="CI89" i="3"/>
  <c r="CI157" i="3"/>
  <c r="F157" i="18"/>
  <c r="G157" i="18" s="1"/>
  <c r="BG157" i="3" s="1"/>
  <c r="BI157" i="3" s="1"/>
  <c r="F92" i="18"/>
  <c r="G92" i="18" s="1"/>
  <c r="BG92" i="3" s="1"/>
  <c r="BI92" i="3" s="1"/>
  <c r="CI92" i="3"/>
  <c r="F178" i="18"/>
  <c r="G178" i="18" s="1"/>
  <c r="BG178" i="3" s="1"/>
  <c r="BI178" i="3" s="1"/>
  <c r="CI152" i="3"/>
  <c r="F152" i="18"/>
  <c r="G152" i="18" s="1"/>
  <c r="BG152" i="3" s="1"/>
  <c r="BI152" i="3" s="1"/>
  <c r="F150" i="18"/>
  <c r="G150" i="18" s="1"/>
  <c r="BG150" i="3" s="1"/>
  <c r="BI150" i="3" s="1"/>
  <c r="CI150" i="3"/>
  <c r="F84" i="18"/>
  <c r="G84" i="18" s="1"/>
  <c r="BG84" i="3" s="1"/>
  <c r="BI84" i="3" s="1"/>
  <c r="CI84" i="3"/>
  <c r="CI90" i="3"/>
  <c r="F90" i="18"/>
  <c r="G90" i="18" s="1"/>
  <c r="BG90" i="3" s="1"/>
  <c r="BI90" i="3" s="1"/>
  <c r="F189" i="18"/>
  <c r="G189" i="18" s="1"/>
  <c r="BG189" i="3" s="1"/>
  <c r="BI189" i="3" s="1"/>
  <c r="CI189" i="3"/>
  <c r="F137" i="18"/>
  <c r="G137" i="18" s="1"/>
  <c r="BG137" i="3" s="1"/>
  <c r="BI137" i="3" s="1"/>
  <c r="CI137" i="3"/>
  <c r="CI209" i="3"/>
  <c r="F209" i="18"/>
  <c r="G209" i="18" s="1"/>
  <c r="BG209" i="3" s="1"/>
  <c r="BI209" i="3" s="1"/>
  <c r="F174" i="18"/>
  <c r="G174" i="18" s="1"/>
  <c r="BG174" i="3" s="1"/>
  <c r="BI174" i="3" s="1"/>
  <c r="CI174" i="3"/>
  <c r="F82" i="18"/>
  <c r="G82" i="18" s="1"/>
  <c r="BG82" i="3" s="1"/>
  <c r="BI82" i="3" s="1"/>
  <c r="CI82" i="3"/>
  <c r="F112" i="18"/>
  <c r="G112" i="18" s="1"/>
  <c r="BG112" i="3" s="1"/>
  <c r="BI112" i="3" s="1"/>
  <c r="CI112" i="3"/>
  <c r="CI96" i="3"/>
  <c r="F96" i="18"/>
  <c r="G96" i="18" s="1"/>
  <c r="BG96" i="3" s="1"/>
  <c r="BI96" i="3" s="1"/>
  <c r="CI169" i="3"/>
  <c r="F169" i="18"/>
  <c r="G169" i="18" s="1"/>
  <c r="BG169" i="3" s="1"/>
  <c r="BI169" i="3" s="1"/>
  <c r="F132" i="18"/>
  <c r="G132" i="18" s="1"/>
  <c r="BG132" i="3" s="1"/>
  <c r="BI132" i="3" s="1"/>
  <c r="CI132" i="3"/>
  <c r="F116" i="18"/>
  <c r="G116" i="18" s="1"/>
  <c r="BG116" i="3" s="1"/>
  <c r="BI116" i="3" s="1"/>
  <c r="CI116" i="3"/>
  <c r="F95" i="18"/>
  <c r="G95" i="18" s="1"/>
  <c r="BG95" i="3" s="1"/>
  <c r="BI95" i="3" s="1"/>
  <c r="CI95" i="3"/>
  <c r="F102" i="18"/>
  <c r="G102" i="18" s="1"/>
  <c r="BG102" i="3" s="1"/>
  <c r="BI102" i="3" s="1"/>
  <c r="CI102" i="3"/>
  <c r="F141" i="18"/>
  <c r="G141" i="18" s="1"/>
  <c r="BG141" i="3" s="1"/>
  <c r="BI141" i="3" s="1"/>
  <c r="CI141" i="3"/>
  <c r="F101" i="18"/>
  <c r="G101" i="18" s="1"/>
  <c r="BG101" i="3" s="1"/>
  <c r="BI101" i="3" s="1"/>
  <c r="CI101" i="3"/>
  <c r="CI10" i="3"/>
  <c r="F10" i="18"/>
  <c r="G10" i="18" s="1"/>
  <c r="BG10" i="3" s="1"/>
  <c r="BI10" i="3" s="1"/>
  <c r="F170" i="18"/>
  <c r="G170" i="18" s="1"/>
  <c r="BG170" i="3" s="1"/>
  <c r="BI170" i="3" s="1"/>
  <c r="CI170" i="3"/>
  <c r="CI135" i="3"/>
  <c r="F135" i="18"/>
  <c r="G135" i="18" s="1"/>
  <c r="BG135" i="3" s="1"/>
  <c r="BI135" i="3" s="1"/>
  <c r="F136" i="18"/>
  <c r="G136" i="18" s="1"/>
  <c r="BG136" i="3" s="1"/>
  <c r="BI136" i="3" s="1"/>
  <c r="CI136" i="3"/>
  <c r="CI100" i="3"/>
  <c r="F100" i="18"/>
  <c r="G100" i="18" s="1"/>
  <c r="BG100" i="3" s="1"/>
  <c r="BI100" i="3" s="1"/>
  <c r="F75" i="18"/>
  <c r="G75" i="18" s="1"/>
  <c r="BG75" i="3" s="1"/>
  <c r="BI75" i="3" s="1"/>
  <c r="CI75" i="3"/>
  <c r="F146" i="18"/>
  <c r="G146" i="18" s="1"/>
  <c r="BG146" i="3" s="1"/>
  <c r="BI146" i="3" s="1"/>
  <c r="CI146" i="3"/>
  <c r="F122" i="18"/>
  <c r="G122" i="18" s="1"/>
  <c r="BG122" i="3" s="1"/>
  <c r="BI122" i="3" s="1"/>
  <c r="CI122" i="3"/>
  <c r="F133" i="18"/>
  <c r="G133" i="18" s="1"/>
  <c r="BG133" i="3" s="1"/>
  <c r="BI133" i="3" s="1"/>
  <c r="CI133" i="3"/>
  <c r="CI6" i="3"/>
  <c r="F6" i="18"/>
  <c r="G6" i="18" s="1"/>
  <c r="BG6" i="3" s="1"/>
  <c r="BI6" i="3" s="1"/>
  <c r="F160" i="18"/>
  <c r="G160" i="18" s="1"/>
  <c r="BG160" i="3" s="1"/>
  <c r="BI160" i="3" s="1"/>
  <c r="CI160" i="3"/>
  <c r="CI103" i="3"/>
  <c r="F103" i="18"/>
  <c r="G103" i="18" s="1"/>
  <c r="BG103" i="3" s="1"/>
  <c r="BI103" i="3" s="1"/>
  <c r="F113" i="18"/>
  <c r="G113" i="18" s="1"/>
  <c r="BG113" i="3" s="1"/>
  <c r="BI113" i="3" s="1"/>
  <c r="CI113" i="3"/>
  <c r="CI155" i="3"/>
  <c r="F155" i="18"/>
  <c r="G155" i="18" s="1"/>
  <c r="BG155" i="3" s="1"/>
  <c r="BI155" i="3" s="1"/>
  <c r="CI131" i="3"/>
  <c r="F131" i="18"/>
  <c r="G131" i="18" s="1"/>
  <c r="BG131" i="3" s="1"/>
  <c r="BI131" i="3" s="1"/>
  <c r="CI91" i="3"/>
  <c r="F91" i="18"/>
  <c r="G91" i="18" s="1"/>
  <c r="BG91" i="3" s="1"/>
  <c r="BI91" i="3" s="1"/>
  <c r="F118" i="18"/>
  <c r="G118" i="18" s="1"/>
  <c r="BG118" i="3" s="1"/>
  <c r="BI118" i="3" s="1"/>
  <c r="CI118" i="3"/>
  <c r="CI97" i="3"/>
  <c r="F97" i="18"/>
  <c r="G97" i="18" s="1"/>
  <c r="BG97" i="3" s="1"/>
  <c r="BI97" i="3" s="1"/>
  <c r="CI144" i="3"/>
  <c r="F144" i="18"/>
  <c r="G144" i="18" s="1"/>
  <c r="BG144" i="3" s="1"/>
  <c r="BI144" i="3" s="1"/>
  <c r="CI158" i="3"/>
  <c r="F158" i="18"/>
  <c r="G158" i="18" s="1"/>
  <c r="BG158" i="3" s="1"/>
  <c r="BI158" i="3" s="1"/>
  <c r="CI165" i="3"/>
  <c r="F165" i="18"/>
  <c r="G165" i="18" s="1"/>
  <c r="BG165" i="3" s="1"/>
  <c r="BI165" i="3" s="1"/>
  <c r="F108" i="18"/>
  <c r="G108" i="18" s="1"/>
  <c r="BG108" i="3" s="1"/>
  <c r="BI108" i="3" s="1"/>
  <c r="CI108" i="3"/>
  <c r="CI115" i="3"/>
  <c r="F115" i="18"/>
  <c r="G115" i="18" s="1"/>
  <c r="BG115" i="3" s="1"/>
  <c r="BI115" i="3" s="1"/>
  <c r="CI130" i="3"/>
  <c r="F130" i="18"/>
  <c r="G130" i="18" s="1"/>
  <c r="BG130" i="3" s="1"/>
  <c r="BI130" i="3" s="1"/>
  <c r="CI114" i="3"/>
  <c r="F114" i="18"/>
  <c r="G114" i="18" s="1"/>
  <c r="BG114" i="3" s="1"/>
  <c r="BI114" i="3" s="1"/>
  <c r="F139" i="18"/>
  <c r="G139" i="18" s="1"/>
  <c r="BG139" i="3" s="1"/>
  <c r="BI139" i="3" s="1"/>
  <c r="CI139" i="3"/>
  <c r="F124" i="18"/>
  <c r="G124" i="18" s="1"/>
  <c r="BG124" i="3" s="1"/>
  <c r="BI124" i="3" s="1"/>
  <c r="CI124" i="3"/>
  <c r="F127" i="18"/>
  <c r="G127" i="18" s="1"/>
  <c r="BG127" i="3" s="1"/>
  <c r="BI127" i="3" s="1"/>
  <c r="CI127" i="3"/>
  <c r="F80" i="18"/>
  <c r="G80" i="18" s="1"/>
  <c r="BG80" i="3" s="1"/>
  <c r="BI80" i="3" s="1"/>
  <c r="CI80" i="3"/>
  <c r="F154" i="18"/>
  <c r="G154" i="18" s="1"/>
  <c r="BG154" i="3" s="1"/>
  <c r="BI154" i="3" s="1"/>
  <c r="CI154" i="3"/>
  <c r="CI119" i="3"/>
  <c r="F119" i="18"/>
  <c r="G119" i="18" s="1"/>
  <c r="BG119" i="3" s="1"/>
  <c r="BI119" i="3" s="1"/>
  <c r="F142" i="18"/>
  <c r="G142" i="18" s="1"/>
  <c r="BG142" i="3" s="1"/>
  <c r="BI142" i="3" s="1"/>
  <c r="CI142" i="3"/>
  <c r="CI94" i="3"/>
  <c r="F94" i="18"/>
  <c r="G94" i="18" s="1"/>
  <c r="BG94" i="3" s="1"/>
  <c r="BI94" i="3" s="1"/>
  <c r="F145" i="18"/>
  <c r="G145" i="18" s="1"/>
  <c r="BG145" i="3" s="1"/>
  <c r="BI145" i="3" s="1"/>
  <c r="CI145" i="3"/>
  <c r="F104" i="18"/>
  <c r="G104" i="18" s="1"/>
  <c r="BG104" i="3" s="1"/>
  <c r="BI104" i="3" s="1"/>
  <c r="CI104" i="3"/>
  <c r="CI74" i="3"/>
  <c r="F74" i="18"/>
  <c r="G74" i="18" s="1"/>
  <c r="BG74" i="3" s="1"/>
  <c r="BI74" i="3" s="1"/>
  <c r="F129" i="18"/>
  <c r="G129" i="18" s="1"/>
  <c r="BG129" i="3" s="1"/>
  <c r="BI129" i="3" s="1"/>
  <c r="CI129" i="3"/>
  <c r="CI88" i="3"/>
  <c r="F88" i="18"/>
  <c r="G88" i="18" s="1"/>
  <c r="BG88" i="3" s="1"/>
  <c r="BI88" i="3" s="1"/>
  <c r="F99" i="18"/>
  <c r="G99" i="18" s="1"/>
  <c r="BG99" i="3" s="1"/>
  <c r="BI99" i="3" s="1"/>
  <c r="CI99" i="3"/>
  <c r="CI81" i="3"/>
  <c r="F81" i="18"/>
  <c r="G81" i="18" s="1"/>
  <c r="BG81" i="3" s="1"/>
  <c r="BI81" i="3" s="1"/>
  <c r="CI23" i="3"/>
  <c r="F23" i="18"/>
  <c r="G23" i="18" s="1"/>
  <c r="BG23" i="3" s="1"/>
  <c r="BI23" i="3" s="1"/>
  <c r="CI117" i="3"/>
  <c r="F117" i="18"/>
  <c r="G117" i="18" s="1"/>
  <c r="BG117" i="3" s="1"/>
  <c r="BI117" i="3" s="1"/>
  <c r="CI83" i="3"/>
  <c r="F83" i="18"/>
  <c r="G83" i="18" s="1"/>
  <c r="BG83" i="3" s="1"/>
  <c r="BI83" i="3" s="1"/>
  <c r="Z4" i="3"/>
  <c r="CI105" i="3"/>
  <c r="F105" i="18"/>
  <c r="G105" i="18" s="1"/>
  <c r="BG105" i="3" s="1"/>
  <c r="BI105" i="3" s="1"/>
  <c r="F78" i="18"/>
  <c r="G78" i="18" s="1"/>
  <c r="BG78" i="3" s="1"/>
  <c r="BI78" i="3" s="1"/>
  <c r="CI78" i="3"/>
  <c r="AK12" i="3"/>
  <c r="AL12" i="3" s="1"/>
  <c r="F21" i="18"/>
  <c r="G21" i="18" s="1"/>
  <c r="BG21" i="3" s="1"/>
  <c r="BI21" i="3" s="1"/>
  <c r="CI21" i="3"/>
  <c r="F128" i="18"/>
  <c r="G128" i="18" s="1"/>
  <c r="BG128" i="3" s="1"/>
  <c r="BI128" i="3" s="1"/>
  <c r="CI128" i="3"/>
  <c r="F85" i="18"/>
  <c r="G85" i="18" s="1"/>
  <c r="BG85" i="3" s="1"/>
  <c r="BI85" i="3" s="1"/>
  <c r="CI85" i="3"/>
  <c r="F77" i="18"/>
  <c r="G77" i="18" s="1"/>
  <c r="BG77" i="3" s="1"/>
  <c r="BI77" i="3" s="1"/>
  <c r="CI77" i="3"/>
  <c r="CI73" i="3"/>
  <c r="F73" i="18"/>
  <c r="G73" i="18" s="1"/>
  <c r="BG73" i="3" s="1"/>
  <c r="BI73" i="3" s="1"/>
  <c r="CI153" i="3"/>
  <c r="AY32" i="3" l="1"/>
  <c r="AY94" i="3"/>
  <c r="AY123" i="3"/>
  <c r="H123" i="18" s="1"/>
  <c r="AY260" i="3"/>
  <c r="AY67" i="3"/>
  <c r="G260" i="24"/>
  <c r="G99" i="24"/>
  <c r="G242" i="24"/>
  <c r="G277" i="24"/>
  <c r="G249" i="24"/>
  <c r="BR275" i="3"/>
  <c r="BS275" i="3" s="1"/>
  <c r="BT275" i="3" s="1"/>
  <c r="BZ15" i="3"/>
  <c r="J18" i="24" s="1"/>
  <c r="BY274" i="3"/>
  <c r="I277" i="24"/>
  <c r="BY96" i="3"/>
  <c r="I99" i="24"/>
  <c r="BY246" i="3"/>
  <c r="I249" i="24"/>
  <c r="BQ275" i="3"/>
  <c r="BV15" i="3"/>
  <c r="BW15" i="3" s="1"/>
  <c r="BX15" i="3" s="1"/>
  <c r="BR15" i="3"/>
  <c r="BS15" i="3" s="1"/>
  <c r="BQ15" i="3"/>
  <c r="BZ275" i="3"/>
  <c r="J278" i="24" s="1"/>
  <c r="BV275" i="3"/>
  <c r="BX275" i="3" s="1"/>
  <c r="BS4" i="10"/>
  <c r="BZ233" i="3"/>
  <c r="J236" i="24" s="1"/>
  <c r="BV54" i="3"/>
  <c r="BW54" i="3" s="1"/>
  <c r="BV28" i="3"/>
  <c r="BW28" i="3" s="1"/>
  <c r="BX28" i="3" s="1"/>
  <c r="BR116" i="3"/>
  <c r="BS116" i="3" s="1"/>
  <c r="BT116" i="3" s="1"/>
  <c r="BV163" i="3"/>
  <c r="BW163" i="3" s="1"/>
  <c r="BX163" i="3" s="1"/>
  <c r="BQ8" i="3"/>
  <c r="BV255" i="3"/>
  <c r="BW255" i="3" s="1"/>
  <c r="BR27" i="3"/>
  <c r="BS27" i="3" s="1"/>
  <c r="BT27" i="3" s="1"/>
  <c r="BV237" i="3"/>
  <c r="BW237" i="3" s="1"/>
  <c r="BX237" i="3" s="1"/>
  <c r="BQ123" i="3"/>
  <c r="BZ160" i="3"/>
  <c r="J163" i="24" s="1"/>
  <c r="BV192" i="3"/>
  <c r="BW192" i="3" s="1"/>
  <c r="BQ7" i="3"/>
  <c r="BR24" i="3"/>
  <c r="BT24" i="3" s="1"/>
  <c r="BQ251" i="3"/>
  <c r="BV186" i="3"/>
  <c r="BW186" i="3" s="1"/>
  <c r="BX186" i="3" s="1"/>
  <c r="BV224" i="3"/>
  <c r="BW224" i="3" s="1"/>
  <c r="BX224" i="3" s="1"/>
  <c r="BV161" i="3"/>
  <c r="BW161" i="3" s="1"/>
  <c r="BX161" i="3" s="1"/>
  <c r="BZ115" i="3"/>
  <c r="J118" i="24" s="1"/>
  <c r="BV43" i="3"/>
  <c r="BW43" i="3" s="1"/>
  <c r="BV32" i="3"/>
  <c r="BW32" i="3" s="1"/>
  <c r="BX32" i="3" s="1"/>
  <c r="BQ135" i="3"/>
  <c r="BV228" i="3"/>
  <c r="BW228" i="3" s="1"/>
  <c r="BX228" i="3" s="1"/>
  <c r="BR73" i="3"/>
  <c r="BS73" i="3" s="1"/>
  <c r="BV250" i="3"/>
  <c r="BW250" i="3" s="1"/>
  <c r="BX250" i="3" s="1"/>
  <c r="BR161" i="3"/>
  <c r="BT161" i="3" s="1"/>
  <c r="BZ161" i="3"/>
  <c r="J164" i="24" s="1"/>
  <c r="BQ161" i="3"/>
  <c r="BQ73" i="3"/>
  <c r="BZ7" i="3"/>
  <c r="J10" i="24" s="1"/>
  <c r="BV7" i="3"/>
  <c r="BW7" i="3" s="1"/>
  <c r="BR7" i="3"/>
  <c r="BS7" i="3" s="1"/>
  <c r="BT7" i="3" s="1"/>
  <c r="BZ135" i="3"/>
  <c r="J138" i="24" s="1"/>
  <c r="BV135" i="3"/>
  <c r="BW135" i="3" s="1"/>
  <c r="BX135" i="3" s="1"/>
  <c r="BR135" i="3"/>
  <c r="BS135" i="3" s="1"/>
  <c r="BZ73" i="3"/>
  <c r="J76" i="24" s="1"/>
  <c r="BV73" i="3"/>
  <c r="BX73" i="3" s="1"/>
  <c r="BR28" i="3"/>
  <c r="BS28" i="3" s="1"/>
  <c r="BZ54" i="3"/>
  <c r="J57" i="24" s="1"/>
  <c r="BR54" i="3"/>
  <c r="BS54" i="3" s="1"/>
  <c r="BT54" i="3" s="1"/>
  <c r="BQ54" i="3"/>
  <c r="BQ28" i="3"/>
  <c r="BZ28" i="3"/>
  <c r="J31" i="24" s="1"/>
  <c r="BZ123" i="3"/>
  <c r="J126" i="24" s="1"/>
  <c r="BV123" i="3"/>
  <c r="BW123" i="3" s="1"/>
  <c r="BX123" i="3" s="1"/>
  <c r="BR123" i="3"/>
  <c r="BS123" i="3" s="1"/>
  <c r="BQ27" i="3"/>
  <c r="S4" i="3"/>
  <c r="BZ27" i="3"/>
  <c r="J30" i="24" s="1"/>
  <c r="BV27" i="3"/>
  <c r="BX27" i="3" s="1"/>
  <c r="U36" i="3"/>
  <c r="J4" i="23"/>
  <c r="M5" i="23"/>
  <c r="M4" i="23" s="1"/>
  <c r="CI258" i="3"/>
  <c r="BR228" i="3"/>
  <c r="BS228" i="3" s="1"/>
  <c r="F266" i="23"/>
  <c r="F214" i="23"/>
  <c r="F27" i="23"/>
  <c r="F210" i="23"/>
  <c r="F239" i="23"/>
  <c r="F248" i="23"/>
  <c r="F48" i="23"/>
  <c r="F56" i="23"/>
  <c r="F35" i="23"/>
  <c r="F72" i="23"/>
  <c r="BR160" i="3"/>
  <c r="BT160" i="3" s="1"/>
  <c r="BR32" i="3"/>
  <c r="BT32" i="3" s="1"/>
  <c r="BR237" i="3"/>
  <c r="BS237" i="3" s="1"/>
  <c r="BR224" i="3"/>
  <c r="BS224" i="3" s="1"/>
  <c r="BZ237" i="3"/>
  <c r="J240" i="24" s="1"/>
  <c r="BZ224" i="3"/>
  <c r="J227" i="24" s="1"/>
  <c r="BZ228" i="3"/>
  <c r="J231" i="24" s="1"/>
  <c r="BQ228" i="3"/>
  <c r="BR163" i="3"/>
  <c r="BT163" i="3" s="1"/>
  <c r="BZ163" i="3"/>
  <c r="J166" i="24" s="1"/>
  <c r="BQ163" i="3"/>
  <c r="BQ224" i="3"/>
  <c r="BQ237" i="3"/>
  <c r="BV160" i="3"/>
  <c r="BW160" i="3" s="1"/>
  <c r="BX160" i="3" s="1"/>
  <c r="BR255" i="3"/>
  <c r="BS255" i="3" s="1"/>
  <c r="BT255" i="3" s="1"/>
  <c r="BV233" i="3"/>
  <c r="BW233" i="3" s="1"/>
  <c r="BX233" i="3" s="1"/>
  <c r="BR233" i="3"/>
  <c r="BT233" i="3" s="1"/>
  <c r="BQ233" i="3"/>
  <c r="BQ160" i="3"/>
  <c r="BZ32" i="3"/>
  <c r="J35" i="24" s="1"/>
  <c r="BQ32" i="3"/>
  <c r="BQ255" i="3"/>
  <c r="BQ115" i="3"/>
  <c r="BV115" i="3"/>
  <c r="BW115" i="3" s="1"/>
  <c r="BR115" i="3"/>
  <c r="BS115" i="3" s="1"/>
  <c r="BZ250" i="3"/>
  <c r="J253" i="24" s="1"/>
  <c r="BR250" i="3"/>
  <c r="BS250" i="3" s="1"/>
  <c r="BR186" i="3"/>
  <c r="BS186" i="3" s="1"/>
  <c r="BT186" i="3" s="1"/>
  <c r="BQ250" i="3"/>
  <c r="BZ255" i="3"/>
  <c r="J258" i="24" s="1"/>
  <c r="BQ192" i="3"/>
  <c r="BQ186" i="3"/>
  <c r="BQ116" i="3"/>
  <c r="BZ186" i="3"/>
  <c r="J189" i="24" s="1"/>
  <c r="BV116" i="3"/>
  <c r="BW116" i="3" s="1"/>
  <c r="BZ43" i="3"/>
  <c r="J46" i="24" s="1"/>
  <c r="BQ43" i="3"/>
  <c r="BR192" i="3"/>
  <c r="BS192" i="3" s="1"/>
  <c r="BT192" i="3" s="1"/>
  <c r="BR43" i="3"/>
  <c r="BS43" i="3" s="1"/>
  <c r="BZ116" i="3"/>
  <c r="J119" i="24" s="1"/>
  <c r="BZ24" i="3"/>
  <c r="J27" i="24" s="1"/>
  <c r="BZ192" i="3"/>
  <c r="J195" i="24" s="1"/>
  <c r="BV8" i="3"/>
  <c r="BW8" i="3" s="1"/>
  <c r="BX8" i="3" s="1"/>
  <c r="BG264" i="3"/>
  <c r="BI264" i="3" s="1"/>
  <c r="BG258" i="3"/>
  <c r="BI258" i="3" s="1"/>
  <c r="BG274" i="3"/>
  <c r="BI274" i="3" s="1"/>
  <c r="BG268" i="3"/>
  <c r="BI268" i="3" s="1"/>
  <c r="BG262" i="3"/>
  <c r="BI262" i="3" s="1"/>
  <c r="BG255" i="3"/>
  <c r="BI255" i="3" s="1"/>
  <c r="BG256" i="3"/>
  <c r="BI256" i="3" s="1"/>
  <c r="BG272" i="3"/>
  <c r="BI272" i="3" s="1"/>
  <c r="BG278" i="3"/>
  <c r="BI278" i="3" s="1"/>
  <c r="BG283" i="3"/>
  <c r="BI283" i="3" s="1"/>
  <c r="BG254" i="3"/>
  <c r="BI254" i="3" s="1"/>
  <c r="BG261" i="3"/>
  <c r="BI261" i="3" s="1"/>
  <c r="BG285" i="3"/>
  <c r="BI285" i="3" s="1"/>
  <c r="BG281" i="3"/>
  <c r="BI281" i="3" s="1"/>
  <c r="BG259" i="3"/>
  <c r="BI259" i="3" s="1"/>
  <c r="BG290" i="3"/>
  <c r="BI290" i="3" s="1"/>
  <c r="BG284" i="3"/>
  <c r="BI284" i="3" s="1"/>
  <c r="BG257" i="3"/>
  <c r="BI257" i="3" s="1"/>
  <c r="BG192" i="3"/>
  <c r="BI192" i="3" s="1"/>
  <c r="BG11" i="3"/>
  <c r="BI11" i="3" s="1"/>
  <c r="BG55" i="3"/>
  <c r="BI55" i="3" s="1"/>
  <c r="BG240" i="3"/>
  <c r="BI240" i="3" s="1"/>
  <c r="BG106" i="3"/>
  <c r="BI106" i="3" s="1"/>
  <c r="BG200" i="3"/>
  <c r="BI200" i="3" s="1"/>
  <c r="BG42" i="3"/>
  <c r="BI42" i="3" s="1"/>
  <c r="BG217" i="3"/>
  <c r="BI217" i="3" s="1"/>
  <c r="BG64" i="3"/>
  <c r="BI64" i="3" s="1"/>
  <c r="BG197" i="3"/>
  <c r="BI197" i="3" s="1"/>
  <c r="BG246" i="3"/>
  <c r="BI246" i="3" s="1"/>
  <c r="BG239" i="3"/>
  <c r="BI239" i="3" s="1"/>
  <c r="BG216" i="3"/>
  <c r="BI216" i="3" s="1"/>
  <c r="BG163" i="3"/>
  <c r="BI163" i="3" s="1"/>
  <c r="BG125" i="3"/>
  <c r="BI125" i="3" s="1"/>
  <c r="BG195" i="3"/>
  <c r="BI195" i="3" s="1"/>
  <c r="BG223" i="3"/>
  <c r="BI223" i="3" s="1"/>
  <c r="BG229" i="3"/>
  <c r="BI229" i="3" s="1"/>
  <c r="BG149" i="3"/>
  <c r="BI149" i="3" s="1"/>
  <c r="BG143" i="3"/>
  <c r="BI143" i="3" s="1"/>
  <c r="BG62" i="3"/>
  <c r="BI62" i="3" s="1"/>
  <c r="BG35" i="3"/>
  <c r="BI35" i="3" s="1"/>
  <c r="BG29" i="3"/>
  <c r="BI29" i="3" s="1"/>
  <c r="BG238" i="3"/>
  <c r="BI238" i="3" s="1"/>
  <c r="BG212" i="3"/>
  <c r="BI212" i="3" s="1"/>
  <c r="BG219" i="3"/>
  <c r="BI219" i="3" s="1"/>
  <c r="BG190" i="3"/>
  <c r="BI190" i="3" s="1"/>
  <c r="BG201" i="3"/>
  <c r="BI201" i="3" s="1"/>
  <c r="BG202" i="3"/>
  <c r="BI202" i="3" s="1"/>
  <c r="BG138" i="3"/>
  <c r="BI138" i="3" s="1"/>
  <c r="BG79" i="3"/>
  <c r="BI79" i="3" s="1"/>
  <c r="BG177" i="3"/>
  <c r="BI177" i="3" s="1"/>
  <c r="BG232" i="3"/>
  <c r="BI232" i="3" s="1"/>
  <c r="BG159" i="3"/>
  <c r="BI159" i="3" s="1"/>
  <c r="BG61" i="3"/>
  <c r="BI61" i="3" s="1"/>
  <c r="BG32" i="3"/>
  <c r="BI32" i="3" s="1"/>
  <c r="BG242" i="3"/>
  <c r="BI242" i="3" s="1"/>
  <c r="BG237" i="3"/>
  <c r="BI237" i="3" s="1"/>
  <c r="BG120" i="3"/>
  <c r="BI120" i="3" s="1"/>
  <c r="BG49" i="3"/>
  <c r="BI49" i="3" s="1"/>
  <c r="BG244" i="3"/>
  <c r="BI244" i="3" s="1"/>
  <c r="BG59" i="3"/>
  <c r="BI59" i="3" s="1"/>
  <c r="BG50" i="3"/>
  <c r="BI50" i="3" s="1"/>
  <c r="BG5" i="3"/>
  <c r="BI5" i="3" s="1"/>
  <c r="BG162" i="3"/>
  <c r="BI162" i="3" s="1"/>
  <c r="BG38" i="3"/>
  <c r="BI38" i="3" s="1"/>
  <c r="BG22" i="3"/>
  <c r="BI22" i="3" s="1"/>
  <c r="BG203" i="3"/>
  <c r="BI203" i="3" s="1"/>
  <c r="BG221" i="3"/>
  <c r="BI221" i="3" s="1"/>
  <c r="BG215" i="3"/>
  <c r="BI215" i="3" s="1"/>
  <c r="BG227" i="3"/>
  <c r="BI227" i="3" s="1"/>
  <c r="BG70" i="3"/>
  <c r="BI70" i="3" s="1"/>
  <c r="BG220" i="3"/>
  <c r="BI220" i="3" s="1"/>
  <c r="BG213" i="3"/>
  <c r="BI213" i="3" s="1"/>
  <c r="BG243" i="3"/>
  <c r="BI243" i="3" s="1"/>
  <c r="BG57" i="3"/>
  <c r="BI57" i="3" s="1"/>
  <c r="BG198" i="3"/>
  <c r="BI198" i="3" s="1"/>
  <c r="BG168" i="3"/>
  <c r="BI168" i="3" s="1"/>
  <c r="BG67" i="3"/>
  <c r="BI67" i="3" s="1"/>
  <c r="BG207" i="3"/>
  <c r="BI207" i="3" s="1"/>
  <c r="BV162" i="3"/>
  <c r="BW162" i="3" s="1"/>
  <c r="BX162" i="3" s="1"/>
  <c r="BV71" i="3"/>
  <c r="BW71" i="3" s="1"/>
  <c r="BV190" i="3"/>
  <c r="BW190" i="3" s="1"/>
  <c r="BX190" i="3" s="1"/>
  <c r="BV148" i="3"/>
  <c r="BW148" i="3" s="1"/>
  <c r="BQ189" i="3"/>
  <c r="BQ75" i="3"/>
  <c r="BZ229" i="3"/>
  <c r="J232" i="24" s="1"/>
  <c r="BZ69" i="3"/>
  <c r="J72" i="24" s="1"/>
  <c r="BV288" i="3"/>
  <c r="BW288" i="3" s="1"/>
  <c r="BZ155" i="3"/>
  <c r="J158" i="24" s="1"/>
  <c r="BZ13" i="3"/>
  <c r="J16" i="24" s="1"/>
  <c r="BQ68" i="3"/>
  <c r="BQ271" i="3"/>
  <c r="BQ114" i="3"/>
  <c r="BV99" i="3"/>
  <c r="BW99" i="3" s="1"/>
  <c r="BV24" i="3"/>
  <c r="BW24" i="3" s="1"/>
  <c r="BX24" i="3" s="1"/>
  <c r="BV33" i="3"/>
  <c r="BW33" i="3" s="1"/>
  <c r="BV9" i="3"/>
  <c r="BW9" i="3" s="1"/>
  <c r="BV41" i="3"/>
  <c r="BW41" i="3" s="1"/>
  <c r="BX41" i="3" s="1"/>
  <c r="BZ204" i="3"/>
  <c r="J207" i="24" s="1"/>
  <c r="BZ262" i="3"/>
  <c r="J265" i="24" s="1"/>
  <c r="BR66" i="3"/>
  <c r="BS66" i="3" s="1"/>
  <c r="BZ94" i="3"/>
  <c r="J97" i="24" s="1"/>
  <c r="BQ182" i="3"/>
  <c r="BV63" i="3"/>
  <c r="BW63" i="3" s="1"/>
  <c r="BX63" i="3" s="1"/>
  <c r="BV199" i="3"/>
  <c r="BW199" i="3" s="1"/>
  <c r="BX199" i="3" s="1"/>
  <c r="BQ221" i="3"/>
  <c r="BV188" i="3"/>
  <c r="BW188" i="3" s="1"/>
  <c r="BX188" i="3" s="1"/>
  <c r="BZ119" i="3"/>
  <c r="J122" i="24" s="1"/>
  <c r="BV165" i="3"/>
  <c r="BW165" i="3" s="1"/>
  <c r="BV45" i="3"/>
  <c r="BW45" i="3" s="1"/>
  <c r="BV175" i="3"/>
  <c r="BW175" i="3" s="1"/>
  <c r="BX175" i="3" s="1"/>
  <c r="BV59" i="3"/>
  <c r="BW59" i="3" s="1"/>
  <c r="BX59" i="3" s="1"/>
  <c r="BZ263" i="3"/>
  <c r="J266" i="24" s="1"/>
  <c r="BZ18" i="3"/>
  <c r="J21" i="24" s="1"/>
  <c r="BV242" i="3"/>
  <c r="BW242" i="3" s="1"/>
  <c r="BV207" i="3"/>
  <c r="BW207" i="3" s="1"/>
  <c r="BX207" i="3" s="1"/>
  <c r="BV259" i="3"/>
  <c r="BX259" i="3" s="1"/>
  <c r="BZ195" i="3"/>
  <c r="J198" i="24" s="1"/>
  <c r="BV218" i="3"/>
  <c r="BW218" i="3" s="1"/>
  <c r="BX218" i="3" s="1"/>
  <c r="BZ20" i="3"/>
  <c r="J23" i="24" s="1"/>
  <c r="BV128" i="3"/>
  <c r="BW128" i="3" s="1"/>
  <c r="BX128" i="3" s="1"/>
  <c r="BQ200" i="3"/>
  <c r="BV222" i="3"/>
  <c r="BW222" i="3" s="1"/>
  <c r="BX222" i="3" s="1"/>
  <c r="BV214" i="3"/>
  <c r="BW214" i="3" s="1"/>
  <c r="BQ157" i="3"/>
  <c r="BV180" i="3"/>
  <c r="BW180" i="3" s="1"/>
  <c r="BV87" i="3"/>
  <c r="BW87" i="3" s="1"/>
  <c r="BQ101" i="3"/>
  <c r="BQ22" i="3"/>
  <c r="BQ23" i="3"/>
  <c r="BQ281" i="3"/>
  <c r="BV60" i="3"/>
  <c r="BW60" i="3" s="1"/>
  <c r="BX60" i="3" s="1"/>
  <c r="BQ100" i="3"/>
  <c r="BR193" i="3"/>
  <c r="BS193" i="3" s="1"/>
  <c r="BT193" i="3" s="1"/>
  <c r="BR269" i="3"/>
  <c r="BT269" i="3" s="1"/>
  <c r="BV225" i="3"/>
  <c r="BW225" i="3" s="1"/>
  <c r="BZ103" i="3"/>
  <c r="J106" i="24" s="1"/>
  <c r="BV248" i="3"/>
  <c r="BW248" i="3" s="1"/>
  <c r="BQ137" i="3"/>
  <c r="BV105" i="3"/>
  <c r="BW105" i="3" s="1"/>
  <c r="BX105" i="3" s="1"/>
  <c r="BV91" i="3"/>
  <c r="BW91" i="3" s="1"/>
  <c r="BX91" i="3" s="1"/>
  <c r="BV256" i="3"/>
  <c r="BW256" i="3" s="1"/>
  <c r="BX256" i="3" s="1"/>
  <c r="BZ159" i="3"/>
  <c r="J162" i="24" s="1"/>
  <c r="BZ80" i="3"/>
  <c r="J83" i="24" s="1"/>
  <c r="BV104" i="3"/>
  <c r="BQ62" i="3"/>
  <c r="BV86" i="3"/>
  <c r="BW86" i="3" s="1"/>
  <c r="BX86" i="3" s="1"/>
  <c r="BQ142" i="3"/>
  <c r="BV110" i="3"/>
  <c r="BW110" i="3" s="1"/>
  <c r="BQ265" i="3"/>
  <c r="BV133" i="3"/>
  <c r="BW133" i="3" s="1"/>
  <c r="BX133" i="3" s="1"/>
  <c r="BV107" i="3"/>
  <c r="BW107" i="3" s="1"/>
  <c r="BV173" i="3"/>
  <c r="BW173" i="3" s="1"/>
  <c r="BX173" i="3" s="1"/>
  <c r="BZ164" i="3"/>
  <c r="J167" i="24" s="1"/>
  <c r="BV147" i="3"/>
  <c r="BW147" i="3" s="1"/>
  <c r="BX147" i="3" s="1"/>
  <c r="BR264" i="3"/>
  <c r="BS264" i="3" s="1"/>
  <c r="BT264" i="3" s="1"/>
  <c r="BR179" i="3"/>
  <c r="BS179" i="3" s="1"/>
  <c r="BT179" i="3" s="1"/>
  <c r="BV184" i="3"/>
  <c r="BW184" i="3" s="1"/>
  <c r="BX184" i="3" s="1"/>
  <c r="BQ111" i="3"/>
  <c r="BQ216" i="3"/>
  <c r="BQ169" i="3"/>
  <c r="BV90" i="3"/>
  <c r="BX90" i="3" s="1"/>
  <c r="BZ8" i="3"/>
  <c r="J11" i="24" s="1"/>
  <c r="BV167" i="3"/>
  <c r="BW167" i="3" s="1"/>
  <c r="BX167" i="3" s="1"/>
  <c r="BZ64" i="3"/>
  <c r="J67" i="24" s="1"/>
  <c r="BV285" i="3"/>
  <c r="BW285" i="3" s="1"/>
  <c r="BX285" i="3" s="1"/>
  <c r="BZ158" i="3"/>
  <c r="J161" i="24" s="1"/>
  <c r="BZ150" i="3"/>
  <c r="J153" i="24" s="1"/>
  <c r="BZ61" i="3"/>
  <c r="J64" i="24" s="1"/>
  <c r="BZ206" i="3"/>
  <c r="J209" i="24" s="1"/>
  <c r="BZ78" i="3"/>
  <c r="J81" i="24" s="1"/>
  <c r="BV273" i="3"/>
  <c r="BW273" i="3" s="1"/>
  <c r="BX273" i="3" s="1"/>
  <c r="BZ11" i="3"/>
  <c r="J14" i="24" s="1"/>
  <c r="BZ290" i="3"/>
  <c r="J293" i="24" s="1"/>
  <c r="BZ205" i="3"/>
  <c r="J208" i="24" s="1"/>
  <c r="BZ191" i="3"/>
  <c r="J194" i="24" s="1"/>
  <c r="BR132" i="3"/>
  <c r="BT132" i="3" s="1"/>
  <c r="BQ284" i="3"/>
  <c r="BQ178" i="3"/>
  <c r="BZ88" i="3"/>
  <c r="J91" i="24" s="1"/>
  <c r="BV82" i="3"/>
  <c r="BW82" i="3" s="1"/>
  <c r="BX82" i="3" s="1"/>
  <c r="BQ122" i="3"/>
  <c r="BR286" i="3"/>
  <c r="BS286" i="3" s="1"/>
  <c r="BT286" i="3" s="1"/>
  <c r="BQ141" i="3"/>
  <c r="BZ287" i="3"/>
  <c r="J290" i="24" s="1"/>
  <c r="BQ277" i="3"/>
  <c r="BZ106" i="3"/>
  <c r="J109" i="24" s="1"/>
  <c r="BR241" i="3"/>
  <c r="BS241" i="3" s="1"/>
  <c r="BV30" i="3"/>
  <c r="BW30" i="3" s="1"/>
  <c r="BV118" i="3"/>
  <c r="BW118" i="3" s="1"/>
  <c r="BV46" i="3"/>
  <c r="BW46" i="3" s="1"/>
  <c r="BZ14" i="3"/>
  <c r="J17" i="24" s="1"/>
  <c r="BV29" i="3"/>
  <c r="BW29" i="3" s="1"/>
  <c r="BX29" i="3" s="1"/>
  <c r="BQ156" i="3"/>
  <c r="BQ37" i="3"/>
  <c r="BV268" i="3"/>
  <c r="BW268" i="3" s="1"/>
  <c r="BR196" i="3"/>
  <c r="BT196" i="3" s="1"/>
  <c r="BQ235" i="3"/>
  <c r="BZ95" i="3"/>
  <c r="J98" i="24" s="1"/>
  <c r="BV65" i="3"/>
  <c r="BX65" i="3" s="1"/>
  <c r="BV129" i="3"/>
  <c r="BW129" i="3" s="1"/>
  <c r="BQ227" i="3"/>
  <c r="BV26" i="3"/>
  <c r="BW26" i="3" s="1"/>
  <c r="BX26" i="3" s="1"/>
  <c r="BV154" i="3"/>
  <c r="BW154" i="3" s="1"/>
  <c r="BX154" i="3" s="1"/>
  <c r="BQ52" i="3"/>
  <c r="BR251" i="3"/>
  <c r="BS251" i="3" s="1"/>
  <c r="BV267" i="3"/>
  <c r="BW267" i="3" s="1"/>
  <c r="BX267" i="3" s="1"/>
  <c r="BQ81" i="3"/>
  <c r="BQ126" i="3"/>
  <c r="BR93" i="3"/>
  <c r="BS93" i="3" s="1"/>
  <c r="BQ174" i="3"/>
  <c r="BQ212" i="3"/>
  <c r="BZ238" i="3"/>
  <c r="J241" i="24" s="1"/>
  <c r="BV220" i="3"/>
  <c r="BW220" i="3" s="1"/>
  <c r="BX220" i="3" s="1"/>
  <c r="BV197" i="3"/>
  <c r="BW197" i="3" s="1"/>
  <c r="BV77" i="3"/>
  <c r="BW77" i="3" s="1"/>
  <c r="BV127" i="3"/>
  <c r="BW127" i="3" s="1"/>
  <c r="BX127" i="3" s="1"/>
  <c r="BZ92" i="3"/>
  <c r="J95" i="24" s="1"/>
  <c r="BV19" i="3"/>
  <c r="BV210" i="3"/>
  <c r="BX210" i="3" s="1"/>
  <c r="BQ56" i="3"/>
  <c r="BQ120" i="3"/>
  <c r="BV146" i="3"/>
  <c r="BW146" i="3" s="1"/>
  <c r="BV143" i="3"/>
  <c r="BW143" i="3" s="1"/>
  <c r="BX143" i="3" s="1"/>
  <c r="BZ58" i="3"/>
  <c r="J61" i="24" s="1"/>
  <c r="BQ84" i="3"/>
  <c r="BV145" i="3"/>
  <c r="BW145" i="3" s="1"/>
  <c r="BX145" i="3" s="1"/>
  <c r="BV254" i="3"/>
  <c r="BX254" i="3" s="1"/>
  <c r="BQ244" i="3"/>
  <c r="BV253" i="3"/>
  <c r="BW253" i="3" s="1"/>
  <c r="BQ125" i="3"/>
  <c r="BQ280" i="3"/>
  <c r="BZ252" i="3"/>
  <c r="J255" i="24" s="1"/>
  <c r="BZ282" i="3"/>
  <c r="J285" i="24" s="1"/>
  <c r="BQ260" i="3"/>
  <c r="BZ109" i="3"/>
  <c r="J112" i="24" s="1"/>
  <c r="BV124" i="3"/>
  <c r="BW124" i="3" s="1"/>
  <c r="BR183" i="3"/>
  <c r="BT183" i="3" s="1"/>
  <c r="BV97" i="3"/>
  <c r="BW97" i="3" s="1"/>
  <c r="BV278" i="3"/>
  <c r="BW278" i="3" s="1"/>
  <c r="BX278" i="3" s="1"/>
  <c r="BV152" i="3"/>
  <c r="BW152" i="3" s="1"/>
  <c r="BX152" i="3" s="1"/>
  <c r="BQ50" i="3"/>
  <c r="BV247" i="3"/>
  <c r="BW247" i="3" s="1"/>
  <c r="BX247" i="3" s="1"/>
  <c r="BR201" i="3"/>
  <c r="BS201" i="3" s="1"/>
  <c r="BZ223" i="3"/>
  <c r="J226" i="24" s="1"/>
  <c r="BV287" i="3"/>
  <c r="BW287" i="3" s="1"/>
  <c r="BX287" i="3" s="1"/>
  <c r="BQ207" i="3"/>
  <c r="BR18" i="3"/>
  <c r="BS18" i="3" s="1"/>
  <c r="BQ128" i="3"/>
  <c r="BV20" i="3"/>
  <c r="BW20" i="3" s="1"/>
  <c r="BR8" i="3"/>
  <c r="BS8" i="3" s="1"/>
  <c r="BV64" i="3"/>
  <c r="BW64" i="3" s="1"/>
  <c r="BX64" i="3" s="1"/>
  <c r="BR91" i="3"/>
  <c r="BS91" i="3" s="1"/>
  <c r="BR167" i="3"/>
  <c r="BS167" i="3" s="1"/>
  <c r="BQ167" i="3"/>
  <c r="BR256" i="3"/>
  <c r="BS256" i="3" s="1"/>
  <c r="BZ167" i="3"/>
  <c r="J170" i="24" s="1"/>
  <c r="BR64" i="3"/>
  <c r="BT64" i="3" s="1"/>
  <c r="BQ64" i="3"/>
  <c r="BQ256" i="3"/>
  <c r="BQ91" i="3"/>
  <c r="BZ105" i="3"/>
  <c r="J108" i="24" s="1"/>
  <c r="BR105" i="3"/>
  <c r="BZ91" i="3"/>
  <c r="J94" i="24" s="1"/>
  <c r="BZ256" i="3"/>
  <c r="J259" i="24" s="1"/>
  <c r="BQ105" i="3"/>
  <c r="BR287" i="3"/>
  <c r="BS287" i="3" s="1"/>
  <c r="BR218" i="3"/>
  <c r="BT218" i="3" s="1"/>
  <c r="BZ251" i="3"/>
  <c r="J254" i="24" s="1"/>
  <c r="BV277" i="3"/>
  <c r="BW277" i="3" s="1"/>
  <c r="BX277" i="3" s="1"/>
  <c r="BZ277" i="3"/>
  <c r="J280" i="24" s="1"/>
  <c r="BQ20" i="3"/>
  <c r="BQ287" i="3"/>
  <c r="BR128" i="3"/>
  <c r="BS128" i="3" s="1"/>
  <c r="BR207" i="3"/>
  <c r="BS207" i="3" s="1"/>
  <c r="BV251" i="3"/>
  <c r="BW251" i="3" s="1"/>
  <c r="BX251" i="3" s="1"/>
  <c r="BR277" i="3"/>
  <c r="BT277" i="3" s="1"/>
  <c r="BQ242" i="3"/>
  <c r="BR267" i="3"/>
  <c r="BS267" i="3" s="1"/>
  <c r="BR195" i="3"/>
  <c r="BS195" i="3" s="1"/>
  <c r="BT195" i="3" s="1"/>
  <c r="BQ267" i="3"/>
  <c r="BQ195" i="3"/>
  <c r="BZ267" i="3"/>
  <c r="J270" i="24" s="1"/>
  <c r="BZ128" i="3"/>
  <c r="J131" i="24" s="1"/>
  <c r="BV223" i="3"/>
  <c r="BW223" i="3" s="1"/>
  <c r="BX223" i="3" s="1"/>
  <c r="BR242" i="3"/>
  <c r="BS242" i="3" s="1"/>
  <c r="BZ218" i="3"/>
  <c r="J221" i="24" s="1"/>
  <c r="BQ18" i="3"/>
  <c r="BR263" i="3"/>
  <c r="BS263" i="3" s="1"/>
  <c r="BT263" i="3" s="1"/>
  <c r="BZ207" i="3"/>
  <c r="J210" i="24" s="1"/>
  <c r="BR20" i="3"/>
  <c r="BS20" i="3" s="1"/>
  <c r="BQ263" i="3"/>
  <c r="BR259" i="3"/>
  <c r="BS259" i="3" s="1"/>
  <c r="BT259" i="3" s="1"/>
  <c r="BQ218" i="3"/>
  <c r="BQ259" i="3"/>
  <c r="BV195" i="3"/>
  <c r="BW195" i="3" s="1"/>
  <c r="BR223" i="3"/>
  <c r="BT223" i="3" s="1"/>
  <c r="BQ223" i="3"/>
  <c r="BZ84" i="3"/>
  <c r="J87" i="24" s="1"/>
  <c r="BV84" i="3"/>
  <c r="BR84" i="3"/>
  <c r="BS84" i="3" s="1"/>
  <c r="BT84" i="3" s="1"/>
  <c r="BV18" i="3"/>
  <c r="BW18" i="3" s="1"/>
  <c r="BX18" i="3" s="1"/>
  <c r="BQ269" i="3"/>
  <c r="BZ225" i="3"/>
  <c r="J228" i="24" s="1"/>
  <c r="BZ52" i="3"/>
  <c r="J55" i="24" s="1"/>
  <c r="BV52" i="3"/>
  <c r="BW52" i="3" s="1"/>
  <c r="BX52" i="3" s="1"/>
  <c r="BR52" i="3"/>
  <c r="BT52" i="3" s="1"/>
  <c r="BZ68" i="3"/>
  <c r="J71" i="24" s="1"/>
  <c r="BZ242" i="3"/>
  <c r="J245" i="24" s="1"/>
  <c r="BR59" i="3"/>
  <c r="BS59" i="3" s="1"/>
  <c r="BZ259" i="3"/>
  <c r="J262" i="24" s="1"/>
  <c r="BQ59" i="3"/>
  <c r="BZ59" i="3"/>
  <c r="J62" i="24" s="1"/>
  <c r="BV263" i="3"/>
  <c r="BW263" i="3" s="1"/>
  <c r="BQ33" i="3"/>
  <c r="BZ114" i="3"/>
  <c r="J117" i="24" s="1"/>
  <c r="BZ141" i="3"/>
  <c r="J144" i="24" s="1"/>
  <c r="BV141" i="3"/>
  <c r="BW141" i="3" s="1"/>
  <c r="BX141" i="3" s="1"/>
  <c r="BR141" i="3"/>
  <c r="BS141" i="3" s="1"/>
  <c r="BR247" i="3"/>
  <c r="BS247" i="3" s="1"/>
  <c r="BQ24" i="3"/>
  <c r="BR41" i="3"/>
  <c r="BS41" i="3" s="1"/>
  <c r="BV114" i="3"/>
  <c r="BW114" i="3" s="1"/>
  <c r="BX114" i="3" s="1"/>
  <c r="BQ41" i="3"/>
  <c r="BR33" i="3"/>
  <c r="BS33" i="3" s="1"/>
  <c r="BT33" i="3" s="1"/>
  <c r="BV155" i="3"/>
  <c r="BR114" i="3"/>
  <c r="BS114" i="3" s="1"/>
  <c r="BR9" i="3"/>
  <c r="BS9" i="3" s="1"/>
  <c r="BT9" i="3" s="1"/>
  <c r="BR288" i="3"/>
  <c r="BS288" i="3" s="1"/>
  <c r="BT288" i="3" s="1"/>
  <c r="BR68" i="3"/>
  <c r="BS68" i="3" s="1"/>
  <c r="BT68" i="3" s="1"/>
  <c r="BZ9" i="3"/>
  <c r="J12" i="24" s="1"/>
  <c r="BV68" i="3"/>
  <c r="BW68" i="3" s="1"/>
  <c r="BQ9" i="3"/>
  <c r="BZ271" i="3"/>
  <c r="J274" i="24" s="1"/>
  <c r="BZ41" i="3"/>
  <c r="J44" i="24" s="1"/>
  <c r="BR99" i="3"/>
  <c r="BS99" i="3" s="1"/>
  <c r="BT99" i="3" s="1"/>
  <c r="BR271" i="3"/>
  <c r="BS271" i="3" s="1"/>
  <c r="BT271" i="3" s="1"/>
  <c r="BZ99" i="3"/>
  <c r="J102" i="24" s="1"/>
  <c r="BV229" i="3"/>
  <c r="BW229" i="3" s="1"/>
  <c r="BV271" i="3"/>
  <c r="BW271" i="3" s="1"/>
  <c r="BQ99" i="3"/>
  <c r="BQ247" i="3"/>
  <c r="BR278" i="3"/>
  <c r="BS278" i="3" s="1"/>
  <c r="BQ97" i="3"/>
  <c r="BZ33" i="3"/>
  <c r="J36" i="24" s="1"/>
  <c r="BQ225" i="3"/>
  <c r="BQ193" i="3"/>
  <c r="BZ137" i="3"/>
  <c r="J140" i="24" s="1"/>
  <c r="BV103" i="3"/>
  <c r="BW103" i="3" s="1"/>
  <c r="BX103" i="3" s="1"/>
  <c r="BR137" i="3"/>
  <c r="BS137" i="3" s="1"/>
  <c r="BV137" i="3"/>
  <c r="BW137" i="3" s="1"/>
  <c r="BX137" i="3" s="1"/>
  <c r="BZ269" i="3"/>
  <c r="J272" i="24" s="1"/>
  <c r="BV269" i="3"/>
  <c r="BW269" i="3" s="1"/>
  <c r="BR248" i="3"/>
  <c r="BT248" i="3" s="1"/>
  <c r="BR103" i="3"/>
  <c r="BS103" i="3" s="1"/>
  <c r="BZ193" i="3"/>
  <c r="J196" i="24" s="1"/>
  <c r="BZ248" i="3"/>
  <c r="J251" i="24" s="1"/>
  <c r="BQ248" i="3"/>
  <c r="BQ103" i="3"/>
  <c r="BV193" i="3"/>
  <c r="BW193" i="3" s="1"/>
  <c r="BR225" i="3"/>
  <c r="BS225" i="3" s="1"/>
  <c r="BZ97" i="3"/>
  <c r="J100" i="24" s="1"/>
  <c r="BR152" i="3"/>
  <c r="BS152" i="3" s="1"/>
  <c r="BV56" i="3"/>
  <c r="BW56" i="3" s="1"/>
  <c r="BX56" i="3" s="1"/>
  <c r="BV260" i="3"/>
  <c r="BW260" i="3" s="1"/>
  <c r="BV252" i="3"/>
  <c r="BW252" i="3" s="1"/>
  <c r="BZ75" i="3"/>
  <c r="J78" i="24" s="1"/>
  <c r="BV92" i="3"/>
  <c r="BX92" i="3" s="1"/>
  <c r="BQ183" i="3"/>
  <c r="BQ152" i="3"/>
  <c r="BZ247" i="3"/>
  <c r="J250" i="24" s="1"/>
  <c r="BR124" i="3"/>
  <c r="BS124" i="3" s="1"/>
  <c r="BT124" i="3" s="1"/>
  <c r="BV201" i="3"/>
  <c r="BW201" i="3" s="1"/>
  <c r="BX201" i="3" s="1"/>
  <c r="BQ124" i="3"/>
  <c r="BR97" i="3"/>
  <c r="BT97" i="3" s="1"/>
  <c r="BQ201" i="3"/>
  <c r="BZ124" i="3"/>
  <c r="J127" i="24" s="1"/>
  <c r="BV50" i="3"/>
  <c r="BW50" i="3" s="1"/>
  <c r="BX50" i="3" s="1"/>
  <c r="BQ19" i="3"/>
  <c r="BQ197" i="3"/>
  <c r="BQ143" i="3"/>
  <c r="BQ92" i="3"/>
  <c r="BQ58" i="3"/>
  <c r="BZ56" i="3"/>
  <c r="J59" i="24" s="1"/>
  <c r="BV58" i="3"/>
  <c r="BW58" i="3" s="1"/>
  <c r="BX58" i="3" s="1"/>
  <c r="BR127" i="3"/>
  <c r="BS127" i="3" s="1"/>
  <c r="BR146" i="3"/>
  <c r="BS146" i="3" s="1"/>
  <c r="BT146" i="3" s="1"/>
  <c r="BQ127" i="3"/>
  <c r="BQ146" i="3"/>
  <c r="BR220" i="3"/>
  <c r="BS220" i="3" s="1"/>
  <c r="BR238" i="3"/>
  <c r="BS238" i="3" s="1"/>
  <c r="BR56" i="3"/>
  <c r="BS56" i="3" s="1"/>
  <c r="BZ143" i="3"/>
  <c r="J146" i="24" s="1"/>
  <c r="BR19" i="3"/>
  <c r="BS19" i="3" s="1"/>
  <c r="BT19" i="3" s="1"/>
  <c r="BR197" i="3"/>
  <c r="BS197" i="3" s="1"/>
  <c r="BT197" i="3" s="1"/>
  <c r="BR143" i="3"/>
  <c r="BS143" i="3" s="1"/>
  <c r="BR92" i="3"/>
  <c r="BS92" i="3" s="1"/>
  <c r="BT92" i="3" s="1"/>
  <c r="BR58" i="3"/>
  <c r="BS58" i="3" s="1"/>
  <c r="BV120" i="3"/>
  <c r="BW120" i="3" s="1"/>
  <c r="BX120" i="3" s="1"/>
  <c r="BZ183" i="3"/>
  <c r="J186" i="24" s="1"/>
  <c r="BR253" i="3"/>
  <c r="BS253" i="3" s="1"/>
  <c r="BZ50" i="3"/>
  <c r="J53" i="24" s="1"/>
  <c r="BZ201" i="3"/>
  <c r="J204" i="24" s="1"/>
  <c r="BZ152" i="3"/>
  <c r="J155" i="24" s="1"/>
  <c r="BV183" i="3"/>
  <c r="BW183" i="3" s="1"/>
  <c r="BX183" i="3" s="1"/>
  <c r="BR260" i="3"/>
  <c r="BS260" i="3" s="1"/>
  <c r="BT260" i="3" s="1"/>
  <c r="BR50" i="3"/>
  <c r="BT50" i="3" s="1"/>
  <c r="BQ278" i="3"/>
  <c r="BZ278" i="3"/>
  <c r="J281" i="24" s="1"/>
  <c r="BR154" i="3"/>
  <c r="BS154" i="3" s="1"/>
  <c r="BQ154" i="3"/>
  <c r="BR95" i="3"/>
  <c r="BS95" i="3" s="1"/>
  <c r="BZ227" i="3"/>
  <c r="J230" i="24" s="1"/>
  <c r="BQ95" i="3"/>
  <c r="BV227" i="3"/>
  <c r="BW227" i="3" s="1"/>
  <c r="BX227" i="3" s="1"/>
  <c r="BR129" i="3"/>
  <c r="BS129" i="3" s="1"/>
  <c r="BT129" i="3" s="1"/>
  <c r="BQ129" i="3"/>
  <c r="BR26" i="3"/>
  <c r="BT26" i="3" s="1"/>
  <c r="BZ127" i="3"/>
  <c r="J130" i="24" s="1"/>
  <c r="BQ26" i="3"/>
  <c r="BZ154" i="3"/>
  <c r="J157" i="24" s="1"/>
  <c r="BZ26" i="3"/>
  <c r="J29" i="24" s="1"/>
  <c r="BV122" i="3"/>
  <c r="BW122" i="3" s="1"/>
  <c r="BX122" i="3" s="1"/>
  <c r="BQ286" i="3"/>
  <c r="BZ122" i="3"/>
  <c r="J125" i="24" s="1"/>
  <c r="BZ286" i="3"/>
  <c r="J289" i="24" s="1"/>
  <c r="BV286" i="3"/>
  <c r="BW286" i="3" s="1"/>
  <c r="BR122" i="3"/>
  <c r="BS122" i="3" s="1"/>
  <c r="BV95" i="3"/>
  <c r="BW95" i="3" s="1"/>
  <c r="BX95" i="3" s="1"/>
  <c r="BZ169" i="3"/>
  <c r="J172" i="24" s="1"/>
  <c r="BV169" i="3"/>
  <c r="BW169" i="3" s="1"/>
  <c r="BX169" i="3" s="1"/>
  <c r="BR90" i="3"/>
  <c r="BS90" i="3" s="1"/>
  <c r="BT90" i="3" s="1"/>
  <c r="BQ90" i="3"/>
  <c r="BR169" i="3"/>
  <c r="BS169" i="3" s="1"/>
  <c r="BZ90" i="3"/>
  <c r="J93" i="24" s="1"/>
  <c r="BV109" i="3"/>
  <c r="BW109" i="3" s="1"/>
  <c r="BX109" i="3" s="1"/>
  <c r="BV282" i="3"/>
  <c r="BW282" i="3" s="1"/>
  <c r="BX282" i="3" s="1"/>
  <c r="BZ125" i="3"/>
  <c r="J128" i="24" s="1"/>
  <c r="BZ280" i="3"/>
  <c r="J283" i="24" s="1"/>
  <c r="BR252" i="3"/>
  <c r="BT252" i="3" s="1"/>
  <c r="BR125" i="3"/>
  <c r="BS125" i="3" s="1"/>
  <c r="BR280" i="3"/>
  <c r="BT280" i="3" s="1"/>
  <c r="BV125" i="3"/>
  <c r="BW125" i="3" s="1"/>
  <c r="BX125" i="3" s="1"/>
  <c r="BV280" i="3"/>
  <c r="BW280" i="3" s="1"/>
  <c r="BZ244" i="3"/>
  <c r="J247" i="24" s="1"/>
  <c r="BQ252" i="3"/>
  <c r="BZ260" i="3"/>
  <c r="J263" i="24" s="1"/>
  <c r="BV244" i="3"/>
  <c r="BW244" i="3" s="1"/>
  <c r="BX244" i="3" s="1"/>
  <c r="BQ253" i="3"/>
  <c r="BR282" i="3"/>
  <c r="BS282" i="3" s="1"/>
  <c r="BR109" i="3"/>
  <c r="BS109" i="3" s="1"/>
  <c r="BR244" i="3"/>
  <c r="BS244" i="3" s="1"/>
  <c r="BQ282" i="3"/>
  <c r="BQ109" i="3"/>
  <c r="BQ93" i="3"/>
  <c r="BZ174" i="3"/>
  <c r="J177" i="24" s="1"/>
  <c r="BZ212" i="3"/>
  <c r="J215" i="24" s="1"/>
  <c r="BV174" i="3"/>
  <c r="BW174" i="3" s="1"/>
  <c r="BX174" i="3" s="1"/>
  <c r="BV212" i="3"/>
  <c r="BW212" i="3" s="1"/>
  <c r="BX212" i="3" s="1"/>
  <c r="BR65" i="3"/>
  <c r="BT65" i="3" s="1"/>
  <c r="BR227" i="3"/>
  <c r="BS227" i="3" s="1"/>
  <c r="BQ65" i="3"/>
  <c r="BQ220" i="3"/>
  <c r="BZ120" i="3"/>
  <c r="J123" i="24" s="1"/>
  <c r="BR174" i="3"/>
  <c r="BT174" i="3" s="1"/>
  <c r="BR212" i="3"/>
  <c r="BS212" i="3" s="1"/>
  <c r="BQ238" i="3"/>
  <c r="BZ19" i="3"/>
  <c r="J22" i="24" s="1"/>
  <c r="BZ93" i="3"/>
  <c r="J96" i="24" s="1"/>
  <c r="BZ220" i="3"/>
  <c r="J223" i="24" s="1"/>
  <c r="BV238" i="3"/>
  <c r="BW238" i="3" s="1"/>
  <c r="BR210" i="3"/>
  <c r="BS210" i="3" s="1"/>
  <c r="BR77" i="3"/>
  <c r="BS77" i="3" s="1"/>
  <c r="BR120" i="3"/>
  <c r="BT120" i="3" s="1"/>
  <c r="BV93" i="3"/>
  <c r="BW93" i="3" s="1"/>
  <c r="BX93" i="3" s="1"/>
  <c r="BZ210" i="3"/>
  <c r="J213" i="24" s="1"/>
  <c r="BZ77" i="3"/>
  <c r="J80" i="24" s="1"/>
  <c r="BQ210" i="3"/>
  <c r="BQ77" i="3"/>
  <c r="BZ197" i="3"/>
  <c r="J200" i="24" s="1"/>
  <c r="BZ146" i="3"/>
  <c r="J149" i="24" s="1"/>
  <c r="BZ235" i="3"/>
  <c r="J238" i="24" s="1"/>
  <c r="BZ65" i="3"/>
  <c r="J68" i="24" s="1"/>
  <c r="BZ129" i="3"/>
  <c r="J132" i="24" s="1"/>
  <c r="BZ111" i="3"/>
  <c r="J114" i="24" s="1"/>
  <c r="BQ179" i="3"/>
  <c r="BR184" i="3"/>
  <c r="BS184" i="3" s="1"/>
  <c r="BV111" i="3"/>
  <c r="BW111" i="3" s="1"/>
  <c r="BX111" i="3" s="1"/>
  <c r="BR111" i="3"/>
  <c r="BS111" i="3" s="1"/>
  <c r="BQ184" i="3"/>
  <c r="BZ216" i="3"/>
  <c r="J219" i="24" s="1"/>
  <c r="BV216" i="3"/>
  <c r="BZ179" i="3"/>
  <c r="J182" i="24" s="1"/>
  <c r="BV179" i="3"/>
  <c r="BR216" i="3"/>
  <c r="BS216" i="3" s="1"/>
  <c r="BT216" i="3" s="1"/>
  <c r="BZ178" i="3"/>
  <c r="J181" i="24" s="1"/>
  <c r="BZ284" i="3"/>
  <c r="J287" i="24" s="1"/>
  <c r="BZ184" i="3"/>
  <c r="J187" i="24" s="1"/>
  <c r="BQ191" i="3"/>
  <c r="BV88" i="3"/>
  <c r="BW88" i="3" s="1"/>
  <c r="BX88" i="3" s="1"/>
  <c r="BR88" i="3"/>
  <c r="BT88" i="3" s="1"/>
  <c r="BR178" i="3"/>
  <c r="BS178" i="3" s="1"/>
  <c r="BR284" i="3"/>
  <c r="BS284" i="3" s="1"/>
  <c r="BV178" i="3"/>
  <c r="BW178" i="3" s="1"/>
  <c r="BV284" i="3"/>
  <c r="BW284" i="3" s="1"/>
  <c r="BX284" i="3" s="1"/>
  <c r="BQ88" i="3"/>
  <c r="BR82" i="3"/>
  <c r="BS82" i="3" s="1"/>
  <c r="BQ82" i="3"/>
  <c r="BZ82" i="3"/>
  <c r="J85" i="24" s="1"/>
  <c r="BV235" i="3"/>
  <c r="BW235" i="3" s="1"/>
  <c r="BX235" i="3" s="1"/>
  <c r="BR235" i="3"/>
  <c r="BT235" i="3" s="1"/>
  <c r="BQ147" i="3"/>
  <c r="BQ132" i="3"/>
  <c r="BV191" i="3"/>
  <c r="BR191" i="3"/>
  <c r="BS191" i="3" s="1"/>
  <c r="BT191" i="3" s="1"/>
  <c r="BZ132" i="3"/>
  <c r="J135" i="24" s="1"/>
  <c r="BV132" i="3"/>
  <c r="BW132" i="3" s="1"/>
  <c r="BX132" i="3" s="1"/>
  <c r="BZ264" i="3"/>
  <c r="J267" i="24" s="1"/>
  <c r="BR100" i="3"/>
  <c r="BS100" i="3" s="1"/>
  <c r="BT100" i="3" s="1"/>
  <c r="BV100" i="3"/>
  <c r="BW100" i="3" s="1"/>
  <c r="BR147" i="3"/>
  <c r="BS147" i="3" s="1"/>
  <c r="BQ264" i="3"/>
  <c r="BZ100" i="3"/>
  <c r="J103" i="24" s="1"/>
  <c r="BV264" i="3"/>
  <c r="BW264" i="3" s="1"/>
  <c r="BR60" i="3"/>
  <c r="BS60" i="3" s="1"/>
  <c r="BZ147" i="3"/>
  <c r="J150" i="24" s="1"/>
  <c r="BQ288" i="3"/>
  <c r="BR69" i="3"/>
  <c r="BT69" i="3" s="1"/>
  <c r="BV69" i="3"/>
  <c r="BW69" i="3" s="1"/>
  <c r="BX69" i="3" s="1"/>
  <c r="BR13" i="3"/>
  <c r="BS13" i="3" s="1"/>
  <c r="BT13" i="3" s="1"/>
  <c r="BR229" i="3"/>
  <c r="BS229" i="3" s="1"/>
  <c r="BQ69" i="3"/>
  <c r="BV13" i="3"/>
  <c r="BW13" i="3" s="1"/>
  <c r="BQ13" i="3"/>
  <c r="BQ229" i="3"/>
  <c r="BR155" i="3"/>
  <c r="BS155" i="3" s="1"/>
  <c r="BT155" i="3" s="1"/>
  <c r="BZ288" i="3"/>
  <c r="J291" i="24" s="1"/>
  <c r="BQ155" i="3"/>
  <c r="BQ60" i="3"/>
  <c r="BZ60" i="3"/>
  <c r="J63" i="24" s="1"/>
  <c r="BR188" i="3"/>
  <c r="BS188" i="3" s="1"/>
  <c r="BQ175" i="3"/>
  <c r="BQ165" i="3"/>
  <c r="BQ188" i="3"/>
  <c r="BZ188" i="3"/>
  <c r="J191" i="24" s="1"/>
  <c r="BV119" i="3"/>
  <c r="BW119" i="3" s="1"/>
  <c r="BX119" i="3" s="1"/>
  <c r="BR119" i="3"/>
  <c r="BT119" i="3" s="1"/>
  <c r="BQ119" i="3"/>
  <c r="BR45" i="3"/>
  <c r="BT45" i="3" s="1"/>
  <c r="BQ45" i="3"/>
  <c r="BZ175" i="3"/>
  <c r="J178" i="24" s="1"/>
  <c r="BZ165" i="3"/>
  <c r="J168" i="24" s="1"/>
  <c r="BR175" i="3"/>
  <c r="BT175" i="3" s="1"/>
  <c r="BR165" i="3"/>
  <c r="BS165" i="3" s="1"/>
  <c r="BT165" i="3" s="1"/>
  <c r="BR290" i="3"/>
  <c r="BS290" i="3" s="1"/>
  <c r="BR206" i="3"/>
  <c r="BS206" i="3" s="1"/>
  <c r="BR205" i="3"/>
  <c r="BS205" i="3" s="1"/>
  <c r="BQ290" i="3"/>
  <c r="BQ206" i="3"/>
  <c r="BQ205" i="3"/>
  <c r="BV205" i="3"/>
  <c r="BW205" i="3" s="1"/>
  <c r="BX205" i="3" s="1"/>
  <c r="BR118" i="3"/>
  <c r="BS118" i="3" s="1"/>
  <c r="BT118" i="3" s="1"/>
  <c r="BZ45" i="3"/>
  <c r="J48" i="24" s="1"/>
  <c r="BZ23" i="3"/>
  <c r="J26" i="24" s="1"/>
  <c r="BZ281" i="3"/>
  <c r="J284" i="24" s="1"/>
  <c r="BQ14" i="3"/>
  <c r="BQ241" i="3"/>
  <c r="BQ46" i="3"/>
  <c r="BQ196" i="3"/>
  <c r="BV14" i="3"/>
  <c r="BW14" i="3" s="1"/>
  <c r="BX14" i="3" s="1"/>
  <c r="BZ241" i="3"/>
  <c r="J244" i="24" s="1"/>
  <c r="BZ196" i="3"/>
  <c r="J199" i="24" s="1"/>
  <c r="BR30" i="3"/>
  <c r="BS30" i="3" s="1"/>
  <c r="BT30" i="3" s="1"/>
  <c r="BR268" i="3"/>
  <c r="BS268" i="3" s="1"/>
  <c r="BV241" i="3"/>
  <c r="BX241" i="3" s="1"/>
  <c r="BV196" i="3"/>
  <c r="BW196" i="3" s="1"/>
  <c r="BZ268" i="3"/>
  <c r="J271" i="24" s="1"/>
  <c r="BQ30" i="3"/>
  <c r="BQ268" i="3"/>
  <c r="BQ118" i="3"/>
  <c r="BZ30" i="3"/>
  <c r="J33" i="24" s="1"/>
  <c r="BZ37" i="3"/>
  <c r="J40" i="24" s="1"/>
  <c r="BZ118" i="3"/>
  <c r="J121" i="24" s="1"/>
  <c r="BZ156" i="3"/>
  <c r="J159" i="24" s="1"/>
  <c r="BR37" i="3"/>
  <c r="BS37" i="3" s="1"/>
  <c r="BT37" i="3" s="1"/>
  <c r="BR29" i="3"/>
  <c r="BS29" i="3" s="1"/>
  <c r="BR156" i="3"/>
  <c r="BS156" i="3" s="1"/>
  <c r="BT156" i="3" s="1"/>
  <c r="BV37" i="3"/>
  <c r="BW37" i="3" s="1"/>
  <c r="BV156" i="3"/>
  <c r="BW156" i="3" s="1"/>
  <c r="BQ29" i="3"/>
  <c r="BZ29" i="3"/>
  <c r="J32" i="24" s="1"/>
  <c r="BZ46" i="3"/>
  <c r="J49" i="24" s="1"/>
  <c r="BR14" i="3"/>
  <c r="BS14" i="3" s="1"/>
  <c r="BR46" i="3"/>
  <c r="BS46" i="3" s="1"/>
  <c r="BV23" i="3"/>
  <c r="BW23" i="3" s="1"/>
  <c r="BX23" i="3" s="1"/>
  <c r="BV281" i="3"/>
  <c r="BW281" i="3" s="1"/>
  <c r="BR23" i="3"/>
  <c r="BT23" i="3" s="1"/>
  <c r="BR281" i="3"/>
  <c r="BS281" i="3" s="1"/>
  <c r="BT281" i="3" s="1"/>
  <c r="BR157" i="3"/>
  <c r="BS157" i="3" s="1"/>
  <c r="BV290" i="3"/>
  <c r="BW290" i="3" s="1"/>
  <c r="BQ164" i="3"/>
  <c r="BR173" i="3"/>
  <c r="BT173" i="3" s="1"/>
  <c r="BR164" i="3"/>
  <c r="BS164" i="3" s="1"/>
  <c r="BV164" i="3"/>
  <c r="BW164" i="3" s="1"/>
  <c r="BQ173" i="3"/>
  <c r="BZ173" i="3"/>
  <c r="J176" i="24" s="1"/>
  <c r="BR11" i="3"/>
  <c r="BS11" i="3" s="1"/>
  <c r="BR78" i="3"/>
  <c r="BT78" i="3" s="1"/>
  <c r="BQ11" i="3"/>
  <c r="BV206" i="3"/>
  <c r="BX206" i="3" s="1"/>
  <c r="BZ22" i="3"/>
  <c r="J25" i="24" s="1"/>
  <c r="BV265" i="3"/>
  <c r="BW265" i="3" s="1"/>
  <c r="BX265" i="3" s="1"/>
  <c r="BV158" i="3"/>
  <c r="BW158" i="3" s="1"/>
  <c r="BX158" i="3" s="1"/>
  <c r="BQ78" i="3"/>
  <c r="BQ86" i="3"/>
  <c r="BV150" i="3"/>
  <c r="BW150" i="3" s="1"/>
  <c r="BX150" i="3" s="1"/>
  <c r="BV11" i="3"/>
  <c r="BW11" i="3" s="1"/>
  <c r="BX11" i="3" s="1"/>
  <c r="BR285" i="3"/>
  <c r="BS285" i="3" s="1"/>
  <c r="BV78" i="3"/>
  <c r="BX78" i="3" s="1"/>
  <c r="BQ285" i="3"/>
  <c r="BR158" i="3"/>
  <c r="BT158" i="3" s="1"/>
  <c r="BR150" i="3"/>
  <c r="BT150" i="3" s="1"/>
  <c r="BR273" i="3"/>
  <c r="BT273" i="3" s="1"/>
  <c r="BR61" i="3"/>
  <c r="BS61" i="3" s="1"/>
  <c r="BQ158" i="3"/>
  <c r="BQ150" i="3"/>
  <c r="BQ273" i="3"/>
  <c r="BQ61" i="3"/>
  <c r="BZ157" i="3"/>
  <c r="J160" i="24" s="1"/>
  <c r="BV61" i="3"/>
  <c r="BW61" i="3" s="1"/>
  <c r="BX61" i="3" s="1"/>
  <c r="BV62" i="3"/>
  <c r="BW62" i="3" s="1"/>
  <c r="BQ107" i="3"/>
  <c r="BR86" i="3"/>
  <c r="BS86" i="3" s="1"/>
  <c r="BZ265" i="3"/>
  <c r="J268" i="24" s="1"/>
  <c r="BZ142" i="3"/>
  <c r="J145" i="24" s="1"/>
  <c r="BZ62" i="3"/>
  <c r="J65" i="24" s="1"/>
  <c r="BR265" i="3"/>
  <c r="BS265" i="3" s="1"/>
  <c r="BR133" i="3"/>
  <c r="BT133" i="3" s="1"/>
  <c r="BR110" i="3"/>
  <c r="BS110" i="3" s="1"/>
  <c r="BR62" i="3"/>
  <c r="BT62" i="3" s="1"/>
  <c r="BV142" i="3"/>
  <c r="BW142" i="3" s="1"/>
  <c r="BQ133" i="3"/>
  <c r="BQ110" i="3"/>
  <c r="BZ110" i="3"/>
  <c r="J113" i="24" s="1"/>
  <c r="BR142" i="3"/>
  <c r="BS142" i="3" s="1"/>
  <c r="BZ107" i="3"/>
  <c r="J110" i="24" s="1"/>
  <c r="BZ285" i="3"/>
  <c r="J288" i="24" s="1"/>
  <c r="BZ273" i="3"/>
  <c r="J276" i="24" s="1"/>
  <c r="BZ133" i="3"/>
  <c r="J136" i="24" s="1"/>
  <c r="BR107" i="3"/>
  <c r="BS107" i="3" s="1"/>
  <c r="BR22" i="3"/>
  <c r="BS22" i="3" s="1"/>
  <c r="BR180" i="3"/>
  <c r="BT180" i="3" s="1"/>
  <c r="BV22" i="3"/>
  <c r="BX22" i="3" s="1"/>
  <c r="BZ101" i="3"/>
  <c r="J104" i="24" s="1"/>
  <c r="BV101" i="3"/>
  <c r="BW101" i="3" s="1"/>
  <c r="BX101" i="3" s="1"/>
  <c r="BR101" i="3"/>
  <c r="BT101" i="3" s="1"/>
  <c r="BV157" i="3"/>
  <c r="BW157" i="3" s="1"/>
  <c r="BX157" i="3" s="1"/>
  <c r="BQ214" i="3"/>
  <c r="BR214" i="3"/>
  <c r="BS214" i="3" s="1"/>
  <c r="BT214" i="3" s="1"/>
  <c r="BQ180" i="3"/>
  <c r="BR87" i="3"/>
  <c r="BS87" i="3" s="1"/>
  <c r="BZ180" i="3"/>
  <c r="J183" i="24" s="1"/>
  <c r="BQ87" i="3"/>
  <c r="BV221" i="3"/>
  <c r="BW221" i="3" s="1"/>
  <c r="BZ87" i="3"/>
  <c r="J90" i="24" s="1"/>
  <c r="BR221" i="3"/>
  <c r="BS221" i="3" s="1"/>
  <c r="BT221" i="3" s="1"/>
  <c r="BZ221" i="3"/>
  <c r="J224" i="24" s="1"/>
  <c r="BV94" i="3"/>
  <c r="BW94" i="3" s="1"/>
  <c r="BX94" i="3" s="1"/>
  <c r="BR199" i="3"/>
  <c r="BS199" i="3" s="1"/>
  <c r="BR63" i="3"/>
  <c r="BS63" i="3" s="1"/>
  <c r="BQ199" i="3"/>
  <c r="BQ63" i="3"/>
  <c r="BQ66" i="3"/>
  <c r="BZ182" i="3"/>
  <c r="J185" i="24" s="1"/>
  <c r="BZ199" i="3"/>
  <c r="J202" i="24" s="1"/>
  <c r="BR182" i="3"/>
  <c r="BS182" i="3" s="1"/>
  <c r="BT182" i="3" s="1"/>
  <c r="BR94" i="3"/>
  <c r="BS94" i="3" s="1"/>
  <c r="BV182" i="3"/>
  <c r="BZ63" i="3"/>
  <c r="J66" i="24" s="1"/>
  <c r="BZ86" i="3"/>
  <c r="J89" i="24" s="1"/>
  <c r="BZ214" i="3"/>
  <c r="J217" i="24" s="1"/>
  <c r="BZ189" i="3"/>
  <c r="J192" i="24" s="1"/>
  <c r="BV75" i="3"/>
  <c r="BV189" i="3"/>
  <c r="BW189" i="3" s="1"/>
  <c r="BR190" i="3"/>
  <c r="BT190" i="3" s="1"/>
  <c r="BR189" i="3"/>
  <c r="BS189" i="3" s="1"/>
  <c r="BT189" i="3" s="1"/>
  <c r="BR148" i="3"/>
  <c r="BS148" i="3" s="1"/>
  <c r="BT148" i="3" s="1"/>
  <c r="BZ253" i="3"/>
  <c r="J256" i="24" s="1"/>
  <c r="BQ190" i="3"/>
  <c r="BR71" i="3"/>
  <c r="BS71" i="3" s="1"/>
  <c r="BR162" i="3"/>
  <c r="BS162" i="3" s="1"/>
  <c r="BQ148" i="3"/>
  <c r="BZ190" i="3"/>
  <c r="J193" i="24" s="1"/>
  <c r="BQ71" i="3"/>
  <c r="BQ162" i="3"/>
  <c r="BR75" i="3"/>
  <c r="BS75" i="3" s="1"/>
  <c r="BZ148" i="3"/>
  <c r="J151" i="24" s="1"/>
  <c r="BZ71" i="3"/>
  <c r="J74" i="24" s="1"/>
  <c r="BR254" i="3"/>
  <c r="BS254" i="3" s="1"/>
  <c r="BZ126" i="3"/>
  <c r="J129" i="24" s="1"/>
  <c r="BV126" i="3"/>
  <c r="BW126" i="3" s="1"/>
  <c r="BX126" i="3" s="1"/>
  <c r="BZ81" i="3"/>
  <c r="J84" i="24" s="1"/>
  <c r="BV81" i="3"/>
  <c r="BW81" i="3" s="1"/>
  <c r="BR81" i="3"/>
  <c r="BS81" i="3" s="1"/>
  <c r="BR126" i="3"/>
  <c r="BT126" i="3" s="1"/>
  <c r="BZ162" i="3"/>
  <c r="J165" i="24" s="1"/>
  <c r="BW239" i="3"/>
  <c r="BX239" i="3" s="1"/>
  <c r="BQ254" i="3"/>
  <c r="BZ254" i="3"/>
  <c r="J257" i="24" s="1"/>
  <c r="BR145" i="3"/>
  <c r="BT145" i="3" s="1"/>
  <c r="BQ145" i="3"/>
  <c r="BZ145" i="3"/>
  <c r="J148" i="24" s="1"/>
  <c r="BR222" i="3"/>
  <c r="BT222" i="3" s="1"/>
  <c r="BQ222" i="3"/>
  <c r="BQ94" i="3"/>
  <c r="BZ222" i="3"/>
  <c r="J225" i="24" s="1"/>
  <c r="BX257" i="3"/>
  <c r="BZ66" i="3"/>
  <c r="J69" i="24" s="1"/>
  <c r="BV66" i="3"/>
  <c r="BW66" i="3" s="1"/>
  <c r="BX66" i="3" s="1"/>
  <c r="BZ200" i="3"/>
  <c r="J203" i="24" s="1"/>
  <c r="BV200" i="3"/>
  <c r="BW200" i="3" s="1"/>
  <c r="BX200" i="3" s="1"/>
  <c r="BR104" i="3"/>
  <c r="BS104" i="3" s="1"/>
  <c r="BT104" i="3" s="1"/>
  <c r="BR200" i="3"/>
  <c r="BS200" i="3" s="1"/>
  <c r="BZ104" i="3"/>
  <c r="J107" i="24" s="1"/>
  <c r="BQ104" i="3"/>
  <c r="BV138" i="3"/>
  <c r="BW138" i="3" s="1"/>
  <c r="BX138" i="3" s="1"/>
  <c r="BZ138" i="3"/>
  <c r="J141" i="24" s="1"/>
  <c r="BV149" i="3"/>
  <c r="BW149" i="3" s="1"/>
  <c r="BX149" i="3" s="1"/>
  <c r="BZ149" i="3"/>
  <c r="J152" i="24" s="1"/>
  <c r="BV25" i="3"/>
  <c r="BZ25" i="3"/>
  <c r="J28" i="24" s="1"/>
  <c r="BV283" i="3"/>
  <c r="BW283" i="3" s="1"/>
  <c r="BX283" i="3" s="1"/>
  <c r="BZ283" i="3"/>
  <c r="J286" i="24" s="1"/>
  <c r="BV83" i="3"/>
  <c r="BW83" i="3" s="1"/>
  <c r="BX83" i="3" s="1"/>
  <c r="BZ83" i="3"/>
  <c r="J86" i="24" s="1"/>
  <c r="BV42" i="3"/>
  <c r="BW42" i="3" s="1"/>
  <c r="BZ42" i="3"/>
  <c r="J45" i="24" s="1"/>
  <c r="BV12" i="3"/>
  <c r="BW12" i="3" s="1"/>
  <c r="BX12" i="3" s="1"/>
  <c r="BZ12" i="3"/>
  <c r="J15" i="24" s="1"/>
  <c r="BV102" i="3"/>
  <c r="BW102" i="3" s="1"/>
  <c r="BZ102" i="3"/>
  <c r="J105" i="24" s="1"/>
  <c r="BV230" i="3"/>
  <c r="BW230" i="3" s="1"/>
  <c r="BZ230" i="3"/>
  <c r="J233" i="24" s="1"/>
  <c r="BV249" i="3"/>
  <c r="BX249" i="3" s="1"/>
  <c r="BZ249" i="3"/>
  <c r="J252" i="24" s="1"/>
  <c r="BV219" i="3"/>
  <c r="BW219" i="3" s="1"/>
  <c r="BX219" i="3" s="1"/>
  <c r="BZ219" i="3"/>
  <c r="J222" i="24" s="1"/>
  <c r="BV38" i="3"/>
  <c r="BW38" i="3" s="1"/>
  <c r="BX38" i="3" s="1"/>
  <c r="BZ38" i="3"/>
  <c r="J41" i="24" s="1"/>
  <c r="BV258" i="3"/>
  <c r="BW258" i="3" s="1"/>
  <c r="BZ258" i="3"/>
  <c r="J261" i="24" s="1"/>
  <c r="BV17" i="3"/>
  <c r="BW17" i="3" s="1"/>
  <c r="BX17" i="3" s="1"/>
  <c r="BZ17" i="3"/>
  <c r="J20" i="24" s="1"/>
  <c r="BV270" i="3"/>
  <c r="BW270" i="3" s="1"/>
  <c r="BZ270" i="3"/>
  <c r="J273" i="24" s="1"/>
  <c r="BV211" i="3"/>
  <c r="BW211" i="3" s="1"/>
  <c r="BX211" i="3" s="1"/>
  <c r="BZ211" i="3"/>
  <c r="J214" i="24" s="1"/>
  <c r="BV16" i="3"/>
  <c r="BW16" i="3" s="1"/>
  <c r="BX16" i="3" s="1"/>
  <c r="BZ16" i="3"/>
  <c r="J19" i="24" s="1"/>
  <c r="BV39" i="3"/>
  <c r="BW39" i="3" s="1"/>
  <c r="BX39" i="3" s="1"/>
  <c r="BZ39" i="3"/>
  <c r="J42" i="24" s="1"/>
  <c r="BV289" i="3"/>
  <c r="BW289" i="3" s="1"/>
  <c r="BZ289" i="3"/>
  <c r="J292" i="24" s="1"/>
  <c r="BV76" i="3"/>
  <c r="BW76" i="3" s="1"/>
  <c r="BX76" i="3" s="1"/>
  <c r="BZ76" i="3"/>
  <c r="J79" i="24" s="1"/>
  <c r="BV85" i="3"/>
  <c r="BW85" i="3" s="1"/>
  <c r="BX85" i="3" s="1"/>
  <c r="BZ85" i="3"/>
  <c r="J88" i="24" s="1"/>
  <c r="BV121" i="3"/>
  <c r="BW121" i="3" s="1"/>
  <c r="BX121" i="3" s="1"/>
  <c r="BZ121" i="3"/>
  <c r="J124" i="24" s="1"/>
  <c r="BV67" i="3"/>
  <c r="BW67" i="3" s="1"/>
  <c r="BZ67" i="3"/>
  <c r="J70" i="24" s="1"/>
  <c r="BV130" i="3"/>
  <c r="BW130" i="3" s="1"/>
  <c r="BX130" i="3" s="1"/>
  <c r="BZ130" i="3"/>
  <c r="J133" i="24" s="1"/>
  <c r="BV194" i="3"/>
  <c r="BW194" i="3" s="1"/>
  <c r="BX194" i="3" s="1"/>
  <c r="BZ194" i="3"/>
  <c r="J197" i="24" s="1"/>
  <c r="BV232" i="3"/>
  <c r="BW232" i="3" s="1"/>
  <c r="BZ232" i="3"/>
  <c r="J235" i="24" s="1"/>
  <c r="BV240" i="3"/>
  <c r="BW240" i="3" s="1"/>
  <c r="BZ240" i="3"/>
  <c r="J243" i="24" s="1"/>
  <c r="BV170" i="3"/>
  <c r="BW170" i="3" s="1"/>
  <c r="BZ170" i="3"/>
  <c r="J173" i="24" s="1"/>
  <c r="BV57" i="3"/>
  <c r="BW57" i="3" s="1"/>
  <c r="BZ57" i="3"/>
  <c r="J60" i="24" s="1"/>
  <c r="BV112" i="3"/>
  <c r="BW112" i="3" s="1"/>
  <c r="BZ112" i="3"/>
  <c r="J115" i="24" s="1"/>
  <c r="BV47" i="3"/>
  <c r="BW47" i="3" s="1"/>
  <c r="BZ47" i="3"/>
  <c r="J50" i="24" s="1"/>
  <c r="BV243" i="3"/>
  <c r="BW243" i="3" s="1"/>
  <c r="BZ243" i="3"/>
  <c r="J246" i="24" s="1"/>
  <c r="BV44" i="3"/>
  <c r="BX44" i="3" s="1"/>
  <c r="BZ44" i="3"/>
  <c r="J47" i="24" s="1"/>
  <c r="BV171" i="3"/>
  <c r="BW171" i="3" s="1"/>
  <c r="BX171" i="3" s="1"/>
  <c r="BZ171" i="3"/>
  <c r="J174" i="24" s="1"/>
  <c r="BV209" i="3"/>
  <c r="BW209" i="3" s="1"/>
  <c r="BX209" i="3" s="1"/>
  <c r="BZ209" i="3"/>
  <c r="J212" i="24" s="1"/>
  <c r="BV113" i="3"/>
  <c r="BZ113" i="3"/>
  <c r="J116" i="24" s="1"/>
  <c r="BV168" i="3"/>
  <c r="BW168" i="3" s="1"/>
  <c r="BZ168" i="3"/>
  <c r="J171" i="24" s="1"/>
  <c r="BV187" i="3"/>
  <c r="BW187" i="3" s="1"/>
  <c r="BX187" i="3" s="1"/>
  <c r="BZ187" i="3"/>
  <c r="J190" i="24" s="1"/>
  <c r="BV51" i="3"/>
  <c r="BW51" i="3" s="1"/>
  <c r="BX51" i="3" s="1"/>
  <c r="BZ51" i="3"/>
  <c r="J54" i="24" s="1"/>
  <c r="BV134" i="3"/>
  <c r="BW134" i="3" s="1"/>
  <c r="BX134" i="3" s="1"/>
  <c r="BZ134" i="3"/>
  <c r="J137" i="24" s="1"/>
  <c r="BV74" i="3"/>
  <c r="BW74" i="3" s="1"/>
  <c r="BZ74" i="3"/>
  <c r="J77" i="24" s="1"/>
  <c r="BV208" i="3"/>
  <c r="BZ208" i="3"/>
  <c r="J211" i="24" s="1"/>
  <c r="BV172" i="3"/>
  <c r="BW172" i="3" s="1"/>
  <c r="BX172" i="3" s="1"/>
  <c r="BZ172" i="3"/>
  <c r="J175" i="24" s="1"/>
  <c r="BV213" i="3"/>
  <c r="BW213" i="3" s="1"/>
  <c r="BX213" i="3" s="1"/>
  <c r="BZ213" i="3"/>
  <c r="J216" i="24" s="1"/>
  <c r="BV279" i="3"/>
  <c r="BW279" i="3" s="1"/>
  <c r="BZ279" i="3"/>
  <c r="J282" i="24" s="1"/>
  <c r="BV35" i="3"/>
  <c r="BW35" i="3" s="1"/>
  <c r="BX35" i="3" s="1"/>
  <c r="BZ35" i="3"/>
  <c r="J38" i="24" s="1"/>
  <c r="BV202" i="3"/>
  <c r="BZ202" i="3"/>
  <c r="J205" i="24" s="1"/>
  <c r="BV49" i="3"/>
  <c r="BW49" i="3" s="1"/>
  <c r="BX49" i="3" s="1"/>
  <c r="BZ49" i="3"/>
  <c r="J52" i="24" s="1"/>
  <c r="BV72" i="3"/>
  <c r="BX72" i="3" s="1"/>
  <c r="BZ72" i="3"/>
  <c r="J75" i="24" s="1"/>
  <c r="BV31" i="3"/>
  <c r="BW31" i="3" s="1"/>
  <c r="BX31" i="3" s="1"/>
  <c r="BZ31" i="3"/>
  <c r="J34" i="24" s="1"/>
  <c r="BV226" i="3"/>
  <c r="BW226" i="3" s="1"/>
  <c r="BX226" i="3" s="1"/>
  <c r="BZ226" i="3"/>
  <c r="J229" i="24" s="1"/>
  <c r="BV217" i="3"/>
  <c r="BW217" i="3" s="1"/>
  <c r="BZ217" i="3"/>
  <c r="J220" i="24" s="1"/>
  <c r="BV34" i="3"/>
  <c r="BW34" i="3" s="1"/>
  <c r="BZ34" i="3"/>
  <c r="J37" i="24" s="1"/>
  <c r="BV10" i="3"/>
  <c r="BW10" i="3" s="1"/>
  <c r="BX10" i="3" s="1"/>
  <c r="BZ10" i="3"/>
  <c r="J13" i="24" s="1"/>
  <c r="BV153" i="3"/>
  <c r="BW153" i="3" s="1"/>
  <c r="BX153" i="3" s="1"/>
  <c r="BZ153" i="3"/>
  <c r="J156" i="24" s="1"/>
  <c r="BV176" i="3"/>
  <c r="BW176" i="3" s="1"/>
  <c r="BX176" i="3" s="1"/>
  <c r="BZ176" i="3"/>
  <c r="J179" i="24" s="1"/>
  <c r="BV139" i="3"/>
  <c r="BW139" i="3" s="1"/>
  <c r="BX139" i="3" s="1"/>
  <c r="BZ139" i="3"/>
  <c r="J142" i="24" s="1"/>
  <c r="BV108" i="3"/>
  <c r="BW108" i="3" s="1"/>
  <c r="BX108" i="3" s="1"/>
  <c r="BZ108" i="3"/>
  <c r="J111" i="24" s="1"/>
  <c r="BV181" i="3"/>
  <c r="BZ181" i="3"/>
  <c r="J184" i="24" s="1"/>
  <c r="BV79" i="3"/>
  <c r="BW79" i="3" s="1"/>
  <c r="BZ79" i="3"/>
  <c r="J82" i="24" s="1"/>
  <c r="BV185" i="3"/>
  <c r="BW185" i="3" s="1"/>
  <c r="BZ185" i="3"/>
  <c r="J188" i="24" s="1"/>
  <c r="BV151" i="3"/>
  <c r="BW151" i="3" s="1"/>
  <c r="BX151" i="3" s="1"/>
  <c r="BZ151" i="3"/>
  <c r="J154" i="24" s="1"/>
  <c r="BV131" i="3"/>
  <c r="BW131" i="3" s="1"/>
  <c r="BZ131" i="3"/>
  <c r="J134" i="24" s="1"/>
  <c r="BV21" i="3"/>
  <c r="BX21" i="3" s="1"/>
  <c r="BZ21" i="3"/>
  <c r="J24" i="24" s="1"/>
  <c r="BV136" i="3"/>
  <c r="BW136" i="3" s="1"/>
  <c r="BX136" i="3" s="1"/>
  <c r="BZ136" i="3"/>
  <c r="J139" i="24" s="1"/>
  <c r="BV245" i="3"/>
  <c r="BW245" i="3" s="1"/>
  <c r="BX245" i="3" s="1"/>
  <c r="BZ245" i="3"/>
  <c r="J248" i="24" s="1"/>
  <c r="BV70" i="3"/>
  <c r="BW70" i="3" s="1"/>
  <c r="BX70" i="3" s="1"/>
  <c r="BZ70" i="3"/>
  <c r="J73" i="24" s="1"/>
  <c r="BV89" i="3"/>
  <c r="BW89" i="3" s="1"/>
  <c r="BX89" i="3" s="1"/>
  <c r="BZ89" i="3"/>
  <c r="J92" i="24" s="1"/>
  <c r="BV234" i="3"/>
  <c r="BW234" i="3" s="1"/>
  <c r="BX234" i="3" s="1"/>
  <c r="BZ234" i="3"/>
  <c r="J237" i="24" s="1"/>
  <c r="BV272" i="3"/>
  <c r="BW272" i="3" s="1"/>
  <c r="BX272" i="3" s="1"/>
  <c r="BZ272" i="3"/>
  <c r="J275" i="24" s="1"/>
  <c r="BV198" i="3"/>
  <c r="BW198" i="3" s="1"/>
  <c r="BX198" i="3" s="1"/>
  <c r="BZ198" i="3"/>
  <c r="J201" i="24" s="1"/>
  <c r="BV166" i="3"/>
  <c r="BZ166" i="3"/>
  <c r="J169" i="24" s="1"/>
  <c r="BV231" i="3"/>
  <c r="BZ231" i="3"/>
  <c r="J234" i="24" s="1"/>
  <c r="BV6" i="3"/>
  <c r="BW6" i="3" s="1"/>
  <c r="BX6" i="3" s="1"/>
  <c r="BZ6" i="3"/>
  <c r="J9" i="24" s="1"/>
  <c r="BV55" i="3"/>
  <c r="BW55" i="3" s="1"/>
  <c r="BX55" i="3" s="1"/>
  <c r="BZ55" i="3"/>
  <c r="J58" i="24" s="1"/>
  <c r="BV177" i="3"/>
  <c r="BW177" i="3" s="1"/>
  <c r="BX177" i="3" s="1"/>
  <c r="BZ177" i="3"/>
  <c r="J180" i="24" s="1"/>
  <c r="BV40" i="3"/>
  <c r="BW40" i="3" s="1"/>
  <c r="BZ40" i="3"/>
  <c r="J43" i="24" s="1"/>
  <c r="BV203" i="3"/>
  <c r="BW203" i="3" s="1"/>
  <c r="BX203" i="3" s="1"/>
  <c r="BZ203" i="3"/>
  <c r="J206" i="24" s="1"/>
  <c r="BV48" i="3"/>
  <c r="BX48" i="3" s="1"/>
  <c r="BZ48" i="3"/>
  <c r="J51" i="24" s="1"/>
  <c r="BV144" i="3"/>
  <c r="BW144" i="3" s="1"/>
  <c r="BX144" i="3" s="1"/>
  <c r="BZ144" i="3"/>
  <c r="J147" i="24" s="1"/>
  <c r="BV215" i="3"/>
  <c r="BW215" i="3" s="1"/>
  <c r="BX215" i="3" s="1"/>
  <c r="BZ215" i="3"/>
  <c r="J218" i="24" s="1"/>
  <c r="BV53" i="3"/>
  <c r="BW53" i="3" s="1"/>
  <c r="BZ53" i="3"/>
  <c r="J56" i="24" s="1"/>
  <c r="BV117" i="3"/>
  <c r="BW117" i="3" s="1"/>
  <c r="BX117" i="3" s="1"/>
  <c r="BZ117" i="3"/>
  <c r="J120" i="24" s="1"/>
  <c r="BV236" i="3"/>
  <c r="BW236" i="3" s="1"/>
  <c r="BZ236" i="3"/>
  <c r="J239" i="24" s="1"/>
  <c r="BV266" i="3"/>
  <c r="BW266" i="3" s="1"/>
  <c r="BX266" i="3" s="1"/>
  <c r="BZ266" i="3"/>
  <c r="J269" i="24" s="1"/>
  <c r="BV261" i="3"/>
  <c r="BZ261" i="3"/>
  <c r="J264" i="24" s="1"/>
  <c r="BV276" i="3"/>
  <c r="BW276" i="3" s="1"/>
  <c r="BZ276" i="3"/>
  <c r="J279" i="24" s="1"/>
  <c r="BV140" i="3"/>
  <c r="BW140" i="3" s="1"/>
  <c r="BX140" i="3" s="1"/>
  <c r="BZ140" i="3"/>
  <c r="J143" i="24" s="1"/>
  <c r="BV98" i="3"/>
  <c r="BW98" i="3" s="1"/>
  <c r="BZ98" i="3"/>
  <c r="J101" i="24" s="1"/>
  <c r="BV106" i="3"/>
  <c r="BR204" i="3"/>
  <c r="BS204" i="3" s="1"/>
  <c r="BT204" i="3" s="1"/>
  <c r="BV204" i="3"/>
  <c r="BR262" i="3"/>
  <c r="BS262" i="3" s="1"/>
  <c r="BV262" i="3"/>
  <c r="BX262" i="3" s="1"/>
  <c r="BV159" i="3"/>
  <c r="BV80" i="3"/>
  <c r="BS257" i="3"/>
  <c r="BT257" i="3" s="1"/>
  <c r="BS239" i="3"/>
  <c r="BT239" i="3" s="1"/>
  <c r="BS246" i="3"/>
  <c r="BT246" i="3" s="1"/>
  <c r="BS274" i="3"/>
  <c r="BT274" i="3"/>
  <c r="BS96" i="3"/>
  <c r="BT96" i="3"/>
  <c r="BQ106" i="3"/>
  <c r="BR106" i="3"/>
  <c r="BQ74" i="3"/>
  <c r="BR74" i="3"/>
  <c r="BQ208" i="3"/>
  <c r="BR208" i="3"/>
  <c r="BQ172" i="3"/>
  <c r="BR172" i="3"/>
  <c r="BQ213" i="3"/>
  <c r="BR213" i="3"/>
  <c r="BQ279" i="3"/>
  <c r="BR279" i="3"/>
  <c r="BQ35" i="3"/>
  <c r="BR35" i="3"/>
  <c r="BQ202" i="3"/>
  <c r="BR202" i="3"/>
  <c r="BQ49" i="3"/>
  <c r="BR49" i="3"/>
  <c r="BQ72" i="3"/>
  <c r="BR72" i="3"/>
  <c r="BQ31" i="3"/>
  <c r="BR31" i="3"/>
  <c r="BQ226" i="3"/>
  <c r="BR226" i="3"/>
  <c r="BQ10" i="3"/>
  <c r="BR10" i="3"/>
  <c r="BQ153" i="3"/>
  <c r="BR153" i="3"/>
  <c r="BQ176" i="3"/>
  <c r="BR176" i="3"/>
  <c r="BQ139" i="3"/>
  <c r="BR139" i="3"/>
  <c r="BQ108" i="3"/>
  <c r="BR108" i="3"/>
  <c r="BQ181" i="3"/>
  <c r="BR181" i="3"/>
  <c r="BQ79" i="3"/>
  <c r="BR79" i="3"/>
  <c r="BQ185" i="3"/>
  <c r="BR185" i="3"/>
  <c r="BQ151" i="3"/>
  <c r="BR151" i="3"/>
  <c r="BQ131" i="3"/>
  <c r="BR131" i="3"/>
  <c r="BQ21" i="3"/>
  <c r="BR21" i="3"/>
  <c r="BQ136" i="3"/>
  <c r="BR136" i="3"/>
  <c r="BQ89" i="3"/>
  <c r="BR89" i="3"/>
  <c r="BQ234" i="3"/>
  <c r="BR234" i="3"/>
  <c r="BQ272" i="3"/>
  <c r="BR272" i="3"/>
  <c r="BQ198" i="3"/>
  <c r="BR198" i="3"/>
  <c r="BQ166" i="3"/>
  <c r="BR166" i="3"/>
  <c r="BQ231" i="3"/>
  <c r="BR231" i="3"/>
  <c r="BQ6" i="3"/>
  <c r="BR6" i="3"/>
  <c r="BQ55" i="3"/>
  <c r="BR55" i="3"/>
  <c r="BQ177" i="3"/>
  <c r="BR177" i="3"/>
  <c r="BQ40" i="3"/>
  <c r="BR40" i="3"/>
  <c r="BQ203" i="3"/>
  <c r="BR203" i="3"/>
  <c r="BQ48" i="3"/>
  <c r="BR48" i="3"/>
  <c r="BQ144" i="3"/>
  <c r="BR144" i="3"/>
  <c r="BQ215" i="3"/>
  <c r="BR215" i="3"/>
  <c r="BQ53" i="3"/>
  <c r="BR53" i="3"/>
  <c r="BQ117" i="3"/>
  <c r="BR117" i="3"/>
  <c r="BQ236" i="3"/>
  <c r="BR236" i="3"/>
  <c r="BQ266" i="3"/>
  <c r="BR266" i="3"/>
  <c r="BQ261" i="3"/>
  <c r="BR261" i="3"/>
  <c r="BQ276" i="3"/>
  <c r="BR276" i="3"/>
  <c r="BQ140" i="3"/>
  <c r="BR140" i="3"/>
  <c r="BQ98" i="3"/>
  <c r="BR98" i="3"/>
  <c r="BQ138" i="3"/>
  <c r="BR138" i="3"/>
  <c r="BQ51" i="3"/>
  <c r="BR51" i="3"/>
  <c r="BQ217" i="3"/>
  <c r="BR217" i="3"/>
  <c r="BQ270" i="3"/>
  <c r="BR270" i="3"/>
  <c r="BQ245" i="3"/>
  <c r="BR245" i="3"/>
  <c r="BQ134" i="3"/>
  <c r="BR134" i="3"/>
  <c r="BQ149" i="3"/>
  <c r="BR149" i="3"/>
  <c r="BQ34" i="3"/>
  <c r="BR34" i="3"/>
  <c r="BQ211" i="3"/>
  <c r="BR211" i="3"/>
  <c r="BQ70" i="3"/>
  <c r="BR70" i="3"/>
  <c r="BQ25" i="3"/>
  <c r="BR25" i="3"/>
  <c r="BQ283" i="3"/>
  <c r="BR283" i="3"/>
  <c r="BQ83" i="3"/>
  <c r="BR83" i="3"/>
  <c r="BQ42" i="3"/>
  <c r="BR42" i="3"/>
  <c r="BQ12" i="3"/>
  <c r="BR12" i="3"/>
  <c r="BQ102" i="3"/>
  <c r="BR102" i="3"/>
  <c r="BQ230" i="3"/>
  <c r="BR230" i="3"/>
  <c r="BQ249" i="3"/>
  <c r="BR249" i="3"/>
  <c r="BQ219" i="3"/>
  <c r="BR219" i="3"/>
  <c r="BQ38" i="3"/>
  <c r="BR38" i="3"/>
  <c r="BQ258" i="3"/>
  <c r="BR258" i="3"/>
  <c r="BQ17" i="3"/>
  <c r="BR17" i="3"/>
  <c r="BQ16" i="3"/>
  <c r="BR16" i="3"/>
  <c r="BQ39" i="3"/>
  <c r="BR39" i="3"/>
  <c r="BQ159" i="3"/>
  <c r="BR159" i="3"/>
  <c r="BQ80" i="3"/>
  <c r="BR80" i="3"/>
  <c r="BQ289" i="3"/>
  <c r="BR289" i="3"/>
  <c r="BQ76" i="3"/>
  <c r="BR76" i="3"/>
  <c r="BQ85" i="3"/>
  <c r="BR85" i="3"/>
  <c r="BQ121" i="3"/>
  <c r="BR121" i="3"/>
  <c r="BQ67" i="3"/>
  <c r="BR67" i="3"/>
  <c r="BQ130" i="3"/>
  <c r="BR130" i="3"/>
  <c r="BQ194" i="3"/>
  <c r="BR194" i="3"/>
  <c r="BQ232" i="3"/>
  <c r="BR232" i="3"/>
  <c r="BQ240" i="3"/>
  <c r="BR240" i="3"/>
  <c r="BQ170" i="3"/>
  <c r="BR170" i="3"/>
  <c r="BQ57" i="3"/>
  <c r="BR57" i="3"/>
  <c r="BQ112" i="3"/>
  <c r="BR112" i="3"/>
  <c r="BQ47" i="3"/>
  <c r="BR47" i="3"/>
  <c r="BQ243" i="3"/>
  <c r="BR243" i="3"/>
  <c r="BQ44" i="3"/>
  <c r="BR44" i="3"/>
  <c r="BT44" i="3" s="1"/>
  <c r="BQ171" i="3"/>
  <c r="BR171" i="3"/>
  <c r="BQ209" i="3"/>
  <c r="BR209" i="3"/>
  <c r="BQ113" i="3"/>
  <c r="BR113" i="3"/>
  <c r="BQ168" i="3"/>
  <c r="BR168" i="3"/>
  <c r="BQ187" i="3"/>
  <c r="BR187" i="3"/>
  <c r="BQ204" i="3"/>
  <c r="BQ262" i="3"/>
  <c r="CC4" i="3"/>
  <c r="CB4" i="3"/>
  <c r="CI111" i="3"/>
  <c r="F111" i="18"/>
  <c r="G111" i="18" s="1"/>
  <c r="BG111" i="3" s="1"/>
  <c r="BI111" i="3" s="1"/>
  <c r="CI48" i="3"/>
  <c r="F48" i="18"/>
  <c r="G48" i="18" s="1"/>
  <c r="BG48" i="3" s="1"/>
  <c r="BI48" i="3" s="1"/>
  <c r="AF4" i="3"/>
  <c r="R111" i="21"/>
  <c r="R256" i="21"/>
  <c r="R88" i="21"/>
  <c r="AG13" i="3"/>
  <c r="AG22" i="3"/>
  <c r="AG15" i="3"/>
  <c r="AG10" i="3"/>
  <c r="AG18" i="3"/>
  <c r="AG19" i="3"/>
  <c r="AG11" i="3"/>
  <c r="AG9" i="3"/>
  <c r="R212" i="21"/>
  <c r="R26" i="21"/>
  <c r="R208" i="21"/>
  <c r="AG24" i="3"/>
  <c r="R181" i="21"/>
  <c r="R147" i="21"/>
  <c r="R47" i="21"/>
  <c r="BS3" i="10"/>
  <c r="R274" i="21"/>
  <c r="R24" i="21"/>
  <c r="R108" i="21"/>
  <c r="R78" i="21"/>
  <c r="R124" i="21"/>
  <c r="AG6" i="3"/>
  <c r="R16" i="21"/>
  <c r="R221" i="21"/>
  <c r="AG16" i="3"/>
  <c r="R161" i="21"/>
  <c r="R20" i="21"/>
  <c r="AI281" i="3"/>
  <c r="AG17" i="3"/>
  <c r="R63" i="21"/>
  <c r="AG14" i="3"/>
  <c r="AG12" i="3"/>
  <c r="AG23" i="3"/>
  <c r="AG8" i="3"/>
  <c r="AG21" i="3"/>
  <c r="R233" i="21"/>
  <c r="BR5" i="3"/>
  <c r="BV5" i="3"/>
  <c r="BQ5" i="3"/>
  <c r="BZ5" i="3"/>
  <c r="J8" i="24" s="1"/>
  <c r="AA4" i="3"/>
  <c r="CI12" i="3"/>
  <c r="F153" i="18"/>
  <c r="G153" i="18" s="1"/>
  <c r="BG153" i="3" s="1"/>
  <c r="BI153" i="3" s="1"/>
  <c r="CF20" i="3"/>
  <c r="CD4" i="3"/>
  <c r="AY21" i="3" l="1"/>
  <c r="AY42" i="3"/>
  <c r="AY97" i="3"/>
  <c r="AY127" i="3"/>
  <c r="H127" i="18" s="1"/>
  <c r="BT15" i="3"/>
  <c r="BU15" i="3" s="1"/>
  <c r="G116" i="24"/>
  <c r="G42" i="24"/>
  <c r="G37" i="24"/>
  <c r="G43" i="24"/>
  <c r="G237" i="24"/>
  <c r="G156" i="24"/>
  <c r="G63" i="24"/>
  <c r="G241" i="24"/>
  <c r="G181" i="24"/>
  <c r="G140" i="24"/>
  <c r="G71" i="24"/>
  <c r="G253" i="24"/>
  <c r="G225" i="24"/>
  <c r="G203" i="24"/>
  <c r="G194" i="24"/>
  <c r="G22" i="24"/>
  <c r="G35" i="24"/>
  <c r="G267" i="24"/>
  <c r="G187" i="24"/>
  <c r="G155" i="24"/>
  <c r="G193" i="24"/>
  <c r="G69" i="24"/>
  <c r="G161" i="24"/>
  <c r="G14" i="24"/>
  <c r="G167" i="24"/>
  <c r="G199" i="24"/>
  <c r="G135" i="24"/>
  <c r="G256" i="24"/>
  <c r="G93" i="24"/>
  <c r="G132" i="24"/>
  <c r="G186" i="24"/>
  <c r="G27" i="24"/>
  <c r="G270" i="24"/>
  <c r="G290" i="24"/>
  <c r="G131" i="24"/>
  <c r="G129" i="24"/>
  <c r="G172" i="24"/>
  <c r="G25" i="24"/>
  <c r="G163" i="24"/>
  <c r="G166" i="24"/>
  <c r="G164" i="24"/>
  <c r="G18" i="24"/>
  <c r="G282" i="24"/>
  <c r="G97" i="24"/>
  <c r="G271" i="24"/>
  <c r="G196" i="24"/>
  <c r="G36" i="24"/>
  <c r="G284" i="24"/>
  <c r="G53" i="24"/>
  <c r="G230" i="24"/>
  <c r="G65" i="24"/>
  <c r="G26" i="24"/>
  <c r="G224" i="24"/>
  <c r="G292" i="24"/>
  <c r="G66" i="24"/>
  <c r="G110" i="24"/>
  <c r="G49" i="24"/>
  <c r="G208" i="24"/>
  <c r="G191" i="24"/>
  <c r="G150" i="24"/>
  <c r="G289" i="24"/>
  <c r="G281" i="24"/>
  <c r="G204" i="24"/>
  <c r="G100" i="24"/>
  <c r="G62" i="24"/>
  <c r="G21" i="24"/>
  <c r="G23" i="24"/>
  <c r="G283" i="24"/>
  <c r="G84" i="24"/>
  <c r="G144" i="24"/>
  <c r="G219" i="24"/>
  <c r="G104" i="24"/>
  <c r="G236" i="24"/>
  <c r="G133" i="24"/>
  <c r="G40" i="24"/>
  <c r="G138" i="24"/>
  <c r="G217" i="24"/>
  <c r="G222" i="24"/>
  <c r="G190" i="24"/>
  <c r="G174" i="24"/>
  <c r="G115" i="24"/>
  <c r="G235" i="24"/>
  <c r="G124" i="24"/>
  <c r="G83" i="24"/>
  <c r="G20" i="24"/>
  <c r="G252" i="24"/>
  <c r="G45" i="24"/>
  <c r="G73" i="24"/>
  <c r="G137" i="24"/>
  <c r="G54" i="24"/>
  <c r="G279" i="24"/>
  <c r="G120" i="24"/>
  <c r="G51" i="24"/>
  <c r="G58" i="24"/>
  <c r="G201" i="24"/>
  <c r="G139" i="24"/>
  <c r="G188" i="24"/>
  <c r="G142" i="24"/>
  <c r="G229" i="24"/>
  <c r="G205" i="24"/>
  <c r="G175" i="24"/>
  <c r="G148" i="24"/>
  <c r="G165" i="24"/>
  <c r="G202" i="24"/>
  <c r="G90" i="24"/>
  <c r="G89" i="24"/>
  <c r="G244" i="24"/>
  <c r="G209" i="24"/>
  <c r="G168" i="24"/>
  <c r="G232" i="24"/>
  <c r="G291" i="24"/>
  <c r="G80" i="24"/>
  <c r="G223" i="24"/>
  <c r="G96" i="24"/>
  <c r="G61" i="24"/>
  <c r="G106" i="24"/>
  <c r="G272" i="24"/>
  <c r="G262" i="24"/>
  <c r="G170" i="24"/>
  <c r="G210" i="24"/>
  <c r="G128" i="24"/>
  <c r="G114" i="24"/>
  <c r="G185" i="24"/>
  <c r="G119" i="24"/>
  <c r="G31" i="24"/>
  <c r="G126" i="24"/>
  <c r="G286" i="24"/>
  <c r="G113" i="24"/>
  <c r="G276" i="24"/>
  <c r="G263" i="24"/>
  <c r="G265" i="24"/>
  <c r="G153" i="24"/>
  <c r="G158" i="24"/>
  <c r="G91" i="24"/>
  <c r="G159" i="24"/>
  <c r="G212" i="24"/>
  <c r="G243" i="24"/>
  <c r="G15" i="24"/>
  <c r="G220" i="24"/>
  <c r="G180" i="24"/>
  <c r="G154" i="24"/>
  <c r="G13" i="24"/>
  <c r="G216" i="24"/>
  <c r="G74" i="24"/>
  <c r="G81" i="24"/>
  <c r="G32" i="24"/>
  <c r="G17" i="24"/>
  <c r="G293" i="24"/>
  <c r="G48" i="24"/>
  <c r="G178" i="24"/>
  <c r="G16" i="24"/>
  <c r="G182" i="24"/>
  <c r="G213" i="24"/>
  <c r="G68" i="24"/>
  <c r="G112" i="24"/>
  <c r="G255" i="24"/>
  <c r="G98" i="24"/>
  <c r="G95" i="24"/>
  <c r="G127" i="24"/>
  <c r="G251" i="24"/>
  <c r="G250" i="24"/>
  <c r="G221" i="24"/>
  <c r="G245" i="24"/>
  <c r="G123" i="24"/>
  <c r="G238" i="24"/>
  <c r="G125" i="24"/>
  <c r="G268" i="24"/>
  <c r="G189" i="24"/>
  <c r="G231" i="24"/>
  <c r="G57" i="24"/>
  <c r="G278" i="24"/>
  <c r="G173" i="24"/>
  <c r="G41" i="24"/>
  <c r="G101" i="24"/>
  <c r="G218" i="24"/>
  <c r="G234" i="24"/>
  <c r="G184" i="24"/>
  <c r="G75" i="24"/>
  <c r="G46" i="24"/>
  <c r="G240" i="24"/>
  <c r="G136" i="24"/>
  <c r="G33" i="24"/>
  <c r="G228" i="24"/>
  <c r="G198" i="24"/>
  <c r="G280" i="24"/>
  <c r="G227" i="24"/>
  <c r="G76" i="24"/>
  <c r="G50" i="24"/>
  <c r="G19" i="24"/>
  <c r="G28" i="24"/>
  <c r="G143" i="24"/>
  <c r="G147" i="24"/>
  <c r="G92" i="24"/>
  <c r="G111" i="24"/>
  <c r="G109" i="24"/>
  <c r="G171" i="24"/>
  <c r="G47" i="24"/>
  <c r="G60" i="24"/>
  <c r="G197" i="24"/>
  <c r="G88" i="24"/>
  <c r="G162" i="24"/>
  <c r="G261" i="24"/>
  <c r="G233" i="24"/>
  <c r="G86" i="24"/>
  <c r="G214" i="24"/>
  <c r="G248" i="24"/>
  <c r="G141" i="24"/>
  <c r="G264" i="24"/>
  <c r="G56" i="24"/>
  <c r="G206" i="24"/>
  <c r="G9" i="24"/>
  <c r="G275" i="24"/>
  <c r="G24" i="24"/>
  <c r="G82" i="24"/>
  <c r="G179" i="24"/>
  <c r="G34" i="24"/>
  <c r="G38" i="24"/>
  <c r="G211" i="24"/>
  <c r="G107" i="24"/>
  <c r="G176" i="24"/>
  <c r="G285" i="24"/>
  <c r="G149" i="24"/>
  <c r="G146" i="24"/>
  <c r="G102" i="24"/>
  <c r="G12" i="24"/>
  <c r="G94" i="24"/>
  <c r="G247" i="24"/>
  <c r="G59" i="24"/>
  <c r="G55" i="24"/>
  <c r="G103" i="24"/>
  <c r="G160" i="24"/>
  <c r="G117" i="24"/>
  <c r="G78" i="24"/>
  <c r="G195" i="24"/>
  <c r="G118" i="24"/>
  <c r="G246" i="24"/>
  <c r="G79" i="24"/>
  <c r="G105" i="24"/>
  <c r="G273" i="24"/>
  <c r="G269" i="24"/>
  <c r="G134" i="24"/>
  <c r="G77" i="24"/>
  <c r="G157" i="24"/>
  <c r="G67" i="24"/>
  <c r="G177" i="24"/>
  <c r="G11" i="24"/>
  <c r="G226" i="24"/>
  <c r="G108" i="24"/>
  <c r="G87" i="24"/>
  <c r="G287" i="24"/>
  <c r="G10" i="24"/>
  <c r="G207" i="24"/>
  <c r="G70" i="24"/>
  <c r="G152" i="24"/>
  <c r="G239" i="24"/>
  <c r="G169" i="24"/>
  <c r="G52" i="24"/>
  <c r="G257" i="24"/>
  <c r="G151" i="24"/>
  <c r="G183" i="24"/>
  <c r="G64" i="24"/>
  <c r="G288" i="24"/>
  <c r="G121" i="24"/>
  <c r="G122" i="24"/>
  <c r="G72" i="24"/>
  <c r="G85" i="24"/>
  <c r="G29" i="24"/>
  <c r="G130" i="24"/>
  <c r="G200" i="24"/>
  <c r="G44" i="24"/>
  <c r="G266" i="24"/>
  <c r="G259" i="24"/>
  <c r="G215" i="24"/>
  <c r="G145" i="24"/>
  <c r="G274" i="24"/>
  <c r="G192" i="24"/>
  <c r="G258" i="24"/>
  <c r="G30" i="24"/>
  <c r="G254" i="24"/>
  <c r="G8" i="24"/>
  <c r="BU257" i="3"/>
  <c r="H260" i="24"/>
  <c r="BY66" i="3"/>
  <c r="I69" i="24"/>
  <c r="BU148" i="3"/>
  <c r="H151" i="24"/>
  <c r="BY101" i="3"/>
  <c r="I104" i="24"/>
  <c r="BU273" i="3"/>
  <c r="H276" i="24"/>
  <c r="BY241" i="3"/>
  <c r="I244" i="24"/>
  <c r="BU100" i="3"/>
  <c r="H103" i="24"/>
  <c r="BU235" i="3"/>
  <c r="H238" i="24"/>
  <c r="BU216" i="3"/>
  <c r="H219" i="24"/>
  <c r="BY169" i="3"/>
  <c r="I172" i="24"/>
  <c r="BY122" i="3"/>
  <c r="I125" i="24"/>
  <c r="BY227" i="3"/>
  <c r="I230" i="24"/>
  <c r="BU50" i="3"/>
  <c r="H53" i="24"/>
  <c r="BY120" i="3"/>
  <c r="I123" i="24"/>
  <c r="BU97" i="3"/>
  <c r="H100" i="24"/>
  <c r="BY137" i="3"/>
  <c r="I140" i="24"/>
  <c r="BY267" i="3"/>
  <c r="I270" i="24"/>
  <c r="BU286" i="3"/>
  <c r="H289" i="24"/>
  <c r="BY133" i="3"/>
  <c r="I136" i="24"/>
  <c r="BU269" i="3"/>
  <c r="H272" i="24"/>
  <c r="BY218" i="3"/>
  <c r="I221" i="24"/>
  <c r="BY175" i="3"/>
  <c r="I178" i="24"/>
  <c r="BY24" i="3"/>
  <c r="I27" i="24"/>
  <c r="BU233" i="3"/>
  <c r="H236" i="24"/>
  <c r="BU163" i="3"/>
  <c r="H166" i="24"/>
  <c r="BU160" i="3"/>
  <c r="H163" i="24"/>
  <c r="BY27" i="3"/>
  <c r="I30" i="24"/>
  <c r="BY135" i="3"/>
  <c r="I138" i="24"/>
  <c r="BU161" i="3"/>
  <c r="H164" i="24"/>
  <c r="BY161" i="3"/>
  <c r="I164" i="24"/>
  <c r="BY15" i="3"/>
  <c r="I18" i="24"/>
  <c r="BU44" i="3"/>
  <c r="H47" i="24"/>
  <c r="BU275" i="3"/>
  <c r="H278" i="24"/>
  <c r="BY266" i="3"/>
  <c r="I269" i="24"/>
  <c r="BY215" i="3"/>
  <c r="I218" i="24"/>
  <c r="BY234" i="3"/>
  <c r="I237" i="24"/>
  <c r="BY136" i="3"/>
  <c r="I139" i="24"/>
  <c r="BY139" i="3"/>
  <c r="I142" i="24"/>
  <c r="BY72" i="3"/>
  <c r="I75" i="24"/>
  <c r="BY44" i="3"/>
  <c r="I47" i="24"/>
  <c r="BY194" i="3"/>
  <c r="I197" i="24"/>
  <c r="BY85" i="3"/>
  <c r="I88" i="24"/>
  <c r="BY16" i="3"/>
  <c r="I19" i="24"/>
  <c r="BY83" i="3"/>
  <c r="I86" i="24"/>
  <c r="BY138" i="3"/>
  <c r="I141" i="24"/>
  <c r="BU145" i="3"/>
  <c r="H148" i="24"/>
  <c r="BU189" i="3"/>
  <c r="H192" i="24"/>
  <c r="BU133" i="3"/>
  <c r="H136" i="24"/>
  <c r="BY61" i="3"/>
  <c r="I64" i="24"/>
  <c r="BU150" i="3"/>
  <c r="H153" i="24"/>
  <c r="BU281" i="3"/>
  <c r="H284" i="24"/>
  <c r="BY235" i="3"/>
  <c r="I238" i="24"/>
  <c r="BU260" i="3"/>
  <c r="H263" i="24"/>
  <c r="BY141" i="3"/>
  <c r="I144" i="24"/>
  <c r="BY18" i="3"/>
  <c r="I21" i="24"/>
  <c r="BY277" i="3"/>
  <c r="I280" i="24"/>
  <c r="BY287" i="3"/>
  <c r="I290" i="24"/>
  <c r="BU183" i="3"/>
  <c r="H186" i="24"/>
  <c r="BY220" i="3"/>
  <c r="I223" i="24"/>
  <c r="BY285" i="3"/>
  <c r="I288" i="24"/>
  <c r="BY184" i="3"/>
  <c r="I187" i="24"/>
  <c r="BY256" i="3"/>
  <c r="I259" i="24"/>
  <c r="BU193" i="3"/>
  <c r="H196" i="24"/>
  <c r="BY233" i="3"/>
  <c r="I236" i="24"/>
  <c r="BY250" i="3"/>
  <c r="I253" i="24"/>
  <c r="BY224" i="3"/>
  <c r="I227" i="24"/>
  <c r="BY237" i="3"/>
  <c r="I240" i="24"/>
  <c r="BU274" i="3"/>
  <c r="H277" i="24"/>
  <c r="K277" i="24" s="1"/>
  <c r="BY257" i="3"/>
  <c r="I260" i="24"/>
  <c r="BY126" i="3"/>
  <c r="I129" i="24"/>
  <c r="BU190" i="3"/>
  <c r="H193" i="24"/>
  <c r="BY22" i="3"/>
  <c r="I25" i="24"/>
  <c r="BU158" i="3"/>
  <c r="H161" i="24"/>
  <c r="BY158" i="3"/>
  <c r="I161" i="24"/>
  <c r="BU23" i="3"/>
  <c r="H26" i="24"/>
  <c r="BU30" i="3"/>
  <c r="H33" i="24"/>
  <c r="BU45" i="3"/>
  <c r="H48" i="24"/>
  <c r="BY132" i="3"/>
  <c r="I135" i="24"/>
  <c r="BU88" i="3"/>
  <c r="H91" i="24"/>
  <c r="BY282" i="3"/>
  <c r="I285" i="24"/>
  <c r="BY95" i="3"/>
  <c r="I98" i="24"/>
  <c r="BY183" i="3"/>
  <c r="I186" i="24"/>
  <c r="BU92" i="3"/>
  <c r="H95" i="24"/>
  <c r="BY201" i="3"/>
  <c r="I204" i="24"/>
  <c r="BY103" i="3"/>
  <c r="I106" i="24"/>
  <c r="BU33" i="3"/>
  <c r="H36" i="24"/>
  <c r="BU84" i="3"/>
  <c r="H87" i="24"/>
  <c r="BU259" i="3"/>
  <c r="H262" i="24"/>
  <c r="BY223" i="3"/>
  <c r="I226" i="24"/>
  <c r="BU277" i="3"/>
  <c r="H280" i="24"/>
  <c r="BU196" i="3"/>
  <c r="H199" i="24"/>
  <c r="BY82" i="3"/>
  <c r="I85" i="24"/>
  <c r="BU179" i="3"/>
  <c r="H182" i="24"/>
  <c r="BY91" i="3"/>
  <c r="I94" i="24"/>
  <c r="BY259" i="3"/>
  <c r="I262" i="24"/>
  <c r="BU255" i="3"/>
  <c r="H258" i="24"/>
  <c r="BU54" i="3"/>
  <c r="H57" i="24"/>
  <c r="BU7" i="3"/>
  <c r="H10" i="24"/>
  <c r="BY186" i="3"/>
  <c r="I189" i="24"/>
  <c r="BU27" i="3"/>
  <c r="H30" i="24"/>
  <c r="BY262" i="3"/>
  <c r="I265" i="24"/>
  <c r="BY140" i="3"/>
  <c r="I143" i="24"/>
  <c r="BY144" i="3"/>
  <c r="I147" i="24"/>
  <c r="BY177" i="3"/>
  <c r="I180" i="24"/>
  <c r="BY89" i="3"/>
  <c r="I92" i="24"/>
  <c r="BY21" i="3"/>
  <c r="I24" i="24"/>
  <c r="BY176" i="3"/>
  <c r="I179" i="24"/>
  <c r="BY49" i="3"/>
  <c r="I52" i="24"/>
  <c r="BY213" i="3"/>
  <c r="I216" i="24"/>
  <c r="BY134" i="3"/>
  <c r="I137" i="24"/>
  <c r="BY130" i="3"/>
  <c r="I133" i="24"/>
  <c r="BY76" i="3"/>
  <c r="I79" i="24"/>
  <c r="BY211" i="3"/>
  <c r="I214" i="24"/>
  <c r="BY38" i="3"/>
  <c r="I41" i="24"/>
  <c r="BY283" i="3"/>
  <c r="I286" i="24"/>
  <c r="BU182" i="3"/>
  <c r="H185" i="24"/>
  <c r="BY94" i="3"/>
  <c r="I97" i="24"/>
  <c r="BU180" i="3"/>
  <c r="H183" i="24"/>
  <c r="BY265" i="3"/>
  <c r="I268" i="24"/>
  <c r="BY88" i="3"/>
  <c r="I91" i="24"/>
  <c r="BU65" i="3"/>
  <c r="H68" i="24"/>
  <c r="BY109" i="3"/>
  <c r="I112" i="24"/>
  <c r="BU124" i="3"/>
  <c r="H127" i="24"/>
  <c r="BY56" i="3"/>
  <c r="I59" i="24"/>
  <c r="BY251" i="3"/>
  <c r="I254" i="24"/>
  <c r="BU218" i="3"/>
  <c r="H221" i="24"/>
  <c r="BY64" i="3"/>
  <c r="I67" i="24"/>
  <c r="BY254" i="3"/>
  <c r="I257" i="24"/>
  <c r="BY210" i="3"/>
  <c r="I213" i="24"/>
  <c r="BY154" i="3"/>
  <c r="I157" i="24"/>
  <c r="BY273" i="3"/>
  <c r="I276" i="24"/>
  <c r="BY167" i="3"/>
  <c r="I170" i="24"/>
  <c r="BU264" i="3"/>
  <c r="H267" i="24"/>
  <c r="BY105" i="3"/>
  <c r="I108" i="24"/>
  <c r="BY60" i="3"/>
  <c r="I63" i="24"/>
  <c r="BY207" i="3"/>
  <c r="I210" i="24"/>
  <c r="BU192" i="3"/>
  <c r="H195" i="24"/>
  <c r="BY160" i="3"/>
  <c r="I163" i="24"/>
  <c r="BY228" i="3"/>
  <c r="I231" i="24"/>
  <c r="BU246" i="3"/>
  <c r="H249" i="24"/>
  <c r="K249" i="24" s="1"/>
  <c r="BY239" i="3"/>
  <c r="I242" i="24"/>
  <c r="BU214" i="3"/>
  <c r="H217" i="24"/>
  <c r="BY78" i="3"/>
  <c r="I81" i="24"/>
  <c r="BY23" i="3"/>
  <c r="I26" i="24"/>
  <c r="BU156" i="3"/>
  <c r="H159" i="24"/>
  <c r="BU119" i="3"/>
  <c r="H122" i="24"/>
  <c r="BU191" i="3"/>
  <c r="H194" i="24"/>
  <c r="BY93" i="3"/>
  <c r="I96" i="24"/>
  <c r="BY212" i="3"/>
  <c r="I215" i="24"/>
  <c r="BY125" i="3"/>
  <c r="I128" i="24"/>
  <c r="BU197" i="3"/>
  <c r="H200" i="24"/>
  <c r="BU146" i="3"/>
  <c r="H149" i="24"/>
  <c r="BY114" i="3"/>
  <c r="I117" i="24"/>
  <c r="BU52" i="3"/>
  <c r="H55" i="24"/>
  <c r="BY247" i="3"/>
  <c r="I250" i="24"/>
  <c r="BY145" i="3"/>
  <c r="I148" i="24"/>
  <c r="BY26" i="3"/>
  <c r="I29" i="24"/>
  <c r="BY147" i="3"/>
  <c r="I150" i="24"/>
  <c r="BY86" i="3"/>
  <c r="I89" i="24"/>
  <c r="BY222" i="3"/>
  <c r="I225" i="24"/>
  <c r="BY188" i="3"/>
  <c r="I191" i="24"/>
  <c r="BU24" i="3"/>
  <c r="H27" i="24"/>
  <c r="BY275" i="3"/>
  <c r="I278" i="24"/>
  <c r="BY117" i="3"/>
  <c r="I120" i="24"/>
  <c r="BY48" i="3"/>
  <c r="I51" i="24"/>
  <c r="BY55" i="3"/>
  <c r="I58" i="24"/>
  <c r="BY198" i="3"/>
  <c r="I201" i="24"/>
  <c r="BY70" i="3"/>
  <c r="I73" i="24"/>
  <c r="BY153" i="3"/>
  <c r="I156" i="24"/>
  <c r="BY226" i="3"/>
  <c r="I229" i="24"/>
  <c r="BY172" i="3"/>
  <c r="I175" i="24"/>
  <c r="BY51" i="3"/>
  <c r="I54" i="24"/>
  <c r="BY209" i="3"/>
  <c r="I212" i="24"/>
  <c r="BY219" i="3"/>
  <c r="I222" i="24"/>
  <c r="BY12" i="3"/>
  <c r="I15" i="24"/>
  <c r="BU104" i="3"/>
  <c r="H107" i="24"/>
  <c r="BU221" i="3"/>
  <c r="H224" i="24"/>
  <c r="BY206" i="3"/>
  <c r="I209" i="24"/>
  <c r="BU173" i="3"/>
  <c r="H176" i="24"/>
  <c r="BY14" i="3"/>
  <c r="I17" i="24"/>
  <c r="BU118" i="3"/>
  <c r="H121" i="24"/>
  <c r="BU165" i="3"/>
  <c r="H168" i="24"/>
  <c r="BY119" i="3"/>
  <c r="I122" i="24"/>
  <c r="BU13" i="3"/>
  <c r="H16" i="24"/>
  <c r="BU120" i="3"/>
  <c r="H123" i="24"/>
  <c r="BY174" i="3"/>
  <c r="I177" i="24"/>
  <c r="BU280" i="3"/>
  <c r="H283" i="24"/>
  <c r="BU26" i="3"/>
  <c r="H29" i="24"/>
  <c r="BU19" i="3"/>
  <c r="H22" i="24"/>
  <c r="BY50" i="3"/>
  <c r="I53" i="24"/>
  <c r="BU248" i="3"/>
  <c r="H251" i="24"/>
  <c r="BU68" i="3"/>
  <c r="H71" i="24"/>
  <c r="BY52" i="3"/>
  <c r="I55" i="24"/>
  <c r="BU64" i="3"/>
  <c r="H67" i="24"/>
  <c r="BY90" i="3"/>
  <c r="I93" i="24"/>
  <c r="BY41" i="3"/>
  <c r="I44" i="24"/>
  <c r="BY190" i="3"/>
  <c r="I193" i="24"/>
  <c r="BU186" i="3"/>
  <c r="H189" i="24"/>
  <c r="BY123" i="3"/>
  <c r="I126" i="24"/>
  <c r="BY73" i="3"/>
  <c r="I76" i="24"/>
  <c r="BY32" i="3"/>
  <c r="I35" i="24"/>
  <c r="BY163" i="3"/>
  <c r="I166" i="24"/>
  <c r="BU204" i="3"/>
  <c r="H207" i="24"/>
  <c r="BY200" i="3"/>
  <c r="I203" i="24"/>
  <c r="BU222" i="3"/>
  <c r="H225" i="24"/>
  <c r="BU126" i="3"/>
  <c r="H129" i="24"/>
  <c r="BY157" i="3"/>
  <c r="I160" i="24"/>
  <c r="BY11" i="3"/>
  <c r="I14" i="24"/>
  <c r="BU37" i="3"/>
  <c r="H40" i="24"/>
  <c r="BY205" i="3"/>
  <c r="I208" i="24"/>
  <c r="BU175" i="3"/>
  <c r="H178" i="24"/>
  <c r="BY69" i="3"/>
  <c r="I72" i="24"/>
  <c r="BY284" i="3"/>
  <c r="I287" i="24"/>
  <c r="BU174" i="3"/>
  <c r="H177" i="24"/>
  <c r="BY58" i="3"/>
  <c r="I61" i="24"/>
  <c r="BU271" i="3"/>
  <c r="H274" i="24"/>
  <c r="BU288" i="3"/>
  <c r="H291" i="24"/>
  <c r="BU223" i="3"/>
  <c r="H226" i="24"/>
  <c r="BU263" i="3"/>
  <c r="H266" i="24"/>
  <c r="BY152" i="3"/>
  <c r="I155" i="24"/>
  <c r="BY127" i="3"/>
  <c r="I130" i="24"/>
  <c r="BY29" i="3"/>
  <c r="I32" i="24"/>
  <c r="BU132" i="3"/>
  <c r="H135" i="24"/>
  <c r="BY173" i="3"/>
  <c r="I176" i="24"/>
  <c r="BY128" i="3"/>
  <c r="I131" i="24"/>
  <c r="BY199" i="3"/>
  <c r="I202" i="24"/>
  <c r="BY8" i="3"/>
  <c r="I11" i="24"/>
  <c r="BU116" i="3"/>
  <c r="H119" i="24"/>
  <c r="BU96" i="3"/>
  <c r="H99" i="24"/>
  <c r="K99" i="24" s="1"/>
  <c r="BU239" i="3"/>
  <c r="H242" i="24"/>
  <c r="BY203" i="3"/>
  <c r="I206" i="24"/>
  <c r="BY6" i="3"/>
  <c r="I9" i="24"/>
  <c r="BY272" i="3"/>
  <c r="I275" i="24"/>
  <c r="BY245" i="3"/>
  <c r="I248" i="24"/>
  <c r="BY151" i="3"/>
  <c r="I154" i="24"/>
  <c r="BY108" i="3"/>
  <c r="I111" i="24"/>
  <c r="BY10" i="3"/>
  <c r="I13" i="24"/>
  <c r="BY31" i="3"/>
  <c r="I34" i="24"/>
  <c r="BY35" i="3"/>
  <c r="I38" i="24"/>
  <c r="BY187" i="3"/>
  <c r="I190" i="24"/>
  <c r="BY171" i="3"/>
  <c r="I174" i="24"/>
  <c r="BY121" i="3"/>
  <c r="I124" i="24"/>
  <c r="BY39" i="3"/>
  <c r="I42" i="24"/>
  <c r="BY17" i="3"/>
  <c r="I20" i="24"/>
  <c r="BY249" i="3"/>
  <c r="I252" i="24"/>
  <c r="BY149" i="3"/>
  <c r="I152" i="24"/>
  <c r="BU101" i="3"/>
  <c r="H104" i="24"/>
  <c r="BU62" i="3"/>
  <c r="H65" i="24"/>
  <c r="BY150" i="3"/>
  <c r="I153" i="24"/>
  <c r="BU78" i="3"/>
  <c r="H81" i="24"/>
  <c r="BU155" i="3"/>
  <c r="H158" i="24"/>
  <c r="BU69" i="3"/>
  <c r="H72" i="24"/>
  <c r="BY111" i="3"/>
  <c r="I114" i="24"/>
  <c r="BY244" i="3"/>
  <c r="I247" i="24"/>
  <c r="BU252" i="3"/>
  <c r="H255" i="24"/>
  <c r="BU90" i="3"/>
  <c r="H93" i="24"/>
  <c r="BU129" i="3"/>
  <c r="H132" i="24"/>
  <c r="BY92" i="3"/>
  <c r="I95" i="24"/>
  <c r="BU99" i="3"/>
  <c r="H102" i="24"/>
  <c r="BU9" i="3"/>
  <c r="H12" i="24"/>
  <c r="BU195" i="3"/>
  <c r="H198" i="24"/>
  <c r="BY278" i="3"/>
  <c r="I281" i="24"/>
  <c r="BY143" i="3"/>
  <c r="I146" i="24"/>
  <c r="BY65" i="3"/>
  <c r="I68" i="24"/>
  <c r="BY59" i="3"/>
  <c r="I62" i="24"/>
  <c r="BY63" i="3"/>
  <c r="I66" i="24"/>
  <c r="BY162" i="3"/>
  <c r="I165" i="24"/>
  <c r="BU32" i="3"/>
  <c r="H35" i="24"/>
  <c r="BY28" i="3"/>
  <c r="I31" i="24"/>
  <c r="BW275" i="3"/>
  <c r="H13" i="18"/>
  <c r="AY5" i="3"/>
  <c r="H5" i="18" s="1"/>
  <c r="BS24" i="3"/>
  <c r="BX54" i="3"/>
  <c r="BS161" i="3"/>
  <c r="BX43" i="3"/>
  <c r="G281" i="23"/>
  <c r="H281" i="23" s="1"/>
  <c r="CU281" i="3" s="1"/>
  <c r="BT73" i="3"/>
  <c r="BX255" i="3"/>
  <c r="BR36" i="3"/>
  <c r="BS36" i="3" s="1"/>
  <c r="BT36" i="3" s="1"/>
  <c r="BX192" i="3"/>
  <c r="BT123" i="3"/>
  <c r="BT28" i="3"/>
  <c r="BV36" i="3"/>
  <c r="BW36" i="3" s="1"/>
  <c r="BT135" i="3"/>
  <c r="BQ36" i="3"/>
  <c r="U4" i="3"/>
  <c r="BX7" i="3"/>
  <c r="BW73" i="3"/>
  <c r="BZ36" i="3"/>
  <c r="BW27" i="3"/>
  <c r="BS160" i="3"/>
  <c r="BT228" i="3"/>
  <c r="BS233" i="3"/>
  <c r="BS32" i="3"/>
  <c r="BT237" i="3"/>
  <c r="F4" i="23"/>
  <c r="BT250" i="3"/>
  <c r="BT224" i="3"/>
  <c r="BS163" i="3"/>
  <c r="BX116" i="3"/>
  <c r="BT115" i="3"/>
  <c r="BX115" i="3"/>
  <c r="BS269" i="3"/>
  <c r="BS183" i="3"/>
  <c r="BX87" i="3"/>
  <c r="BW90" i="3"/>
  <c r="BS223" i="3"/>
  <c r="BX129" i="3"/>
  <c r="BX248" i="3"/>
  <c r="BW19" i="3"/>
  <c r="BX19" i="3" s="1"/>
  <c r="BX148" i="3"/>
  <c r="BT287" i="3"/>
  <c r="BT207" i="3"/>
  <c r="BT8" i="3"/>
  <c r="BX268" i="3"/>
  <c r="BX214" i="3"/>
  <c r="BS64" i="3"/>
  <c r="BT43" i="3"/>
  <c r="BT241" i="3"/>
  <c r="BT93" i="3"/>
  <c r="BX242" i="3"/>
  <c r="BX20" i="3"/>
  <c r="BX9" i="3"/>
  <c r="BX253" i="3"/>
  <c r="BX46" i="3"/>
  <c r="BW65" i="3"/>
  <c r="BW155" i="3"/>
  <c r="BX155" i="3" s="1"/>
  <c r="BT251" i="3"/>
  <c r="BS132" i="3"/>
  <c r="BX77" i="3"/>
  <c r="BX71" i="3"/>
  <c r="BT18" i="3"/>
  <c r="BW104" i="3"/>
  <c r="BX104" i="3" s="1"/>
  <c r="BW210" i="3"/>
  <c r="BX225" i="3"/>
  <c r="BS105" i="3"/>
  <c r="BT105" i="3" s="1"/>
  <c r="BX288" i="3"/>
  <c r="BX33" i="3"/>
  <c r="BX197" i="3"/>
  <c r="BT267" i="3"/>
  <c r="BX97" i="3"/>
  <c r="BX107" i="3"/>
  <c r="BX146" i="3"/>
  <c r="BX110" i="3"/>
  <c r="BW259" i="3"/>
  <c r="BS196" i="3"/>
  <c r="BX45" i="3"/>
  <c r="BT201" i="3"/>
  <c r="BX30" i="3"/>
  <c r="BW254" i="3"/>
  <c r="BX99" i="3"/>
  <c r="BT66" i="3"/>
  <c r="BX180" i="3"/>
  <c r="BX165" i="3"/>
  <c r="BX118" i="3"/>
  <c r="BX124" i="3"/>
  <c r="BS218" i="3"/>
  <c r="BT91" i="3"/>
  <c r="BS277" i="3"/>
  <c r="BT167" i="3"/>
  <c r="BT242" i="3"/>
  <c r="BT256" i="3"/>
  <c r="BX195" i="3"/>
  <c r="BT128" i="3"/>
  <c r="BS52" i="3"/>
  <c r="BT20" i="3"/>
  <c r="BW84" i="3"/>
  <c r="BX84" i="3" s="1"/>
  <c r="BT59" i="3"/>
  <c r="BX263" i="3"/>
  <c r="BT141" i="3"/>
  <c r="BT247" i="3"/>
  <c r="BS248" i="3"/>
  <c r="BT41" i="3"/>
  <c r="BX68" i="3"/>
  <c r="BX271" i="3"/>
  <c r="BX229" i="3"/>
  <c r="BT152" i="3"/>
  <c r="BT103" i="3"/>
  <c r="BT278" i="3"/>
  <c r="BT114" i="3"/>
  <c r="BX260" i="3"/>
  <c r="BS97" i="3"/>
  <c r="BT225" i="3"/>
  <c r="BT137" i="3"/>
  <c r="BX269" i="3"/>
  <c r="BX193" i="3"/>
  <c r="BX252" i="3"/>
  <c r="BW92" i="3"/>
  <c r="BS120" i="3"/>
  <c r="BT147" i="3"/>
  <c r="BT244" i="3"/>
  <c r="BT143" i="3"/>
  <c r="BT212" i="3"/>
  <c r="BT122" i="3"/>
  <c r="BS175" i="3"/>
  <c r="BT95" i="3"/>
  <c r="BT220" i="3"/>
  <c r="BX286" i="3"/>
  <c r="BT58" i="3"/>
  <c r="BT238" i="3"/>
  <c r="BT56" i="3"/>
  <c r="BT253" i="3"/>
  <c r="BX238" i="3"/>
  <c r="BT154" i="3"/>
  <c r="BT127" i="3"/>
  <c r="BS50" i="3"/>
  <c r="BS252" i="3"/>
  <c r="BS26" i="3"/>
  <c r="BT169" i="3"/>
  <c r="BT184" i="3"/>
  <c r="BT125" i="3"/>
  <c r="BX280" i="3"/>
  <c r="BS65" i="3"/>
  <c r="BT227" i="3"/>
  <c r="BT109" i="3"/>
  <c r="BS174" i="3"/>
  <c r="BS280" i="3"/>
  <c r="BT282" i="3"/>
  <c r="BS69" i="3"/>
  <c r="BT111" i="3"/>
  <c r="BT77" i="3"/>
  <c r="BT210" i="3"/>
  <c r="BS88" i="3"/>
  <c r="BT178" i="3"/>
  <c r="BW179" i="3"/>
  <c r="BX179" i="3" s="1"/>
  <c r="BX178" i="3"/>
  <c r="BT82" i="3"/>
  <c r="BW216" i="3"/>
  <c r="BX216" i="3" s="1"/>
  <c r="BS23" i="3"/>
  <c r="BS235" i="3"/>
  <c r="BT284" i="3"/>
  <c r="BW191" i="3"/>
  <c r="BX191" i="3" s="1"/>
  <c r="BS119" i="3"/>
  <c r="BT229" i="3"/>
  <c r="BT290" i="3"/>
  <c r="BX100" i="3"/>
  <c r="BX264" i="3"/>
  <c r="BT60" i="3"/>
  <c r="BT188" i="3"/>
  <c r="BS45" i="3"/>
  <c r="BT205" i="3"/>
  <c r="BT206" i="3"/>
  <c r="BX13" i="3"/>
  <c r="BX156" i="3"/>
  <c r="BT268" i="3"/>
  <c r="BS150" i="3"/>
  <c r="BT157" i="3"/>
  <c r="BS133" i="3"/>
  <c r="BS78" i="3"/>
  <c r="BW241" i="3"/>
  <c r="BS173" i="3"/>
  <c r="BX290" i="3"/>
  <c r="BX196" i="3"/>
  <c r="BT29" i="3"/>
  <c r="BT46" i="3"/>
  <c r="BT86" i="3"/>
  <c r="BT14" i="3"/>
  <c r="BT61" i="3"/>
  <c r="BS62" i="3"/>
  <c r="BS101" i="3"/>
  <c r="BT75" i="3"/>
  <c r="BT164" i="3"/>
  <c r="BX281" i="3"/>
  <c r="BX164" i="3"/>
  <c r="BX37" i="3"/>
  <c r="BW206" i="3"/>
  <c r="BX142" i="3"/>
  <c r="BS158" i="3"/>
  <c r="BT199" i="3"/>
  <c r="BT265" i="3"/>
  <c r="BT11" i="3"/>
  <c r="BT94" i="3"/>
  <c r="BS190" i="3"/>
  <c r="BT87" i="3"/>
  <c r="BT142" i="3"/>
  <c r="BS273" i="3"/>
  <c r="BT200" i="3"/>
  <c r="BW78" i="3"/>
  <c r="BT110" i="3"/>
  <c r="BX62" i="3"/>
  <c r="BT107" i="3"/>
  <c r="BT285" i="3"/>
  <c r="BT22" i="3"/>
  <c r="BT162" i="3"/>
  <c r="BS145" i="3"/>
  <c r="BS180" i="3"/>
  <c r="BX189" i="3"/>
  <c r="BT63" i="3"/>
  <c r="BT81" i="3"/>
  <c r="BW22" i="3"/>
  <c r="BS126" i="3"/>
  <c r="BW182" i="3"/>
  <c r="BX182" i="3" s="1"/>
  <c r="BX221" i="3"/>
  <c r="BT254" i="3"/>
  <c r="BT71" i="3"/>
  <c r="BW75" i="3"/>
  <c r="BX75" i="3"/>
  <c r="BX81" i="3"/>
  <c r="BS222" i="3"/>
  <c r="BX230" i="3"/>
  <c r="BW231" i="3"/>
  <c r="BX231" i="3" s="1"/>
  <c r="BX279" i="3"/>
  <c r="BX57" i="3"/>
  <c r="BW21" i="3"/>
  <c r="BX42" i="3"/>
  <c r="BW72" i="3"/>
  <c r="BW44" i="3"/>
  <c r="BX98" i="3"/>
  <c r="BX170" i="3"/>
  <c r="BT262" i="3"/>
  <c r="BX74" i="3"/>
  <c r="BX185" i="3"/>
  <c r="BX258" i="3"/>
  <c r="BX34" i="3"/>
  <c r="BX40" i="3"/>
  <c r="BX168" i="3"/>
  <c r="BW202" i="3"/>
  <c r="BX202" i="3" s="1"/>
  <c r="BX289" i="3"/>
  <c r="BW25" i="3"/>
  <c r="BX25" i="3" s="1"/>
  <c r="BW181" i="3"/>
  <c r="BX181" i="3" s="1"/>
  <c r="BX276" i="3"/>
  <c r="BW166" i="3"/>
  <c r="BX166" i="3" s="1"/>
  <c r="BX240" i="3"/>
  <c r="BX232" i="3"/>
  <c r="BW48" i="3"/>
  <c r="BX131" i="3"/>
  <c r="BX47" i="3"/>
  <c r="BX270" i="3"/>
  <c r="BX67" i="3"/>
  <c r="BW208" i="3"/>
  <c r="BX208" i="3" s="1"/>
  <c r="BX243" i="3"/>
  <c r="BX112" i="3"/>
  <c r="BW249" i="3"/>
  <c r="BW261" i="3"/>
  <c r="BX261" i="3" s="1"/>
  <c r="BW113" i="3"/>
  <c r="BX113" i="3" s="1"/>
  <c r="BX102" i="3"/>
  <c r="BX236" i="3"/>
  <c r="BX79" i="3"/>
  <c r="BX217" i="3"/>
  <c r="BX53" i="3"/>
  <c r="BW204" i="3"/>
  <c r="BX204" i="3" s="1"/>
  <c r="BW80" i="3"/>
  <c r="BX80" i="3" s="1"/>
  <c r="I83" i="24" s="1"/>
  <c r="BW106" i="3"/>
  <c r="BX106" i="3" s="1"/>
  <c r="BW159" i="3"/>
  <c r="BX159" i="3" s="1"/>
  <c r="I162" i="24" s="1"/>
  <c r="BW262" i="3"/>
  <c r="BS168" i="3"/>
  <c r="BT168" i="3"/>
  <c r="BS194" i="3"/>
  <c r="BT194" i="3"/>
  <c r="BS85" i="3"/>
  <c r="BT85" i="3"/>
  <c r="BS159" i="3"/>
  <c r="BT159" i="3"/>
  <c r="BS258" i="3"/>
  <c r="BT258" i="3"/>
  <c r="BS230" i="3"/>
  <c r="BT230" i="3" s="1"/>
  <c r="BS83" i="3"/>
  <c r="BT83" i="3"/>
  <c r="BS211" i="3"/>
  <c r="BT211" i="3" s="1"/>
  <c r="BS245" i="3"/>
  <c r="BT245" i="3"/>
  <c r="BS138" i="3"/>
  <c r="BT138" i="3"/>
  <c r="BS261" i="3"/>
  <c r="BT261" i="3" s="1"/>
  <c r="H264" i="24" s="1"/>
  <c r="BS53" i="3"/>
  <c r="BT53" i="3" s="1"/>
  <c r="H56" i="24" s="1"/>
  <c r="BS203" i="3"/>
  <c r="BT203" i="3"/>
  <c r="BS6" i="3"/>
  <c r="BT6" i="3"/>
  <c r="BS272" i="3"/>
  <c r="BT272" i="3"/>
  <c r="BS21" i="3"/>
  <c r="BT21" i="3"/>
  <c r="BS79" i="3"/>
  <c r="BT79" i="3"/>
  <c r="BS176" i="3"/>
  <c r="BT176" i="3"/>
  <c r="BS31" i="3"/>
  <c r="BT31" i="3"/>
  <c r="BS35" i="3"/>
  <c r="BT35" i="3"/>
  <c r="BS208" i="3"/>
  <c r="BT208" i="3"/>
  <c r="BS113" i="3"/>
  <c r="BT113" i="3" s="1"/>
  <c r="BS243" i="3"/>
  <c r="BT243" i="3" s="1"/>
  <c r="H246" i="24" s="1"/>
  <c r="BS170" i="3"/>
  <c r="BT170" i="3"/>
  <c r="BS130" i="3"/>
  <c r="BT130" i="3"/>
  <c r="BS76" i="3"/>
  <c r="BT76" i="3"/>
  <c r="BS39" i="3"/>
  <c r="BT39" i="3" s="1"/>
  <c r="BS38" i="3"/>
  <c r="BT38" i="3"/>
  <c r="BS102" i="3"/>
  <c r="BT102" i="3" s="1"/>
  <c r="BS283" i="3"/>
  <c r="BT283" i="3"/>
  <c r="BS34" i="3"/>
  <c r="BT34" i="3" s="1"/>
  <c r="BS270" i="3"/>
  <c r="BT270" i="3"/>
  <c r="BS98" i="3"/>
  <c r="BT98" i="3" s="1"/>
  <c r="BS266" i="3"/>
  <c r="BT266" i="3"/>
  <c r="BS215" i="3"/>
  <c r="BT215" i="3"/>
  <c r="BS40" i="3"/>
  <c r="BT40" i="3" s="1"/>
  <c r="H43" i="24" s="1"/>
  <c r="BS231" i="3"/>
  <c r="BT231" i="3"/>
  <c r="BS234" i="3"/>
  <c r="BT234" i="3"/>
  <c r="BS131" i="3"/>
  <c r="BT131" i="3" s="1"/>
  <c r="H134" i="24" s="1"/>
  <c r="BS181" i="3"/>
  <c r="BT181" i="3" s="1"/>
  <c r="BS153" i="3"/>
  <c r="BT153" i="3"/>
  <c r="BS72" i="3"/>
  <c r="BT72" i="3"/>
  <c r="BS279" i="3"/>
  <c r="BT279" i="3"/>
  <c r="BS74" i="3"/>
  <c r="BT74" i="3"/>
  <c r="BS209" i="3"/>
  <c r="BT209" i="3"/>
  <c r="BS47" i="3"/>
  <c r="BT47" i="3"/>
  <c r="BS240" i="3"/>
  <c r="BT240" i="3" s="1"/>
  <c r="H243" i="24" s="1"/>
  <c r="BS67" i="3"/>
  <c r="BT67" i="3" s="1"/>
  <c r="BS289" i="3"/>
  <c r="BT289" i="3" s="1"/>
  <c r="BS16" i="3"/>
  <c r="BT16" i="3"/>
  <c r="BS219" i="3"/>
  <c r="BT219" i="3"/>
  <c r="BS12" i="3"/>
  <c r="BT12" i="3"/>
  <c r="BS25" i="3"/>
  <c r="BT25" i="3"/>
  <c r="BS149" i="3"/>
  <c r="BT149" i="3"/>
  <c r="BS217" i="3"/>
  <c r="BT217" i="3"/>
  <c r="BS140" i="3"/>
  <c r="BT140" i="3"/>
  <c r="BS236" i="3"/>
  <c r="BT236" i="3"/>
  <c r="BS144" i="3"/>
  <c r="BT144" i="3" s="1"/>
  <c r="BS177" i="3"/>
  <c r="BT177" i="3"/>
  <c r="BS166" i="3"/>
  <c r="BT166" i="3" s="1"/>
  <c r="H169" i="24" s="1"/>
  <c r="BS89" i="3"/>
  <c r="BT89" i="3"/>
  <c r="BS151" i="3"/>
  <c r="BT151" i="3"/>
  <c r="BS108" i="3"/>
  <c r="BT108" i="3"/>
  <c r="BS10" i="3"/>
  <c r="BT10" i="3"/>
  <c r="BS49" i="3"/>
  <c r="BT49" i="3"/>
  <c r="BS213" i="3"/>
  <c r="BT213" i="3"/>
  <c r="BS106" i="3"/>
  <c r="BT106" i="3" s="1"/>
  <c r="BS187" i="3"/>
  <c r="BT187" i="3"/>
  <c r="BS171" i="3"/>
  <c r="BT171" i="3"/>
  <c r="BS112" i="3"/>
  <c r="BT112" i="3" s="1"/>
  <c r="BS232" i="3"/>
  <c r="BT232" i="3"/>
  <c r="BS121" i="3"/>
  <c r="BT121" i="3" s="1"/>
  <c r="BS80" i="3"/>
  <c r="BT80" i="3"/>
  <c r="BS17" i="3"/>
  <c r="BT17" i="3"/>
  <c r="BS249" i="3"/>
  <c r="BT249" i="3"/>
  <c r="BS42" i="3"/>
  <c r="BT42" i="3" s="1"/>
  <c r="BS70" i="3"/>
  <c r="BT70" i="3"/>
  <c r="BS134" i="3"/>
  <c r="BT134" i="3"/>
  <c r="BS51" i="3"/>
  <c r="BT51" i="3"/>
  <c r="BS276" i="3"/>
  <c r="BT276" i="3"/>
  <c r="BS117" i="3"/>
  <c r="BT117" i="3"/>
  <c r="BS48" i="3"/>
  <c r="BT48" i="3"/>
  <c r="BS55" i="3"/>
  <c r="BT55" i="3"/>
  <c r="BS198" i="3"/>
  <c r="BT198" i="3"/>
  <c r="BS136" i="3"/>
  <c r="BT136" i="3"/>
  <c r="BS185" i="3"/>
  <c r="BT185" i="3" s="1"/>
  <c r="BS139" i="3"/>
  <c r="BT139" i="3"/>
  <c r="BS226" i="3"/>
  <c r="BT226" i="3"/>
  <c r="BS202" i="3"/>
  <c r="BT202" i="3"/>
  <c r="BS172" i="3"/>
  <c r="BT172" i="3"/>
  <c r="BS44" i="3"/>
  <c r="BS57" i="3"/>
  <c r="AI112" i="3"/>
  <c r="AI257" i="3"/>
  <c r="R200" i="21"/>
  <c r="R201" i="21"/>
  <c r="R48" i="21"/>
  <c r="R260" i="21"/>
  <c r="R136" i="21"/>
  <c r="R138" i="21"/>
  <c r="R120" i="21"/>
  <c r="R125" i="21"/>
  <c r="R58" i="21"/>
  <c r="R270" i="21"/>
  <c r="R79" i="21"/>
  <c r="R100" i="21"/>
  <c r="R194" i="21"/>
  <c r="R101" i="21"/>
  <c r="R6" i="21"/>
  <c r="R230" i="21"/>
  <c r="R53" i="21"/>
  <c r="R15" i="21"/>
  <c r="R195" i="21"/>
  <c r="R57" i="21"/>
  <c r="R29" i="21"/>
  <c r="R191" i="21"/>
  <c r="R273" i="21"/>
  <c r="R247" i="21"/>
  <c r="R173" i="21"/>
  <c r="R123" i="21"/>
  <c r="R242" i="21"/>
  <c r="R85" i="21"/>
  <c r="R238" i="21"/>
  <c r="R187" i="21"/>
  <c r="R122" i="21"/>
  <c r="R28" i="21"/>
  <c r="R186" i="21"/>
  <c r="R60" i="21"/>
  <c r="R215" i="21"/>
  <c r="AI64" i="3"/>
  <c r="AI213" i="3"/>
  <c r="AI27" i="3"/>
  <c r="AI275" i="3"/>
  <c r="AG7" i="3"/>
  <c r="AI191" i="3"/>
  <c r="R117" i="21"/>
  <c r="R185" i="21"/>
  <c r="R154" i="21"/>
  <c r="R156" i="21"/>
  <c r="R99" i="21"/>
  <c r="R269" i="21"/>
  <c r="R202" i="21"/>
  <c r="R130" i="21"/>
  <c r="R110" i="21"/>
  <c r="R73" i="21"/>
  <c r="R264" i="21"/>
  <c r="R168" i="21"/>
  <c r="R222" i="21"/>
  <c r="R37" i="21"/>
  <c r="R14" i="21"/>
  <c r="R21" i="21"/>
  <c r="R93" i="21"/>
  <c r="R121" i="21"/>
  <c r="AI148" i="3"/>
  <c r="R232" i="21"/>
  <c r="R188" i="21"/>
  <c r="R27" i="21"/>
  <c r="R13" i="21"/>
  <c r="R249" i="21"/>
  <c r="AI89" i="3"/>
  <c r="R119" i="21"/>
  <c r="R196" i="21"/>
  <c r="R43" i="21"/>
  <c r="R218" i="21"/>
  <c r="R248" i="21"/>
  <c r="R82" i="21"/>
  <c r="R253" i="21"/>
  <c r="R133" i="21"/>
  <c r="R267" i="21"/>
  <c r="R231" i="21"/>
  <c r="AI17" i="3"/>
  <c r="R114" i="21"/>
  <c r="R284" i="21"/>
  <c r="R167" i="21"/>
  <c r="R246" i="21"/>
  <c r="R216" i="21"/>
  <c r="AI25" i="3"/>
  <c r="R265" i="21"/>
  <c r="R277" i="21"/>
  <c r="R90" i="21"/>
  <c r="R268" i="21"/>
  <c r="R234" i="21"/>
  <c r="R193" i="21"/>
  <c r="R244" i="21"/>
  <c r="R207" i="21"/>
  <c r="R158" i="21"/>
  <c r="R169" i="21"/>
  <c r="R144" i="21"/>
  <c r="R237" i="21"/>
  <c r="AI125" i="3"/>
  <c r="R151" i="21"/>
  <c r="R262" i="21"/>
  <c r="R235" i="21"/>
  <c r="R106" i="21"/>
  <c r="AI209" i="3"/>
  <c r="R177" i="21"/>
  <c r="R44" i="21"/>
  <c r="R4" i="21"/>
  <c r="T4" i="21" s="1"/>
  <c r="R275" i="21"/>
  <c r="R55" i="21"/>
  <c r="R279" i="21"/>
  <c r="R257" i="21"/>
  <c r="R240" i="21"/>
  <c r="AI182" i="3"/>
  <c r="AI222" i="3"/>
  <c r="AI21" i="3"/>
  <c r="AI109" i="3"/>
  <c r="AI162" i="3"/>
  <c r="AI234" i="3"/>
  <c r="AI79" i="3"/>
  <c r="CG20" i="3"/>
  <c r="CF4" i="3"/>
  <c r="BW5" i="3"/>
  <c r="BX5" i="3" s="1"/>
  <c r="BS5" i="3"/>
  <c r="BT5" i="3"/>
  <c r="F12" i="18"/>
  <c r="AY28" i="3" l="1"/>
  <c r="AY22" i="3"/>
  <c r="AY53" i="3"/>
  <c r="L99" i="24"/>
  <c r="N99" i="24" s="1"/>
  <c r="V96" i="3" s="1"/>
  <c r="L249" i="24"/>
  <c r="N249" i="24" s="1"/>
  <c r="V246" i="3" s="1"/>
  <c r="L277" i="24"/>
  <c r="N277" i="24" s="1"/>
  <c r="V274" i="3" s="1"/>
  <c r="AY124" i="3"/>
  <c r="K104" i="24"/>
  <c r="H18" i="24"/>
  <c r="K18" i="24" s="1"/>
  <c r="M226" i="24"/>
  <c r="M221" i="24"/>
  <c r="K72" i="24"/>
  <c r="K177" i="24"/>
  <c r="M135" i="24"/>
  <c r="M178" i="24"/>
  <c r="M129" i="24"/>
  <c r="K29" i="24"/>
  <c r="M35" i="24"/>
  <c r="M27" i="24"/>
  <c r="K67" i="24"/>
  <c r="M164" i="24"/>
  <c r="M91" i="24"/>
  <c r="M26" i="24"/>
  <c r="M193" i="24"/>
  <c r="M225" i="24"/>
  <c r="M122" i="24"/>
  <c r="M280" i="24"/>
  <c r="M153" i="24"/>
  <c r="M93" i="24"/>
  <c r="M176" i="24"/>
  <c r="M161" i="24"/>
  <c r="K81" i="24"/>
  <c r="K189" i="24"/>
  <c r="M189" i="24"/>
  <c r="M55" i="24"/>
  <c r="M186" i="24"/>
  <c r="M148" i="24"/>
  <c r="M163" i="24"/>
  <c r="M67" i="24"/>
  <c r="M104" i="24"/>
  <c r="M68" i="24"/>
  <c r="M278" i="24"/>
  <c r="M166" i="24"/>
  <c r="M53" i="24"/>
  <c r="M276" i="24"/>
  <c r="M123" i="24"/>
  <c r="M95" i="24"/>
  <c r="M18" i="24"/>
  <c r="M30" i="24"/>
  <c r="M262" i="24"/>
  <c r="M136" i="24"/>
  <c r="M47" i="24"/>
  <c r="M236" i="24"/>
  <c r="M238" i="24"/>
  <c r="M249" i="24"/>
  <c r="M277" i="24"/>
  <c r="M29" i="24"/>
  <c r="M260" i="24"/>
  <c r="M242" i="24"/>
  <c r="M99" i="24"/>
  <c r="M72" i="24"/>
  <c r="M177" i="24"/>
  <c r="M81" i="24"/>
  <c r="K30" i="24"/>
  <c r="K136" i="24"/>
  <c r="K27" i="24"/>
  <c r="K123" i="24"/>
  <c r="K135" i="24"/>
  <c r="K178" i="24"/>
  <c r="K129" i="24"/>
  <c r="K35" i="24"/>
  <c r="K262" i="24"/>
  <c r="K161" i="24"/>
  <c r="K242" i="24"/>
  <c r="K226" i="24"/>
  <c r="K221" i="24"/>
  <c r="K176" i="24"/>
  <c r="K236" i="24"/>
  <c r="K238" i="24"/>
  <c r="K95" i="24"/>
  <c r="K91" i="24"/>
  <c r="K26" i="24"/>
  <c r="K193" i="24"/>
  <c r="K225" i="24"/>
  <c r="K55" i="24"/>
  <c r="K122" i="24"/>
  <c r="K280" i="24"/>
  <c r="K186" i="24"/>
  <c r="K153" i="24"/>
  <c r="K148" i="24"/>
  <c r="K163" i="24"/>
  <c r="K47" i="24"/>
  <c r="K93" i="24"/>
  <c r="K68" i="24"/>
  <c r="K278" i="24"/>
  <c r="K164" i="24"/>
  <c r="K166" i="24"/>
  <c r="K53" i="24"/>
  <c r="K276" i="24"/>
  <c r="K260" i="24"/>
  <c r="BZ4" i="3"/>
  <c r="J39" i="24"/>
  <c r="BU139" i="3"/>
  <c r="H142" i="24"/>
  <c r="K142" i="24" s="1"/>
  <c r="BU17" i="3"/>
  <c r="H20" i="24"/>
  <c r="K20" i="24" s="1"/>
  <c r="BU171" i="3"/>
  <c r="H174" i="24"/>
  <c r="K174" i="24" s="1"/>
  <c r="BU47" i="3"/>
  <c r="H50" i="24"/>
  <c r="BU72" i="3"/>
  <c r="H75" i="24"/>
  <c r="K75" i="24" s="1"/>
  <c r="BU231" i="3"/>
  <c r="H234" i="24"/>
  <c r="BU270" i="3"/>
  <c r="H273" i="24"/>
  <c r="BU39" i="3"/>
  <c r="H42" i="24"/>
  <c r="K42" i="24" s="1"/>
  <c r="BU113" i="3"/>
  <c r="H116" i="24"/>
  <c r="BY102" i="3"/>
  <c r="I105" i="24"/>
  <c r="BY270" i="3"/>
  <c r="I273" i="24"/>
  <c r="BY181" i="3"/>
  <c r="I184" i="24"/>
  <c r="BY185" i="3"/>
  <c r="I188" i="24"/>
  <c r="BU63" i="3"/>
  <c r="H66" i="24"/>
  <c r="K66" i="24" s="1"/>
  <c r="BY62" i="3"/>
  <c r="I65" i="24"/>
  <c r="K65" i="24" s="1"/>
  <c r="BU94" i="3"/>
  <c r="H97" i="24"/>
  <c r="K97" i="24" s="1"/>
  <c r="BY164" i="3"/>
  <c r="I167" i="24"/>
  <c r="BU86" i="3"/>
  <c r="H89" i="24"/>
  <c r="K89" i="24" s="1"/>
  <c r="BY191" i="3"/>
  <c r="I194" i="24"/>
  <c r="K194" i="24" s="1"/>
  <c r="BU178" i="3"/>
  <c r="H181" i="24"/>
  <c r="BU238" i="3"/>
  <c r="H241" i="24"/>
  <c r="BU143" i="3"/>
  <c r="H146" i="24"/>
  <c r="K146" i="24" s="1"/>
  <c r="BU137" i="3"/>
  <c r="H140" i="24"/>
  <c r="K140" i="24" s="1"/>
  <c r="BY229" i="3"/>
  <c r="I232" i="24"/>
  <c r="BU59" i="3"/>
  <c r="H62" i="24"/>
  <c r="K62" i="24" s="1"/>
  <c r="BU167" i="3"/>
  <c r="H170" i="24"/>
  <c r="K170" i="24" s="1"/>
  <c r="BU66" i="3"/>
  <c r="H69" i="24"/>
  <c r="K69" i="24" s="1"/>
  <c r="BY110" i="3"/>
  <c r="I113" i="24"/>
  <c r="BU105" i="3"/>
  <c r="H108" i="24"/>
  <c r="K108" i="24" s="1"/>
  <c r="BU251" i="3"/>
  <c r="H254" i="24"/>
  <c r="K254" i="24" s="1"/>
  <c r="BU93" i="3"/>
  <c r="H96" i="24"/>
  <c r="K96" i="24" s="1"/>
  <c r="BU287" i="3"/>
  <c r="H290" i="24"/>
  <c r="K290" i="24" s="1"/>
  <c r="BY192" i="3"/>
  <c r="I195" i="24"/>
  <c r="K195" i="24" s="1"/>
  <c r="BU48" i="3"/>
  <c r="H51" i="24"/>
  <c r="K51" i="24" s="1"/>
  <c r="BU134" i="3"/>
  <c r="H137" i="24"/>
  <c r="K137" i="24" s="1"/>
  <c r="BU10" i="3"/>
  <c r="H13" i="24"/>
  <c r="K13" i="24" s="1"/>
  <c r="BU217" i="3"/>
  <c r="H220" i="24"/>
  <c r="BU219" i="3"/>
  <c r="H222" i="24"/>
  <c r="K222" i="24" s="1"/>
  <c r="BU76" i="3"/>
  <c r="H79" i="24"/>
  <c r="K79" i="24" s="1"/>
  <c r="BU208" i="3"/>
  <c r="H211" i="24"/>
  <c r="BU79" i="3"/>
  <c r="H82" i="24"/>
  <c r="BU203" i="3"/>
  <c r="H206" i="24"/>
  <c r="K206" i="24" s="1"/>
  <c r="BU211" i="3"/>
  <c r="H214" i="24"/>
  <c r="K214" i="24" s="1"/>
  <c r="BU85" i="3"/>
  <c r="H88" i="24"/>
  <c r="K88" i="24" s="1"/>
  <c r="BY106" i="3"/>
  <c r="I109" i="24"/>
  <c r="BY113" i="3"/>
  <c r="I116" i="24"/>
  <c r="BY47" i="3"/>
  <c r="I50" i="24"/>
  <c r="BY25" i="3"/>
  <c r="I28" i="24"/>
  <c r="BY74" i="3"/>
  <c r="I77" i="24"/>
  <c r="BY57" i="3"/>
  <c r="I60" i="24"/>
  <c r="BU71" i="3"/>
  <c r="H74" i="24"/>
  <c r="BY189" i="3"/>
  <c r="I192" i="24"/>
  <c r="K192" i="24" s="1"/>
  <c r="BU110" i="3"/>
  <c r="H113" i="24"/>
  <c r="BU11" i="3"/>
  <c r="H14" i="24"/>
  <c r="K14" i="24" s="1"/>
  <c r="BY281" i="3"/>
  <c r="I284" i="24"/>
  <c r="K284" i="24" s="1"/>
  <c r="BU46" i="3"/>
  <c r="H49" i="24"/>
  <c r="BU157" i="3"/>
  <c r="H160" i="24"/>
  <c r="K160" i="24" s="1"/>
  <c r="BU188" i="3"/>
  <c r="H191" i="24"/>
  <c r="K191" i="24" s="1"/>
  <c r="BU284" i="3"/>
  <c r="H287" i="24"/>
  <c r="K287" i="24" s="1"/>
  <c r="BU109" i="3"/>
  <c r="H112" i="24"/>
  <c r="K112" i="24" s="1"/>
  <c r="BU58" i="3"/>
  <c r="H61" i="24"/>
  <c r="K61" i="24" s="1"/>
  <c r="BU244" i="3"/>
  <c r="H247" i="24"/>
  <c r="K247" i="24" s="1"/>
  <c r="BU225" i="3"/>
  <c r="H228" i="24"/>
  <c r="BY271" i="3"/>
  <c r="I274" i="24"/>
  <c r="K274" i="24" s="1"/>
  <c r="BY84" i="3"/>
  <c r="I87" i="24"/>
  <c r="K87" i="24" s="1"/>
  <c r="BY99" i="3"/>
  <c r="I102" i="24"/>
  <c r="K102" i="24" s="1"/>
  <c r="BY146" i="3"/>
  <c r="I149" i="24"/>
  <c r="K149" i="24" s="1"/>
  <c r="BY225" i="3"/>
  <c r="I228" i="24"/>
  <c r="BY155" i="3"/>
  <c r="I158" i="24"/>
  <c r="K158" i="24" s="1"/>
  <c r="BU241" i="3"/>
  <c r="H244" i="24"/>
  <c r="K244" i="24" s="1"/>
  <c r="BY148" i="3"/>
  <c r="I151" i="24"/>
  <c r="K151" i="24" s="1"/>
  <c r="BU237" i="3"/>
  <c r="H240" i="24"/>
  <c r="K240" i="24" s="1"/>
  <c r="BY7" i="3"/>
  <c r="I10" i="24"/>
  <c r="K10" i="24" s="1"/>
  <c r="BU36" i="3"/>
  <c r="H39" i="24"/>
  <c r="BU172" i="3"/>
  <c r="H175" i="24"/>
  <c r="K175" i="24" s="1"/>
  <c r="BU185" i="3"/>
  <c r="H188" i="24"/>
  <c r="BU80" i="3"/>
  <c r="H83" i="24"/>
  <c r="K83" i="24" s="1"/>
  <c r="BU187" i="3"/>
  <c r="H190" i="24"/>
  <c r="K190" i="24" s="1"/>
  <c r="BU177" i="3"/>
  <c r="H180" i="24"/>
  <c r="K180" i="24" s="1"/>
  <c r="BU209" i="3"/>
  <c r="H212" i="24"/>
  <c r="K212" i="24" s="1"/>
  <c r="BU153" i="3"/>
  <c r="H156" i="24"/>
  <c r="K156" i="24" s="1"/>
  <c r="BU34" i="3"/>
  <c r="H37" i="24"/>
  <c r="BU83" i="3"/>
  <c r="H86" i="24"/>
  <c r="K86" i="24" s="1"/>
  <c r="BY261" i="3"/>
  <c r="I264" i="24"/>
  <c r="K264" i="24" s="1"/>
  <c r="BY131" i="3"/>
  <c r="I134" i="24"/>
  <c r="K134" i="24" s="1"/>
  <c r="BY289" i="3"/>
  <c r="I292" i="24"/>
  <c r="BU262" i="3"/>
  <c r="H265" i="24"/>
  <c r="K265" i="24" s="1"/>
  <c r="BY279" i="3"/>
  <c r="I282" i="24"/>
  <c r="BU254" i="3"/>
  <c r="H257" i="24"/>
  <c r="K257" i="24" s="1"/>
  <c r="BU265" i="3"/>
  <c r="H268" i="24"/>
  <c r="K268" i="24" s="1"/>
  <c r="BU164" i="3"/>
  <c r="H167" i="24"/>
  <c r="BU29" i="3"/>
  <c r="H32" i="24"/>
  <c r="K32" i="24" s="1"/>
  <c r="BU60" i="3"/>
  <c r="H63" i="24"/>
  <c r="K63" i="24" s="1"/>
  <c r="BU210" i="3"/>
  <c r="H213" i="24"/>
  <c r="K213" i="24" s="1"/>
  <c r="BU227" i="3"/>
  <c r="H230" i="24"/>
  <c r="K230" i="24" s="1"/>
  <c r="BY286" i="3"/>
  <c r="I289" i="24"/>
  <c r="K289" i="24" s="1"/>
  <c r="BU147" i="3"/>
  <c r="H150" i="24"/>
  <c r="K150" i="24" s="1"/>
  <c r="BY68" i="3"/>
  <c r="I71" i="24"/>
  <c r="K71" i="24" s="1"/>
  <c r="BU20" i="3"/>
  <c r="H23" i="24"/>
  <c r="BU91" i="3"/>
  <c r="H94" i="24"/>
  <c r="K94" i="24" s="1"/>
  <c r="BY107" i="3"/>
  <c r="I110" i="24"/>
  <c r="BU43" i="3"/>
  <c r="H46" i="24"/>
  <c r="BY19" i="3"/>
  <c r="I22" i="24"/>
  <c r="K22" i="24" s="1"/>
  <c r="BY115" i="3"/>
  <c r="I118" i="24"/>
  <c r="BY255" i="3"/>
  <c r="I258" i="24"/>
  <c r="K258" i="24" s="1"/>
  <c r="BU136" i="3"/>
  <c r="H139" i="24"/>
  <c r="K139" i="24" s="1"/>
  <c r="BU117" i="3"/>
  <c r="H120" i="24"/>
  <c r="K120" i="24" s="1"/>
  <c r="BU70" i="3"/>
  <c r="H73" i="24"/>
  <c r="K73" i="24" s="1"/>
  <c r="BU108" i="3"/>
  <c r="H111" i="24"/>
  <c r="K111" i="24" s="1"/>
  <c r="BU149" i="3"/>
  <c r="H152" i="24"/>
  <c r="K152" i="24" s="1"/>
  <c r="BU16" i="3"/>
  <c r="H19" i="24"/>
  <c r="K19" i="24" s="1"/>
  <c r="BU215" i="3"/>
  <c r="H218" i="24"/>
  <c r="K218" i="24" s="1"/>
  <c r="BU283" i="3"/>
  <c r="H286" i="24"/>
  <c r="K286" i="24" s="1"/>
  <c r="BU130" i="3"/>
  <c r="H133" i="24"/>
  <c r="K133" i="24" s="1"/>
  <c r="BU35" i="3"/>
  <c r="H38" i="24"/>
  <c r="K38" i="24" s="1"/>
  <c r="BU21" i="3"/>
  <c r="H24" i="24"/>
  <c r="K24" i="24" s="1"/>
  <c r="BU194" i="3"/>
  <c r="H197" i="24"/>
  <c r="K197" i="24" s="1"/>
  <c r="BY204" i="3"/>
  <c r="I207" i="24"/>
  <c r="K207" i="24" s="1"/>
  <c r="BY202" i="3"/>
  <c r="I205" i="24"/>
  <c r="BY170" i="3"/>
  <c r="I173" i="24"/>
  <c r="BY231" i="3"/>
  <c r="I234" i="24"/>
  <c r="BY221" i="3"/>
  <c r="I224" i="24"/>
  <c r="K224" i="24" s="1"/>
  <c r="BU200" i="3"/>
  <c r="H203" i="24"/>
  <c r="K203" i="24" s="1"/>
  <c r="BU199" i="3"/>
  <c r="H202" i="24"/>
  <c r="K202" i="24" s="1"/>
  <c r="BU75" i="3"/>
  <c r="H78" i="24"/>
  <c r="BY196" i="3"/>
  <c r="I199" i="24"/>
  <c r="K199" i="24" s="1"/>
  <c r="BU268" i="3"/>
  <c r="H271" i="24"/>
  <c r="BY264" i="3"/>
  <c r="I267" i="24"/>
  <c r="K267" i="24" s="1"/>
  <c r="BU77" i="3"/>
  <c r="H80" i="24"/>
  <c r="BU127" i="3"/>
  <c r="H130" i="24"/>
  <c r="K130" i="24" s="1"/>
  <c r="BU220" i="3"/>
  <c r="H223" i="24"/>
  <c r="K223" i="24" s="1"/>
  <c r="BY260" i="3"/>
  <c r="I263" i="24"/>
  <c r="K263" i="24" s="1"/>
  <c r="BU41" i="3"/>
  <c r="H44" i="24"/>
  <c r="K44" i="24" s="1"/>
  <c r="BY30" i="3"/>
  <c r="I33" i="24"/>
  <c r="K33" i="24" s="1"/>
  <c r="BY97" i="3"/>
  <c r="I100" i="24"/>
  <c r="K100" i="24" s="1"/>
  <c r="BY104" i="3"/>
  <c r="I107" i="24"/>
  <c r="K107" i="24" s="1"/>
  <c r="BY46" i="3"/>
  <c r="I49" i="24"/>
  <c r="BY248" i="3"/>
  <c r="I251" i="24"/>
  <c r="K251" i="24" s="1"/>
  <c r="BU115" i="3"/>
  <c r="H118" i="24"/>
  <c r="BU73" i="3"/>
  <c r="H76" i="24"/>
  <c r="K76" i="24" s="1"/>
  <c r="BU202" i="3"/>
  <c r="H205" i="24"/>
  <c r="BU121" i="3"/>
  <c r="H124" i="24"/>
  <c r="K124" i="24" s="1"/>
  <c r="BU106" i="3"/>
  <c r="H109" i="24"/>
  <c r="BU144" i="3"/>
  <c r="H147" i="24"/>
  <c r="K147" i="24" s="1"/>
  <c r="BU74" i="3"/>
  <c r="H77" i="24"/>
  <c r="BU181" i="3"/>
  <c r="H184" i="24"/>
  <c r="BU230" i="3"/>
  <c r="H233" i="24"/>
  <c r="BY53" i="3"/>
  <c r="I56" i="24"/>
  <c r="K56" i="24" s="1"/>
  <c r="BY112" i="3"/>
  <c r="I115" i="24"/>
  <c r="BY232" i="3"/>
  <c r="I235" i="24"/>
  <c r="BY168" i="3"/>
  <c r="I171" i="24"/>
  <c r="BY98" i="3"/>
  <c r="I101" i="24"/>
  <c r="BY230" i="3"/>
  <c r="I233" i="24"/>
  <c r="BY182" i="3"/>
  <c r="I185" i="24"/>
  <c r="K185" i="24" s="1"/>
  <c r="BU162" i="3"/>
  <c r="H165" i="24"/>
  <c r="K165" i="24" s="1"/>
  <c r="BY290" i="3"/>
  <c r="I293" i="24"/>
  <c r="BY156" i="3"/>
  <c r="I159" i="24"/>
  <c r="K159" i="24" s="1"/>
  <c r="BY100" i="3"/>
  <c r="I103" i="24"/>
  <c r="K103" i="24" s="1"/>
  <c r="BY216" i="3"/>
  <c r="I219" i="24"/>
  <c r="K219" i="24" s="1"/>
  <c r="BU111" i="3"/>
  <c r="H114" i="24"/>
  <c r="K114" i="24" s="1"/>
  <c r="BY280" i="3"/>
  <c r="I283" i="24"/>
  <c r="K283" i="24" s="1"/>
  <c r="BU154" i="3"/>
  <c r="H157" i="24"/>
  <c r="K157" i="24" s="1"/>
  <c r="BU95" i="3"/>
  <c r="H98" i="24"/>
  <c r="K98" i="24" s="1"/>
  <c r="BU114" i="3"/>
  <c r="H117" i="24"/>
  <c r="K117" i="24" s="1"/>
  <c r="BU128" i="3"/>
  <c r="H131" i="24"/>
  <c r="K131" i="24" s="1"/>
  <c r="BY124" i="3"/>
  <c r="I127" i="24"/>
  <c r="K127" i="24" s="1"/>
  <c r="BU201" i="3"/>
  <c r="H204" i="24"/>
  <c r="K204" i="24" s="1"/>
  <c r="BU267" i="3"/>
  <c r="H270" i="24"/>
  <c r="K270" i="24" s="1"/>
  <c r="BU18" i="3"/>
  <c r="H21" i="24"/>
  <c r="K21" i="24" s="1"/>
  <c r="BY253" i="3"/>
  <c r="I256" i="24"/>
  <c r="BY214" i="3"/>
  <c r="I217" i="24"/>
  <c r="K217" i="24" s="1"/>
  <c r="BY129" i="3"/>
  <c r="I132" i="24"/>
  <c r="K132" i="24" s="1"/>
  <c r="BY116" i="3"/>
  <c r="I119" i="24"/>
  <c r="K119" i="24" s="1"/>
  <c r="BU228" i="3"/>
  <c r="H231" i="24"/>
  <c r="K231" i="24" s="1"/>
  <c r="BU135" i="3"/>
  <c r="H138" i="24"/>
  <c r="K138" i="24" s="1"/>
  <c r="BU198" i="3"/>
  <c r="H201" i="24"/>
  <c r="K201" i="24" s="1"/>
  <c r="BU276" i="3"/>
  <c r="H279" i="24"/>
  <c r="BU42" i="3"/>
  <c r="H45" i="24"/>
  <c r="BU232" i="3"/>
  <c r="H235" i="24"/>
  <c r="BU213" i="3"/>
  <c r="H216" i="24"/>
  <c r="K216" i="24" s="1"/>
  <c r="BU151" i="3"/>
  <c r="H154" i="24"/>
  <c r="K154" i="24" s="1"/>
  <c r="BU236" i="3"/>
  <c r="H239" i="24"/>
  <c r="BU25" i="3"/>
  <c r="H28" i="24"/>
  <c r="BU289" i="3"/>
  <c r="H292" i="24"/>
  <c r="BU266" i="3"/>
  <c r="H269" i="24"/>
  <c r="K269" i="24" s="1"/>
  <c r="BU102" i="3"/>
  <c r="H105" i="24"/>
  <c r="K105" i="24" s="1"/>
  <c r="BU170" i="3"/>
  <c r="H173" i="24"/>
  <c r="BU31" i="3"/>
  <c r="H34" i="24"/>
  <c r="K34" i="24" s="1"/>
  <c r="BU272" i="3"/>
  <c r="H275" i="24"/>
  <c r="K275" i="24" s="1"/>
  <c r="BU138" i="3"/>
  <c r="H141" i="24"/>
  <c r="K141" i="24" s="1"/>
  <c r="BU258" i="3"/>
  <c r="H261" i="24"/>
  <c r="BU168" i="3"/>
  <c r="H171" i="24"/>
  <c r="BY217" i="3"/>
  <c r="I220" i="24"/>
  <c r="BY243" i="3"/>
  <c r="I246" i="24"/>
  <c r="K246" i="24" s="1"/>
  <c r="BY240" i="3"/>
  <c r="I243" i="24"/>
  <c r="K243" i="24" s="1"/>
  <c r="BY40" i="3"/>
  <c r="I43" i="24"/>
  <c r="K43" i="24" s="1"/>
  <c r="BU22" i="3"/>
  <c r="H25" i="24"/>
  <c r="K25" i="24" s="1"/>
  <c r="BU142" i="3"/>
  <c r="H145" i="24"/>
  <c r="BY142" i="3"/>
  <c r="I145" i="24"/>
  <c r="BY13" i="3"/>
  <c r="I16" i="24"/>
  <c r="K16" i="24" s="1"/>
  <c r="BU290" i="3"/>
  <c r="H293" i="24"/>
  <c r="BU82" i="3"/>
  <c r="H85" i="24"/>
  <c r="K85" i="24" s="1"/>
  <c r="BU125" i="3"/>
  <c r="H128" i="24"/>
  <c r="K128" i="24" s="1"/>
  <c r="BY238" i="3"/>
  <c r="I241" i="24"/>
  <c r="BY252" i="3"/>
  <c r="I255" i="24"/>
  <c r="K255" i="24" s="1"/>
  <c r="BU278" i="3"/>
  <c r="H281" i="24"/>
  <c r="K281" i="24" s="1"/>
  <c r="BU247" i="3"/>
  <c r="H250" i="24"/>
  <c r="K250" i="24" s="1"/>
  <c r="BY195" i="3"/>
  <c r="I198" i="24"/>
  <c r="K198" i="24" s="1"/>
  <c r="BY118" i="3"/>
  <c r="I121" i="24"/>
  <c r="K121" i="24" s="1"/>
  <c r="BY45" i="3"/>
  <c r="I48" i="24"/>
  <c r="K48" i="24" s="1"/>
  <c r="BY197" i="3"/>
  <c r="I200" i="24"/>
  <c r="K200" i="24" s="1"/>
  <c r="BY71" i="3"/>
  <c r="I74" i="24"/>
  <c r="BY9" i="3"/>
  <c r="I12" i="24"/>
  <c r="K12" i="24" s="1"/>
  <c r="BY268" i="3"/>
  <c r="I271" i="24"/>
  <c r="BY43" i="3"/>
  <c r="I46" i="24"/>
  <c r="BU226" i="3"/>
  <c r="H229" i="24"/>
  <c r="K229" i="24" s="1"/>
  <c r="BU249" i="3"/>
  <c r="H252" i="24"/>
  <c r="K252" i="24" s="1"/>
  <c r="BU67" i="3"/>
  <c r="H70" i="24"/>
  <c r="BU279" i="3"/>
  <c r="H282" i="24"/>
  <c r="BU234" i="3"/>
  <c r="H237" i="24"/>
  <c r="K237" i="24" s="1"/>
  <c r="BU38" i="3"/>
  <c r="H41" i="24"/>
  <c r="K41" i="24" s="1"/>
  <c r="BY79" i="3"/>
  <c r="I82" i="24"/>
  <c r="BY208" i="3"/>
  <c r="I211" i="24"/>
  <c r="BY166" i="3"/>
  <c r="I169" i="24"/>
  <c r="K169" i="24" s="1"/>
  <c r="BY34" i="3"/>
  <c r="I37" i="24"/>
  <c r="BY81" i="3"/>
  <c r="I84" i="24"/>
  <c r="BU285" i="3"/>
  <c r="H288" i="24"/>
  <c r="K288" i="24" s="1"/>
  <c r="BU87" i="3"/>
  <c r="H90" i="24"/>
  <c r="BU61" i="3"/>
  <c r="H64" i="24"/>
  <c r="K64" i="24" s="1"/>
  <c r="BU206" i="3"/>
  <c r="H209" i="24"/>
  <c r="K209" i="24" s="1"/>
  <c r="BU229" i="3"/>
  <c r="H232" i="24"/>
  <c r="BY178" i="3"/>
  <c r="I181" i="24"/>
  <c r="BU282" i="3"/>
  <c r="H285" i="24"/>
  <c r="K285" i="24" s="1"/>
  <c r="BU184" i="3"/>
  <c r="H187" i="24"/>
  <c r="K187" i="24" s="1"/>
  <c r="BU253" i="3"/>
  <c r="H256" i="24"/>
  <c r="BU122" i="3"/>
  <c r="H125" i="24"/>
  <c r="K125" i="24" s="1"/>
  <c r="BY193" i="3"/>
  <c r="I196" i="24"/>
  <c r="K196" i="24" s="1"/>
  <c r="BU103" i="3"/>
  <c r="H106" i="24"/>
  <c r="K106" i="24" s="1"/>
  <c r="BU141" i="3"/>
  <c r="H144" i="24"/>
  <c r="K144" i="24" s="1"/>
  <c r="BU256" i="3"/>
  <c r="H259" i="24"/>
  <c r="K259" i="24" s="1"/>
  <c r="BY165" i="3"/>
  <c r="I168" i="24"/>
  <c r="K168" i="24" s="1"/>
  <c r="BY33" i="3"/>
  <c r="I36" i="24"/>
  <c r="K36" i="24" s="1"/>
  <c r="BY77" i="3"/>
  <c r="I80" i="24"/>
  <c r="BY20" i="3"/>
  <c r="I23" i="24"/>
  <c r="BU8" i="3"/>
  <c r="H11" i="24"/>
  <c r="K11" i="24" s="1"/>
  <c r="BU224" i="3"/>
  <c r="H227" i="24"/>
  <c r="K227" i="24" s="1"/>
  <c r="BU28" i="3"/>
  <c r="H31" i="24"/>
  <c r="K31" i="24" s="1"/>
  <c r="BU55" i="3"/>
  <c r="H58" i="24"/>
  <c r="K58" i="24" s="1"/>
  <c r="BU51" i="3"/>
  <c r="H54" i="24"/>
  <c r="K54" i="24" s="1"/>
  <c r="BU112" i="3"/>
  <c r="H115" i="24"/>
  <c r="BU49" i="3"/>
  <c r="H52" i="24"/>
  <c r="K52" i="24" s="1"/>
  <c r="BU89" i="3"/>
  <c r="H92" i="24"/>
  <c r="K92" i="24" s="1"/>
  <c r="BU140" i="3"/>
  <c r="H143" i="24"/>
  <c r="K143" i="24" s="1"/>
  <c r="BU12" i="3"/>
  <c r="H15" i="24"/>
  <c r="K15" i="24" s="1"/>
  <c r="BU98" i="3"/>
  <c r="H101" i="24"/>
  <c r="BU176" i="3"/>
  <c r="H179" i="24"/>
  <c r="K179" i="24" s="1"/>
  <c r="BU6" i="3"/>
  <c r="H9" i="24"/>
  <c r="K9" i="24" s="1"/>
  <c r="BU245" i="3"/>
  <c r="H248" i="24"/>
  <c r="K248" i="24" s="1"/>
  <c r="BU159" i="3"/>
  <c r="H162" i="24"/>
  <c r="K162" i="24" s="1"/>
  <c r="BY236" i="3"/>
  <c r="I239" i="24"/>
  <c r="BY67" i="3"/>
  <c r="I70" i="24"/>
  <c r="BY276" i="3"/>
  <c r="I279" i="24"/>
  <c r="BY258" i="3"/>
  <c r="I261" i="24"/>
  <c r="BY42" i="3"/>
  <c r="I45" i="24"/>
  <c r="BY75" i="3"/>
  <c r="I78" i="24"/>
  <c r="BU81" i="3"/>
  <c r="H84" i="24"/>
  <c r="BU107" i="3"/>
  <c r="H110" i="24"/>
  <c r="BY37" i="3"/>
  <c r="I40" i="24"/>
  <c r="K40" i="24" s="1"/>
  <c r="BU14" i="3"/>
  <c r="H17" i="24"/>
  <c r="K17" i="24" s="1"/>
  <c r="BU205" i="3"/>
  <c r="H208" i="24"/>
  <c r="K208" i="24" s="1"/>
  <c r="BY179" i="3"/>
  <c r="I182" i="24"/>
  <c r="K182" i="24" s="1"/>
  <c r="BU169" i="3"/>
  <c r="H172" i="24"/>
  <c r="K172" i="24" s="1"/>
  <c r="BU56" i="3"/>
  <c r="H59" i="24"/>
  <c r="K59" i="24" s="1"/>
  <c r="BU212" i="3"/>
  <c r="H215" i="24"/>
  <c r="K215" i="24" s="1"/>
  <c r="BY269" i="3"/>
  <c r="I272" i="24"/>
  <c r="K272" i="24" s="1"/>
  <c r="BU152" i="3"/>
  <c r="H155" i="24"/>
  <c r="K155" i="24" s="1"/>
  <c r="BY263" i="3"/>
  <c r="I266" i="24"/>
  <c r="K266" i="24" s="1"/>
  <c r="BU242" i="3"/>
  <c r="H245" i="24"/>
  <c r="BY180" i="3"/>
  <c r="I183" i="24"/>
  <c r="K183" i="24" s="1"/>
  <c r="BY288" i="3"/>
  <c r="I291" i="24"/>
  <c r="K291" i="24" s="1"/>
  <c r="BY242" i="3"/>
  <c r="I245" i="24"/>
  <c r="BU207" i="3"/>
  <c r="H210" i="24"/>
  <c r="K210" i="24" s="1"/>
  <c r="BY87" i="3"/>
  <c r="I90" i="24"/>
  <c r="BU250" i="3"/>
  <c r="H253" i="24"/>
  <c r="K253" i="24" s="1"/>
  <c r="BU123" i="3"/>
  <c r="H126" i="24"/>
  <c r="K126" i="24" s="1"/>
  <c r="BY54" i="3"/>
  <c r="I57" i="24"/>
  <c r="K57" i="24" s="1"/>
  <c r="BY5" i="3"/>
  <c r="I8" i="24"/>
  <c r="BU5" i="3"/>
  <c r="H8" i="24"/>
  <c r="BQ4" i="3"/>
  <c r="G39" i="24"/>
  <c r="G209" i="23"/>
  <c r="H209" i="23" s="1"/>
  <c r="CU209" i="3" s="1"/>
  <c r="G79" i="23"/>
  <c r="H79" i="23" s="1"/>
  <c r="CU79" i="3" s="1"/>
  <c r="G257" i="23"/>
  <c r="H257" i="23" s="1"/>
  <c r="CU257" i="3" s="1"/>
  <c r="G21" i="23"/>
  <c r="H21" i="23" s="1"/>
  <c r="CU21" i="3" s="1"/>
  <c r="G148" i="23"/>
  <c r="H148" i="23" s="1"/>
  <c r="CU148" i="3" s="1"/>
  <c r="G27" i="23"/>
  <c r="H27" i="23" s="1"/>
  <c r="CU27" i="3" s="1"/>
  <c r="G17" i="23"/>
  <c r="H17" i="23" s="1"/>
  <c r="CU17" i="3" s="1"/>
  <c r="G234" i="23"/>
  <c r="H234" i="23" s="1"/>
  <c r="CU234" i="3" s="1"/>
  <c r="G25" i="23"/>
  <c r="H25" i="23" s="1"/>
  <c r="CU25" i="3" s="1"/>
  <c r="G213" i="23"/>
  <c r="H213" i="23" s="1"/>
  <c r="CU213" i="3" s="1"/>
  <c r="G109" i="23"/>
  <c r="H109" i="23" s="1"/>
  <c r="CU109" i="3" s="1"/>
  <c r="G162" i="23"/>
  <c r="H162" i="23" s="1"/>
  <c r="CU162" i="3" s="1"/>
  <c r="G89" i="23"/>
  <c r="H89" i="23" s="1"/>
  <c r="CU89" i="3" s="1"/>
  <c r="G64" i="23"/>
  <c r="H64" i="23" s="1"/>
  <c r="CU64" i="3" s="1"/>
  <c r="G182" i="23"/>
  <c r="H182" i="23" s="1"/>
  <c r="CU182" i="3" s="1"/>
  <c r="G191" i="23"/>
  <c r="H191" i="23" s="1"/>
  <c r="CU191" i="3" s="1"/>
  <c r="G222" i="23"/>
  <c r="H222" i="23" s="1"/>
  <c r="CU222" i="3" s="1"/>
  <c r="G275" i="23"/>
  <c r="H275" i="23" s="1"/>
  <c r="CU275" i="3" s="1"/>
  <c r="G125" i="23"/>
  <c r="H125" i="23" s="1"/>
  <c r="CU125" i="3" s="1"/>
  <c r="G112" i="23"/>
  <c r="H112" i="23" s="1"/>
  <c r="CU112" i="3" s="1"/>
  <c r="BX36" i="3"/>
  <c r="BY159" i="3"/>
  <c r="BY80" i="3"/>
  <c r="BU131" i="3"/>
  <c r="BU166" i="3"/>
  <c r="BU240" i="3"/>
  <c r="BU53" i="3"/>
  <c r="BU261" i="3"/>
  <c r="BU40" i="3"/>
  <c r="BU243" i="3"/>
  <c r="BT57" i="3"/>
  <c r="AI179" i="3"/>
  <c r="R178" i="21"/>
  <c r="AI177" i="3"/>
  <c r="R176" i="21"/>
  <c r="AI99" i="3"/>
  <c r="R98" i="21"/>
  <c r="AI255" i="3"/>
  <c r="R254" i="21"/>
  <c r="AI277" i="3"/>
  <c r="R276" i="21"/>
  <c r="AI226" i="3"/>
  <c r="R225" i="21"/>
  <c r="AI151" i="3"/>
  <c r="R150" i="21"/>
  <c r="AI132" i="3"/>
  <c r="R131" i="21"/>
  <c r="AI13" i="3"/>
  <c r="R12" i="21"/>
  <c r="AI237" i="3"/>
  <c r="R236" i="21"/>
  <c r="AI176" i="3"/>
  <c r="R175" i="21"/>
  <c r="AI251" i="3"/>
  <c r="R250" i="21"/>
  <c r="AI149" i="3"/>
  <c r="R148" i="21"/>
  <c r="AI260" i="3"/>
  <c r="R259" i="21"/>
  <c r="AI183" i="3"/>
  <c r="R182" i="21"/>
  <c r="AI63" i="3"/>
  <c r="R62" i="21"/>
  <c r="AI119" i="3"/>
  <c r="R118" i="21"/>
  <c r="AI252" i="3"/>
  <c r="R251" i="21"/>
  <c r="AI205" i="3"/>
  <c r="R204" i="21"/>
  <c r="AI57" i="3"/>
  <c r="R56" i="21"/>
  <c r="AI55" i="3"/>
  <c r="R54" i="21"/>
  <c r="AI85" i="3"/>
  <c r="R84" i="21"/>
  <c r="AI88" i="3"/>
  <c r="R87" i="21"/>
  <c r="AI136" i="3"/>
  <c r="R135" i="21"/>
  <c r="AI11" i="3"/>
  <c r="R10" i="21"/>
  <c r="AI164" i="3"/>
  <c r="R163" i="21"/>
  <c r="AI144" i="3"/>
  <c r="R143" i="21"/>
  <c r="AI75" i="3"/>
  <c r="R74" i="21"/>
  <c r="AI70" i="3"/>
  <c r="R69" i="21"/>
  <c r="AI135" i="3"/>
  <c r="R134" i="21"/>
  <c r="AI37" i="3"/>
  <c r="R36" i="21"/>
  <c r="AI214" i="3"/>
  <c r="R213" i="21"/>
  <c r="AI140" i="3"/>
  <c r="R139" i="21"/>
  <c r="AI32" i="3"/>
  <c r="R31" i="21"/>
  <c r="AI283" i="3"/>
  <c r="R282" i="21"/>
  <c r="AI103" i="3"/>
  <c r="R102" i="21"/>
  <c r="AI288" i="3"/>
  <c r="R287" i="21"/>
  <c r="AI240" i="3"/>
  <c r="R239" i="21"/>
  <c r="AI106" i="3"/>
  <c r="R105" i="21"/>
  <c r="AI244" i="3"/>
  <c r="R243" i="21"/>
  <c r="AI33" i="3"/>
  <c r="R32" i="21"/>
  <c r="AI87" i="3"/>
  <c r="R86" i="21"/>
  <c r="AI39" i="3"/>
  <c r="R38" i="21"/>
  <c r="AI60" i="3"/>
  <c r="R59" i="21"/>
  <c r="AI6" i="3"/>
  <c r="R5" i="21"/>
  <c r="AI221" i="3"/>
  <c r="R220" i="21"/>
  <c r="AI246" i="3"/>
  <c r="R245" i="21"/>
  <c r="AI42" i="3"/>
  <c r="R41" i="21"/>
  <c r="AI81" i="3"/>
  <c r="R80" i="21"/>
  <c r="AI53" i="3"/>
  <c r="R52" i="21"/>
  <c r="AI129" i="3"/>
  <c r="R128" i="21"/>
  <c r="AI158" i="3"/>
  <c r="R157" i="21"/>
  <c r="AI154" i="3"/>
  <c r="R153" i="21"/>
  <c r="AI175" i="3"/>
  <c r="R174" i="21"/>
  <c r="AI204" i="3"/>
  <c r="R203" i="21"/>
  <c r="AI41" i="3"/>
  <c r="R40" i="21"/>
  <c r="AI146" i="3"/>
  <c r="R145" i="21"/>
  <c r="AI218" i="3"/>
  <c r="R217" i="21"/>
  <c r="AI117" i="3"/>
  <c r="R116" i="21"/>
  <c r="AI127" i="3"/>
  <c r="R126" i="21"/>
  <c r="AI190" i="3"/>
  <c r="R189" i="21"/>
  <c r="AI141" i="3"/>
  <c r="R140" i="21"/>
  <c r="AI23" i="3"/>
  <c r="R22" i="21"/>
  <c r="AI62" i="3"/>
  <c r="R61" i="21"/>
  <c r="AI185" i="3"/>
  <c r="R184" i="21"/>
  <c r="AI264" i="3"/>
  <c r="R263" i="21"/>
  <c r="AI259" i="3"/>
  <c r="R258" i="21"/>
  <c r="AI206" i="3"/>
  <c r="R205" i="21"/>
  <c r="AI9" i="3"/>
  <c r="R8" i="21"/>
  <c r="AI84" i="3"/>
  <c r="R83" i="21"/>
  <c r="AI212" i="3"/>
  <c r="R211" i="21"/>
  <c r="AI92" i="3"/>
  <c r="R91" i="21"/>
  <c r="AI230" i="3"/>
  <c r="R229" i="21"/>
  <c r="AI96" i="3"/>
  <c r="R95" i="21"/>
  <c r="AI272" i="3"/>
  <c r="R271" i="21"/>
  <c r="AI207" i="3"/>
  <c r="R206" i="21"/>
  <c r="AI82" i="3"/>
  <c r="R81" i="21"/>
  <c r="AI130" i="3"/>
  <c r="R129" i="21"/>
  <c r="AI67" i="3"/>
  <c r="R66" i="21"/>
  <c r="AI31" i="3"/>
  <c r="R30" i="21"/>
  <c r="AI215" i="3"/>
  <c r="R214" i="21"/>
  <c r="AI24" i="3"/>
  <c r="R23" i="21"/>
  <c r="AI224" i="3"/>
  <c r="R223" i="21"/>
  <c r="AI184" i="3"/>
  <c r="R183" i="21"/>
  <c r="AI167" i="3"/>
  <c r="R166" i="21"/>
  <c r="AI227" i="3"/>
  <c r="R226" i="21"/>
  <c r="AI66" i="3"/>
  <c r="R65" i="21"/>
  <c r="AI153" i="3"/>
  <c r="R152" i="21"/>
  <c r="AI114" i="3"/>
  <c r="R113" i="21"/>
  <c r="AI108" i="3"/>
  <c r="R107" i="21"/>
  <c r="AI76" i="3"/>
  <c r="R75" i="21"/>
  <c r="AI181" i="3"/>
  <c r="R180" i="21"/>
  <c r="AI95" i="3"/>
  <c r="R94" i="21"/>
  <c r="AI98" i="3"/>
  <c r="R97" i="21"/>
  <c r="AI147" i="3"/>
  <c r="R146" i="21"/>
  <c r="AI8" i="3"/>
  <c r="R7" i="21"/>
  <c r="AI40" i="3"/>
  <c r="R39" i="21"/>
  <c r="AI18" i="3"/>
  <c r="R17" i="21"/>
  <c r="AI116" i="3"/>
  <c r="R115" i="21"/>
  <c r="AI156" i="3"/>
  <c r="R155" i="21"/>
  <c r="AI34" i="3"/>
  <c r="R33" i="21"/>
  <c r="AI286" i="3"/>
  <c r="R285" i="21"/>
  <c r="AI228" i="3"/>
  <c r="R227" i="21"/>
  <c r="AI160" i="3"/>
  <c r="R159" i="21"/>
  <c r="AI12" i="3"/>
  <c r="R11" i="21"/>
  <c r="AI273" i="3"/>
  <c r="R272" i="21"/>
  <c r="AI10" i="3"/>
  <c r="R9" i="21"/>
  <c r="AI173" i="3"/>
  <c r="R172" i="21"/>
  <c r="AI69" i="3"/>
  <c r="R68" i="21"/>
  <c r="AI171" i="3"/>
  <c r="R170" i="21"/>
  <c r="AI68" i="3"/>
  <c r="R67" i="21"/>
  <c r="AI166" i="3"/>
  <c r="R165" i="21"/>
  <c r="AI211" i="3"/>
  <c r="R210" i="21"/>
  <c r="AI36" i="3"/>
  <c r="R35" i="21"/>
  <c r="AI105" i="3"/>
  <c r="R104" i="21"/>
  <c r="AI19" i="3"/>
  <c r="R18" i="21"/>
  <c r="AI172" i="3"/>
  <c r="R171" i="21"/>
  <c r="AI287" i="3"/>
  <c r="R286" i="21"/>
  <c r="AI165" i="3"/>
  <c r="R164" i="21"/>
  <c r="AI143" i="3"/>
  <c r="R142" i="21"/>
  <c r="AI289" i="3"/>
  <c r="R288" i="21"/>
  <c r="AI138" i="3"/>
  <c r="R137" i="21"/>
  <c r="AI267" i="3"/>
  <c r="R266" i="21"/>
  <c r="AI26" i="3"/>
  <c r="R25" i="21"/>
  <c r="AI193" i="3"/>
  <c r="R192" i="21"/>
  <c r="AI51" i="3"/>
  <c r="R50" i="21"/>
  <c r="AI198" i="3"/>
  <c r="R197" i="21"/>
  <c r="AI104" i="3"/>
  <c r="R103" i="21"/>
  <c r="AI50" i="3"/>
  <c r="R49" i="21"/>
  <c r="AI90" i="3"/>
  <c r="R89" i="21"/>
  <c r="AI133" i="3"/>
  <c r="R132" i="21"/>
  <c r="AI93" i="3"/>
  <c r="R92" i="21"/>
  <c r="AI113" i="3"/>
  <c r="R112" i="21"/>
  <c r="AI159" i="3"/>
  <c r="AI263" i="3"/>
  <c r="AI269" i="3"/>
  <c r="AI115" i="3"/>
  <c r="AI122" i="3"/>
  <c r="AI186" i="3"/>
  <c r="AI152" i="3"/>
  <c r="AI28" i="3"/>
  <c r="AI15" i="3"/>
  <c r="AI74" i="3"/>
  <c r="AI203" i="3"/>
  <c r="AI276" i="3"/>
  <c r="AI241" i="3"/>
  <c r="AI56" i="3"/>
  <c r="AI232" i="3"/>
  <c r="AI83" i="3"/>
  <c r="AI219" i="3"/>
  <c r="AI189" i="3"/>
  <c r="AI111" i="3"/>
  <c r="AI45" i="3"/>
  <c r="AI266" i="3"/>
  <c r="AI249" i="3"/>
  <c r="AI44" i="3"/>
  <c r="AI197" i="3"/>
  <c r="AI250" i="3"/>
  <c r="AI38" i="3"/>
  <c r="AI223" i="3"/>
  <c r="AI270" i="3"/>
  <c r="AI194" i="3"/>
  <c r="AI107" i="3"/>
  <c r="AI145" i="3"/>
  <c r="AI91" i="3"/>
  <c r="AI120" i="3"/>
  <c r="AI94" i="3"/>
  <c r="AI169" i="3"/>
  <c r="AI245" i="3"/>
  <c r="AI235" i="3"/>
  <c r="AI247" i="3"/>
  <c r="AI268" i="3"/>
  <c r="AI14" i="3"/>
  <c r="AI233" i="3"/>
  <c r="AI265" i="3"/>
  <c r="AI131" i="3"/>
  <c r="AI118" i="3"/>
  <c r="AI236" i="3"/>
  <c r="AI170" i="3"/>
  <c r="AI278" i="3"/>
  <c r="AI217" i="3"/>
  <c r="AI168" i="3"/>
  <c r="AI134" i="3"/>
  <c r="AI22" i="3"/>
  <c r="AI100" i="3"/>
  <c r="AI178" i="3"/>
  <c r="AI258" i="3"/>
  <c r="AI254" i="3"/>
  <c r="AI157" i="3"/>
  <c r="AI155" i="3"/>
  <c r="AI201" i="3"/>
  <c r="AI231" i="3"/>
  <c r="AI54" i="3"/>
  <c r="AI285" i="3"/>
  <c r="AI61" i="3"/>
  <c r="AI49" i="3"/>
  <c r="AI29" i="3"/>
  <c r="AI202" i="3"/>
  <c r="AI271" i="3"/>
  <c r="AI261" i="3"/>
  <c r="AI121" i="3"/>
  <c r="AI216" i="3"/>
  <c r="AI195" i="3"/>
  <c r="AI48" i="3"/>
  <c r="AI196" i="3"/>
  <c r="AI16" i="3"/>
  <c r="AI243" i="3"/>
  <c r="AI188" i="3"/>
  <c r="AI58" i="3"/>
  <c r="AI239" i="3"/>
  <c r="AI248" i="3"/>
  <c r="AI124" i="3"/>
  <c r="AI174" i="3"/>
  <c r="AI126" i="3"/>
  <c r="AI192" i="3"/>
  <c r="AI101" i="3"/>
  <c r="AI123" i="3"/>
  <c r="AI59" i="3"/>
  <c r="AI139" i="3"/>
  <c r="AI86" i="3"/>
  <c r="AI187" i="3"/>
  <c r="AI274" i="3"/>
  <c r="AI30" i="3"/>
  <c r="AI80" i="3"/>
  <c r="AI137" i="3"/>
  <c r="AI102" i="3"/>
  <c r="AI7" i="3"/>
  <c r="AI280" i="3"/>
  <c r="AI208" i="3"/>
  <c r="AI238" i="3"/>
  <c r="CH20" i="3"/>
  <c r="CG4" i="3"/>
  <c r="G12" i="18"/>
  <c r="BG12" i="3" s="1"/>
  <c r="BI12" i="3" s="1"/>
  <c r="AY73" i="3" l="1"/>
  <c r="AY49" i="3"/>
  <c r="AY54" i="3"/>
  <c r="K77" i="24"/>
  <c r="L77" i="24" s="1"/>
  <c r="N77" i="24" s="1"/>
  <c r="V74" i="3" s="1"/>
  <c r="AR74" i="3" s="1"/>
  <c r="L276" i="24"/>
  <c r="N276" i="24" s="1"/>
  <c r="V273" i="3" s="1"/>
  <c r="AR273" i="3" s="1"/>
  <c r="L193" i="24"/>
  <c r="N193" i="24" s="1"/>
  <c r="V190" i="3" s="1"/>
  <c r="AR190" i="3" s="1"/>
  <c r="L123" i="24"/>
  <c r="N123" i="24" s="1"/>
  <c r="V120" i="3" s="1"/>
  <c r="AR120" i="3" s="1"/>
  <c r="L57" i="24"/>
  <c r="N57" i="24" s="1"/>
  <c r="V54" i="3" s="1"/>
  <c r="AR54" i="3" s="1"/>
  <c r="L210" i="24"/>
  <c r="N210" i="24" s="1"/>
  <c r="V207" i="3" s="1"/>
  <c r="AR207" i="3" s="1"/>
  <c r="L215" i="24"/>
  <c r="N215" i="24" s="1"/>
  <c r="V212" i="3" s="1"/>
  <c r="AR212" i="3" s="1"/>
  <c r="L208" i="24"/>
  <c r="N208" i="24" s="1"/>
  <c r="V205" i="3" s="1"/>
  <c r="AR205" i="3" s="1"/>
  <c r="L248" i="24"/>
  <c r="N248" i="24" s="1"/>
  <c r="V245" i="3" s="1"/>
  <c r="AR245" i="3" s="1"/>
  <c r="L15" i="24"/>
  <c r="N15" i="24" s="1"/>
  <c r="V12" i="3" s="1"/>
  <c r="AR12" i="3" s="1"/>
  <c r="L227" i="24"/>
  <c r="N227" i="24" s="1"/>
  <c r="V224" i="3" s="1"/>
  <c r="AR224" i="3" s="1"/>
  <c r="L36" i="24"/>
  <c r="N36" i="24" s="1"/>
  <c r="V33" i="3" s="1"/>
  <c r="AR33" i="3" s="1"/>
  <c r="L106" i="24"/>
  <c r="N106" i="24" s="1"/>
  <c r="V103" i="3" s="1"/>
  <c r="AR103" i="3" s="1"/>
  <c r="L187" i="24"/>
  <c r="N187" i="24" s="1"/>
  <c r="V184" i="3" s="1"/>
  <c r="AR184" i="3" s="1"/>
  <c r="L209" i="24"/>
  <c r="N209" i="24" s="1"/>
  <c r="V206" i="3" s="1"/>
  <c r="AR206" i="3" s="1"/>
  <c r="L48" i="24"/>
  <c r="N48" i="24" s="1"/>
  <c r="V45" i="3" s="1"/>
  <c r="AR45" i="3" s="1"/>
  <c r="L281" i="24"/>
  <c r="N281" i="24" s="1"/>
  <c r="V278" i="3" s="1"/>
  <c r="AR278" i="3" s="1"/>
  <c r="L85" i="24"/>
  <c r="N85" i="24" s="1"/>
  <c r="V82" i="3" s="1"/>
  <c r="AR82" i="3" s="1"/>
  <c r="L246" i="24"/>
  <c r="N246" i="24" s="1"/>
  <c r="V243" i="3" s="1"/>
  <c r="L141" i="24"/>
  <c r="N141" i="24" s="1"/>
  <c r="V138" i="3" s="1"/>
  <c r="AR138" i="3" s="1"/>
  <c r="L105" i="24"/>
  <c r="N105" i="24" s="1"/>
  <c r="V102" i="3" s="1"/>
  <c r="AR102" i="3" s="1"/>
  <c r="L231" i="24"/>
  <c r="N231" i="24" s="1"/>
  <c r="V228" i="3" s="1"/>
  <c r="AR228" i="3" s="1"/>
  <c r="L127" i="24"/>
  <c r="N127" i="24" s="1"/>
  <c r="V124" i="3" s="1"/>
  <c r="AR124" i="3" s="1"/>
  <c r="L157" i="24"/>
  <c r="N157" i="24" s="1"/>
  <c r="V154" i="3" s="1"/>
  <c r="AR154" i="3" s="1"/>
  <c r="L103" i="24"/>
  <c r="N103" i="24" s="1"/>
  <c r="V100" i="3" s="1"/>
  <c r="AR100" i="3" s="1"/>
  <c r="L185" i="24"/>
  <c r="N185" i="24" s="1"/>
  <c r="V182" i="3" s="1"/>
  <c r="AR182" i="3" s="1"/>
  <c r="CM182" i="3" s="1"/>
  <c r="CN182" i="3" s="1"/>
  <c r="AN182" i="3" s="1"/>
  <c r="L124" i="24"/>
  <c r="N124" i="24" s="1"/>
  <c r="V121" i="3" s="1"/>
  <c r="AR121" i="3" s="1"/>
  <c r="L251" i="24"/>
  <c r="N251" i="24" s="1"/>
  <c r="V248" i="3" s="1"/>
  <c r="AR248" i="3" s="1"/>
  <c r="L33" i="24"/>
  <c r="N33" i="24" s="1"/>
  <c r="V30" i="3" s="1"/>
  <c r="AR30" i="3" s="1"/>
  <c r="L130" i="24"/>
  <c r="N130" i="24" s="1"/>
  <c r="V127" i="3" s="1"/>
  <c r="AR127" i="3" s="1"/>
  <c r="L199" i="24"/>
  <c r="N199" i="24" s="1"/>
  <c r="V196" i="3" s="1"/>
  <c r="AR196" i="3" s="1"/>
  <c r="L224" i="24"/>
  <c r="N224" i="24" s="1"/>
  <c r="V221" i="3" s="1"/>
  <c r="AR221" i="3" s="1"/>
  <c r="L207" i="24"/>
  <c r="N207" i="24" s="1"/>
  <c r="V204" i="3" s="1"/>
  <c r="AR204" i="3" s="1"/>
  <c r="L133" i="24"/>
  <c r="N133" i="24" s="1"/>
  <c r="V130" i="3" s="1"/>
  <c r="AR130" i="3" s="1"/>
  <c r="L152" i="24"/>
  <c r="N152" i="24" s="1"/>
  <c r="V149" i="3" s="1"/>
  <c r="AR149" i="3" s="1"/>
  <c r="L139" i="24"/>
  <c r="N139" i="24" s="1"/>
  <c r="V136" i="3" s="1"/>
  <c r="AR136" i="3" s="1"/>
  <c r="L71" i="24"/>
  <c r="N71" i="24" s="1"/>
  <c r="V68" i="3" s="1"/>
  <c r="AR68" i="3" s="1"/>
  <c r="L213" i="24"/>
  <c r="N213" i="24" s="1"/>
  <c r="V210" i="3" s="1"/>
  <c r="L268" i="24"/>
  <c r="N268" i="24" s="1"/>
  <c r="V265" i="3" s="1"/>
  <c r="AR265" i="3" s="1"/>
  <c r="L190" i="24"/>
  <c r="N190" i="24" s="1"/>
  <c r="V187" i="3" s="1"/>
  <c r="AR187" i="3" s="1"/>
  <c r="L244" i="24"/>
  <c r="N244" i="24" s="1"/>
  <c r="V241" i="3" s="1"/>
  <c r="AR241" i="3" s="1"/>
  <c r="L102" i="24"/>
  <c r="N102" i="24" s="1"/>
  <c r="V99" i="3" s="1"/>
  <c r="AR99" i="3" s="1"/>
  <c r="L247" i="24"/>
  <c r="N247" i="24" s="1"/>
  <c r="V244" i="3" s="1"/>
  <c r="AR244" i="3" s="1"/>
  <c r="L191" i="24"/>
  <c r="N191" i="24" s="1"/>
  <c r="V188" i="3" s="1"/>
  <c r="AR188" i="3" s="1"/>
  <c r="L14" i="24"/>
  <c r="N14" i="24" s="1"/>
  <c r="V11" i="3" s="1"/>
  <c r="AR11" i="3" s="1"/>
  <c r="L206" i="24"/>
  <c r="N206" i="24" s="1"/>
  <c r="V203" i="3" s="1"/>
  <c r="AR203" i="3" s="1"/>
  <c r="L222" i="24"/>
  <c r="N222" i="24" s="1"/>
  <c r="V219" i="3" s="1"/>
  <c r="AR219" i="3" s="1"/>
  <c r="L51" i="24"/>
  <c r="N51" i="24" s="1"/>
  <c r="V48" i="3" s="1"/>
  <c r="AR48" i="3" s="1"/>
  <c r="L254" i="24"/>
  <c r="N254" i="24" s="1"/>
  <c r="V251" i="3" s="1"/>
  <c r="AR251" i="3" s="1"/>
  <c r="L170" i="24"/>
  <c r="N170" i="24" s="1"/>
  <c r="V167" i="3" s="1"/>
  <c r="AR167" i="3" s="1"/>
  <c r="L146" i="24"/>
  <c r="N146" i="24" s="1"/>
  <c r="V143" i="3" s="1"/>
  <c r="AR143" i="3" s="1"/>
  <c r="L89" i="24"/>
  <c r="N89" i="24" s="1"/>
  <c r="V86" i="3" s="1"/>
  <c r="AR86" i="3" s="1"/>
  <c r="L66" i="24"/>
  <c r="N66" i="24" s="1"/>
  <c r="V63" i="3" s="1"/>
  <c r="AR63" i="3" s="1"/>
  <c r="L20" i="24"/>
  <c r="N20" i="24" s="1"/>
  <c r="V17" i="3" s="1"/>
  <c r="AR17" i="3" s="1"/>
  <c r="CM17" i="3" s="1"/>
  <c r="CN17" i="3" s="1"/>
  <c r="AN17" i="3" s="1"/>
  <c r="L53" i="24"/>
  <c r="N53" i="24" s="1"/>
  <c r="V50" i="3" s="1"/>
  <c r="AR50" i="3" s="1"/>
  <c r="L148" i="24"/>
  <c r="N148" i="24" s="1"/>
  <c r="V145" i="3" s="1"/>
  <c r="AR145" i="3" s="1"/>
  <c r="L26" i="24"/>
  <c r="N26" i="24" s="1"/>
  <c r="L242" i="24"/>
  <c r="N242" i="24" s="1"/>
  <c r="V239" i="3" s="1"/>
  <c r="AR239" i="3" s="1"/>
  <c r="L27" i="24"/>
  <c r="N27" i="24" s="1"/>
  <c r="V24" i="3" s="1"/>
  <c r="AR24" i="3" s="1"/>
  <c r="L166" i="24"/>
  <c r="N166" i="24" s="1"/>
  <c r="V163" i="3" s="1"/>
  <c r="L153" i="24"/>
  <c r="N153" i="24" s="1"/>
  <c r="L91" i="24"/>
  <c r="N91" i="24" s="1"/>
  <c r="V88" i="3" s="1"/>
  <c r="AR88" i="3" s="1"/>
  <c r="L161" i="24"/>
  <c r="N161" i="24" s="1"/>
  <c r="O161" i="24" s="1"/>
  <c r="L136" i="24"/>
  <c r="N136" i="24" s="1"/>
  <c r="V133" i="3" s="1"/>
  <c r="AR133" i="3" s="1"/>
  <c r="L189" i="24"/>
  <c r="N189" i="24" s="1"/>
  <c r="L29" i="24"/>
  <c r="N29" i="24" s="1"/>
  <c r="V26" i="3" s="1"/>
  <c r="AR26" i="3" s="1"/>
  <c r="L126" i="24"/>
  <c r="N126" i="24" s="1"/>
  <c r="V123" i="3" s="1"/>
  <c r="AR123" i="3" s="1"/>
  <c r="L266" i="24"/>
  <c r="N266" i="24" s="1"/>
  <c r="V263" i="3" s="1"/>
  <c r="AR263" i="3" s="1"/>
  <c r="L59" i="24"/>
  <c r="N59" i="24" s="1"/>
  <c r="V56" i="3" s="1"/>
  <c r="AR56" i="3" s="1"/>
  <c r="L17" i="24"/>
  <c r="N17" i="24" s="1"/>
  <c r="V14" i="3" s="1"/>
  <c r="AR14" i="3" s="1"/>
  <c r="L9" i="24"/>
  <c r="N9" i="24" s="1"/>
  <c r="V6" i="3" s="1"/>
  <c r="AR6" i="3" s="1"/>
  <c r="L143" i="24"/>
  <c r="N143" i="24" s="1"/>
  <c r="V140" i="3" s="1"/>
  <c r="AR140" i="3" s="1"/>
  <c r="L54" i="24"/>
  <c r="N54" i="24" s="1"/>
  <c r="V51" i="3" s="1"/>
  <c r="AR51" i="3" s="1"/>
  <c r="L11" i="24"/>
  <c r="N11" i="24" s="1"/>
  <c r="V8" i="3" s="1"/>
  <c r="AR8" i="3" s="1"/>
  <c r="L168" i="24"/>
  <c r="N168" i="24" s="1"/>
  <c r="V165" i="3" s="1"/>
  <c r="AR165" i="3" s="1"/>
  <c r="L196" i="24"/>
  <c r="N196" i="24" s="1"/>
  <c r="V193" i="3" s="1"/>
  <c r="AR193" i="3" s="1"/>
  <c r="L285" i="24"/>
  <c r="N285" i="24" s="1"/>
  <c r="V282" i="3" s="1"/>
  <c r="L64" i="24"/>
  <c r="N64" i="24" s="1"/>
  <c r="V61" i="3" s="1"/>
  <c r="AR61" i="3" s="1"/>
  <c r="L41" i="24"/>
  <c r="N41" i="24" s="1"/>
  <c r="V38" i="3" s="1"/>
  <c r="AR38" i="3" s="1"/>
  <c r="L252" i="24"/>
  <c r="N252" i="24" s="1"/>
  <c r="V249" i="3" s="1"/>
  <c r="AR249" i="3" s="1"/>
  <c r="L12" i="24"/>
  <c r="N12" i="24" s="1"/>
  <c r="V9" i="3" s="1"/>
  <c r="AR9" i="3" s="1"/>
  <c r="L121" i="24"/>
  <c r="N121" i="24" s="1"/>
  <c r="V118" i="3" s="1"/>
  <c r="AR118" i="3" s="1"/>
  <c r="L255" i="24"/>
  <c r="N255" i="24" s="1"/>
  <c r="V252" i="3" s="1"/>
  <c r="AR252" i="3" s="1"/>
  <c r="L25" i="24"/>
  <c r="N25" i="24" s="1"/>
  <c r="V22" i="3" s="1"/>
  <c r="AR22" i="3" s="1"/>
  <c r="L275" i="24"/>
  <c r="N275" i="24" s="1"/>
  <c r="V272" i="3" s="1"/>
  <c r="AR272" i="3" s="1"/>
  <c r="L269" i="24"/>
  <c r="N269" i="24" s="1"/>
  <c r="V266" i="3" s="1"/>
  <c r="AR266" i="3" s="1"/>
  <c r="L154" i="24"/>
  <c r="N154" i="24" s="1"/>
  <c r="V151" i="3" s="1"/>
  <c r="AR151" i="3" s="1"/>
  <c r="L119" i="24"/>
  <c r="N119" i="24" s="1"/>
  <c r="V116" i="3" s="1"/>
  <c r="AR116" i="3" s="1"/>
  <c r="L21" i="24"/>
  <c r="N21" i="24" s="1"/>
  <c r="V18" i="3" s="1"/>
  <c r="AR18" i="3" s="1"/>
  <c r="L131" i="24"/>
  <c r="N131" i="24" s="1"/>
  <c r="V128" i="3" s="1"/>
  <c r="L283" i="24"/>
  <c r="N283" i="24" s="1"/>
  <c r="V280" i="3" s="1"/>
  <c r="AR280" i="3" s="1"/>
  <c r="L159" i="24"/>
  <c r="N159" i="24" s="1"/>
  <c r="V156" i="3" s="1"/>
  <c r="AR156" i="3" s="1"/>
  <c r="L44" i="24"/>
  <c r="N44" i="24" s="1"/>
  <c r="V41" i="3" s="1"/>
  <c r="AR41" i="3" s="1"/>
  <c r="L197" i="24"/>
  <c r="N197" i="24" s="1"/>
  <c r="V194" i="3" s="1"/>
  <c r="AR194" i="3" s="1"/>
  <c r="L286" i="24"/>
  <c r="N286" i="24" s="1"/>
  <c r="V283" i="3" s="1"/>
  <c r="AR283" i="3" s="1"/>
  <c r="L111" i="24"/>
  <c r="N111" i="24" s="1"/>
  <c r="V108" i="3" s="1"/>
  <c r="AR108" i="3" s="1"/>
  <c r="L258" i="24"/>
  <c r="N258" i="24" s="1"/>
  <c r="V255" i="3" s="1"/>
  <c r="AR255" i="3" s="1"/>
  <c r="L150" i="24"/>
  <c r="N150" i="24" s="1"/>
  <c r="V147" i="3" s="1"/>
  <c r="AR147" i="3" s="1"/>
  <c r="L63" i="24"/>
  <c r="N63" i="24" s="1"/>
  <c r="V60" i="3" s="1"/>
  <c r="AR60" i="3" s="1"/>
  <c r="L257" i="24"/>
  <c r="N257" i="24" s="1"/>
  <c r="V254" i="3" s="1"/>
  <c r="AR254" i="3" s="1"/>
  <c r="L134" i="24"/>
  <c r="N134" i="24" s="1"/>
  <c r="V131" i="3" s="1"/>
  <c r="L156" i="24"/>
  <c r="N156" i="24" s="1"/>
  <c r="V153" i="3" s="1"/>
  <c r="AR153" i="3" s="1"/>
  <c r="L83" i="24"/>
  <c r="N83" i="24" s="1"/>
  <c r="V80" i="3" s="1"/>
  <c r="L10" i="24"/>
  <c r="N10" i="24" s="1"/>
  <c r="V7" i="3" s="1"/>
  <c r="AR7" i="3" s="1"/>
  <c r="L158" i="24"/>
  <c r="N158" i="24" s="1"/>
  <c r="V155" i="3" s="1"/>
  <c r="AR155" i="3" s="1"/>
  <c r="L87" i="24"/>
  <c r="N87" i="24" s="1"/>
  <c r="V84" i="3" s="1"/>
  <c r="AR84" i="3" s="1"/>
  <c r="L61" i="24"/>
  <c r="N61" i="24" s="1"/>
  <c r="V58" i="3" s="1"/>
  <c r="AR58" i="3" s="1"/>
  <c r="L160" i="24"/>
  <c r="N160" i="24" s="1"/>
  <c r="V157" i="3" s="1"/>
  <c r="AR157" i="3" s="1"/>
  <c r="L195" i="24"/>
  <c r="N195" i="24" s="1"/>
  <c r="V192" i="3" s="1"/>
  <c r="AR192" i="3" s="1"/>
  <c r="L108" i="24"/>
  <c r="N108" i="24" s="1"/>
  <c r="V105" i="3" s="1"/>
  <c r="AR105" i="3" s="1"/>
  <c r="L62" i="24"/>
  <c r="N62" i="24" s="1"/>
  <c r="V59" i="3" s="1"/>
  <c r="AR59" i="3" s="1"/>
  <c r="L75" i="24"/>
  <c r="N75" i="24" s="1"/>
  <c r="V72" i="3" s="1"/>
  <c r="L142" i="24"/>
  <c r="N142" i="24" s="1"/>
  <c r="V139" i="3" s="1"/>
  <c r="AR139" i="3" s="1"/>
  <c r="L164" i="24"/>
  <c r="N164" i="24" s="1"/>
  <c r="V161" i="3" s="1"/>
  <c r="L186" i="24"/>
  <c r="N186" i="24" s="1"/>
  <c r="V183" i="3" s="1"/>
  <c r="AR183" i="3" s="1"/>
  <c r="L95" i="24"/>
  <c r="N95" i="24" s="1"/>
  <c r="O95" i="24" s="1"/>
  <c r="L262" i="24"/>
  <c r="N262" i="24" s="1"/>
  <c r="V259" i="3" s="1"/>
  <c r="AR259" i="3" s="1"/>
  <c r="L30" i="24"/>
  <c r="N30" i="24" s="1"/>
  <c r="V27" i="3" s="1"/>
  <c r="AR27" i="3" s="1"/>
  <c r="CM27" i="3" s="1"/>
  <c r="CN27" i="3" s="1"/>
  <c r="AN27" i="3" s="1"/>
  <c r="O277" i="24"/>
  <c r="L81" i="24"/>
  <c r="N81" i="24" s="1"/>
  <c r="V78" i="3" s="1"/>
  <c r="L278" i="24"/>
  <c r="N278" i="24" s="1"/>
  <c r="L280" i="24"/>
  <c r="N280" i="24" s="1"/>
  <c r="L238" i="24"/>
  <c r="N238" i="24" s="1"/>
  <c r="L35" i="24"/>
  <c r="N35" i="24" s="1"/>
  <c r="O35" i="24" s="1"/>
  <c r="O249" i="24"/>
  <c r="L163" i="24"/>
  <c r="N163" i="24" s="1"/>
  <c r="V160" i="3" s="1"/>
  <c r="AR160" i="3" s="1"/>
  <c r="L226" i="24"/>
  <c r="N226" i="24" s="1"/>
  <c r="V223" i="3" s="1"/>
  <c r="AR223" i="3" s="1"/>
  <c r="L253" i="24"/>
  <c r="N253" i="24" s="1"/>
  <c r="V250" i="3" s="1"/>
  <c r="AR250" i="3" s="1"/>
  <c r="L291" i="24"/>
  <c r="N291" i="24" s="1"/>
  <c r="V288" i="3" s="1"/>
  <c r="AR288" i="3" s="1"/>
  <c r="L155" i="24"/>
  <c r="N155" i="24" s="1"/>
  <c r="V152" i="3" s="1"/>
  <c r="AR152" i="3" s="1"/>
  <c r="L172" i="24"/>
  <c r="N172" i="24" s="1"/>
  <c r="V169" i="3" s="1"/>
  <c r="AR169" i="3" s="1"/>
  <c r="L40" i="24"/>
  <c r="N40" i="24" s="1"/>
  <c r="V37" i="3" s="1"/>
  <c r="AR37" i="3" s="1"/>
  <c r="L179" i="24"/>
  <c r="N179" i="24" s="1"/>
  <c r="V176" i="3" s="1"/>
  <c r="AR176" i="3" s="1"/>
  <c r="L92" i="24"/>
  <c r="N92" i="24" s="1"/>
  <c r="V89" i="3" s="1"/>
  <c r="AR89" i="3" s="1"/>
  <c r="CM89" i="3" s="1"/>
  <c r="CN89" i="3" s="1"/>
  <c r="AN89" i="3" s="1"/>
  <c r="L58" i="24"/>
  <c r="N58" i="24" s="1"/>
  <c r="V55" i="3" s="1"/>
  <c r="AR55" i="3" s="1"/>
  <c r="L259" i="24"/>
  <c r="N259" i="24" s="1"/>
  <c r="V256" i="3" s="1"/>
  <c r="L125" i="24"/>
  <c r="N125" i="24" s="1"/>
  <c r="V122" i="3" s="1"/>
  <c r="AR122" i="3" s="1"/>
  <c r="L169" i="24"/>
  <c r="N169" i="24" s="1"/>
  <c r="V166" i="3" s="1"/>
  <c r="L237" i="24"/>
  <c r="N237" i="24" s="1"/>
  <c r="V234" i="3" s="1"/>
  <c r="AR234" i="3" s="1"/>
  <c r="CM234" i="3" s="1"/>
  <c r="CN234" i="3" s="1"/>
  <c r="AN234" i="3" s="1"/>
  <c r="L229" i="24"/>
  <c r="N229" i="24" s="1"/>
  <c r="V226" i="3" s="1"/>
  <c r="AR226" i="3" s="1"/>
  <c r="L198" i="24"/>
  <c r="N198" i="24" s="1"/>
  <c r="V195" i="3" s="1"/>
  <c r="AR195" i="3" s="1"/>
  <c r="L16" i="24"/>
  <c r="N16" i="24" s="1"/>
  <c r="V13" i="3" s="1"/>
  <c r="AR13" i="3" s="1"/>
  <c r="L43" i="24"/>
  <c r="N43" i="24" s="1"/>
  <c r="V40" i="3" s="1"/>
  <c r="L34" i="24"/>
  <c r="N34" i="24" s="1"/>
  <c r="V31" i="3" s="1"/>
  <c r="AR31" i="3" s="1"/>
  <c r="L216" i="24"/>
  <c r="N216" i="24" s="1"/>
  <c r="V213" i="3" s="1"/>
  <c r="AR213" i="3" s="1"/>
  <c r="CM213" i="3" s="1"/>
  <c r="CN213" i="3" s="1"/>
  <c r="AN213" i="3" s="1"/>
  <c r="L201" i="24"/>
  <c r="N201" i="24" s="1"/>
  <c r="V198" i="3" s="1"/>
  <c r="AR198" i="3" s="1"/>
  <c r="L132" i="24"/>
  <c r="N132" i="24" s="1"/>
  <c r="V129" i="3" s="1"/>
  <c r="AR129" i="3" s="1"/>
  <c r="L270" i="24"/>
  <c r="N270" i="24" s="1"/>
  <c r="V267" i="3" s="1"/>
  <c r="AR267" i="3" s="1"/>
  <c r="L117" i="24"/>
  <c r="N117" i="24" s="1"/>
  <c r="V114" i="3" s="1"/>
  <c r="AR114" i="3" s="1"/>
  <c r="L114" i="24"/>
  <c r="N114" i="24" s="1"/>
  <c r="V111" i="3" s="1"/>
  <c r="AR111" i="3" s="1"/>
  <c r="L56" i="24"/>
  <c r="N56" i="24" s="1"/>
  <c r="V53" i="3" s="1"/>
  <c r="L147" i="24"/>
  <c r="N147" i="24" s="1"/>
  <c r="V144" i="3" s="1"/>
  <c r="AR144" i="3" s="1"/>
  <c r="L76" i="24"/>
  <c r="N76" i="24" s="1"/>
  <c r="V73" i="3" s="1"/>
  <c r="L107" i="24"/>
  <c r="N107" i="24" s="1"/>
  <c r="V104" i="3" s="1"/>
  <c r="AR104" i="3" s="1"/>
  <c r="L263" i="24"/>
  <c r="N263" i="24" s="1"/>
  <c r="V260" i="3" s="1"/>
  <c r="AR260" i="3" s="1"/>
  <c r="L267" i="24"/>
  <c r="N267" i="24" s="1"/>
  <c r="V264" i="3" s="1"/>
  <c r="AR264" i="3" s="1"/>
  <c r="L202" i="24"/>
  <c r="N202" i="24" s="1"/>
  <c r="V199" i="3" s="1"/>
  <c r="L24" i="24"/>
  <c r="N24" i="24" s="1"/>
  <c r="V21" i="3" s="1"/>
  <c r="AR21" i="3" s="1"/>
  <c r="CM21" i="3" s="1"/>
  <c r="CN21" i="3" s="1"/>
  <c r="AN21" i="3" s="1"/>
  <c r="L218" i="24"/>
  <c r="N218" i="24" s="1"/>
  <c r="V215" i="3" s="1"/>
  <c r="AR215" i="3" s="1"/>
  <c r="L73" i="24"/>
  <c r="N73" i="24" s="1"/>
  <c r="V70" i="3" s="1"/>
  <c r="AR70" i="3" s="1"/>
  <c r="L94" i="24"/>
  <c r="N94" i="24" s="1"/>
  <c r="V91" i="3" s="1"/>
  <c r="AR91" i="3" s="1"/>
  <c r="L289" i="24"/>
  <c r="N289" i="24" s="1"/>
  <c r="V286" i="3" s="1"/>
  <c r="AR286" i="3" s="1"/>
  <c r="L32" i="24"/>
  <c r="N32" i="24" s="1"/>
  <c r="V29" i="3" s="1"/>
  <c r="AR29" i="3" s="1"/>
  <c r="L264" i="24"/>
  <c r="N264" i="24" s="1"/>
  <c r="V261" i="3" s="1"/>
  <c r="L212" i="24"/>
  <c r="N212" i="24" s="1"/>
  <c r="V209" i="3" s="1"/>
  <c r="AR209" i="3" s="1"/>
  <c r="CM209" i="3" s="1"/>
  <c r="CN209" i="3" s="1"/>
  <c r="AN209" i="3" s="1"/>
  <c r="L240" i="24"/>
  <c r="N240" i="24" s="1"/>
  <c r="V237" i="3" s="1"/>
  <c r="AR237" i="3" s="1"/>
  <c r="L274" i="24"/>
  <c r="N274" i="24" s="1"/>
  <c r="V271" i="3" s="1"/>
  <c r="AR271" i="3" s="1"/>
  <c r="L112" i="24"/>
  <c r="N112" i="24" s="1"/>
  <c r="V109" i="3" s="1"/>
  <c r="AR109" i="3" s="1"/>
  <c r="CM109" i="3" s="1"/>
  <c r="CN109" i="3" s="1"/>
  <c r="AN109" i="3" s="1"/>
  <c r="L192" i="24"/>
  <c r="N192" i="24" s="1"/>
  <c r="V189" i="3" s="1"/>
  <c r="AR189" i="3" s="1"/>
  <c r="L88" i="24"/>
  <c r="N88" i="24" s="1"/>
  <c r="V85" i="3" s="1"/>
  <c r="AR85" i="3" s="1"/>
  <c r="L13" i="24"/>
  <c r="N13" i="24" s="1"/>
  <c r="V10" i="3" s="1"/>
  <c r="AR10" i="3" s="1"/>
  <c r="L290" i="24"/>
  <c r="N290" i="24" s="1"/>
  <c r="V287" i="3" s="1"/>
  <c r="AR287" i="3" s="1"/>
  <c r="L97" i="24"/>
  <c r="N97" i="24" s="1"/>
  <c r="V94" i="3" s="1"/>
  <c r="AR94" i="3" s="1"/>
  <c r="L42" i="24"/>
  <c r="N42" i="24" s="1"/>
  <c r="V39" i="3" s="1"/>
  <c r="AR39" i="3" s="1"/>
  <c r="L68" i="24"/>
  <c r="N68" i="24" s="1"/>
  <c r="V65" i="3" s="1"/>
  <c r="L122" i="24"/>
  <c r="N122" i="24" s="1"/>
  <c r="V119" i="3" s="1"/>
  <c r="AR119" i="3" s="1"/>
  <c r="L236" i="24"/>
  <c r="N236" i="24" s="1"/>
  <c r="L129" i="24"/>
  <c r="N129" i="24" s="1"/>
  <c r="V126" i="3" s="1"/>
  <c r="AR126" i="3" s="1"/>
  <c r="L93" i="24"/>
  <c r="N93" i="24" s="1"/>
  <c r="V90" i="3" s="1"/>
  <c r="AR90" i="3" s="1"/>
  <c r="L55" i="24"/>
  <c r="N55" i="24" s="1"/>
  <c r="V52" i="3" s="1"/>
  <c r="L176" i="24"/>
  <c r="N176" i="24" s="1"/>
  <c r="L178" i="24"/>
  <c r="N178" i="24" s="1"/>
  <c r="V175" i="3" s="1"/>
  <c r="AR175" i="3" s="1"/>
  <c r="L177" i="24"/>
  <c r="N177" i="24" s="1"/>
  <c r="V174" i="3" s="1"/>
  <c r="AR174" i="3" s="1"/>
  <c r="L18" i="24"/>
  <c r="N18" i="24" s="1"/>
  <c r="V15" i="3" s="1"/>
  <c r="AR15" i="3" s="1"/>
  <c r="L183" i="24"/>
  <c r="N183" i="24" s="1"/>
  <c r="V180" i="3" s="1"/>
  <c r="L272" i="24"/>
  <c r="N272" i="24" s="1"/>
  <c r="V269" i="3" s="1"/>
  <c r="AR269" i="3" s="1"/>
  <c r="L182" i="24"/>
  <c r="N182" i="24" s="1"/>
  <c r="V179" i="3" s="1"/>
  <c r="AR179" i="3" s="1"/>
  <c r="L162" i="24"/>
  <c r="N162" i="24" s="1"/>
  <c r="V159" i="3" s="1"/>
  <c r="L52" i="24"/>
  <c r="N52" i="24" s="1"/>
  <c r="V49" i="3" s="1"/>
  <c r="AR49" i="3" s="1"/>
  <c r="L31" i="24"/>
  <c r="N31" i="24" s="1"/>
  <c r="V28" i="3" s="1"/>
  <c r="AR28" i="3" s="1"/>
  <c r="L144" i="24"/>
  <c r="N144" i="24" s="1"/>
  <c r="V141" i="3" s="1"/>
  <c r="AR141" i="3" s="1"/>
  <c r="L288" i="24"/>
  <c r="N288" i="24" s="1"/>
  <c r="V285" i="3" s="1"/>
  <c r="AR285" i="3" s="1"/>
  <c r="L200" i="24"/>
  <c r="N200" i="24" s="1"/>
  <c r="V197" i="3" s="1"/>
  <c r="AR197" i="3" s="1"/>
  <c r="L250" i="24"/>
  <c r="N250" i="24" s="1"/>
  <c r="V247" i="3" s="1"/>
  <c r="AR247" i="3" s="1"/>
  <c r="L128" i="24"/>
  <c r="N128" i="24" s="1"/>
  <c r="V125" i="3" s="1"/>
  <c r="AR125" i="3" s="1"/>
  <c r="CM125" i="3" s="1"/>
  <c r="CN125" i="3" s="1"/>
  <c r="AN125" i="3" s="1"/>
  <c r="L243" i="24"/>
  <c r="N243" i="24" s="1"/>
  <c r="V240" i="3" s="1"/>
  <c r="L138" i="24"/>
  <c r="N138" i="24" s="1"/>
  <c r="V135" i="3" s="1"/>
  <c r="AR135" i="3" s="1"/>
  <c r="L217" i="24"/>
  <c r="N217" i="24" s="1"/>
  <c r="V214" i="3" s="1"/>
  <c r="AR214" i="3" s="1"/>
  <c r="L204" i="24"/>
  <c r="N204" i="24" s="1"/>
  <c r="V201" i="3" s="1"/>
  <c r="AR201" i="3" s="1"/>
  <c r="L98" i="24"/>
  <c r="N98" i="24" s="1"/>
  <c r="V95" i="3" s="1"/>
  <c r="AR95" i="3" s="1"/>
  <c r="L219" i="24"/>
  <c r="N219" i="24" s="1"/>
  <c r="V216" i="3" s="1"/>
  <c r="AR216" i="3" s="1"/>
  <c r="L165" i="24"/>
  <c r="N165" i="24" s="1"/>
  <c r="V162" i="3" s="1"/>
  <c r="AR162" i="3" s="1"/>
  <c r="CM162" i="3" s="1"/>
  <c r="CN162" i="3" s="1"/>
  <c r="AN162" i="3" s="1"/>
  <c r="L100" i="24"/>
  <c r="N100" i="24" s="1"/>
  <c r="V97" i="3" s="1"/>
  <c r="L223" i="24"/>
  <c r="N223" i="24" s="1"/>
  <c r="V220" i="3" s="1"/>
  <c r="L203" i="24"/>
  <c r="N203" i="24" s="1"/>
  <c r="V200" i="3" s="1"/>
  <c r="L38" i="24"/>
  <c r="N38" i="24" s="1"/>
  <c r="V35" i="3" s="1"/>
  <c r="L19" i="24"/>
  <c r="N19" i="24" s="1"/>
  <c r="V16" i="3" s="1"/>
  <c r="AR16" i="3" s="1"/>
  <c r="L120" i="24"/>
  <c r="N120" i="24" s="1"/>
  <c r="V117" i="3" s="1"/>
  <c r="AR117" i="3" s="1"/>
  <c r="L22" i="24"/>
  <c r="N22" i="24" s="1"/>
  <c r="V19" i="3" s="1"/>
  <c r="AR19" i="3" s="1"/>
  <c r="L230" i="24"/>
  <c r="N230" i="24" s="1"/>
  <c r="V227" i="3" s="1"/>
  <c r="AR227" i="3" s="1"/>
  <c r="L265" i="24"/>
  <c r="N265" i="24" s="1"/>
  <c r="V262" i="3" s="1"/>
  <c r="L86" i="24"/>
  <c r="N86" i="24" s="1"/>
  <c r="V83" i="3" s="1"/>
  <c r="AR83" i="3" s="1"/>
  <c r="L180" i="24"/>
  <c r="N180" i="24" s="1"/>
  <c r="V177" i="3" s="1"/>
  <c r="AR177" i="3" s="1"/>
  <c r="L175" i="24"/>
  <c r="N175" i="24" s="1"/>
  <c r="V172" i="3" s="1"/>
  <c r="AR172" i="3" s="1"/>
  <c r="L151" i="24"/>
  <c r="N151" i="24" s="1"/>
  <c r="V148" i="3" s="1"/>
  <c r="AR148" i="3" s="1"/>
  <c r="CM148" i="3" s="1"/>
  <c r="CN148" i="3" s="1"/>
  <c r="AN148" i="3" s="1"/>
  <c r="L149" i="24"/>
  <c r="N149" i="24" s="1"/>
  <c r="V146" i="3" s="1"/>
  <c r="AR146" i="3" s="1"/>
  <c r="L287" i="24"/>
  <c r="N287" i="24" s="1"/>
  <c r="V284" i="3" s="1"/>
  <c r="L284" i="24"/>
  <c r="N284" i="24" s="1"/>
  <c r="V281" i="3" s="1"/>
  <c r="AR281" i="3" s="1"/>
  <c r="CM281" i="3" s="1"/>
  <c r="CN281" i="3" s="1"/>
  <c r="AN281" i="3" s="1"/>
  <c r="L214" i="24"/>
  <c r="N214" i="24" s="1"/>
  <c r="V211" i="3" s="1"/>
  <c r="AR211" i="3" s="1"/>
  <c r="L79" i="24"/>
  <c r="N79" i="24" s="1"/>
  <c r="V76" i="3" s="1"/>
  <c r="AR76" i="3" s="1"/>
  <c r="L137" i="24"/>
  <c r="N137" i="24" s="1"/>
  <c r="V134" i="3" s="1"/>
  <c r="AR134" i="3" s="1"/>
  <c r="L96" i="24"/>
  <c r="N96" i="24" s="1"/>
  <c r="V93" i="3" s="1"/>
  <c r="AR93" i="3" s="1"/>
  <c r="L69" i="24"/>
  <c r="N69" i="24" s="1"/>
  <c r="V66" i="3" s="1"/>
  <c r="AR66" i="3" s="1"/>
  <c r="L140" i="24"/>
  <c r="N140" i="24" s="1"/>
  <c r="V137" i="3" s="1"/>
  <c r="AR137" i="3" s="1"/>
  <c r="L194" i="24"/>
  <c r="N194" i="24" s="1"/>
  <c r="V191" i="3" s="1"/>
  <c r="AR191" i="3" s="1"/>
  <c r="CM191" i="3" s="1"/>
  <c r="CN191" i="3" s="1"/>
  <c r="AN191" i="3" s="1"/>
  <c r="L65" i="24"/>
  <c r="N65" i="24" s="1"/>
  <c r="V62" i="3" s="1"/>
  <c r="AR62" i="3" s="1"/>
  <c r="L174" i="24"/>
  <c r="N174" i="24" s="1"/>
  <c r="V171" i="3" s="1"/>
  <c r="AR171" i="3" s="1"/>
  <c r="L260" i="24"/>
  <c r="N260" i="24" s="1"/>
  <c r="V257" i="3" s="1"/>
  <c r="AR257" i="3" s="1"/>
  <c r="CM257" i="3" s="1"/>
  <c r="CN257" i="3" s="1"/>
  <c r="AN257" i="3" s="1"/>
  <c r="L47" i="24"/>
  <c r="N47" i="24" s="1"/>
  <c r="L225" i="24"/>
  <c r="N225" i="24" s="1"/>
  <c r="V222" i="3" s="1"/>
  <c r="AR222" i="3" s="1"/>
  <c r="CM222" i="3" s="1"/>
  <c r="CN222" i="3" s="1"/>
  <c r="AN222" i="3" s="1"/>
  <c r="L221" i="24"/>
  <c r="N221" i="24" s="1"/>
  <c r="V218" i="3" s="1"/>
  <c r="AR218" i="3" s="1"/>
  <c r="L135" i="24"/>
  <c r="N135" i="24" s="1"/>
  <c r="V132" i="3" s="1"/>
  <c r="AR132" i="3" s="1"/>
  <c r="O99" i="24"/>
  <c r="L67" i="24"/>
  <c r="N67" i="24" s="1"/>
  <c r="L72" i="24"/>
  <c r="N72" i="24" s="1"/>
  <c r="L104" i="24"/>
  <c r="N104" i="24" s="1"/>
  <c r="V101" i="3" s="1"/>
  <c r="AR101" i="3" s="1"/>
  <c r="M246" i="24"/>
  <c r="K84" i="24"/>
  <c r="M169" i="24"/>
  <c r="M292" i="24"/>
  <c r="M256" i="24"/>
  <c r="M264" i="24"/>
  <c r="M101" i="24"/>
  <c r="M232" i="24"/>
  <c r="M282" i="24"/>
  <c r="M173" i="24"/>
  <c r="M28" i="24"/>
  <c r="M118" i="24"/>
  <c r="M43" i="24"/>
  <c r="M184" i="24"/>
  <c r="M56" i="24"/>
  <c r="M293" i="24"/>
  <c r="M113" i="24"/>
  <c r="M235" i="24"/>
  <c r="M243" i="24"/>
  <c r="M205" i="24"/>
  <c r="M171" i="24"/>
  <c r="M188" i="24"/>
  <c r="M134" i="24"/>
  <c r="M110" i="24"/>
  <c r="M109" i="24"/>
  <c r="M115" i="24"/>
  <c r="M245" i="24"/>
  <c r="M65" i="24"/>
  <c r="M159" i="24"/>
  <c r="M289" i="24"/>
  <c r="M258" i="24"/>
  <c r="M233" i="24"/>
  <c r="M167" i="24"/>
  <c r="M127" i="24"/>
  <c r="M8" i="24"/>
  <c r="M253" i="24"/>
  <c r="M155" i="24"/>
  <c r="M172" i="24"/>
  <c r="M179" i="24"/>
  <c r="M92" i="24"/>
  <c r="M58" i="24"/>
  <c r="M259" i="24"/>
  <c r="M125" i="24"/>
  <c r="M90" i="24"/>
  <c r="M237" i="24"/>
  <c r="M229" i="24"/>
  <c r="M198" i="24"/>
  <c r="M34" i="24"/>
  <c r="M216" i="24"/>
  <c r="M201" i="24"/>
  <c r="M270" i="24"/>
  <c r="M117" i="24"/>
  <c r="M114" i="24"/>
  <c r="M147" i="24"/>
  <c r="M76" i="24"/>
  <c r="M202" i="24"/>
  <c r="M24" i="24"/>
  <c r="M218" i="24"/>
  <c r="M73" i="24"/>
  <c r="M94" i="24"/>
  <c r="M32" i="24"/>
  <c r="M212" i="24"/>
  <c r="M240" i="24"/>
  <c r="M112" i="24"/>
  <c r="M49" i="24"/>
  <c r="M192" i="24"/>
  <c r="M88" i="24"/>
  <c r="M211" i="24"/>
  <c r="M13" i="24"/>
  <c r="M290" i="24"/>
  <c r="M181" i="24"/>
  <c r="M97" i="24"/>
  <c r="M42" i="24"/>
  <c r="M50" i="24"/>
  <c r="M219" i="24"/>
  <c r="M107" i="24"/>
  <c r="M36" i="24"/>
  <c r="M266" i="24"/>
  <c r="M194" i="24"/>
  <c r="M263" i="24"/>
  <c r="M16" i="24"/>
  <c r="M10" i="24"/>
  <c r="M158" i="24"/>
  <c r="M200" i="24"/>
  <c r="M183" i="24"/>
  <c r="M162" i="24"/>
  <c r="M52" i="24"/>
  <c r="M31" i="24"/>
  <c r="M144" i="24"/>
  <c r="M288" i="24"/>
  <c r="M250" i="24"/>
  <c r="M128" i="24"/>
  <c r="M261" i="24"/>
  <c r="M138" i="24"/>
  <c r="M204" i="24"/>
  <c r="M98" i="24"/>
  <c r="M165" i="24"/>
  <c r="M100" i="24"/>
  <c r="M223" i="24"/>
  <c r="M271" i="24"/>
  <c r="M203" i="24"/>
  <c r="M38" i="24"/>
  <c r="M19" i="24"/>
  <c r="M120" i="24"/>
  <c r="M22" i="24"/>
  <c r="M23" i="24"/>
  <c r="M230" i="24"/>
  <c r="M265" i="24"/>
  <c r="M86" i="24"/>
  <c r="M180" i="24"/>
  <c r="M175" i="24"/>
  <c r="M228" i="24"/>
  <c r="M287" i="24"/>
  <c r="M284" i="24"/>
  <c r="M74" i="24"/>
  <c r="M214" i="24"/>
  <c r="M79" i="24"/>
  <c r="M137" i="24"/>
  <c r="M96" i="24"/>
  <c r="M69" i="24"/>
  <c r="M140" i="24"/>
  <c r="M273" i="24"/>
  <c r="M174" i="24"/>
  <c r="M48" i="24"/>
  <c r="M71" i="24"/>
  <c r="M217" i="24"/>
  <c r="M151" i="24"/>
  <c r="M168" i="24"/>
  <c r="M182" i="24"/>
  <c r="M274" i="24"/>
  <c r="M224" i="24"/>
  <c r="M103" i="24"/>
  <c r="M33" i="24"/>
  <c r="M210" i="24"/>
  <c r="M215" i="24"/>
  <c r="M208" i="24"/>
  <c r="M84" i="24"/>
  <c r="M248" i="24"/>
  <c r="M15" i="24"/>
  <c r="M227" i="24"/>
  <c r="M106" i="24"/>
  <c r="M187" i="24"/>
  <c r="M209" i="24"/>
  <c r="M70" i="24"/>
  <c r="M281" i="24"/>
  <c r="M85" i="24"/>
  <c r="M145" i="24"/>
  <c r="M141" i="24"/>
  <c r="M105" i="24"/>
  <c r="M239" i="24"/>
  <c r="M45" i="24"/>
  <c r="M231" i="24"/>
  <c r="M157" i="24"/>
  <c r="M124" i="24"/>
  <c r="M251" i="24"/>
  <c r="M130" i="24"/>
  <c r="M207" i="24"/>
  <c r="M133" i="24"/>
  <c r="M152" i="24"/>
  <c r="M139" i="24"/>
  <c r="M46" i="24"/>
  <c r="M213" i="24"/>
  <c r="M268" i="24"/>
  <c r="M37" i="24"/>
  <c r="M190" i="24"/>
  <c r="M244" i="24"/>
  <c r="M102" i="24"/>
  <c r="M247" i="24"/>
  <c r="M191" i="24"/>
  <c r="M14" i="24"/>
  <c r="M206" i="24"/>
  <c r="M222" i="24"/>
  <c r="M51" i="24"/>
  <c r="M254" i="24"/>
  <c r="M170" i="24"/>
  <c r="M146" i="24"/>
  <c r="M89" i="24"/>
  <c r="M66" i="24"/>
  <c r="M234" i="24"/>
  <c r="M20" i="24"/>
  <c r="M57" i="24"/>
  <c r="M119" i="24"/>
  <c r="M121" i="24"/>
  <c r="M196" i="24"/>
  <c r="M272" i="24"/>
  <c r="M267" i="24"/>
  <c r="M12" i="24"/>
  <c r="M291" i="24"/>
  <c r="M87" i="24"/>
  <c r="M185" i="24"/>
  <c r="M126" i="24"/>
  <c r="M59" i="24"/>
  <c r="M17" i="24"/>
  <c r="M9" i="24"/>
  <c r="M143" i="24"/>
  <c r="M54" i="24"/>
  <c r="M11" i="24"/>
  <c r="M285" i="24"/>
  <c r="M64" i="24"/>
  <c r="M41" i="24"/>
  <c r="M252" i="24"/>
  <c r="M255" i="24"/>
  <c r="M25" i="24"/>
  <c r="M275" i="24"/>
  <c r="M269" i="24"/>
  <c r="M154" i="24"/>
  <c r="M279" i="24"/>
  <c r="M21" i="24"/>
  <c r="M131" i="24"/>
  <c r="M283" i="24"/>
  <c r="M77" i="24"/>
  <c r="M44" i="24"/>
  <c r="M80" i="24"/>
  <c r="M78" i="24"/>
  <c r="M197" i="24"/>
  <c r="M286" i="24"/>
  <c r="M111" i="24"/>
  <c r="M150" i="24"/>
  <c r="M63" i="24"/>
  <c r="M257" i="24"/>
  <c r="M156" i="24"/>
  <c r="M83" i="24"/>
  <c r="M61" i="24"/>
  <c r="M160" i="24"/>
  <c r="M82" i="24"/>
  <c r="M220" i="24"/>
  <c r="M108" i="24"/>
  <c r="M62" i="24"/>
  <c r="M241" i="24"/>
  <c r="M116" i="24"/>
  <c r="M75" i="24"/>
  <c r="M142" i="24"/>
  <c r="M195" i="24"/>
  <c r="M40" i="24"/>
  <c r="M132" i="24"/>
  <c r="M199" i="24"/>
  <c r="M149" i="24"/>
  <c r="K188" i="24"/>
  <c r="K110" i="24"/>
  <c r="K109" i="24"/>
  <c r="K167" i="24"/>
  <c r="K171" i="24"/>
  <c r="K292" i="24"/>
  <c r="K256" i="24"/>
  <c r="K235" i="24"/>
  <c r="K205" i="24"/>
  <c r="K8" i="24"/>
  <c r="K101" i="24"/>
  <c r="K232" i="24"/>
  <c r="K282" i="24"/>
  <c r="K173" i="24"/>
  <c r="K28" i="24"/>
  <c r="K118" i="24"/>
  <c r="K245" i="24"/>
  <c r="K115" i="24"/>
  <c r="K145" i="24"/>
  <c r="K184" i="24"/>
  <c r="K293" i="24"/>
  <c r="K113" i="24"/>
  <c r="K70" i="24"/>
  <c r="K239" i="24"/>
  <c r="K45" i="24"/>
  <c r="K46" i="24"/>
  <c r="K37" i="24"/>
  <c r="K234" i="24"/>
  <c r="K279" i="24"/>
  <c r="K80" i="24"/>
  <c r="K78" i="24"/>
  <c r="K82" i="24"/>
  <c r="K220" i="24"/>
  <c r="K241" i="24"/>
  <c r="K116" i="24"/>
  <c r="K90" i="24"/>
  <c r="K49" i="24"/>
  <c r="K211" i="24"/>
  <c r="K181" i="24"/>
  <c r="K50" i="24"/>
  <c r="K261" i="24"/>
  <c r="K233" i="24"/>
  <c r="K271" i="24"/>
  <c r="K23" i="24"/>
  <c r="K228" i="24"/>
  <c r="K74" i="24"/>
  <c r="K273" i="24"/>
  <c r="BY36" i="3"/>
  <c r="I39" i="24"/>
  <c r="K39" i="24" s="1"/>
  <c r="BU57" i="3"/>
  <c r="H60" i="24"/>
  <c r="K60" i="24" s="1"/>
  <c r="G187" i="23"/>
  <c r="H187" i="23" s="1"/>
  <c r="CU187" i="3" s="1"/>
  <c r="G250" i="23"/>
  <c r="H250" i="23" s="1"/>
  <c r="CU250" i="3" s="1"/>
  <c r="G36" i="23"/>
  <c r="H36" i="23" s="1"/>
  <c r="CU36" i="3" s="1"/>
  <c r="G24" i="23"/>
  <c r="H24" i="23" s="1"/>
  <c r="CU24" i="3" s="1"/>
  <c r="G87" i="23"/>
  <c r="H87" i="23" s="1"/>
  <c r="CU87" i="3" s="1"/>
  <c r="G237" i="23"/>
  <c r="H237" i="23" s="1"/>
  <c r="CU237" i="3" s="1"/>
  <c r="G238" i="23"/>
  <c r="H238" i="23" s="1"/>
  <c r="CU238" i="3" s="1"/>
  <c r="G274" i="23"/>
  <c r="H274" i="23" s="1"/>
  <c r="CU274" i="3" s="1"/>
  <c r="AR274" i="3"/>
  <c r="G126" i="23"/>
  <c r="H126" i="23" s="1"/>
  <c r="CU126" i="3" s="1"/>
  <c r="G16" i="23"/>
  <c r="H16" i="23" s="1"/>
  <c r="CU16" i="3" s="1"/>
  <c r="G202" i="23"/>
  <c r="H202" i="23" s="1"/>
  <c r="CU202" i="3" s="1"/>
  <c r="G155" i="23"/>
  <c r="H155" i="23" s="1"/>
  <c r="CU155" i="3" s="1"/>
  <c r="G134" i="23"/>
  <c r="H134" i="23" s="1"/>
  <c r="CU134" i="3" s="1"/>
  <c r="G265" i="23"/>
  <c r="H265" i="23" s="1"/>
  <c r="CU265" i="3" s="1"/>
  <c r="G94" i="23"/>
  <c r="H94" i="23" s="1"/>
  <c r="CU94" i="3" s="1"/>
  <c r="G38" i="23"/>
  <c r="H38" i="23" s="1"/>
  <c r="CU38" i="3" s="1"/>
  <c r="G189" i="23"/>
  <c r="H189" i="23" s="1"/>
  <c r="CU189" i="3" s="1"/>
  <c r="G74" i="23"/>
  <c r="H74" i="23" s="1"/>
  <c r="CU74" i="3" s="1"/>
  <c r="G263" i="23"/>
  <c r="H263" i="23" s="1"/>
  <c r="CU263" i="3" s="1"/>
  <c r="G157" i="23"/>
  <c r="H157" i="23" s="1"/>
  <c r="CU157" i="3" s="1"/>
  <c r="G159" i="23"/>
  <c r="H159" i="23" s="1"/>
  <c r="CU159" i="3" s="1"/>
  <c r="G273" i="23"/>
  <c r="H273" i="23" s="1"/>
  <c r="CU273" i="3" s="1"/>
  <c r="G130" i="23"/>
  <c r="H130" i="23" s="1"/>
  <c r="CU130" i="3" s="1"/>
  <c r="G175" i="23"/>
  <c r="H175" i="23" s="1"/>
  <c r="CU175" i="3" s="1"/>
  <c r="G164" i="23"/>
  <c r="H164" i="23" s="1"/>
  <c r="CU164" i="3" s="1"/>
  <c r="G280" i="23"/>
  <c r="H280" i="23" s="1"/>
  <c r="CU280" i="3" s="1"/>
  <c r="G86" i="23"/>
  <c r="H86" i="23" s="1"/>
  <c r="CU86" i="3" s="1"/>
  <c r="G124" i="23"/>
  <c r="H124" i="23" s="1"/>
  <c r="CU124" i="3" s="1"/>
  <c r="G48" i="23"/>
  <c r="H48" i="23" s="1"/>
  <c r="CU48" i="3" s="1"/>
  <c r="G49" i="23"/>
  <c r="H49" i="23" s="1"/>
  <c r="CU49" i="3" s="1"/>
  <c r="G254" i="23"/>
  <c r="H254" i="23" s="1"/>
  <c r="CU254" i="3" s="1"/>
  <c r="G217" i="23"/>
  <c r="H217" i="23" s="1"/>
  <c r="CU217" i="3" s="1"/>
  <c r="G14" i="23"/>
  <c r="H14" i="23" s="1"/>
  <c r="CU14" i="3" s="1"/>
  <c r="G91" i="23"/>
  <c r="H91" i="23" s="1"/>
  <c r="CU91" i="3" s="1"/>
  <c r="G197" i="23"/>
  <c r="H197" i="23" s="1"/>
  <c r="CU197" i="3" s="1"/>
  <c r="G83" i="23"/>
  <c r="H83" i="23" s="1"/>
  <c r="CU83" i="3" s="1"/>
  <c r="G28" i="23"/>
  <c r="H28" i="23" s="1"/>
  <c r="CU28" i="3" s="1"/>
  <c r="G168" i="23"/>
  <c r="H168" i="23" s="1"/>
  <c r="CU168" i="3" s="1"/>
  <c r="G138" i="23"/>
  <c r="H138" i="23" s="1"/>
  <c r="CU138" i="3" s="1"/>
  <c r="G108" i="23"/>
  <c r="H108" i="23" s="1"/>
  <c r="CU108" i="3" s="1"/>
  <c r="G218" i="23"/>
  <c r="H218" i="23" s="1"/>
  <c r="CU218" i="3" s="1"/>
  <c r="G85" i="23"/>
  <c r="H85" i="23" s="1"/>
  <c r="CU85" i="3" s="1"/>
  <c r="G7" i="23"/>
  <c r="H7" i="23" s="1"/>
  <c r="CU7" i="3" s="1"/>
  <c r="G139" i="23"/>
  <c r="H139" i="23" s="1"/>
  <c r="CU139" i="3" s="1"/>
  <c r="G248" i="23"/>
  <c r="H248" i="23" s="1"/>
  <c r="CU248" i="3" s="1"/>
  <c r="G195" i="23"/>
  <c r="H195" i="23" s="1"/>
  <c r="CU195" i="3" s="1"/>
  <c r="G61" i="23"/>
  <c r="H61" i="23" s="1"/>
  <c r="CU61" i="3" s="1"/>
  <c r="G278" i="23"/>
  <c r="H278" i="23" s="1"/>
  <c r="CU278" i="3" s="1"/>
  <c r="G268" i="23"/>
  <c r="H268" i="23" s="1"/>
  <c r="CU268" i="3" s="1"/>
  <c r="G145" i="23"/>
  <c r="H145" i="23" s="1"/>
  <c r="CU145" i="3" s="1"/>
  <c r="G44" i="23"/>
  <c r="H44" i="23" s="1"/>
  <c r="CU44" i="3" s="1"/>
  <c r="G232" i="23"/>
  <c r="H232" i="23" s="1"/>
  <c r="CU232" i="3" s="1"/>
  <c r="G152" i="23"/>
  <c r="H152" i="23" s="1"/>
  <c r="CU152" i="3" s="1"/>
  <c r="G113" i="23"/>
  <c r="H113" i="23" s="1"/>
  <c r="CU113" i="3" s="1"/>
  <c r="G50" i="23"/>
  <c r="H50" i="23" s="1"/>
  <c r="CU50" i="3" s="1"/>
  <c r="G193" i="23"/>
  <c r="H193" i="23" s="1"/>
  <c r="CU193" i="3" s="1"/>
  <c r="G289" i="23"/>
  <c r="H289" i="23" s="1"/>
  <c r="CU289" i="3" s="1"/>
  <c r="G172" i="23"/>
  <c r="H172" i="23" s="1"/>
  <c r="CU172" i="3" s="1"/>
  <c r="G211" i="23"/>
  <c r="H211" i="23" s="1"/>
  <c r="CU211" i="3" s="1"/>
  <c r="G69" i="23"/>
  <c r="H69" i="23" s="1"/>
  <c r="CU69" i="3" s="1"/>
  <c r="G12" i="23"/>
  <c r="H12" i="23" s="1"/>
  <c r="CU12" i="3" s="1"/>
  <c r="G34" i="23"/>
  <c r="H34" i="23" s="1"/>
  <c r="CU34" i="3" s="1"/>
  <c r="G40" i="23"/>
  <c r="H40" i="23" s="1"/>
  <c r="CU40" i="3" s="1"/>
  <c r="G95" i="23"/>
  <c r="H95" i="23" s="1"/>
  <c r="CU95" i="3" s="1"/>
  <c r="G114" i="23"/>
  <c r="H114" i="23" s="1"/>
  <c r="CU114" i="3" s="1"/>
  <c r="G167" i="23"/>
  <c r="H167" i="23" s="1"/>
  <c r="CU167" i="3" s="1"/>
  <c r="G215" i="23"/>
  <c r="H215" i="23" s="1"/>
  <c r="CU215" i="3" s="1"/>
  <c r="G82" i="23"/>
  <c r="H82" i="23" s="1"/>
  <c r="CU82" i="3" s="1"/>
  <c r="G230" i="23"/>
  <c r="H230" i="23" s="1"/>
  <c r="CU230" i="3" s="1"/>
  <c r="G9" i="23"/>
  <c r="H9" i="23" s="1"/>
  <c r="CU9" i="3" s="1"/>
  <c r="G185" i="23"/>
  <c r="H185" i="23" s="1"/>
  <c r="CU185" i="3" s="1"/>
  <c r="G190" i="23"/>
  <c r="H190" i="23" s="1"/>
  <c r="CU190" i="3" s="1"/>
  <c r="G146" i="23"/>
  <c r="H146" i="23" s="1"/>
  <c r="CU146" i="3" s="1"/>
  <c r="G154" i="23"/>
  <c r="H154" i="23" s="1"/>
  <c r="CU154" i="3" s="1"/>
  <c r="G81" i="23"/>
  <c r="H81" i="23" s="1"/>
  <c r="CU81" i="3" s="1"/>
  <c r="G6" i="23"/>
  <c r="H6" i="23" s="1"/>
  <c r="CU6" i="3" s="1"/>
  <c r="G33" i="23"/>
  <c r="H33" i="23" s="1"/>
  <c r="CU33" i="3" s="1"/>
  <c r="G288" i="23"/>
  <c r="H288" i="23" s="1"/>
  <c r="CU288" i="3" s="1"/>
  <c r="G140" i="23"/>
  <c r="H140" i="23" s="1"/>
  <c r="CU140" i="3" s="1"/>
  <c r="G70" i="23"/>
  <c r="H70" i="23" s="1"/>
  <c r="CU70" i="3" s="1"/>
  <c r="G11" i="23"/>
  <c r="H11" i="23" s="1"/>
  <c r="CU11" i="3" s="1"/>
  <c r="G55" i="23"/>
  <c r="H55" i="23" s="1"/>
  <c r="CU55" i="3" s="1"/>
  <c r="G119" i="23"/>
  <c r="H119" i="23" s="1"/>
  <c r="CU119" i="3" s="1"/>
  <c r="G149" i="23"/>
  <c r="H149" i="23" s="1"/>
  <c r="CU149" i="3" s="1"/>
  <c r="G13" i="23"/>
  <c r="H13" i="23" s="1"/>
  <c r="CU13" i="3" s="1"/>
  <c r="G277" i="23"/>
  <c r="H277" i="23" s="1"/>
  <c r="CU277" i="3" s="1"/>
  <c r="G179" i="23"/>
  <c r="H179" i="23" s="1"/>
  <c r="CU179" i="3" s="1"/>
  <c r="G174" i="23"/>
  <c r="H174" i="23" s="1"/>
  <c r="CU174" i="3" s="1"/>
  <c r="G120" i="23"/>
  <c r="H120" i="23" s="1"/>
  <c r="CU120" i="3" s="1"/>
  <c r="G90" i="23"/>
  <c r="H90" i="23" s="1"/>
  <c r="CU90" i="3" s="1"/>
  <c r="G171" i="23"/>
  <c r="H171" i="23" s="1"/>
  <c r="CU171" i="3" s="1"/>
  <c r="G227" i="23"/>
  <c r="H227" i="23" s="1"/>
  <c r="CU227" i="3" s="1"/>
  <c r="G264" i="23"/>
  <c r="H264" i="23" s="1"/>
  <c r="CU264" i="3" s="1"/>
  <c r="G53" i="23"/>
  <c r="H53" i="23" s="1"/>
  <c r="CU53" i="3" s="1"/>
  <c r="G135" i="23"/>
  <c r="H135" i="23" s="1"/>
  <c r="CU135" i="3" s="1"/>
  <c r="G260" i="23"/>
  <c r="H260" i="23" s="1"/>
  <c r="CU260" i="3" s="1"/>
  <c r="G102" i="23"/>
  <c r="H102" i="23" s="1"/>
  <c r="CU102" i="3" s="1"/>
  <c r="G59" i="23"/>
  <c r="H59" i="23" s="1"/>
  <c r="CU59" i="3" s="1"/>
  <c r="G239" i="23"/>
  <c r="H239" i="23" s="1"/>
  <c r="CU239" i="3" s="1"/>
  <c r="G216" i="23"/>
  <c r="H216" i="23" s="1"/>
  <c r="CU216" i="3" s="1"/>
  <c r="G285" i="23"/>
  <c r="H285" i="23" s="1"/>
  <c r="CU285" i="3" s="1"/>
  <c r="G258" i="23"/>
  <c r="H258" i="23" s="1"/>
  <c r="CU258" i="3" s="1"/>
  <c r="G170" i="23"/>
  <c r="H170" i="23" s="1"/>
  <c r="CU170" i="3" s="1"/>
  <c r="G247" i="23"/>
  <c r="H247" i="23" s="1"/>
  <c r="CU247" i="3" s="1"/>
  <c r="G107" i="23"/>
  <c r="H107" i="23" s="1"/>
  <c r="CU107" i="3" s="1"/>
  <c r="G249" i="23"/>
  <c r="H249" i="23" s="1"/>
  <c r="CU249" i="3" s="1"/>
  <c r="G56" i="23"/>
  <c r="H56" i="23" s="1"/>
  <c r="CU56" i="3" s="1"/>
  <c r="G186" i="23"/>
  <c r="H186" i="23" s="1"/>
  <c r="CU186" i="3" s="1"/>
  <c r="G196" i="23"/>
  <c r="H196" i="23" s="1"/>
  <c r="CU196" i="3" s="1"/>
  <c r="G15" i="23"/>
  <c r="H15" i="23" s="1"/>
  <c r="CU15" i="3" s="1"/>
  <c r="G286" i="23"/>
  <c r="H286" i="23" s="1"/>
  <c r="CU286" i="3" s="1"/>
  <c r="G141" i="23"/>
  <c r="H141" i="23" s="1"/>
  <c r="CU141" i="3" s="1"/>
  <c r="G32" i="23"/>
  <c r="H32" i="23" s="1"/>
  <c r="CU32" i="3" s="1"/>
  <c r="G226" i="23"/>
  <c r="H226" i="23" s="1"/>
  <c r="CU226" i="3" s="1"/>
  <c r="G137" i="23"/>
  <c r="H137" i="23" s="1"/>
  <c r="CU137" i="3" s="1"/>
  <c r="G123" i="23"/>
  <c r="H123" i="23" s="1"/>
  <c r="CU123" i="3" s="1"/>
  <c r="G58" i="23"/>
  <c r="H58" i="23" s="1"/>
  <c r="CU58" i="3" s="1"/>
  <c r="G121" i="23"/>
  <c r="H121" i="23" s="1"/>
  <c r="CU121" i="3" s="1"/>
  <c r="G54" i="23"/>
  <c r="H54" i="23" s="1"/>
  <c r="CU54" i="3" s="1"/>
  <c r="G178" i="23"/>
  <c r="H178" i="23" s="1"/>
  <c r="CU178" i="3" s="1"/>
  <c r="G236" i="23"/>
  <c r="H236" i="23" s="1"/>
  <c r="CU236" i="3" s="1"/>
  <c r="G235" i="23"/>
  <c r="H235" i="23" s="1"/>
  <c r="CU235" i="3" s="1"/>
  <c r="G194" i="23"/>
  <c r="H194" i="23" s="1"/>
  <c r="CU194" i="3" s="1"/>
  <c r="G266" i="23"/>
  <c r="H266" i="23" s="1"/>
  <c r="CU266" i="3" s="1"/>
  <c r="G241" i="23"/>
  <c r="H241" i="23" s="1"/>
  <c r="CU241" i="3" s="1"/>
  <c r="G122" i="23"/>
  <c r="H122" i="23" s="1"/>
  <c r="CU122" i="3" s="1"/>
  <c r="G93" i="23"/>
  <c r="H93" i="23" s="1"/>
  <c r="CU93" i="3" s="1"/>
  <c r="G104" i="23"/>
  <c r="H104" i="23" s="1"/>
  <c r="CU104" i="3" s="1"/>
  <c r="G26" i="23"/>
  <c r="H26" i="23" s="1"/>
  <c r="CU26" i="3" s="1"/>
  <c r="G143" i="23"/>
  <c r="H143" i="23" s="1"/>
  <c r="CU143" i="3" s="1"/>
  <c r="G19" i="23"/>
  <c r="H19" i="23" s="1"/>
  <c r="CU19" i="3" s="1"/>
  <c r="G166" i="23"/>
  <c r="H166" i="23" s="1"/>
  <c r="CU166" i="3" s="1"/>
  <c r="G173" i="23"/>
  <c r="H173" i="23" s="1"/>
  <c r="CU173" i="3" s="1"/>
  <c r="G160" i="23"/>
  <c r="H160" i="23" s="1"/>
  <c r="CU160" i="3" s="1"/>
  <c r="G156" i="23"/>
  <c r="H156" i="23" s="1"/>
  <c r="CU156" i="3" s="1"/>
  <c r="G8" i="23"/>
  <c r="H8" i="23" s="1"/>
  <c r="CU8" i="3" s="1"/>
  <c r="G181" i="23"/>
  <c r="H181" i="23" s="1"/>
  <c r="CU181" i="3" s="1"/>
  <c r="G153" i="23"/>
  <c r="H153" i="23" s="1"/>
  <c r="CU153" i="3" s="1"/>
  <c r="G184" i="23"/>
  <c r="H184" i="23" s="1"/>
  <c r="CU184" i="3" s="1"/>
  <c r="G31" i="23"/>
  <c r="H31" i="23" s="1"/>
  <c r="CU31" i="3" s="1"/>
  <c r="G207" i="23"/>
  <c r="H207" i="23" s="1"/>
  <c r="CU207" i="3" s="1"/>
  <c r="G92" i="23"/>
  <c r="H92" i="23" s="1"/>
  <c r="CU92" i="3" s="1"/>
  <c r="G206" i="23"/>
  <c r="H206" i="23" s="1"/>
  <c r="CU206" i="3" s="1"/>
  <c r="G62" i="23"/>
  <c r="H62" i="23" s="1"/>
  <c r="CU62" i="3" s="1"/>
  <c r="G127" i="23"/>
  <c r="H127" i="23" s="1"/>
  <c r="CU127" i="3" s="1"/>
  <c r="G41" i="23"/>
  <c r="H41" i="23" s="1"/>
  <c r="CU41" i="3" s="1"/>
  <c r="G158" i="23"/>
  <c r="H158" i="23" s="1"/>
  <c r="CU158" i="3" s="1"/>
  <c r="G42" i="23"/>
  <c r="H42" i="23" s="1"/>
  <c r="CU42" i="3" s="1"/>
  <c r="G60" i="23"/>
  <c r="H60" i="23" s="1"/>
  <c r="CU60" i="3" s="1"/>
  <c r="G244" i="23"/>
  <c r="H244" i="23" s="1"/>
  <c r="CU244" i="3" s="1"/>
  <c r="G103" i="23"/>
  <c r="H103" i="23" s="1"/>
  <c r="CU103" i="3" s="1"/>
  <c r="G214" i="23"/>
  <c r="H214" i="23" s="1"/>
  <c r="CU214" i="3" s="1"/>
  <c r="G75" i="23"/>
  <c r="H75" i="23" s="1"/>
  <c r="CU75" i="3" s="1"/>
  <c r="G136" i="23"/>
  <c r="H136" i="23" s="1"/>
  <c r="CU136" i="3" s="1"/>
  <c r="G57" i="23"/>
  <c r="H57" i="23" s="1"/>
  <c r="CU57" i="3" s="1"/>
  <c r="G63" i="23"/>
  <c r="H63" i="23" s="1"/>
  <c r="CU63" i="3" s="1"/>
  <c r="G251" i="23"/>
  <c r="H251" i="23" s="1"/>
  <c r="CU251" i="3" s="1"/>
  <c r="G132" i="23"/>
  <c r="H132" i="23" s="1"/>
  <c r="CU132" i="3" s="1"/>
  <c r="G255" i="23"/>
  <c r="H255" i="23" s="1"/>
  <c r="CU255" i="3" s="1"/>
  <c r="G29" i="23"/>
  <c r="H29" i="23" s="1"/>
  <c r="CU29" i="3" s="1"/>
  <c r="G219" i="23"/>
  <c r="H219" i="23" s="1"/>
  <c r="CU219" i="3" s="1"/>
  <c r="G287" i="23"/>
  <c r="H287" i="23" s="1"/>
  <c r="CU287" i="3" s="1"/>
  <c r="G98" i="23"/>
  <c r="H98" i="23" s="1"/>
  <c r="CU98" i="3" s="1"/>
  <c r="G96" i="23"/>
  <c r="H96" i="23" s="1"/>
  <c r="CU96" i="3" s="1"/>
  <c r="AR96" i="3"/>
  <c r="G221" i="23"/>
  <c r="H221" i="23" s="1"/>
  <c r="CU221" i="3" s="1"/>
  <c r="G252" i="23"/>
  <c r="H252" i="23" s="1"/>
  <c r="CU252" i="3" s="1"/>
  <c r="G80" i="23"/>
  <c r="H80" i="23" s="1"/>
  <c r="CU80" i="3" s="1"/>
  <c r="G101" i="23"/>
  <c r="H101" i="23" s="1"/>
  <c r="CU101" i="3" s="1"/>
  <c r="G188" i="23"/>
  <c r="H188" i="23" s="1"/>
  <c r="CU188" i="3" s="1"/>
  <c r="G261" i="23"/>
  <c r="H261" i="23" s="1"/>
  <c r="CU261" i="3" s="1"/>
  <c r="G231" i="23"/>
  <c r="H231" i="23" s="1"/>
  <c r="CU231" i="3" s="1"/>
  <c r="G100" i="23"/>
  <c r="H100" i="23" s="1"/>
  <c r="CU100" i="3" s="1"/>
  <c r="G118" i="23"/>
  <c r="H118" i="23" s="1"/>
  <c r="CU118" i="3" s="1"/>
  <c r="G245" i="23"/>
  <c r="H245" i="23" s="1"/>
  <c r="CU245" i="3" s="1"/>
  <c r="G270" i="23"/>
  <c r="H270" i="23" s="1"/>
  <c r="CU270" i="3" s="1"/>
  <c r="G45" i="23"/>
  <c r="H45" i="23" s="1"/>
  <c r="CU45" i="3" s="1"/>
  <c r="G276" i="23"/>
  <c r="H276" i="23" s="1"/>
  <c r="CU276" i="3" s="1"/>
  <c r="G115" i="23"/>
  <c r="H115" i="23" s="1"/>
  <c r="CU115" i="3" s="1"/>
  <c r="G208" i="23"/>
  <c r="H208" i="23" s="1"/>
  <c r="CU208" i="3" s="1"/>
  <c r="G233" i="23"/>
  <c r="H233" i="23" s="1"/>
  <c r="CU233" i="3" s="1"/>
  <c r="G51" i="23"/>
  <c r="H51" i="23" s="1"/>
  <c r="CU51" i="3" s="1"/>
  <c r="G18" i="23"/>
  <c r="H18" i="23" s="1"/>
  <c r="CU18" i="3" s="1"/>
  <c r="G84" i="23"/>
  <c r="H84" i="23" s="1"/>
  <c r="CU84" i="3" s="1"/>
  <c r="G240" i="23"/>
  <c r="H240" i="23" s="1"/>
  <c r="CU240" i="3" s="1"/>
  <c r="G177" i="23"/>
  <c r="H177" i="23" s="1"/>
  <c r="CU177" i="3" s="1"/>
  <c r="G30" i="23"/>
  <c r="H30" i="23" s="1"/>
  <c r="CU30" i="3" s="1"/>
  <c r="G192" i="23"/>
  <c r="H192" i="23" s="1"/>
  <c r="CU192" i="3" s="1"/>
  <c r="G243" i="23"/>
  <c r="H243" i="23" s="1"/>
  <c r="CU243" i="3" s="1"/>
  <c r="G271" i="23"/>
  <c r="H271" i="23" s="1"/>
  <c r="CU271" i="3" s="1"/>
  <c r="G201" i="23"/>
  <c r="H201" i="23" s="1"/>
  <c r="CU201" i="3" s="1"/>
  <c r="G22" i="23"/>
  <c r="H22" i="23" s="1"/>
  <c r="CU22" i="3" s="1"/>
  <c r="G131" i="23"/>
  <c r="H131" i="23" s="1"/>
  <c r="CU131" i="3" s="1"/>
  <c r="G169" i="23"/>
  <c r="H169" i="23" s="1"/>
  <c r="CU169" i="3" s="1"/>
  <c r="G223" i="23"/>
  <c r="H223" i="23" s="1"/>
  <c r="CU223" i="3" s="1"/>
  <c r="G111" i="23"/>
  <c r="H111" i="23" s="1"/>
  <c r="CU111" i="3" s="1"/>
  <c r="G203" i="23"/>
  <c r="H203" i="23" s="1"/>
  <c r="CU203" i="3" s="1"/>
  <c r="G269" i="23"/>
  <c r="H269" i="23" s="1"/>
  <c r="CU269" i="3" s="1"/>
  <c r="G133" i="23"/>
  <c r="H133" i="23" s="1"/>
  <c r="CU133" i="3" s="1"/>
  <c r="G198" i="23"/>
  <c r="H198" i="23" s="1"/>
  <c r="CU198" i="3" s="1"/>
  <c r="G267" i="23"/>
  <c r="H267" i="23" s="1"/>
  <c r="CU267" i="3" s="1"/>
  <c r="G165" i="23"/>
  <c r="H165" i="23" s="1"/>
  <c r="CU165" i="3" s="1"/>
  <c r="G105" i="23"/>
  <c r="H105" i="23" s="1"/>
  <c r="CU105" i="3" s="1"/>
  <c r="G68" i="23"/>
  <c r="H68" i="23" s="1"/>
  <c r="CU68" i="3" s="1"/>
  <c r="G10" i="23"/>
  <c r="H10" i="23" s="1"/>
  <c r="CU10" i="3" s="1"/>
  <c r="G228" i="23"/>
  <c r="H228" i="23" s="1"/>
  <c r="CU228" i="3" s="1"/>
  <c r="G116" i="23"/>
  <c r="H116" i="23" s="1"/>
  <c r="CU116" i="3" s="1"/>
  <c r="G147" i="23"/>
  <c r="H147" i="23" s="1"/>
  <c r="CU147" i="3" s="1"/>
  <c r="G76" i="23"/>
  <c r="H76" i="23" s="1"/>
  <c r="CU76" i="3" s="1"/>
  <c r="G66" i="23"/>
  <c r="H66" i="23" s="1"/>
  <c r="CU66" i="3" s="1"/>
  <c r="G224" i="23"/>
  <c r="H224" i="23" s="1"/>
  <c r="CU224" i="3" s="1"/>
  <c r="G67" i="23"/>
  <c r="H67" i="23" s="1"/>
  <c r="CU67" i="3" s="1"/>
  <c r="G272" i="23"/>
  <c r="H272" i="23" s="1"/>
  <c r="CU272" i="3" s="1"/>
  <c r="G212" i="23"/>
  <c r="H212" i="23" s="1"/>
  <c r="CU212" i="3" s="1"/>
  <c r="G259" i="23"/>
  <c r="H259" i="23" s="1"/>
  <c r="CU259" i="3" s="1"/>
  <c r="G23" i="23"/>
  <c r="H23" i="23" s="1"/>
  <c r="CU23" i="3" s="1"/>
  <c r="G117" i="23"/>
  <c r="H117" i="23" s="1"/>
  <c r="CU117" i="3" s="1"/>
  <c r="G204" i="23"/>
  <c r="H204" i="23" s="1"/>
  <c r="CU204" i="3" s="1"/>
  <c r="G129" i="23"/>
  <c r="H129" i="23" s="1"/>
  <c r="CU129" i="3" s="1"/>
  <c r="G246" i="23"/>
  <c r="H246" i="23" s="1"/>
  <c r="CU246" i="3" s="1"/>
  <c r="AR246" i="3"/>
  <c r="G39" i="23"/>
  <c r="H39" i="23" s="1"/>
  <c r="CU39" i="3" s="1"/>
  <c r="G106" i="23"/>
  <c r="H106" i="23" s="1"/>
  <c r="CU106" i="3" s="1"/>
  <c r="G283" i="23"/>
  <c r="H283" i="23" s="1"/>
  <c r="CU283" i="3" s="1"/>
  <c r="G37" i="23"/>
  <c r="H37" i="23" s="1"/>
  <c r="CU37" i="3" s="1"/>
  <c r="G144" i="23"/>
  <c r="H144" i="23" s="1"/>
  <c r="CU144" i="3" s="1"/>
  <c r="G88" i="23"/>
  <c r="H88" i="23" s="1"/>
  <c r="CU88" i="3" s="1"/>
  <c r="G205" i="23"/>
  <c r="H205" i="23" s="1"/>
  <c r="CU205" i="3" s="1"/>
  <c r="G183" i="23"/>
  <c r="H183" i="23" s="1"/>
  <c r="CU183" i="3" s="1"/>
  <c r="G176" i="23"/>
  <c r="H176" i="23" s="1"/>
  <c r="CU176" i="3" s="1"/>
  <c r="G151" i="23"/>
  <c r="H151" i="23" s="1"/>
  <c r="CU151" i="3" s="1"/>
  <c r="G99" i="23"/>
  <c r="H99" i="23" s="1"/>
  <c r="CU99" i="3" s="1"/>
  <c r="AI150" i="3"/>
  <c r="R149" i="21"/>
  <c r="AI71" i="3"/>
  <c r="R70" i="21"/>
  <c r="AI46" i="3"/>
  <c r="R45" i="21"/>
  <c r="AI163" i="3"/>
  <c r="R162" i="21"/>
  <c r="AI142" i="3"/>
  <c r="R141" i="21"/>
  <c r="AI35" i="3"/>
  <c r="R34" i="21"/>
  <c r="AI110" i="3"/>
  <c r="R109" i="21"/>
  <c r="AI220" i="3"/>
  <c r="R219" i="21"/>
  <c r="AI242" i="3"/>
  <c r="R241" i="21"/>
  <c r="AI20" i="3"/>
  <c r="R19" i="21"/>
  <c r="AI161" i="3"/>
  <c r="R160" i="21"/>
  <c r="AI253" i="3"/>
  <c r="R252" i="21"/>
  <c r="AI282" i="3"/>
  <c r="R281" i="21"/>
  <c r="AI210" i="3"/>
  <c r="R209" i="21"/>
  <c r="AI43" i="3"/>
  <c r="R42" i="21"/>
  <c r="AI225" i="3"/>
  <c r="R224" i="21"/>
  <c r="AI72" i="3"/>
  <c r="R71" i="21"/>
  <c r="AI229" i="3"/>
  <c r="R228" i="21"/>
  <c r="AI78" i="3"/>
  <c r="R77" i="21"/>
  <c r="AI284" i="3"/>
  <c r="R283" i="21"/>
  <c r="AI256" i="3"/>
  <c r="R255" i="21"/>
  <c r="AI77" i="3"/>
  <c r="R76" i="21"/>
  <c r="AI97" i="3"/>
  <c r="R96" i="21"/>
  <c r="AI128" i="3"/>
  <c r="R127" i="21"/>
  <c r="AI200" i="3"/>
  <c r="R199" i="21"/>
  <c r="AI279" i="3"/>
  <c r="R278" i="21"/>
  <c r="AI180" i="3"/>
  <c r="R179" i="21"/>
  <c r="AI65" i="3"/>
  <c r="R64" i="21"/>
  <c r="AI290" i="3"/>
  <c r="R289" i="21"/>
  <c r="AI47" i="3"/>
  <c r="R46" i="21"/>
  <c r="AI73" i="3"/>
  <c r="R72" i="21"/>
  <c r="AI52" i="3"/>
  <c r="R51" i="21"/>
  <c r="AI199" i="3"/>
  <c r="R198" i="21"/>
  <c r="AI262" i="3"/>
  <c r="R261" i="21"/>
  <c r="BH4" i="3"/>
  <c r="AH4" i="3"/>
  <c r="AK20" i="3"/>
  <c r="AL20" i="3" s="1"/>
  <c r="CH4" i="3"/>
  <c r="AY99" i="3" l="1"/>
  <c r="O276" i="24"/>
  <c r="O193" i="24"/>
  <c r="O227" i="24"/>
  <c r="O246" i="24"/>
  <c r="O152" i="24"/>
  <c r="O36" i="24"/>
  <c r="O141" i="24"/>
  <c r="O251" i="24"/>
  <c r="O123" i="24"/>
  <c r="O139" i="24"/>
  <c r="O15" i="24"/>
  <c r="O85" i="24"/>
  <c r="O131" i="24"/>
  <c r="O242" i="24"/>
  <c r="O121" i="24"/>
  <c r="O170" i="24"/>
  <c r="O185" i="24"/>
  <c r="O133" i="24"/>
  <c r="O196" i="24"/>
  <c r="O63" i="24"/>
  <c r="O25" i="24"/>
  <c r="O255" i="24"/>
  <c r="O168" i="24"/>
  <c r="O87" i="24"/>
  <c r="O155" i="24"/>
  <c r="O129" i="24"/>
  <c r="O272" i="24"/>
  <c r="O164" i="24"/>
  <c r="O250" i="24"/>
  <c r="O147" i="24"/>
  <c r="O258" i="24"/>
  <c r="O259" i="24"/>
  <c r="O81" i="24"/>
  <c r="O213" i="24"/>
  <c r="O122" i="24"/>
  <c r="O61" i="24"/>
  <c r="O266" i="24"/>
  <c r="O172" i="24"/>
  <c r="O13" i="24"/>
  <c r="O32" i="24"/>
  <c r="O237" i="24"/>
  <c r="O65" i="24"/>
  <c r="O230" i="24"/>
  <c r="O284" i="24"/>
  <c r="O267" i="24"/>
  <c r="O34" i="24"/>
  <c r="O178" i="24"/>
  <c r="V158" i="3"/>
  <c r="AR158" i="3" s="1"/>
  <c r="CM158" i="3" s="1"/>
  <c r="CN158" i="3" s="1"/>
  <c r="AN158" i="3" s="1"/>
  <c r="O223" i="24"/>
  <c r="O100" i="24"/>
  <c r="O142" i="24"/>
  <c r="O51" i="24"/>
  <c r="O190" i="24"/>
  <c r="O248" i="24"/>
  <c r="O274" i="24"/>
  <c r="O176" i="24"/>
  <c r="V173" i="3"/>
  <c r="AR173" i="3" s="1"/>
  <c r="CM173" i="3" s="1"/>
  <c r="CN173" i="3" s="1"/>
  <c r="AN173" i="3" s="1"/>
  <c r="O44" i="24"/>
  <c r="O222" i="24"/>
  <c r="O177" i="24"/>
  <c r="O9" i="24"/>
  <c r="O16" i="24"/>
  <c r="O42" i="24"/>
  <c r="O24" i="24"/>
  <c r="O41" i="24"/>
  <c r="O112" i="24"/>
  <c r="O53" i="24"/>
  <c r="V32" i="3"/>
  <c r="AR32" i="3" s="1"/>
  <c r="CM32" i="3" s="1"/>
  <c r="CN32" i="3" s="1"/>
  <c r="AN32" i="3" s="1"/>
  <c r="O154" i="24"/>
  <c r="O269" i="24"/>
  <c r="O79" i="24"/>
  <c r="O86" i="24"/>
  <c r="O114" i="24"/>
  <c r="O62" i="24"/>
  <c r="O48" i="24"/>
  <c r="O214" i="24"/>
  <c r="O128" i="24"/>
  <c r="O55" i="24"/>
  <c r="O224" i="24"/>
  <c r="O174" i="24"/>
  <c r="O252" i="24"/>
  <c r="O157" i="24"/>
  <c r="O58" i="24"/>
  <c r="O260" i="24"/>
  <c r="O31" i="24"/>
  <c r="O148" i="24"/>
  <c r="O68" i="24"/>
  <c r="O119" i="24"/>
  <c r="O210" i="24"/>
  <c r="O38" i="24"/>
  <c r="V277" i="3"/>
  <c r="AR277" i="3" s="1"/>
  <c r="CM277" i="3" s="1"/>
  <c r="CN277" i="3" s="1"/>
  <c r="AN277" i="3" s="1"/>
  <c r="O280" i="24"/>
  <c r="O149" i="24"/>
  <c r="O244" i="24"/>
  <c r="O199" i="24"/>
  <c r="O20" i="24"/>
  <c r="O268" i="24"/>
  <c r="O125" i="24"/>
  <c r="O127" i="24"/>
  <c r="O135" i="24"/>
  <c r="O91" i="24"/>
  <c r="O202" i="24"/>
  <c r="V69" i="3"/>
  <c r="AR69" i="3" s="1"/>
  <c r="CM69" i="3" s="1"/>
  <c r="CN69" i="3" s="1"/>
  <c r="AN69" i="3" s="1"/>
  <c r="O72" i="24"/>
  <c r="O189" i="24"/>
  <c r="V186" i="3"/>
  <c r="AR186" i="3" s="1"/>
  <c r="CM186" i="3" s="1"/>
  <c r="CN186" i="3" s="1"/>
  <c r="AN186" i="3" s="1"/>
  <c r="O11" i="24"/>
  <c r="O18" i="24"/>
  <c r="O197" i="24"/>
  <c r="O126" i="24"/>
  <c r="O215" i="24"/>
  <c r="O175" i="24"/>
  <c r="O19" i="24"/>
  <c r="O204" i="24"/>
  <c r="O180" i="24"/>
  <c r="O156" i="24"/>
  <c r="O257" i="24"/>
  <c r="O130" i="24"/>
  <c r="O107" i="24"/>
  <c r="O166" i="24"/>
  <c r="O108" i="24"/>
  <c r="O12" i="24"/>
  <c r="O40" i="24"/>
  <c r="O71" i="24"/>
  <c r="O262" i="24"/>
  <c r="O89" i="24"/>
  <c r="O191" i="24"/>
  <c r="O281" i="24"/>
  <c r="O144" i="24"/>
  <c r="O29" i="24"/>
  <c r="O30" i="24"/>
  <c r="O286" i="24"/>
  <c r="O59" i="24"/>
  <c r="O146" i="24"/>
  <c r="O247" i="24"/>
  <c r="O231" i="24"/>
  <c r="O120" i="24"/>
  <c r="O98" i="24"/>
  <c r="O263" i="24"/>
  <c r="O136" i="24"/>
  <c r="O163" i="24"/>
  <c r="O111" i="24"/>
  <c r="O17" i="24"/>
  <c r="O75" i="24"/>
  <c r="O102" i="24"/>
  <c r="O209" i="24"/>
  <c r="O151" i="24"/>
  <c r="O96" i="24"/>
  <c r="O76" i="24"/>
  <c r="O254" i="24"/>
  <c r="O137" i="24"/>
  <c r="O289" i="24"/>
  <c r="O225" i="24"/>
  <c r="O207" i="24"/>
  <c r="O105" i="24"/>
  <c r="O159" i="24"/>
  <c r="O158" i="24"/>
  <c r="O88" i="24"/>
  <c r="O270" i="24"/>
  <c r="O150" i="24"/>
  <c r="O26" i="24"/>
  <c r="V23" i="3"/>
  <c r="AR23" i="3" s="1"/>
  <c r="CM23" i="3" s="1"/>
  <c r="CN23" i="3" s="1"/>
  <c r="AN23" i="3" s="1"/>
  <c r="V235" i="3"/>
  <c r="AR235" i="3" s="1"/>
  <c r="CM235" i="3" s="1"/>
  <c r="CN235" i="3" s="1"/>
  <c r="AN235" i="3" s="1"/>
  <c r="O238" i="24"/>
  <c r="O153" i="24"/>
  <c r="V150" i="3"/>
  <c r="AR150" i="3" s="1"/>
  <c r="V64" i="3"/>
  <c r="AR64" i="3" s="1"/>
  <c r="CM64" i="3" s="1"/>
  <c r="CN64" i="3" s="1"/>
  <c r="AN64" i="3" s="1"/>
  <c r="O67" i="24"/>
  <c r="V275" i="3"/>
  <c r="AR275" i="3" s="1"/>
  <c r="CM275" i="3" s="1"/>
  <c r="CN275" i="3" s="1"/>
  <c r="AN275" i="3" s="1"/>
  <c r="O278" i="24"/>
  <c r="O54" i="24"/>
  <c r="O291" i="24"/>
  <c r="O103" i="24"/>
  <c r="O94" i="24"/>
  <c r="O117" i="24"/>
  <c r="O77" i="24"/>
  <c r="O14" i="24"/>
  <c r="O10" i="24"/>
  <c r="O182" i="24"/>
  <c r="O165" i="24"/>
  <c r="O216" i="24"/>
  <c r="O186" i="24"/>
  <c r="O221" i="24"/>
  <c r="O160" i="24"/>
  <c r="O21" i="24"/>
  <c r="O69" i="24"/>
  <c r="O226" i="24"/>
  <c r="O52" i="24"/>
  <c r="O179" i="24"/>
  <c r="O285" i="24"/>
  <c r="O212" i="24"/>
  <c r="O57" i="24"/>
  <c r="O106" i="24"/>
  <c r="O33" i="24"/>
  <c r="O203" i="24"/>
  <c r="O47" i="24"/>
  <c r="V44" i="3"/>
  <c r="AR44" i="3" s="1"/>
  <c r="CM44" i="3" s="1"/>
  <c r="CN44" i="3" s="1"/>
  <c r="AN44" i="3" s="1"/>
  <c r="O236" i="24"/>
  <c r="V233" i="3"/>
  <c r="AR233" i="3" s="1"/>
  <c r="CM233" i="3" s="1"/>
  <c r="CN233" i="3" s="1"/>
  <c r="AN233" i="3" s="1"/>
  <c r="L50" i="24"/>
  <c r="N50" i="24" s="1"/>
  <c r="L273" i="24"/>
  <c r="N273" i="24" s="1"/>
  <c r="O273" i="24" s="1"/>
  <c r="L181" i="24"/>
  <c r="N181" i="24" s="1"/>
  <c r="L78" i="24"/>
  <c r="N78" i="24" s="1"/>
  <c r="L70" i="24"/>
  <c r="N70" i="24" s="1"/>
  <c r="L28" i="24"/>
  <c r="N28" i="24" s="1"/>
  <c r="V25" i="3" s="1"/>
  <c r="AR25" i="3" s="1"/>
  <c r="CM25" i="3" s="1"/>
  <c r="CN25" i="3" s="1"/>
  <c r="AN25" i="3" s="1"/>
  <c r="BK25" i="3" s="1"/>
  <c r="BM25" i="3" s="1"/>
  <c r="BO25" i="3" s="1"/>
  <c r="L256" i="24"/>
  <c r="N256" i="24" s="1"/>
  <c r="O275" i="24"/>
  <c r="O265" i="24"/>
  <c r="O200" i="24"/>
  <c r="O253" i="24"/>
  <c r="L239" i="24"/>
  <c r="N239" i="24" s="1"/>
  <c r="V236" i="3" s="1"/>
  <c r="AR236" i="3" s="1"/>
  <c r="CM236" i="3" s="1"/>
  <c r="CN236" i="3" s="1"/>
  <c r="AN236" i="3" s="1"/>
  <c r="L74" i="24"/>
  <c r="N74" i="24" s="1"/>
  <c r="L211" i="24"/>
  <c r="N211" i="24" s="1"/>
  <c r="L80" i="24"/>
  <c r="N80" i="24" s="1"/>
  <c r="L113" i="24"/>
  <c r="N113" i="24" s="1"/>
  <c r="V110" i="3" s="1"/>
  <c r="AR110" i="3" s="1"/>
  <c r="L173" i="24"/>
  <c r="N173" i="24" s="1"/>
  <c r="L292" i="24"/>
  <c r="N292" i="24" s="1"/>
  <c r="O93" i="24"/>
  <c r="O132" i="24"/>
  <c r="O143" i="24"/>
  <c r="O206" i="24"/>
  <c r="O219" i="24"/>
  <c r="O73" i="24"/>
  <c r="V92" i="3"/>
  <c r="AR92" i="3" s="1"/>
  <c r="CM92" i="3" s="1"/>
  <c r="CN92" i="3" s="1"/>
  <c r="AN92" i="3" s="1"/>
  <c r="L228" i="24"/>
  <c r="N228" i="24" s="1"/>
  <c r="L49" i="24"/>
  <c r="N49" i="24" s="1"/>
  <c r="L279" i="24"/>
  <c r="N279" i="24" s="1"/>
  <c r="V276" i="3" s="1"/>
  <c r="AR276" i="3" s="1"/>
  <c r="CM276" i="3" s="1"/>
  <c r="CN276" i="3" s="1"/>
  <c r="AN276" i="3" s="1"/>
  <c r="L293" i="24"/>
  <c r="N293" i="24" s="1"/>
  <c r="L282" i="24"/>
  <c r="N282" i="24" s="1"/>
  <c r="V279" i="3" s="1"/>
  <c r="AR279" i="3" s="1"/>
  <c r="L171" i="24"/>
  <c r="N171" i="24" s="1"/>
  <c r="O283" i="24"/>
  <c r="O66" i="24"/>
  <c r="O124" i="24"/>
  <c r="O288" i="24"/>
  <c r="O192" i="24"/>
  <c r="O218" i="24"/>
  <c r="O201" i="24"/>
  <c r="L235" i="24"/>
  <c r="N235" i="24" s="1"/>
  <c r="L23" i="24"/>
  <c r="N23" i="24" s="1"/>
  <c r="L90" i="24"/>
  <c r="N90" i="24" s="1"/>
  <c r="L234" i="24"/>
  <c r="N234" i="24" s="1"/>
  <c r="L184" i="24"/>
  <c r="N184" i="24" s="1"/>
  <c r="O184" i="24" s="1"/>
  <c r="L232" i="24"/>
  <c r="N232" i="24" s="1"/>
  <c r="L167" i="24"/>
  <c r="N167" i="24" s="1"/>
  <c r="O27" i="24"/>
  <c r="O195" i="24"/>
  <c r="O140" i="24"/>
  <c r="O287" i="24"/>
  <c r="O22" i="24"/>
  <c r="O104" i="24"/>
  <c r="L118" i="24"/>
  <c r="N118" i="24" s="1"/>
  <c r="L60" i="24"/>
  <c r="N60" i="24" s="1"/>
  <c r="V57" i="3" s="1"/>
  <c r="AR57" i="3" s="1"/>
  <c r="L271" i="24"/>
  <c r="N271" i="24" s="1"/>
  <c r="V268" i="3" s="1"/>
  <c r="AR268" i="3" s="1"/>
  <c r="CM268" i="3" s="1"/>
  <c r="CN268" i="3" s="1"/>
  <c r="AN268" i="3" s="1"/>
  <c r="L116" i="24"/>
  <c r="N116" i="24" s="1"/>
  <c r="L37" i="24"/>
  <c r="N37" i="24" s="1"/>
  <c r="L145" i="24"/>
  <c r="N145" i="24" s="1"/>
  <c r="L101" i="24"/>
  <c r="N101" i="24" s="1"/>
  <c r="O101" i="24" s="1"/>
  <c r="L109" i="24"/>
  <c r="N109" i="24" s="1"/>
  <c r="O208" i="24"/>
  <c r="O97" i="24"/>
  <c r="O92" i="24"/>
  <c r="O183" i="24"/>
  <c r="L233" i="24"/>
  <c r="N233" i="24" s="1"/>
  <c r="L241" i="24"/>
  <c r="N241" i="24" s="1"/>
  <c r="L46" i="24"/>
  <c r="N46" i="24" s="1"/>
  <c r="L115" i="24"/>
  <c r="N115" i="24" s="1"/>
  <c r="L110" i="24"/>
  <c r="N110" i="24" s="1"/>
  <c r="O110" i="24" s="1"/>
  <c r="O64" i="24"/>
  <c r="O194" i="24"/>
  <c r="O240" i="24"/>
  <c r="O198" i="24"/>
  <c r="L82" i="24"/>
  <c r="N82" i="24" s="1"/>
  <c r="L39" i="24"/>
  <c r="N39" i="24" s="1"/>
  <c r="V36" i="3" s="1"/>
  <c r="AR36" i="3" s="1"/>
  <c r="CM36" i="3" s="1"/>
  <c r="CN36" i="3" s="1"/>
  <c r="AN36" i="3" s="1"/>
  <c r="L261" i="24"/>
  <c r="N261" i="24" s="1"/>
  <c r="L220" i="24"/>
  <c r="N220" i="24" s="1"/>
  <c r="L45" i="24"/>
  <c r="N45" i="24" s="1"/>
  <c r="L245" i="24"/>
  <c r="N245" i="24" s="1"/>
  <c r="V242" i="3" s="1"/>
  <c r="AR242" i="3" s="1"/>
  <c r="L205" i="24"/>
  <c r="N205" i="24" s="1"/>
  <c r="L188" i="24"/>
  <c r="N188" i="24" s="1"/>
  <c r="O187" i="24"/>
  <c r="O217" i="24"/>
  <c r="O138" i="24"/>
  <c r="O290" i="24"/>
  <c r="O229" i="24"/>
  <c r="L84" i="24"/>
  <c r="N84" i="24" s="1"/>
  <c r="L8" i="24"/>
  <c r="N8" i="24" s="1"/>
  <c r="AY187" i="3"/>
  <c r="AY209" i="3"/>
  <c r="O169" i="24"/>
  <c r="O243" i="24"/>
  <c r="O134" i="24"/>
  <c r="O83" i="24"/>
  <c r="M60" i="24"/>
  <c r="M39" i="24"/>
  <c r="AR80" i="3"/>
  <c r="CM80" i="3" s="1"/>
  <c r="CN80" i="3" s="1"/>
  <c r="AN80" i="3" s="1"/>
  <c r="AR240" i="3"/>
  <c r="CM240" i="3" s="1"/>
  <c r="CN240" i="3" s="1"/>
  <c r="AN240" i="3" s="1"/>
  <c r="AR166" i="3"/>
  <c r="CM166" i="3" s="1"/>
  <c r="CN166" i="3" s="1"/>
  <c r="AN166" i="3" s="1"/>
  <c r="AR131" i="3"/>
  <c r="CM131" i="3" s="1"/>
  <c r="CN131" i="3" s="1"/>
  <c r="AN131" i="3" s="1"/>
  <c r="AR243" i="3"/>
  <c r="CM243" i="3" s="1"/>
  <c r="CN243" i="3" s="1"/>
  <c r="AN243" i="3" s="1"/>
  <c r="AR261" i="3"/>
  <c r="CM261" i="3" s="1"/>
  <c r="CN261" i="3" s="1"/>
  <c r="AN261" i="3" s="1"/>
  <c r="O264" i="24"/>
  <c r="AR40" i="3"/>
  <c r="CM40" i="3" s="1"/>
  <c r="CN40" i="3" s="1"/>
  <c r="AN40" i="3" s="1"/>
  <c r="O43" i="24"/>
  <c r="AR53" i="3"/>
  <c r="CM53" i="3" s="1"/>
  <c r="CN53" i="3" s="1"/>
  <c r="AN53" i="3" s="1"/>
  <c r="O56" i="24"/>
  <c r="AR159" i="3"/>
  <c r="CM159" i="3" s="1"/>
  <c r="CN159" i="3" s="1"/>
  <c r="AN159" i="3" s="1"/>
  <c r="O162" i="24"/>
  <c r="BU4" i="3"/>
  <c r="BY4" i="3"/>
  <c r="BC222" i="3"/>
  <c r="BE222" i="3" s="1"/>
  <c r="BJ222" i="3" s="1"/>
  <c r="BK222" i="3"/>
  <c r="BM222" i="3" s="1"/>
  <c r="BO222" i="3" s="1"/>
  <c r="BB222" i="3"/>
  <c r="AS222" i="3"/>
  <c r="AX221" i="11" s="1"/>
  <c r="AR199" i="3"/>
  <c r="G290" i="23"/>
  <c r="H290" i="23" s="1"/>
  <c r="CU290" i="3" s="1"/>
  <c r="AR200" i="3"/>
  <c r="AR256" i="3"/>
  <c r="AR72" i="3"/>
  <c r="AR282" i="3"/>
  <c r="G242" i="23"/>
  <c r="H242" i="23" s="1"/>
  <c r="CU242" i="3" s="1"/>
  <c r="G142" i="23"/>
  <c r="H142" i="23" s="1"/>
  <c r="CU142" i="3" s="1"/>
  <c r="BB209" i="3"/>
  <c r="BK209" i="3"/>
  <c r="BM209" i="3" s="1"/>
  <c r="BO209" i="3" s="1"/>
  <c r="AS209" i="3"/>
  <c r="AX208" i="11" s="1"/>
  <c r="BC281" i="3"/>
  <c r="BE281" i="3" s="1"/>
  <c r="BJ281" i="3" s="1"/>
  <c r="BB281" i="3"/>
  <c r="BK281" i="3"/>
  <c r="BM281" i="3" s="1"/>
  <c r="BO281" i="3" s="1"/>
  <c r="AS281" i="3"/>
  <c r="Q280" i="21" s="1"/>
  <c r="BB234" i="3"/>
  <c r="BK234" i="3"/>
  <c r="BM234" i="3" s="1"/>
  <c r="BO234" i="3" s="1"/>
  <c r="AS234" i="3"/>
  <c r="AX233" i="11" s="1"/>
  <c r="BC191" i="3"/>
  <c r="BE191" i="3" s="1"/>
  <c r="BJ191" i="3" s="1"/>
  <c r="AS191" i="3"/>
  <c r="AX190" i="11" s="1"/>
  <c r="AY190" i="11" s="1"/>
  <c r="BK191" i="3"/>
  <c r="BM191" i="3" s="1"/>
  <c r="BO191" i="3" s="1"/>
  <c r="BB191" i="3"/>
  <c r="AR52" i="3"/>
  <c r="AR65" i="3"/>
  <c r="AR128" i="3"/>
  <c r="AR284" i="3"/>
  <c r="G225" i="23"/>
  <c r="H225" i="23" s="1"/>
  <c r="CU225" i="3" s="1"/>
  <c r="G253" i="23"/>
  <c r="H253" i="23" s="1"/>
  <c r="CU253" i="3" s="1"/>
  <c r="AR220" i="3"/>
  <c r="AR163" i="3"/>
  <c r="AS148" i="3"/>
  <c r="AX147" i="11" s="1"/>
  <c r="BK148" i="3"/>
  <c r="BM148" i="3" s="1"/>
  <c r="BO148" i="3" s="1"/>
  <c r="BB148" i="3"/>
  <c r="BC109" i="3"/>
  <c r="BE109" i="3" s="1"/>
  <c r="BJ109" i="3" s="1"/>
  <c r="AS109" i="3"/>
  <c r="AX108" i="11" s="1"/>
  <c r="AY108" i="11" s="1"/>
  <c r="BK109" i="3"/>
  <c r="BM109" i="3" s="1"/>
  <c r="BO109" i="3" s="1"/>
  <c r="BB109" i="3"/>
  <c r="AS21" i="3"/>
  <c r="AX20" i="11" s="1"/>
  <c r="AY20" i="11" s="1"/>
  <c r="BK21" i="3"/>
  <c r="BM21" i="3" s="1"/>
  <c r="BO21" i="3" s="1"/>
  <c r="BB21" i="3"/>
  <c r="BC213" i="3"/>
  <c r="BE213" i="3" s="1"/>
  <c r="BJ213" i="3" s="1"/>
  <c r="BB213" i="3"/>
  <c r="BK213" i="3"/>
  <c r="BM213" i="3" s="1"/>
  <c r="BO213" i="3" s="1"/>
  <c r="AS213" i="3"/>
  <c r="AX212" i="11" s="1"/>
  <c r="AY212" i="11" s="1"/>
  <c r="AR73" i="3"/>
  <c r="AR180" i="3"/>
  <c r="AR97" i="3"/>
  <c r="AR78" i="3"/>
  <c r="AR161" i="3"/>
  <c r="G110" i="23"/>
  <c r="H110" i="23" s="1"/>
  <c r="CU110" i="3" s="1"/>
  <c r="G46" i="23"/>
  <c r="H46" i="23" s="1"/>
  <c r="CU46" i="3" s="1"/>
  <c r="BC17" i="3"/>
  <c r="BK17" i="3"/>
  <c r="BM17" i="3" s="1"/>
  <c r="BO17" i="3" s="1"/>
  <c r="AS17" i="3"/>
  <c r="AX16" i="11" s="1"/>
  <c r="BB17" i="3"/>
  <c r="BC27" i="3"/>
  <c r="BE27" i="3" s="1"/>
  <c r="BJ27" i="3" s="1"/>
  <c r="AS27" i="3"/>
  <c r="Q26" i="21" s="1"/>
  <c r="BB27" i="3"/>
  <c r="BK27" i="3"/>
  <c r="BM27" i="3" s="1"/>
  <c r="BO27" i="3" s="1"/>
  <c r="BC162" i="3"/>
  <c r="BE162" i="3" s="1"/>
  <c r="BJ162" i="3" s="1"/>
  <c r="BB162" i="3"/>
  <c r="BK162" i="3"/>
  <c r="BM162" i="3" s="1"/>
  <c r="BO162" i="3" s="1"/>
  <c r="AS162" i="3"/>
  <c r="AX161" i="11" s="1"/>
  <c r="AY161" i="11" s="1"/>
  <c r="AR262" i="3"/>
  <c r="G47" i="23"/>
  <c r="H47" i="23" s="1"/>
  <c r="CU47" i="3" s="1"/>
  <c r="G279" i="23"/>
  <c r="H279" i="23" s="1"/>
  <c r="CU279" i="3" s="1"/>
  <c r="G77" i="23"/>
  <c r="H77" i="23" s="1"/>
  <c r="CU77" i="3" s="1"/>
  <c r="G229" i="23"/>
  <c r="H229" i="23" s="1"/>
  <c r="CU229" i="3" s="1"/>
  <c r="AR210" i="3"/>
  <c r="G20" i="23"/>
  <c r="H20" i="23" s="1"/>
  <c r="CU20" i="3" s="1"/>
  <c r="AR35" i="3"/>
  <c r="G71" i="23"/>
  <c r="H71" i="23" s="1"/>
  <c r="CU71" i="3" s="1"/>
  <c r="BB182" i="3"/>
  <c r="AS182" i="3"/>
  <c r="AX181" i="11" s="1"/>
  <c r="BK182" i="3"/>
  <c r="BM182" i="3" s="1"/>
  <c r="BO182" i="3" s="1"/>
  <c r="BC125" i="3"/>
  <c r="BE125" i="3" s="1"/>
  <c r="BJ125" i="3" s="1"/>
  <c r="BK125" i="3"/>
  <c r="BM125" i="3" s="1"/>
  <c r="BO125" i="3" s="1"/>
  <c r="BB125" i="3"/>
  <c r="AS125" i="3"/>
  <c r="AX124" i="11" s="1"/>
  <c r="AY124" i="11" s="1"/>
  <c r="AS257" i="3"/>
  <c r="AX256" i="11" s="1"/>
  <c r="BB257" i="3"/>
  <c r="BK257" i="3"/>
  <c r="BM257" i="3" s="1"/>
  <c r="BO257" i="3" s="1"/>
  <c r="BC89" i="3"/>
  <c r="BE89" i="3" s="1"/>
  <c r="BJ89" i="3" s="1"/>
  <c r="BK89" i="3"/>
  <c r="BM89" i="3" s="1"/>
  <c r="BO89" i="3" s="1"/>
  <c r="BB89" i="3"/>
  <c r="AS89" i="3"/>
  <c r="AX88" i="11" s="1"/>
  <c r="AY88" i="11" s="1"/>
  <c r="CM157" i="3"/>
  <c r="CN157" i="3" s="1"/>
  <c r="AN157" i="3" s="1"/>
  <c r="CM96" i="3"/>
  <c r="CN96" i="3" s="1"/>
  <c r="AN96" i="3" s="1"/>
  <c r="CM263" i="3"/>
  <c r="CN263" i="3" s="1"/>
  <c r="AN263" i="3" s="1"/>
  <c r="CM16" i="3"/>
  <c r="CN16" i="3" s="1"/>
  <c r="AN16" i="3" s="1"/>
  <c r="CM99" i="3"/>
  <c r="CN99" i="3" s="1"/>
  <c r="AN99" i="3" s="1"/>
  <c r="CM204" i="3"/>
  <c r="CN204" i="3" s="1"/>
  <c r="AN204" i="3" s="1"/>
  <c r="CM147" i="3"/>
  <c r="CN147" i="3" s="1"/>
  <c r="AN147" i="3" s="1"/>
  <c r="CM269" i="3"/>
  <c r="CN269" i="3" s="1"/>
  <c r="AN269" i="3" s="1"/>
  <c r="CM121" i="3"/>
  <c r="CN121" i="3" s="1"/>
  <c r="AN121" i="3" s="1"/>
  <c r="CM26" i="3"/>
  <c r="CN26" i="3" s="1"/>
  <c r="AN26" i="3" s="1"/>
  <c r="CM41" i="3"/>
  <c r="CN41" i="3" s="1"/>
  <c r="AN41" i="3" s="1"/>
  <c r="CM54" i="3"/>
  <c r="CN54" i="3" s="1"/>
  <c r="AN54" i="3" s="1"/>
  <c r="CM39" i="3"/>
  <c r="CN39" i="3" s="1"/>
  <c r="AN39" i="3" s="1"/>
  <c r="CM100" i="3"/>
  <c r="CN100" i="3" s="1"/>
  <c r="AN100" i="3" s="1"/>
  <c r="CM48" i="3"/>
  <c r="CN48" i="3" s="1"/>
  <c r="AN48" i="3" s="1"/>
  <c r="CM29" i="3"/>
  <c r="CN29" i="3" s="1"/>
  <c r="AN29" i="3" s="1"/>
  <c r="CM15" i="3"/>
  <c r="CN15" i="3" s="1"/>
  <c r="AN15" i="3" s="1"/>
  <c r="CM189" i="3"/>
  <c r="CN189" i="3" s="1"/>
  <c r="AN189" i="3" s="1"/>
  <c r="CM126" i="3"/>
  <c r="CN126" i="3" s="1"/>
  <c r="AN126" i="3" s="1"/>
  <c r="CM176" i="3"/>
  <c r="CN176" i="3" s="1"/>
  <c r="AN176" i="3" s="1"/>
  <c r="CM117" i="3"/>
  <c r="CN117" i="3" s="1"/>
  <c r="AN117" i="3" s="1"/>
  <c r="CM228" i="3"/>
  <c r="CN228" i="3" s="1"/>
  <c r="AN228" i="3" s="1"/>
  <c r="CM203" i="3"/>
  <c r="CN203" i="3" s="1"/>
  <c r="AN203" i="3" s="1"/>
  <c r="CM30" i="3"/>
  <c r="CN30" i="3" s="1"/>
  <c r="AN30" i="3" s="1"/>
  <c r="CM123" i="3"/>
  <c r="CN123" i="3" s="1"/>
  <c r="AN123" i="3" s="1"/>
  <c r="CM59" i="3"/>
  <c r="CN59" i="3" s="1"/>
  <c r="AN59" i="3" s="1"/>
  <c r="CM62" i="3"/>
  <c r="CN62" i="3" s="1"/>
  <c r="AN62" i="3" s="1"/>
  <c r="CM58" i="3"/>
  <c r="CN58" i="3" s="1"/>
  <c r="AN58" i="3" s="1"/>
  <c r="CM145" i="3"/>
  <c r="CN145" i="3" s="1"/>
  <c r="AN145" i="3" s="1"/>
  <c r="G200" i="23"/>
  <c r="H200" i="23" s="1"/>
  <c r="CU200" i="3" s="1"/>
  <c r="G150" i="23"/>
  <c r="H150" i="23" s="1"/>
  <c r="CU150" i="3" s="1"/>
  <c r="CM244" i="3"/>
  <c r="CN244" i="3" s="1"/>
  <c r="AN244" i="3" s="1"/>
  <c r="G65" i="23"/>
  <c r="H65" i="23" s="1"/>
  <c r="CU65" i="3" s="1"/>
  <c r="G220" i="23"/>
  <c r="H220" i="23" s="1"/>
  <c r="CU220" i="3" s="1"/>
  <c r="G73" i="23"/>
  <c r="H73" i="23" s="1"/>
  <c r="CU73" i="3" s="1"/>
  <c r="G97" i="23"/>
  <c r="H97" i="23" s="1"/>
  <c r="CU97" i="3" s="1"/>
  <c r="G78" i="23"/>
  <c r="H78" i="23" s="1"/>
  <c r="CU78" i="3" s="1"/>
  <c r="G43" i="23"/>
  <c r="H43" i="23" s="1"/>
  <c r="CU43" i="3" s="1"/>
  <c r="G161" i="23"/>
  <c r="H161" i="23" s="1"/>
  <c r="CU161" i="3" s="1"/>
  <c r="CM141" i="3"/>
  <c r="CN141" i="3" s="1"/>
  <c r="AN141" i="3" s="1"/>
  <c r="CM74" i="3"/>
  <c r="CN74" i="3" s="1"/>
  <c r="AN74" i="3" s="1"/>
  <c r="CM28" i="3"/>
  <c r="CN28" i="3" s="1"/>
  <c r="AN28" i="3" s="1"/>
  <c r="CM124" i="3"/>
  <c r="CN124" i="3" s="1"/>
  <c r="AN124" i="3" s="1"/>
  <c r="CM174" i="3"/>
  <c r="CN174" i="3" s="1"/>
  <c r="AN174" i="3" s="1"/>
  <c r="CM250" i="3"/>
  <c r="CN250" i="3" s="1"/>
  <c r="AN250" i="3" s="1"/>
  <c r="CM38" i="3"/>
  <c r="CN38" i="3" s="1"/>
  <c r="AN38" i="3" s="1"/>
  <c r="CM274" i="3"/>
  <c r="CN274" i="3" s="1"/>
  <c r="AN274" i="3" s="1"/>
  <c r="CM205" i="3"/>
  <c r="CN205" i="3" s="1"/>
  <c r="AN205" i="3" s="1"/>
  <c r="CM10" i="3"/>
  <c r="CN10" i="3" s="1"/>
  <c r="AN10" i="3" s="1"/>
  <c r="CM111" i="3"/>
  <c r="CN111" i="3" s="1"/>
  <c r="AN111" i="3" s="1"/>
  <c r="CM255" i="3"/>
  <c r="CN255" i="3" s="1"/>
  <c r="AN255" i="3" s="1"/>
  <c r="CM247" i="3"/>
  <c r="CN247" i="3" s="1"/>
  <c r="AN247" i="3" s="1"/>
  <c r="BC182" i="3"/>
  <c r="BE182" i="3" s="1"/>
  <c r="BJ182" i="3" s="1"/>
  <c r="G282" i="23"/>
  <c r="H282" i="23" s="1"/>
  <c r="CU282" i="3" s="1"/>
  <c r="CM14" i="3"/>
  <c r="CN14" i="3" s="1"/>
  <c r="AN14" i="3" s="1"/>
  <c r="CM239" i="3"/>
  <c r="CN239" i="3" s="1"/>
  <c r="AN239" i="3" s="1"/>
  <c r="CM201" i="3"/>
  <c r="CN201" i="3" s="1"/>
  <c r="AN201" i="3" s="1"/>
  <c r="CM211" i="3"/>
  <c r="CN211" i="3" s="1"/>
  <c r="AN211" i="3" s="1"/>
  <c r="G284" i="23"/>
  <c r="H284" i="23" s="1"/>
  <c r="CU284" i="3" s="1"/>
  <c r="G180" i="23"/>
  <c r="H180" i="23" s="1"/>
  <c r="CU180" i="3" s="1"/>
  <c r="CM102" i="3"/>
  <c r="CN102" i="3" s="1"/>
  <c r="AN102" i="3" s="1"/>
  <c r="CM83" i="3"/>
  <c r="CN83" i="3" s="1"/>
  <c r="AN83" i="3" s="1"/>
  <c r="CM86" i="3"/>
  <c r="CN86" i="3" s="1"/>
  <c r="AN86" i="3" s="1"/>
  <c r="CM187" i="3"/>
  <c r="CN187" i="3" s="1"/>
  <c r="AN187" i="3" s="1"/>
  <c r="CM94" i="3"/>
  <c r="CN94" i="3" s="1"/>
  <c r="AN94" i="3" s="1"/>
  <c r="CM241" i="3"/>
  <c r="CN241" i="3" s="1"/>
  <c r="AN241" i="3" s="1"/>
  <c r="CM88" i="3"/>
  <c r="CN88" i="3" s="1"/>
  <c r="AN88" i="3" s="1"/>
  <c r="CM259" i="3"/>
  <c r="CN259" i="3" s="1"/>
  <c r="AN259" i="3" s="1"/>
  <c r="CM68" i="3"/>
  <c r="CN68" i="3" s="1"/>
  <c r="AN68" i="3" s="1"/>
  <c r="CM223" i="3"/>
  <c r="CN223" i="3" s="1"/>
  <c r="AN223" i="3" s="1"/>
  <c r="CM188" i="3"/>
  <c r="CN188" i="3" s="1"/>
  <c r="AN188" i="3" s="1"/>
  <c r="CM45" i="3"/>
  <c r="CN45" i="3" s="1"/>
  <c r="AN45" i="3" s="1"/>
  <c r="CM251" i="3"/>
  <c r="CN251" i="3" s="1"/>
  <c r="AN251" i="3" s="1"/>
  <c r="CM207" i="3"/>
  <c r="CN207" i="3" s="1"/>
  <c r="AN207" i="3" s="1"/>
  <c r="CM6" i="3"/>
  <c r="CN6" i="3" s="1"/>
  <c r="AN6" i="3" s="1"/>
  <c r="CM278" i="3"/>
  <c r="CN278" i="3" s="1"/>
  <c r="AN278" i="3" s="1"/>
  <c r="BC257" i="3"/>
  <c r="G199" i="23"/>
  <c r="H199" i="23" s="1"/>
  <c r="CU199" i="3" s="1"/>
  <c r="G72" i="23"/>
  <c r="H72" i="23" s="1"/>
  <c r="CU72" i="3" s="1"/>
  <c r="CM260" i="3"/>
  <c r="CN260" i="3" s="1"/>
  <c r="AN260" i="3" s="1"/>
  <c r="CM198" i="3"/>
  <c r="CN198" i="3" s="1"/>
  <c r="AN198" i="3" s="1"/>
  <c r="CM122" i="3"/>
  <c r="CN122" i="3" s="1"/>
  <c r="AN122" i="3" s="1"/>
  <c r="G262" i="23"/>
  <c r="H262" i="23" s="1"/>
  <c r="CU262" i="3" s="1"/>
  <c r="G210" i="23"/>
  <c r="H210" i="23" s="1"/>
  <c r="CU210" i="3" s="1"/>
  <c r="G35" i="23"/>
  <c r="H35" i="23" s="1"/>
  <c r="CU35" i="3" s="1"/>
  <c r="CM197" i="3"/>
  <c r="CN197" i="3" s="1"/>
  <c r="AN197" i="3" s="1"/>
  <c r="CM280" i="3"/>
  <c r="CN280" i="3" s="1"/>
  <c r="AN280" i="3" s="1"/>
  <c r="CM56" i="3"/>
  <c r="CN56" i="3" s="1"/>
  <c r="AN56" i="3" s="1"/>
  <c r="CM196" i="3"/>
  <c r="CN196" i="3" s="1"/>
  <c r="AN196" i="3" s="1"/>
  <c r="CM265" i="3"/>
  <c r="CN265" i="3" s="1"/>
  <c r="AN265" i="3" s="1"/>
  <c r="CM137" i="3"/>
  <c r="CN137" i="3" s="1"/>
  <c r="AN137" i="3" s="1"/>
  <c r="CM144" i="3"/>
  <c r="CN144" i="3" s="1"/>
  <c r="AN144" i="3" s="1"/>
  <c r="CM212" i="3"/>
  <c r="CN212" i="3" s="1"/>
  <c r="AN212" i="3" s="1"/>
  <c r="CM105" i="3"/>
  <c r="CN105" i="3" s="1"/>
  <c r="AN105" i="3" s="1"/>
  <c r="CM169" i="3"/>
  <c r="CN169" i="3" s="1"/>
  <c r="AN169" i="3" s="1"/>
  <c r="CM245" i="3"/>
  <c r="CN245" i="3" s="1"/>
  <c r="AN245" i="3" s="1"/>
  <c r="CM214" i="3"/>
  <c r="CN214" i="3" s="1"/>
  <c r="AN214" i="3" s="1"/>
  <c r="CM153" i="3"/>
  <c r="CN153" i="3" s="1"/>
  <c r="AN153" i="3" s="1"/>
  <c r="CM154" i="3"/>
  <c r="CN154" i="3" s="1"/>
  <c r="AN154" i="3" s="1"/>
  <c r="CM61" i="3"/>
  <c r="CN61" i="3" s="1"/>
  <c r="AN61" i="3" s="1"/>
  <c r="G256" i="23"/>
  <c r="H256" i="23" s="1"/>
  <c r="CU256" i="3" s="1"/>
  <c r="CM155" i="3"/>
  <c r="CN155" i="3" s="1"/>
  <c r="AN155" i="3" s="1"/>
  <c r="G52" i="23"/>
  <c r="H52" i="23" s="1"/>
  <c r="CU52" i="3" s="1"/>
  <c r="G128" i="23"/>
  <c r="H128" i="23" s="1"/>
  <c r="CU128" i="3" s="1"/>
  <c r="G163" i="23"/>
  <c r="H163" i="23" s="1"/>
  <c r="CU163" i="3" s="1"/>
  <c r="CM91" i="3"/>
  <c r="CN91" i="3" s="1"/>
  <c r="AN91" i="3" s="1"/>
  <c r="CM285" i="3"/>
  <c r="CN285" i="3" s="1"/>
  <c r="AN285" i="3" s="1"/>
  <c r="CM134" i="3"/>
  <c r="CN134" i="3" s="1"/>
  <c r="AN134" i="3" s="1"/>
  <c r="CM283" i="3"/>
  <c r="CN283" i="3" s="1"/>
  <c r="AN283" i="3" s="1"/>
  <c r="CM272" i="3"/>
  <c r="CN272" i="3" s="1"/>
  <c r="AN272" i="3" s="1"/>
  <c r="CM165" i="3"/>
  <c r="CN165" i="3" s="1"/>
  <c r="AN165" i="3" s="1"/>
  <c r="CM22" i="3"/>
  <c r="CN22" i="3" s="1"/>
  <c r="AN22" i="3" s="1"/>
  <c r="CM19" i="3"/>
  <c r="CN19" i="3" s="1"/>
  <c r="AN19" i="3" s="1"/>
  <c r="CM118" i="3"/>
  <c r="CN118" i="3" s="1"/>
  <c r="AN118" i="3" s="1"/>
  <c r="CM103" i="3"/>
  <c r="CN103" i="3" s="1"/>
  <c r="AN103" i="3" s="1"/>
  <c r="CM143" i="3"/>
  <c r="CN143" i="3" s="1"/>
  <c r="AN143" i="3" s="1"/>
  <c r="CM82" i="3"/>
  <c r="CN82" i="3" s="1"/>
  <c r="AN82" i="3" s="1"/>
  <c r="CM195" i="3"/>
  <c r="CN195" i="3" s="1"/>
  <c r="AN195" i="3" s="1"/>
  <c r="BC209" i="3"/>
  <c r="BE209" i="3" s="1"/>
  <c r="BJ209" i="3" s="1"/>
  <c r="BC148" i="3"/>
  <c r="CM219" i="3"/>
  <c r="CN219" i="3" s="1"/>
  <c r="AN219" i="3" s="1"/>
  <c r="CM66" i="3"/>
  <c r="CN66" i="3" s="1"/>
  <c r="AN66" i="3" s="1"/>
  <c r="CM266" i="3"/>
  <c r="CN266" i="3" s="1"/>
  <c r="AN266" i="3" s="1"/>
  <c r="CM248" i="3"/>
  <c r="CN248" i="3" s="1"/>
  <c r="AN248" i="3" s="1"/>
  <c r="CM254" i="3"/>
  <c r="CN254" i="3" s="1"/>
  <c r="AN254" i="3" s="1"/>
  <c r="CM120" i="3"/>
  <c r="CN120" i="3" s="1"/>
  <c r="AN120" i="3" s="1"/>
  <c r="CM216" i="3"/>
  <c r="CN216" i="3" s="1"/>
  <c r="AN216" i="3" s="1"/>
  <c r="CM7" i="3"/>
  <c r="CN7" i="3" s="1"/>
  <c r="AN7" i="3" s="1"/>
  <c r="CM129" i="3"/>
  <c r="CN129" i="3" s="1"/>
  <c r="AN129" i="3" s="1"/>
  <c r="CM76" i="3"/>
  <c r="CN76" i="3" s="1"/>
  <c r="AN76" i="3" s="1"/>
  <c r="CM133" i="3"/>
  <c r="CN133" i="3" s="1"/>
  <c r="AN133" i="3" s="1"/>
  <c r="CM271" i="3"/>
  <c r="CN271" i="3" s="1"/>
  <c r="AN271" i="3" s="1"/>
  <c r="CM101" i="3"/>
  <c r="CN101" i="3" s="1"/>
  <c r="AN101" i="3" s="1"/>
  <c r="CM194" i="3"/>
  <c r="CN194" i="3" s="1"/>
  <c r="AN194" i="3" s="1"/>
  <c r="CM152" i="3"/>
  <c r="CN152" i="3" s="1"/>
  <c r="AN152" i="3" s="1"/>
  <c r="CM139" i="3"/>
  <c r="CN139" i="3" s="1"/>
  <c r="AN139" i="3" s="1"/>
  <c r="BC21" i="3"/>
  <c r="BE21" i="3" s="1"/>
  <c r="BJ21" i="3" s="1"/>
  <c r="BC234" i="3"/>
  <c r="CM288" i="3"/>
  <c r="CN288" i="3" s="1"/>
  <c r="AN288" i="3" s="1"/>
  <c r="CM224" i="3"/>
  <c r="CN224" i="3" s="1"/>
  <c r="AN224" i="3" s="1"/>
  <c r="CM264" i="3"/>
  <c r="CN264" i="3" s="1"/>
  <c r="AN264" i="3" s="1"/>
  <c r="CM226" i="3"/>
  <c r="CN226" i="3" s="1"/>
  <c r="AN226" i="3" s="1"/>
  <c r="CM8" i="3"/>
  <c r="CN8" i="3" s="1"/>
  <c r="AN8" i="3" s="1"/>
  <c r="CM31" i="3"/>
  <c r="CN31" i="3" s="1"/>
  <c r="AN31" i="3" s="1"/>
  <c r="CM149" i="3"/>
  <c r="CN149" i="3" s="1"/>
  <c r="AN149" i="3" s="1"/>
  <c r="CM55" i="3"/>
  <c r="CN55" i="3" s="1"/>
  <c r="AN55" i="3" s="1"/>
  <c r="CM18" i="3"/>
  <c r="CN18" i="3" s="1"/>
  <c r="AN18" i="3" s="1"/>
  <c r="CM33" i="3"/>
  <c r="CN33" i="3" s="1"/>
  <c r="AN33" i="3" s="1"/>
  <c r="CM140" i="3"/>
  <c r="CN140" i="3" s="1"/>
  <c r="AN140" i="3" s="1"/>
  <c r="CM24" i="3"/>
  <c r="CN24" i="3" s="1"/>
  <c r="AN24" i="3" s="1"/>
  <c r="CM50" i="3"/>
  <c r="CN50" i="3" s="1"/>
  <c r="AN50" i="3" s="1"/>
  <c r="CM51" i="3"/>
  <c r="CN51" i="3" s="1"/>
  <c r="AN51" i="3" s="1"/>
  <c r="CM93" i="3"/>
  <c r="CN93" i="3" s="1"/>
  <c r="AN93" i="3" s="1"/>
  <c r="CM127" i="3"/>
  <c r="CN127" i="3" s="1"/>
  <c r="AN127" i="3" s="1"/>
  <c r="CM193" i="3"/>
  <c r="CN193" i="3" s="1"/>
  <c r="AN193" i="3" s="1"/>
  <c r="CM11" i="3"/>
  <c r="CN11" i="3" s="1"/>
  <c r="AN11" i="3" s="1"/>
  <c r="CM114" i="3"/>
  <c r="CN114" i="3" s="1"/>
  <c r="AN114" i="3" s="1"/>
  <c r="CM215" i="3"/>
  <c r="CN215" i="3" s="1"/>
  <c r="AN215" i="3" s="1"/>
  <c r="CM179" i="3"/>
  <c r="CN179" i="3" s="1"/>
  <c r="AN179" i="3" s="1"/>
  <c r="CM175" i="3"/>
  <c r="CN175" i="3" s="1"/>
  <c r="AN175" i="3" s="1"/>
  <c r="CM85" i="3"/>
  <c r="CN85" i="3" s="1"/>
  <c r="AN85" i="3" s="1"/>
  <c r="CM90" i="3"/>
  <c r="CN90" i="3" s="1"/>
  <c r="AN90" i="3" s="1"/>
  <c r="CM95" i="3"/>
  <c r="CN95" i="3" s="1"/>
  <c r="AN95" i="3" s="1"/>
  <c r="CM108" i="3"/>
  <c r="CN108" i="3" s="1"/>
  <c r="AN108" i="3" s="1"/>
  <c r="CM267" i="3"/>
  <c r="CN267" i="3" s="1"/>
  <c r="AN267" i="3" s="1"/>
  <c r="CM183" i="3"/>
  <c r="CN183" i="3" s="1"/>
  <c r="AN183" i="3" s="1"/>
  <c r="CM132" i="3"/>
  <c r="CN132" i="3" s="1"/>
  <c r="AN132" i="3" s="1"/>
  <c r="CM70" i="3"/>
  <c r="CN70" i="3" s="1"/>
  <c r="AN70" i="3" s="1"/>
  <c r="CM9" i="3"/>
  <c r="CN9" i="3" s="1"/>
  <c r="AN9" i="3" s="1"/>
  <c r="CM237" i="3"/>
  <c r="CN237" i="3" s="1"/>
  <c r="AN237" i="3" s="1"/>
  <c r="CM227" i="3"/>
  <c r="CN227" i="3" s="1"/>
  <c r="AN227" i="3" s="1"/>
  <c r="CM252" i="3"/>
  <c r="CN252" i="3" s="1"/>
  <c r="AN252" i="3" s="1"/>
  <c r="CM160" i="3"/>
  <c r="CN160" i="3" s="1"/>
  <c r="AN160" i="3" s="1"/>
  <c r="CM206" i="3"/>
  <c r="CN206" i="3" s="1"/>
  <c r="AN206" i="3" s="1"/>
  <c r="CM286" i="3"/>
  <c r="CN286" i="3" s="1"/>
  <c r="AN286" i="3" s="1"/>
  <c r="CM136" i="3"/>
  <c r="CN136" i="3" s="1"/>
  <c r="AN136" i="3" s="1"/>
  <c r="CM177" i="3"/>
  <c r="CN177" i="3" s="1"/>
  <c r="AN177" i="3" s="1"/>
  <c r="CM138" i="3"/>
  <c r="CN138" i="3" s="1"/>
  <c r="AN138" i="3" s="1"/>
  <c r="CM171" i="3"/>
  <c r="CN171" i="3" s="1"/>
  <c r="AN171" i="3" s="1"/>
  <c r="CM151" i="3"/>
  <c r="CN151" i="3" s="1"/>
  <c r="AN151" i="3" s="1"/>
  <c r="CM273" i="3"/>
  <c r="CN273" i="3" s="1"/>
  <c r="AN273" i="3" s="1"/>
  <c r="CM184" i="3"/>
  <c r="CN184" i="3" s="1"/>
  <c r="AN184" i="3" s="1"/>
  <c r="CM221" i="3"/>
  <c r="CN221" i="3" s="1"/>
  <c r="AN221" i="3" s="1"/>
  <c r="CM12" i="3"/>
  <c r="CN12" i="3" s="1"/>
  <c r="AN12" i="3" s="1"/>
  <c r="CM190" i="3"/>
  <c r="CN190" i="3" s="1"/>
  <c r="AN190" i="3" s="1"/>
  <c r="CM130" i="3"/>
  <c r="CN130" i="3" s="1"/>
  <c r="AN130" i="3" s="1"/>
  <c r="CM172" i="3"/>
  <c r="CN172" i="3" s="1"/>
  <c r="AN172" i="3" s="1"/>
  <c r="CM116" i="3"/>
  <c r="CN116" i="3" s="1"/>
  <c r="AN116" i="3" s="1"/>
  <c r="CM60" i="3"/>
  <c r="CN60" i="3" s="1"/>
  <c r="AN60" i="3" s="1"/>
  <c r="CM287" i="3"/>
  <c r="CN287" i="3" s="1"/>
  <c r="AN287" i="3" s="1"/>
  <c r="CM13" i="3"/>
  <c r="CN13" i="3" s="1"/>
  <c r="AN13" i="3" s="1"/>
  <c r="CM84" i="3"/>
  <c r="CN84" i="3" s="1"/>
  <c r="AN84" i="3" s="1"/>
  <c r="CM135" i="3"/>
  <c r="CN135" i="3" s="1"/>
  <c r="AN135" i="3" s="1"/>
  <c r="CM37" i="3"/>
  <c r="CN37" i="3" s="1"/>
  <c r="AN37" i="3" s="1"/>
  <c r="CM63" i="3"/>
  <c r="CN63" i="3" s="1"/>
  <c r="AN63" i="3" s="1"/>
  <c r="CM246" i="3"/>
  <c r="CN246" i="3" s="1"/>
  <c r="AN246" i="3" s="1"/>
  <c r="CM119" i="3"/>
  <c r="CN119" i="3" s="1"/>
  <c r="AN119" i="3" s="1"/>
  <c r="CM104" i="3"/>
  <c r="CN104" i="3" s="1"/>
  <c r="AN104" i="3" s="1"/>
  <c r="CM146" i="3"/>
  <c r="CN146" i="3" s="1"/>
  <c r="AN146" i="3" s="1"/>
  <c r="CM218" i="3"/>
  <c r="CN218" i="3" s="1"/>
  <c r="AN218" i="3" s="1"/>
  <c r="CM167" i="3"/>
  <c r="CN167" i="3" s="1"/>
  <c r="AN167" i="3" s="1"/>
  <c r="CM249" i="3"/>
  <c r="CN249" i="3" s="1"/>
  <c r="AN249" i="3" s="1"/>
  <c r="CM156" i="3"/>
  <c r="CN156" i="3" s="1"/>
  <c r="AN156" i="3" s="1"/>
  <c r="R3" i="21"/>
  <c r="CM192" i="3"/>
  <c r="CN192" i="3" s="1"/>
  <c r="AN192" i="3" s="1"/>
  <c r="CM49" i="3"/>
  <c r="CN49" i="3" s="1"/>
  <c r="AN49" i="3" s="1"/>
  <c r="CI20" i="3"/>
  <c r="CI4" i="3" s="1"/>
  <c r="AK4" i="3"/>
  <c r="AY150" i="3" l="1"/>
  <c r="AY66" i="3"/>
  <c r="AY68" i="3"/>
  <c r="AS64" i="3"/>
  <c r="AX63" i="11" s="1"/>
  <c r="AY63" i="11" s="1"/>
  <c r="O279" i="24"/>
  <c r="BK275" i="3"/>
  <c r="BM275" i="3" s="1"/>
  <c r="BO275" i="3" s="1"/>
  <c r="BP275" i="3" s="1"/>
  <c r="BB275" i="3"/>
  <c r="AS275" i="3"/>
  <c r="AX274" i="11" s="1"/>
  <c r="AY274" i="11" s="1"/>
  <c r="BC275" i="3"/>
  <c r="BE275" i="3" s="1"/>
  <c r="BJ275" i="3" s="1"/>
  <c r="O235" i="24"/>
  <c r="V232" i="3"/>
  <c r="AR232" i="3" s="1"/>
  <c r="CM232" i="3" s="1"/>
  <c r="CN232" i="3" s="1"/>
  <c r="AN232" i="3" s="1"/>
  <c r="O233" i="24"/>
  <c r="V230" i="3"/>
  <c r="AR230" i="3" s="1"/>
  <c r="CM230" i="3" s="1"/>
  <c r="CN230" i="3" s="1"/>
  <c r="AN230" i="3" s="1"/>
  <c r="O228" i="24"/>
  <c r="V225" i="3"/>
  <c r="AR225" i="3" s="1"/>
  <c r="CM225" i="3" s="1"/>
  <c r="CN225" i="3" s="1"/>
  <c r="AN225" i="3" s="1"/>
  <c r="BK64" i="3"/>
  <c r="BM64" i="3" s="1"/>
  <c r="BO64" i="3" s="1"/>
  <c r="BP64" i="3" s="1"/>
  <c r="BB64" i="3"/>
  <c r="O245" i="24"/>
  <c r="BC64" i="3"/>
  <c r="BE64" i="3" s="1"/>
  <c r="BJ64" i="3" s="1"/>
  <c r="O282" i="24"/>
  <c r="V178" i="3"/>
  <c r="AR178" i="3" s="1"/>
  <c r="CM178" i="3" s="1"/>
  <c r="CN178" i="3" s="1"/>
  <c r="AN178" i="3" s="1"/>
  <c r="O181" i="24"/>
  <c r="V217" i="3"/>
  <c r="AR217" i="3" s="1"/>
  <c r="CM217" i="3" s="1"/>
  <c r="CN217" i="3" s="1"/>
  <c r="AN217" i="3" s="1"/>
  <c r="O220" i="24"/>
  <c r="V34" i="3"/>
  <c r="AR34" i="3" s="1"/>
  <c r="CM34" i="3" s="1"/>
  <c r="CN34" i="3" s="1"/>
  <c r="AN34" i="3" s="1"/>
  <c r="O37" i="24"/>
  <c r="O234" i="24"/>
  <c r="V231" i="3"/>
  <c r="AR231" i="3" s="1"/>
  <c r="CM231" i="3" s="1"/>
  <c r="CN231" i="3" s="1"/>
  <c r="AN231" i="3" s="1"/>
  <c r="V77" i="3"/>
  <c r="AR77" i="3" s="1"/>
  <c r="CM77" i="3" s="1"/>
  <c r="CN77" i="3" s="1"/>
  <c r="AN77" i="3" s="1"/>
  <c r="O80" i="24"/>
  <c r="V42" i="3"/>
  <c r="AR42" i="3" s="1"/>
  <c r="CM42" i="3" s="1"/>
  <c r="CN42" i="3" s="1"/>
  <c r="AN42" i="3" s="1"/>
  <c r="O45" i="24"/>
  <c r="O145" i="24"/>
  <c r="V142" i="3"/>
  <c r="AR142" i="3" s="1"/>
  <c r="CM142" i="3" s="1"/>
  <c r="CN142" i="3" s="1"/>
  <c r="AN142" i="3" s="1"/>
  <c r="O293" i="24"/>
  <c r="V290" i="3"/>
  <c r="AR290" i="3" s="1"/>
  <c r="CM290" i="3" s="1"/>
  <c r="CN290" i="3" s="1"/>
  <c r="AN290" i="3" s="1"/>
  <c r="V258" i="3"/>
  <c r="AR258" i="3" s="1"/>
  <c r="CM258" i="3" s="1"/>
  <c r="CN258" i="3" s="1"/>
  <c r="AN258" i="3" s="1"/>
  <c r="O261" i="24"/>
  <c r="V113" i="3"/>
  <c r="AR113" i="3" s="1"/>
  <c r="CM113" i="3" s="1"/>
  <c r="CN113" i="3" s="1"/>
  <c r="AN113" i="3" s="1"/>
  <c r="O116" i="24"/>
  <c r="V87" i="3"/>
  <c r="AR87" i="3" s="1"/>
  <c r="CM87" i="3" s="1"/>
  <c r="CN87" i="3" s="1"/>
  <c r="AN87" i="3" s="1"/>
  <c r="O90" i="24"/>
  <c r="O211" i="24"/>
  <c r="V208" i="3"/>
  <c r="AR208" i="3" s="1"/>
  <c r="CM208" i="3" s="1"/>
  <c r="CN208" i="3" s="1"/>
  <c r="AN208" i="3" s="1"/>
  <c r="O256" i="24"/>
  <c r="V253" i="3"/>
  <c r="AR253" i="3" s="1"/>
  <c r="CM253" i="3" s="1"/>
  <c r="CN253" i="3" s="1"/>
  <c r="AN253" i="3" s="1"/>
  <c r="V47" i="3"/>
  <c r="AR47" i="3" s="1"/>
  <c r="CM47" i="3" s="1"/>
  <c r="CN47" i="3" s="1"/>
  <c r="AN47" i="3" s="1"/>
  <c r="O50" i="24"/>
  <c r="V20" i="3"/>
  <c r="AR20" i="3" s="1"/>
  <c r="O23" i="24"/>
  <c r="O49" i="24"/>
  <c r="V46" i="3"/>
  <c r="AR46" i="3" s="1"/>
  <c r="CM46" i="3" s="1"/>
  <c r="CN46" i="3" s="1"/>
  <c r="AN46" i="3" s="1"/>
  <c r="O74" i="24"/>
  <c r="V71" i="3"/>
  <c r="AR71" i="3" s="1"/>
  <c r="CM71" i="3" s="1"/>
  <c r="CN71" i="3" s="1"/>
  <c r="AN71" i="3" s="1"/>
  <c r="V185" i="3"/>
  <c r="AR185" i="3" s="1"/>
  <c r="CM185" i="3" s="1"/>
  <c r="CN185" i="3" s="1"/>
  <c r="AN185" i="3" s="1"/>
  <c r="O188" i="24"/>
  <c r="V112" i="3"/>
  <c r="AR112" i="3" s="1"/>
  <c r="CM112" i="3" s="1"/>
  <c r="CN112" i="3" s="1"/>
  <c r="AN112" i="3" s="1"/>
  <c r="O115" i="24"/>
  <c r="O82" i="24"/>
  <c r="V79" i="3"/>
  <c r="AR79" i="3" s="1"/>
  <c r="CM79" i="3" s="1"/>
  <c r="CN79" i="3" s="1"/>
  <c r="AN79" i="3" s="1"/>
  <c r="V43" i="3"/>
  <c r="AR43" i="3" s="1"/>
  <c r="CM43" i="3" s="1"/>
  <c r="CN43" i="3" s="1"/>
  <c r="AN43" i="3" s="1"/>
  <c r="AS43" i="3" s="1"/>
  <c r="O46" i="24"/>
  <c r="V106" i="3"/>
  <c r="AR106" i="3" s="1"/>
  <c r="CM106" i="3" s="1"/>
  <c r="CN106" i="3" s="1"/>
  <c r="AN106" i="3" s="1"/>
  <c r="O109" i="24"/>
  <c r="O167" i="24"/>
  <c r="V164" i="3"/>
  <c r="AR164" i="3" s="1"/>
  <c r="CM164" i="3" s="1"/>
  <c r="CN164" i="3" s="1"/>
  <c r="AN164" i="3" s="1"/>
  <c r="V168" i="3"/>
  <c r="AR168" i="3" s="1"/>
  <c r="CM168" i="3" s="1"/>
  <c r="CN168" i="3" s="1"/>
  <c r="AN168" i="3" s="1"/>
  <c r="O171" i="24"/>
  <c r="O292" i="24"/>
  <c r="V289" i="3"/>
  <c r="AR289" i="3" s="1"/>
  <c r="CM289" i="3" s="1"/>
  <c r="CN289" i="3" s="1"/>
  <c r="AN289" i="3" s="1"/>
  <c r="V67" i="3"/>
  <c r="AR67" i="3" s="1"/>
  <c r="CM67" i="3" s="1"/>
  <c r="CN67" i="3" s="1"/>
  <c r="AN67" i="3" s="1"/>
  <c r="O70" i="24"/>
  <c r="V202" i="3"/>
  <c r="AR202" i="3" s="1"/>
  <c r="CM202" i="3" s="1"/>
  <c r="CN202" i="3" s="1"/>
  <c r="AN202" i="3" s="1"/>
  <c r="O205" i="24"/>
  <c r="V81" i="3"/>
  <c r="AR81" i="3" s="1"/>
  <c r="CM81" i="3" s="1"/>
  <c r="CN81" i="3" s="1"/>
  <c r="AN81" i="3" s="1"/>
  <c r="O84" i="24"/>
  <c r="O241" i="24"/>
  <c r="V238" i="3"/>
  <c r="AR238" i="3" s="1"/>
  <c r="CM238" i="3" s="1"/>
  <c r="CN238" i="3" s="1"/>
  <c r="AN238" i="3" s="1"/>
  <c r="O118" i="24"/>
  <c r="V115" i="3"/>
  <c r="AR115" i="3" s="1"/>
  <c r="CM115" i="3" s="1"/>
  <c r="CN115" i="3" s="1"/>
  <c r="AN115" i="3" s="1"/>
  <c r="V229" i="3"/>
  <c r="AR229" i="3" s="1"/>
  <c r="CM229" i="3" s="1"/>
  <c r="CN229" i="3" s="1"/>
  <c r="AN229" i="3" s="1"/>
  <c r="O232" i="24"/>
  <c r="V170" i="3"/>
  <c r="AR170" i="3" s="1"/>
  <c r="CM170" i="3" s="1"/>
  <c r="CN170" i="3" s="1"/>
  <c r="AN170" i="3" s="1"/>
  <c r="O173" i="24"/>
  <c r="V75" i="3"/>
  <c r="AR75" i="3" s="1"/>
  <c r="CM75" i="3" s="1"/>
  <c r="CN75" i="3" s="1"/>
  <c r="AN75" i="3" s="1"/>
  <c r="O78" i="24"/>
  <c r="V270" i="3"/>
  <c r="AR270" i="3" s="1"/>
  <c r="CM270" i="3" s="1"/>
  <c r="CN270" i="3" s="1"/>
  <c r="AN270" i="3" s="1"/>
  <c r="O28" i="24"/>
  <c r="V98" i="3"/>
  <c r="AR98" i="3" s="1"/>
  <c r="CM98" i="3" s="1"/>
  <c r="CN98" i="3" s="1"/>
  <c r="AN98" i="3" s="1"/>
  <c r="V181" i="3"/>
  <c r="AR181" i="3" s="1"/>
  <c r="CM181" i="3" s="1"/>
  <c r="CN181" i="3" s="1"/>
  <c r="AN181" i="3" s="1"/>
  <c r="O239" i="24"/>
  <c r="O271" i="24"/>
  <c r="V107" i="3"/>
  <c r="AR107" i="3" s="1"/>
  <c r="CM107" i="3" s="1"/>
  <c r="CN107" i="3" s="1"/>
  <c r="AN107" i="3" s="1"/>
  <c r="O113" i="24"/>
  <c r="O39" i="24"/>
  <c r="O60" i="24"/>
  <c r="O8" i="24"/>
  <c r="N7" i="24"/>
  <c r="V5" i="3"/>
  <c r="AY240" i="3"/>
  <c r="M7" i="24"/>
  <c r="E7" i="24"/>
  <c r="AY275" i="3"/>
  <c r="BB25" i="3"/>
  <c r="BC25" i="3"/>
  <c r="BE25" i="3" s="1"/>
  <c r="BJ25" i="3" s="1"/>
  <c r="AS25" i="3"/>
  <c r="Q24" i="21" s="1"/>
  <c r="H67" i="18"/>
  <c r="AX26" i="11"/>
  <c r="AY26" i="11" s="1"/>
  <c r="BP27" i="3"/>
  <c r="BP162" i="3"/>
  <c r="BP281" i="3"/>
  <c r="BP191" i="3"/>
  <c r="BP213" i="3"/>
  <c r="BP21" i="3"/>
  <c r="BP125" i="3"/>
  <c r="BP89" i="3"/>
  <c r="BP109" i="3"/>
  <c r="Q190" i="21"/>
  <c r="Q88" i="21"/>
  <c r="Q124" i="21"/>
  <c r="CR125" i="3"/>
  <c r="I125" i="23" s="1"/>
  <c r="N125" i="23" s="1"/>
  <c r="O125" i="23" s="1"/>
  <c r="CT125" i="3" s="1"/>
  <c r="CR27" i="3"/>
  <c r="I27" i="23" s="1"/>
  <c r="N27" i="23" s="1"/>
  <c r="O27" i="23" s="1"/>
  <c r="CT27" i="3" s="1"/>
  <c r="BC90" i="3"/>
  <c r="BE90" i="3" s="1"/>
  <c r="BJ90" i="3" s="1"/>
  <c r="BB90" i="3"/>
  <c r="BK90" i="3"/>
  <c r="BM90" i="3" s="1"/>
  <c r="AS90" i="3"/>
  <c r="AX89" i="11" s="1"/>
  <c r="BC158" i="3"/>
  <c r="BE158" i="3" s="1"/>
  <c r="BJ158" i="3" s="1"/>
  <c r="BB158" i="3"/>
  <c r="AS158" i="3"/>
  <c r="AX157" i="11" s="1"/>
  <c r="AY157" i="11" s="1"/>
  <c r="BK158" i="3"/>
  <c r="BM158" i="3" s="1"/>
  <c r="BO158" i="3" s="1"/>
  <c r="BC111" i="3"/>
  <c r="BE111" i="3" s="1"/>
  <c r="BJ111" i="3" s="1"/>
  <c r="AS111" i="3"/>
  <c r="AX110" i="11" s="1"/>
  <c r="AY110" i="11" s="1"/>
  <c r="BB111" i="3"/>
  <c r="BK111" i="3"/>
  <c r="BM111" i="3" s="1"/>
  <c r="BO111" i="3" s="1"/>
  <c r="BC44" i="3"/>
  <c r="BE44" i="3" s="1"/>
  <c r="BJ44" i="3" s="1"/>
  <c r="BB44" i="3"/>
  <c r="BK44" i="3"/>
  <c r="BM44" i="3" s="1"/>
  <c r="BO44" i="3" s="1"/>
  <c r="AS44" i="3"/>
  <c r="AX43" i="11" s="1"/>
  <c r="AY43" i="11" s="1"/>
  <c r="BC172" i="3"/>
  <c r="BE172" i="3" s="1"/>
  <c r="BJ172" i="3" s="1"/>
  <c r="BB172" i="3"/>
  <c r="BK172" i="3"/>
  <c r="BM172" i="3" s="1"/>
  <c r="AS172" i="3"/>
  <c r="AX171" i="11" s="1"/>
  <c r="AY171" i="11" s="1"/>
  <c r="BB273" i="3"/>
  <c r="BK273" i="3"/>
  <c r="BM273" i="3" s="1"/>
  <c r="AS273" i="3"/>
  <c r="AX272" i="11" s="1"/>
  <c r="AY272" i="11" s="1"/>
  <c r="BK206" i="3"/>
  <c r="BM206" i="3" s="1"/>
  <c r="BB206" i="3"/>
  <c r="AS206" i="3"/>
  <c r="AX205" i="11" s="1"/>
  <c r="BC70" i="3"/>
  <c r="BE70" i="3" s="1"/>
  <c r="BJ70" i="3" s="1"/>
  <c r="BK70" i="3"/>
  <c r="BM70" i="3" s="1"/>
  <c r="AS70" i="3"/>
  <c r="AX69" i="11" s="1"/>
  <c r="AY69" i="11" s="1"/>
  <c r="BB70" i="3"/>
  <c r="BB85" i="3"/>
  <c r="BK85" i="3"/>
  <c r="BM85" i="3" s="1"/>
  <c r="AS85" i="3"/>
  <c r="AX84" i="11" s="1"/>
  <c r="AS11" i="3"/>
  <c r="AX10" i="11" s="1"/>
  <c r="BK11" i="3"/>
  <c r="BM11" i="3" s="1"/>
  <c r="BB11" i="3"/>
  <c r="BB33" i="3"/>
  <c r="BK33" i="3"/>
  <c r="BM33" i="3" s="1"/>
  <c r="AS33" i="3"/>
  <c r="AX32" i="11" s="1"/>
  <c r="BC224" i="3"/>
  <c r="BB224" i="3"/>
  <c r="BK224" i="3"/>
  <c r="BM224" i="3" s="1"/>
  <c r="AS224" i="3"/>
  <c r="AX223" i="11" s="1"/>
  <c r="AY223" i="11" s="1"/>
  <c r="BC101" i="3"/>
  <c r="BE101" i="3" s="1"/>
  <c r="BJ101" i="3" s="1"/>
  <c r="AS101" i="3"/>
  <c r="Q100" i="21" s="1"/>
  <c r="BK101" i="3"/>
  <c r="BM101" i="3" s="1"/>
  <c r="BO101" i="3" s="1"/>
  <c r="BB101" i="3"/>
  <c r="BC216" i="3"/>
  <c r="BE216" i="3" s="1"/>
  <c r="BJ216" i="3" s="1"/>
  <c r="BB216" i="3"/>
  <c r="BK216" i="3"/>
  <c r="BM216" i="3" s="1"/>
  <c r="BO216" i="3" s="1"/>
  <c r="AS216" i="3"/>
  <c r="AX215" i="11" s="1"/>
  <c r="AY215" i="11" s="1"/>
  <c r="BB266" i="3"/>
  <c r="BK266" i="3"/>
  <c r="BM266" i="3" s="1"/>
  <c r="BO266" i="3" s="1"/>
  <c r="AS266" i="3"/>
  <c r="AX265" i="11" s="1"/>
  <c r="AY265" i="11" s="1"/>
  <c r="BK103" i="3"/>
  <c r="BM103" i="3" s="1"/>
  <c r="BO103" i="3" s="1"/>
  <c r="AS103" i="3"/>
  <c r="AX102" i="11" s="1"/>
  <c r="AY102" i="11" s="1"/>
  <c r="BB103" i="3"/>
  <c r="BK134" i="3"/>
  <c r="BM134" i="3" s="1"/>
  <c r="BO134" i="3" s="1"/>
  <c r="AS134" i="3"/>
  <c r="AX133" i="11" s="1"/>
  <c r="AY133" i="11" s="1"/>
  <c r="BB134" i="3"/>
  <c r="BK173" i="3"/>
  <c r="BM173" i="3" s="1"/>
  <c r="BO173" i="3" s="1"/>
  <c r="AS173" i="3"/>
  <c r="CR173" i="3" s="1"/>
  <c r="BB173" i="3"/>
  <c r="BK56" i="3"/>
  <c r="BM56" i="3" s="1"/>
  <c r="BO56" i="3" s="1"/>
  <c r="AS56" i="3"/>
  <c r="AX55" i="11" s="1"/>
  <c r="AY55" i="11" s="1"/>
  <c r="BB56" i="3"/>
  <c r="BK223" i="3"/>
  <c r="BM223" i="3" s="1"/>
  <c r="BO223" i="3" s="1"/>
  <c r="BB223" i="3"/>
  <c r="AS223" i="3"/>
  <c r="AX222" i="11" s="1"/>
  <c r="AY222" i="11" s="1"/>
  <c r="BK86" i="3"/>
  <c r="BM86" i="3" s="1"/>
  <c r="BO86" i="3" s="1"/>
  <c r="AS86" i="3"/>
  <c r="AX85" i="11" s="1"/>
  <c r="AY85" i="11" s="1"/>
  <c r="BB86" i="3"/>
  <c r="BC10" i="3"/>
  <c r="BE10" i="3" s="1"/>
  <c r="BJ10" i="3" s="1"/>
  <c r="BB10" i="3"/>
  <c r="BK10" i="3"/>
  <c r="BM10" i="3" s="1"/>
  <c r="BO10" i="3" s="1"/>
  <c r="AS10" i="3"/>
  <c r="AX9" i="11" s="1"/>
  <c r="AY9" i="11" s="1"/>
  <c r="AS28" i="3"/>
  <c r="AX27" i="11" s="1"/>
  <c r="AY27" i="11" s="1"/>
  <c r="BK28" i="3"/>
  <c r="BM28" i="3" s="1"/>
  <c r="BO28" i="3" s="1"/>
  <c r="BB28" i="3"/>
  <c r="BC59" i="3"/>
  <c r="BE59" i="3" s="1"/>
  <c r="BJ59" i="3" s="1"/>
  <c r="AS59" i="3"/>
  <c r="AX58" i="11" s="1"/>
  <c r="AY58" i="11" s="1"/>
  <c r="BB59" i="3"/>
  <c r="BK59" i="3"/>
  <c r="BM59" i="3" s="1"/>
  <c r="BO59" i="3" s="1"/>
  <c r="BC189" i="3"/>
  <c r="BE189" i="3" s="1"/>
  <c r="BJ189" i="3" s="1"/>
  <c r="BK189" i="3"/>
  <c r="BM189" i="3" s="1"/>
  <c r="BO189" i="3" s="1"/>
  <c r="AS189" i="3"/>
  <c r="AX188" i="11" s="1"/>
  <c r="AY188" i="11" s="1"/>
  <c r="BB189" i="3"/>
  <c r="BK54" i="3"/>
  <c r="BM54" i="3" s="1"/>
  <c r="BO54" i="3" s="1"/>
  <c r="AS54" i="3"/>
  <c r="AX53" i="11" s="1"/>
  <c r="AY53" i="11" s="1"/>
  <c r="BB54" i="3"/>
  <c r="AS16" i="3"/>
  <c r="AX15" i="11" s="1"/>
  <c r="AY15" i="11" s="1"/>
  <c r="BK16" i="3"/>
  <c r="BM16" i="3" s="1"/>
  <c r="BO16" i="3" s="1"/>
  <c r="BB16" i="3"/>
  <c r="BC116" i="3"/>
  <c r="BE116" i="3" s="1"/>
  <c r="BJ116" i="3" s="1"/>
  <c r="AS116" i="3"/>
  <c r="AX115" i="11" s="1"/>
  <c r="AY115" i="11" s="1"/>
  <c r="BK116" i="3"/>
  <c r="BM116" i="3" s="1"/>
  <c r="BO116" i="3" s="1"/>
  <c r="BB116" i="3"/>
  <c r="BC264" i="3"/>
  <c r="BE264" i="3" s="1"/>
  <c r="BB264" i="3"/>
  <c r="BK264" i="3"/>
  <c r="BM264" i="3" s="1"/>
  <c r="AS264" i="3"/>
  <c r="AX263" i="11" s="1"/>
  <c r="AY263" i="11" s="1"/>
  <c r="BC187" i="3"/>
  <c r="BE187" i="3" s="1"/>
  <c r="BJ187" i="3" s="1"/>
  <c r="BB187" i="3"/>
  <c r="AS187" i="3"/>
  <c r="AX186" i="11" s="1"/>
  <c r="AY186" i="11" s="1"/>
  <c r="BK187" i="3"/>
  <c r="BM187" i="3" s="1"/>
  <c r="BO187" i="3" s="1"/>
  <c r="BC126" i="3"/>
  <c r="BE126" i="3" s="1"/>
  <c r="BJ126" i="3" s="1"/>
  <c r="BK126" i="3"/>
  <c r="BM126" i="3" s="1"/>
  <c r="BO126" i="3" s="1"/>
  <c r="BB126" i="3"/>
  <c r="AS126" i="3"/>
  <c r="AX125" i="11" s="1"/>
  <c r="AY125" i="11" s="1"/>
  <c r="BB104" i="3"/>
  <c r="BK104" i="3"/>
  <c r="BM104" i="3" s="1"/>
  <c r="AS104" i="3"/>
  <c r="AX103" i="11" s="1"/>
  <c r="BC277" i="3"/>
  <c r="BB277" i="3"/>
  <c r="AS277" i="3"/>
  <c r="AX276" i="11" s="1"/>
  <c r="AY276" i="11" s="1"/>
  <c r="BK277" i="3"/>
  <c r="BM277" i="3" s="1"/>
  <c r="BK130" i="3"/>
  <c r="BM130" i="3" s="1"/>
  <c r="AS130" i="3"/>
  <c r="AX129" i="11" s="1"/>
  <c r="BB130" i="3"/>
  <c r="BB151" i="3"/>
  <c r="BK151" i="3"/>
  <c r="BM151" i="3" s="1"/>
  <c r="AS151" i="3"/>
  <c r="AX150" i="11" s="1"/>
  <c r="AS69" i="3"/>
  <c r="AX68" i="11" s="1"/>
  <c r="BK69" i="3"/>
  <c r="BM69" i="3" s="1"/>
  <c r="BB69" i="3"/>
  <c r="BC132" i="3"/>
  <c r="BE132" i="3" s="1"/>
  <c r="BJ132" i="3" s="1"/>
  <c r="AS132" i="3"/>
  <c r="AX131" i="11" s="1"/>
  <c r="BK132" i="3"/>
  <c r="BM132" i="3" s="1"/>
  <c r="BB132" i="3"/>
  <c r="BC175" i="3"/>
  <c r="BE175" i="3" s="1"/>
  <c r="BJ175" i="3" s="1"/>
  <c r="BK175" i="3"/>
  <c r="BM175" i="3" s="1"/>
  <c r="BB175" i="3"/>
  <c r="AS175" i="3"/>
  <c r="AX174" i="11" s="1"/>
  <c r="AY174" i="11" s="1"/>
  <c r="BB193" i="3"/>
  <c r="BK193" i="3"/>
  <c r="BM193" i="3" s="1"/>
  <c r="AS193" i="3"/>
  <c r="AX192" i="11" s="1"/>
  <c r="AY192" i="11" s="1"/>
  <c r="BC18" i="3"/>
  <c r="BE18" i="3" s="1"/>
  <c r="BJ18" i="3" s="1"/>
  <c r="AS18" i="3"/>
  <c r="AX17" i="11" s="1"/>
  <c r="BK18" i="3"/>
  <c r="BM18" i="3" s="1"/>
  <c r="BB18" i="3"/>
  <c r="BB235" i="3"/>
  <c r="BK235" i="3"/>
  <c r="BM235" i="3" s="1"/>
  <c r="BO235" i="3" s="1"/>
  <c r="AS235" i="3"/>
  <c r="AX234" i="11" s="1"/>
  <c r="AY234" i="11" s="1"/>
  <c r="BC66" i="3"/>
  <c r="BE66" i="3" s="1"/>
  <c r="BJ66" i="3" s="1"/>
  <c r="BB66" i="3"/>
  <c r="AS66" i="3"/>
  <c r="AX65" i="11" s="1"/>
  <c r="AY65" i="11" s="1"/>
  <c r="BK66" i="3"/>
  <c r="BM66" i="3" s="1"/>
  <c r="BO66" i="3" s="1"/>
  <c r="BK118" i="3"/>
  <c r="BM118" i="3" s="1"/>
  <c r="BO118" i="3" s="1"/>
  <c r="BB118" i="3"/>
  <c r="AS118" i="3"/>
  <c r="AX117" i="11" s="1"/>
  <c r="AY117" i="11" s="1"/>
  <c r="BC169" i="3"/>
  <c r="BE169" i="3" s="1"/>
  <c r="BJ169" i="3" s="1"/>
  <c r="AS169" i="3"/>
  <c r="AX168" i="11" s="1"/>
  <c r="AY168" i="11" s="1"/>
  <c r="BB169" i="3"/>
  <c r="BK169" i="3"/>
  <c r="BM169" i="3" s="1"/>
  <c r="BO169" i="3" s="1"/>
  <c r="AS280" i="3"/>
  <c r="AX279" i="11" s="1"/>
  <c r="AY279" i="11" s="1"/>
  <c r="BK280" i="3"/>
  <c r="BM280" i="3" s="1"/>
  <c r="BO280" i="3" s="1"/>
  <c r="BB280" i="3"/>
  <c r="BB68" i="3"/>
  <c r="BK68" i="3"/>
  <c r="BM68" i="3" s="1"/>
  <c r="BO68" i="3" s="1"/>
  <c r="AS68" i="3"/>
  <c r="AX67" i="11" s="1"/>
  <c r="AY67" i="11" s="1"/>
  <c r="AS83" i="3"/>
  <c r="AX82" i="11" s="1"/>
  <c r="AY82" i="11" s="1"/>
  <c r="BB83" i="3"/>
  <c r="BK83" i="3"/>
  <c r="BM83" i="3" s="1"/>
  <c r="BO83" i="3" s="1"/>
  <c r="BC268" i="3"/>
  <c r="BE268" i="3" s="1"/>
  <c r="BJ268" i="3" s="1"/>
  <c r="AS268" i="3"/>
  <c r="AX267" i="11" s="1"/>
  <c r="AY267" i="11" s="1"/>
  <c r="BB268" i="3"/>
  <c r="BK268" i="3"/>
  <c r="BM268" i="3" s="1"/>
  <c r="BO268" i="3" s="1"/>
  <c r="BC23" i="3"/>
  <c r="BE23" i="3" s="1"/>
  <c r="BJ23" i="3" s="1"/>
  <c r="BK23" i="3"/>
  <c r="BM23" i="3" s="1"/>
  <c r="BO23" i="3" s="1"/>
  <c r="AS23" i="3"/>
  <c r="AX22" i="11" s="1"/>
  <c r="AY22" i="11" s="1"/>
  <c r="BB23" i="3"/>
  <c r="BB123" i="3"/>
  <c r="BK123" i="3"/>
  <c r="BM123" i="3" s="1"/>
  <c r="BO123" i="3" s="1"/>
  <c r="AS123" i="3"/>
  <c r="AX122" i="11" s="1"/>
  <c r="AY122" i="11" s="1"/>
  <c r="BB15" i="3"/>
  <c r="AS15" i="3"/>
  <c r="AX14" i="11" s="1"/>
  <c r="AY14" i="11" s="1"/>
  <c r="BK15" i="3"/>
  <c r="BM15" i="3" s="1"/>
  <c r="BO15" i="3" s="1"/>
  <c r="BC41" i="3"/>
  <c r="BE41" i="3" s="1"/>
  <c r="BJ41" i="3" s="1"/>
  <c r="BB41" i="3"/>
  <c r="BK41" i="3"/>
  <c r="BM41" i="3" s="1"/>
  <c r="BO41" i="3" s="1"/>
  <c r="AS41" i="3"/>
  <c r="AX40" i="11" s="1"/>
  <c r="AY40" i="11" s="1"/>
  <c r="BK263" i="3"/>
  <c r="BM263" i="3" s="1"/>
  <c r="BO263" i="3" s="1"/>
  <c r="BB263" i="3"/>
  <c r="AS263" i="3"/>
  <c r="AX262" i="11" s="1"/>
  <c r="AY262" i="11" s="1"/>
  <c r="BC53" i="3"/>
  <c r="BE53" i="3" s="1"/>
  <c r="BJ53" i="3" s="1"/>
  <c r="BB53" i="3"/>
  <c r="BK53" i="3"/>
  <c r="BM53" i="3" s="1"/>
  <c r="AS53" i="3"/>
  <c r="AX52" i="11" s="1"/>
  <c r="AY52" i="11" s="1"/>
  <c r="BC62" i="3"/>
  <c r="BE62" i="3" s="1"/>
  <c r="BJ62" i="3" s="1"/>
  <c r="BK62" i="3"/>
  <c r="BM62" i="3" s="1"/>
  <c r="BO62" i="3" s="1"/>
  <c r="AS62" i="3"/>
  <c r="AX61" i="11" s="1"/>
  <c r="AY61" i="11" s="1"/>
  <c r="BB62" i="3"/>
  <c r="BB49" i="3"/>
  <c r="BK49" i="3"/>
  <c r="BM49" i="3" s="1"/>
  <c r="BO49" i="3" s="1"/>
  <c r="AS49" i="3"/>
  <c r="AX48" i="11" s="1"/>
  <c r="AS84" i="3"/>
  <c r="AX83" i="11" s="1"/>
  <c r="BB84" i="3"/>
  <c r="BK84" i="3"/>
  <c r="BM84" i="3" s="1"/>
  <c r="BK171" i="3"/>
  <c r="BM171" i="3" s="1"/>
  <c r="AS171" i="3"/>
  <c r="AX170" i="11" s="1"/>
  <c r="BB171" i="3"/>
  <c r="BC183" i="3"/>
  <c r="BE183" i="3" s="1"/>
  <c r="BJ183" i="3" s="1"/>
  <c r="BK183" i="3"/>
  <c r="BM183" i="3" s="1"/>
  <c r="BB183" i="3"/>
  <c r="AS183" i="3"/>
  <c r="AX182" i="11" s="1"/>
  <c r="BC127" i="3"/>
  <c r="BE127" i="3" s="1"/>
  <c r="BJ127" i="3" s="1"/>
  <c r="BK127" i="3"/>
  <c r="BM127" i="3" s="1"/>
  <c r="AS127" i="3"/>
  <c r="AX126" i="11" s="1"/>
  <c r="BB127" i="3"/>
  <c r="BC55" i="3"/>
  <c r="BE55" i="3" s="1"/>
  <c r="BJ55" i="3" s="1"/>
  <c r="BK55" i="3"/>
  <c r="BM55" i="3" s="1"/>
  <c r="AS55" i="3"/>
  <c r="AX54" i="11" s="1"/>
  <c r="AY54" i="11" s="1"/>
  <c r="BB55" i="3"/>
  <c r="BC288" i="3"/>
  <c r="BE288" i="3" s="1"/>
  <c r="BJ288" i="3" s="1"/>
  <c r="AS288" i="3"/>
  <c r="AX287" i="11" s="1"/>
  <c r="BK288" i="3"/>
  <c r="BM288" i="3" s="1"/>
  <c r="BB288" i="3"/>
  <c r="BC271" i="3"/>
  <c r="BE271" i="3" s="1"/>
  <c r="BJ271" i="3" s="1"/>
  <c r="BK271" i="3"/>
  <c r="BM271" i="3" s="1"/>
  <c r="BO271" i="3" s="1"/>
  <c r="BB271" i="3"/>
  <c r="AS271" i="3"/>
  <c r="AX270" i="11" s="1"/>
  <c r="AY270" i="11" s="1"/>
  <c r="BC120" i="3"/>
  <c r="BE120" i="3" s="1"/>
  <c r="BJ120" i="3" s="1"/>
  <c r="BB120" i="3"/>
  <c r="AS120" i="3"/>
  <c r="AX119" i="11" s="1"/>
  <c r="AY119" i="11" s="1"/>
  <c r="BK120" i="3"/>
  <c r="BM120" i="3" s="1"/>
  <c r="BO120" i="3" s="1"/>
  <c r="BC219" i="3"/>
  <c r="BE219" i="3" s="1"/>
  <c r="BJ219" i="3" s="1"/>
  <c r="AS219" i="3"/>
  <c r="AX218" i="11" s="1"/>
  <c r="AY218" i="11" s="1"/>
  <c r="BB219" i="3"/>
  <c r="BK219" i="3"/>
  <c r="BM219" i="3" s="1"/>
  <c r="BO219" i="3" s="1"/>
  <c r="BB19" i="3"/>
  <c r="BK19" i="3"/>
  <c r="BM19" i="3" s="1"/>
  <c r="BO19" i="3" s="1"/>
  <c r="AS19" i="3"/>
  <c r="Q18" i="21" s="1"/>
  <c r="BC285" i="3"/>
  <c r="BE285" i="3" s="1"/>
  <c r="BJ285" i="3" s="1"/>
  <c r="BK285" i="3"/>
  <c r="BM285" i="3" s="1"/>
  <c r="BO285" i="3" s="1"/>
  <c r="AS285" i="3"/>
  <c r="AX284" i="11" s="1"/>
  <c r="AY284" i="11" s="1"/>
  <c r="BB285" i="3"/>
  <c r="BC105" i="3"/>
  <c r="BE105" i="3" s="1"/>
  <c r="BJ105" i="3" s="1"/>
  <c r="BB105" i="3"/>
  <c r="BK105" i="3"/>
  <c r="BM105" i="3" s="1"/>
  <c r="BO105" i="3" s="1"/>
  <c r="AS105" i="3"/>
  <c r="AX104" i="11" s="1"/>
  <c r="AY104" i="11" s="1"/>
  <c r="BC197" i="3"/>
  <c r="BE197" i="3" s="1"/>
  <c r="BJ197" i="3" s="1"/>
  <c r="BK197" i="3"/>
  <c r="BM197" i="3" s="1"/>
  <c r="BO197" i="3" s="1"/>
  <c r="BB197" i="3"/>
  <c r="AS197" i="3"/>
  <c r="AX196" i="11" s="1"/>
  <c r="AY196" i="11" s="1"/>
  <c r="BC122" i="3"/>
  <c r="BE122" i="3" s="1"/>
  <c r="BJ122" i="3" s="1"/>
  <c r="AS122" i="3"/>
  <c r="AX121" i="11" s="1"/>
  <c r="AY121" i="11" s="1"/>
  <c r="BK122" i="3"/>
  <c r="BM122" i="3" s="1"/>
  <c r="BO122" i="3" s="1"/>
  <c r="BB122" i="3"/>
  <c r="BC278" i="3"/>
  <c r="BE278" i="3" s="1"/>
  <c r="BJ278" i="3" s="1"/>
  <c r="BK278" i="3"/>
  <c r="BM278" i="3" s="1"/>
  <c r="BO278" i="3" s="1"/>
  <c r="BB278" i="3"/>
  <c r="AS278" i="3"/>
  <c r="AX277" i="11" s="1"/>
  <c r="AY277" i="11" s="1"/>
  <c r="BC259" i="3"/>
  <c r="BE259" i="3" s="1"/>
  <c r="BJ259" i="3" s="1"/>
  <c r="BK259" i="3"/>
  <c r="BM259" i="3" s="1"/>
  <c r="BO259" i="3" s="1"/>
  <c r="AS259" i="3"/>
  <c r="AX258" i="11" s="1"/>
  <c r="AY258" i="11" s="1"/>
  <c r="BB259" i="3"/>
  <c r="BC211" i="3"/>
  <c r="BE211" i="3" s="1"/>
  <c r="BJ211" i="3" s="1"/>
  <c r="BK211" i="3"/>
  <c r="BM211" i="3" s="1"/>
  <c r="BO211" i="3" s="1"/>
  <c r="AS211" i="3"/>
  <c r="AX210" i="11" s="1"/>
  <c r="AY210" i="11" s="1"/>
  <c r="BB211" i="3"/>
  <c r="BC247" i="3"/>
  <c r="BE247" i="3" s="1"/>
  <c r="BJ247" i="3" s="1"/>
  <c r="BK247" i="3"/>
  <c r="BM247" i="3" s="1"/>
  <c r="BO247" i="3" s="1"/>
  <c r="BB247" i="3"/>
  <c r="AS247" i="3"/>
  <c r="AX246" i="11" s="1"/>
  <c r="AY246" i="11" s="1"/>
  <c r="BK205" i="3"/>
  <c r="BM205" i="3" s="1"/>
  <c r="BO205" i="3" s="1"/>
  <c r="BB205" i="3"/>
  <c r="AS205" i="3"/>
  <c r="AX204" i="11" s="1"/>
  <c r="AY204" i="11" s="1"/>
  <c r="AS74" i="3"/>
  <c r="AX73" i="11" s="1"/>
  <c r="AY73" i="11" s="1"/>
  <c r="BK74" i="3"/>
  <c r="BM74" i="3" s="1"/>
  <c r="BO74" i="3" s="1"/>
  <c r="BB74" i="3"/>
  <c r="BC30" i="3"/>
  <c r="BE30" i="3" s="1"/>
  <c r="BJ30" i="3" s="1"/>
  <c r="BK30" i="3"/>
  <c r="BM30" i="3" s="1"/>
  <c r="BO30" i="3" s="1"/>
  <c r="AS30" i="3"/>
  <c r="AX29" i="11" s="1"/>
  <c r="AY29" i="11" s="1"/>
  <c r="BB30" i="3"/>
  <c r="BC29" i="3"/>
  <c r="BE29" i="3" s="1"/>
  <c r="BJ29" i="3" s="1"/>
  <c r="AS29" i="3"/>
  <c r="AX28" i="11" s="1"/>
  <c r="AY28" i="11" s="1"/>
  <c r="BK29" i="3"/>
  <c r="BM29" i="3" s="1"/>
  <c r="BO29" i="3" s="1"/>
  <c r="BB29" i="3"/>
  <c r="BC26" i="3"/>
  <c r="BE26" i="3" s="1"/>
  <c r="BJ26" i="3" s="1"/>
  <c r="BB26" i="3"/>
  <c r="AS26" i="3"/>
  <c r="AX25" i="11" s="1"/>
  <c r="AY25" i="11" s="1"/>
  <c r="BK26" i="3"/>
  <c r="BM26" i="3" s="1"/>
  <c r="BO26" i="3" s="1"/>
  <c r="BC96" i="3"/>
  <c r="BE96" i="3" s="1"/>
  <c r="BJ96" i="3" s="1"/>
  <c r="BB96" i="3"/>
  <c r="BK96" i="3"/>
  <c r="BM96" i="3" s="1"/>
  <c r="BO96" i="3" s="1"/>
  <c r="AS96" i="3"/>
  <c r="AX95" i="11" s="1"/>
  <c r="AY95" i="11" s="1"/>
  <c r="BC286" i="3"/>
  <c r="BE286" i="3" s="1"/>
  <c r="BJ286" i="3" s="1"/>
  <c r="BK286" i="3"/>
  <c r="BM286" i="3" s="1"/>
  <c r="BB286" i="3"/>
  <c r="AS286" i="3"/>
  <c r="AX285" i="11" s="1"/>
  <c r="BC143" i="3"/>
  <c r="BE143" i="3" s="1"/>
  <c r="BJ143" i="3" s="1"/>
  <c r="BK143" i="3"/>
  <c r="BM143" i="3" s="1"/>
  <c r="BO143" i="3" s="1"/>
  <c r="BB143" i="3"/>
  <c r="AS143" i="3"/>
  <c r="AX142" i="11" s="1"/>
  <c r="AY142" i="11" s="1"/>
  <c r="BC245" i="3"/>
  <c r="BE245" i="3" s="1"/>
  <c r="BJ245" i="3" s="1"/>
  <c r="AS245" i="3"/>
  <c r="AX244" i="11" s="1"/>
  <c r="AY244" i="11" s="1"/>
  <c r="BB245" i="3"/>
  <c r="BK245" i="3"/>
  <c r="BM245" i="3" s="1"/>
  <c r="BO245" i="3" s="1"/>
  <c r="BC188" i="3"/>
  <c r="BE188" i="3" s="1"/>
  <c r="BJ188" i="3" s="1"/>
  <c r="AS188" i="3"/>
  <c r="AX187" i="11" s="1"/>
  <c r="AY187" i="11" s="1"/>
  <c r="BB188" i="3"/>
  <c r="BK188" i="3"/>
  <c r="BM188" i="3" s="1"/>
  <c r="BO188" i="3" s="1"/>
  <c r="BC261" i="3"/>
  <c r="BE261" i="3" s="1"/>
  <c r="BK261" i="3"/>
  <c r="BM261" i="3" s="1"/>
  <c r="BO261" i="3" s="1"/>
  <c r="BB261" i="3"/>
  <c r="AS261" i="3"/>
  <c r="AX260" i="11" s="1"/>
  <c r="BC119" i="3"/>
  <c r="BE119" i="3" s="1"/>
  <c r="BJ119" i="3" s="1"/>
  <c r="BB119" i="3"/>
  <c r="AS119" i="3"/>
  <c r="AX118" i="11" s="1"/>
  <c r="BK119" i="3"/>
  <c r="BM119" i="3" s="1"/>
  <c r="AS160" i="3"/>
  <c r="AX159" i="11" s="1"/>
  <c r="AY159" i="11" s="1"/>
  <c r="BK160" i="3"/>
  <c r="BM160" i="3" s="1"/>
  <c r="BB160" i="3"/>
  <c r="BB179" i="3"/>
  <c r="BK179" i="3"/>
  <c r="BM179" i="3" s="1"/>
  <c r="AS179" i="3"/>
  <c r="AX178" i="11" s="1"/>
  <c r="BK192" i="3"/>
  <c r="BM192" i="3" s="1"/>
  <c r="BO192" i="3" s="1"/>
  <c r="AS192" i="3"/>
  <c r="AX191" i="11" s="1"/>
  <c r="BB192" i="3"/>
  <c r="BB156" i="3"/>
  <c r="BK156" i="3"/>
  <c r="BM156" i="3" s="1"/>
  <c r="BO156" i="3" s="1"/>
  <c r="AS156" i="3"/>
  <c r="AX155" i="11" s="1"/>
  <c r="BB246" i="3"/>
  <c r="AS246" i="3"/>
  <c r="AX245" i="11" s="1"/>
  <c r="AY245" i="11" s="1"/>
  <c r="BK246" i="3"/>
  <c r="BM246" i="3" s="1"/>
  <c r="BC13" i="3"/>
  <c r="BE13" i="3" s="1"/>
  <c r="BJ13" i="3" s="1"/>
  <c r="AS13" i="3"/>
  <c r="AX12" i="11" s="1"/>
  <c r="AY12" i="11" s="1"/>
  <c r="BK13" i="3"/>
  <c r="BM13" i="3" s="1"/>
  <c r="BB13" i="3"/>
  <c r="BK190" i="3"/>
  <c r="BM190" i="3" s="1"/>
  <c r="BB190" i="3"/>
  <c r="AS190" i="3"/>
  <c r="AX189" i="11" s="1"/>
  <c r="BK138" i="3"/>
  <c r="BM138" i="3" s="1"/>
  <c r="BO138" i="3" s="1"/>
  <c r="AS138" i="3"/>
  <c r="AX137" i="11" s="1"/>
  <c r="BB138" i="3"/>
  <c r="BC252" i="3"/>
  <c r="BE252" i="3" s="1"/>
  <c r="BJ252" i="3" s="1"/>
  <c r="AS252" i="3"/>
  <c r="AX251" i="11" s="1"/>
  <c r="BK252" i="3"/>
  <c r="BM252" i="3" s="1"/>
  <c r="BB252" i="3"/>
  <c r="BB267" i="3"/>
  <c r="BK267" i="3"/>
  <c r="BM267" i="3" s="1"/>
  <c r="AS267" i="3"/>
  <c r="AX266" i="11" s="1"/>
  <c r="AS93" i="3"/>
  <c r="AX92" i="11" s="1"/>
  <c r="BK93" i="3"/>
  <c r="BM93" i="3" s="1"/>
  <c r="BB93" i="3"/>
  <c r="BK149" i="3"/>
  <c r="BM149" i="3" s="1"/>
  <c r="AS149" i="3"/>
  <c r="AX148" i="11" s="1"/>
  <c r="BB149" i="3"/>
  <c r="BC133" i="3"/>
  <c r="BE133" i="3" s="1"/>
  <c r="BJ133" i="3" s="1"/>
  <c r="AS133" i="3"/>
  <c r="AX132" i="11" s="1"/>
  <c r="AY132" i="11" s="1"/>
  <c r="BB133" i="3"/>
  <c r="BK133" i="3"/>
  <c r="BM133" i="3" s="1"/>
  <c r="BO133" i="3" s="1"/>
  <c r="BC254" i="3"/>
  <c r="BE254" i="3" s="1"/>
  <c r="BJ254" i="3" s="1"/>
  <c r="BB254" i="3"/>
  <c r="AS254" i="3"/>
  <c r="AX253" i="11" s="1"/>
  <c r="AY253" i="11" s="1"/>
  <c r="BK254" i="3"/>
  <c r="BM254" i="3" s="1"/>
  <c r="BO254" i="3" s="1"/>
  <c r="BC22" i="3"/>
  <c r="BE22" i="3" s="1"/>
  <c r="BJ22" i="3" s="1"/>
  <c r="BK22" i="3"/>
  <c r="BM22" i="3" s="1"/>
  <c r="BO22" i="3" s="1"/>
  <c r="AS22" i="3"/>
  <c r="AX21" i="11" s="1"/>
  <c r="AY21" i="11" s="1"/>
  <c r="BB22" i="3"/>
  <c r="BC36" i="3"/>
  <c r="BE36" i="3" s="1"/>
  <c r="BJ36" i="3" s="1"/>
  <c r="AS36" i="3"/>
  <c r="AX35" i="11" s="1"/>
  <c r="AY35" i="11" s="1"/>
  <c r="BB36" i="3"/>
  <c r="BK36" i="3"/>
  <c r="BM36" i="3" s="1"/>
  <c r="BO36" i="3" s="1"/>
  <c r="BK61" i="3"/>
  <c r="BM61" i="3" s="1"/>
  <c r="BO61" i="3" s="1"/>
  <c r="BB61" i="3"/>
  <c r="AS61" i="3"/>
  <c r="AX60" i="11" s="1"/>
  <c r="AY60" i="11" s="1"/>
  <c r="BB212" i="3"/>
  <c r="BK212" i="3"/>
  <c r="BM212" i="3" s="1"/>
  <c r="BO212" i="3" s="1"/>
  <c r="AS212" i="3"/>
  <c r="AX211" i="11" s="1"/>
  <c r="AY211" i="11" s="1"/>
  <c r="BC198" i="3"/>
  <c r="BE198" i="3" s="1"/>
  <c r="BJ198" i="3" s="1"/>
  <c r="BK198" i="3"/>
  <c r="BM198" i="3" s="1"/>
  <c r="BO198" i="3" s="1"/>
  <c r="BB198" i="3"/>
  <c r="AS198" i="3"/>
  <c r="AX197" i="11" s="1"/>
  <c r="AY197" i="11" s="1"/>
  <c r="BK6" i="3"/>
  <c r="BM6" i="3" s="1"/>
  <c r="BO6" i="3" s="1"/>
  <c r="AS6" i="3"/>
  <c r="Q5" i="21" s="1"/>
  <c r="BB6" i="3"/>
  <c r="BB88" i="3"/>
  <c r="AS88" i="3"/>
  <c r="AX87" i="11" s="1"/>
  <c r="AY87" i="11" s="1"/>
  <c r="BK88" i="3"/>
  <c r="BM88" i="3" s="1"/>
  <c r="BO88" i="3" s="1"/>
  <c r="BC102" i="3"/>
  <c r="BE102" i="3" s="1"/>
  <c r="BJ102" i="3" s="1"/>
  <c r="BK102" i="3"/>
  <c r="BM102" i="3" s="1"/>
  <c r="BO102" i="3" s="1"/>
  <c r="BB102" i="3"/>
  <c r="AS102" i="3"/>
  <c r="Q101" i="21" s="1"/>
  <c r="AS201" i="3"/>
  <c r="CR201" i="3" s="1"/>
  <c r="BK201" i="3"/>
  <c r="BM201" i="3" s="1"/>
  <c r="BO201" i="3" s="1"/>
  <c r="BB201" i="3"/>
  <c r="BC92" i="3"/>
  <c r="BE92" i="3" s="1"/>
  <c r="BJ92" i="3" s="1"/>
  <c r="BK92" i="3"/>
  <c r="BM92" i="3" s="1"/>
  <c r="BO92" i="3" s="1"/>
  <c r="BB92" i="3"/>
  <c r="AS92" i="3"/>
  <c r="AX91" i="11" s="1"/>
  <c r="AY91" i="11" s="1"/>
  <c r="BC274" i="3"/>
  <c r="BE274" i="3" s="1"/>
  <c r="BJ274" i="3" s="1"/>
  <c r="BB274" i="3"/>
  <c r="BK274" i="3"/>
  <c r="BM274" i="3" s="1"/>
  <c r="BO274" i="3" s="1"/>
  <c r="AS274" i="3"/>
  <c r="AX273" i="11" s="1"/>
  <c r="AY273" i="11" s="1"/>
  <c r="BC131" i="3"/>
  <c r="BE131" i="3" s="1"/>
  <c r="BJ131" i="3" s="1"/>
  <c r="BB131" i="3"/>
  <c r="BK131" i="3"/>
  <c r="BM131" i="3" s="1"/>
  <c r="BO131" i="3" s="1"/>
  <c r="AS131" i="3"/>
  <c r="AX130" i="11" s="1"/>
  <c r="AY130" i="11" s="1"/>
  <c r="BB203" i="3"/>
  <c r="BK203" i="3"/>
  <c r="BM203" i="3" s="1"/>
  <c r="BO203" i="3" s="1"/>
  <c r="AS203" i="3"/>
  <c r="AX202" i="11" s="1"/>
  <c r="AY202" i="11" s="1"/>
  <c r="BC48" i="3"/>
  <c r="BE48" i="3" s="1"/>
  <c r="BJ48" i="3" s="1"/>
  <c r="BB48" i="3"/>
  <c r="AS48" i="3"/>
  <c r="AX47" i="11" s="1"/>
  <c r="AY47" i="11" s="1"/>
  <c r="BK48" i="3"/>
  <c r="BM48" i="3" s="1"/>
  <c r="BO48" i="3" s="1"/>
  <c r="AS100" i="3"/>
  <c r="AX99" i="11" s="1"/>
  <c r="AY99" i="11" s="1"/>
  <c r="BB100" i="3"/>
  <c r="BK100" i="3"/>
  <c r="BM100" i="3" s="1"/>
  <c r="BO100" i="3" s="1"/>
  <c r="BC121" i="3"/>
  <c r="BE121" i="3" s="1"/>
  <c r="BJ121" i="3" s="1"/>
  <c r="AS121" i="3"/>
  <c r="AX120" i="11" s="1"/>
  <c r="AY120" i="11" s="1"/>
  <c r="BK121" i="3"/>
  <c r="BM121" i="3" s="1"/>
  <c r="BO121" i="3" s="1"/>
  <c r="BB121" i="3"/>
  <c r="BK157" i="3"/>
  <c r="BM157" i="3" s="1"/>
  <c r="BO157" i="3" s="1"/>
  <c r="BB157" i="3"/>
  <c r="AS157" i="3"/>
  <c r="AX156" i="11" s="1"/>
  <c r="AY156" i="11" s="1"/>
  <c r="BC124" i="3"/>
  <c r="BE124" i="3" s="1"/>
  <c r="BJ124" i="3" s="1"/>
  <c r="BB124" i="3"/>
  <c r="BK124" i="3"/>
  <c r="BM124" i="3" s="1"/>
  <c r="BO124" i="3" s="1"/>
  <c r="AS124" i="3"/>
  <c r="AX123" i="11" s="1"/>
  <c r="AY123" i="11" s="1"/>
  <c r="BC146" i="3"/>
  <c r="BE146" i="3" s="1"/>
  <c r="BJ146" i="3" s="1"/>
  <c r="AS146" i="3"/>
  <c r="AX145" i="11" s="1"/>
  <c r="AY145" i="11" s="1"/>
  <c r="BB146" i="3"/>
  <c r="BK146" i="3"/>
  <c r="BM146" i="3" s="1"/>
  <c r="BB249" i="3"/>
  <c r="BK249" i="3"/>
  <c r="BM249" i="3" s="1"/>
  <c r="AS249" i="3"/>
  <c r="AX248" i="11" s="1"/>
  <c r="BK63" i="3"/>
  <c r="BM63" i="3" s="1"/>
  <c r="AS63" i="3"/>
  <c r="AX62" i="11" s="1"/>
  <c r="BB63" i="3"/>
  <c r="BC287" i="3"/>
  <c r="BK287" i="3"/>
  <c r="BM287" i="3" s="1"/>
  <c r="BB287" i="3"/>
  <c r="AS287" i="3"/>
  <c r="AX286" i="11" s="1"/>
  <c r="AS12" i="3"/>
  <c r="AX11" i="11" s="1"/>
  <c r="BB12" i="3"/>
  <c r="BK12" i="3"/>
  <c r="BM12" i="3" s="1"/>
  <c r="AS177" i="3"/>
  <c r="AX176" i="11" s="1"/>
  <c r="BB177" i="3"/>
  <c r="BK177" i="3"/>
  <c r="BM177" i="3" s="1"/>
  <c r="BB227" i="3"/>
  <c r="BK227" i="3"/>
  <c r="BM227" i="3" s="1"/>
  <c r="AS227" i="3"/>
  <c r="AX226" i="11" s="1"/>
  <c r="AY226" i="11" s="1"/>
  <c r="BC108" i="3"/>
  <c r="BE108" i="3" s="1"/>
  <c r="BJ108" i="3" s="1"/>
  <c r="AS108" i="3"/>
  <c r="AX107" i="11" s="1"/>
  <c r="BB108" i="3"/>
  <c r="BK108" i="3"/>
  <c r="BM108" i="3" s="1"/>
  <c r="BC240" i="3"/>
  <c r="BE240" i="3" s="1"/>
  <c r="BJ240" i="3" s="1"/>
  <c r="BB240" i="3"/>
  <c r="BK240" i="3"/>
  <c r="BM240" i="3" s="1"/>
  <c r="AS240" i="3"/>
  <c r="AX239" i="11" s="1"/>
  <c r="BC51" i="3"/>
  <c r="BE51" i="3" s="1"/>
  <c r="AS51" i="3"/>
  <c r="AX50" i="11" s="1"/>
  <c r="BB51" i="3"/>
  <c r="BK51" i="3"/>
  <c r="BM51" i="3" s="1"/>
  <c r="BK31" i="3"/>
  <c r="BM31" i="3" s="1"/>
  <c r="AS31" i="3"/>
  <c r="AX30" i="11" s="1"/>
  <c r="BB31" i="3"/>
  <c r="BC139" i="3"/>
  <c r="BE139" i="3" s="1"/>
  <c r="BJ139" i="3" s="1"/>
  <c r="BB139" i="3"/>
  <c r="BK139" i="3"/>
  <c r="BM139" i="3" s="1"/>
  <c r="BO139" i="3" s="1"/>
  <c r="AS139" i="3"/>
  <c r="AX138" i="11" s="1"/>
  <c r="AY138" i="11" s="1"/>
  <c r="AS76" i="3"/>
  <c r="AX75" i="11" s="1"/>
  <c r="AY75" i="11" s="1"/>
  <c r="BB76" i="3"/>
  <c r="BK76" i="3"/>
  <c r="BM76" i="3" s="1"/>
  <c r="BO76" i="3" s="1"/>
  <c r="BC165" i="3"/>
  <c r="BE165" i="3" s="1"/>
  <c r="BJ165" i="3" s="1"/>
  <c r="BK165" i="3"/>
  <c r="BM165" i="3" s="1"/>
  <c r="BO165" i="3" s="1"/>
  <c r="AS165" i="3"/>
  <c r="AX164" i="11" s="1"/>
  <c r="AY164" i="11" s="1"/>
  <c r="BB165" i="3"/>
  <c r="BC91" i="3"/>
  <c r="BE91" i="3" s="1"/>
  <c r="BJ91" i="3" s="1"/>
  <c r="BK91" i="3"/>
  <c r="BM91" i="3" s="1"/>
  <c r="BO91" i="3" s="1"/>
  <c r="BB91" i="3"/>
  <c r="AS91" i="3"/>
  <c r="AX90" i="11" s="1"/>
  <c r="AY90" i="11" s="1"/>
  <c r="BB154" i="3"/>
  <c r="BK154" i="3"/>
  <c r="BM154" i="3" s="1"/>
  <c r="BO154" i="3" s="1"/>
  <c r="AS154" i="3"/>
  <c r="AX153" i="11" s="1"/>
  <c r="AY153" i="11" s="1"/>
  <c r="BB144" i="3"/>
  <c r="BK144" i="3"/>
  <c r="BM144" i="3" s="1"/>
  <c r="BO144" i="3" s="1"/>
  <c r="AS144" i="3"/>
  <c r="AX143" i="11" s="1"/>
  <c r="AY143" i="11" s="1"/>
  <c r="BC260" i="3"/>
  <c r="BE260" i="3" s="1"/>
  <c r="BJ260" i="3" s="1"/>
  <c r="BB260" i="3"/>
  <c r="BK260" i="3"/>
  <c r="BM260" i="3" s="1"/>
  <c r="BO260" i="3" s="1"/>
  <c r="AS260" i="3"/>
  <c r="AX259" i="11" s="1"/>
  <c r="AY259" i="11" s="1"/>
  <c r="BK207" i="3"/>
  <c r="BM207" i="3" s="1"/>
  <c r="BO207" i="3" s="1"/>
  <c r="BB207" i="3"/>
  <c r="AS207" i="3"/>
  <c r="AX206" i="11" s="1"/>
  <c r="AY206" i="11" s="1"/>
  <c r="BB241" i="3"/>
  <c r="BK241" i="3"/>
  <c r="BM241" i="3" s="1"/>
  <c r="BO241" i="3" s="1"/>
  <c r="AS241" i="3"/>
  <c r="AX240" i="11" s="1"/>
  <c r="AY240" i="11" s="1"/>
  <c r="BB243" i="3"/>
  <c r="AS243" i="3"/>
  <c r="AX242" i="11" s="1"/>
  <c r="AY242" i="11" s="1"/>
  <c r="BK243" i="3"/>
  <c r="BM243" i="3" s="1"/>
  <c r="BO243" i="3" s="1"/>
  <c r="BC239" i="3"/>
  <c r="BE239" i="3" s="1"/>
  <c r="BJ239" i="3" s="1"/>
  <c r="BB239" i="3"/>
  <c r="AS239" i="3"/>
  <c r="AX238" i="11" s="1"/>
  <c r="AY238" i="11" s="1"/>
  <c r="BK239" i="3"/>
  <c r="BM239" i="3" s="1"/>
  <c r="BO239" i="3" s="1"/>
  <c r="BC255" i="3"/>
  <c r="BE255" i="3" s="1"/>
  <c r="BJ255" i="3" s="1"/>
  <c r="BK255" i="3"/>
  <c r="BM255" i="3" s="1"/>
  <c r="BO255" i="3" s="1"/>
  <c r="BB255" i="3"/>
  <c r="AS255" i="3"/>
  <c r="AX254" i="11" s="1"/>
  <c r="AY254" i="11" s="1"/>
  <c r="BC38" i="3"/>
  <c r="BE38" i="3" s="1"/>
  <c r="BJ38" i="3" s="1"/>
  <c r="BK38" i="3"/>
  <c r="BM38" i="3" s="1"/>
  <c r="BO38" i="3" s="1"/>
  <c r="AS38" i="3"/>
  <c r="AX37" i="11" s="1"/>
  <c r="AY37" i="11" s="1"/>
  <c r="BB38" i="3"/>
  <c r="BB228" i="3"/>
  <c r="BK228" i="3"/>
  <c r="BM228" i="3" s="1"/>
  <c r="BO228" i="3" s="1"/>
  <c r="AS228" i="3"/>
  <c r="AX227" i="11" s="1"/>
  <c r="AY227" i="11" s="1"/>
  <c r="BC39" i="3"/>
  <c r="BE39" i="3" s="1"/>
  <c r="BJ39" i="3" s="1"/>
  <c r="BK39" i="3"/>
  <c r="BM39" i="3" s="1"/>
  <c r="BO39" i="3" s="1"/>
  <c r="AS39" i="3"/>
  <c r="AX38" i="11" s="1"/>
  <c r="AY38" i="11" s="1"/>
  <c r="BB39" i="3"/>
  <c r="BK269" i="3"/>
  <c r="BM269" i="3" s="1"/>
  <c r="BO269" i="3" s="1"/>
  <c r="AS269" i="3"/>
  <c r="Q268" i="21" s="1"/>
  <c r="BB269" i="3"/>
  <c r="BK135" i="3"/>
  <c r="BM135" i="3" s="1"/>
  <c r="BO135" i="3" s="1"/>
  <c r="BB135" i="3"/>
  <c r="AS135" i="3"/>
  <c r="AX134" i="11" s="1"/>
  <c r="BB140" i="3"/>
  <c r="BK140" i="3"/>
  <c r="BM140" i="3" s="1"/>
  <c r="AS140" i="3"/>
  <c r="AX139" i="11" s="1"/>
  <c r="BC166" i="3"/>
  <c r="BE166" i="3" s="1"/>
  <c r="BJ166" i="3" s="1"/>
  <c r="BK166" i="3"/>
  <c r="BM166" i="3" s="1"/>
  <c r="BO166" i="3" s="1"/>
  <c r="BB166" i="3"/>
  <c r="AS166" i="3"/>
  <c r="Q165" i="21" s="1"/>
  <c r="BK167" i="3"/>
  <c r="BM167" i="3" s="1"/>
  <c r="BB167" i="3"/>
  <c r="AS167" i="3"/>
  <c r="AX166" i="11" s="1"/>
  <c r="BC37" i="3"/>
  <c r="BE37" i="3" s="1"/>
  <c r="BJ37" i="3" s="1"/>
  <c r="AS37" i="3"/>
  <c r="AX36" i="11" s="1"/>
  <c r="BK37" i="3"/>
  <c r="BM37" i="3" s="1"/>
  <c r="BB37" i="3"/>
  <c r="AS60" i="3"/>
  <c r="AX59" i="11" s="1"/>
  <c r="BB60" i="3"/>
  <c r="BK60" i="3"/>
  <c r="BM60" i="3" s="1"/>
  <c r="BC221" i="3"/>
  <c r="BE221" i="3" s="1"/>
  <c r="BJ221" i="3" s="1"/>
  <c r="BK221" i="3"/>
  <c r="BM221" i="3" s="1"/>
  <c r="BO221" i="3" s="1"/>
  <c r="AS221" i="3"/>
  <c r="AX220" i="11" s="1"/>
  <c r="BB221" i="3"/>
  <c r="BC237" i="3"/>
  <c r="BE237" i="3" s="1"/>
  <c r="BJ237" i="3" s="1"/>
  <c r="BK237" i="3"/>
  <c r="BM237" i="3" s="1"/>
  <c r="AS237" i="3"/>
  <c r="AX236" i="11" s="1"/>
  <c r="AY236" i="11" s="1"/>
  <c r="BB237" i="3"/>
  <c r="BK95" i="3"/>
  <c r="BM95" i="3" s="1"/>
  <c r="AS95" i="3"/>
  <c r="AX94" i="11" s="1"/>
  <c r="BB95" i="3"/>
  <c r="BB215" i="3"/>
  <c r="AS215" i="3"/>
  <c r="AX214" i="11" s="1"/>
  <c r="BK215" i="3"/>
  <c r="BM215" i="3" s="1"/>
  <c r="BC50" i="3"/>
  <c r="BE50" i="3" s="1"/>
  <c r="BJ50" i="3" s="1"/>
  <c r="BB50" i="3"/>
  <c r="BK50" i="3"/>
  <c r="BM50" i="3" s="1"/>
  <c r="AS50" i="3"/>
  <c r="AX49" i="11" s="1"/>
  <c r="BB8" i="3"/>
  <c r="BK8" i="3"/>
  <c r="BM8" i="3" s="1"/>
  <c r="AS8" i="3"/>
  <c r="AX7" i="11" s="1"/>
  <c r="BB152" i="3"/>
  <c r="BK152" i="3"/>
  <c r="BM152" i="3" s="1"/>
  <c r="BO152" i="3" s="1"/>
  <c r="AS152" i="3"/>
  <c r="AX151" i="11" s="1"/>
  <c r="AY151" i="11" s="1"/>
  <c r="BB129" i="3"/>
  <c r="BK129" i="3"/>
  <c r="BM129" i="3" s="1"/>
  <c r="BO129" i="3" s="1"/>
  <c r="AS129" i="3"/>
  <c r="AX128" i="11" s="1"/>
  <c r="AY128" i="11" s="1"/>
  <c r="BK159" i="3"/>
  <c r="BM159" i="3" s="1"/>
  <c r="BO159" i="3" s="1"/>
  <c r="AS159" i="3"/>
  <c r="AX158" i="11" s="1"/>
  <c r="AY158" i="11" s="1"/>
  <c r="BB159" i="3"/>
  <c r="BC195" i="3"/>
  <c r="BE195" i="3" s="1"/>
  <c r="BJ195" i="3" s="1"/>
  <c r="BB195" i="3"/>
  <c r="BK195" i="3"/>
  <c r="BM195" i="3" s="1"/>
  <c r="BO195" i="3" s="1"/>
  <c r="AS195" i="3"/>
  <c r="AX194" i="11" s="1"/>
  <c r="AY194" i="11" s="1"/>
  <c r="BB272" i="3"/>
  <c r="BK272" i="3"/>
  <c r="BM272" i="3" s="1"/>
  <c r="BO272" i="3" s="1"/>
  <c r="AS272" i="3"/>
  <c r="AX271" i="11" s="1"/>
  <c r="AY271" i="11" s="1"/>
  <c r="BC155" i="3"/>
  <c r="BE155" i="3" s="1"/>
  <c r="BJ155" i="3" s="1"/>
  <c r="BB155" i="3"/>
  <c r="BK155" i="3"/>
  <c r="BM155" i="3" s="1"/>
  <c r="BO155" i="3" s="1"/>
  <c r="AS155" i="3"/>
  <c r="AX154" i="11" s="1"/>
  <c r="AY154" i="11" s="1"/>
  <c r="BB153" i="3"/>
  <c r="BK153" i="3"/>
  <c r="BM153" i="3" s="1"/>
  <c r="BO153" i="3" s="1"/>
  <c r="AS153" i="3"/>
  <c r="Q152" i="21" s="1"/>
  <c r="BK137" i="3"/>
  <c r="BM137" i="3" s="1"/>
  <c r="BO137" i="3" s="1"/>
  <c r="AS137" i="3"/>
  <c r="AX136" i="11" s="1"/>
  <c r="AY136" i="11" s="1"/>
  <c r="BB137" i="3"/>
  <c r="BB80" i="3"/>
  <c r="BK80" i="3"/>
  <c r="BM80" i="3" s="1"/>
  <c r="BO80" i="3" s="1"/>
  <c r="AS80" i="3"/>
  <c r="AX79" i="11" s="1"/>
  <c r="AY79" i="11" s="1"/>
  <c r="BC251" i="3"/>
  <c r="BE251" i="3" s="1"/>
  <c r="BJ251" i="3" s="1"/>
  <c r="BB251" i="3"/>
  <c r="AS251" i="3"/>
  <c r="AX250" i="11" s="1"/>
  <c r="AY250" i="11" s="1"/>
  <c r="BK251" i="3"/>
  <c r="BM251" i="3" s="1"/>
  <c r="BO251" i="3" s="1"/>
  <c r="BC94" i="3"/>
  <c r="BE94" i="3" s="1"/>
  <c r="BJ94" i="3" s="1"/>
  <c r="AS94" i="3"/>
  <c r="AX93" i="11" s="1"/>
  <c r="AY93" i="11" s="1"/>
  <c r="BB94" i="3"/>
  <c r="BK94" i="3"/>
  <c r="BM94" i="3" s="1"/>
  <c r="BO94" i="3" s="1"/>
  <c r="BK14" i="3"/>
  <c r="BM14" i="3" s="1"/>
  <c r="BO14" i="3" s="1"/>
  <c r="AS14" i="3"/>
  <c r="AX13" i="11" s="1"/>
  <c r="AY13" i="11" s="1"/>
  <c r="BB14" i="3"/>
  <c r="BC250" i="3"/>
  <c r="BE250" i="3" s="1"/>
  <c r="BJ250" i="3" s="1"/>
  <c r="AS250" i="3"/>
  <c r="AX249" i="11" s="1"/>
  <c r="AY249" i="11" s="1"/>
  <c r="BK250" i="3"/>
  <c r="BM250" i="3" s="1"/>
  <c r="BO250" i="3" s="1"/>
  <c r="BB250" i="3"/>
  <c r="BK141" i="3"/>
  <c r="BM141" i="3" s="1"/>
  <c r="BO141" i="3" s="1"/>
  <c r="AS141" i="3"/>
  <c r="Q140" i="21" s="1"/>
  <c r="BB141" i="3"/>
  <c r="BC244" i="3"/>
  <c r="BE244" i="3" s="1"/>
  <c r="BJ244" i="3" s="1"/>
  <c r="AS244" i="3"/>
  <c r="AX243" i="11" s="1"/>
  <c r="AY243" i="11" s="1"/>
  <c r="BK244" i="3"/>
  <c r="BM244" i="3" s="1"/>
  <c r="BO244" i="3" s="1"/>
  <c r="BB244" i="3"/>
  <c r="BB145" i="3"/>
  <c r="BK145" i="3"/>
  <c r="BM145" i="3" s="1"/>
  <c r="BO145" i="3" s="1"/>
  <c r="AS145" i="3"/>
  <c r="AX144" i="11" s="1"/>
  <c r="AY144" i="11" s="1"/>
  <c r="BK117" i="3"/>
  <c r="BM117" i="3" s="1"/>
  <c r="BO117" i="3" s="1"/>
  <c r="BB117" i="3"/>
  <c r="AS117" i="3"/>
  <c r="CR117" i="3" s="1"/>
  <c r="I117" i="23" s="1"/>
  <c r="AS276" i="3"/>
  <c r="AX275" i="11" s="1"/>
  <c r="BB276" i="3"/>
  <c r="BK276" i="3"/>
  <c r="BM276" i="3" s="1"/>
  <c r="BO276" i="3" s="1"/>
  <c r="BC147" i="3"/>
  <c r="BE147" i="3" s="1"/>
  <c r="BJ147" i="3" s="1"/>
  <c r="BB147" i="3"/>
  <c r="BK147" i="3"/>
  <c r="BM147" i="3" s="1"/>
  <c r="BO147" i="3" s="1"/>
  <c r="AS147" i="3"/>
  <c r="AX146" i="11" s="1"/>
  <c r="AY146" i="11" s="1"/>
  <c r="BC32" i="3"/>
  <c r="BB32" i="3"/>
  <c r="AS32" i="3"/>
  <c r="AX31" i="11" s="1"/>
  <c r="BK32" i="3"/>
  <c r="BM32" i="3" s="1"/>
  <c r="BB114" i="3"/>
  <c r="AS114" i="3"/>
  <c r="AX113" i="11" s="1"/>
  <c r="AY113" i="11" s="1"/>
  <c r="BK114" i="3"/>
  <c r="BM114" i="3" s="1"/>
  <c r="BC248" i="3"/>
  <c r="BE248" i="3" s="1"/>
  <c r="BJ248" i="3" s="1"/>
  <c r="BB248" i="3"/>
  <c r="AS248" i="3"/>
  <c r="AX247" i="11" s="1"/>
  <c r="AY247" i="11" s="1"/>
  <c r="BK248" i="3"/>
  <c r="BM248" i="3" s="1"/>
  <c r="BO248" i="3" s="1"/>
  <c r="BC196" i="3"/>
  <c r="BE196" i="3" s="1"/>
  <c r="BJ196" i="3" s="1"/>
  <c r="BB196" i="3"/>
  <c r="BK196" i="3"/>
  <c r="BM196" i="3" s="1"/>
  <c r="BO196" i="3" s="1"/>
  <c r="AS196" i="3"/>
  <c r="AX195" i="11" s="1"/>
  <c r="AY195" i="11" s="1"/>
  <c r="BC99" i="3"/>
  <c r="BE99" i="3" s="1"/>
  <c r="BJ99" i="3" s="1"/>
  <c r="AS99" i="3"/>
  <c r="CR99" i="3" s="1"/>
  <c r="BB99" i="3"/>
  <c r="BK99" i="3"/>
  <c r="BM99" i="3" s="1"/>
  <c r="BO99" i="3" s="1"/>
  <c r="BB218" i="3"/>
  <c r="BK218" i="3"/>
  <c r="BM218" i="3" s="1"/>
  <c r="AS218" i="3"/>
  <c r="AX217" i="11" s="1"/>
  <c r="AS236" i="3"/>
  <c r="AX235" i="11" s="1"/>
  <c r="BB236" i="3"/>
  <c r="BK236" i="3"/>
  <c r="BM236" i="3" s="1"/>
  <c r="BO236" i="3" s="1"/>
  <c r="BK184" i="3"/>
  <c r="BM184" i="3" s="1"/>
  <c r="AS184" i="3"/>
  <c r="AX183" i="11" s="1"/>
  <c r="BB184" i="3"/>
  <c r="BB136" i="3"/>
  <c r="BK136" i="3"/>
  <c r="BM136" i="3" s="1"/>
  <c r="BO136" i="3" s="1"/>
  <c r="AS136" i="3"/>
  <c r="AX135" i="11" s="1"/>
  <c r="AY135" i="11" s="1"/>
  <c r="AS9" i="3"/>
  <c r="AX8" i="11" s="1"/>
  <c r="AY8" i="11" s="1"/>
  <c r="BK9" i="3"/>
  <c r="BM9" i="3" s="1"/>
  <c r="BB9" i="3"/>
  <c r="BB40" i="3"/>
  <c r="BK40" i="3"/>
  <c r="BM40" i="3" s="1"/>
  <c r="AS40" i="3"/>
  <c r="AX39" i="11" s="1"/>
  <c r="BC24" i="3"/>
  <c r="BB24" i="3"/>
  <c r="BK24" i="3"/>
  <c r="BM24" i="3" s="1"/>
  <c r="AS24" i="3"/>
  <c r="AX23" i="11" s="1"/>
  <c r="AY23" i="11" s="1"/>
  <c r="BB226" i="3"/>
  <c r="BK226" i="3"/>
  <c r="BM226" i="3" s="1"/>
  <c r="AS226" i="3"/>
  <c r="AX225" i="11" s="1"/>
  <c r="AY225" i="11" s="1"/>
  <c r="BC194" i="3"/>
  <c r="BE194" i="3" s="1"/>
  <c r="BJ194" i="3" s="1"/>
  <c r="BK194" i="3"/>
  <c r="BM194" i="3" s="1"/>
  <c r="BO194" i="3" s="1"/>
  <c r="AS194" i="3"/>
  <c r="AX193" i="11" s="1"/>
  <c r="AY193" i="11" s="1"/>
  <c r="BB194" i="3"/>
  <c r="BC7" i="3"/>
  <c r="BE7" i="3" s="1"/>
  <c r="BJ7" i="3" s="1"/>
  <c r="BK7" i="3"/>
  <c r="BM7" i="3" s="1"/>
  <c r="BO7" i="3" s="1"/>
  <c r="AS7" i="3"/>
  <c r="Q6" i="21" s="1"/>
  <c r="BB7" i="3"/>
  <c r="BC82" i="3"/>
  <c r="BE82" i="3" s="1"/>
  <c r="BJ82" i="3" s="1"/>
  <c r="BB82" i="3"/>
  <c r="BK82" i="3"/>
  <c r="BM82" i="3" s="1"/>
  <c r="BO82" i="3" s="1"/>
  <c r="AS82" i="3"/>
  <c r="AX81" i="11" s="1"/>
  <c r="AY81" i="11" s="1"/>
  <c r="AS283" i="3"/>
  <c r="CR283" i="3" s="1"/>
  <c r="BK283" i="3"/>
  <c r="BM283" i="3" s="1"/>
  <c r="BO283" i="3" s="1"/>
  <c r="BB283" i="3"/>
  <c r="BC214" i="3"/>
  <c r="BE214" i="3" s="1"/>
  <c r="BJ214" i="3" s="1"/>
  <c r="BK214" i="3"/>
  <c r="BM214" i="3" s="1"/>
  <c r="BO214" i="3" s="1"/>
  <c r="BB214" i="3"/>
  <c r="AS214" i="3"/>
  <c r="AX213" i="11" s="1"/>
  <c r="AY213" i="11" s="1"/>
  <c r="BC265" i="3"/>
  <c r="BE265" i="3" s="1"/>
  <c r="BJ265" i="3" s="1"/>
  <c r="BB265" i="3"/>
  <c r="BK265" i="3"/>
  <c r="BM265" i="3" s="1"/>
  <c r="BO265" i="3" s="1"/>
  <c r="AS265" i="3"/>
  <c r="AX264" i="11" s="1"/>
  <c r="AY264" i="11" s="1"/>
  <c r="BC45" i="3"/>
  <c r="BE45" i="3" s="1"/>
  <c r="BJ45" i="3" s="1"/>
  <c r="AS45" i="3"/>
  <c r="AX44" i="11" s="1"/>
  <c r="AY44" i="11" s="1"/>
  <c r="BK45" i="3"/>
  <c r="BM45" i="3" s="1"/>
  <c r="BO45" i="3" s="1"/>
  <c r="BB45" i="3"/>
  <c r="BB233" i="3"/>
  <c r="BK233" i="3"/>
  <c r="BM233" i="3" s="1"/>
  <c r="BO233" i="3" s="1"/>
  <c r="AS233" i="3"/>
  <c r="AX232" i="11" s="1"/>
  <c r="AY232" i="11" s="1"/>
  <c r="BK174" i="3"/>
  <c r="BM174" i="3" s="1"/>
  <c r="BO174" i="3" s="1"/>
  <c r="BB174" i="3"/>
  <c r="AS174" i="3"/>
  <c r="AX173" i="11" s="1"/>
  <c r="AY173" i="11" s="1"/>
  <c r="BB186" i="3"/>
  <c r="BK186" i="3"/>
  <c r="BM186" i="3" s="1"/>
  <c r="BO186" i="3" s="1"/>
  <c r="AS186" i="3"/>
  <c r="Q185" i="21" s="1"/>
  <c r="BC58" i="3"/>
  <c r="BE58" i="3" s="1"/>
  <c r="BJ58" i="3" s="1"/>
  <c r="BB58" i="3"/>
  <c r="BK58" i="3"/>
  <c r="BM58" i="3" s="1"/>
  <c r="BO58" i="3" s="1"/>
  <c r="AS58" i="3"/>
  <c r="AX57" i="11" s="1"/>
  <c r="AY57" i="11" s="1"/>
  <c r="BC176" i="3"/>
  <c r="BE176" i="3" s="1"/>
  <c r="BJ176" i="3" s="1"/>
  <c r="BB176" i="3"/>
  <c r="BK176" i="3"/>
  <c r="BM176" i="3" s="1"/>
  <c r="BO176" i="3" s="1"/>
  <c r="AS176" i="3"/>
  <c r="AX175" i="11" s="1"/>
  <c r="AY175" i="11" s="1"/>
  <c r="BC204" i="3"/>
  <c r="BE204" i="3" s="1"/>
  <c r="BJ204" i="3" s="1"/>
  <c r="AS204" i="3"/>
  <c r="AX203" i="11" s="1"/>
  <c r="AY203" i="11" s="1"/>
  <c r="BB204" i="3"/>
  <c r="BK204" i="3"/>
  <c r="BM204" i="3" s="1"/>
  <c r="BO204" i="3" s="1"/>
  <c r="CR191" i="3"/>
  <c r="I191" i="23" s="1"/>
  <c r="K191" i="23" s="1"/>
  <c r="L191" i="23" s="1"/>
  <c r="CS191" i="3" s="1"/>
  <c r="Q208" i="21"/>
  <c r="CR89" i="3"/>
  <c r="I89" i="23" s="1"/>
  <c r="N89" i="23" s="1"/>
  <c r="O89" i="23" s="1"/>
  <c r="CT89" i="3" s="1"/>
  <c r="Q108" i="21"/>
  <c r="CR109" i="3"/>
  <c r="I109" i="23" s="1"/>
  <c r="K109" i="23" s="1"/>
  <c r="L109" i="23" s="1"/>
  <c r="CS109" i="3" s="1"/>
  <c r="CR162" i="3"/>
  <c r="I162" i="23" s="1"/>
  <c r="K162" i="23" s="1"/>
  <c r="L162" i="23" s="1"/>
  <c r="CS162" i="3" s="1"/>
  <c r="Q161" i="21"/>
  <c r="Q212" i="21"/>
  <c r="CR213" i="3"/>
  <c r="I213" i="23" s="1"/>
  <c r="N213" i="23" s="1"/>
  <c r="O213" i="23" s="1"/>
  <c r="CT213" i="3" s="1"/>
  <c r="O162" i="23"/>
  <c r="CT162" i="3" s="1"/>
  <c r="BC263" i="3"/>
  <c r="BE263" i="3" s="1"/>
  <c r="BJ263" i="3" s="1"/>
  <c r="Q256" i="21"/>
  <c r="BC83" i="3"/>
  <c r="BE83" i="3" s="1"/>
  <c r="BJ83" i="3" s="1"/>
  <c r="BC118" i="3"/>
  <c r="BE118" i="3" s="1"/>
  <c r="BJ118" i="3" s="1"/>
  <c r="BC272" i="3"/>
  <c r="BE272" i="3" s="1"/>
  <c r="BJ272" i="3" s="1"/>
  <c r="BC137" i="3"/>
  <c r="BE137" i="3" s="1"/>
  <c r="BJ137" i="3" s="1"/>
  <c r="BC203" i="3"/>
  <c r="BE203" i="3" s="1"/>
  <c r="BJ203" i="3" s="1"/>
  <c r="BC153" i="3"/>
  <c r="BE153" i="3" s="1"/>
  <c r="BJ153" i="3" s="1"/>
  <c r="BC19" i="3"/>
  <c r="BE19" i="3" s="1"/>
  <c r="BJ19" i="3" s="1"/>
  <c r="BC134" i="3"/>
  <c r="BE134" i="3" s="1"/>
  <c r="BJ134" i="3" s="1"/>
  <c r="BC205" i="3"/>
  <c r="BE205" i="3" s="1"/>
  <c r="BJ205" i="3" s="1"/>
  <c r="BC103" i="3"/>
  <c r="BE103" i="3" s="1"/>
  <c r="BJ103" i="3" s="1"/>
  <c r="BC280" i="3"/>
  <c r="BE280" i="3" s="1"/>
  <c r="BJ280" i="3" s="1"/>
  <c r="BC68" i="3"/>
  <c r="BE68" i="3" s="1"/>
  <c r="BJ68" i="3" s="1"/>
  <c r="BC233" i="3"/>
  <c r="BE233" i="3" s="1"/>
  <c r="BJ233" i="3" s="1"/>
  <c r="BC283" i="3"/>
  <c r="BE283" i="3" s="1"/>
  <c r="BJ283" i="3" s="1"/>
  <c r="O191" i="23"/>
  <c r="CT191" i="3" s="1"/>
  <c r="BC54" i="3"/>
  <c r="BE54" i="3" s="1"/>
  <c r="BJ54" i="3" s="1"/>
  <c r="BC201" i="3"/>
  <c r="BE201" i="3" s="1"/>
  <c r="BJ201" i="3" s="1"/>
  <c r="BC74" i="3"/>
  <c r="BE74" i="3" s="1"/>
  <c r="BJ74" i="3" s="1"/>
  <c r="BC186" i="3"/>
  <c r="BE186" i="3" s="1"/>
  <c r="BJ186" i="3" s="1"/>
  <c r="BC174" i="3"/>
  <c r="BE174" i="3" s="1"/>
  <c r="BJ174" i="3" s="1"/>
  <c r="CM57" i="3"/>
  <c r="CN57" i="3" s="1"/>
  <c r="AN57" i="3" s="1"/>
  <c r="AX280" i="11"/>
  <c r="AY280" i="11" s="1"/>
  <c r="CR281" i="3"/>
  <c r="I281" i="23" s="1"/>
  <c r="BC140" i="3"/>
  <c r="BE140" i="3" s="1"/>
  <c r="BJ140" i="3" s="1"/>
  <c r="BC28" i="3"/>
  <c r="BE28" i="3" s="1"/>
  <c r="BJ28" i="3" s="1"/>
  <c r="BC149" i="3"/>
  <c r="BE149" i="3" s="1"/>
  <c r="BJ149" i="3" s="1"/>
  <c r="BC227" i="3"/>
  <c r="BE227" i="3" s="1"/>
  <c r="BJ227" i="3" s="1"/>
  <c r="BC31" i="3"/>
  <c r="BE31" i="3" s="1"/>
  <c r="BJ31" i="3" s="1"/>
  <c r="BC246" i="3"/>
  <c r="BC136" i="3"/>
  <c r="BC141" i="3"/>
  <c r="BE141" i="3" s="1"/>
  <c r="BJ141" i="3" s="1"/>
  <c r="Q20" i="21"/>
  <c r="BC184" i="3"/>
  <c r="BC236" i="3"/>
  <c r="BE236" i="3" s="1"/>
  <c r="BJ236" i="3" s="1"/>
  <c r="BC226" i="3"/>
  <c r="BE226" i="3" s="1"/>
  <c r="BJ226" i="3" s="1"/>
  <c r="BC9" i="3"/>
  <c r="BE9" i="3" s="1"/>
  <c r="BJ9" i="3" s="1"/>
  <c r="BC215" i="3"/>
  <c r="BE215" i="3" s="1"/>
  <c r="BJ215" i="3" s="1"/>
  <c r="CR21" i="3"/>
  <c r="I21" i="23" s="1"/>
  <c r="N21" i="23" s="1"/>
  <c r="O21" i="23" s="1"/>
  <c r="CT21" i="3" s="1"/>
  <c r="BC114" i="3"/>
  <c r="BE114" i="3" s="1"/>
  <c r="BJ114" i="3" s="1"/>
  <c r="BC135" i="3"/>
  <c r="BC60" i="3"/>
  <c r="BE60" i="3" s="1"/>
  <c r="BJ60" i="3" s="1"/>
  <c r="BC206" i="3"/>
  <c r="BE206" i="3" s="1"/>
  <c r="BJ206" i="3" s="1"/>
  <c r="BC40" i="3"/>
  <c r="BE40" i="3" s="1"/>
  <c r="BJ40" i="3" s="1"/>
  <c r="BC267" i="3"/>
  <c r="BE267" i="3" s="1"/>
  <c r="BJ267" i="3" s="1"/>
  <c r="BC12" i="3"/>
  <c r="BE12" i="3" s="1"/>
  <c r="BJ12" i="3" s="1"/>
  <c r="BC76" i="3"/>
  <c r="BE76" i="3" s="1"/>
  <c r="BJ76" i="3" s="1"/>
  <c r="BC11" i="3"/>
  <c r="BE11" i="3" s="1"/>
  <c r="BJ11" i="3" s="1"/>
  <c r="BC85" i="3"/>
  <c r="BE85" i="3" s="1"/>
  <c r="BJ85" i="3" s="1"/>
  <c r="BC167" i="3"/>
  <c r="BC61" i="3"/>
  <c r="BE61" i="3" s="1"/>
  <c r="BJ61" i="3" s="1"/>
  <c r="BC212" i="3"/>
  <c r="BE212" i="3" s="1"/>
  <c r="BJ212" i="3" s="1"/>
  <c r="BC273" i="3"/>
  <c r="BE273" i="3" s="1"/>
  <c r="BJ273" i="3" s="1"/>
  <c r="BC6" i="3"/>
  <c r="BE6" i="3" s="1"/>
  <c r="BJ6" i="3" s="1"/>
  <c r="BC88" i="3"/>
  <c r="BE88" i="3" s="1"/>
  <c r="BJ88" i="3" s="1"/>
  <c r="BC171" i="3"/>
  <c r="BC69" i="3"/>
  <c r="BC179" i="3"/>
  <c r="BC138" i="3"/>
  <c r="BE138" i="3" s="1"/>
  <c r="BJ138" i="3" s="1"/>
  <c r="BC228" i="3"/>
  <c r="BE228" i="3" s="1"/>
  <c r="BJ228" i="3" s="1"/>
  <c r="BC249" i="3"/>
  <c r="BC157" i="3"/>
  <c r="BE157" i="3" s="1"/>
  <c r="BJ157" i="3" s="1"/>
  <c r="BC63" i="3"/>
  <c r="BE63" i="3" s="1"/>
  <c r="BJ63" i="3" s="1"/>
  <c r="BC218" i="3"/>
  <c r="BE218" i="3" s="1"/>
  <c r="BJ218" i="3" s="1"/>
  <c r="BC130" i="3"/>
  <c r="BE130" i="3" s="1"/>
  <c r="BJ130" i="3" s="1"/>
  <c r="BC151" i="3"/>
  <c r="BE151" i="3" s="1"/>
  <c r="BJ151" i="3" s="1"/>
  <c r="BC95" i="3"/>
  <c r="BE95" i="3" s="1"/>
  <c r="BJ95" i="3" s="1"/>
  <c r="BC160" i="3"/>
  <c r="BC33" i="3"/>
  <c r="BE33" i="3" s="1"/>
  <c r="BJ33" i="3" s="1"/>
  <c r="BC177" i="3"/>
  <c r="BE177" i="3" s="1"/>
  <c r="BJ177" i="3" s="1"/>
  <c r="BC104" i="3"/>
  <c r="BE104" i="3" s="1"/>
  <c r="BJ104" i="3" s="1"/>
  <c r="BC192" i="3"/>
  <c r="BE192" i="3" s="1"/>
  <c r="BC152" i="3"/>
  <c r="BE152" i="3" s="1"/>
  <c r="BJ152" i="3" s="1"/>
  <c r="BC235" i="3"/>
  <c r="BE235" i="3" s="1"/>
  <c r="BJ235" i="3" s="1"/>
  <c r="BC129" i="3"/>
  <c r="BE129" i="3" s="1"/>
  <c r="BJ129" i="3" s="1"/>
  <c r="BC159" i="3"/>
  <c r="BE159" i="3" s="1"/>
  <c r="BJ159" i="3" s="1"/>
  <c r="BC8" i="3"/>
  <c r="BE8" i="3" s="1"/>
  <c r="BJ8" i="3" s="1"/>
  <c r="BC266" i="3"/>
  <c r="BE266" i="3" s="1"/>
  <c r="BJ266" i="3" s="1"/>
  <c r="BC193" i="3"/>
  <c r="BE193" i="3" s="1"/>
  <c r="BJ193" i="3" s="1"/>
  <c r="BC154" i="3"/>
  <c r="BE154" i="3" s="1"/>
  <c r="BJ154" i="3" s="1"/>
  <c r="BC173" i="3"/>
  <c r="BE173" i="3" s="1"/>
  <c r="BJ173" i="3" s="1"/>
  <c r="BC144" i="3"/>
  <c r="BE144" i="3" s="1"/>
  <c r="BJ144" i="3" s="1"/>
  <c r="BC56" i="3"/>
  <c r="BE56" i="3" s="1"/>
  <c r="BJ56" i="3" s="1"/>
  <c r="BC156" i="3"/>
  <c r="BE156" i="3" s="1"/>
  <c r="BC93" i="3"/>
  <c r="BC80" i="3"/>
  <c r="BE80" i="3" s="1"/>
  <c r="BJ80" i="3" s="1"/>
  <c r="BC207" i="3"/>
  <c r="BE207" i="3" s="1"/>
  <c r="BJ207" i="3" s="1"/>
  <c r="BC223" i="3"/>
  <c r="BE223" i="3" s="1"/>
  <c r="BJ223" i="3" s="1"/>
  <c r="BC241" i="3"/>
  <c r="BE241" i="3" s="1"/>
  <c r="BJ241" i="3" s="1"/>
  <c r="BC86" i="3"/>
  <c r="BE86" i="3" s="1"/>
  <c r="BJ86" i="3" s="1"/>
  <c r="BC243" i="3"/>
  <c r="BE243" i="3" s="1"/>
  <c r="BJ243" i="3" s="1"/>
  <c r="BC190" i="3"/>
  <c r="BC14" i="3"/>
  <c r="BE14" i="3" s="1"/>
  <c r="BJ14" i="3" s="1"/>
  <c r="BC84" i="3"/>
  <c r="BE84" i="3" s="1"/>
  <c r="BJ84" i="3" s="1"/>
  <c r="BC145" i="3"/>
  <c r="BE145" i="3" s="1"/>
  <c r="BJ145" i="3" s="1"/>
  <c r="BC123" i="3"/>
  <c r="BE123" i="3" s="1"/>
  <c r="BJ123" i="3" s="1"/>
  <c r="BC117" i="3"/>
  <c r="BE117" i="3" s="1"/>
  <c r="BJ117" i="3" s="1"/>
  <c r="BC15" i="3"/>
  <c r="BE15" i="3" s="1"/>
  <c r="BJ15" i="3" s="1"/>
  <c r="BC276" i="3"/>
  <c r="BE276" i="3" s="1"/>
  <c r="BJ276" i="3" s="1"/>
  <c r="BC100" i="3"/>
  <c r="BE100" i="3" s="1"/>
  <c r="BJ100" i="3" s="1"/>
  <c r="BC269" i="3"/>
  <c r="BE269" i="3" s="1"/>
  <c r="BJ269" i="3" s="1"/>
  <c r="BC16" i="3"/>
  <c r="BE16" i="3" s="1"/>
  <c r="BJ16" i="3" s="1"/>
  <c r="BC49" i="3"/>
  <c r="BE49" i="3" s="1"/>
  <c r="BJ49" i="3" s="1"/>
  <c r="BP257" i="3"/>
  <c r="O257" i="23"/>
  <c r="CT257" i="3" s="1"/>
  <c r="BP17" i="3"/>
  <c r="O17" i="23"/>
  <c r="CT17" i="3" s="1"/>
  <c r="BP148" i="3"/>
  <c r="BP25" i="3"/>
  <c r="BP182" i="3"/>
  <c r="O182" i="23"/>
  <c r="CT182" i="3" s="1"/>
  <c r="BP222" i="3"/>
  <c r="O222" i="23"/>
  <c r="CT222" i="3" s="1"/>
  <c r="BP209" i="3"/>
  <c r="BP234" i="3"/>
  <c r="O234" i="23"/>
  <c r="CT234" i="3" s="1"/>
  <c r="CR234" i="3"/>
  <c r="AY233" i="11"/>
  <c r="CR148" i="3"/>
  <c r="I148" i="23" s="1"/>
  <c r="AY147" i="11"/>
  <c r="CR222" i="3"/>
  <c r="AY221" i="11"/>
  <c r="CR209" i="3"/>
  <c r="I209" i="23" s="1"/>
  <c r="AY208" i="11"/>
  <c r="CR182" i="3"/>
  <c r="AY181" i="11"/>
  <c r="CR257" i="3"/>
  <c r="AY256" i="11"/>
  <c r="CR17" i="3"/>
  <c r="AY16" i="11"/>
  <c r="Q233" i="21"/>
  <c r="Q181" i="21"/>
  <c r="Q16" i="21"/>
  <c r="BE148" i="3"/>
  <c r="BJ148" i="3" s="1"/>
  <c r="Q147" i="21"/>
  <c r="Q221" i="21"/>
  <c r="BE234" i="3"/>
  <c r="BJ234" i="3" s="1"/>
  <c r="BE257" i="3"/>
  <c r="BJ257" i="3" s="1"/>
  <c r="BE17" i="3"/>
  <c r="BJ17" i="3" s="1"/>
  <c r="CM35" i="3"/>
  <c r="CN35" i="3" s="1"/>
  <c r="AN35" i="3" s="1"/>
  <c r="CM110" i="3"/>
  <c r="CN110" i="3" s="1"/>
  <c r="AN110" i="3" s="1"/>
  <c r="CM52" i="3"/>
  <c r="CN52" i="3" s="1"/>
  <c r="AN52" i="3" s="1"/>
  <c r="CM163" i="3"/>
  <c r="CN163" i="3" s="1"/>
  <c r="AN163" i="3" s="1"/>
  <c r="CM242" i="3"/>
  <c r="CN242" i="3" s="1"/>
  <c r="AN242" i="3" s="1"/>
  <c r="CM161" i="3"/>
  <c r="CN161" i="3" s="1"/>
  <c r="AN161" i="3" s="1"/>
  <c r="CM128" i="3"/>
  <c r="CN128" i="3" s="1"/>
  <c r="AN128" i="3" s="1"/>
  <c r="CM72" i="3"/>
  <c r="CN72" i="3" s="1"/>
  <c r="AN72" i="3" s="1"/>
  <c r="CM210" i="3"/>
  <c r="CN210" i="3" s="1"/>
  <c r="AN210" i="3" s="1"/>
  <c r="CM256" i="3"/>
  <c r="CN256" i="3" s="1"/>
  <c r="AN256" i="3" s="1"/>
  <c r="CM78" i="3"/>
  <c r="CN78" i="3" s="1"/>
  <c r="CM150" i="3"/>
  <c r="CN150" i="3" s="1"/>
  <c r="AN150" i="3" s="1"/>
  <c r="CM200" i="3"/>
  <c r="CN200" i="3" s="1"/>
  <c r="AN200" i="3" s="1"/>
  <c r="CM97" i="3"/>
  <c r="CN97" i="3" s="1"/>
  <c r="AN97" i="3" s="1"/>
  <c r="CM220" i="3"/>
  <c r="CN220" i="3" s="1"/>
  <c r="AN220" i="3" s="1"/>
  <c r="CM65" i="3"/>
  <c r="CN65" i="3" s="1"/>
  <c r="AN65" i="3" s="1"/>
  <c r="CM279" i="3"/>
  <c r="CN279" i="3" s="1"/>
  <c r="AN279" i="3" s="1"/>
  <c r="CM180" i="3"/>
  <c r="CN180" i="3" s="1"/>
  <c r="AN180" i="3" s="1"/>
  <c r="CM284" i="3"/>
  <c r="CN284" i="3" s="1"/>
  <c r="AN284" i="3" s="1"/>
  <c r="CM262" i="3"/>
  <c r="CN262" i="3" s="1"/>
  <c r="AN262" i="3" s="1"/>
  <c r="CM73" i="3"/>
  <c r="CN73" i="3" s="1"/>
  <c r="AN73" i="3" s="1"/>
  <c r="CM282" i="3"/>
  <c r="CN282" i="3" s="1"/>
  <c r="AN282" i="3" s="1"/>
  <c r="CM199" i="3"/>
  <c r="CN199" i="3" s="1"/>
  <c r="AN199" i="3" s="1"/>
  <c r="F20" i="18"/>
  <c r="AL4" i="3"/>
  <c r="AS230" i="3" l="1"/>
  <c r="Q229" i="21" s="1"/>
  <c r="BK238" i="3"/>
  <c r="BM238" i="3" s="1"/>
  <c r="BO238" i="3" s="1"/>
  <c r="BP238" i="3" s="1"/>
  <c r="BK289" i="3"/>
  <c r="BM289" i="3" s="1"/>
  <c r="BO289" i="3" s="1"/>
  <c r="BP289" i="3" s="1"/>
  <c r="BB67" i="3"/>
  <c r="BB42" i="3"/>
  <c r="BB113" i="3"/>
  <c r="BK217" i="3"/>
  <c r="BM217" i="3" s="1"/>
  <c r="BO217" i="3" s="1"/>
  <c r="BP217" i="3" s="1"/>
  <c r="BC270" i="3"/>
  <c r="BE270" i="3" s="1"/>
  <c r="BJ270" i="3" s="1"/>
  <c r="BC217" i="3"/>
  <c r="BE217" i="3" s="1"/>
  <c r="BJ217" i="3" s="1"/>
  <c r="BB185" i="3"/>
  <c r="CR64" i="3"/>
  <c r="I64" i="23" s="1"/>
  <c r="N64" i="23" s="1"/>
  <c r="O64" i="23" s="1"/>
  <c r="CT64" i="3" s="1"/>
  <c r="Q63" i="21"/>
  <c r="BK106" i="3"/>
  <c r="BM106" i="3" s="1"/>
  <c r="BO106" i="3" s="1"/>
  <c r="BC185" i="3"/>
  <c r="BE185" i="3" s="1"/>
  <c r="BJ185" i="3" s="1"/>
  <c r="BC67" i="3"/>
  <c r="BE67" i="3" s="1"/>
  <c r="BJ67" i="3" s="1"/>
  <c r="BB217" i="3"/>
  <c r="BB106" i="3"/>
  <c r="BC42" i="3"/>
  <c r="BE42" i="3" s="1"/>
  <c r="BJ42" i="3" s="1"/>
  <c r="BC106" i="3"/>
  <c r="BE106" i="3" s="1"/>
  <c r="BJ106" i="3" s="1"/>
  <c r="BK113" i="3"/>
  <c r="BM113" i="3" s="1"/>
  <c r="BO113" i="3" s="1"/>
  <c r="AS185" i="3"/>
  <c r="AX184" i="11" s="1"/>
  <c r="AY184" i="11" s="1"/>
  <c r="AS67" i="3"/>
  <c r="AX66" i="11" s="1"/>
  <c r="AY66" i="11" s="1"/>
  <c r="AS42" i="3"/>
  <c r="AX41" i="11" s="1"/>
  <c r="AY41" i="11" s="1"/>
  <c r="AS113" i="3"/>
  <c r="AX112" i="11" s="1"/>
  <c r="AY112" i="11" s="1"/>
  <c r="BK185" i="3"/>
  <c r="BM185" i="3" s="1"/>
  <c r="BO185" i="3" s="1"/>
  <c r="BP185" i="3" s="1"/>
  <c r="BK67" i="3"/>
  <c r="BM67" i="3" s="1"/>
  <c r="BO67" i="3" s="1"/>
  <c r="BK42" i="3"/>
  <c r="BM42" i="3" s="1"/>
  <c r="BO42" i="3" s="1"/>
  <c r="BC113" i="3"/>
  <c r="BE113" i="3" s="1"/>
  <c r="BJ113" i="3" s="1"/>
  <c r="AS217" i="3"/>
  <c r="AX216" i="11" s="1"/>
  <c r="AY216" i="11" s="1"/>
  <c r="AS106" i="3"/>
  <c r="AX105" i="11" s="1"/>
  <c r="AY105" i="11" s="1"/>
  <c r="BC238" i="3"/>
  <c r="BE238" i="3" s="1"/>
  <c r="BJ238" i="3" s="1"/>
  <c r="BC289" i="3"/>
  <c r="BE289" i="3" s="1"/>
  <c r="BJ289" i="3" s="1"/>
  <c r="AS238" i="3"/>
  <c r="AX237" i="11" s="1"/>
  <c r="AY237" i="11" s="1"/>
  <c r="BB289" i="3"/>
  <c r="BB238" i="3"/>
  <c r="AS289" i="3"/>
  <c r="Q288" i="21" s="1"/>
  <c r="CR275" i="3"/>
  <c r="I275" i="23" s="1"/>
  <c r="K275" i="23" s="1"/>
  <c r="L275" i="23" s="1"/>
  <c r="CS275" i="3" s="1"/>
  <c r="BC115" i="3"/>
  <c r="BE115" i="3" s="1"/>
  <c r="BJ115" i="3" s="1"/>
  <c r="AS270" i="3"/>
  <c r="AX269" i="11" s="1"/>
  <c r="AY269" i="11" s="1"/>
  <c r="Q274" i="21"/>
  <c r="BC164" i="3"/>
  <c r="BE164" i="3" s="1"/>
  <c r="BJ164" i="3" s="1"/>
  <c r="BK202" i="3"/>
  <c r="BM202" i="3" s="1"/>
  <c r="BO202" i="3" s="1"/>
  <c r="BP202" i="3" s="1"/>
  <c r="BB168" i="3"/>
  <c r="BB170" i="3"/>
  <c r="BB81" i="3"/>
  <c r="AS81" i="3"/>
  <c r="Q80" i="21" s="1"/>
  <c r="BC168" i="3"/>
  <c r="BE168" i="3" s="1"/>
  <c r="BJ168" i="3" s="1"/>
  <c r="BC170" i="3"/>
  <c r="BE170" i="3" s="1"/>
  <c r="BJ170" i="3" s="1"/>
  <c r="BK81" i="3"/>
  <c r="BM81" i="3" s="1"/>
  <c r="BO81" i="3" s="1"/>
  <c r="O81" i="23" s="1"/>
  <c r="CT81" i="3" s="1"/>
  <c r="AS232" i="3"/>
  <c r="AX231" i="11" s="1"/>
  <c r="AY231" i="11" s="1"/>
  <c r="BC81" i="3"/>
  <c r="BE81" i="3" s="1"/>
  <c r="BJ81" i="3" s="1"/>
  <c r="BK232" i="3"/>
  <c r="BM232" i="3" s="1"/>
  <c r="BO232" i="3" s="1"/>
  <c r="BP232" i="3" s="1"/>
  <c r="AS168" i="3"/>
  <c r="AX167" i="11" s="1"/>
  <c r="AY167" i="11" s="1"/>
  <c r="AS170" i="3"/>
  <c r="AX169" i="11" s="1"/>
  <c r="AY169" i="11" s="1"/>
  <c r="BC232" i="3"/>
  <c r="BE232" i="3" s="1"/>
  <c r="BJ232" i="3" s="1"/>
  <c r="BB232" i="3"/>
  <c r="BK168" i="3"/>
  <c r="BM168" i="3" s="1"/>
  <c r="BO168" i="3" s="1"/>
  <c r="BP168" i="3" s="1"/>
  <c r="BK170" i="3"/>
  <c r="BM170" i="3" s="1"/>
  <c r="BO170" i="3" s="1"/>
  <c r="BP170" i="3" s="1"/>
  <c r="BK34" i="3"/>
  <c r="BM34" i="3" s="1"/>
  <c r="BO34" i="3" s="1"/>
  <c r="BP34" i="3" s="1"/>
  <c r="BK270" i="3"/>
  <c r="BM270" i="3" s="1"/>
  <c r="BO270" i="3" s="1"/>
  <c r="BP270" i="3" s="1"/>
  <c r="BB270" i="3"/>
  <c r="BB107" i="3"/>
  <c r="AS164" i="3"/>
  <c r="AX163" i="11" s="1"/>
  <c r="AY163" i="11" s="1"/>
  <c r="BB258" i="3"/>
  <c r="BK178" i="3"/>
  <c r="BM178" i="3" s="1"/>
  <c r="BO178" i="3" s="1"/>
  <c r="BP178" i="3" s="1"/>
  <c r="BK230" i="3"/>
  <c r="BM230" i="3" s="1"/>
  <c r="BO230" i="3" s="1"/>
  <c r="BP230" i="3" s="1"/>
  <c r="AS181" i="3"/>
  <c r="AX180" i="11" s="1"/>
  <c r="AY180" i="11" s="1"/>
  <c r="BB75" i="3"/>
  <c r="BK164" i="3"/>
  <c r="BM164" i="3" s="1"/>
  <c r="BO164" i="3" s="1"/>
  <c r="BC181" i="3"/>
  <c r="BE181" i="3" s="1"/>
  <c r="BJ181" i="3" s="1"/>
  <c r="BB178" i="3"/>
  <c r="BK258" i="3"/>
  <c r="BM258" i="3" s="1"/>
  <c r="BO258" i="3" s="1"/>
  <c r="BP258" i="3" s="1"/>
  <c r="BB164" i="3"/>
  <c r="BC178" i="3"/>
  <c r="BE178" i="3" s="1"/>
  <c r="BJ178" i="3" s="1"/>
  <c r="AS258" i="3"/>
  <c r="AX257" i="11" s="1"/>
  <c r="AY257" i="11" s="1"/>
  <c r="BB230" i="3"/>
  <c r="AS107" i="3"/>
  <c r="AX106" i="11" s="1"/>
  <c r="AY106" i="11" s="1"/>
  <c r="AS75" i="3"/>
  <c r="CR75" i="3" s="1"/>
  <c r="I75" i="23" s="1"/>
  <c r="N75" i="23" s="1"/>
  <c r="BK107" i="3"/>
  <c r="BM107" i="3" s="1"/>
  <c r="BO107" i="3" s="1"/>
  <c r="BP107" i="3" s="1"/>
  <c r="BK75" i="3"/>
  <c r="BM75" i="3" s="1"/>
  <c r="BO75" i="3" s="1"/>
  <c r="BP75" i="3" s="1"/>
  <c r="BC258" i="3"/>
  <c r="BE258" i="3" s="1"/>
  <c r="BJ258" i="3" s="1"/>
  <c r="BB181" i="3"/>
  <c r="BC230" i="3"/>
  <c r="BE230" i="3" s="1"/>
  <c r="BJ230" i="3" s="1"/>
  <c r="BC107" i="3"/>
  <c r="BE107" i="3" s="1"/>
  <c r="BJ107" i="3" s="1"/>
  <c r="BC75" i="3"/>
  <c r="BE75" i="3" s="1"/>
  <c r="BJ75" i="3" s="1"/>
  <c r="BK181" i="3"/>
  <c r="BM181" i="3" s="1"/>
  <c r="BO181" i="3" s="1"/>
  <c r="BP181" i="3" s="1"/>
  <c r="AS178" i="3"/>
  <c r="AX177" i="11" s="1"/>
  <c r="AY177" i="11" s="1"/>
  <c r="BK112" i="3"/>
  <c r="BM112" i="3" s="1"/>
  <c r="BO112" i="3" s="1"/>
  <c r="BP112" i="3" s="1"/>
  <c r="BC202" i="3"/>
  <c r="BE202" i="3" s="1"/>
  <c r="BJ202" i="3" s="1"/>
  <c r="BB202" i="3"/>
  <c r="BB112" i="3"/>
  <c r="AS34" i="3"/>
  <c r="Q33" i="21" s="1"/>
  <c r="BC98" i="3"/>
  <c r="BE98" i="3" s="1"/>
  <c r="BJ98" i="3" s="1"/>
  <c r="BC87" i="3"/>
  <c r="BE87" i="3" s="1"/>
  <c r="BJ87" i="3" s="1"/>
  <c r="BC34" i="3"/>
  <c r="BE34" i="3" s="1"/>
  <c r="BJ34" i="3" s="1"/>
  <c r="BC112" i="3"/>
  <c r="BE112" i="3" s="1"/>
  <c r="BJ112" i="3" s="1"/>
  <c r="BB98" i="3"/>
  <c r="AS87" i="3"/>
  <c r="Q86" i="21" s="1"/>
  <c r="AS98" i="3"/>
  <c r="AX97" i="11" s="1"/>
  <c r="AY97" i="11" s="1"/>
  <c r="BB87" i="3"/>
  <c r="AS112" i="3"/>
  <c r="AX111" i="11" s="1"/>
  <c r="AY111" i="11" s="1"/>
  <c r="BK98" i="3"/>
  <c r="BM98" i="3" s="1"/>
  <c r="BO98" i="3" s="1"/>
  <c r="BK87" i="3"/>
  <c r="BM87" i="3" s="1"/>
  <c r="BO87" i="3" s="1"/>
  <c r="BP87" i="3" s="1"/>
  <c r="BB34" i="3"/>
  <c r="AS202" i="3"/>
  <c r="AX201" i="11" s="1"/>
  <c r="AY201" i="11" s="1"/>
  <c r="BB115" i="3"/>
  <c r="AS115" i="3"/>
  <c r="AX114" i="11" s="1"/>
  <c r="AY114" i="11" s="1"/>
  <c r="BK115" i="3"/>
  <c r="BM115" i="3" s="1"/>
  <c r="BO115" i="3" s="1"/>
  <c r="BP115" i="3" s="1"/>
  <c r="O7" i="24"/>
  <c r="V4" i="3"/>
  <c r="BK231" i="3"/>
  <c r="BM231" i="3" s="1"/>
  <c r="BO231" i="3" s="1"/>
  <c r="BP231" i="3" s="1"/>
  <c r="BB208" i="3"/>
  <c r="BC208" i="3"/>
  <c r="BE208" i="3" s="1"/>
  <c r="BJ208" i="3" s="1"/>
  <c r="AS231" i="3"/>
  <c r="AX230" i="11" s="1"/>
  <c r="AY230" i="11" s="1"/>
  <c r="AS79" i="3"/>
  <c r="AX78" i="11" s="1"/>
  <c r="AY78" i="11" s="1"/>
  <c r="AS208" i="3"/>
  <c r="AX207" i="11" s="1"/>
  <c r="AY207" i="11" s="1"/>
  <c r="BB231" i="3"/>
  <c r="BK79" i="3"/>
  <c r="BM79" i="3" s="1"/>
  <c r="BO79" i="3" s="1"/>
  <c r="BP79" i="3" s="1"/>
  <c r="BK208" i="3"/>
  <c r="BM208" i="3" s="1"/>
  <c r="BO208" i="3" s="1"/>
  <c r="BP208" i="3" s="1"/>
  <c r="BC231" i="3"/>
  <c r="BE231" i="3" s="1"/>
  <c r="BJ231" i="3" s="1"/>
  <c r="BB79" i="3"/>
  <c r="BC79" i="3"/>
  <c r="BE79" i="3" s="1"/>
  <c r="BJ79" i="3" s="1"/>
  <c r="AY243" i="3"/>
  <c r="CR25" i="3"/>
  <c r="I25" i="23" s="1"/>
  <c r="N25" i="23" s="1"/>
  <c r="O25" i="23" s="1"/>
  <c r="CT25" i="3" s="1"/>
  <c r="AX24" i="11"/>
  <c r="AY24" i="11" s="1"/>
  <c r="BP196" i="3"/>
  <c r="BP14" i="3"/>
  <c r="BP102" i="3"/>
  <c r="BP189" i="3"/>
  <c r="BP265" i="3"/>
  <c r="O94" i="23"/>
  <c r="CT94" i="3" s="1"/>
  <c r="BP239" i="3"/>
  <c r="BP241" i="3"/>
  <c r="BP165" i="3"/>
  <c r="BP92" i="3"/>
  <c r="BP122" i="3"/>
  <c r="BP169" i="3"/>
  <c r="BP16" i="3"/>
  <c r="BP44" i="3"/>
  <c r="BP131" i="3"/>
  <c r="BP139" i="3"/>
  <c r="BP121" i="3"/>
  <c r="BP259" i="3"/>
  <c r="BP62" i="3"/>
  <c r="BP23" i="3"/>
  <c r="BP118" i="3"/>
  <c r="BP126" i="3"/>
  <c r="BP59" i="3"/>
  <c r="BP10" i="3"/>
  <c r="BP86" i="3"/>
  <c r="BP101" i="3"/>
  <c r="BP157" i="3"/>
  <c r="BP83" i="3"/>
  <c r="BP99" i="3"/>
  <c r="BP248" i="3"/>
  <c r="BP117" i="3"/>
  <c r="BP155" i="3"/>
  <c r="BP159" i="3"/>
  <c r="BP38" i="3"/>
  <c r="BP188" i="3"/>
  <c r="BP219" i="3"/>
  <c r="O173" i="23"/>
  <c r="CT173" i="3" s="1"/>
  <c r="BP158" i="3"/>
  <c r="BP233" i="3"/>
  <c r="BP58" i="3"/>
  <c r="BP174" i="3"/>
  <c r="BP283" i="3"/>
  <c r="BP7" i="3"/>
  <c r="O124" i="23"/>
  <c r="CT124" i="3" s="1"/>
  <c r="BP274" i="3"/>
  <c r="BP22" i="3"/>
  <c r="BP30" i="3"/>
  <c r="BP268" i="3"/>
  <c r="BP187" i="3"/>
  <c r="BP111" i="3"/>
  <c r="BP56" i="3"/>
  <c r="BP45" i="3"/>
  <c r="BP145" i="3"/>
  <c r="BP269" i="3"/>
  <c r="BP243" i="3"/>
  <c r="BP91" i="3"/>
  <c r="BP100" i="3"/>
  <c r="BP203" i="3"/>
  <c r="BP61" i="3"/>
  <c r="BP271" i="3"/>
  <c r="BP54" i="3"/>
  <c r="BP223" i="3"/>
  <c r="BP194" i="3"/>
  <c r="BP48" i="3"/>
  <c r="BP137" i="3"/>
  <c r="BP195" i="3"/>
  <c r="BP76" i="3"/>
  <c r="BP254" i="3"/>
  <c r="BP247" i="3"/>
  <c r="BP278" i="3"/>
  <c r="BP197" i="3"/>
  <c r="BP285" i="3"/>
  <c r="BP263" i="3"/>
  <c r="BP134" i="3"/>
  <c r="BP216" i="3"/>
  <c r="O82" i="23"/>
  <c r="CT82" i="3" s="1"/>
  <c r="BP147" i="3"/>
  <c r="BP250" i="3"/>
  <c r="BP166" i="3"/>
  <c r="BP255" i="3"/>
  <c r="BP6" i="3"/>
  <c r="BP245" i="3"/>
  <c r="BP26" i="3"/>
  <c r="BP29" i="3"/>
  <c r="BP120" i="3"/>
  <c r="BP280" i="3"/>
  <c r="BP28" i="3"/>
  <c r="AX100" i="11"/>
  <c r="AY100" i="11" s="1"/>
  <c r="Q85" i="21"/>
  <c r="K27" i="23"/>
  <c r="L27" i="23" s="1"/>
  <c r="CS27" i="3" s="1"/>
  <c r="Q28" i="21"/>
  <c r="Q197" i="21"/>
  <c r="CR159" i="3"/>
  <c r="I159" i="23" s="1"/>
  <c r="N159" i="23" s="1"/>
  <c r="O159" i="23" s="1"/>
  <c r="CT159" i="3" s="1"/>
  <c r="Q158" i="21"/>
  <c r="N109" i="23"/>
  <c r="O109" i="23" s="1"/>
  <c r="CT109" i="3" s="1"/>
  <c r="CR102" i="3"/>
  <c r="I102" i="23" s="1"/>
  <c r="N102" i="23" s="1"/>
  <c r="O102" i="23" s="1"/>
  <c r="CT102" i="3" s="1"/>
  <c r="Q242" i="21"/>
  <c r="K125" i="23"/>
  <c r="L125" i="23" s="1"/>
  <c r="CS125" i="3" s="1"/>
  <c r="CR228" i="3"/>
  <c r="I228" i="23" s="1"/>
  <c r="N228" i="23" s="1"/>
  <c r="O228" i="23" s="1"/>
  <c r="CT228" i="3" s="1"/>
  <c r="CR243" i="3"/>
  <c r="I243" i="23" s="1"/>
  <c r="N243" i="23" s="1"/>
  <c r="O243" i="23" s="1"/>
  <c r="CT243" i="3" s="1"/>
  <c r="Q227" i="21"/>
  <c r="Q200" i="21"/>
  <c r="AX200" i="11"/>
  <c r="AY200" i="11" s="1"/>
  <c r="AX282" i="11"/>
  <c r="AY282" i="11" s="1"/>
  <c r="CR157" i="3"/>
  <c r="I157" i="23" s="1"/>
  <c r="N157" i="23" s="1"/>
  <c r="O157" i="23" s="1"/>
  <c r="CT157" i="3" s="1"/>
  <c r="BP82" i="3"/>
  <c r="AX101" i="11"/>
  <c r="AY101" i="11" s="1"/>
  <c r="AX268" i="11"/>
  <c r="AY268" i="11" s="1"/>
  <c r="Q156" i="21"/>
  <c r="BP141" i="3"/>
  <c r="O141" i="23"/>
  <c r="CT141" i="3" s="1"/>
  <c r="O201" i="23"/>
  <c r="CT201" i="3" s="1"/>
  <c r="BP201" i="3"/>
  <c r="Q282" i="21"/>
  <c r="O88" i="23"/>
  <c r="CT88" i="3" s="1"/>
  <c r="BP88" i="3"/>
  <c r="K89" i="23"/>
  <c r="L89" i="23" s="1"/>
  <c r="CS89" i="3" s="1"/>
  <c r="AX6" i="11"/>
  <c r="AY6" i="11" s="1"/>
  <c r="BP123" i="3"/>
  <c r="BP129" i="3"/>
  <c r="O129" i="23"/>
  <c r="CT129" i="3" s="1"/>
  <c r="BP80" i="3"/>
  <c r="O80" i="23"/>
  <c r="CT80" i="3" s="1"/>
  <c r="O16" i="23"/>
  <c r="CT16" i="3" s="1"/>
  <c r="O68" i="23"/>
  <c r="CT68" i="3" s="1"/>
  <c r="BP68" i="3"/>
  <c r="O235" i="23"/>
  <c r="CT235" i="3" s="1"/>
  <c r="BP235" i="3"/>
  <c r="BP15" i="3"/>
  <c r="O15" i="23"/>
  <c r="CT15" i="3" s="1"/>
  <c r="BP266" i="3"/>
  <c r="O266" i="23"/>
  <c r="CT266" i="3" s="1"/>
  <c r="O152" i="23"/>
  <c r="CT152" i="3" s="1"/>
  <c r="BP152" i="3"/>
  <c r="AS77" i="3"/>
  <c r="AX76" i="11" s="1"/>
  <c r="BK77" i="3"/>
  <c r="BM77" i="3" s="1"/>
  <c r="BB77" i="3"/>
  <c r="BC73" i="3"/>
  <c r="BB73" i="3"/>
  <c r="BK73" i="3"/>
  <c r="BM73" i="3" s="1"/>
  <c r="AS73" i="3"/>
  <c r="AX72" i="11" s="1"/>
  <c r="BB290" i="3"/>
  <c r="BK290" i="3"/>
  <c r="BM290" i="3" s="1"/>
  <c r="AS290" i="3"/>
  <c r="AX289" i="11" s="1"/>
  <c r="AS72" i="3"/>
  <c r="AX71" i="11" s="1"/>
  <c r="BB72" i="3"/>
  <c r="BK72" i="3"/>
  <c r="BM72" i="3" s="1"/>
  <c r="BC52" i="3"/>
  <c r="BE52" i="3" s="1"/>
  <c r="BJ52" i="3" s="1"/>
  <c r="AS52" i="3"/>
  <c r="AX51" i="11" s="1"/>
  <c r="BB52" i="3"/>
  <c r="BK52" i="3"/>
  <c r="BM52" i="3" s="1"/>
  <c r="BO52" i="3" s="1"/>
  <c r="BP173" i="3"/>
  <c r="BK262" i="3"/>
  <c r="BM262" i="3" s="1"/>
  <c r="BB262" i="3"/>
  <c r="AS262" i="3"/>
  <c r="AX261" i="11" s="1"/>
  <c r="BC57" i="3"/>
  <c r="BE57" i="3" s="1"/>
  <c r="BJ57" i="3" s="1"/>
  <c r="BK57" i="3"/>
  <c r="BM57" i="3" s="1"/>
  <c r="BO57" i="3" s="1"/>
  <c r="AS57" i="3"/>
  <c r="AX56" i="11" s="1"/>
  <c r="AY56" i="11" s="1"/>
  <c r="BB57" i="3"/>
  <c r="BC161" i="3"/>
  <c r="BE161" i="3" s="1"/>
  <c r="AS161" i="3"/>
  <c r="AX160" i="11" s="1"/>
  <c r="AY160" i="11" s="1"/>
  <c r="BB161" i="3"/>
  <c r="BK161" i="3"/>
  <c r="BM161" i="3" s="1"/>
  <c r="BK110" i="3"/>
  <c r="BM110" i="3" s="1"/>
  <c r="AS110" i="3"/>
  <c r="AX109" i="11" s="1"/>
  <c r="BB110" i="3"/>
  <c r="BC253" i="3"/>
  <c r="BE253" i="3" s="1"/>
  <c r="BJ253" i="3" s="1"/>
  <c r="BB253" i="3"/>
  <c r="AS253" i="3"/>
  <c r="AX252" i="11" s="1"/>
  <c r="AY252" i="11" s="1"/>
  <c r="BK253" i="3"/>
  <c r="BM253" i="3" s="1"/>
  <c r="BC225" i="3"/>
  <c r="BE225" i="3" s="1"/>
  <c r="BJ225" i="3" s="1"/>
  <c r="BB225" i="3"/>
  <c r="BK225" i="3"/>
  <c r="BM225" i="3" s="1"/>
  <c r="BO225" i="3" s="1"/>
  <c r="AS225" i="3"/>
  <c r="AX224" i="11" s="1"/>
  <c r="AY224" i="11" s="1"/>
  <c r="BC180" i="3"/>
  <c r="BE180" i="3" s="1"/>
  <c r="BJ180" i="3" s="1"/>
  <c r="AS180" i="3"/>
  <c r="AX179" i="11" s="1"/>
  <c r="AY179" i="11" s="1"/>
  <c r="BB180" i="3"/>
  <c r="BK180" i="3"/>
  <c r="BM180" i="3" s="1"/>
  <c r="BC220" i="3"/>
  <c r="BE220" i="3" s="1"/>
  <c r="BJ220" i="3" s="1"/>
  <c r="BB220" i="3"/>
  <c r="BK220" i="3"/>
  <c r="BM220" i="3" s="1"/>
  <c r="AS220" i="3"/>
  <c r="AX219" i="11" s="1"/>
  <c r="AY219" i="11" s="1"/>
  <c r="AS35" i="3"/>
  <c r="AX34" i="11" s="1"/>
  <c r="BB35" i="3"/>
  <c r="BK35" i="3"/>
  <c r="BM35" i="3" s="1"/>
  <c r="BC229" i="3"/>
  <c r="BB229" i="3"/>
  <c r="AS229" i="3"/>
  <c r="AX228" i="11" s="1"/>
  <c r="AY228" i="11" s="1"/>
  <c r="BK229" i="3"/>
  <c r="BM229" i="3" s="1"/>
  <c r="BK142" i="3"/>
  <c r="BM142" i="3" s="1"/>
  <c r="BB142" i="3"/>
  <c r="AS142" i="3"/>
  <c r="AX141" i="11" s="1"/>
  <c r="AY141" i="11" s="1"/>
  <c r="AS46" i="3"/>
  <c r="AX45" i="11" s="1"/>
  <c r="BB46" i="3"/>
  <c r="BK46" i="3"/>
  <c r="BM46" i="3" s="1"/>
  <c r="AS284" i="3"/>
  <c r="AX283" i="11" s="1"/>
  <c r="BB284" i="3"/>
  <c r="BK284" i="3"/>
  <c r="BM284" i="3" s="1"/>
  <c r="BB97" i="3"/>
  <c r="BK97" i="3"/>
  <c r="BM97" i="3" s="1"/>
  <c r="AS97" i="3"/>
  <c r="AX96" i="11" s="1"/>
  <c r="BB256" i="3"/>
  <c r="BK256" i="3"/>
  <c r="BM256" i="3" s="1"/>
  <c r="AS256" i="3"/>
  <c r="AX255" i="11" s="1"/>
  <c r="AY255" i="11" s="1"/>
  <c r="BC128" i="3"/>
  <c r="BE128" i="3" s="1"/>
  <c r="BJ128" i="3" s="1"/>
  <c r="BB128" i="3"/>
  <c r="BK128" i="3"/>
  <c r="BM128" i="3" s="1"/>
  <c r="AS128" i="3"/>
  <c r="AX127" i="11" s="1"/>
  <c r="BC71" i="3"/>
  <c r="BE71" i="3" s="1"/>
  <c r="BJ71" i="3" s="1"/>
  <c r="BK71" i="3"/>
  <c r="BM71" i="3" s="1"/>
  <c r="AS71" i="3"/>
  <c r="AX70" i="11" s="1"/>
  <c r="BB71" i="3"/>
  <c r="BC199" i="3"/>
  <c r="BE199" i="3" s="1"/>
  <c r="BJ199" i="3" s="1"/>
  <c r="BK199" i="3"/>
  <c r="BM199" i="3" s="1"/>
  <c r="BB199" i="3"/>
  <c r="AS199" i="3"/>
  <c r="AX198" i="11" s="1"/>
  <c r="AY198" i="11" s="1"/>
  <c r="AS279" i="3"/>
  <c r="AX278" i="11" s="1"/>
  <c r="AY278" i="11" s="1"/>
  <c r="BK279" i="3"/>
  <c r="BM279" i="3" s="1"/>
  <c r="BB279" i="3"/>
  <c r="BC200" i="3"/>
  <c r="BE200" i="3" s="1"/>
  <c r="BJ200" i="3" s="1"/>
  <c r="AS200" i="3"/>
  <c r="AX199" i="11" s="1"/>
  <c r="BB200" i="3"/>
  <c r="BK200" i="3"/>
  <c r="BM200" i="3" s="1"/>
  <c r="AX42" i="11"/>
  <c r="AY42" i="11" s="1"/>
  <c r="BB43" i="3"/>
  <c r="BK43" i="3"/>
  <c r="BM43" i="3" s="1"/>
  <c r="BC242" i="3"/>
  <c r="BE242" i="3" s="1"/>
  <c r="BJ242" i="3" s="1"/>
  <c r="AS242" i="3"/>
  <c r="AX241" i="11" s="1"/>
  <c r="BB242" i="3"/>
  <c r="BK242" i="3"/>
  <c r="BM242" i="3" s="1"/>
  <c r="BC47" i="3"/>
  <c r="BK47" i="3"/>
  <c r="BM47" i="3" s="1"/>
  <c r="AS47" i="3"/>
  <c r="AX46" i="11" s="1"/>
  <c r="BB47" i="3"/>
  <c r="BB282" i="3"/>
  <c r="BK282" i="3"/>
  <c r="BM282" i="3" s="1"/>
  <c r="AS282" i="3"/>
  <c r="AX281" i="11" s="1"/>
  <c r="AS65" i="3"/>
  <c r="AX64" i="11" s="1"/>
  <c r="AY64" i="11" s="1"/>
  <c r="BB65" i="3"/>
  <c r="BK65" i="3"/>
  <c r="BM65" i="3" s="1"/>
  <c r="BC150" i="3"/>
  <c r="BE150" i="3" s="1"/>
  <c r="BJ150" i="3" s="1"/>
  <c r="BB150" i="3"/>
  <c r="BK150" i="3"/>
  <c r="BM150" i="3" s="1"/>
  <c r="AS150" i="3"/>
  <c r="AX149" i="11" s="1"/>
  <c r="BB210" i="3"/>
  <c r="BK210" i="3"/>
  <c r="BM210" i="3" s="1"/>
  <c r="AS210" i="3"/>
  <c r="AX209" i="11" s="1"/>
  <c r="AY209" i="11" s="1"/>
  <c r="BC163" i="3"/>
  <c r="BK163" i="3"/>
  <c r="BM163" i="3" s="1"/>
  <c r="AS163" i="3"/>
  <c r="AX162" i="11" s="1"/>
  <c r="AY162" i="11" s="1"/>
  <c r="BB163" i="3"/>
  <c r="Q82" i="21"/>
  <c r="AX140" i="11"/>
  <c r="AY140" i="11" s="1"/>
  <c r="CR29" i="3"/>
  <c r="I29" i="23" s="1"/>
  <c r="N29" i="23" s="1"/>
  <c r="O29" i="23" s="1"/>
  <c r="CT29" i="3" s="1"/>
  <c r="Q188" i="21"/>
  <c r="CR26" i="3"/>
  <c r="I26" i="23" s="1"/>
  <c r="K26" i="23" s="1"/>
  <c r="L26" i="23" s="1"/>
  <c r="CS26" i="3" s="1"/>
  <c r="CR280" i="3"/>
  <c r="I280" i="23" s="1"/>
  <c r="N280" i="23" s="1"/>
  <c r="O280" i="23" s="1"/>
  <c r="CT280" i="3" s="1"/>
  <c r="O271" i="23"/>
  <c r="CT271" i="3" s="1"/>
  <c r="CR80" i="3"/>
  <c r="I80" i="23" s="1"/>
  <c r="K80" i="23" s="1"/>
  <c r="L80" i="23" s="1"/>
  <c r="CS80" i="3" s="1"/>
  <c r="Q79" i="21"/>
  <c r="O101" i="23"/>
  <c r="CT101" i="3" s="1"/>
  <c r="O283" i="23"/>
  <c r="CT283" i="3" s="1"/>
  <c r="Q203" i="21"/>
  <c r="CR198" i="3"/>
  <c r="I198" i="23" s="1"/>
  <c r="N198" i="23" s="1"/>
  <c r="O198" i="23" s="1"/>
  <c r="CT198" i="3" s="1"/>
  <c r="Q58" i="21"/>
  <c r="CR259" i="3"/>
  <c r="I259" i="23" s="1"/>
  <c r="N259" i="23" s="1"/>
  <c r="O259" i="23" s="1"/>
  <c r="CT259" i="3" s="1"/>
  <c r="CR233" i="3"/>
  <c r="I233" i="23" s="1"/>
  <c r="CR160" i="3"/>
  <c r="I160" i="23" s="1"/>
  <c r="N160" i="23" s="1"/>
  <c r="Q232" i="21"/>
  <c r="AX172" i="11"/>
  <c r="AY172" i="11" s="1"/>
  <c r="O285" i="23"/>
  <c r="CT285" i="3" s="1"/>
  <c r="Q172" i="21"/>
  <c r="CR141" i="3"/>
  <c r="I141" i="23" s="1"/>
  <c r="K141" i="23" s="1"/>
  <c r="L141" i="23" s="1"/>
  <c r="CS141" i="3" s="1"/>
  <c r="CR83" i="3"/>
  <c r="I83" i="23" s="1"/>
  <c r="K83" i="23" s="1"/>
  <c r="L83" i="23" s="1"/>
  <c r="CS83" i="3" s="1"/>
  <c r="O92" i="23"/>
  <c r="CT92" i="3" s="1"/>
  <c r="BP36" i="3"/>
  <c r="BP94" i="3"/>
  <c r="O59" i="23"/>
  <c r="CT59" i="3" s="1"/>
  <c r="BP39" i="3"/>
  <c r="O216" i="23"/>
  <c r="CT216" i="3" s="1"/>
  <c r="CR74" i="3"/>
  <c r="I74" i="23" s="1"/>
  <c r="N74" i="23" s="1"/>
  <c r="O74" i="23" s="1"/>
  <c r="CT74" i="3" s="1"/>
  <c r="Q38" i="21"/>
  <c r="AX5" i="11"/>
  <c r="AY5" i="11" s="1"/>
  <c r="Q73" i="21"/>
  <c r="Q244" i="21"/>
  <c r="Q123" i="21"/>
  <c r="CR186" i="3"/>
  <c r="I186" i="23" s="1"/>
  <c r="N186" i="23" s="1"/>
  <c r="O186" i="23" s="1"/>
  <c r="CT186" i="3" s="1"/>
  <c r="AX185" i="11"/>
  <c r="AY185" i="11" s="1"/>
  <c r="Q279" i="21"/>
  <c r="CR263" i="3"/>
  <c r="I263" i="23" s="1"/>
  <c r="K263" i="23" s="1"/>
  <c r="L263" i="23" s="1"/>
  <c r="CS263" i="3" s="1"/>
  <c r="CR7" i="3"/>
  <c r="I7" i="23" s="1"/>
  <c r="K7" i="23" s="1"/>
  <c r="L7" i="23" s="1"/>
  <c r="CS7" i="3" s="1"/>
  <c r="O187" i="23"/>
  <c r="CT187" i="3" s="1"/>
  <c r="CR166" i="3"/>
  <c r="I166" i="23" s="1"/>
  <c r="K166" i="23" s="1"/>
  <c r="L166" i="23" s="1"/>
  <c r="CS166" i="3" s="1"/>
  <c r="CR245" i="3"/>
  <c r="I245" i="23" s="1"/>
  <c r="N245" i="23" s="1"/>
  <c r="O245" i="23" s="1"/>
  <c r="CT245" i="3" s="1"/>
  <c r="AX165" i="11"/>
  <c r="AY165" i="11" s="1"/>
  <c r="Q25" i="21"/>
  <c r="CR86" i="3"/>
  <c r="I86" i="23" s="1"/>
  <c r="N86" i="23" s="1"/>
  <c r="O86" i="23" s="1"/>
  <c r="CT86" i="3" s="1"/>
  <c r="CR189" i="3"/>
  <c r="I189" i="23" s="1"/>
  <c r="K189" i="23" s="1"/>
  <c r="L189" i="23" s="1"/>
  <c r="CS189" i="3" s="1"/>
  <c r="CR124" i="3"/>
  <c r="I124" i="23" s="1"/>
  <c r="K124" i="23" s="1"/>
  <c r="L124" i="23" s="1"/>
  <c r="CS124" i="3" s="1"/>
  <c r="Q262" i="21"/>
  <c r="Q43" i="21"/>
  <c r="CR68" i="3"/>
  <c r="I68" i="23" s="1"/>
  <c r="K68" i="23" s="1"/>
  <c r="L68" i="23" s="1"/>
  <c r="CS68" i="3" s="1"/>
  <c r="CR44" i="3"/>
  <c r="I44" i="23" s="1"/>
  <c r="K44" i="23" s="1"/>
  <c r="L44" i="23" s="1"/>
  <c r="CS44" i="3" s="1"/>
  <c r="CR269" i="3"/>
  <c r="I269" i="23" s="1"/>
  <c r="N269" i="23" s="1"/>
  <c r="O269" i="23" s="1"/>
  <c r="CT269" i="3" s="1"/>
  <c r="O155" i="23"/>
  <c r="CT155" i="3" s="1"/>
  <c r="Q206" i="21"/>
  <c r="CR204" i="3"/>
  <c r="I204" i="23" s="1"/>
  <c r="N204" i="23" s="1"/>
  <c r="O204" i="23" s="1"/>
  <c r="CT204" i="3" s="1"/>
  <c r="Q67" i="21"/>
  <c r="Q243" i="21"/>
  <c r="Q159" i="21"/>
  <c r="CR88" i="3"/>
  <c r="I88" i="23" s="1"/>
  <c r="K88" i="23" s="1"/>
  <c r="L88" i="23" s="1"/>
  <c r="CS88" i="3" s="1"/>
  <c r="Q175" i="21"/>
  <c r="CR274" i="3"/>
  <c r="I274" i="23" s="1"/>
  <c r="N274" i="23" s="1"/>
  <c r="O274" i="23" s="1"/>
  <c r="CT274" i="3" s="1"/>
  <c r="Q122" i="21"/>
  <c r="CR54" i="3"/>
  <c r="I54" i="23" s="1"/>
  <c r="K54" i="23" s="1"/>
  <c r="L54" i="23" s="1"/>
  <c r="CS54" i="3" s="1"/>
  <c r="CR271" i="3"/>
  <c r="I271" i="23" s="1"/>
  <c r="K271" i="23" s="1"/>
  <c r="L271" i="23" s="1"/>
  <c r="CS271" i="3" s="1"/>
  <c r="CR176" i="3"/>
  <c r="I176" i="23" s="1"/>
  <c r="N176" i="23" s="1"/>
  <c r="O176" i="23" s="1"/>
  <c r="CT176" i="3" s="1"/>
  <c r="Q265" i="21"/>
  <c r="Q99" i="21"/>
  <c r="Q87" i="21"/>
  <c r="CR147" i="3"/>
  <c r="I147" i="23" s="1"/>
  <c r="K147" i="23" s="1"/>
  <c r="L147" i="23" s="1"/>
  <c r="CS147" i="3" s="1"/>
  <c r="CR165" i="3"/>
  <c r="I165" i="23" s="1"/>
  <c r="K165" i="23" s="1"/>
  <c r="L165" i="23" s="1"/>
  <c r="CS165" i="3" s="1"/>
  <c r="CR59" i="3"/>
  <c r="I59" i="23" s="1"/>
  <c r="K59" i="23" s="1"/>
  <c r="L59" i="23" s="1"/>
  <c r="CS59" i="3" s="1"/>
  <c r="AX18" i="11"/>
  <c r="AY18" i="11" s="1"/>
  <c r="Q273" i="21"/>
  <c r="Q258" i="21"/>
  <c r="Q146" i="21"/>
  <c r="CR272" i="3"/>
  <c r="I272" i="23" s="1"/>
  <c r="K272" i="23" s="1"/>
  <c r="L272" i="23" s="1"/>
  <c r="CS272" i="3" s="1"/>
  <c r="CR251" i="3"/>
  <c r="I251" i="23" s="1"/>
  <c r="K251" i="23" s="1"/>
  <c r="L251" i="23" s="1"/>
  <c r="CS251" i="3" s="1"/>
  <c r="CR187" i="3"/>
  <c r="I187" i="23" s="1"/>
  <c r="K187" i="23" s="1"/>
  <c r="L187" i="23" s="1"/>
  <c r="CS187" i="3" s="1"/>
  <c r="CR123" i="3"/>
  <c r="I123" i="23" s="1"/>
  <c r="CR169" i="3"/>
  <c r="I169" i="23" s="1"/>
  <c r="K169" i="23" s="1"/>
  <c r="L169" i="23" s="1"/>
  <c r="CS169" i="3" s="1"/>
  <c r="Q53" i="21"/>
  <c r="Q270" i="21"/>
  <c r="Q154" i="21"/>
  <c r="Q168" i="21"/>
  <c r="CR19" i="3"/>
  <c r="I19" i="23" s="1"/>
  <c r="N19" i="23" s="1"/>
  <c r="O19" i="23" s="1"/>
  <c r="CT19" i="3" s="1"/>
  <c r="Q271" i="21"/>
  <c r="Q250" i="21"/>
  <c r="CR100" i="3"/>
  <c r="I100" i="23" s="1"/>
  <c r="N100" i="23" s="1"/>
  <c r="O100" i="23" s="1"/>
  <c r="CT100" i="3" s="1"/>
  <c r="CR155" i="3"/>
  <c r="I155" i="23" s="1"/>
  <c r="K155" i="23" s="1"/>
  <c r="L155" i="23" s="1"/>
  <c r="CS155" i="3" s="1"/>
  <c r="CR216" i="3"/>
  <c r="I216" i="23" s="1"/>
  <c r="K216" i="23" s="1"/>
  <c r="L216" i="23" s="1"/>
  <c r="CS216" i="3" s="1"/>
  <c r="Q133" i="21"/>
  <c r="CR134" i="3"/>
  <c r="I134" i="23" s="1"/>
  <c r="N134" i="23" s="1"/>
  <c r="O134" i="23" s="1"/>
  <c r="CT134" i="3" s="1"/>
  <c r="K21" i="23"/>
  <c r="L21" i="23" s="1"/>
  <c r="CS21" i="3" s="1"/>
  <c r="Q128" i="21"/>
  <c r="Q259" i="21"/>
  <c r="BP124" i="3"/>
  <c r="Q215" i="21"/>
  <c r="CR207" i="3"/>
  <c r="I207" i="23" s="1"/>
  <c r="N207" i="23" s="1"/>
  <c r="O207" i="23" s="1"/>
  <c r="CT207" i="3" s="1"/>
  <c r="O26" i="23"/>
  <c r="CT26" i="3" s="1"/>
  <c r="Q125" i="21"/>
  <c r="CR126" i="3"/>
  <c r="I126" i="23" s="1"/>
  <c r="K126" i="23" s="1"/>
  <c r="L126" i="23" s="1"/>
  <c r="CS126" i="3" s="1"/>
  <c r="CR211" i="3"/>
  <c r="I211" i="23" s="1"/>
  <c r="N211" i="23" s="1"/>
  <c r="O211" i="23" s="1"/>
  <c r="CT211" i="3" s="1"/>
  <c r="CR91" i="3"/>
  <c r="I91" i="23" s="1"/>
  <c r="N91" i="23" s="1"/>
  <c r="O91" i="23" s="1"/>
  <c r="CT91" i="3" s="1"/>
  <c r="CR101" i="3"/>
  <c r="I101" i="23" s="1"/>
  <c r="K101" i="23" s="1"/>
  <c r="L101" i="23" s="1"/>
  <c r="CS101" i="3" s="1"/>
  <c r="Q213" i="21"/>
  <c r="CR214" i="3"/>
  <c r="I214" i="23" s="1"/>
  <c r="Q235" i="21"/>
  <c r="Q22" i="21"/>
  <c r="O131" i="23"/>
  <c r="CT131" i="3" s="1"/>
  <c r="Q234" i="21"/>
  <c r="Q210" i="21"/>
  <c r="CR235" i="3"/>
  <c r="I235" i="23" s="1"/>
  <c r="K235" i="23" s="1"/>
  <c r="L235" i="23" s="1"/>
  <c r="CS235" i="3" s="1"/>
  <c r="Q90" i="21"/>
  <c r="CR23" i="3"/>
  <c r="I23" i="23" s="1"/>
  <c r="N23" i="23" s="1"/>
  <c r="O23" i="23" s="1"/>
  <c r="CT23" i="3" s="1"/>
  <c r="Q193" i="21"/>
  <c r="Q110" i="21"/>
  <c r="Q144" i="21"/>
  <c r="CR244" i="3"/>
  <c r="I244" i="23" s="1"/>
  <c r="N244" i="23" s="1"/>
  <c r="O244" i="23" s="1"/>
  <c r="CT244" i="3" s="1"/>
  <c r="CR45" i="3"/>
  <c r="I45" i="23" s="1"/>
  <c r="K45" i="23" s="1"/>
  <c r="L45" i="23" s="1"/>
  <c r="CS45" i="3" s="1"/>
  <c r="CR145" i="3"/>
  <c r="I145" i="23" s="1"/>
  <c r="N145" i="23" s="1"/>
  <c r="O145" i="23" s="1"/>
  <c r="CT145" i="3" s="1"/>
  <c r="Q194" i="21"/>
  <c r="CR212" i="3"/>
  <c r="I212" i="23" s="1"/>
  <c r="N212" i="23" s="1"/>
  <c r="O212" i="23" s="1"/>
  <c r="CT212" i="3" s="1"/>
  <c r="Q65" i="21"/>
  <c r="CR39" i="3"/>
  <c r="I39" i="23" s="1"/>
  <c r="CR111" i="3"/>
  <c r="I111" i="23" s="1"/>
  <c r="N111" i="23" s="1"/>
  <c r="O111" i="23" s="1"/>
  <c r="CT111" i="3" s="1"/>
  <c r="Q211" i="21"/>
  <c r="CR6" i="3"/>
  <c r="I6" i="23" s="1"/>
  <c r="K6" i="23" s="1"/>
  <c r="L6" i="23" s="1"/>
  <c r="CS6" i="3" s="1"/>
  <c r="CR219" i="3"/>
  <c r="I219" i="23" s="1"/>
  <c r="N219" i="23" s="1"/>
  <c r="O219" i="23" s="1"/>
  <c r="CT219" i="3" s="1"/>
  <c r="Q218" i="21"/>
  <c r="Q44" i="21"/>
  <c r="CR66" i="3"/>
  <c r="I66" i="23" s="1"/>
  <c r="N66" i="23" s="1"/>
  <c r="O66" i="23" s="1"/>
  <c r="CT66" i="3" s="1"/>
  <c r="CR248" i="3"/>
  <c r="I248" i="23" s="1"/>
  <c r="N248" i="23" s="1"/>
  <c r="O248" i="23" s="1"/>
  <c r="CT248" i="3" s="1"/>
  <c r="O139" i="23"/>
  <c r="CT139" i="3" s="1"/>
  <c r="Q29" i="21"/>
  <c r="Q247" i="21"/>
  <c r="CR195" i="3"/>
  <c r="I195" i="23" s="1"/>
  <c r="N195" i="23" s="1"/>
  <c r="O195" i="23" s="1"/>
  <c r="CT195" i="3" s="1"/>
  <c r="CR194" i="3"/>
  <c r="I194" i="23" s="1"/>
  <c r="N194" i="23" s="1"/>
  <c r="O194" i="23" s="1"/>
  <c r="CT194" i="3" s="1"/>
  <c r="CR30" i="3"/>
  <c r="I30" i="23" s="1"/>
  <c r="N30" i="23" s="1"/>
  <c r="O30" i="23" s="1"/>
  <c r="CT30" i="3" s="1"/>
  <c r="CR76" i="3"/>
  <c r="I76" i="23" s="1"/>
  <c r="N76" i="23" s="1"/>
  <c r="O76" i="23" s="1"/>
  <c r="CT76" i="3" s="1"/>
  <c r="Q27" i="21"/>
  <c r="Q57" i="21"/>
  <c r="Q117" i="21"/>
  <c r="Q75" i="21"/>
  <c r="CR118" i="3"/>
  <c r="I118" i="23" s="1"/>
  <c r="N118" i="23" s="1"/>
  <c r="O118" i="23" s="1"/>
  <c r="CT118" i="3" s="1"/>
  <c r="Q121" i="21"/>
  <c r="CR174" i="3"/>
  <c r="I174" i="23" s="1"/>
  <c r="N174" i="23" s="1"/>
  <c r="O174" i="23" s="1"/>
  <c r="CT174" i="3" s="1"/>
  <c r="Q173" i="21"/>
  <c r="Q15" i="21"/>
  <c r="Q120" i="21"/>
  <c r="CR92" i="3"/>
  <c r="I92" i="23" s="1"/>
  <c r="K92" i="23" s="1"/>
  <c r="L92" i="23" s="1"/>
  <c r="CS92" i="3" s="1"/>
  <c r="Q204" i="21"/>
  <c r="CR129" i="3"/>
  <c r="I129" i="23" s="1"/>
  <c r="K129" i="23" s="1"/>
  <c r="L129" i="23" s="1"/>
  <c r="CS129" i="3" s="1"/>
  <c r="CR254" i="3"/>
  <c r="I254" i="23" s="1"/>
  <c r="N254" i="23" s="1"/>
  <c r="O254" i="23" s="1"/>
  <c r="CT254" i="3" s="1"/>
  <c r="Q47" i="21"/>
  <c r="Q13" i="21"/>
  <c r="Q249" i="21"/>
  <c r="Q254" i="21"/>
  <c r="CR250" i="3"/>
  <c r="I250" i="23" s="1"/>
  <c r="K250" i="23" s="1"/>
  <c r="L250" i="23" s="1"/>
  <c r="CS250" i="3" s="1"/>
  <c r="CR105" i="3"/>
  <c r="I105" i="23" s="1"/>
  <c r="K105" i="23" s="1"/>
  <c r="L105" i="23" s="1"/>
  <c r="CS105" i="3" s="1"/>
  <c r="CR260" i="3"/>
  <c r="I260" i="23" s="1"/>
  <c r="N260" i="23" s="1"/>
  <c r="O260" i="23" s="1"/>
  <c r="CT260" i="3" s="1"/>
  <c r="Q253" i="21"/>
  <c r="Q153" i="21"/>
  <c r="CR154" i="3"/>
  <c r="I154" i="23" s="1"/>
  <c r="N154" i="23" s="1"/>
  <c r="O154" i="23" s="1"/>
  <c r="CT154" i="3" s="1"/>
  <c r="CR131" i="3"/>
  <c r="I131" i="23" s="1"/>
  <c r="K131" i="23" s="1"/>
  <c r="L131" i="23" s="1"/>
  <c r="CS131" i="3" s="1"/>
  <c r="CR143" i="3"/>
  <c r="I143" i="23" s="1"/>
  <c r="K143" i="23" s="1"/>
  <c r="L143" i="23" s="1"/>
  <c r="CS143" i="3" s="1"/>
  <c r="Q130" i="21"/>
  <c r="Q104" i="21"/>
  <c r="Q142" i="21"/>
  <c r="CR205" i="3"/>
  <c r="I205" i="23" s="1"/>
  <c r="CR255" i="3"/>
  <c r="I255" i="23" s="1"/>
  <c r="K255" i="23" s="1"/>
  <c r="L255" i="23" s="1"/>
  <c r="CS255" i="3" s="1"/>
  <c r="CR48" i="3"/>
  <c r="I48" i="23" s="1"/>
  <c r="K48" i="23" s="1"/>
  <c r="L48" i="23" s="1"/>
  <c r="CS48" i="3" s="1"/>
  <c r="CR14" i="3"/>
  <c r="I14" i="23" s="1"/>
  <c r="K14" i="23" s="1"/>
  <c r="L14" i="23" s="1"/>
  <c r="CS14" i="3" s="1"/>
  <c r="Q238" i="21"/>
  <c r="Q102" i="21"/>
  <c r="CR188" i="3"/>
  <c r="I188" i="23" s="1"/>
  <c r="N188" i="23" s="1"/>
  <c r="O188" i="23" s="1"/>
  <c r="CT188" i="3" s="1"/>
  <c r="CR203" i="3"/>
  <c r="I203" i="23" s="1"/>
  <c r="N203" i="23" s="1"/>
  <c r="O203" i="23" s="1"/>
  <c r="CT203" i="3" s="1"/>
  <c r="CR61" i="3"/>
  <c r="I61" i="23" s="1"/>
  <c r="N61" i="23" s="1"/>
  <c r="O61" i="23" s="1"/>
  <c r="CT61" i="3" s="1"/>
  <c r="Q202" i="21"/>
  <c r="Q264" i="21"/>
  <c r="Q267" i="21"/>
  <c r="CR239" i="3"/>
  <c r="I239" i="23" s="1"/>
  <c r="N239" i="23" s="1"/>
  <c r="O239" i="23" s="1"/>
  <c r="CT239" i="3" s="1"/>
  <c r="Q60" i="21"/>
  <c r="CR10" i="3"/>
  <c r="I10" i="23" s="1"/>
  <c r="CR103" i="3"/>
  <c r="I103" i="23" s="1"/>
  <c r="N103" i="23" s="1"/>
  <c r="O103" i="23" s="1"/>
  <c r="CT103" i="3" s="1"/>
  <c r="CR82" i="3"/>
  <c r="I82" i="23" s="1"/>
  <c r="K82" i="23" s="1"/>
  <c r="L82" i="23" s="1"/>
  <c r="CS82" i="3" s="1"/>
  <c r="CR144" i="3"/>
  <c r="I144" i="23" s="1"/>
  <c r="N144" i="23" s="1"/>
  <c r="O144" i="23" s="1"/>
  <c r="CT144" i="3" s="1"/>
  <c r="Q187" i="21"/>
  <c r="Q9" i="21"/>
  <c r="CR268" i="3"/>
  <c r="I268" i="23" s="1"/>
  <c r="N268" i="23" s="1"/>
  <c r="O268" i="23" s="1"/>
  <c r="CT268" i="3" s="1"/>
  <c r="CR122" i="3"/>
  <c r="I122" i="23" s="1"/>
  <c r="N122" i="23" s="1"/>
  <c r="O122" i="23" s="1"/>
  <c r="CT122" i="3" s="1"/>
  <c r="O189" i="23"/>
  <c r="CT189" i="3" s="1"/>
  <c r="Q222" i="21"/>
  <c r="O255" i="23"/>
  <c r="CT255" i="3" s="1"/>
  <c r="Q81" i="21"/>
  <c r="Q143" i="21"/>
  <c r="CR223" i="3"/>
  <c r="I223" i="23" s="1"/>
  <c r="N223" i="23" s="1"/>
  <c r="O223" i="23" s="1"/>
  <c r="CT223" i="3" s="1"/>
  <c r="CR41" i="3"/>
  <c r="I41" i="23" s="1"/>
  <c r="N41" i="23" s="1"/>
  <c r="O41" i="23" s="1"/>
  <c r="CT41" i="3" s="1"/>
  <c r="Q40" i="21"/>
  <c r="Q119" i="21"/>
  <c r="CR278" i="3"/>
  <c r="I278" i="23" s="1"/>
  <c r="N278" i="23" s="1"/>
  <c r="O278" i="23" s="1"/>
  <c r="CT278" i="3" s="1"/>
  <c r="Q14" i="21"/>
  <c r="CR36" i="3"/>
  <c r="I36" i="23" s="1"/>
  <c r="CR22" i="3"/>
  <c r="I22" i="23" s="1"/>
  <c r="N22" i="23" s="1"/>
  <c r="O22" i="23" s="1"/>
  <c r="CT22" i="3" s="1"/>
  <c r="Q91" i="21"/>
  <c r="Q35" i="21"/>
  <c r="CR137" i="3"/>
  <c r="I137" i="23" s="1"/>
  <c r="CR15" i="3"/>
  <c r="I15" i="23" s="1"/>
  <c r="K15" i="23" s="1"/>
  <c r="L15" i="23" s="1"/>
  <c r="CS15" i="3" s="1"/>
  <c r="Q195" i="21"/>
  <c r="CR96" i="3"/>
  <c r="I96" i="23" s="1"/>
  <c r="N96" i="23" s="1"/>
  <c r="O96" i="23" s="1"/>
  <c r="CT96" i="3" s="1"/>
  <c r="CR28" i="3"/>
  <c r="I28" i="23" s="1"/>
  <c r="N28" i="23" s="1"/>
  <c r="O28" i="23" s="1"/>
  <c r="CT28" i="3" s="1"/>
  <c r="CR196" i="3"/>
  <c r="I196" i="23" s="1"/>
  <c r="N196" i="23" s="1"/>
  <c r="O196" i="23" s="1"/>
  <c r="CT196" i="3" s="1"/>
  <c r="Q21" i="21"/>
  <c r="Q277" i="21"/>
  <c r="Q93" i="21"/>
  <c r="Q136" i="21"/>
  <c r="Q95" i="21"/>
  <c r="CR16" i="3"/>
  <c r="I16" i="23" s="1"/>
  <c r="K16" i="23" s="1"/>
  <c r="L16" i="23" s="1"/>
  <c r="CS16" i="3" s="1"/>
  <c r="CR121" i="3"/>
  <c r="I121" i="23" s="1"/>
  <c r="K121" i="23" s="1"/>
  <c r="L121" i="23" s="1"/>
  <c r="CS121" i="3" s="1"/>
  <c r="Q196" i="21"/>
  <c r="CR266" i="3"/>
  <c r="I266" i="23" s="1"/>
  <c r="K266" i="23" s="1"/>
  <c r="L266" i="23" s="1"/>
  <c r="CS266" i="3" s="1"/>
  <c r="CR247" i="3"/>
  <c r="I247" i="23" s="1"/>
  <c r="N247" i="23" s="1"/>
  <c r="O247" i="23" s="1"/>
  <c r="CT247" i="3" s="1"/>
  <c r="Q186" i="21"/>
  <c r="Q164" i="21"/>
  <c r="CR139" i="3"/>
  <c r="I139" i="23" s="1"/>
  <c r="K139" i="23" s="1"/>
  <c r="L139" i="23" s="1"/>
  <c r="CS139" i="3" s="1"/>
  <c r="CR197" i="3"/>
  <c r="I197" i="23" s="1"/>
  <c r="N197" i="23" s="1"/>
  <c r="O197" i="23" s="1"/>
  <c r="CT197" i="3" s="1"/>
  <c r="Q61" i="21"/>
  <c r="Q240" i="21"/>
  <c r="Q37" i="21"/>
  <c r="CR241" i="3"/>
  <c r="I241" i="23" s="1"/>
  <c r="K241" i="23" s="1"/>
  <c r="L241" i="23" s="1"/>
  <c r="CS241" i="3" s="1"/>
  <c r="Q151" i="21"/>
  <c r="Q284" i="21"/>
  <c r="Q246" i="21"/>
  <c r="CR62" i="3"/>
  <c r="I62" i="23" s="1"/>
  <c r="N62" i="23" s="1"/>
  <c r="O62" i="23" s="1"/>
  <c r="CT62" i="3" s="1"/>
  <c r="CR38" i="3"/>
  <c r="I38" i="23" s="1"/>
  <c r="N38" i="23" s="1"/>
  <c r="O38" i="23" s="1"/>
  <c r="CT38" i="3" s="1"/>
  <c r="CR152" i="3"/>
  <c r="I152" i="23" s="1"/>
  <c r="K152" i="23" s="1"/>
  <c r="L152" i="23" s="1"/>
  <c r="CS152" i="3" s="1"/>
  <c r="Q138" i="21"/>
  <c r="CR56" i="3"/>
  <c r="I56" i="23" s="1"/>
  <c r="N56" i="23" s="1"/>
  <c r="O56" i="23" s="1"/>
  <c r="CT56" i="3" s="1"/>
  <c r="CR226" i="3"/>
  <c r="I226" i="23" s="1"/>
  <c r="K226" i="23" s="1"/>
  <c r="CR133" i="3"/>
  <c r="I133" i="23" s="1"/>
  <c r="N133" i="23" s="1"/>
  <c r="O133" i="23" s="1"/>
  <c r="CT133" i="3" s="1"/>
  <c r="Q225" i="21"/>
  <c r="Q55" i="21"/>
  <c r="Q132" i="21"/>
  <c r="BC282" i="3"/>
  <c r="AX98" i="11"/>
  <c r="AY98" i="11" s="1"/>
  <c r="Q98" i="21"/>
  <c r="BC35" i="3"/>
  <c r="BE35" i="3" s="1"/>
  <c r="BJ35" i="3" s="1"/>
  <c r="BC110" i="3"/>
  <c r="BE110" i="3" s="1"/>
  <c r="BJ110" i="3" s="1"/>
  <c r="BC262" i="3"/>
  <c r="BE262" i="3" s="1"/>
  <c r="BJ262" i="3" s="1"/>
  <c r="CR94" i="3"/>
  <c r="I94" i="23" s="1"/>
  <c r="K94" i="23" s="1"/>
  <c r="L94" i="23" s="1"/>
  <c r="CS94" i="3" s="1"/>
  <c r="BC290" i="3"/>
  <c r="BC210" i="3"/>
  <c r="BE210" i="3" s="1"/>
  <c r="BJ210" i="3" s="1"/>
  <c r="BC256" i="3"/>
  <c r="BE256" i="3" s="1"/>
  <c r="BJ256" i="3" s="1"/>
  <c r="AX116" i="11"/>
  <c r="AY116" i="11" s="1"/>
  <c r="Q116" i="21"/>
  <c r="BC97" i="3"/>
  <c r="BE97" i="3" s="1"/>
  <c r="BJ97" i="3" s="1"/>
  <c r="CR153" i="3"/>
  <c r="I153" i="23" s="1"/>
  <c r="CR265" i="3"/>
  <c r="I265" i="23" s="1"/>
  <c r="N265" i="23" s="1"/>
  <c r="O265" i="23" s="1"/>
  <c r="CT265" i="3" s="1"/>
  <c r="CR58" i="3"/>
  <c r="I58" i="23" s="1"/>
  <c r="K58" i="23" s="1"/>
  <c r="L58" i="23" s="1"/>
  <c r="CS58" i="3" s="1"/>
  <c r="AX152" i="11"/>
  <c r="AY152" i="11" s="1"/>
  <c r="BC284" i="3"/>
  <c r="N281" i="23"/>
  <c r="O281" i="23" s="1"/>
  <c r="CT281" i="3" s="1"/>
  <c r="K281" i="23"/>
  <c r="L281" i="23" s="1"/>
  <c r="CS281" i="3" s="1"/>
  <c r="CR158" i="3"/>
  <c r="I158" i="23" s="1"/>
  <c r="N158" i="23" s="1"/>
  <c r="O158" i="23" s="1"/>
  <c r="CT158" i="3" s="1"/>
  <c r="CR120" i="3"/>
  <c r="I120" i="23" s="1"/>
  <c r="BC279" i="3"/>
  <c r="BE279" i="3" s="1"/>
  <c r="BJ279" i="3" s="1"/>
  <c r="BC43" i="3"/>
  <c r="BC72" i="3"/>
  <c r="BE72" i="3" s="1"/>
  <c r="BJ72" i="3" s="1"/>
  <c r="BC65" i="3"/>
  <c r="Q157" i="21"/>
  <c r="CR285" i="3"/>
  <c r="I285" i="23" s="1"/>
  <c r="K285" i="23" s="1"/>
  <c r="L285" i="23" s="1"/>
  <c r="CS285" i="3" s="1"/>
  <c r="BC77" i="3"/>
  <c r="BE77" i="3" s="1"/>
  <c r="BC46" i="3"/>
  <c r="BC142" i="3"/>
  <c r="BE142" i="3" s="1"/>
  <c r="BJ142" i="3" s="1"/>
  <c r="K213" i="23"/>
  <c r="L213" i="23" s="1"/>
  <c r="CS213" i="3" s="1"/>
  <c r="I182" i="23"/>
  <c r="K182" i="23" s="1"/>
  <c r="L182" i="23" s="1"/>
  <c r="CS182" i="3" s="1"/>
  <c r="I201" i="23"/>
  <c r="K201" i="23" s="1"/>
  <c r="L201" i="23" s="1"/>
  <c r="CS201" i="3" s="1"/>
  <c r="I173" i="23"/>
  <c r="K173" i="23" s="1"/>
  <c r="L173" i="23" s="1"/>
  <c r="CS173" i="3" s="1"/>
  <c r="I17" i="23"/>
  <c r="K17" i="23" s="1"/>
  <c r="L17" i="23" s="1"/>
  <c r="CS17" i="3" s="1"/>
  <c r="I222" i="23"/>
  <c r="K222" i="23" s="1"/>
  <c r="L222" i="23" s="1"/>
  <c r="CS222" i="3" s="1"/>
  <c r="I99" i="23"/>
  <c r="I257" i="23"/>
  <c r="K257" i="23" s="1"/>
  <c r="L257" i="23" s="1"/>
  <c r="CS257" i="3" s="1"/>
  <c r="I283" i="23"/>
  <c r="K283" i="23" s="1"/>
  <c r="L283" i="23" s="1"/>
  <c r="CS283" i="3" s="1"/>
  <c r="I234" i="23"/>
  <c r="K234" i="23" s="1"/>
  <c r="L234" i="23" s="1"/>
  <c r="CS234" i="3" s="1"/>
  <c r="N148" i="23"/>
  <c r="O148" i="23" s="1"/>
  <c r="CT148" i="3" s="1"/>
  <c r="K148" i="23"/>
  <c r="L148" i="23" s="1"/>
  <c r="CS148" i="3" s="1"/>
  <c r="N14" i="23"/>
  <c r="O14" i="23" s="1"/>
  <c r="CT14" i="3" s="1"/>
  <c r="N117" i="23"/>
  <c r="O117" i="23" s="1"/>
  <c r="CT117" i="3" s="1"/>
  <c r="K117" i="23"/>
  <c r="L117" i="23" s="1"/>
  <c r="CS117" i="3" s="1"/>
  <c r="N79" i="23"/>
  <c r="N275" i="23"/>
  <c r="O275" i="23" s="1"/>
  <c r="CT275" i="3" s="1"/>
  <c r="N209" i="23"/>
  <c r="O209" i="23" s="1"/>
  <c r="CT209" i="3" s="1"/>
  <c r="K209" i="23"/>
  <c r="L209" i="23" s="1"/>
  <c r="CS209" i="3" s="1"/>
  <c r="BP212" i="3"/>
  <c r="BP154" i="3"/>
  <c r="BP74" i="3"/>
  <c r="BP138" i="3"/>
  <c r="O138" i="23"/>
  <c r="CT138" i="3" s="1"/>
  <c r="BP66" i="3"/>
  <c r="BP244" i="3"/>
  <c r="BP276" i="3"/>
  <c r="BP116" i="3"/>
  <c r="O116" i="23"/>
  <c r="CT116" i="3" s="1"/>
  <c r="BP214" i="3"/>
  <c r="BP207" i="3"/>
  <c r="BP105" i="3"/>
  <c r="O105" i="23"/>
  <c r="CT105" i="3" s="1"/>
  <c r="BP135" i="3"/>
  <c r="O135" i="23"/>
  <c r="CT135" i="3" s="1"/>
  <c r="BP176" i="3"/>
  <c r="BP144" i="3"/>
  <c r="BP251" i="3"/>
  <c r="BP272" i="3"/>
  <c r="O272" i="23"/>
  <c r="CT272" i="3" s="1"/>
  <c r="BP192" i="3"/>
  <c r="O192" i="23"/>
  <c r="CT192" i="3" s="1"/>
  <c r="BP204" i="3"/>
  <c r="BP198" i="3"/>
  <c r="BP186" i="3"/>
  <c r="BP133" i="3"/>
  <c r="BP261" i="3"/>
  <c r="BP156" i="3"/>
  <c r="O156" i="23"/>
  <c r="CT156" i="3" s="1"/>
  <c r="BP236" i="3"/>
  <c r="BP136" i="3"/>
  <c r="O136" i="23"/>
  <c r="CT136" i="3" s="1"/>
  <c r="BP49" i="3"/>
  <c r="O49" i="23"/>
  <c r="CT49" i="3" s="1"/>
  <c r="BP260" i="3"/>
  <c r="BP228" i="3"/>
  <c r="BP211" i="3"/>
  <c r="BP41" i="3"/>
  <c r="BP19" i="3"/>
  <c r="BP103" i="3"/>
  <c r="O221" i="23"/>
  <c r="CT221" i="3" s="1"/>
  <c r="BP96" i="3"/>
  <c r="BP205" i="3"/>
  <c r="BP143" i="3"/>
  <c r="AN78" i="3"/>
  <c r="Q174" i="21"/>
  <c r="CR175" i="3"/>
  <c r="I175" i="23" s="1"/>
  <c r="CR273" i="3"/>
  <c r="I273" i="23" s="1"/>
  <c r="Q272" i="21"/>
  <c r="Q226" i="21"/>
  <c r="CR227" i="3"/>
  <c r="CR53" i="3"/>
  <c r="I53" i="23" s="1"/>
  <c r="Q52" i="21"/>
  <c r="CR156" i="3"/>
  <c r="AY155" i="11"/>
  <c r="CR40" i="3"/>
  <c r="I40" i="23" s="1"/>
  <c r="AY39" i="11"/>
  <c r="CR171" i="3"/>
  <c r="I171" i="23" s="1"/>
  <c r="AY170" i="11"/>
  <c r="CR104" i="3"/>
  <c r="AY103" i="11"/>
  <c r="Q36" i="21"/>
  <c r="AY36" i="11"/>
  <c r="Q83" i="21"/>
  <c r="AY83" i="11"/>
  <c r="CR108" i="3"/>
  <c r="AY107" i="11"/>
  <c r="CR192" i="3"/>
  <c r="AY191" i="11"/>
  <c r="Q178" i="21"/>
  <c r="AY178" i="11"/>
  <c r="CR267" i="3"/>
  <c r="AY266" i="11"/>
  <c r="CR288" i="3"/>
  <c r="AY287" i="11"/>
  <c r="CR95" i="3"/>
  <c r="I95" i="23" s="1"/>
  <c r="AY94" i="11"/>
  <c r="CR167" i="3"/>
  <c r="AY166" i="11"/>
  <c r="CR11" i="3"/>
  <c r="I11" i="23" s="1"/>
  <c r="AY10" i="11"/>
  <c r="Q118" i="21"/>
  <c r="AY118" i="11"/>
  <c r="Q220" i="21"/>
  <c r="AY220" i="11"/>
  <c r="CR236" i="3"/>
  <c r="I236" i="23" s="1"/>
  <c r="AY235" i="11"/>
  <c r="CR149" i="3"/>
  <c r="I149" i="23" s="1"/>
  <c r="AY148" i="11"/>
  <c r="CR183" i="3"/>
  <c r="AY182" i="11"/>
  <c r="CR130" i="3"/>
  <c r="I130" i="23" s="1"/>
  <c r="AY129" i="11"/>
  <c r="CR63" i="3"/>
  <c r="AY62" i="11"/>
  <c r="CR8" i="3"/>
  <c r="I8" i="23" s="1"/>
  <c r="AY7" i="11"/>
  <c r="CR31" i="3"/>
  <c r="I31" i="23" s="1"/>
  <c r="AY30" i="11"/>
  <c r="CR132" i="3"/>
  <c r="AY131" i="11"/>
  <c r="CR151" i="3"/>
  <c r="AY150" i="11"/>
  <c r="Q139" i="21"/>
  <c r="AY139" i="11"/>
  <c r="CR127" i="3"/>
  <c r="AY126" i="11"/>
  <c r="CR252" i="3"/>
  <c r="I252" i="23" s="1"/>
  <c r="AY251" i="11"/>
  <c r="Q285" i="21"/>
  <c r="AY285" i="11"/>
  <c r="CR32" i="3"/>
  <c r="I32" i="23" s="1"/>
  <c r="AY31" i="11"/>
  <c r="CR218" i="3"/>
  <c r="AY217" i="11"/>
  <c r="CR51" i="3"/>
  <c r="AY50" i="11"/>
  <c r="CR177" i="3"/>
  <c r="I177" i="23" s="1"/>
  <c r="AY176" i="11"/>
  <c r="CR276" i="3"/>
  <c r="I276" i="23" s="1"/>
  <c r="AY275" i="11"/>
  <c r="CR93" i="3"/>
  <c r="I93" i="23" s="1"/>
  <c r="AY92" i="11"/>
  <c r="CR206" i="3"/>
  <c r="I206" i="23" s="1"/>
  <c r="AY205" i="11"/>
  <c r="CR261" i="3"/>
  <c r="AY260" i="11"/>
  <c r="CR249" i="3"/>
  <c r="I249" i="23" s="1"/>
  <c r="AY248" i="11"/>
  <c r="Q214" i="21"/>
  <c r="AY214" i="11"/>
  <c r="CR69" i="3"/>
  <c r="I69" i="23" s="1"/>
  <c r="AY68" i="11"/>
  <c r="CR135" i="3"/>
  <c r="AY134" i="11"/>
  <c r="CR287" i="3"/>
  <c r="I287" i="23" s="1"/>
  <c r="AY286" i="11"/>
  <c r="Q11" i="21"/>
  <c r="AY11" i="11"/>
  <c r="CR85" i="3"/>
  <c r="I85" i="23" s="1"/>
  <c r="AY84" i="11"/>
  <c r="Q17" i="21"/>
  <c r="AY17" i="11"/>
  <c r="CR49" i="3"/>
  <c r="AY48" i="11"/>
  <c r="CR60" i="3"/>
  <c r="I60" i="23" s="1"/>
  <c r="AY59" i="11"/>
  <c r="CR90" i="3"/>
  <c r="AY89" i="11"/>
  <c r="Q137" i="21"/>
  <c r="AY137" i="11"/>
  <c r="CR240" i="3"/>
  <c r="AY239" i="11"/>
  <c r="CR184" i="3"/>
  <c r="AY183" i="11"/>
  <c r="CR190" i="3"/>
  <c r="I190" i="23" s="1"/>
  <c r="AY189" i="11"/>
  <c r="CR33" i="3"/>
  <c r="I33" i="23" s="1"/>
  <c r="AY32" i="11"/>
  <c r="CR50" i="3"/>
  <c r="I50" i="23" s="1"/>
  <c r="AY49" i="11"/>
  <c r="CR18" i="3"/>
  <c r="I18" i="23" s="1"/>
  <c r="CR140" i="3"/>
  <c r="I140" i="23" s="1"/>
  <c r="Q248" i="21"/>
  <c r="CR221" i="3"/>
  <c r="Q31" i="21"/>
  <c r="BE246" i="3"/>
  <c r="BJ246" i="3" s="1"/>
  <c r="BE179" i="3"/>
  <c r="BJ179" i="3" s="1"/>
  <c r="Q217" i="21"/>
  <c r="CR37" i="3"/>
  <c r="I37" i="23" s="1"/>
  <c r="CR179" i="3"/>
  <c r="CR246" i="3"/>
  <c r="Q54" i="21"/>
  <c r="CR55" i="3"/>
  <c r="Q145" i="21"/>
  <c r="CR146" i="3"/>
  <c r="I146" i="23" s="1"/>
  <c r="CR13" i="3"/>
  <c r="CR84" i="3"/>
  <c r="I84" i="23" s="1"/>
  <c r="Q236" i="21"/>
  <c r="CR237" i="3"/>
  <c r="I237" i="23" s="1"/>
  <c r="Q113" i="21"/>
  <c r="CR114" i="3"/>
  <c r="I114" i="23" s="1"/>
  <c r="CR119" i="3"/>
  <c r="I119" i="23" s="1"/>
  <c r="Q192" i="21"/>
  <c r="CR193" i="3"/>
  <c r="Q276" i="21"/>
  <c r="CR277" i="3"/>
  <c r="I277" i="23" s="1"/>
  <c r="CR138" i="3"/>
  <c r="Q8" i="21"/>
  <c r="CR9" i="3"/>
  <c r="I9" i="23" s="1"/>
  <c r="CR215" i="3"/>
  <c r="I215" i="23" s="1"/>
  <c r="CR286" i="3"/>
  <c r="I286" i="23" s="1"/>
  <c r="Q263" i="21"/>
  <c r="CR264" i="3"/>
  <c r="I264" i="23" s="1"/>
  <c r="Q135" i="21"/>
  <c r="CR136" i="3"/>
  <c r="Q115" i="21"/>
  <c r="CR116" i="3"/>
  <c r="Q171" i="21"/>
  <c r="CR172" i="3"/>
  <c r="I172" i="23" s="1"/>
  <c r="Q223" i="21"/>
  <c r="CR224" i="3"/>
  <c r="I224" i="23" s="1"/>
  <c r="CR24" i="3"/>
  <c r="I24" i="23" s="1"/>
  <c r="Q69" i="21"/>
  <c r="CR70" i="3"/>
  <c r="I70" i="23" s="1"/>
  <c r="CR12" i="3"/>
  <c r="I12" i="23" s="1"/>
  <c r="Q23" i="21"/>
  <c r="BE160" i="3"/>
  <c r="BJ160" i="3" s="1"/>
  <c r="BP153" i="3"/>
  <c r="BP221" i="3"/>
  <c r="BO193" i="3"/>
  <c r="BO13" i="3"/>
  <c r="BO240" i="3"/>
  <c r="BO184" i="3"/>
  <c r="BO119" i="3"/>
  <c r="BO84" i="3"/>
  <c r="BO267" i="3"/>
  <c r="BO53" i="3"/>
  <c r="BO172" i="3"/>
  <c r="BO40" i="3"/>
  <c r="BO171" i="3"/>
  <c r="BO104" i="3"/>
  <c r="BO190" i="3"/>
  <c r="BO33" i="3"/>
  <c r="BO8" i="3"/>
  <c r="BO224" i="3"/>
  <c r="BO249" i="3"/>
  <c r="BO288" i="3"/>
  <c r="BO95" i="3"/>
  <c r="BO287" i="3"/>
  <c r="BO237" i="3"/>
  <c r="BO12" i="3"/>
  <c r="BO31" i="3"/>
  <c r="BO227" i="3"/>
  <c r="BO149" i="3"/>
  <c r="BO183" i="3"/>
  <c r="BO130" i="3"/>
  <c r="BO167" i="3"/>
  <c r="BO11" i="3"/>
  <c r="BO37" i="3"/>
  <c r="BO140" i="3"/>
  <c r="BO50" i="3"/>
  <c r="BO51" i="3"/>
  <c r="BO177" i="3"/>
  <c r="BO70" i="3"/>
  <c r="BO246" i="3"/>
  <c r="BO132" i="3"/>
  <c r="BO146" i="3"/>
  <c r="BO32" i="3"/>
  <c r="BO93" i="3"/>
  <c r="BO160" i="3"/>
  <c r="BO127" i="3"/>
  <c r="BO252" i="3"/>
  <c r="BO60" i="3"/>
  <c r="BO114" i="3"/>
  <c r="BO85" i="3"/>
  <c r="BO273" i="3"/>
  <c r="BO55" i="3"/>
  <c r="BO264" i="3"/>
  <c r="BO218" i="3"/>
  <c r="BO226" i="3"/>
  <c r="BO206" i="3"/>
  <c r="BO63" i="3"/>
  <c r="BO277" i="3"/>
  <c r="BO24" i="3"/>
  <c r="BO179" i="3"/>
  <c r="BO90" i="3"/>
  <c r="BO9" i="3"/>
  <c r="BO215" i="3"/>
  <c r="BO69" i="3"/>
  <c r="BO175" i="3"/>
  <c r="BO18" i="3"/>
  <c r="BO286" i="3"/>
  <c r="BO151" i="3"/>
  <c r="BO108" i="3"/>
  <c r="Q89" i="21"/>
  <c r="Q68" i="21"/>
  <c r="Q134" i="21"/>
  <c r="Q150" i="21"/>
  <c r="Q266" i="21"/>
  <c r="Q239" i="21"/>
  <c r="Q183" i="21"/>
  <c r="Q107" i="21"/>
  <c r="Q189" i="21"/>
  <c r="Q32" i="21"/>
  <c r="Q286" i="21"/>
  <c r="Q39" i="21"/>
  <c r="Q287" i="21"/>
  <c r="Q94" i="21"/>
  <c r="Q7" i="21"/>
  <c r="Q170" i="21"/>
  <c r="Q30" i="21"/>
  <c r="Q148" i="21"/>
  <c r="Q182" i="21"/>
  <c r="Q129" i="21"/>
  <c r="Q166" i="21"/>
  <c r="Q10" i="21"/>
  <c r="Q49" i="21"/>
  <c r="Q131" i="21"/>
  <c r="Q50" i="21"/>
  <c r="Q176" i="21"/>
  <c r="Q103" i="21"/>
  <c r="Q12" i="21"/>
  <c r="Q92" i="21"/>
  <c r="Q126" i="21"/>
  <c r="Q251" i="21"/>
  <c r="Q245" i="21"/>
  <c r="Q205" i="21"/>
  <c r="Q62" i="21"/>
  <c r="Q84" i="21"/>
  <c r="BE93" i="3"/>
  <c r="BJ93" i="3" s="1"/>
  <c r="BE32" i="3"/>
  <c r="BJ32" i="3" s="1"/>
  <c r="BE249" i="3"/>
  <c r="BJ249" i="3" s="1"/>
  <c r="BE135" i="3"/>
  <c r="BJ135" i="3" s="1"/>
  <c r="BE69" i="3"/>
  <c r="BJ69" i="3" s="1"/>
  <c r="BE24" i="3"/>
  <c r="BJ24" i="3" s="1"/>
  <c r="BE167" i="3"/>
  <c r="BJ167" i="3" s="1"/>
  <c r="BE136" i="3"/>
  <c r="BJ136" i="3" s="1"/>
  <c r="BE171" i="3"/>
  <c r="BJ171" i="3" s="1"/>
  <c r="BE190" i="3"/>
  <c r="BJ190" i="3" s="1"/>
  <c r="BE287" i="3"/>
  <c r="BJ287" i="3" s="1"/>
  <c r="Q59" i="21"/>
  <c r="BE184" i="3"/>
  <c r="BJ184" i="3" s="1"/>
  <c r="BE224" i="3"/>
  <c r="BJ224" i="3" s="1"/>
  <c r="BE277" i="3"/>
  <c r="BJ277" i="3" s="1"/>
  <c r="BJ51" i="3"/>
  <c r="BJ264" i="3"/>
  <c r="BJ156" i="3"/>
  <c r="Q155" i="21"/>
  <c r="Q275" i="21"/>
  <c r="Q48" i="21"/>
  <c r="Q191" i="21"/>
  <c r="Q260" i="21"/>
  <c r="BJ192" i="3"/>
  <c r="BJ261" i="3"/>
  <c r="CM20" i="3"/>
  <c r="G20" i="18"/>
  <c r="BG20" i="3" s="1"/>
  <c r="BI20" i="3" s="1"/>
  <c r="F4" i="18"/>
  <c r="AY37" i="3" l="1"/>
  <c r="AY228" i="3"/>
  <c r="AY112" i="3"/>
  <c r="AY81" i="3"/>
  <c r="CR230" i="3"/>
  <c r="I230" i="23" s="1"/>
  <c r="N230" i="23" s="1"/>
  <c r="O230" i="23" s="1"/>
  <c r="CT230" i="3" s="1"/>
  <c r="AX229" i="11"/>
  <c r="AY229" i="11" s="1"/>
  <c r="AY15" i="3"/>
  <c r="Q41" i="21"/>
  <c r="CR42" i="3"/>
  <c r="I42" i="23" s="1"/>
  <c r="K42" i="23" s="1"/>
  <c r="L42" i="23" s="1"/>
  <c r="CS42" i="3" s="1"/>
  <c r="Q66" i="21"/>
  <c r="Q112" i="21"/>
  <c r="CR113" i="3"/>
  <c r="I113" i="23" s="1"/>
  <c r="K113" i="23" s="1"/>
  <c r="L113" i="23" s="1"/>
  <c r="CS113" i="3" s="1"/>
  <c r="CR238" i="3"/>
  <c r="I238" i="23" s="1"/>
  <c r="N238" i="23" s="1"/>
  <c r="O238" i="23" s="1"/>
  <c r="CT238" i="3" s="1"/>
  <c r="CR106" i="3"/>
  <c r="I106" i="23" s="1"/>
  <c r="N106" i="23" s="1"/>
  <c r="O106" i="23" s="1"/>
  <c r="CT106" i="3" s="1"/>
  <c r="Q105" i="21"/>
  <c r="CR67" i="3"/>
  <c r="I67" i="23" s="1"/>
  <c r="K67" i="23" s="1"/>
  <c r="L67" i="23" s="1"/>
  <c r="CS67" i="3" s="1"/>
  <c r="Q167" i="21"/>
  <c r="CR289" i="3"/>
  <c r="I289" i="23" s="1"/>
  <c r="N289" i="23" s="1"/>
  <c r="O289" i="23" s="1"/>
  <c r="CT289" i="3" s="1"/>
  <c r="CR217" i="3"/>
  <c r="I217" i="23" s="1"/>
  <c r="N217" i="23" s="1"/>
  <c r="O217" i="23" s="1"/>
  <c r="CT217" i="3" s="1"/>
  <c r="AX288" i="11"/>
  <c r="AY288" i="11" s="1"/>
  <c r="Q237" i="21"/>
  <c r="Q106" i="21"/>
  <c r="Q216" i="21"/>
  <c r="O185" i="23"/>
  <c r="CT185" i="3" s="1"/>
  <c r="Q184" i="21"/>
  <c r="CR185" i="3"/>
  <c r="I185" i="23" s="1"/>
  <c r="K185" i="23" s="1"/>
  <c r="L185" i="23" s="1"/>
  <c r="CS185" i="3" s="1"/>
  <c r="CR168" i="3"/>
  <c r="I168" i="23" s="1"/>
  <c r="N168" i="23" s="1"/>
  <c r="O168" i="23" s="1"/>
  <c r="CT168" i="3" s="1"/>
  <c r="CR270" i="3"/>
  <c r="I270" i="23" s="1"/>
  <c r="N270" i="23" s="1"/>
  <c r="O270" i="23" s="1"/>
  <c r="CT270" i="3" s="1"/>
  <c r="Q269" i="21"/>
  <c r="O75" i="23"/>
  <c r="CT75" i="3" s="1"/>
  <c r="Q169" i="21"/>
  <c r="K75" i="23"/>
  <c r="L75" i="23" s="1"/>
  <c r="CS75" i="3" s="1"/>
  <c r="CR170" i="3"/>
  <c r="I170" i="23" s="1"/>
  <c r="N170" i="23" s="1"/>
  <c r="O170" i="23" s="1"/>
  <c r="CT170" i="3" s="1"/>
  <c r="AX74" i="11"/>
  <c r="AY74" i="11" s="1"/>
  <c r="CR81" i="3"/>
  <c r="I81" i="23" s="1"/>
  <c r="K81" i="23" s="1"/>
  <c r="L81" i="23" s="1"/>
  <c r="CS81" i="3" s="1"/>
  <c r="AX80" i="11"/>
  <c r="AY80" i="11" s="1"/>
  <c r="Q74" i="21"/>
  <c r="CR232" i="3"/>
  <c r="I232" i="23" s="1"/>
  <c r="N232" i="23" s="1"/>
  <c r="O232" i="23" s="1"/>
  <c r="CT232" i="3" s="1"/>
  <c r="Q231" i="21"/>
  <c r="BP81" i="3"/>
  <c r="Q201" i="21"/>
  <c r="CR202" i="3"/>
  <c r="I202" i="23" s="1"/>
  <c r="N202" i="23" s="1"/>
  <c r="O202" i="23" s="1"/>
  <c r="CT202" i="3" s="1"/>
  <c r="CR164" i="3"/>
  <c r="I164" i="23" s="1"/>
  <c r="N164" i="23" s="1"/>
  <c r="O164" i="23" s="1"/>
  <c r="CT164" i="3" s="1"/>
  <c r="Q163" i="21"/>
  <c r="CR178" i="3"/>
  <c r="I178" i="23" s="1"/>
  <c r="N178" i="23" s="1"/>
  <c r="O178" i="23" s="1"/>
  <c r="CT178" i="3" s="1"/>
  <c r="Q177" i="21"/>
  <c r="CR79" i="3"/>
  <c r="I79" i="23" s="1"/>
  <c r="K79" i="23" s="1"/>
  <c r="L79" i="23" s="1"/>
  <c r="CS79" i="3" s="1"/>
  <c r="Q180" i="21"/>
  <c r="CR181" i="3"/>
  <c r="I181" i="23" s="1"/>
  <c r="N181" i="23" s="1"/>
  <c r="O181" i="23" s="1"/>
  <c r="CT181" i="3" s="1"/>
  <c r="CR115" i="3"/>
  <c r="I115" i="23" s="1"/>
  <c r="N115" i="23" s="1"/>
  <c r="O115" i="23" s="1"/>
  <c r="CT115" i="3" s="1"/>
  <c r="Q111" i="21"/>
  <c r="CR107" i="3"/>
  <c r="I107" i="23" s="1"/>
  <c r="N107" i="23" s="1"/>
  <c r="O107" i="23" s="1"/>
  <c r="CT107" i="3" s="1"/>
  <c r="CR112" i="3"/>
  <c r="I112" i="23" s="1"/>
  <c r="N112" i="23" s="1"/>
  <c r="O112" i="23" s="1"/>
  <c r="CT112" i="3" s="1"/>
  <c r="CR34" i="3"/>
  <c r="I34" i="23" s="1"/>
  <c r="N34" i="23" s="1"/>
  <c r="O34" i="23" s="1"/>
  <c r="CT34" i="3" s="1"/>
  <c r="Q97" i="21"/>
  <c r="AX33" i="11"/>
  <c r="AY33" i="11" s="1"/>
  <c r="CR231" i="3"/>
  <c r="I231" i="23" s="1"/>
  <c r="N231" i="23" s="1"/>
  <c r="O231" i="23" s="1"/>
  <c r="CT231" i="3" s="1"/>
  <c r="Q114" i="21"/>
  <c r="AX86" i="11"/>
  <c r="AY86" i="11" s="1"/>
  <c r="Q78" i="21"/>
  <c r="Q257" i="21"/>
  <c r="CR98" i="3"/>
  <c r="I98" i="23" s="1"/>
  <c r="K98" i="23" s="1"/>
  <c r="L98" i="23" s="1"/>
  <c r="CS98" i="3" s="1"/>
  <c r="CR87" i="3"/>
  <c r="I87" i="23" s="1"/>
  <c r="K87" i="23" s="1"/>
  <c r="L87" i="23" s="1"/>
  <c r="CS87" i="3" s="1"/>
  <c r="CR258" i="3"/>
  <c r="I258" i="23" s="1"/>
  <c r="N258" i="23" s="1"/>
  <c r="O258" i="23" s="1"/>
  <c r="CT258" i="3" s="1"/>
  <c r="Q230" i="21"/>
  <c r="O79" i="23"/>
  <c r="CT79" i="3" s="1"/>
  <c r="O87" i="23"/>
  <c r="CT87" i="3" s="1"/>
  <c r="CR208" i="3"/>
  <c r="I208" i="23" s="1"/>
  <c r="N208" i="23" s="1"/>
  <c r="O208" i="23" s="1"/>
  <c r="CT208" i="3" s="1"/>
  <c r="Q207" i="21"/>
  <c r="AY51" i="3"/>
  <c r="K25" i="23"/>
  <c r="L25" i="23" s="1"/>
  <c r="CS25" i="3" s="1"/>
  <c r="N263" i="23"/>
  <c r="O263" i="23" s="1"/>
  <c r="CT263" i="3" s="1"/>
  <c r="K99" i="23"/>
  <c r="L99" i="23" s="1"/>
  <c r="CS99" i="3" s="1"/>
  <c r="N99" i="23"/>
  <c r="O99" i="23" s="1"/>
  <c r="CT99" i="3" s="1"/>
  <c r="K120" i="23"/>
  <c r="L120" i="23" s="1"/>
  <c r="CS120" i="3" s="1"/>
  <c r="N120" i="23"/>
  <c r="O120" i="23" s="1"/>
  <c r="CT120" i="3" s="1"/>
  <c r="K36" i="23"/>
  <c r="L36" i="23" s="1"/>
  <c r="CS36" i="3" s="1"/>
  <c r="N36" i="23"/>
  <c r="O36" i="23" s="1"/>
  <c r="CT36" i="3" s="1"/>
  <c r="K214" i="23"/>
  <c r="L214" i="23" s="1"/>
  <c r="CS214" i="3" s="1"/>
  <c r="N214" i="23"/>
  <c r="O214" i="23" s="1"/>
  <c r="CT214" i="3" s="1"/>
  <c r="N58" i="23"/>
  <c r="O58" i="23" s="1"/>
  <c r="CT58" i="3" s="1"/>
  <c r="K153" i="23"/>
  <c r="L153" i="23" s="1"/>
  <c r="CS153" i="3" s="1"/>
  <c r="N153" i="23"/>
  <c r="O153" i="23" s="1"/>
  <c r="CT153" i="3" s="1"/>
  <c r="N83" i="23"/>
  <c r="O83" i="23" s="1"/>
  <c r="CT83" i="3" s="1"/>
  <c r="K137" i="23"/>
  <c r="L137" i="23" s="1"/>
  <c r="CS137" i="3" s="1"/>
  <c r="N137" i="23"/>
  <c r="O137" i="23" s="1"/>
  <c r="CT137" i="3" s="1"/>
  <c r="K10" i="23"/>
  <c r="L10" i="23" s="1"/>
  <c r="CS10" i="3" s="1"/>
  <c r="N10" i="23"/>
  <c r="O10" i="23" s="1"/>
  <c r="CT10" i="3" s="1"/>
  <c r="N121" i="23"/>
  <c r="O121" i="23" s="1"/>
  <c r="CT121" i="3" s="1"/>
  <c r="K205" i="23"/>
  <c r="L205" i="23" s="1"/>
  <c r="CS205" i="3" s="1"/>
  <c r="N205" i="23"/>
  <c r="O205" i="23" s="1"/>
  <c r="CT205" i="3" s="1"/>
  <c r="K39" i="23"/>
  <c r="L39" i="23" s="1"/>
  <c r="CS39" i="3" s="1"/>
  <c r="N39" i="23"/>
  <c r="O39" i="23" s="1"/>
  <c r="CT39" i="3" s="1"/>
  <c r="K233" i="23"/>
  <c r="L233" i="23" s="1"/>
  <c r="CS233" i="3" s="1"/>
  <c r="N233" i="23"/>
  <c r="O233" i="23" s="1"/>
  <c r="CT233" i="3" s="1"/>
  <c r="K123" i="23"/>
  <c r="L123" i="23" s="1"/>
  <c r="CS123" i="3" s="1"/>
  <c r="N123" i="23"/>
  <c r="O123" i="23" s="1"/>
  <c r="CT123" i="3" s="1"/>
  <c r="K159" i="23"/>
  <c r="L159" i="23" s="1"/>
  <c r="CS159" i="3" s="1"/>
  <c r="K102" i="23"/>
  <c r="L102" i="23" s="1"/>
  <c r="CS102" i="3" s="1"/>
  <c r="K228" i="23"/>
  <c r="L228" i="23" s="1"/>
  <c r="CS228" i="3" s="1"/>
  <c r="K157" i="23"/>
  <c r="L157" i="23" s="1"/>
  <c r="CS157" i="3" s="1"/>
  <c r="K243" i="23"/>
  <c r="L243" i="23" s="1"/>
  <c r="CS243" i="3" s="1"/>
  <c r="K160" i="23"/>
  <c r="L160" i="23" s="1"/>
  <c r="CS160" i="3" s="1"/>
  <c r="K29" i="23"/>
  <c r="L29" i="23" s="1"/>
  <c r="CS29" i="3" s="1"/>
  <c r="BB78" i="3"/>
  <c r="BK78" i="3"/>
  <c r="BM78" i="3" s="1"/>
  <c r="BO78" i="3" s="1"/>
  <c r="AS78" i="3"/>
  <c r="CR78" i="3" s="1"/>
  <c r="I78" i="23" s="1"/>
  <c r="K280" i="23"/>
  <c r="L280" i="23" s="1"/>
  <c r="CS280" i="3" s="1"/>
  <c r="K198" i="23"/>
  <c r="L198" i="23" s="1"/>
  <c r="CS198" i="3" s="1"/>
  <c r="N165" i="23"/>
  <c r="O165" i="23" s="1"/>
  <c r="CT165" i="3" s="1"/>
  <c r="N54" i="23"/>
  <c r="O54" i="23" s="1"/>
  <c r="CT54" i="3" s="1"/>
  <c r="K259" i="23"/>
  <c r="L259" i="23" s="1"/>
  <c r="CS259" i="3" s="1"/>
  <c r="N147" i="23"/>
  <c r="O147" i="23" s="1"/>
  <c r="CT147" i="3" s="1"/>
  <c r="K204" i="23"/>
  <c r="L204" i="23" s="1"/>
  <c r="CS204" i="3" s="1"/>
  <c r="K194" i="23"/>
  <c r="L194" i="23" s="1"/>
  <c r="CS194" i="3" s="1"/>
  <c r="K22" i="23"/>
  <c r="L22" i="23" s="1"/>
  <c r="CS22" i="3" s="1"/>
  <c r="N166" i="23"/>
  <c r="O166" i="23" s="1"/>
  <c r="CT166" i="3" s="1"/>
  <c r="K19" i="23"/>
  <c r="L19" i="23" s="1"/>
  <c r="CS19" i="3" s="1"/>
  <c r="K91" i="23"/>
  <c r="L91" i="23" s="1"/>
  <c r="CS91" i="3" s="1"/>
  <c r="N226" i="23"/>
  <c r="O226" i="23" s="1"/>
  <c r="CT226" i="3" s="1"/>
  <c r="K244" i="23"/>
  <c r="L244" i="23" s="1"/>
  <c r="CS244" i="3" s="1"/>
  <c r="K74" i="23"/>
  <c r="L74" i="23" s="1"/>
  <c r="CS74" i="3" s="1"/>
  <c r="K186" i="23"/>
  <c r="L186" i="23" s="1"/>
  <c r="CS186" i="3" s="1"/>
  <c r="K260" i="23"/>
  <c r="L260" i="23" s="1"/>
  <c r="CS260" i="3" s="1"/>
  <c r="N44" i="23"/>
  <c r="O44" i="23" s="1"/>
  <c r="CT44" i="3" s="1"/>
  <c r="N45" i="23"/>
  <c r="O45" i="23" s="1"/>
  <c r="CT45" i="3" s="1"/>
  <c r="K28" i="23"/>
  <c r="L28" i="23" s="1"/>
  <c r="CS28" i="3" s="1"/>
  <c r="K245" i="23"/>
  <c r="L245" i="23" s="1"/>
  <c r="CS245" i="3" s="1"/>
  <c r="K254" i="23"/>
  <c r="L254" i="23" s="1"/>
  <c r="CS254" i="3" s="1"/>
  <c r="K30" i="23"/>
  <c r="L30" i="23" s="1"/>
  <c r="CS30" i="3" s="1"/>
  <c r="K23" i="23"/>
  <c r="L23" i="23" s="1"/>
  <c r="CS23" i="3" s="1"/>
  <c r="K41" i="23"/>
  <c r="L41" i="23" s="1"/>
  <c r="CS41" i="3" s="1"/>
  <c r="K76" i="23"/>
  <c r="L76" i="23" s="1"/>
  <c r="CS76" i="3" s="1"/>
  <c r="K239" i="23"/>
  <c r="L239" i="23" s="1"/>
  <c r="CS239" i="3" s="1"/>
  <c r="N169" i="23"/>
  <c r="O169" i="23" s="1"/>
  <c r="CT169" i="3" s="1"/>
  <c r="K66" i="23"/>
  <c r="L66" i="23" s="1"/>
  <c r="CS66" i="3" s="1"/>
  <c r="K248" i="23"/>
  <c r="L248" i="23" s="1"/>
  <c r="CS248" i="3" s="1"/>
  <c r="K174" i="23"/>
  <c r="L174" i="23" s="1"/>
  <c r="CS174" i="3" s="1"/>
  <c r="K223" i="23"/>
  <c r="L223" i="23" s="1"/>
  <c r="CS223" i="3" s="1"/>
  <c r="K176" i="23"/>
  <c r="L176" i="23" s="1"/>
  <c r="CS176" i="3" s="1"/>
  <c r="N126" i="23"/>
  <c r="O126" i="23" s="1"/>
  <c r="CT126" i="3" s="1"/>
  <c r="Q46" i="21"/>
  <c r="K196" i="23"/>
  <c r="L196" i="23" s="1"/>
  <c r="CS196" i="3" s="1"/>
  <c r="K269" i="23"/>
  <c r="L269" i="23" s="1"/>
  <c r="CS269" i="3" s="1"/>
  <c r="K268" i="23"/>
  <c r="L268" i="23" s="1"/>
  <c r="CS268" i="3" s="1"/>
  <c r="N7" i="23"/>
  <c r="O7" i="23" s="1"/>
  <c r="CT7" i="3" s="1"/>
  <c r="K100" i="23"/>
  <c r="L100" i="23" s="1"/>
  <c r="CS100" i="3" s="1"/>
  <c r="K274" i="23"/>
  <c r="L274" i="23" s="1"/>
  <c r="CS274" i="3" s="1"/>
  <c r="K86" i="23"/>
  <c r="L86" i="23" s="1"/>
  <c r="CS86" i="3" s="1"/>
  <c r="K133" i="23"/>
  <c r="L133" i="23" s="1"/>
  <c r="CS133" i="3" s="1"/>
  <c r="N251" i="23"/>
  <c r="O251" i="23" s="1"/>
  <c r="CT251" i="3" s="1"/>
  <c r="K118" i="23"/>
  <c r="L118" i="23" s="1"/>
  <c r="CS118" i="3" s="1"/>
  <c r="K195" i="23"/>
  <c r="L195" i="23" s="1"/>
  <c r="CS195" i="3" s="1"/>
  <c r="K207" i="23"/>
  <c r="L207" i="23" s="1"/>
  <c r="CS207" i="3" s="1"/>
  <c r="N6" i="23"/>
  <c r="O6" i="23" s="1"/>
  <c r="CT6" i="3" s="1"/>
  <c r="N48" i="23"/>
  <c r="O48" i="23" s="1"/>
  <c r="CT48" i="3" s="1"/>
  <c r="K211" i="23"/>
  <c r="L211" i="23" s="1"/>
  <c r="CS211" i="3" s="1"/>
  <c r="N241" i="23"/>
  <c r="O241" i="23" s="1"/>
  <c r="CT241" i="3" s="1"/>
  <c r="CR225" i="3"/>
  <c r="I225" i="23" s="1"/>
  <c r="N225" i="23" s="1"/>
  <c r="O225" i="23" s="1"/>
  <c r="CT225" i="3" s="1"/>
  <c r="Q224" i="21"/>
  <c r="K61" i="23"/>
  <c r="L61" i="23" s="1"/>
  <c r="CS61" i="3" s="1"/>
  <c r="CR43" i="3"/>
  <c r="I43" i="23" s="1"/>
  <c r="K43" i="23" s="1"/>
  <c r="N143" i="23"/>
  <c r="O143" i="23" s="1"/>
  <c r="CT143" i="3" s="1"/>
  <c r="K219" i="23"/>
  <c r="L219" i="23" s="1"/>
  <c r="CS219" i="3" s="1"/>
  <c r="N250" i="23"/>
  <c r="O250" i="23" s="1"/>
  <c r="CT250" i="3" s="1"/>
  <c r="K122" i="23"/>
  <c r="L122" i="23" s="1"/>
  <c r="CS122" i="3" s="1"/>
  <c r="K111" i="23"/>
  <c r="L111" i="23" s="1"/>
  <c r="CS111" i="3" s="1"/>
  <c r="K145" i="23"/>
  <c r="L145" i="23" s="1"/>
  <c r="CS145" i="3" s="1"/>
  <c r="K188" i="23"/>
  <c r="L188" i="23" s="1"/>
  <c r="CS188" i="3" s="1"/>
  <c r="K38" i="23"/>
  <c r="L38" i="23" s="1"/>
  <c r="CS38" i="3" s="1"/>
  <c r="K144" i="23"/>
  <c r="L144" i="23" s="1"/>
  <c r="CS144" i="3" s="1"/>
  <c r="K56" i="23"/>
  <c r="L56" i="23" s="1"/>
  <c r="CS56" i="3" s="1"/>
  <c r="K158" i="23"/>
  <c r="L158" i="23" s="1"/>
  <c r="CS158" i="3" s="1"/>
  <c r="K203" i="23"/>
  <c r="L203" i="23" s="1"/>
  <c r="CS203" i="3" s="1"/>
  <c r="K265" i="23"/>
  <c r="L265" i="23" s="1"/>
  <c r="CS265" i="3" s="1"/>
  <c r="K278" i="23"/>
  <c r="L278" i="23" s="1"/>
  <c r="CS278" i="3" s="1"/>
  <c r="Q76" i="21"/>
  <c r="CR57" i="3"/>
  <c r="I57" i="23" s="1"/>
  <c r="K57" i="23" s="1"/>
  <c r="L57" i="23" s="1"/>
  <c r="CS57" i="3" s="1"/>
  <c r="K62" i="23"/>
  <c r="L62" i="23" s="1"/>
  <c r="CS62" i="3" s="1"/>
  <c r="Q56" i="21"/>
  <c r="K197" i="23"/>
  <c r="L197" i="23" s="1"/>
  <c r="CS197" i="3" s="1"/>
  <c r="BC78" i="3"/>
  <c r="BE78" i="3" s="1"/>
  <c r="BJ78" i="3" s="1"/>
  <c r="K247" i="23"/>
  <c r="L247" i="23" s="1"/>
  <c r="CS247" i="3" s="1"/>
  <c r="K64" i="23"/>
  <c r="L64" i="23" s="1"/>
  <c r="CS64" i="3" s="1"/>
  <c r="K103" i="23"/>
  <c r="L103" i="23" s="1"/>
  <c r="CS103" i="3" s="1"/>
  <c r="K96" i="23"/>
  <c r="L96" i="23" s="1"/>
  <c r="CS96" i="3" s="1"/>
  <c r="K212" i="23"/>
  <c r="L212" i="23" s="1"/>
  <c r="CS212" i="3" s="1"/>
  <c r="K154" i="23"/>
  <c r="L154" i="23" s="1"/>
  <c r="CS154" i="3" s="1"/>
  <c r="K134" i="23"/>
  <c r="L134" i="23" s="1"/>
  <c r="CS134" i="3" s="1"/>
  <c r="I135" i="23"/>
  <c r="K135" i="23" s="1"/>
  <c r="L135" i="23" s="1"/>
  <c r="CS135" i="3" s="1"/>
  <c r="I51" i="23"/>
  <c r="K51" i="23" s="1"/>
  <c r="L51" i="23" s="1"/>
  <c r="CS51" i="3" s="1"/>
  <c r="I63" i="23"/>
  <c r="I267" i="23"/>
  <c r="N267" i="23" s="1"/>
  <c r="O267" i="23" s="1"/>
  <c r="CT267" i="3" s="1"/>
  <c r="I104" i="23"/>
  <c r="I138" i="23"/>
  <c r="K138" i="23" s="1"/>
  <c r="L138" i="23" s="1"/>
  <c r="CS138" i="3" s="1"/>
  <c r="I246" i="23"/>
  <c r="K246" i="23" s="1"/>
  <c r="L246" i="23" s="1"/>
  <c r="CS246" i="3" s="1"/>
  <c r="I221" i="23"/>
  <c r="K221" i="23" s="1"/>
  <c r="L221" i="23" s="1"/>
  <c r="CS221" i="3" s="1"/>
  <c r="I227" i="23"/>
  <c r="N227" i="23" s="1"/>
  <c r="O227" i="23" s="1"/>
  <c r="CT227" i="3" s="1"/>
  <c r="I179" i="23"/>
  <c r="K179" i="23" s="1"/>
  <c r="L179" i="23" s="1"/>
  <c r="CS179" i="3" s="1"/>
  <c r="I90" i="23"/>
  <c r="K90" i="23" s="1"/>
  <c r="L90" i="23" s="1"/>
  <c r="CS90" i="3" s="1"/>
  <c r="I261" i="23"/>
  <c r="N261" i="23" s="1"/>
  <c r="O261" i="23" s="1"/>
  <c r="CT261" i="3" s="1"/>
  <c r="I218" i="23"/>
  <c r="K218" i="23" s="1"/>
  <c r="L218" i="23" s="1"/>
  <c r="CS218" i="3" s="1"/>
  <c r="I127" i="23"/>
  <c r="K127" i="23" s="1"/>
  <c r="L127" i="23" s="1"/>
  <c r="CS127" i="3" s="1"/>
  <c r="I151" i="23"/>
  <c r="I167" i="23"/>
  <c r="K167" i="23" s="1"/>
  <c r="L167" i="23" s="1"/>
  <c r="CS167" i="3" s="1"/>
  <c r="I108" i="23"/>
  <c r="K108" i="23" s="1"/>
  <c r="L108" i="23" s="1"/>
  <c r="CS108" i="3" s="1"/>
  <c r="I193" i="23"/>
  <c r="K193" i="23" s="1"/>
  <c r="L193" i="23" s="1"/>
  <c r="CS193" i="3" s="1"/>
  <c r="I13" i="23"/>
  <c r="K13" i="23" s="1"/>
  <c r="L13" i="23" s="1"/>
  <c r="CS13" i="3" s="1"/>
  <c r="I184" i="23"/>
  <c r="K184" i="23" s="1"/>
  <c r="L184" i="23" s="1"/>
  <c r="CS184" i="3" s="1"/>
  <c r="I183" i="23"/>
  <c r="K183" i="23" s="1"/>
  <c r="L183" i="23" s="1"/>
  <c r="CS183" i="3" s="1"/>
  <c r="I156" i="23"/>
  <c r="K156" i="23" s="1"/>
  <c r="L156" i="23" s="1"/>
  <c r="CS156" i="3" s="1"/>
  <c r="I116" i="23"/>
  <c r="K116" i="23" s="1"/>
  <c r="L116" i="23" s="1"/>
  <c r="CS116" i="3" s="1"/>
  <c r="I240" i="23"/>
  <c r="K240" i="23" s="1"/>
  <c r="L240" i="23" s="1"/>
  <c r="CS240" i="3" s="1"/>
  <c r="I49" i="23"/>
  <c r="K49" i="23" s="1"/>
  <c r="L49" i="23" s="1"/>
  <c r="CS49" i="3" s="1"/>
  <c r="I132" i="23"/>
  <c r="K132" i="23" s="1"/>
  <c r="L132" i="23" s="1"/>
  <c r="CS132" i="3" s="1"/>
  <c r="I288" i="23"/>
  <c r="K288" i="23" s="1"/>
  <c r="L288" i="23" s="1"/>
  <c r="CS288" i="3" s="1"/>
  <c r="I192" i="23"/>
  <c r="K192" i="23" s="1"/>
  <c r="L192" i="23" s="1"/>
  <c r="CS192" i="3" s="1"/>
  <c r="I136" i="23"/>
  <c r="K136" i="23" s="1"/>
  <c r="L136" i="23" s="1"/>
  <c r="CS136" i="3" s="1"/>
  <c r="I55" i="23"/>
  <c r="K55" i="23" s="1"/>
  <c r="L55" i="23" s="1"/>
  <c r="CS55" i="3" s="1"/>
  <c r="N70" i="23"/>
  <c r="O70" i="23" s="1"/>
  <c r="CT70" i="3" s="1"/>
  <c r="K70" i="23"/>
  <c r="L70" i="23" s="1"/>
  <c r="CS70" i="3" s="1"/>
  <c r="N37" i="23"/>
  <c r="O37" i="23" s="1"/>
  <c r="CT37" i="3" s="1"/>
  <c r="K37" i="23"/>
  <c r="L37" i="23" s="1"/>
  <c r="CS37" i="3" s="1"/>
  <c r="N18" i="23"/>
  <c r="O18" i="23" s="1"/>
  <c r="CT18" i="3" s="1"/>
  <c r="K18" i="23"/>
  <c r="L18" i="23" s="1"/>
  <c r="CS18" i="3" s="1"/>
  <c r="N60" i="23"/>
  <c r="O60" i="23" s="1"/>
  <c r="CT60" i="3" s="1"/>
  <c r="K60" i="23"/>
  <c r="L60" i="23" s="1"/>
  <c r="CS60" i="3" s="1"/>
  <c r="N206" i="23"/>
  <c r="O206" i="23" s="1"/>
  <c r="CT206" i="3" s="1"/>
  <c r="K206" i="23"/>
  <c r="L206" i="23" s="1"/>
  <c r="CS206" i="3" s="1"/>
  <c r="N32" i="23"/>
  <c r="O32" i="23" s="1"/>
  <c r="CT32" i="3" s="1"/>
  <c r="K32" i="23"/>
  <c r="L32" i="23" s="1"/>
  <c r="CS32" i="3" s="1"/>
  <c r="N95" i="23"/>
  <c r="O95" i="23" s="1"/>
  <c r="CT95" i="3" s="1"/>
  <c r="K95" i="23"/>
  <c r="L95" i="23" s="1"/>
  <c r="CS95" i="3" s="1"/>
  <c r="N40" i="23"/>
  <c r="O40" i="23" s="1"/>
  <c r="CT40" i="3" s="1"/>
  <c r="K40" i="23"/>
  <c r="L40" i="23" s="1"/>
  <c r="CS40" i="3" s="1"/>
  <c r="N273" i="23"/>
  <c r="O273" i="23" s="1"/>
  <c r="CT273" i="3" s="1"/>
  <c r="K273" i="23"/>
  <c r="L273" i="23" s="1"/>
  <c r="CS273" i="3" s="1"/>
  <c r="N286" i="23"/>
  <c r="O286" i="23" s="1"/>
  <c r="CT286" i="3" s="1"/>
  <c r="K286" i="23"/>
  <c r="L286" i="23" s="1"/>
  <c r="CS286" i="3" s="1"/>
  <c r="N146" i="23"/>
  <c r="O146" i="23" s="1"/>
  <c r="CT146" i="3" s="1"/>
  <c r="K146" i="23"/>
  <c r="L146" i="23" s="1"/>
  <c r="CS146" i="3" s="1"/>
  <c r="N175" i="23"/>
  <c r="O175" i="23" s="1"/>
  <c r="CT175" i="3" s="1"/>
  <c r="K175" i="23"/>
  <c r="L175" i="23" s="1"/>
  <c r="CS175" i="3" s="1"/>
  <c r="N24" i="23"/>
  <c r="O24" i="23" s="1"/>
  <c r="CT24" i="3" s="1"/>
  <c r="K24" i="23"/>
  <c r="L24" i="23" s="1"/>
  <c r="CS24" i="3" s="1"/>
  <c r="N215" i="23"/>
  <c r="O215" i="23" s="1"/>
  <c r="CT215" i="3" s="1"/>
  <c r="K215" i="23"/>
  <c r="L215" i="23" s="1"/>
  <c r="CS215" i="3" s="1"/>
  <c r="N119" i="23"/>
  <c r="O119" i="23" s="1"/>
  <c r="CT119" i="3" s="1"/>
  <c r="K119" i="23"/>
  <c r="L119" i="23" s="1"/>
  <c r="CS119" i="3" s="1"/>
  <c r="N50" i="23"/>
  <c r="O50" i="23" s="1"/>
  <c r="CT50" i="3" s="1"/>
  <c r="K50" i="23"/>
  <c r="L50" i="23" s="1"/>
  <c r="CS50" i="3" s="1"/>
  <c r="N287" i="23"/>
  <c r="O287" i="23" s="1"/>
  <c r="CT287" i="3" s="1"/>
  <c r="K287" i="23"/>
  <c r="L287" i="23" s="1"/>
  <c r="CS287" i="3" s="1"/>
  <c r="N93" i="23"/>
  <c r="O93" i="23" s="1"/>
  <c r="CT93" i="3" s="1"/>
  <c r="K93" i="23"/>
  <c r="L93" i="23" s="1"/>
  <c r="CS93" i="3" s="1"/>
  <c r="N177" i="23"/>
  <c r="O177" i="23" s="1"/>
  <c r="CT177" i="3" s="1"/>
  <c r="K177" i="23"/>
  <c r="L177" i="23" s="1"/>
  <c r="CS177" i="3" s="1"/>
  <c r="N8" i="23"/>
  <c r="O8" i="23" s="1"/>
  <c r="CT8" i="3" s="1"/>
  <c r="K8" i="23"/>
  <c r="L8" i="23" s="1"/>
  <c r="CS8" i="3" s="1"/>
  <c r="N149" i="23"/>
  <c r="O149" i="23" s="1"/>
  <c r="CT149" i="3" s="1"/>
  <c r="K149" i="23"/>
  <c r="L149" i="23" s="1"/>
  <c r="CS149" i="3" s="1"/>
  <c r="N53" i="23"/>
  <c r="O53" i="23" s="1"/>
  <c r="CT53" i="3" s="1"/>
  <c r="K53" i="23"/>
  <c r="L53" i="23" s="1"/>
  <c r="CS53" i="3" s="1"/>
  <c r="N224" i="23"/>
  <c r="O224" i="23" s="1"/>
  <c r="CT224" i="3" s="1"/>
  <c r="K224" i="23"/>
  <c r="L224" i="23" s="1"/>
  <c r="CS224" i="3" s="1"/>
  <c r="N9" i="23"/>
  <c r="O9" i="23" s="1"/>
  <c r="CT9" i="3" s="1"/>
  <c r="K9" i="23"/>
  <c r="L9" i="23" s="1"/>
  <c r="CS9" i="3" s="1"/>
  <c r="N114" i="23"/>
  <c r="O114" i="23" s="1"/>
  <c r="CT114" i="3" s="1"/>
  <c r="K114" i="23"/>
  <c r="L114" i="23" s="1"/>
  <c r="CS114" i="3" s="1"/>
  <c r="N33" i="23"/>
  <c r="O33" i="23" s="1"/>
  <c r="CT33" i="3" s="1"/>
  <c r="K33" i="23"/>
  <c r="L33" i="23" s="1"/>
  <c r="CS33" i="3" s="1"/>
  <c r="N249" i="23"/>
  <c r="O249" i="23" s="1"/>
  <c r="CT249" i="3" s="1"/>
  <c r="K249" i="23"/>
  <c r="L249" i="23" s="1"/>
  <c r="CS249" i="3" s="1"/>
  <c r="N252" i="23"/>
  <c r="O252" i="23" s="1"/>
  <c r="CT252" i="3" s="1"/>
  <c r="K252" i="23"/>
  <c r="L252" i="23" s="1"/>
  <c r="CS252" i="3" s="1"/>
  <c r="N31" i="23"/>
  <c r="O31" i="23" s="1"/>
  <c r="CT31" i="3" s="1"/>
  <c r="K31" i="23"/>
  <c r="L31" i="23" s="1"/>
  <c r="CS31" i="3" s="1"/>
  <c r="N11" i="23"/>
  <c r="O11" i="23" s="1"/>
  <c r="CT11" i="3" s="1"/>
  <c r="K11" i="23"/>
  <c r="L11" i="23" s="1"/>
  <c r="CS11" i="3" s="1"/>
  <c r="N172" i="23"/>
  <c r="O172" i="23" s="1"/>
  <c r="CT172" i="3" s="1"/>
  <c r="K172" i="23"/>
  <c r="L172" i="23" s="1"/>
  <c r="CS172" i="3" s="1"/>
  <c r="N264" i="23"/>
  <c r="O264" i="23" s="1"/>
  <c r="CT264" i="3" s="1"/>
  <c r="K264" i="23"/>
  <c r="L264" i="23" s="1"/>
  <c r="CS264" i="3" s="1"/>
  <c r="N237" i="23"/>
  <c r="O237" i="23" s="1"/>
  <c r="CT237" i="3" s="1"/>
  <c r="K237" i="23"/>
  <c r="L237" i="23" s="1"/>
  <c r="CS237" i="3" s="1"/>
  <c r="N277" i="23"/>
  <c r="O277" i="23" s="1"/>
  <c r="CT277" i="3" s="1"/>
  <c r="K277" i="23"/>
  <c r="L277" i="23" s="1"/>
  <c r="CS277" i="3" s="1"/>
  <c r="N190" i="23"/>
  <c r="O190" i="23" s="1"/>
  <c r="CT190" i="3" s="1"/>
  <c r="K190" i="23"/>
  <c r="L190" i="23" s="1"/>
  <c r="CS190" i="3" s="1"/>
  <c r="N85" i="23"/>
  <c r="O85" i="23" s="1"/>
  <c r="CT85" i="3" s="1"/>
  <c r="K85" i="23"/>
  <c r="L85" i="23" s="1"/>
  <c r="CS85" i="3" s="1"/>
  <c r="N69" i="23"/>
  <c r="O69" i="23" s="1"/>
  <c r="CT69" i="3" s="1"/>
  <c r="K69" i="23"/>
  <c r="L69" i="23" s="1"/>
  <c r="CS69" i="3" s="1"/>
  <c r="N276" i="23"/>
  <c r="O276" i="23" s="1"/>
  <c r="CT276" i="3" s="1"/>
  <c r="K276" i="23"/>
  <c r="L276" i="23" s="1"/>
  <c r="CS276" i="3" s="1"/>
  <c r="N130" i="23"/>
  <c r="O130" i="23" s="1"/>
  <c r="CT130" i="3" s="1"/>
  <c r="K130" i="23"/>
  <c r="L130" i="23" s="1"/>
  <c r="CS130" i="3" s="1"/>
  <c r="N236" i="23"/>
  <c r="O236" i="23" s="1"/>
  <c r="CT236" i="3" s="1"/>
  <c r="K236" i="23"/>
  <c r="L236" i="23" s="1"/>
  <c r="CS236" i="3" s="1"/>
  <c r="N171" i="23"/>
  <c r="O171" i="23" s="1"/>
  <c r="CT171" i="3" s="1"/>
  <c r="K171" i="23"/>
  <c r="L171" i="23" s="1"/>
  <c r="CS171" i="3" s="1"/>
  <c r="N12" i="23"/>
  <c r="O12" i="23" s="1"/>
  <c r="CT12" i="3" s="1"/>
  <c r="K12" i="23"/>
  <c r="L12" i="23" s="1"/>
  <c r="CS12" i="3" s="1"/>
  <c r="N84" i="23"/>
  <c r="O84" i="23" s="1"/>
  <c r="CT84" i="3" s="1"/>
  <c r="K84" i="23"/>
  <c r="L84" i="23" s="1"/>
  <c r="CS84" i="3" s="1"/>
  <c r="N140" i="23"/>
  <c r="O140" i="23" s="1"/>
  <c r="CT140" i="3" s="1"/>
  <c r="K140" i="23"/>
  <c r="L140" i="23" s="1"/>
  <c r="CS140" i="3" s="1"/>
  <c r="O51" i="23"/>
  <c r="CT51" i="3" s="1"/>
  <c r="BP149" i="3"/>
  <c r="BP288" i="3"/>
  <c r="O288" i="23"/>
  <c r="CT288" i="3" s="1"/>
  <c r="BP40" i="3"/>
  <c r="BP164" i="3"/>
  <c r="BP277" i="3"/>
  <c r="O67" i="23"/>
  <c r="CT67" i="3" s="1"/>
  <c r="BP249" i="3"/>
  <c r="BP172" i="3"/>
  <c r="BP13" i="3"/>
  <c r="O13" i="23"/>
  <c r="CT13" i="3" s="1"/>
  <c r="BP175" i="3"/>
  <c r="BP140" i="3"/>
  <c r="BP227" i="3"/>
  <c r="BP224" i="3"/>
  <c r="BP193" i="3"/>
  <c r="O193" i="23"/>
  <c r="CT193" i="3" s="1"/>
  <c r="O113" i="23"/>
  <c r="CT113" i="3" s="1"/>
  <c r="O132" i="23"/>
  <c r="CT132" i="3" s="1"/>
  <c r="BP37" i="3"/>
  <c r="BP31" i="3"/>
  <c r="BP267" i="3"/>
  <c r="BP225" i="3"/>
  <c r="O108" i="23"/>
  <c r="CT108" i="3" s="1"/>
  <c r="L226" i="23"/>
  <c r="CS226" i="3" s="1"/>
  <c r="BP60" i="3"/>
  <c r="BP246" i="3"/>
  <c r="O246" i="23"/>
  <c r="CT246" i="3" s="1"/>
  <c r="BP11" i="3"/>
  <c r="BP12" i="3"/>
  <c r="BP84" i="3"/>
  <c r="BP52" i="3"/>
  <c r="BP9" i="3"/>
  <c r="BP218" i="3"/>
  <c r="O218" i="23"/>
  <c r="CT218" i="3" s="1"/>
  <c r="BP70" i="3"/>
  <c r="O167" i="23"/>
  <c r="CT167" i="3" s="1"/>
  <c r="BP237" i="3"/>
  <c r="BP190" i="3"/>
  <c r="BP119" i="3"/>
  <c r="BP57" i="3"/>
  <c r="O57" i="23"/>
  <c r="CT57" i="3" s="1"/>
  <c r="O90" i="23"/>
  <c r="CT90" i="3" s="1"/>
  <c r="BP264" i="3"/>
  <c r="O127" i="23"/>
  <c r="CT127" i="3" s="1"/>
  <c r="O98" i="23"/>
  <c r="CT98" i="3" s="1"/>
  <c r="BP287" i="3"/>
  <c r="BP184" i="3"/>
  <c r="O184" i="23"/>
  <c r="CT184" i="3" s="1"/>
  <c r="BP179" i="3"/>
  <c r="O179" i="23"/>
  <c r="CT179" i="3" s="1"/>
  <c r="BP55" i="3"/>
  <c r="O55" i="23"/>
  <c r="CT55" i="3" s="1"/>
  <c r="O160" i="23"/>
  <c r="CT160" i="3" s="1"/>
  <c r="BP177" i="3"/>
  <c r="O183" i="23"/>
  <c r="CT183" i="3" s="1"/>
  <c r="BP95" i="3"/>
  <c r="BP171" i="3"/>
  <c r="BP240" i="3"/>
  <c r="O240" i="23"/>
  <c r="CT240" i="3" s="1"/>
  <c r="CR279" i="3"/>
  <c r="I279" i="23" s="1"/>
  <c r="Q278" i="21"/>
  <c r="Q179" i="21"/>
  <c r="CR180" i="3"/>
  <c r="I180" i="23" s="1"/>
  <c r="Q209" i="21"/>
  <c r="CR229" i="3"/>
  <c r="I229" i="23" s="1"/>
  <c r="Q228" i="21"/>
  <c r="CR210" i="3"/>
  <c r="I210" i="23" s="1"/>
  <c r="CR161" i="3"/>
  <c r="Q160" i="21"/>
  <c r="CR72" i="3"/>
  <c r="I72" i="23" s="1"/>
  <c r="AY71" i="11"/>
  <c r="CR46" i="3"/>
  <c r="I46" i="23" s="1"/>
  <c r="AY45" i="11"/>
  <c r="CR284" i="3"/>
  <c r="I284" i="23" s="1"/>
  <c r="AY283" i="11"/>
  <c r="CR35" i="3"/>
  <c r="I35" i="23" s="1"/>
  <c r="AY34" i="11"/>
  <c r="CR71" i="3"/>
  <c r="I71" i="23" s="1"/>
  <c r="AY70" i="11"/>
  <c r="CR262" i="3"/>
  <c r="I262" i="23" s="1"/>
  <c r="AY261" i="11"/>
  <c r="CR128" i="3"/>
  <c r="AY127" i="11"/>
  <c r="CR242" i="3"/>
  <c r="I242" i="23" s="1"/>
  <c r="AY241" i="11"/>
  <c r="CR73" i="3"/>
  <c r="I73" i="23" s="1"/>
  <c r="AY72" i="11"/>
  <c r="CR52" i="3"/>
  <c r="I52" i="23" s="1"/>
  <c r="AY51" i="11"/>
  <c r="CR47" i="3"/>
  <c r="I47" i="23" s="1"/>
  <c r="AY46" i="11"/>
  <c r="CR110" i="3"/>
  <c r="I110" i="23" s="1"/>
  <c r="AY109" i="11"/>
  <c r="CR150" i="3"/>
  <c r="I150" i="23" s="1"/>
  <c r="AY149" i="11"/>
  <c r="CR77" i="3"/>
  <c r="I77" i="23" s="1"/>
  <c r="AY76" i="11"/>
  <c r="CR97" i="3"/>
  <c r="I97" i="23" s="1"/>
  <c r="AY96" i="11"/>
  <c r="CR200" i="3"/>
  <c r="I200" i="23" s="1"/>
  <c r="AY199" i="11"/>
  <c r="CR282" i="3"/>
  <c r="I282" i="23" s="1"/>
  <c r="AY281" i="11"/>
  <c r="CR290" i="3"/>
  <c r="I290" i="23" s="1"/>
  <c r="AY289" i="11"/>
  <c r="Q45" i="21"/>
  <c r="Q281" i="21"/>
  <c r="Q51" i="21"/>
  <c r="BE47" i="3"/>
  <c r="BJ47" i="3" s="1"/>
  <c r="Q72" i="21"/>
  <c r="Q198" i="21"/>
  <c r="CR199" i="3"/>
  <c r="I199" i="23" s="1"/>
  <c r="Q64" i="21"/>
  <c r="CR65" i="3"/>
  <c r="I65" i="23" s="1"/>
  <c r="CR253" i="3"/>
  <c r="I253" i="23" s="1"/>
  <c r="Q141" i="21"/>
  <c r="CR142" i="3"/>
  <c r="I142" i="23" s="1"/>
  <c r="Q219" i="21"/>
  <c r="CR220" i="3"/>
  <c r="CR163" i="3"/>
  <c r="Q255" i="21"/>
  <c r="CR256" i="3"/>
  <c r="I256" i="23" s="1"/>
  <c r="BP113" i="3"/>
  <c r="BP24" i="3"/>
  <c r="BP273" i="3"/>
  <c r="BP93" i="3"/>
  <c r="BP183" i="3"/>
  <c r="BP53" i="3"/>
  <c r="BP108" i="3"/>
  <c r="BP85" i="3"/>
  <c r="BP32" i="3"/>
  <c r="BP51" i="3"/>
  <c r="BP8" i="3"/>
  <c r="BP42" i="3"/>
  <c r="BP69" i="3"/>
  <c r="BP114" i="3"/>
  <c r="BP50" i="3"/>
  <c r="BP67" i="3"/>
  <c r="BP33" i="3"/>
  <c r="BP215" i="3"/>
  <c r="BP106" i="3"/>
  <c r="BP146" i="3"/>
  <c r="BP63" i="3"/>
  <c r="BP132" i="3"/>
  <c r="BP104" i="3"/>
  <c r="BP151" i="3"/>
  <c r="BP90" i="3"/>
  <c r="BP206" i="3"/>
  <c r="BP252" i="3"/>
  <c r="BP286" i="3"/>
  <c r="BP226" i="3"/>
  <c r="BP127" i="3"/>
  <c r="BP167" i="3"/>
  <c r="BP18" i="3"/>
  <c r="BP160" i="3"/>
  <c r="BP98" i="3"/>
  <c r="BP130" i="3"/>
  <c r="BO199" i="3"/>
  <c r="BO65" i="3"/>
  <c r="BO77" i="3"/>
  <c r="BO210" i="3"/>
  <c r="BO161" i="3"/>
  <c r="BO220" i="3"/>
  <c r="BO256" i="3"/>
  <c r="BO180" i="3"/>
  <c r="BO290" i="3"/>
  <c r="BO262" i="3"/>
  <c r="BO97" i="3"/>
  <c r="BO279" i="3"/>
  <c r="BO71" i="3"/>
  <c r="BO47" i="3"/>
  <c r="BO163" i="3"/>
  <c r="BO43" i="3"/>
  <c r="BO284" i="3"/>
  <c r="BO229" i="3"/>
  <c r="BO110" i="3"/>
  <c r="BO253" i="3"/>
  <c r="BO46" i="3"/>
  <c r="BO128" i="3"/>
  <c r="BO242" i="3"/>
  <c r="BO73" i="3"/>
  <c r="BO35" i="3"/>
  <c r="BO142" i="3"/>
  <c r="BO282" i="3"/>
  <c r="BO150" i="3"/>
  <c r="BO200" i="3"/>
  <c r="BO72" i="3"/>
  <c r="Q283" i="21"/>
  <c r="Q127" i="21"/>
  <c r="Q241" i="21"/>
  <c r="Q34" i="21"/>
  <c r="Q149" i="21"/>
  <c r="Q199" i="21"/>
  <c r="Q71" i="21"/>
  <c r="Q289" i="21"/>
  <c r="Q70" i="21"/>
  <c r="Q252" i="21"/>
  <c r="Q42" i="21"/>
  <c r="Q162" i="21"/>
  <c r="BE290" i="3"/>
  <c r="BJ290" i="3" s="1"/>
  <c r="BE46" i="3"/>
  <c r="BJ46" i="3" s="1"/>
  <c r="BE73" i="3"/>
  <c r="BJ73" i="3" s="1"/>
  <c r="BE163" i="3"/>
  <c r="BJ163" i="3" s="1"/>
  <c r="BE282" i="3"/>
  <c r="BJ282" i="3" s="1"/>
  <c r="BE43" i="3"/>
  <c r="BJ43" i="3" s="1"/>
  <c r="BE284" i="3"/>
  <c r="BJ284" i="3" s="1"/>
  <c r="BE65" i="3"/>
  <c r="BJ65" i="3" s="1"/>
  <c r="BE229" i="3"/>
  <c r="BJ229" i="3" s="1"/>
  <c r="BJ77" i="3"/>
  <c r="Q261" i="21"/>
  <c r="Q109" i="21"/>
  <c r="Q96" i="21"/>
  <c r="BJ161" i="3"/>
  <c r="CN20" i="3"/>
  <c r="G4" i="18"/>
  <c r="AY91" i="3" l="1"/>
  <c r="AY231" i="3"/>
  <c r="AY116" i="3"/>
  <c r="AY82" i="3"/>
  <c r="K230" i="23"/>
  <c r="L230" i="23" s="1"/>
  <c r="CS230" i="3" s="1"/>
  <c r="AY41" i="3"/>
  <c r="N42" i="23"/>
  <c r="O42" i="23" s="1"/>
  <c r="CT42" i="3" s="1"/>
  <c r="K238" i="23"/>
  <c r="L238" i="23" s="1"/>
  <c r="CS238" i="3" s="1"/>
  <c r="K106" i="23"/>
  <c r="L106" i="23" s="1"/>
  <c r="CS106" i="3" s="1"/>
  <c r="K168" i="23"/>
  <c r="L168" i="23" s="1"/>
  <c r="CS168" i="3" s="1"/>
  <c r="K217" i="23"/>
  <c r="L217" i="23" s="1"/>
  <c r="CS217" i="3" s="1"/>
  <c r="K289" i="23"/>
  <c r="L289" i="23" s="1"/>
  <c r="CS289" i="3" s="1"/>
  <c r="K178" i="23"/>
  <c r="L178" i="23" s="1"/>
  <c r="CS178" i="3" s="1"/>
  <c r="K270" i="23"/>
  <c r="L270" i="23" s="1"/>
  <c r="CS270" i="3" s="1"/>
  <c r="K115" i="23"/>
  <c r="L115" i="23" s="1"/>
  <c r="CS115" i="3" s="1"/>
  <c r="K170" i="23"/>
  <c r="L170" i="23" s="1"/>
  <c r="CS170" i="3" s="1"/>
  <c r="K164" i="23"/>
  <c r="L164" i="23" s="1"/>
  <c r="CS164" i="3" s="1"/>
  <c r="K202" i="23"/>
  <c r="L202" i="23" s="1"/>
  <c r="CS202" i="3" s="1"/>
  <c r="K232" i="23"/>
  <c r="L232" i="23" s="1"/>
  <c r="CS232" i="3" s="1"/>
  <c r="K181" i="23"/>
  <c r="L181" i="23" s="1"/>
  <c r="CS181" i="3" s="1"/>
  <c r="K107" i="23"/>
  <c r="L107" i="23" s="1"/>
  <c r="CS107" i="3" s="1"/>
  <c r="K34" i="23"/>
  <c r="L34" i="23" s="1"/>
  <c r="CS34" i="3" s="1"/>
  <c r="K112" i="23"/>
  <c r="L112" i="23" s="1"/>
  <c r="CS112" i="3" s="1"/>
  <c r="K208" i="23"/>
  <c r="L208" i="23" s="1"/>
  <c r="CS208" i="3" s="1"/>
  <c r="K258" i="23"/>
  <c r="L258" i="23" s="1"/>
  <c r="CS258" i="3" s="1"/>
  <c r="K231" i="23"/>
  <c r="L231" i="23" s="1"/>
  <c r="CS231" i="3" s="1"/>
  <c r="K151" i="23"/>
  <c r="L151" i="23" s="1"/>
  <c r="CS151" i="3" s="1"/>
  <c r="N151" i="23"/>
  <c r="O151" i="23" s="1"/>
  <c r="CT151" i="3" s="1"/>
  <c r="K104" i="23"/>
  <c r="L104" i="23" s="1"/>
  <c r="CS104" i="3" s="1"/>
  <c r="N104" i="23"/>
  <c r="O104" i="23" s="1"/>
  <c r="CT104" i="3" s="1"/>
  <c r="K63" i="23"/>
  <c r="L63" i="23" s="1"/>
  <c r="CS63" i="3" s="1"/>
  <c r="N63" i="23"/>
  <c r="O63" i="23" s="1"/>
  <c r="CT63" i="3" s="1"/>
  <c r="H94" i="18"/>
  <c r="N43" i="23"/>
  <c r="O43" i="23" s="1"/>
  <c r="CT43" i="3" s="1"/>
  <c r="K225" i="23"/>
  <c r="L225" i="23" s="1"/>
  <c r="CS225" i="3" s="1"/>
  <c r="Q77" i="21"/>
  <c r="AX77" i="11"/>
  <c r="AY77" i="11" s="1"/>
  <c r="K261" i="23"/>
  <c r="L261" i="23" s="1"/>
  <c r="CS261" i="3" s="1"/>
  <c r="K227" i="23"/>
  <c r="L227" i="23" s="1"/>
  <c r="CS227" i="3" s="1"/>
  <c r="K267" i="23"/>
  <c r="L267" i="23" s="1"/>
  <c r="CS267" i="3" s="1"/>
  <c r="I161" i="23"/>
  <c r="I128" i="23"/>
  <c r="I163" i="23"/>
  <c r="I220" i="23"/>
  <c r="K220" i="23" s="1"/>
  <c r="L220" i="23" s="1"/>
  <c r="CS220" i="3" s="1"/>
  <c r="N229" i="23"/>
  <c r="O229" i="23" s="1"/>
  <c r="CT229" i="3" s="1"/>
  <c r="K229" i="23"/>
  <c r="L229" i="23" s="1"/>
  <c r="CS229" i="3" s="1"/>
  <c r="N180" i="23"/>
  <c r="O180" i="23" s="1"/>
  <c r="CT180" i="3" s="1"/>
  <c r="K180" i="23"/>
  <c r="L180" i="23" s="1"/>
  <c r="CS180" i="3" s="1"/>
  <c r="N78" i="23"/>
  <c r="O78" i="23" s="1"/>
  <c r="CT78" i="3" s="1"/>
  <c r="K78" i="23"/>
  <c r="L78" i="23" s="1"/>
  <c r="CS78" i="3" s="1"/>
  <c r="N282" i="23"/>
  <c r="O282" i="23" s="1"/>
  <c r="CT282" i="3" s="1"/>
  <c r="K282" i="23"/>
  <c r="L282" i="23" s="1"/>
  <c r="CS282" i="3" s="1"/>
  <c r="N71" i="23"/>
  <c r="O71" i="23" s="1"/>
  <c r="CT71" i="3" s="1"/>
  <c r="K71" i="23"/>
  <c r="L71" i="23" s="1"/>
  <c r="CS71" i="3" s="1"/>
  <c r="N142" i="23"/>
  <c r="O142" i="23" s="1"/>
  <c r="CT142" i="3" s="1"/>
  <c r="K142" i="23"/>
  <c r="L142" i="23" s="1"/>
  <c r="CS142" i="3" s="1"/>
  <c r="N73" i="23"/>
  <c r="O73" i="23" s="1"/>
  <c r="CT73" i="3" s="1"/>
  <c r="K73" i="23"/>
  <c r="L73" i="23" s="1"/>
  <c r="CS73" i="3" s="1"/>
  <c r="N72" i="23"/>
  <c r="O72" i="23" s="1"/>
  <c r="CT72" i="3" s="1"/>
  <c r="K72" i="23"/>
  <c r="L72" i="23" s="1"/>
  <c r="CS72" i="3" s="1"/>
  <c r="N200" i="23"/>
  <c r="O200" i="23" s="1"/>
  <c r="CT200" i="3" s="1"/>
  <c r="K200" i="23"/>
  <c r="L200" i="23" s="1"/>
  <c r="CS200" i="3" s="1"/>
  <c r="N110" i="23"/>
  <c r="O110" i="23" s="1"/>
  <c r="CT110" i="3" s="1"/>
  <c r="K110" i="23"/>
  <c r="L110" i="23" s="1"/>
  <c r="CS110" i="3" s="1"/>
  <c r="N242" i="23"/>
  <c r="O242" i="23" s="1"/>
  <c r="CT242" i="3" s="1"/>
  <c r="K242" i="23"/>
  <c r="L242" i="23" s="1"/>
  <c r="CS242" i="3" s="1"/>
  <c r="N35" i="23"/>
  <c r="O35" i="23" s="1"/>
  <c r="CT35" i="3" s="1"/>
  <c r="K35" i="23"/>
  <c r="L35" i="23" s="1"/>
  <c r="CS35" i="3" s="1"/>
  <c r="N279" i="23"/>
  <c r="O279" i="23" s="1"/>
  <c r="CT279" i="3" s="1"/>
  <c r="K279" i="23"/>
  <c r="L279" i="23" s="1"/>
  <c r="CS279" i="3" s="1"/>
  <c r="N150" i="23"/>
  <c r="O150" i="23" s="1"/>
  <c r="CT150" i="3" s="1"/>
  <c r="K150" i="23"/>
  <c r="L150" i="23" s="1"/>
  <c r="CS150" i="3" s="1"/>
  <c r="N256" i="23"/>
  <c r="O256" i="23" s="1"/>
  <c r="CT256" i="3" s="1"/>
  <c r="K256" i="23"/>
  <c r="L256" i="23" s="1"/>
  <c r="CS256" i="3" s="1"/>
  <c r="N253" i="23"/>
  <c r="O253" i="23" s="1"/>
  <c r="CT253" i="3" s="1"/>
  <c r="K253" i="23"/>
  <c r="L253" i="23" s="1"/>
  <c r="CS253" i="3" s="1"/>
  <c r="N210" i="23"/>
  <c r="O210" i="23" s="1"/>
  <c r="CT210" i="3" s="1"/>
  <c r="K210" i="23"/>
  <c r="L210" i="23" s="1"/>
  <c r="CS210" i="3" s="1"/>
  <c r="N65" i="23"/>
  <c r="O65" i="23" s="1"/>
  <c r="CT65" i="3" s="1"/>
  <c r="K65" i="23"/>
  <c r="L65" i="23" s="1"/>
  <c r="CS65" i="3" s="1"/>
  <c r="N97" i="23"/>
  <c r="O97" i="23" s="1"/>
  <c r="CT97" i="3" s="1"/>
  <c r="K97" i="23"/>
  <c r="L97" i="23" s="1"/>
  <c r="CS97" i="3" s="1"/>
  <c r="N47" i="23"/>
  <c r="O47" i="23" s="1"/>
  <c r="CT47" i="3" s="1"/>
  <c r="K47" i="23"/>
  <c r="L47" i="23" s="1"/>
  <c r="CS47" i="3" s="1"/>
  <c r="N284" i="23"/>
  <c r="O284" i="23" s="1"/>
  <c r="CT284" i="3" s="1"/>
  <c r="K284" i="23"/>
  <c r="L284" i="23" s="1"/>
  <c r="CS284" i="3" s="1"/>
  <c r="N199" i="23"/>
  <c r="O199" i="23" s="1"/>
  <c r="CT199" i="3" s="1"/>
  <c r="K199" i="23"/>
  <c r="L199" i="23" s="1"/>
  <c r="CS199" i="3" s="1"/>
  <c r="N290" i="23"/>
  <c r="O290" i="23" s="1"/>
  <c r="CT290" i="3" s="1"/>
  <c r="K290" i="23"/>
  <c r="L290" i="23" s="1"/>
  <c r="CS290" i="3" s="1"/>
  <c r="N77" i="23"/>
  <c r="O77" i="23" s="1"/>
  <c r="CT77" i="3" s="1"/>
  <c r="K77" i="23"/>
  <c r="L77" i="23" s="1"/>
  <c r="CS77" i="3" s="1"/>
  <c r="N52" i="23"/>
  <c r="O52" i="23" s="1"/>
  <c r="CT52" i="3" s="1"/>
  <c r="K52" i="23"/>
  <c r="L52" i="23" s="1"/>
  <c r="CS52" i="3" s="1"/>
  <c r="N262" i="23"/>
  <c r="O262" i="23" s="1"/>
  <c r="CT262" i="3" s="1"/>
  <c r="K262" i="23"/>
  <c r="L262" i="23" s="1"/>
  <c r="CS262" i="3" s="1"/>
  <c r="N46" i="23"/>
  <c r="O46" i="23" s="1"/>
  <c r="CT46" i="3" s="1"/>
  <c r="K46" i="23"/>
  <c r="L46" i="23" s="1"/>
  <c r="CS46" i="3" s="1"/>
  <c r="BP279" i="3"/>
  <c r="BP282" i="3"/>
  <c r="BP110" i="3"/>
  <c r="BP142" i="3"/>
  <c r="BP262" i="3"/>
  <c r="BP65" i="3"/>
  <c r="BP284" i="3"/>
  <c r="BP290" i="3"/>
  <c r="BP199" i="3"/>
  <c r="BP73" i="3"/>
  <c r="BP43" i="3"/>
  <c r="L43" i="23"/>
  <c r="CS43" i="3" s="1"/>
  <c r="BP180" i="3"/>
  <c r="BP242" i="3"/>
  <c r="BP163" i="3"/>
  <c r="BP256" i="3"/>
  <c r="BP128" i="3"/>
  <c r="O220" i="23"/>
  <c r="CT220" i="3" s="1"/>
  <c r="BP150" i="3"/>
  <c r="BP35" i="3"/>
  <c r="BP46" i="3"/>
  <c r="BP71" i="3"/>
  <c r="BP161" i="3"/>
  <c r="BP78" i="3"/>
  <c r="BP210" i="3"/>
  <c r="BP77" i="3"/>
  <c r="BP97" i="3"/>
  <c r="BP229" i="3"/>
  <c r="BP253" i="3"/>
  <c r="BP72" i="3"/>
  <c r="BP200" i="3"/>
  <c r="BP47" i="3"/>
  <c r="BP220" i="3"/>
  <c r="BI4" i="3"/>
  <c r="BG4" i="3"/>
  <c r="AN20" i="3"/>
  <c r="AY108" i="3" l="1"/>
  <c r="AY239" i="3"/>
  <c r="AY119" i="3"/>
  <c r="AY85" i="3"/>
  <c r="AY105" i="3"/>
  <c r="AY126" i="3"/>
  <c r="K161" i="23"/>
  <c r="L161" i="23" s="1"/>
  <c r="CS161" i="3" s="1"/>
  <c r="N161" i="23"/>
  <c r="O161" i="23" s="1"/>
  <c r="CT161" i="3" s="1"/>
  <c r="K163" i="23"/>
  <c r="L163" i="23" s="1"/>
  <c r="CS163" i="3" s="1"/>
  <c r="N163" i="23"/>
  <c r="O163" i="23" s="1"/>
  <c r="CT163" i="3" s="1"/>
  <c r="K128" i="23"/>
  <c r="L128" i="23" s="1"/>
  <c r="CS128" i="3" s="1"/>
  <c r="N128" i="23"/>
  <c r="O128" i="23" s="1"/>
  <c r="CT128" i="3" s="1"/>
  <c r="AS20" i="3"/>
  <c r="AX19" i="11" s="1"/>
  <c r="BB20" i="3"/>
  <c r="BK20" i="3"/>
  <c r="BC20" i="3"/>
  <c r="BE20" i="3" s="1"/>
  <c r="AY113" i="3" l="1"/>
  <c r="AY261" i="3"/>
  <c r="AY128" i="3"/>
  <c r="AY86" i="3"/>
  <c r="H86" i="18" s="1"/>
  <c r="AY125" i="3"/>
  <c r="H137" i="18"/>
  <c r="CR20" i="3"/>
  <c r="I20" i="23" s="1"/>
  <c r="AY19" i="11"/>
  <c r="O3" i="21"/>
  <c r="Q19" i="21"/>
  <c r="BM20" i="3"/>
  <c r="BO20" i="3" s="1"/>
  <c r="AY117" i="3" l="1"/>
  <c r="AY266" i="3"/>
  <c r="AY133" i="3"/>
  <c r="AY88" i="3"/>
  <c r="AY286" i="3"/>
  <c r="AY103" i="3"/>
  <c r="N20" i="23"/>
  <c r="O20" i="23" s="1"/>
  <c r="K20" i="23"/>
  <c r="L20" i="23" s="1"/>
  <c r="BP20" i="3"/>
  <c r="BJ20" i="3"/>
  <c r="AY213" i="3" l="1"/>
  <c r="AY268" i="3"/>
  <c r="AY157" i="3"/>
  <c r="AY100" i="3"/>
  <c r="AY176" i="3"/>
  <c r="CT20" i="3"/>
  <c r="CS20" i="3"/>
  <c r="AY43" i="3" l="1"/>
  <c r="AY287" i="3"/>
  <c r="AY198" i="3"/>
  <c r="AY139" i="3"/>
  <c r="H139" i="18" s="1"/>
  <c r="AY140" i="3"/>
  <c r="AY179" i="3"/>
  <c r="AD4" i="3"/>
  <c r="CO4" i="3" s="1"/>
  <c r="CO5" i="3"/>
  <c r="AY131" i="3" l="1"/>
  <c r="AY130" i="3"/>
  <c r="AY251" i="3"/>
  <c r="AY145" i="3"/>
  <c r="AY181" i="3"/>
  <c r="CP5" i="3"/>
  <c r="CP4" i="3" s="1"/>
  <c r="CQ5" i="3"/>
  <c r="AY189" i="3" l="1"/>
  <c r="AY166" i="3"/>
  <c r="AY289" i="3"/>
  <c r="AY272" i="3"/>
  <c r="AY158" i="3"/>
  <c r="AY185" i="3"/>
  <c r="H97" i="18"/>
  <c r="AG5" i="3"/>
  <c r="CQ4" i="3"/>
  <c r="AY250" i="3" l="1"/>
  <c r="AY206" i="3"/>
  <c r="AY164" i="3"/>
  <c r="AY234" i="3"/>
  <c r="H187" i="18"/>
  <c r="AI5" i="3"/>
  <c r="AG4" i="3"/>
  <c r="AY252" i="3" l="1"/>
  <c r="H252" i="18" s="1"/>
  <c r="AY248" i="3"/>
  <c r="AY173" i="3"/>
  <c r="AY235" i="3"/>
  <c r="G5" i="23"/>
  <c r="AR5" i="3"/>
  <c r="AI4" i="3"/>
  <c r="AY17" i="3" l="1"/>
  <c r="AY259" i="3"/>
  <c r="AY201" i="3"/>
  <c r="AY9" i="3"/>
  <c r="H260" i="18"/>
  <c r="CM5" i="3"/>
  <c r="AR4" i="3"/>
  <c r="H5" i="23"/>
  <c r="G4" i="23"/>
  <c r="AY45" i="3" l="1"/>
  <c r="AY160" i="3"/>
  <c r="AY27" i="3"/>
  <c r="AY204" i="3"/>
  <c r="AY14" i="3"/>
  <c r="CU5" i="3"/>
  <c r="CU4" i="3" s="1"/>
  <c r="H4" i="23"/>
  <c r="CN5" i="3"/>
  <c r="CM4" i="3"/>
  <c r="AY76" i="3" l="1"/>
  <c r="AY207" i="3"/>
  <c r="AY19" i="3"/>
  <c r="AN5" i="3"/>
  <c r="CN4" i="3"/>
  <c r="AY118" i="3" l="1"/>
  <c r="AY208" i="3"/>
  <c r="AY34" i="3"/>
  <c r="H275" i="18"/>
  <c r="AN4" i="3"/>
  <c r="BB5" i="3"/>
  <c r="BB4" i="3" s="1"/>
  <c r="BK5" i="3"/>
  <c r="AS5" i="3"/>
  <c r="BC5" i="3"/>
  <c r="AY183" i="3" l="1"/>
  <c r="AY215" i="3"/>
  <c r="AY40" i="3"/>
  <c r="H9" i="18"/>
  <c r="BE5" i="3"/>
  <c r="BC4" i="3"/>
  <c r="AX4" i="11"/>
  <c r="AY4" i="11" s="1"/>
  <c r="Q4" i="21"/>
  <c r="CR5" i="3"/>
  <c r="AS4" i="3"/>
  <c r="BM5" i="3"/>
  <c r="BK4" i="3"/>
  <c r="AY192" i="3" l="1"/>
  <c r="AY221" i="3"/>
  <c r="H221" i="18" s="1"/>
  <c r="AY61" i="3"/>
  <c r="H61" i="18" s="1"/>
  <c r="H32" i="18"/>
  <c r="I5" i="23"/>
  <c r="CR4" i="3"/>
  <c r="BO5" i="3"/>
  <c r="BM4" i="3"/>
  <c r="S4" i="21"/>
  <c r="Q3" i="21"/>
  <c r="BJ5" i="3"/>
  <c r="BJ4" i="3" s="1"/>
  <c r="BE4" i="3"/>
  <c r="AY255" i="3" l="1"/>
  <c r="H255" i="18" s="1"/>
  <c r="AY226" i="3"/>
  <c r="AY71" i="3"/>
  <c r="BP5" i="3"/>
  <c r="BP4" i="3" s="1"/>
  <c r="BO4" i="3"/>
  <c r="N5" i="23"/>
  <c r="O5" i="23" s="1"/>
  <c r="K5" i="23"/>
  <c r="L5" i="23" s="1"/>
  <c r="I4" i="23"/>
  <c r="AY271" i="3" l="1"/>
  <c r="AY232" i="3"/>
  <c r="AY75" i="3"/>
  <c r="H116" i="18"/>
  <c r="N4" i="23"/>
  <c r="K4" i="23"/>
  <c r="CS5" i="3"/>
  <c r="CS4" i="3" s="1"/>
  <c r="L4" i="23"/>
  <c r="CT5" i="3"/>
  <c r="CT4" i="3" s="1"/>
  <c r="O4" i="23"/>
  <c r="AY36" i="3" l="1"/>
  <c r="H36" i="18" s="1"/>
  <c r="AY233" i="3"/>
  <c r="AY84" i="3"/>
  <c r="H118" i="18"/>
  <c r="AY55" i="3" l="1"/>
  <c r="AY264" i="3"/>
  <c r="AY120" i="3"/>
  <c r="H239" i="18"/>
  <c r="AY56" i="3" l="1"/>
  <c r="H56" i="18" s="1"/>
  <c r="AY265" i="3"/>
  <c r="H265" i="18" s="1"/>
  <c r="AY135" i="3"/>
  <c r="H135" i="18" s="1"/>
  <c r="H240" i="18"/>
  <c r="AY98" i="3" l="1"/>
  <c r="H251" i="18"/>
  <c r="AY132" i="3" l="1"/>
  <c r="AY283" i="3"/>
  <c r="H283" i="18" s="1"/>
  <c r="AY279" i="3"/>
  <c r="AY144" i="3"/>
  <c r="AY141" i="3" l="1"/>
  <c r="AY152" i="3"/>
  <c r="AY161" i="3"/>
  <c r="AY142" i="3" l="1"/>
  <c r="AY167" i="3"/>
  <c r="AY143" i="3" l="1"/>
  <c r="AY172" i="3" l="1"/>
  <c r="AY218" i="3"/>
  <c r="H108" i="18"/>
  <c r="AY202" i="3" l="1"/>
  <c r="AY222" i="3"/>
  <c r="H222" i="18" s="1"/>
  <c r="H142" i="18"/>
  <c r="AY205" i="3" l="1"/>
  <c r="AY278" i="3"/>
  <c r="H278" i="18" s="1"/>
  <c r="AY212" i="3" l="1"/>
  <c r="H232" i="18"/>
  <c r="AY223" i="3" l="1"/>
  <c r="AY285" i="3"/>
  <c r="AY245" i="3" l="1"/>
  <c r="H245" i="18" s="1"/>
  <c r="H248" i="18"/>
  <c r="AY246" i="3" l="1"/>
  <c r="AY256" i="3" l="1"/>
  <c r="AY262" i="3" l="1"/>
  <c r="AY277" i="3" l="1"/>
  <c r="H17" i="18"/>
  <c r="AY25" i="3" l="1"/>
  <c r="H19" i="18"/>
  <c r="AY79" i="3" l="1"/>
  <c r="AY10" i="3" l="1"/>
  <c r="H28" i="18"/>
  <c r="AY16" i="3" l="1"/>
  <c r="H16" i="18" s="1"/>
  <c r="H34" i="18"/>
  <c r="AY24" i="3" l="1"/>
  <c r="H24" i="18" s="1"/>
  <c r="H42" i="18"/>
  <c r="AY29" i="3" l="1"/>
  <c r="AY30" i="3" l="1"/>
  <c r="H52" i="18"/>
  <c r="AY39" i="3" l="1"/>
  <c r="H55" i="18"/>
  <c r="AY44" i="3" l="1"/>
  <c r="AY48" i="3" l="1"/>
  <c r="H48" i="18" s="1"/>
  <c r="AY57" i="3" l="1"/>
  <c r="AY83" i="3" l="1"/>
  <c r="AY92" i="3" l="1"/>
  <c r="AY96" i="3" l="1"/>
  <c r="H68" i="18"/>
  <c r="AY109" i="3" l="1"/>
  <c r="H109" i="18" s="1"/>
  <c r="AY111" i="3" l="1"/>
  <c r="AY110" i="3"/>
  <c r="H79" i="18"/>
  <c r="AY121" i="3" l="1"/>
  <c r="AY151" i="3" l="1"/>
  <c r="AY20" i="3"/>
  <c r="H20" i="18" s="1"/>
  <c r="H105" i="18"/>
  <c r="AY159" i="3" l="1"/>
  <c r="AY46" i="3"/>
  <c r="H106" i="18"/>
  <c r="AY225" i="3" l="1"/>
  <c r="AY58" i="3"/>
  <c r="H58" i="18" s="1"/>
  <c r="H112" i="18"/>
  <c r="AY237" i="3" l="1"/>
  <c r="AY60" i="3"/>
  <c r="H60" i="18" s="1"/>
  <c r="H144" i="18"/>
  <c r="AY273" i="3" l="1"/>
  <c r="AY69" i="3"/>
  <c r="AY6" i="3" l="1"/>
  <c r="H6" i="18" s="1"/>
  <c r="AY77" i="3"/>
  <c r="H152" i="18"/>
  <c r="AY7" i="3" l="1"/>
  <c r="AY115" i="3"/>
  <c r="H160" i="18"/>
  <c r="AY8" i="3" l="1"/>
  <c r="AY122" i="3"/>
  <c r="H161" i="18"/>
  <c r="AY12" i="3" l="1"/>
  <c r="AY149" i="3"/>
  <c r="AY18" i="3" l="1"/>
  <c r="AY153" i="3"/>
  <c r="H166" i="18"/>
  <c r="AY38" i="3" l="1"/>
  <c r="AY178" i="3"/>
  <c r="AY50" i="3" l="1"/>
  <c r="AY229" i="3"/>
  <c r="H176" i="18"/>
  <c r="AY59" i="3" l="1"/>
  <c r="H59" i="18" s="1"/>
  <c r="AY236" i="3"/>
  <c r="AY62" i="3" l="1"/>
  <c r="AY242" i="3"/>
  <c r="AY64" i="3" l="1"/>
  <c r="H64" i="18" s="1"/>
  <c r="AY269" i="3"/>
  <c r="H198" i="18"/>
  <c r="AY87" i="3" l="1"/>
  <c r="H87" i="18" s="1"/>
  <c r="AY290" i="3"/>
  <c r="H290" i="18" s="1"/>
  <c r="AY280" i="3"/>
  <c r="H212" i="18"/>
  <c r="AY102" i="3" l="1"/>
  <c r="H215" i="18"/>
  <c r="AY114" i="3" l="1"/>
  <c r="H234" i="18"/>
  <c r="AY129" i="3" l="1"/>
  <c r="H243" i="18"/>
  <c r="AY175" i="3" l="1"/>
  <c r="H246" i="18"/>
  <c r="AY200" i="3" l="1"/>
  <c r="H250" i="18"/>
  <c r="AY211" i="3" l="1"/>
  <c r="H259" i="18"/>
  <c r="AY216" i="3" l="1"/>
  <c r="H264" i="18"/>
  <c r="AY219" i="3" l="1"/>
  <c r="AY220" i="3" l="1"/>
  <c r="H8" i="18"/>
  <c r="AY224" i="3" l="1"/>
  <c r="AY227" i="3" l="1"/>
  <c r="H66" i="18"/>
  <c r="AY247" i="3" l="1"/>
  <c r="H71" i="18"/>
  <c r="AY254" i="3" l="1"/>
  <c r="H73" i="18"/>
  <c r="AY263" i="3" l="1"/>
  <c r="H263" i="18" s="1"/>
  <c r="H75" i="18"/>
  <c r="AY267" i="3" l="1"/>
  <c r="H77" i="18"/>
  <c r="AY274" i="3" l="1"/>
  <c r="H88" i="18"/>
  <c r="AY281" i="3" l="1"/>
  <c r="H281" i="18" s="1"/>
  <c r="AY288" i="3" l="1"/>
  <c r="H102" i="18"/>
  <c r="AY11" i="3" l="1"/>
  <c r="H129" i="18"/>
  <c r="AY33" i="3" l="1"/>
  <c r="H130" i="18"/>
  <c r="AY63" i="3" l="1"/>
  <c r="H63" i="18" s="1"/>
  <c r="H131" i="18"/>
  <c r="AY90" i="3" l="1"/>
  <c r="H141" i="18"/>
  <c r="AY95" i="3" l="1"/>
  <c r="H95" i="18" s="1"/>
  <c r="H143" i="18"/>
  <c r="AY101" i="3" l="1"/>
  <c r="AY138" i="3" l="1"/>
  <c r="AY146" i="3" l="1"/>
  <c r="H158" i="18"/>
  <c r="AY147" i="3" l="1"/>
  <c r="AY148" i="3" l="1"/>
  <c r="H148" i="18" s="1"/>
  <c r="H172" i="18"/>
  <c r="AY155" i="3" l="1"/>
  <c r="AY156" i="3" l="1"/>
  <c r="H156" i="18" s="1"/>
  <c r="H192" i="18"/>
  <c r="AY163" i="3" l="1"/>
  <c r="H163" i="18" s="1"/>
  <c r="H206" i="18"/>
  <c r="AY171" i="3" l="1"/>
  <c r="H211" i="18"/>
  <c r="AY177" i="3" l="1"/>
  <c r="H177" i="18" s="1"/>
  <c r="H218" i="18"/>
  <c r="AY182" i="3" l="1"/>
  <c r="H182" i="18" s="1"/>
  <c r="H229" i="18"/>
  <c r="AY184" i="3" l="1"/>
  <c r="H235" i="18"/>
  <c r="AY186" i="3" l="1"/>
  <c r="H247" i="18"/>
  <c r="AY193" i="3" l="1"/>
  <c r="H193" i="18" s="1"/>
  <c r="H261" i="18"/>
  <c r="AY195" i="3" l="1"/>
  <c r="AY199" i="3" l="1"/>
  <c r="AY214" i="3" l="1"/>
  <c r="H286" i="18"/>
  <c r="AY217" i="3" l="1"/>
  <c r="H288" i="18"/>
  <c r="AY230" i="3" l="1"/>
  <c r="H51" i="18"/>
  <c r="AY238" i="3" l="1"/>
  <c r="H91" i="18"/>
  <c r="AY253" i="3" l="1"/>
  <c r="H99" i="18"/>
  <c r="AY23" i="3" l="1"/>
  <c r="H23" i="18" s="1"/>
  <c r="H103" i="18"/>
  <c r="AY31" i="3" l="1"/>
  <c r="H126" i="18"/>
  <c r="H134" i="18"/>
  <c r="AY35" i="3" l="1"/>
  <c r="AY70" i="3" l="1"/>
  <c r="H70" i="18" s="1"/>
  <c r="H140" i="18"/>
  <c r="AY78" i="3" l="1"/>
  <c r="H184" i="18"/>
  <c r="AY93" i="3" l="1"/>
  <c r="H202" i="18"/>
  <c r="AY107" i="3" l="1"/>
  <c r="H204" i="18"/>
  <c r="AY136" i="3" l="1"/>
  <c r="H136" i="18" s="1"/>
  <c r="H209" i="18"/>
  <c r="AY154" i="3" l="1"/>
  <c r="H154" i="18" s="1"/>
  <c r="H231" i="18"/>
  <c r="AY162" i="3" l="1"/>
  <c r="H256" i="18"/>
  <c r="AY165" i="3" l="1"/>
  <c r="H21" i="18"/>
  <c r="H257" i="18"/>
  <c r="AY169" i="3" l="1"/>
  <c r="H169" i="18" s="1"/>
  <c r="H31" i="18"/>
  <c r="H272" i="18"/>
  <c r="H267" i="18"/>
  <c r="AY194" i="3" l="1"/>
  <c r="H194" i="18" s="1"/>
  <c r="H80" i="18"/>
  <c r="AY196" i="3" l="1"/>
  <c r="H114" i="18"/>
  <c r="AY197" i="3" l="1"/>
  <c r="H120" i="18"/>
  <c r="AY203" i="3" l="1"/>
  <c r="H203" i="18" s="1"/>
  <c r="H138" i="18"/>
  <c r="AY210" i="3" l="1"/>
  <c r="H150" i="18"/>
  <c r="AY244" i="3" l="1"/>
  <c r="H155" i="18"/>
  <c r="AY270" i="3" l="1"/>
  <c r="H270" i="18" s="1"/>
  <c r="H171" i="18"/>
  <c r="AY284" i="3" l="1"/>
  <c r="H174" i="18"/>
  <c r="AY74" i="3" l="1"/>
  <c r="H74" i="18" s="1"/>
  <c r="H213" i="18"/>
  <c r="AY89" i="3" l="1"/>
  <c r="H89" i="18" s="1"/>
  <c r="H217" i="18"/>
  <c r="AY170" i="3" l="1"/>
  <c r="H170" i="18" s="1"/>
  <c r="H225" i="18"/>
  <c r="AY191" i="3" l="1"/>
  <c r="H269" i="18"/>
  <c r="AY168" i="3" l="1"/>
  <c r="H14" i="18"/>
  <c r="AY65" i="3" l="1"/>
  <c r="H30" i="18"/>
  <c r="AY180" i="3" l="1"/>
  <c r="H38" i="18"/>
  <c r="AY276" i="3" l="1"/>
  <c r="H49" i="18"/>
  <c r="AY188" i="3" l="1"/>
  <c r="H50" i="18"/>
  <c r="AY190" i="3" l="1"/>
  <c r="H57" i="18"/>
  <c r="AY282" i="3" l="1"/>
  <c r="H282" i="18" s="1"/>
  <c r="H69" i="18"/>
  <c r="AY47" i="3" l="1"/>
  <c r="H76" i="18"/>
  <c r="AY241" i="3" l="1"/>
  <c r="H90" i="18"/>
  <c r="AY249" i="3" l="1"/>
  <c r="H93" i="18"/>
  <c r="H96" i="18" l="1"/>
  <c r="H98" i="18" l="1"/>
  <c r="H119" i="18" l="1"/>
  <c r="H132" i="18" l="1"/>
  <c r="H208" i="18" l="1"/>
  <c r="H214" i="18" l="1"/>
  <c r="H266" i="18" l="1"/>
  <c r="H268" i="18" l="1"/>
  <c r="H287" i="18" l="1"/>
  <c r="H289" i="18" l="1"/>
  <c r="H236" i="18" l="1"/>
  <c r="H10" i="18" l="1"/>
  <c r="H12" i="18" l="1"/>
  <c r="H22" i="18" l="1"/>
  <c r="H53" i="18" l="1"/>
  <c r="H65" i="18" l="1"/>
  <c r="H92" i="18" l="1"/>
  <c r="H111" i="18" l="1"/>
  <c r="H122" i="18" l="1"/>
  <c r="H153" i="18" l="1"/>
  <c r="H162" i="18" l="1"/>
  <c r="H186" i="18" l="1"/>
  <c r="H188" i="18" l="1"/>
  <c r="H190" i="18" l="1"/>
  <c r="H191" i="18" l="1"/>
  <c r="H216" i="18" l="1"/>
  <c r="H228" i="18" l="1"/>
  <c r="H230" i="18" l="1"/>
  <c r="H233" i="18" l="1"/>
  <c r="H11" i="18" l="1"/>
  <c r="H27" i="18" l="1"/>
  <c r="H29" i="18" l="1"/>
  <c r="H39" i="18" l="1"/>
  <c r="H40" i="18" l="1"/>
  <c r="H72" i="18" l="1"/>
  <c r="H100" i="18" l="1"/>
  <c r="H104" i="18" l="1"/>
  <c r="H107" i="18" l="1"/>
  <c r="H113" i="18" l="1"/>
  <c r="H115" i="18" l="1"/>
  <c r="H124" i="18" l="1"/>
  <c r="H146" i="18" l="1"/>
  <c r="H151" i="18" l="1"/>
  <c r="H167" i="18" l="1"/>
  <c r="H173" i="18" l="1"/>
  <c r="H179" i="18" l="1"/>
  <c r="H181" i="18" l="1"/>
  <c r="H183" i="18" l="1"/>
  <c r="H185" i="18" l="1"/>
  <c r="H189" i="18" l="1"/>
  <c r="H195" i="18" l="1"/>
  <c r="H199" i="18" l="1"/>
  <c r="H201" i="18" l="1"/>
  <c r="H205" i="18" l="1"/>
  <c r="H210" i="18" l="1"/>
  <c r="H224" i="18" l="1"/>
  <c r="H227" i="18" l="1"/>
  <c r="H244" i="18" l="1"/>
  <c r="H274" i="18" l="1"/>
  <c r="H284" i="18" l="1"/>
  <c r="H62" i="18" l="1"/>
  <c r="H7" i="18" l="1"/>
  <c r="H18" i="18" l="1"/>
  <c r="H33" i="18" l="1"/>
  <c r="H41" i="18" l="1"/>
  <c r="H82" i="18" l="1"/>
  <c r="H83" i="18" l="1"/>
  <c r="H110" i="18" l="1"/>
  <c r="H117" i="18" l="1"/>
  <c r="H125" i="18" l="1"/>
  <c r="H128" i="18" l="1"/>
  <c r="H147" i="18" l="1"/>
  <c r="H149" i="18" l="1"/>
  <c r="H157" i="18" l="1"/>
  <c r="H159" i="18" l="1"/>
  <c r="H165" i="18" l="1"/>
  <c r="H175" i="18" l="1"/>
  <c r="H200" i="18" l="1"/>
  <c r="H207" i="18" l="1"/>
  <c r="H220" i="18" l="1"/>
  <c r="H226" i="18" l="1"/>
  <c r="H238" i="18" l="1"/>
  <c r="H241" i="18" l="1"/>
  <c r="H271" i="18" l="1"/>
  <c r="H285" i="18" l="1"/>
  <c r="H26" i="18" l="1"/>
  <c r="H35" i="18" l="1"/>
  <c r="H37" i="18" l="1"/>
  <c r="H47" i="18" l="1"/>
  <c r="H54" i="18" l="1"/>
  <c r="H81" i="18" l="1"/>
  <c r="H84" i="18" l="1"/>
  <c r="H85" i="18" l="1"/>
  <c r="H101" i="18" l="1"/>
  <c r="H121" i="18" l="1"/>
  <c r="H168" i="18" l="1"/>
  <c r="H219" i="18" l="1"/>
  <c r="H237" i="18" l="1"/>
  <c r="H253" i="18" l="1"/>
  <c r="H262" i="18" l="1"/>
  <c r="H273" i="18" l="1"/>
  <c r="H276" i="18" l="1"/>
  <c r="H78" i="18" l="1"/>
  <c r="H145" i="18" l="1"/>
  <c r="H164" i="18" l="1"/>
  <c r="H196" i="18" l="1"/>
  <c r="H277" i="18" l="1"/>
  <c r="H43" i="18" l="1"/>
  <c r="H45" i="18" l="1"/>
  <c r="H46" i="18" l="1"/>
  <c r="H180" i="18" l="1"/>
  <c r="H223" i="18" l="1"/>
  <c r="H249" i="18" l="1"/>
  <c r="H254" i="18" l="1"/>
  <c r="H280" i="18" l="1"/>
  <c r="H25" i="18" l="1"/>
  <c r="H44" i="18" l="1"/>
  <c r="H133" i="18" l="1"/>
  <c r="H178" i="18" l="1"/>
  <c r="H258" i="18" l="1"/>
  <c r="H242" i="18" l="1"/>
  <c r="H197" i="18" l="1"/>
  <c r="H15" i="18" l="1"/>
  <c r="H279"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RoseMary Ireland</author>
    <author>tc={E9B90A70-0E9E-45F3-938D-280B0816AF90}</author>
    <author>tc={06E43D48-B038-4BB6-B8EB-A4A166924839}</author>
  </authors>
  <commentList>
    <comment ref="CK1" authorId="0" shapeId="0" xr:uid="{DA7D9FDF-9833-4A34-A96A-026E75E91656}">
      <text>
        <r>
          <rPr>
            <b/>
            <sz val="9"/>
            <color indexed="81"/>
            <rFont val="Tahoma"/>
            <family val="2"/>
          </rPr>
          <t>RoseMary Ireland:</t>
        </r>
        <r>
          <rPr>
            <sz val="9"/>
            <color indexed="81"/>
            <rFont val="Tahoma"/>
            <family val="2"/>
          </rPr>
          <t xml:space="preserve">
10/12/2023 Updated.
</t>
        </r>
      </text>
    </comment>
    <comment ref="D2" authorId="1" shapeId="0" xr:uid="{E9B90A70-0E9E-45F3-938D-280B0816AF90}">
      <text>
        <t>[Threaded comment]
Your version of Excel allows you to read this threaded comment; however, any edits to it will get removed if the file is opened in a newer version of Excel. Learn more: https://go.microsoft.com/fwlink/?linkid=870924
Comment:
    Updated 6-1-23</t>
      </text>
    </comment>
    <comment ref="F2" authorId="2" shapeId="0" xr:uid="{06E43D48-B038-4BB6-B8EB-A4A166924839}">
      <text>
        <t>[Threaded comment]
Your version of Excel allows you to read this threaded comment; however, any edits to it will get removed if the file is opened in a newer version of Excel. Learn more: https://go.microsoft.com/fwlink/?linkid=870924
Comment:
    Updated 6-1-23</t>
      </text>
    </comment>
    <comment ref="E3" authorId="0" shapeId="0" xr:uid="{B7591100-2C9A-46B0-95D5-03D18400F619}">
      <text>
        <r>
          <rPr>
            <b/>
            <sz val="9"/>
            <color indexed="81"/>
            <rFont val="Tahoma"/>
            <family val="2"/>
          </rPr>
          <t>RoseMary Ireland:</t>
        </r>
        <r>
          <rPr>
            <sz val="9"/>
            <color indexed="81"/>
            <rFont val="Tahoma"/>
            <family val="2"/>
          </rPr>
          <t xml:space="preserve">
10-20-21: Confirm on budget and S066.
File is located in T:/Legal Max/Tax Credit Scholarship - FTE Adjustments/2019-20 FTE Adjusted/2020-21 Tax Credit Scholarship - FINAL
</t>
        </r>
      </text>
    </comment>
    <comment ref="I3" authorId="0" shapeId="0" xr:uid="{9507665D-EBAA-4D4F-8421-6D89D0807296}">
      <text>
        <r>
          <rPr>
            <b/>
            <sz val="9"/>
            <color indexed="81"/>
            <rFont val="Tahoma"/>
            <family val="2"/>
          </rPr>
          <t>RoseMary Ireland:</t>
        </r>
        <r>
          <rPr>
            <sz val="9"/>
            <color indexed="81"/>
            <rFont val="Tahoma"/>
            <family val="2"/>
          </rPr>
          <t xml:space="preserve">
Based on statute, we are reducing the 2nd preceding year’s enrollment.  This information will not be known until June of the current school year.  Nicole Norwood will provide the information.  Refer to T:/Legal Max/Tax Credit Scholarship.</t>
        </r>
      </text>
    </comment>
    <comment ref="M3" authorId="0" shapeId="0" xr:uid="{853290B1-E19B-40A7-8C60-C365C230BDA1}">
      <text>
        <r>
          <rPr>
            <b/>
            <sz val="9"/>
            <color indexed="81"/>
            <rFont val="Tahoma"/>
            <family val="2"/>
          </rPr>
          <t>RoseMary Ireland:</t>
        </r>
        <r>
          <rPr>
            <sz val="9"/>
            <color indexed="81"/>
            <rFont val="Tahoma"/>
            <family val="2"/>
          </rPr>
          <t xml:space="preserve">
Based on statute, we are only reducing the 2nd preceding year’s enrollment.  This information will not be known until June of the current school year.  Nicole Norwood will provide the information.  Refer to T:/Legal Max/Tax Credit Scholarship.</t>
        </r>
      </text>
    </comment>
    <comment ref="AX170" authorId="0" shapeId="0" xr:uid="{DB576AB9-F552-4CDD-9691-B0602C88A9F7}">
      <text>
        <r>
          <rPr>
            <b/>
            <sz val="9"/>
            <color indexed="81"/>
            <rFont val="Tahoma"/>
            <family val="2"/>
          </rPr>
          <t>RoseMary Ireland:</t>
        </r>
        <r>
          <rPr>
            <sz val="9"/>
            <color indexed="81"/>
            <rFont val="Tahoma"/>
            <family val="2"/>
          </rPr>
          <t xml:space="preserve">
6/12/24: Daniel was calculating $1 more on Virtual Credits</t>
        </r>
      </text>
    </comment>
    <comment ref="AX269" authorId="0" shapeId="0" xr:uid="{A0FBA2E8-604C-429E-A5CF-7F225C9F1D80}">
      <text>
        <r>
          <rPr>
            <b/>
            <sz val="9"/>
            <color indexed="81"/>
            <rFont val="Tahoma"/>
            <family val="2"/>
          </rPr>
          <t>RoseMary Ireland:</t>
        </r>
        <r>
          <rPr>
            <sz val="9"/>
            <color indexed="81"/>
            <rFont val="Tahoma"/>
            <family val="2"/>
          </rPr>
          <t xml:space="preserve">
6/12/24: Daniel was calculating $1 more on Virtual Credits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Sara Barnes</author>
    <author>RoseMary Ireland</author>
    <author>kmercer</author>
  </authors>
  <commentList>
    <comment ref="E2" authorId="0" shapeId="0" xr:uid="{00000000-0006-0000-0800-000001000000}">
      <text>
        <r>
          <rPr>
            <b/>
            <sz val="9"/>
            <color indexed="81"/>
            <rFont val="Tahoma"/>
            <family val="2"/>
          </rPr>
          <t>Sara Barnes:</t>
        </r>
        <r>
          <rPr>
            <sz val="9"/>
            <color indexed="81"/>
            <rFont val="Tahoma"/>
            <family val="2"/>
          </rPr>
          <t xml:space="preserve">
Prior Year Budget Reduction due to overspending general fund is copied from CPA audit spreadsheet.</t>
        </r>
      </text>
    </comment>
    <comment ref="O5" authorId="1" shapeId="0" xr:uid="{2850A65A-99F2-423F-ADFF-DCFD92C87178}">
      <text>
        <r>
          <rPr>
            <b/>
            <sz val="9"/>
            <color indexed="81"/>
            <rFont val="Tahoma"/>
            <family val="2"/>
          </rPr>
          <t>RoseMary Ireland:</t>
        </r>
        <r>
          <rPr>
            <sz val="9"/>
            <color indexed="81"/>
            <rFont val="Tahoma"/>
            <family val="2"/>
          </rPr>
          <t xml:space="preserve">
6/7/2023: Updated
</t>
        </r>
      </text>
    </comment>
    <comment ref="O12" authorId="1" shapeId="0" xr:uid="{0D63D88E-D0B5-451A-836D-9A401CE02A72}">
      <text>
        <r>
          <rPr>
            <b/>
            <sz val="9"/>
            <color indexed="81"/>
            <rFont val="Tahoma"/>
            <family val="2"/>
          </rPr>
          <t>RoseMary Ireland:
Updated: 6/7/2023</t>
        </r>
      </text>
    </comment>
    <comment ref="O14" authorId="1" shapeId="0" xr:uid="{00000000-0006-0000-0800-000002000000}">
      <text>
        <r>
          <rPr>
            <b/>
            <sz val="9"/>
            <color indexed="81"/>
            <rFont val="Tahoma"/>
            <family val="2"/>
          </rPr>
          <t>RoseMary Ireland:</t>
        </r>
        <r>
          <rPr>
            <sz val="9"/>
            <color indexed="81"/>
            <rFont val="Tahoma"/>
            <family val="2"/>
          </rPr>
          <t xml:space="preserve">
This amount will never change unless the current law changes</t>
        </r>
      </text>
    </comment>
    <comment ref="B55" authorId="0" shapeId="0" xr:uid="{00000000-0006-0000-0800-000003000000}">
      <text>
        <r>
          <rPr>
            <b/>
            <sz val="9"/>
            <color indexed="81"/>
            <rFont val="Tahoma"/>
            <family val="2"/>
          </rPr>
          <t>Sara Barnes:</t>
        </r>
        <r>
          <rPr>
            <sz val="9"/>
            <color indexed="81"/>
            <rFont val="Tahoma"/>
            <family val="2"/>
          </rPr>
          <t xml:space="preserve">
6-10-15:  FY09 sped aid = $440,826.  Due to correction for FY15 sped aid supplemental, USD received actual $356,981 but entitled to receive $638,066.  Using entitlement to compute LOB and acutal to compute general fund.
6-23-15:  It was decided to use the actual sped aid entitlement of $638,066 for General Fund as adjusted on the LM worksheet.  Putting sped aid back to original amount.  - sjb</t>
        </r>
      </text>
    </comment>
    <comment ref="B279" authorId="2" shapeId="0" xr:uid="{00000000-0006-0000-0800-000004000000}">
      <text>
        <r>
          <rPr>
            <sz val="8"/>
            <color indexed="81"/>
            <rFont val="Tahoma"/>
            <family val="2"/>
          </rPr>
          <t xml:space="preserve">$303,432 payment added back for 07-08 payment paid in 08-09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Sara McCullah</author>
    <author>tc={0E2151B9-91A3-4035-A6A4-92294E0B2E80}</author>
  </authors>
  <commentList>
    <comment ref="D4" authorId="0" shapeId="0" xr:uid="{2E715851-031B-49B8-B058-1DE98835C49A}">
      <text>
        <r>
          <rPr>
            <b/>
            <sz val="9"/>
            <color indexed="81"/>
            <rFont val="Tahoma"/>
            <family val="2"/>
          </rPr>
          <t>Sara McCullah:</t>
        </r>
        <r>
          <rPr>
            <sz val="9"/>
            <color indexed="81"/>
            <rFont val="Tahoma"/>
            <family val="2"/>
          </rPr>
          <t xml:space="preserve">
1-28-2025:  I corrected formula as it was summing up total from 'Preliminary S066' worksheet tab for unaudited state total rather than audited state tota.</t>
        </r>
      </text>
    </comment>
    <comment ref="E5" authorId="1" shapeId="0" xr:uid="{0E2151B9-91A3-4035-A6A4-92294E0B2E80}">
      <text>
        <t>[Threaded comment]
Your version of Excel allows you to read this threaded comment; however, any edits to it will get removed if the file is opened in a newer version of Excel. Learn more: https://go.microsoft.com/fwlink/?linkid=870924
Comment:
    Do not delete formula</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Sara McCullah</author>
  </authors>
  <commentList>
    <comment ref="D1" authorId="0" shapeId="0" xr:uid="{6A31A6E2-3D93-4563-B738-F1A38FAC178D}">
      <text>
        <r>
          <rPr>
            <b/>
            <sz val="9"/>
            <color indexed="81"/>
            <rFont val="Tahoma"/>
            <family val="2"/>
          </rPr>
          <t>Sara McCullah:</t>
        </r>
        <r>
          <rPr>
            <sz val="9"/>
            <color indexed="81"/>
            <rFont val="Tahoma"/>
            <family val="2"/>
          </rPr>
          <t xml:space="preserve">
Comes from USD Budget - Form 155.</t>
        </r>
      </text>
    </comment>
    <comment ref="E1" authorId="0" shapeId="0" xr:uid="{A4C514EC-3D87-4F5C-AE89-353330E806EB}">
      <text>
        <r>
          <rPr>
            <b/>
            <sz val="9"/>
            <color indexed="81"/>
            <rFont val="Tahoma"/>
            <family val="2"/>
          </rPr>
          <t>Sara McCullah:</t>
        </r>
        <r>
          <rPr>
            <sz val="9"/>
            <color indexed="81"/>
            <rFont val="Tahoma"/>
            <family val="2"/>
          </rPr>
          <t xml:space="preserve">
USDs will certify on LEA Forms web application.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RoseMary Ireland</author>
  </authors>
  <commentList>
    <comment ref="I3" authorId="0" shapeId="0" xr:uid="{F783AE56-CFEB-445C-9E72-CF71D08A34B4}">
      <text>
        <r>
          <rPr>
            <b/>
            <sz val="9"/>
            <color indexed="81"/>
            <rFont val="Tahoma"/>
            <family val="2"/>
          </rPr>
          <t>RoseMary Ireland:</t>
        </r>
        <r>
          <rPr>
            <sz val="9"/>
            <color indexed="81"/>
            <rFont val="Tahoma"/>
            <family val="2"/>
          </rPr>
          <t xml:space="preserve">
Send Laurel the districts that qualify for 3yr avg.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RoseMary Ireland</author>
    <author>Sara McCullah</author>
  </authors>
  <commentList>
    <comment ref="AT1" authorId="0" shapeId="0" xr:uid="{C573F525-3B1B-4A32-9E91-F4E6AF5BB7A2}">
      <text>
        <r>
          <rPr>
            <b/>
            <sz val="9"/>
            <color indexed="81"/>
            <rFont val="Tahoma"/>
            <family val="2"/>
          </rPr>
          <t>RoseMary Ireland:</t>
        </r>
        <r>
          <rPr>
            <sz val="9"/>
            <color indexed="81"/>
            <rFont val="Tahoma"/>
            <family val="2"/>
          </rPr>
          <t xml:space="preserve">
Pull from Local Effort
</t>
        </r>
      </text>
    </comment>
    <comment ref="BZ1" authorId="1" shapeId="0" xr:uid="{2DEB8C13-7BDC-4795-8845-EE6E1359CE84}">
      <text>
        <r>
          <rPr>
            <b/>
            <sz val="9"/>
            <color indexed="81"/>
            <rFont val="Tahoma"/>
            <family val="2"/>
          </rPr>
          <t>Sara McCullah:</t>
        </r>
        <r>
          <rPr>
            <sz val="9"/>
            <color indexed="81"/>
            <rFont val="Tahoma"/>
            <family val="2"/>
          </rPr>
          <t xml:space="preserve">
New beginning FY2024 for USDs accepting students from schools that closed in the Prior Year, higher of CY or PY WTD FTE.  This will be for FY24, FY25 and FY26 under current law.
Pull from the AUDIT FTE worksheet tab.</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Sara Barnes</author>
    <author>RoseMary Ireland</author>
  </authors>
  <commentList>
    <comment ref="G3" authorId="0" shapeId="0" xr:uid="{00000000-0006-0000-0900-000001000000}">
      <text>
        <r>
          <rPr>
            <b/>
            <sz val="9"/>
            <color indexed="81"/>
            <rFont val="Tahoma"/>
            <family val="2"/>
          </rPr>
          <t xml:space="preserve">RoseMary Ireland:
</t>
        </r>
        <r>
          <rPr>
            <sz val="9"/>
            <color indexed="81"/>
            <rFont val="Tahoma"/>
            <family val="2"/>
          </rPr>
          <t xml:space="preserve">Pulled from District Global Data File and inserted as not on Preliminary Legal Max data file.
</t>
        </r>
      </text>
    </comment>
    <comment ref="F102" authorId="1" shapeId="0" xr:uid="{8668391B-000E-4EB6-8220-2BDCBE2B095C}">
      <text>
        <r>
          <rPr>
            <b/>
            <sz val="9"/>
            <color indexed="81"/>
            <rFont val="Tahoma"/>
            <family val="2"/>
          </rPr>
          <t>RoseMary Ireland:</t>
        </r>
        <r>
          <rPr>
            <sz val="9"/>
            <color indexed="81"/>
            <rFont val="Tahoma"/>
            <family val="2"/>
          </rPr>
          <t xml:space="preserve">
1-25-24: District entered 312.0 for 2/20. We didn’t catch it on the Prelim LM. Changed it to 0.0 on 1-25-24</t>
        </r>
      </text>
    </comment>
    <comment ref="F112" authorId="1" shapeId="0" xr:uid="{D49585CF-C4C9-4829-BA5A-F6AF044D185C}">
      <text>
        <r>
          <rPr>
            <b/>
            <sz val="9"/>
            <color indexed="81"/>
            <rFont val="Tahoma"/>
            <family val="2"/>
          </rPr>
          <t>RoseMary Ireland:</t>
        </r>
        <r>
          <rPr>
            <sz val="9"/>
            <color indexed="81"/>
            <rFont val="Tahoma"/>
            <family val="2"/>
          </rPr>
          <t xml:space="preserve">
11-2-23 Updated the S066-USD entered 2/20 counts. </t>
        </r>
      </text>
    </comment>
    <comment ref="M112" authorId="1" shapeId="0" xr:uid="{50441874-7B29-4E8E-94A4-645D8D252846}">
      <text>
        <r>
          <rPr>
            <b/>
            <sz val="9"/>
            <color indexed="81"/>
            <rFont val="Tahoma"/>
            <family val="2"/>
          </rPr>
          <t>RoseMary Ireland:</t>
        </r>
        <r>
          <rPr>
            <sz val="9"/>
            <color indexed="81"/>
            <rFont val="Tahoma"/>
            <family val="2"/>
          </rPr>
          <t xml:space="preserve">
11-2-23 Updated the S066-USD entered 2/20 counts. </t>
        </r>
      </text>
    </comment>
    <comment ref="O112" authorId="1" shapeId="0" xr:uid="{ED64ABB2-F02E-4FDC-A3F5-2D0750039A00}">
      <text>
        <r>
          <rPr>
            <b/>
            <sz val="9"/>
            <color indexed="81"/>
            <rFont val="Tahoma"/>
            <family val="2"/>
          </rPr>
          <t>RoseMary Ireland:</t>
        </r>
        <r>
          <rPr>
            <sz val="9"/>
            <color indexed="81"/>
            <rFont val="Tahoma"/>
            <family val="2"/>
          </rPr>
          <t xml:space="preserve">
11-2-23 Updated the S066-USD entered 2/20 counts. </t>
        </r>
      </text>
    </comment>
    <comment ref="Q112" authorId="1" shapeId="0" xr:uid="{2B71F994-2D38-4FFF-80B3-E54F98965BDE}">
      <text>
        <r>
          <rPr>
            <b/>
            <sz val="9"/>
            <color indexed="81"/>
            <rFont val="Tahoma"/>
            <family val="2"/>
          </rPr>
          <t>RoseMary Ireland:</t>
        </r>
        <r>
          <rPr>
            <sz val="9"/>
            <color indexed="81"/>
            <rFont val="Tahoma"/>
            <family val="2"/>
          </rPr>
          <t xml:space="preserve">
11-2-23 Updated the S066-USD entered 2/20 counts</t>
        </r>
      </text>
    </comment>
    <comment ref="W112" authorId="1" shapeId="0" xr:uid="{ECDED17F-03A2-4EBC-88BA-1747D236486A}">
      <text>
        <r>
          <rPr>
            <b/>
            <sz val="9"/>
            <color indexed="81"/>
            <rFont val="Tahoma"/>
            <family val="2"/>
          </rPr>
          <t>RoseMary Ireland:</t>
        </r>
        <r>
          <rPr>
            <sz val="9"/>
            <color indexed="81"/>
            <rFont val="Tahoma"/>
            <family val="2"/>
          </rPr>
          <t xml:space="preserve">
11-2-23 Updated the S066-USD entered 2/20 counts</t>
        </r>
      </text>
    </comment>
    <comment ref="Z112" authorId="1" shapeId="0" xr:uid="{7E374C39-24DC-482D-81E6-0D76879F92FA}">
      <text>
        <r>
          <rPr>
            <b/>
            <sz val="9"/>
            <color indexed="81"/>
            <rFont val="Tahoma"/>
            <family val="2"/>
          </rPr>
          <t>RoseMary Ireland:</t>
        </r>
        <r>
          <rPr>
            <sz val="9"/>
            <color indexed="81"/>
            <rFont val="Tahoma"/>
            <family val="2"/>
          </rPr>
          <t xml:space="preserve">
11-2-23 Updated the S066-USD entered 2/20 counts</t>
        </r>
      </text>
    </comment>
    <comment ref="F239" authorId="1" shapeId="0" xr:uid="{F232558E-A429-46D4-B071-8BAA2645A150}">
      <text>
        <r>
          <rPr>
            <b/>
            <sz val="9"/>
            <color indexed="81"/>
            <rFont val="Tahoma"/>
            <family val="2"/>
          </rPr>
          <t>RoseMary Ireland:</t>
        </r>
        <r>
          <rPr>
            <sz val="9"/>
            <color indexed="81"/>
            <rFont val="Tahoma"/>
            <family val="2"/>
          </rPr>
          <t xml:space="preserve">
Entered 184.5 on the S066.</t>
        </r>
      </text>
    </comment>
    <comment ref="M239" authorId="1" shapeId="0" xr:uid="{B75D3539-3376-46D9-9297-48F9E8B5E702}">
      <text>
        <r>
          <rPr>
            <b/>
            <sz val="9"/>
            <color indexed="81"/>
            <rFont val="Tahoma"/>
            <family val="2"/>
          </rPr>
          <t>RoseMary Ireland:</t>
        </r>
        <r>
          <rPr>
            <sz val="9"/>
            <color indexed="81"/>
            <rFont val="Tahoma"/>
            <family val="2"/>
          </rPr>
          <t xml:space="preserve">
Entered 197 on the S066.</t>
        </r>
      </text>
    </comment>
    <comment ref="O239" authorId="1" shapeId="0" xr:uid="{0C11D549-4195-412A-95E7-BE760DEE4665}">
      <text>
        <r>
          <rPr>
            <b/>
            <sz val="9"/>
            <color indexed="81"/>
            <rFont val="Tahoma"/>
            <family val="2"/>
          </rPr>
          <t>RoseMary Ireland:</t>
        </r>
        <r>
          <rPr>
            <sz val="9"/>
            <color indexed="81"/>
            <rFont val="Tahoma"/>
            <family val="2"/>
          </rPr>
          <t xml:space="preserve">
Entered 3.5 on S066. </t>
        </r>
      </text>
    </comment>
    <comment ref="Q239" authorId="1" shapeId="0" xr:uid="{116BB542-EB64-4168-8EBB-65219752C37B}">
      <text>
        <r>
          <rPr>
            <b/>
            <sz val="9"/>
            <color indexed="81"/>
            <rFont val="Tahoma"/>
            <family val="2"/>
          </rPr>
          <t>RoseMary Ireland:</t>
        </r>
        <r>
          <rPr>
            <sz val="9"/>
            <color indexed="81"/>
            <rFont val="Tahoma"/>
            <family val="2"/>
          </rPr>
          <t xml:space="preserve">
Entered 96.1 on the S066. </t>
        </r>
      </text>
    </comment>
    <comment ref="W239" authorId="1" shapeId="0" xr:uid="{D948E33F-76B7-47C9-B033-D83FF584DA5F}">
      <text>
        <r>
          <rPr>
            <b/>
            <sz val="9"/>
            <color indexed="81"/>
            <rFont val="Tahoma"/>
            <family val="2"/>
          </rPr>
          <t>RoseMary Ireland:</t>
        </r>
        <r>
          <rPr>
            <sz val="9"/>
            <color indexed="81"/>
            <rFont val="Tahoma"/>
            <family val="2"/>
          </rPr>
          <t xml:space="preserve">
Entered 118 on the S066. </t>
        </r>
      </text>
    </comment>
    <comment ref="Z239" authorId="1" shapeId="0" xr:uid="{B0B6B18B-014D-4759-B633-763B11DAC2B0}">
      <text>
        <r>
          <rPr>
            <b/>
            <sz val="9"/>
            <color indexed="81"/>
            <rFont val="Tahoma"/>
            <family val="2"/>
          </rPr>
          <t>RoseMary Ireland:</t>
        </r>
        <r>
          <rPr>
            <sz val="9"/>
            <color indexed="81"/>
            <rFont val="Tahoma"/>
            <family val="2"/>
          </rPr>
          <t xml:space="preserve">
Entered 99.5 on the S066</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Sara McCullah</author>
  </authors>
  <commentList>
    <comment ref="D61" authorId="0" shapeId="0" xr:uid="{4CBB5DC9-CD05-4F14-8A96-7181A3986B33}">
      <text>
        <r>
          <rPr>
            <b/>
            <sz val="9"/>
            <color indexed="81"/>
            <rFont val="Tahoma"/>
            <family val="2"/>
          </rPr>
          <t>Sara McCullah:</t>
        </r>
        <r>
          <rPr>
            <sz val="9"/>
            <color indexed="81"/>
            <rFont val="Tahoma"/>
            <family val="2"/>
          </rPr>
          <t xml:space="preserve">
12-5-2023:  PBR shows 244 headcount.  State level report provided by Christine was showing 242.  I updated to reflect count on PBR Weightings Table.</t>
        </r>
      </text>
    </comment>
    <comment ref="D406" authorId="0" shapeId="0" xr:uid="{3EFA4C92-1F24-47D1-927A-15FFC9E00963}">
      <text>
        <r>
          <rPr>
            <b/>
            <sz val="9"/>
            <color indexed="81"/>
            <rFont val="Tahoma"/>
            <family val="2"/>
          </rPr>
          <t>Sara McCullah:</t>
        </r>
        <r>
          <rPr>
            <sz val="9"/>
            <color indexed="81"/>
            <rFont val="Tahoma"/>
            <family val="2"/>
          </rPr>
          <t xml:space="preserve">
12-5-2023:  PBR count shows 1,758 which includes 111 UG students, less 75 virtual students.  Christine's data file was excluding UG for total of 1,647.
1,833 - 75 = 1,758</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RoseMary Ireland</author>
  </authors>
  <commentList>
    <comment ref="H2" authorId="0" shapeId="0" xr:uid="{790C56CA-19B8-4F83-920F-19889E1A5D43}">
      <text>
        <r>
          <rPr>
            <b/>
            <sz val="9"/>
            <color indexed="81"/>
            <rFont val="Tahoma"/>
            <family val="2"/>
          </rPr>
          <t>RoseMary Ireland:</t>
        </r>
        <r>
          <rPr>
            <sz val="9"/>
            <color indexed="81"/>
            <rFont val="Tahoma"/>
            <family val="2"/>
          </rPr>
          <t xml:space="preserve">
From Amanda Peterson 8-7-20</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6">
    <dbPr connection="Provider=MSOLAP.8;Integrated Security=SSPI;Persist Security Info=True;Initial Catalog=Budget_A;Data Source=SVVESQLOLAPP;MDX Compatibility=1;Safety Options=2;MDX Missing Member Mode=Error;Update Isolation Level=2" command="Budget A_Current" commandType="1"/>
    <olapPr sendLocale="1" rowDrillCount="1000"/>
  </connection>
  <connection id="2" xr16:uid="{CA199288-3CFE-4204-8C95-90F4C914E517}" keepAlive="1" name="Connection1" type="5" refreshedVersion="6">
    <dbPr connection="Provider=MSOLAP.8;Integrated Security=SSPI;Persist Security Info=True;Initial Catalog=Budget_A;Data Source=SVVESQLOLAPP;MDX Compatibility=1;Safety Options=2;MDX Missing Member Mode=Error;Update Isolation Level=2" command="Budget A_Current" commandType="1"/>
    <olapPr sendLocale="1" rowDrillCount="1000"/>
  </connection>
</connections>
</file>

<file path=xl/sharedStrings.xml><?xml version="1.0" encoding="utf-8"?>
<sst xmlns="http://schemas.openxmlformats.org/spreadsheetml/2006/main" count="15324" uniqueCount="4167">
  <si>
    <t>USD</t>
  </si>
  <si>
    <t/>
  </si>
  <si>
    <t>0-99.9</t>
  </si>
  <si>
    <t>100-299.9</t>
  </si>
  <si>
    <t>Neosho</t>
  </si>
  <si>
    <t>Gray</t>
  </si>
  <si>
    <t>Cheyenne</t>
  </si>
  <si>
    <t>Jewell</t>
  </si>
  <si>
    <t>Greeley</t>
  </si>
  <si>
    <t>Wyandotte</t>
  </si>
  <si>
    <t>Butler</t>
  </si>
  <si>
    <t>Leavenworth</t>
  </si>
  <si>
    <t>Trego</t>
  </si>
  <si>
    <t>Stevens</t>
  </si>
  <si>
    <t>Norton</t>
  </si>
  <si>
    <t>Grant</t>
  </si>
  <si>
    <t>Kearny</t>
  </si>
  <si>
    <t>Morton</t>
  </si>
  <si>
    <t>Clark</t>
  </si>
  <si>
    <t>Washington</t>
  </si>
  <si>
    <t>Meade</t>
  </si>
  <si>
    <t>Hodgeman</t>
  </si>
  <si>
    <t>Johnson</t>
  </si>
  <si>
    <t>Bourbon</t>
  </si>
  <si>
    <t>Smith</t>
  </si>
  <si>
    <t>Ottawa</t>
  </si>
  <si>
    <t>Wallace</t>
  </si>
  <si>
    <t>Coffey</t>
  </si>
  <si>
    <t>Crawford</t>
  </si>
  <si>
    <t>Cherokee</t>
  </si>
  <si>
    <t>Lyon</t>
  </si>
  <si>
    <t>Barber</t>
  </si>
  <si>
    <t>Allen</t>
  </si>
  <si>
    <t>Sedgwick</t>
  </si>
  <si>
    <t>Wichita</t>
  </si>
  <si>
    <t>Rooks</t>
  </si>
  <si>
    <t>Mitchell</t>
  </si>
  <si>
    <t>Logan</t>
  </si>
  <si>
    <t>Graham</t>
  </si>
  <si>
    <t>Elk</t>
  </si>
  <si>
    <t>Chase</t>
  </si>
  <si>
    <t>Chautauqua</t>
  </si>
  <si>
    <t>Franklin</t>
  </si>
  <si>
    <t>Gove</t>
  </si>
  <si>
    <t>Decatur</t>
  </si>
  <si>
    <t>Lincoln</t>
  </si>
  <si>
    <t>Comanche</t>
  </si>
  <si>
    <t>Ness</t>
  </si>
  <si>
    <t>Saline</t>
  </si>
  <si>
    <t>Reno</t>
  </si>
  <si>
    <t>Thomas</t>
  </si>
  <si>
    <t>Rawlins</t>
  </si>
  <si>
    <t>Pottawatomie</t>
  </si>
  <si>
    <t>Phillips</t>
  </si>
  <si>
    <t>Ellsworth</t>
  </si>
  <si>
    <t>Wabaunsee</t>
  </si>
  <si>
    <t>Kingman</t>
  </si>
  <si>
    <t>Cloud</t>
  </si>
  <si>
    <t>Jackson</t>
  </si>
  <si>
    <t>Jefferson</t>
  </si>
  <si>
    <t>Linn</t>
  </si>
  <si>
    <t>Shawnee</t>
  </si>
  <si>
    <t>Edwards</t>
  </si>
  <si>
    <t>Douglas</t>
  </si>
  <si>
    <t>Stafford</t>
  </si>
  <si>
    <t>Sherman</t>
  </si>
  <si>
    <t>Sumner</t>
  </si>
  <si>
    <t>Barton</t>
  </si>
  <si>
    <t>Harper</t>
  </si>
  <si>
    <t>Finney</t>
  </si>
  <si>
    <t>Marshall</t>
  </si>
  <si>
    <t>Anderson</t>
  </si>
  <si>
    <t>Woodson</t>
  </si>
  <si>
    <t>Miami</t>
  </si>
  <si>
    <t>Harvey</t>
  </si>
  <si>
    <t>Haskell</t>
  </si>
  <si>
    <t>Rice</t>
  </si>
  <si>
    <t>Atchison</t>
  </si>
  <si>
    <t>Riley</t>
  </si>
  <si>
    <t>Clay</t>
  </si>
  <si>
    <t>Ford</t>
  </si>
  <si>
    <t>Pratt</t>
  </si>
  <si>
    <t>Greenwood</t>
  </si>
  <si>
    <t>Wilson</t>
  </si>
  <si>
    <t>Ellis</t>
  </si>
  <si>
    <t>Hamilton</t>
  </si>
  <si>
    <t>Osborne</t>
  </si>
  <si>
    <t>Dickinson</t>
  </si>
  <si>
    <t>Rush</t>
  </si>
  <si>
    <t>Marion</t>
  </si>
  <si>
    <t>Russell</t>
  </si>
  <si>
    <t>McPherson</t>
  </si>
  <si>
    <t>Doniphan</t>
  </si>
  <si>
    <t>Sheridan</t>
  </si>
  <si>
    <t>Brown</t>
  </si>
  <si>
    <t>Morris</t>
  </si>
  <si>
    <t>Osage</t>
  </si>
  <si>
    <t>Kiowa</t>
  </si>
  <si>
    <t>Republic</t>
  </si>
  <si>
    <t>Montgomery</t>
  </si>
  <si>
    <t>Nemaha</t>
  </si>
  <si>
    <t>Stanton</t>
  </si>
  <si>
    <t>Cowley</t>
  </si>
  <si>
    <t>Scott</t>
  </si>
  <si>
    <t>Lane</t>
  </si>
  <si>
    <t>Geary</t>
  </si>
  <si>
    <t>Seward</t>
  </si>
  <si>
    <t>Pawnee</t>
  </si>
  <si>
    <t>Labette</t>
  </si>
  <si>
    <t>Spec Ed</t>
  </si>
  <si>
    <t>Legal GF Budget</t>
  </si>
  <si>
    <t>combined</t>
  </si>
  <si>
    <t>(inc Spec Ed)</t>
  </si>
  <si>
    <t>280 Spec Ed</t>
  </si>
  <si>
    <t>281 Spec Ed</t>
  </si>
  <si>
    <t>combined (ex SE)</t>
  </si>
  <si>
    <t>spec ed dollars</t>
  </si>
  <si>
    <t>317 Spec Ed</t>
  </si>
  <si>
    <t>318 Spec Ed</t>
  </si>
  <si>
    <t>CY spec ed dollars</t>
  </si>
  <si>
    <t>FY05 GF Budget</t>
  </si>
  <si>
    <t>302 Spec Ed</t>
  </si>
  <si>
    <t>304 Spec Ed</t>
  </si>
  <si>
    <t>FY06 GF Budget</t>
  </si>
  <si>
    <t>(incl Spec Ed)</t>
  </si>
  <si>
    <t>104 Spec Ed</t>
  </si>
  <si>
    <t>278 Spec Ed</t>
  </si>
  <si>
    <t>221 Spec Ed</t>
  </si>
  <si>
    <t>222 Spec Ed</t>
  </si>
  <si>
    <t>427 Spec Ed</t>
  </si>
  <si>
    <t>455 Spec Ed</t>
  </si>
  <si>
    <t>FY07 GF Budget</t>
  </si>
  <si>
    <t>CY sped dollars</t>
  </si>
  <si>
    <t>300-1621.9</t>
  </si>
  <si>
    <t>238 Spec Ed</t>
  </si>
  <si>
    <t>324 Spec Ed</t>
  </si>
  <si>
    <t>FY09 GF Budget</t>
  </si>
  <si>
    <t>FY 09</t>
  </si>
  <si>
    <t>425 Spec Ed</t>
  </si>
  <si>
    <t>433 Spec Ed</t>
  </si>
  <si>
    <t>FY10 GF Budget</t>
  </si>
  <si>
    <t>107 Spec Ed</t>
  </si>
  <si>
    <t>279 Spec Ed</t>
  </si>
  <si>
    <t>273 Spec Ed</t>
  </si>
  <si>
    <t>Exceptions District</t>
  </si>
  <si>
    <t>328 Spec Ed</t>
  </si>
  <si>
    <t>354 Spec Ed</t>
  </si>
  <si>
    <t>441 Spec Ed</t>
  </si>
  <si>
    <t>FY11 GF Budget</t>
  </si>
  <si>
    <t>406 Spec Ed</t>
  </si>
  <si>
    <t>486 Spec Ed</t>
  </si>
  <si>
    <t>211 Spec Ed</t>
  </si>
  <si>
    <t>213 Spec Ed</t>
  </si>
  <si>
    <t>488 Spec Ed</t>
  </si>
  <si>
    <t>Col 1</t>
  </si>
  <si>
    <t>Col 2</t>
  </si>
  <si>
    <t>Col 3</t>
  </si>
  <si>
    <t>Col 4</t>
  </si>
  <si>
    <t>Col 7</t>
  </si>
  <si>
    <t>Col 8</t>
  </si>
  <si>
    <t>Col 9</t>
  </si>
  <si>
    <t>Col 10</t>
  </si>
  <si>
    <t>Col 11</t>
  </si>
  <si>
    <t>Col 13</t>
  </si>
  <si>
    <t>Col 14</t>
  </si>
  <si>
    <t>Col 15</t>
  </si>
  <si>
    <t>Col 16</t>
  </si>
  <si>
    <t>Col 17</t>
  </si>
  <si>
    <t>Col 18</t>
  </si>
  <si>
    <t>Col 21</t>
  </si>
  <si>
    <t>USD #</t>
  </si>
  <si>
    <t>County</t>
  </si>
  <si>
    <t>District Name</t>
  </si>
  <si>
    <t>1622 and higher</t>
  </si>
  <si>
    <t>Cost of Living Authorized Percent</t>
  </si>
  <si>
    <t>Cost of Living Authority</t>
  </si>
  <si>
    <t>Table IV High Density At Risk</t>
  </si>
  <si>
    <t>Sequence Number</t>
  </si>
  <si>
    <t>Audit</t>
  </si>
  <si>
    <t>Republished</t>
  </si>
  <si>
    <t>KAMS FTE</t>
  </si>
  <si>
    <t>FY</t>
  </si>
  <si>
    <t>FY GF Budget</t>
  </si>
  <si>
    <t>227 Spec Ed</t>
  </si>
  <si>
    <t>228 Spec Ed</t>
  </si>
  <si>
    <t>424 Spec Ed</t>
  </si>
  <si>
    <t>422 Spec Ed</t>
  </si>
  <si>
    <t>Col 19</t>
  </si>
  <si>
    <t>KAMS</t>
  </si>
  <si>
    <t>Total</t>
  </si>
  <si>
    <t>D0101</t>
  </si>
  <si>
    <t>D0102</t>
  </si>
  <si>
    <t>D0103</t>
  </si>
  <si>
    <t>D0105</t>
  </si>
  <si>
    <t>D0106</t>
  </si>
  <si>
    <t>D0107</t>
  </si>
  <si>
    <t>D0108</t>
  </si>
  <si>
    <t>D0109</t>
  </si>
  <si>
    <t>D0110</t>
  </si>
  <si>
    <t>D0111</t>
  </si>
  <si>
    <t>D0112</t>
  </si>
  <si>
    <t>D0113</t>
  </si>
  <si>
    <t>D0114</t>
  </si>
  <si>
    <t>D0115</t>
  </si>
  <si>
    <t>D0200</t>
  </si>
  <si>
    <t>D0202</t>
  </si>
  <si>
    <t>D0203</t>
  </si>
  <si>
    <t>D0204</t>
  </si>
  <si>
    <t>D0205</t>
  </si>
  <si>
    <t>D0206</t>
  </si>
  <si>
    <t>D0207</t>
  </si>
  <si>
    <t>D0208</t>
  </si>
  <si>
    <t>D0209</t>
  </si>
  <si>
    <t>D0210</t>
  </si>
  <si>
    <t>D0211</t>
  </si>
  <si>
    <t>D0212</t>
  </si>
  <si>
    <t>D0214</t>
  </si>
  <si>
    <t>D0215</t>
  </si>
  <si>
    <t>D0216</t>
  </si>
  <si>
    <t>D0217</t>
  </si>
  <si>
    <t>D0218</t>
  </si>
  <si>
    <t>D0219</t>
  </si>
  <si>
    <t>D0220</t>
  </si>
  <si>
    <t>D0223</t>
  </si>
  <si>
    <t>D0224</t>
  </si>
  <si>
    <t>D0225</t>
  </si>
  <si>
    <t>D0226</t>
  </si>
  <si>
    <t>D0227</t>
  </si>
  <si>
    <t>D0229</t>
  </si>
  <si>
    <t>D0230</t>
  </si>
  <si>
    <t>D0231</t>
  </si>
  <si>
    <t>D0232</t>
  </si>
  <si>
    <t>D0233</t>
  </si>
  <si>
    <t>D0234</t>
  </si>
  <si>
    <t>D0235</t>
  </si>
  <si>
    <t>D0237</t>
  </si>
  <si>
    <t>D0239</t>
  </si>
  <si>
    <t>D0240</t>
  </si>
  <si>
    <t>D0241</t>
  </si>
  <si>
    <t>D0242</t>
  </si>
  <si>
    <t>D0243</t>
  </si>
  <si>
    <t>D0244</t>
  </si>
  <si>
    <t>D0245</t>
  </si>
  <si>
    <t>D0246</t>
  </si>
  <si>
    <t>D0247</t>
  </si>
  <si>
    <t>D0248</t>
  </si>
  <si>
    <t>D0249</t>
  </si>
  <si>
    <t>D0250</t>
  </si>
  <si>
    <t>D0251</t>
  </si>
  <si>
    <t>D0252</t>
  </si>
  <si>
    <t>D0253</t>
  </si>
  <si>
    <t>D0254</t>
  </si>
  <si>
    <t>D0255</t>
  </si>
  <si>
    <t>D0256</t>
  </si>
  <si>
    <t>D0257</t>
  </si>
  <si>
    <t>D0258</t>
  </si>
  <si>
    <t>D0259</t>
  </si>
  <si>
    <t>D0260</t>
  </si>
  <si>
    <t>D0261</t>
  </si>
  <si>
    <t>D0262</t>
  </si>
  <si>
    <t>D0263</t>
  </si>
  <si>
    <t>D0264</t>
  </si>
  <si>
    <t>D0265</t>
  </si>
  <si>
    <t>D0266</t>
  </si>
  <si>
    <t>D0267</t>
  </si>
  <si>
    <t>D0268</t>
  </si>
  <si>
    <t>D0269</t>
  </si>
  <si>
    <t>D0270</t>
  </si>
  <si>
    <t>D0271</t>
  </si>
  <si>
    <t>D0272</t>
  </si>
  <si>
    <t>D0273</t>
  </si>
  <si>
    <t>D0274</t>
  </si>
  <si>
    <t>D0275</t>
  </si>
  <si>
    <t>D0281</t>
  </si>
  <si>
    <t>D0282</t>
  </si>
  <si>
    <t>D0283</t>
  </si>
  <si>
    <t>D0284</t>
  </si>
  <si>
    <t>D0285</t>
  </si>
  <si>
    <t>D0286</t>
  </si>
  <si>
    <t>D0287</t>
  </si>
  <si>
    <t>D0288</t>
  </si>
  <si>
    <t>D0289</t>
  </si>
  <si>
    <t>D0290</t>
  </si>
  <si>
    <t>D0291</t>
  </si>
  <si>
    <t>D0292</t>
  </si>
  <si>
    <t>D0293</t>
  </si>
  <si>
    <t>D0294</t>
  </si>
  <si>
    <t>D0297</t>
  </si>
  <si>
    <t>D0298</t>
  </si>
  <si>
    <t>D0299</t>
  </si>
  <si>
    <t>D0300</t>
  </si>
  <si>
    <t>D0303</t>
  </si>
  <si>
    <t>D0305</t>
  </si>
  <si>
    <t>D0306</t>
  </si>
  <si>
    <t>D0307</t>
  </si>
  <si>
    <t>D0308</t>
  </si>
  <si>
    <t>D0309</t>
  </si>
  <si>
    <t>D0310</t>
  </si>
  <si>
    <t>D0311</t>
  </si>
  <si>
    <t>D0312</t>
  </si>
  <si>
    <t>D0313</t>
  </si>
  <si>
    <t>D0314</t>
  </si>
  <si>
    <t>D0315</t>
  </si>
  <si>
    <t>D0316</t>
  </si>
  <si>
    <t>D0320</t>
  </si>
  <si>
    <t>D0321</t>
  </si>
  <si>
    <t>D0322</t>
  </si>
  <si>
    <t>D0323</t>
  </si>
  <si>
    <t>D0325</t>
  </si>
  <si>
    <t>D0326</t>
  </si>
  <si>
    <t>D0327</t>
  </si>
  <si>
    <t>D0329</t>
  </si>
  <si>
    <t>D0330</t>
  </si>
  <si>
    <t>D0331</t>
  </si>
  <si>
    <t>D0332</t>
  </si>
  <si>
    <t>D0333</t>
  </si>
  <si>
    <t>D0334</t>
  </si>
  <si>
    <t>D0335</t>
  </si>
  <si>
    <t>D0336</t>
  </si>
  <si>
    <t>D0337</t>
  </si>
  <si>
    <t>D0338</t>
  </si>
  <si>
    <t>D0339</t>
  </si>
  <si>
    <t>D0340</t>
  </si>
  <si>
    <t>D0341</t>
  </si>
  <si>
    <t>D0342</t>
  </si>
  <si>
    <t>D0343</t>
  </si>
  <si>
    <t>D0344</t>
  </si>
  <si>
    <t>D0345</t>
  </si>
  <si>
    <t>D0346</t>
  </si>
  <si>
    <t>D0347</t>
  </si>
  <si>
    <t>D0348</t>
  </si>
  <si>
    <t>D0349</t>
  </si>
  <si>
    <t>D0350</t>
  </si>
  <si>
    <t>D0351</t>
  </si>
  <si>
    <t>D0352</t>
  </si>
  <si>
    <t>D0353</t>
  </si>
  <si>
    <t>D0355</t>
  </si>
  <si>
    <t>D0356</t>
  </si>
  <si>
    <t>D0357</t>
  </si>
  <si>
    <t>D0358</t>
  </si>
  <si>
    <t>D0359</t>
  </si>
  <si>
    <t>D0360</t>
  </si>
  <si>
    <t>D0361</t>
  </si>
  <si>
    <t>D0362</t>
  </si>
  <si>
    <t>D0363</t>
  </si>
  <si>
    <t>D0364</t>
  </si>
  <si>
    <t>D0365</t>
  </si>
  <si>
    <t>D0366</t>
  </si>
  <si>
    <t>D0367</t>
  </si>
  <si>
    <t>D0368</t>
  </si>
  <si>
    <t>D0369</t>
  </si>
  <si>
    <t>D0371</t>
  </si>
  <si>
    <t>D0372</t>
  </si>
  <si>
    <t>D0373</t>
  </si>
  <si>
    <t>D0374</t>
  </si>
  <si>
    <t>D0375</t>
  </si>
  <si>
    <t>D0376</t>
  </si>
  <si>
    <t>D0377</t>
  </si>
  <si>
    <t>D0378</t>
  </si>
  <si>
    <t>D0379</t>
  </si>
  <si>
    <t>D0380</t>
  </si>
  <si>
    <t>D0381</t>
  </si>
  <si>
    <t>D0382</t>
  </si>
  <si>
    <t>D0383</t>
  </si>
  <si>
    <t>D0384</t>
  </si>
  <si>
    <t>D0385</t>
  </si>
  <si>
    <t>D0386</t>
  </si>
  <si>
    <t>D0387</t>
  </si>
  <si>
    <t>D0388</t>
  </si>
  <si>
    <t>D0389</t>
  </si>
  <si>
    <t>D0390</t>
  </si>
  <si>
    <t>D0392</t>
  </si>
  <si>
    <t>D0393</t>
  </si>
  <si>
    <t>D0394</t>
  </si>
  <si>
    <t>D0395</t>
  </si>
  <si>
    <t>D0396</t>
  </si>
  <si>
    <t>D0397</t>
  </si>
  <si>
    <t>D0398</t>
  </si>
  <si>
    <t>D0399</t>
  </si>
  <si>
    <t>D0400</t>
  </si>
  <si>
    <t>D0401</t>
  </si>
  <si>
    <t>D0402</t>
  </si>
  <si>
    <t>D0403</t>
  </si>
  <si>
    <t>D0404</t>
  </si>
  <si>
    <t>D0405</t>
  </si>
  <si>
    <t>D0407</t>
  </si>
  <si>
    <t>D0408</t>
  </si>
  <si>
    <t>D0409</t>
  </si>
  <si>
    <t>D0410</t>
  </si>
  <si>
    <t>D0411</t>
  </si>
  <si>
    <t>D0412</t>
  </si>
  <si>
    <t>D0413</t>
  </si>
  <si>
    <t>D0415</t>
  </si>
  <si>
    <t>D0416</t>
  </si>
  <si>
    <t>D0417</t>
  </si>
  <si>
    <t>D0418</t>
  </si>
  <si>
    <t>D0419</t>
  </si>
  <si>
    <t>D0420</t>
  </si>
  <si>
    <t>D0421</t>
  </si>
  <si>
    <t>D0422</t>
  </si>
  <si>
    <t>D0423</t>
  </si>
  <si>
    <t>D0426</t>
  </si>
  <si>
    <t>D0428</t>
  </si>
  <si>
    <t>D0429</t>
  </si>
  <si>
    <t>D0430</t>
  </si>
  <si>
    <t>D0431</t>
  </si>
  <si>
    <t>D0432</t>
  </si>
  <si>
    <t>D0434</t>
  </si>
  <si>
    <t>D0435</t>
  </si>
  <si>
    <t>D0436</t>
  </si>
  <si>
    <t>D0437</t>
  </si>
  <si>
    <t>D0438</t>
  </si>
  <si>
    <t>D0439</t>
  </si>
  <si>
    <t>D0440</t>
  </si>
  <si>
    <t>D0443</t>
  </si>
  <si>
    <t>D0444</t>
  </si>
  <si>
    <t>D0445</t>
  </si>
  <si>
    <t>D0446</t>
  </si>
  <si>
    <t>D0447</t>
  </si>
  <si>
    <t>D0448</t>
  </si>
  <si>
    <t>D0449</t>
  </si>
  <si>
    <t>D0450</t>
  </si>
  <si>
    <t>D0452</t>
  </si>
  <si>
    <t>D0453</t>
  </si>
  <si>
    <t>D0454</t>
  </si>
  <si>
    <t>D0456</t>
  </si>
  <si>
    <t>D0457</t>
  </si>
  <si>
    <t>D0458</t>
  </si>
  <si>
    <t>D0459</t>
  </si>
  <si>
    <t>D0460</t>
  </si>
  <si>
    <t>D0461</t>
  </si>
  <si>
    <t>D0462</t>
  </si>
  <si>
    <t>D0463</t>
  </si>
  <si>
    <t>D0464</t>
  </si>
  <si>
    <t>D0465</t>
  </si>
  <si>
    <t>D0466</t>
  </si>
  <si>
    <t>D0467</t>
  </si>
  <si>
    <t>D0468</t>
  </si>
  <si>
    <t>D0469</t>
  </si>
  <si>
    <t>D0470</t>
  </si>
  <si>
    <t>D0471</t>
  </si>
  <si>
    <t>D0473</t>
  </si>
  <si>
    <t>D0474</t>
  </si>
  <si>
    <t>D0475</t>
  </si>
  <si>
    <t>D0476</t>
  </si>
  <si>
    <t>D0477</t>
  </si>
  <si>
    <t>D0479</t>
  </si>
  <si>
    <t>D0480</t>
  </si>
  <si>
    <t>D0481</t>
  </si>
  <si>
    <t>D0482</t>
  </si>
  <si>
    <t>D0483</t>
  </si>
  <si>
    <t>D0484</t>
  </si>
  <si>
    <t>D0487</t>
  </si>
  <si>
    <t>D0489</t>
  </si>
  <si>
    <t>D0490</t>
  </si>
  <si>
    <t>D0491</t>
  </si>
  <si>
    <t>D0492</t>
  </si>
  <si>
    <t>D0493</t>
  </si>
  <si>
    <t>D0494</t>
  </si>
  <si>
    <t>D0495</t>
  </si>
  <si>
    <t>D0496</t>
  </si>
  <si>
    <t>D0497</t>
  </si>
  <si>
    <t>D0498</t>
  </si>
  <si>
    <t>D0499</t>
  </si>
  <si>
    <t>D0500</t>
  </si>
  <si>
    <t>D0501</t>
  </si>
  <si>
    <t>D0502</t>
  </si>
  <si>
    <t>D0503</t>
  </si>
  <si>
    <t>D0504</t>
  </si>
  <si>
    <t>D0505</t>
  </si>
  <si>
    <t>D0506</t>
  </si>
  <si>
    <t>D0507</t>
  </si>
  <si>
    <t>D0508</t>
  </si>
  <si>
    <t>D0509</t>
  </si>
  <si>
    <t>D0511</t>
  </si>
  <si>
    <t>D0512</t>
  </si>
  <si>
    <t>USD 104 and USD 278 will close and create USD 107 effective FY07.  USD 107 will use combined budget and higher state aid rates locked in for 2006-07, 2007-08 and 2008-09 school years.</t>
  </si>
  <si>
    <t>USD 221 and USD 222 will close and create USD 108 effective FY07.  USD 108 will use combined budget and higher state aid rates locked in for 2006-07, 2007-08 and 2008-09 school years.</t>
  </si>
  <si>
    <t>USD 427 and USD 455 will close and create USD 109 effective FY07.  USD 109 will use combined budget and higher state aid rates locked in for 2006-07, 2007-08 and 2008-09 school years.</t>
  </si>
  <si>
    <t>USD 238 and USD 324 will close and create USD 110 effective FY09.  USD 110 will use combined budget and higher state aid rates locked in for 2008-09, 2009-10 and 2010-11 school years.</t>
  </si>
  <si>
    <t>USD 425 and USD 433 will close and create USD 111 effective FY10.  USD 111 will use combined budget and higher state aid rates locked in for 2009-10, 2010-11, 2011-12, and 2012-13 school years.</t>
  </si>
  <si>
    <t>USD 279 will close and transfer territory into USD 107 effective FY10.  USD 107 will use combined budget and higher state aid rates locked in for 2009-10, 2010-11 and 2011-12 school years.</t>
  </si>
  <si>
    <t>USD 279 will close and transfer territory into USD 273 effective FY10.  USD 273 will use combined budget and higher state aid rates locked in for 2009-10, 2010-11 and 2011-12 school years.</t>
  </si>
  <si>
    <t>USD 328 and USD 354 will close and create USD 112 effective FY11.  USD 112 will use combined budget and higher state aid rates locked in for 2010-11, 2011-12, 2012,13, 2013-14, 2014-15 school years.</t>
  </si>
  <si>
    <t>USD 441 and USD 488 will close and create USD 113 effective FY11.  USD 113 will use combined budget and higher state aid rates locked in for 2010-11, 2011-12, 2012,13, 2013-14, 2014-15 school years.</t>
  </si>
  <si>
    <t>USD 406 and USD 486 will close and create USD 114 effective FY11.  USD 114 will use combined budget and higher state aid rates locked in for 2010-11, 2011-12, 2012,13, 2013-14, 2014-15 school years.</t>
  </si>
  <si>
    <t>USD 213 will close and transfer territory into USD 211 effective FY11.  USD 211 will use combined budget and higher state aid rates locked in for 2010-11, 2011-12 and 2012-13 school years.</t>
  </si>
  <si>
    <t>USD 442 and USD 451 will close and create USD 115 effective FY12.  USD 115 will use combined budget and higher state aid rates locked in for 2011-12 2012-13, 2013-14, 2014-15 school years.</t>
  </si>
  <si>
    <t>USD 228 will close and transfer territory into USD 227 effective FY12.  USD 227 will use combined budget and higher state aid rates locked in for 2011-12 2012-13, 2013-14 school years.</t>
  </si>
  <si>
    <t>and higher state aid rates locked in for 2011-12 2012-13, 2013-14, 2014-15 school years.</t>
  </si>
  <si>
    <t>USD 317 and USD 318 will close and create USD 105 effective FY04.  USD 105 will use combined budget and higher state aid rates locked in for 2003-04, 2004-05,2005-06 and 2006-07 school years.</t>
  </si>
  <si>
    <t>USD 302 and USD 304 will close and create USD 106 effective FY05.  USD 106 will use combined budget and higher state aid rates locked in for 2004-05, 2005-06, 2006-07 and 2007-08 school years.</t>
  </si>
  <si>
    <t>USD 280 will close and transfer territory into USD 281 effective FY03.  USD 281 will use combined budget and higher state aid rates locked in for 2002-03, 2003-04,2004-05, and 2005-06 school years.</t>
  </si>
  <si>
    <t>Exceptions allowed per 72-6434b &amp; 72-8814b</t>
  </si>
  <si>
    <t xml:space="preserve"> Spec Ed</t>
  </si>
  <si>
    <t>FY 11</t>
  </si>
  <si>
    <t>FY 12</t>
  </si>
  <si>
    <t>FY 08</t>
  </si>
  <si>
    <t>FY 06</t>
  </si>
  <si>
    <t>FY 04</t>
  </si>
  <si>
    <t>FY 03</t>
  </si>
  <si>
    <t>FY 02</t>
  </si>
  <si>
    <t>FY12 GF Budget</t>
  </si>
  <si>
    <t>Seq Num</t>
  </si>
  <si>
    <t>FY09 Sped</t>
  </si>
  <si>
    <t>D0#</t>
  </si>
  <si>
    <t>Repub</t>
  </si>
  <si>
    <t>Series No</t>
  </si>
  <si>
    <t>Pending</t>
  </si>
  <si>
    <t>Color Key:</t>
  </si>
  <si>
    <t>Adopted Under Authority</t>
  </si>
  <si>
    <t xml:space="preserve">Erie-Galesburg </t>
  </si>
  <si>
    <t xml:space="preserve">Cheylin </t>
  </si>
  <si>
    <t xml:space="preserve">Rawlins County </t>
  </si>
  <si>
    <t xml:space="preserve">Western Plains </t>
  </si>
  <si>
    <t xml:space="preserve">Rock Hills </t>
  </si>
  <si>
    <t xml:space="preserve">Washington Co. Schools </t>
  </si>
  <si>
    <t xml:space="preserve">Republic County </t>
  </si>
  <si>
    <t xml:space="preserve">Thunder Ridge Schools </t>
  </si>
  <si>
    <t xml:space="preserve">Doniphan West Schools </t>
  </si>
  <si>
    <t xml:space="preserve">Central Plains </t>
  </si>
  <si>
    <t xml:space="preserve">Prairie Hills </t>
  </si>
  <si>
    <t xml:space="preserve">Riverside </t>
  </si>
  <si>
    <t xml:space="preserve">Nemaha Central </t>
  </si>
  <si>
    <t xml:space="preserve">Greeley County Schools </t>
  </si>
  <si>
    <t xml:space="preserve">Turner-Kansas City </t>
  </si>
  <si>
    <t xml:space="preserve">Piper-Kansas City </t>
  </si>
  <si>
    <t xml:space="preserve">Bonner Springs </t>
  </si>
  <si>
    <t xml:space="preserve">Bluestem </t>
  </si>
  <si>
    <t xml:space="preserve">Remington-Whitewater </t>
  </si>
  <si>
    <t xml:space="preserve">Ft Leavenworth </t>
  </si>
  <si>
    <t xml:space="preserve">Wakeeney </t>
  </si>
  <si>
    <t xml:space="preserve">Moscow Public Schools </t>
  </si>
  <si>
    <t xml:space="preserve">Hugoton Public Schools </t>
  </si>
  <si>
    <t xml:space="preserve">Norton Community Schools </t>
  </si>
  <si>
    <t xml:space="preserve">Northern Valley </t>
  </si>
  <si>
    <t xml:space="preserve">Ulysses </t>
  </si>
  <si>
    <t xml:space="preserve">Lakin </t>
  </si>
  <si>
    <t xml:space="preserve">Deerfield </t>
  </si>
  <si>
    <t xml:space="preserve">Rolla </t>
  </si>
  <si>
    <t xml:space="preserve">Elkhart </t>
  </si>
  <si>
    <t xml:space="preserve">Minneola </t>
  </si>
  <si>
    <t xml:space="preserve">Ashland </t>
  </si>
  <si>
    <t xml:space="preserve">Barnes </t>
  </si>
  <si>
    <t xml:space="preserve">Clifton-Clyde </t>
  </si>
  <si>
    <t xml:space="preserve">Fowler </t>
  </si>
  <si>
    <t xml:space="preserve">Meade </t>
  </si>
  <si>
    <t xml:space="preserve">Hodgeman County Schools </t>
  </si>
  <si>
    <t xml:space="preserve">Blue Valley </t>
  </si>
  <si>
    <t xml:space="preserve">Spring Hill </t>
  </si>
  <si>
    <t xml:space="preserve">Gardner Edgerton </t>
  </si>
  <si>
    <t xml:space="preserve">De Soto </t>
  </si>
  <si>
    <t xml:space="preserve">Olathe </t>
  </si>
  <si>
    <t xml:space="preserve">Fort Scott </t>
  </si>
  <si>
    <t xml:space="preserve">Uniontown </t>
  </si>
  <si>
    <t xml:space="preserve">Smith Center </t>
  </si>
  <si>
    <t xml:space="preserve">North Ottawa County </t>
  </si>
  <si>
    <t xml:space="preserve">Twin Valley </t>
  </si>
  <si>
    <t xml:space="preserve">Wallace County Schools </t>
  </si>
  <si>
    <t xml:space="preserve">Weskan </t>
  </si>
  <si>
    <t xml:space="preserve">Lebo-Waverly </t>
  </si>
  <si>
    <t xml:space="preserve">Burlington </t>
  </si>
  <si>
    <t xml:space="preserve">LeRoy-Gridley </t>
  </si>
  <si>
    <t xml:space="preserve">Northeast </t>
  </si>
  <si>
    <t xml:space="preserve">Cherokee </t>
  </si>
  <si>
    <t xml:space="preserve">Girard </t>
  </si>
  <si>
    <t xml:space="preserve">Frontenac Public Schools </t>
  </si>
  <si>
    <t xml:space="preserve">Pittsburg </t>
  </si>
  <si>
    <t xml:space="preserve">North Lyon County </t>
  </si>
  <si>
    <t xml:space="preserve">Southern Lyon County </t>
  </si>
  <si>
    <t xml:space="preserve">Emporia </t>
  </si>
  <si>
    <t xml:space="preserve">Barber County North </t>
  </si>
  <si>
    <t xml:space="preserve">South Barber </t>
  </si>
  <si>
    <t xml:space="preserve">Marmaton Valley </t>
  </si>
  <si>
    <t xml:space="preserve">Iola </t>
  </si>
  <si>
    <t xml:space="preserve">Humboldt </t>
  </si>
  <si>
    <t xml:space="preserve">Wichita </t>
  </si>
  <si>
    <t xml:space="preserve">Derby </t>
  </si>
  <si>
    <t xml:space="preserve">Haysville </t>
  </si>
  <si>
    <t xml:space="preserve">Valley Center Pub Sch </t>
  </si>
  <si>
    <t xml:space="preserve">Mulvane </t>
  </si>
  <si>
    <t xml:space="preserve">Clearwater </t>
  </si>
  <si>
    <t xml:space="preserve">Goddard </t>
  </si>
  <si>
    <t xml:space="preserve">Maize </t>
  </si>
  <si>
    <t xml:space="preserve">Renwick </t>
  </si>
  <si>
    <t xml:space="preserve">Cheney </t>
  </si>
  <si>
    <t xml:space="preserve">Palco </t>
  </si>
  <si>
    <t xml:space="preserve">Plainville </t>
  </si>
  <si>
    <t xml:space="preserve">Stockton </t>
  </si>
  <si>
    <t xml:space="preserve">Waconda </t>
  </si>
  <si>
    <t xml:space="preserve">Beloit </t>
  </si>
  <si>
    <t xml:space="preserve">Oakley </t>
  </si>
  <si>
    <t xml:space="preserve">Triplains </t>
  </si>
  <si>
    <t xml:space="preserve">Graham County </t>
  </si>
  <si>
    <t xml:space="preserve">West Elk </t>
  </si>
  <si>
    <t xml:space="preserve">Elk Valley </t>
  </si>
  <si>
    <t xml:space="preserve">Chase County </t>
  </si>
  <si>
    <t xml:space="preserve">Cedar Vale </t>
  </si>
  <si>
    <t xml:space="preserve">Chautauqua Co Community </t>
  </si>
  <si>
    <t xml:space="preserve">West Franklin </t>
  </si>
  <si>
    <t xml:space="preserve">Central Heights </t>
  </si>
  <si>
    <t xml:space="preserve">Wellsville </t>
  </si>
  <si>
    <t xml:space="preserve">Ottawa </t>
  </si>
  <si>
    <t xml:space="preserve">Grinnell Public Schools </t>
  </si>
  <si>
    <t xml:space="preserve">Wheatland </t>
  </si>
  <si>
    <t xml:space="preserve">Quinter Public Schools </t>
  </si>
  <si>
    <t xml:space="preserve">Oberlin </t>
  </si>
  <si>
    <t xml:space="preserve">St Francis Comm Sch </t>
  </si>
  <si>
    <t xml:space="preserve">Lincoln </t>
  </si>
  <si>
    <t xml:space="preserve">Sylvan Grove </t>
  </si>
  <si>
    <t xml:space="preserve">Comanche County </t>
  </si>
  <si>
    <t xml:space="preserve">Ness City </t>
  </si>
  <si>
    <t xml:space="preserve">Salina </t>
  </si>
  <si>
    <t xml:space="preserve">Southeast Of Saline </t>
  </si>
  <si>
    <t xml:space="preserve">Ell-Saline </t>
  </si>
  <si>
    <t xml:space="preserve">Hutchinson Public Schools </t>
  </si>
  <si>
    <t xml:space="preserve">Nickerson </t>
  </si>
  <si>
    <t xml:space="preserve">Fairfield </t>
  </si>
  <si>
    <t xml:space="preserve">Pretty Prairie </t>
  </si>
  <si>
    <t xml:space="preserve">Haven Public Schools </t>
  </si>
  <si>
    <t xml:space="preserve">Buhler </t>
  </si>
  <si>
    <t xml:space="preserve">Brewster </t>
  </si>
  <si>
    <t xml:space="preserve">Colby Public Schools </t>
  </si>
  <si>
    <t xml:space="preserve">Golden Plains </t>
  </si>
  <si>
    <t xml:space="preserve">Wamego </t>
  </si>
  <si>
    <t xml:space="preserve">Kaw Valley </t>
  </si>
  <si>
    <t xml:space="preserve">Onaga-Havensville-Wheaton </t>
  </si>
  <si>
    <t xml:space="preserve">Rock Creek </t>
  </si>
  <si>
    <t xml:space="preserve">Phillipsburg </t>
  </si>
  <si>
    <t xml:space="preserve">Logan </t>
  </si>
  <si>
    <t xml:space="preserve">Ellsworth </t>
  </si>
  <si>
    <t xml:space="preserve">Mill Creek Valley </t>
  </si>
  <si>
    <t xml:space="preserve">Mission Valley </t>
  </si>
  <si>
    <t xml:space="preserve">Kingman - Norwich </t>
  </si>
  <si>
    <t xml:space="preserve">Cunningham </t>
  </si>
  <si>
    <t xml:space="preserve">Concordia </t>
  </si>
  <si>
    <t xml:space="preserve">Southern Cloud </t>
  </si>
  <si>
    <t xml:space="preserve">North Jackson </t>
  </si>
  <si>
    <t xml:space="preserve">Holton </t>
  </si>
  <si>
    <t xml:space="preserve">Royal Valley </t>
  </si>
  <si>
    <t xml:space="preserve">Valley Falls </t>
  </si>
  <si>
    <t xml:space="preserve">Jefferson County North </t>
  </si>
  <si>
    <t xml:space="preserve">Jefferson West </t>
  </si>
  <si>
    <t xml:space="preserve">Oskaloosa Public Schools </t>
  </si>
  <si>
    <t xml:space="preserve">McLouth </t>
  </si>
  <si>
    <t xml:space="preserve">Perry Public Schools </t>
  </si>
  <si>
    <t xml:space="preserve">Pleasanton </t>
  </si>
  <si>
    <t xml:space="preserve">Seaman </t>
  </si>
  <si>
    <t xml:space="preserve">Jayhawk </t>
  </si>
  <si>
    <t xml:space="preserve">Kinsley-Offerle </t>
  </si>
  <si>
    <t xml:space="preserve">Baldwin City </t>
  </si>
  <si>
    <t xml:space="preserve">Stafford </t>
  </si>
  <si>
    <t xml:space="preserve">St John-Hudson </t>
  </si>
  <si>
    <t xml:space="preserve">Macksville </t>
  </si>
  <si>
    <t xml:space="preserve">Goodland </t>
  </si>
  <si>
    <t xml:space="preserve">Wellington </t>
  </si>
  <si>
    <t xml:space="preserve">Ellinwood Public Schools </t>
  </si>
  <si>
    <t xml:space="preserve">Conway Springs </t>
  </si>
  <si>
    <t xml:space="preserve">Belle Plaine </t>
  </si>
  <si>
    <t xml:space="preserve">Oxford </t>
  </si>
  <si>
    <t xml:space="preserve">Argonia Public Schools </t>
  </si>
  <si>
    <t xml:space="preserve">Caldwell </t>
  </si>
  <si>
    <t xml:space="preserve">Anthony-Harper </t>
  </si>
  <si>
    <t xml:space="preserve">Prairie View </t>
  </si>
  <si>
    <t xml:space="preserve">Holcomb </t>
  </si>
  <si>
    <t xml:space="preserve">Marysville </t>
  </si>
  <si>
    <t xml:space="preserve">Garnett </t>
  </si>
  <si>
    <t xml:space="preserve">Woodson </t>
  </si>
  <si>
    <t xml:space="preserve">Osawatomie </t>
  </si>
  <si>
    <t xml:space="preserve">Paola </t>
  </si>
  <si>
    <t xml:space="preserve">Burrton </t>
  </si>
  <si>
    <t xml:space="preserve">Montezuma </t>
  </si>
  <si>
    <t xml:space="preserve">Silver Lake </t>
  </si>
  <si>
    <t xml:space="preserve">Newton </t>
  </si>
  <si>
    <t xml:space="preserve">Sublette </t>
  </si>
  <si>
    <t xml:space="preserve">Circle </t>
  </si>
  <si>
    <t xml:space="preserve">Sterling </t>
  </si>
  <si>
    <t xml:space="preserve">Atchison Co Comm Schools </t>
  </si>
  <si>
    <t xml:space="preserve">Riley County </t>
  </si>
  <si>
    <t xml:space="preserve">Clay Center </t>
  </si>
  <si>
    <t xml:space="preserve">Vermillion </t>
  </si>
  <si>
    <t xml:space="preserve">Spearville </t>
  </si>
  <si>
    <t xml:space="preserve">Pratt </t>
  </si>
  <si>
    <t xml:space="preserve">Manhattan-Ogden </t>
  </si>
  <si>
    <t xml:space="preserve">Andover </t>
  </si>
  <si>
    <t xml:space="preserve">Madison-Virgil </t>
  </si>
  <si>
    <t xml:space="preserve">Altoona-Midway </t>
  </si>
  <si>
    <t xml:space="preserve">Ellis </t>
  </si>
  <si>
    <t xml:space="preserve">Eureka </t>
  </si>
  <si>
    <t xml:space="preserve">Hamilton </t>
  </si>
  <si>
    <t xml:space="preserve">Osborne County </t>
  </si>
  <si>
    <t xml:space="preserve">Solomon </t>
  </si>
  <si>
    <t xml:space="preserve">Rose Hill Public Schools </t>
  </si>
  <si>
    <t xml:space="preserve">LaCrosse </t>
  </si>
  <si>
    <t xml:space="preserve">Douglass Public Schools </t>
  </si>
  <si>
    <t xml:space="preserve">Centre </t>
  </si>
  <si>
    <t xml:space="preserve">Peabody-Burns </t>
  </si>
  <si>
    <t xml:space="preserve">Paradise </t>
  </si>
  <si>
    <t xml:space="preserve">Smoky Valley </t>
  </si>
  <si>
    <t xml:space="preserve">Chase-Raymond </t>
  </si>
  <si>
    <t xml:space="preserve">Augusta </t>
  </si>
  <si>
    <t xml:space="preserve">Otis-Bison </t>
  </si>
  <si>
    <t xml:space="preserve">Riverton </t>
  </si>
  <si>
    <t xml:space="preserve">Lyons </t>
  </si>
  <si>
    <t xml:space="preserve">Russell County </t>
  </si>
  <si>
    <t xml:space="preserve">Marion-Florence </t>
  </si>
  <si>
    <t xml:space="preserve">Atchison Public Schools </t>
  </si>
  <si>
    <t xml:space="preserve">Durham-Hillsboro-Lehigh </t>
  </si>
  <si>
    <t xml:space="preserve">Goessel </t>
  </si>
  <si>
    <t xml:space="preserve">Hoxie Community Schools </t>
  </si>
  <si>
    <t xml:space="preserve">Chanute Public Schools </t>
  </si>
  <si>
    <t xml:space="preserve">Hiawatha </t>
  </si>
  <si>
    <t xml:space="preserve">Louisburg </t>
  </si>
  <si>
    <t xml:space="preserve">Morris County </t>
  </si>
  <si>
    <t xml:space="preserve">McPherson </t>
  </si>
  <si>
    <t xml:space="preserve">Canton-Galva </t>
  </si>
  <si>
    <t xml:space="preserve">Osage City </t>
  </si>
  <si>
    <t xml:space="preserve">Lyndon </t>
  </si>
  <si>
    <t xml:space="preserve">Kiowa County </t>
  </si>
  <si>
    <t xml:space="preserve">Moundridge </t>
  </si>
  <si>
    <t xml:space="preserve">Pike Valley </t>
  </si>
  <si>
    <t xml:space="preserve">Great Bend </t>
  </si>
  <si>
    <t xml:space="preserve">Troy Public Schools </t>
  </si>
  <si>
    <t xml:space="preserve">South Brown County </t>
  </si>
  <si>
    <t xml:space="preserve">Hoisington </t>
  </si>
  <si>
    <t xml:space="preserve">Victoria </t>
  </si>
  <si>
    <t xml:space="preserve">Santa Fe Trail </t>
  </si>
  <si>
    <t xml:space="preserve">Abilene </t>
  </si>
  <si>
    <t xml:space="preserve">Caney Valley </t>
  </si>
  <si>
    <t xml:space="preserve">Auburn Washburn </t>
  </si>
  <si>
    <t xml:space="preserve">Skyline Schools </t>
  </si>
  <si>
    <t xml:space="preserve">Sedgwick Public Schools </t>
  </si>
  <si>
    <t xml:space="preserve">Halstead </t>
  </si>
  <si>
    <t xml:space="preserve">Dodge City </t>
  </si>
  <si>
    <t xml:space="preserve">Little River </t>
  </si>
  <si>
    <t xml:space="preserve">Coffeyville </t>
  </si>
  <si>
    <t xml:space="preserve">Independence </t>
  </si>
  <si>
    <t xml:space="preserve">Cherryvale </t>
  </si>
  <si>
    <t xml:space="preserve">Inman </t>
  </si>
  <si>
    <t xml:space="preserve">Easton </t>
  </si>
  <si>
    <t xml:space="preserve">Shawnee Heights </t>
  </si>
  <si>
    <t xml:space="preserve">Stanton County </t>
  </si>
  <si>
    <t xml:space="preserve">Leavenworth </t>
  </si>
  <si>
    <t xml:space="preserve">Burlingame Public School </t>
  </si>
  <si>
    <t xml:space="preserve">Marais Des Cygnes Valley </t>
  </si>
  <si>
    <t xml:space="preserve">Garden City </t>
  </si>
  <si>
    <t xml:space="preserve">Basehor-Linwood </t>
  </si>
  <si>
    <t xml:space="preserve">Bucklin </t>
  </si>
  <si>
    <t xml:space="preserve">Hesston </t>
  </si>
  <si>
    <t xml:space="preserve">Neodesha </t>
  </si>
  <si>
    <t xml:space="preserve">Central </t>
  </si>
  <si>
    <t xml:space="preserve">Udall </t>
  </si>
  <si>
    <t xml:space="preserve">Tonganoxie </t>
  </si>
  <si>
    <t xml:space="preserve">Winfield </t>
  </si>
  <si>
    <t xml:space="preserve">Scott County </t>
  </si>
  <si>
    <t xml:space="preserve">Leoti </t>
  </si>
  <si>
    <t xml:space="preserve">Healy Public Schools </t>
  </si>
  <si>
    <t xml:space="preserve">Lansing </t>
  </si>
  <si>
    <t xml:space="preserve">Arkansas City </t>
  </si>
  <si>
    <t xml:space="preserve">Dexter </t>
  </si>
  <si>
    <t xml:space="preserve">Chapman </t>
  </si>
  <si>
    <t xml:space="preserve">Haviland </t>
  </si>
  <si>
    <t xml:space="preserve">Geary County Schools </t>
  </si>
  <si>
    <t xml:space="preserve">Copeland </t>
  </si>
  <si>
    <t xml:space="preserve">Ingalls </t>
  </si>
  <si>
    <t xml:space="preserve">Crest </t>
  </si>
  <si>
    <t xml:space="preserve">Liberal </t>
  </si>
  <si>
    <t xml:space="preserve">Rural Vista </t>
  </si>
  <si>
    <t xml:space="preserve">Dighton </t>
  </si>
  <si>
    <t xml:space="preserve">Kismet-Plains </t>
  </si>
  <si>
    <t xml:space="preserve">Fredonia </t>
  </si>
  <si>
    <t xml:space="preserve">Herington </t>
  </si>
  <si>
    <t xml:space="preserve">Hays </t>
  </si>
  <si>
    <t xml:space="preserve">El Dorado </t>
  </si>
  <si>
    <t xml:space="preserve">Eudora </t>
  </si>
  <si>
    <t xml:space="preserve">Flinthills </t>
  </si>
  <si>
    <t xml:space="preserve">Columbus </t>
  </si>
  <si>
    <t xml:space="preserve">Syracuse </t>
  </si>
  <si>
    <t xml:space="preserve">Ft Larned </t>
  </si>
  <si>
    <t xml:space="preserve">Pawnee Heights </t>
  </si>
  <si>
    <t xml:space="preserve">Lawrence </t>
  </si>
  <si>
    <t xml:space="preserve">Valley Heights </t>
  </si>
  <si>
    <t xml:space="preserve">Galena </t>
  </si>
  <si>
    <t xml:space="preserve">Kansas City </t>
  </si>
  <si>
    <t xml:space="preserve">Topeka Public Schools </t>
  </si>
  <si>
    <t xml:space="preserve">Lewis </t>
  </si>
  <si>
    <t xml:space="preserve">Parsons </t>
  </si>
  <si>
    <t xml:space="preserve">Oswego </t>
  </si>
  <si>
    <t xml:space="preserve">Chetopa-St. Paul </t>
  </si>
  <si>
    <t xml:space="preserve">Labette County </t>
  </si>
  <si>
    <t xml:space="preserve">Satanta </t>
  </si>
  <si>
    <t xml:space="preserve">Baxter Springs </t>
  </si>
  <si>
    <t xml:space="preserve">South Haven </t>
  </si>
  <si>
    <t xml:space="preserve">Attica </t>
  </si>
  <si>
    <t>Shawnee Mission Pub Sch</t>
  </si>
  <si>
    <t>Dup Test</t>
  </si>
  <si>
    <t>STATE TOTALS</t>
  </si>
  <si>
    <t>Sped for LOB</t>
  </si>
  <si>
    <t>Transp A</t>
  </si>
  <si>
    <t>Potential Military District</t>
  </si>
  <si>
    <t>Missing Republication Docs</t>
  </si>
  <si>
    <t>Cimmaron-Ensign</t>
  </si>
  <si>
    <t>USD 424 will close and transfer territory into USD 422 effective FY12.  USD 422 will use combined budget and higher state aid rates locked in for 2011-12 2012-13, 2013-14, 2014-15 and 2015-16 school years.</t>
  </si>
  <si>
    <t>WTD FTE</t>
  </si>
  <si>
    <t>Col 5</t>
  </si>
  <si>
    <t>Percent</t>
  </si>
  <si>
    <t>Col 26</t>
  </si>
  <si>
    <t>Chaparral Schools</t>
  </si>
  <si>
    <t>Reduction</t>
  </si>
  <si>
    <t>Col 27</t>
  </si>
  <si>
    <t xml:space="preserve"> </t>
  </si>
  <si>
    <t>Col 28</t>
  </si>
  <si>
    <t xml:space="preserve">Budget </t>
  </si>
  <si>
    <t>Military Dependent Student for PY</t>
  </si>
  <si>
    <t>Adjusted Enrollment</t>
  </si>
  <si>
    <t>Bilingual Contact Hours WTD FTE</t>
  </si>
  <si>
    <t>Biling Hrs Factor</t>
  </si>
  <si>
    <t>Biling Hdct Factor</t>
  </si>
  <si>
    <t>Bilingual Headcount WTD FTE</t>
  </si>
  <si>
    <t>Career/Tech Ed Factor</t>
  </si>
  <si>
    <t>Free Lunch Factor</t>
  </si>
  <si>
    <t>New Facilities Factor</t>
  </si>
  <si>
    <t>BASE LOB</t>
  </si>
  <si>
    <t>Weighting Factors</t>
  </si>
  <si>
    <t>Col 29</t>
  </si>
  <si>
    <t>Col 30</t>
  </si>
  <si>
    <t>Col 31</t>
  </si>
  <si>
    <t>Col 32</t>
  </si>
  <si>
    <t>Col 34</t>
  </si>
  <si>
    <t>Col 36</t>
  </si>
  <si>
    <t>Col 37</t>
  </si>
  <si>
    <t>(Info Only)</t>
  </si>
  <si>
    <t>Col 33</t>
  </si>
  <si>
    <t>Virt FT</t>
  </si>
  <si>
    <t>Virt PT</t>
  </si>
  <si>
    <t>Virt Credits</t>
  </si>
  <si>
    <t>Col 39</t>
  </si>
  <si>
    <t>Col 38</t>
  </si>
  <si>
    <t>Col 40</t>
  </si>
  <si>
    <t>Col 41</t>
  </si>
  <si>
    <r>
      <rPr>
        <b/>
        <sz val="10"/>
        <rFont val="Calibri"/>
        <family val="2"/>
        <scheme val="minor"/>
      </rPr>
      <t>Prior Year</t>
    </r>
    <r>
      <rPr>
        <sz val="10"/>
        <rFont val="Calibri"/>
        <family val="2"/>
        <scheme val="minor"/>
      </rPr>
      <t xml:space="preserve"> Budget Law Violation</t>
    </r>
  </si>
  <si>
    <r>
      <rPr>
        <b/>
        <sz val="10"/>
        <rFont val="Calibri"/>
        <family val="2"/>
        <scheme val="minor"/>
      </rPr>
      <t>Prior Year</t>
    </r>
    <r>
      <rPr>
        <sz val="10"/>
        <rFont val="Calibri"/>
        <family val="2"/>
        <scheme val="minor"/>
      </rPr>
      <t xml:space="preserve"> Virtual Credits   Audit Adj</t>
    </r>
  </si>
  <si>
    <r>
      <rPr>
        <b/>
        <sz val="10"/>
        <rFont val="Calibri"/>
        <family val="2"/>
        <scheme val="minor"/>
      </rPr>
      <t>Prior Year</t>
    </r>
    <r>
      <rPr>
        <sz val="10"/>
        <rFont val="Calibri"/>
        <family val="2"/>
        <scheme val="minor"/>
      </rPr>
      <t xml:space="preserve"> Total Reductions</t>
    </r>
  </si>
  <si>
    <t>Col 42</t>
  </si>
  <si>
    <t>Col 43</t>
  </si>
  <si>
    <t>Table I - Low &amp; High Enrollment</t>
  </si>
  <si>
    <t>Table II - Transportation</t>
  </si>
  <si>
    <t>Table III - Tax Appeal Amounts</t>
  </si>
  <si>
    <t>Prior Year</t>
  </si>
  <si>
    <t>BLDG Name</t>
  </si>
  <si>
    <t>BLDG #</t>
  </si>
  <si>
    <t>Headcount</t>
  </si>
  <si>
    <t>Total Headcount</t>
  </si>
  <si>
    <t>&gt;=35% and &lt;50%</t>
  </si>
  <si>
    <t>&gt;= 50%</t>
  </si>
  <si>
    <t>High Density</t>
  </si>
  <si>
    <t>Free Lunch</t>
  </si>
  <si>
    <t>Total Free Lunch</t>
  </si>
  <si>
    <t>At Risk</t>
  </si>
  <si>
    <t>Update yellow shaded cells annually for Headcount and Free Lunch; all other should calculated automatically.</t>
  </si>
  <si>
    <t>SCHEDULE INFO</t>
  </si>
  <si>
    <t>HEADCOUNT ENROLLMENT AT A GLANCE</t>
  </si>
  <si>
    <t>Kindergarten</t>
  </si>
  <si>
    <t>Kindergarten (excludes virtual)</t>
  </si>
  <si>
    <t>Bilingual Student Headcount</t>
  </si>
  <si>
    <t>Transported Students 2.5 miles or more</t>
  </si>
  <si>
    <t>Virtual Students/Credits</t>
  </si>
  <si>
    <t>High Density At-Risk Weighting (USD)</t>
  </si>
  <si>
    <t>High Density At-Risk Weighting (School)</t>
  </si>
  <si>
    <t>Subtotal Weighted Enrollment (excl Sped)</t>
  </si>
  <si>
    <t>Full Day K</t>
  </si>
  <si>
    <t>9/20/17 Kindergarten FTE</t>
  </si>
  <si>
    <t>2/20/17 Kindergarten FTE</t>
  </si>
  <si>
    <t>District Global</t>
  </si>
  <si>
    <t>PY Bdgt Red</t>
  </si>
  <si>
    <r>
      <t xml:space="preserve">Bilingual (max Hrs or Hdct) </t>
    </r>
    <r>
      <rPr>
        <b/>
        <sz val="10"/>
        <rFont val="Calibri"/>
        <family val="2"/>
        <scheme val="minor"/>
      </rPr>
      <t>WTD FTE</t>
    </r>
  </si>
  <si>
    <r>
      <t xml:space="preserve">Low and High Enrollment </t>
    </r>
    <r>
      <rPr>
        <b/>
        <sz val="10"/>
        <rFont val="Calibri"/>
        <family val="2"/>
        <scheme val="minor"/>
      </rPr>
      <t>WTD FTE</t>
    </r>
  </si>
  <si>
    <t>Date</t>
  </si>
  <si>
    <t>Virtual Amt for Letter</t>
  </si>
  <si>
    <t>Milt Provision</t>
  </si>
  <si>
    <t>9/20 + 2/20  2016-17 Kdg</t>
  </si>
  <si>
    <t>COPY FORMULA</t>
  </si>
  <si>
    <t>A</t>
  </si>
  <si>
    <t>Adopted GF</t>
  </si>
  <si>
    <t>Qualifies for 3-Year Average (if higher)</t>
  </si>
  <si>
    <t>N/A</t>
  </si>
  <si>
    <t>Order ID</t>
  </si>
  <si>
    <t>Density Figure Range</t>
  </si>
  <si>
    <t>Per Capita Allowance</t>
  </si>
  <si>
    <t>Transportation</t>
  </si>
  <si>
    <t>Per Capita</t>
  </si>
  <si>
    <t>Factor D</t>
  </si>
  <si>
    <t>Current BASE GF</t>
  </si>
  <si>
    <t>FY 2018-19 BSAPP</t>
  </si>
  <si>
    <t>INFO ONLY  9/20/18 + 2/20/19 Transport  Under 2.5</t>
  </si>
  <si>
    <t>2/20/18 Kindergarten FTE</t>
  </si>
  <si>
    <t>Students Eligible for Free Meals (Funding)</t>
  </si>
  <si>
    <t>Comments</t>
  </si>
  <si>
    <t>INFO ONLY</t>
  </si>
  <si>
    <t>High Density At Risk &gt;=50%</t>
  </si>
  <si>
    <t>High Density at Risk &gt;=35% and &lt;50%</t>
  </si>
  <si>
    <t>Transp Adj</t>
  </si>
  <si>
    <t>PY Transp</t>
  </si>
  <si>
    <t>Transp Costs</t>
  </si>
  <si>
    <t>Transp Aid</t>
  </si>
  <si>
    <t>Audited</t>
  </si>
  <si>
    <t>Audit PY Transp</t>
  </si>
  <si>
    <t>Prior Year  Transp Costs</t>
  </si>
  <si>
    <t>LOB Transfers</t>
  </si>
  <si>
    <t>Cost</t>
  </si>
  <si>
    <t>AT-RISK</t>
  </si>
  <si>
    <t>Amount Required to Transfer from LOB to At-Risk</t>
  </si>
  <si>
    <t>Amount Required to Transfer from LOB to Bilingual</t>
  </si>
  <si>
    <t>Transp Constant</t>
  </si>
  <si>
    <t>Factor per Capita Allowance times the Variable (Factor D)</t>
  </si>
  <si>
    <t>9/20 + 2/20 CTE Contact Hrs</t>
  </si>
  <si>
    <t>9/20 + 2/20 Bilingual Student HC</t>
  </si>
  <si>
    <t>9/20+ 2/20 Bilingual Student Contact Hrs</t>
  </si>
  <si>
    <t>9/20 + 2/20  Total Funded HC</t>
  </si>
  <si>
    <t>9/20 + 2/20 Free Meals</t>
  </si>
  <si>
    <t>9/20 + 2/20 Transport &gt; = 2.5</t>
  </si>
  <si>
    <t>9/20 + 2/20 Transport &lt; = 2.5</t>
  </si>
  <si>
    <t>INFO ONLY 9/20 + 2/20 Transport  Out of District</t>
  </si>
  <si>
    <t>9/20 + 2/20 High Density AR</t>
  </si>
  <si>
    <t>INFO ONLY 9/20 FTE Enr (excl 4 yr old AR, KAMS, Virtual)</t>
  </si>
  <si>
    <t>9/20/19 Total Funded FTE</t>
  </si>
  <si>
    <t>2/20/19 FTE Enrollment (excl Kdg,  4yr, Virt, KAMS)</t>
  </si>
  <si>
    <t>2/20/18 FTE Enrollment (excl Kdg, 4yr, Virt, KAMS)</t>
  </si>
  <si>
    <t>NO</t>
  </si>
  <si>
    <t>2/21 Transp. Under 2.5</t>
  </si>
  <si>
    <t xml:space="preserve">2/21 Transp Out of District </t>
  </si>
  <si>
    <t>YES</t>
  </si>
  <si>
    <t>Approved At-Risk</t>
  </si>
  <si>
    <t>Yes</t>
  </si>
  <si>
    <t>2020-21 Approved At-Risk</t>
  </si>
  <si>
    <t>Prelim/Audit          4yr Old At-Risk</t>
  </si>
  <si>
    <t>AT-Risk</t>
  </si>
  <si>
    <t>HD-AR</t>
  </si>
  <si>
    <t>Prelim HD-AR</t>
  </si>
  <si>
    <t>Audited HD-AR</t>
  </si>
  <si>
    <t>Audited WTD FTE (excl SPED)</t>
  </si>
  <si>
    <t>Diff WTD FTE (excl SPED)</t>
  </si>
  <si>
    <t>DIFF HD_AR</t>
  </si>
  <si>
    <t>Prelim WTD FTE (excl SPED)Inc Non-Funded Pre-K</t>
  </si>
  <si>
    <t>Batch</t>
  </si>
  <si>
    <t>9/20 FTE Enr (excl 4yr,  KAMS)</t>
  </si>
  <si>
    <t>9/20 CTE Contact Hrs</t>
  </si>
  <si>
    <t>9/20 Bilingual Student Headcount</t>
  </si>
  <si>
    <t>9/20 Bilingual Student Contact Hrs</t>
  </si>
  <si>
    <t>9/20 Total Funded Headcount</t>
  </si>
  <si>
    <t>9/20 Free Meals</t>
  </si>
  <si>
    <t>9/20 Transp Over  2.5</t>
  </si>
  <si>
    <t>9/20 Transp Under 2.5</t>
  </si>
  <si>
    <t>9/20 Transp. Out of District</t>
  </si>
  <si>
    <t>9/20 Virtual Full-Time</t>
  </si>
  <si>
    <t>9/20 Virtual Part-Time</t>
  </si>
  <si>
    <t>2/20 FTE Enrollment (excl 4yr, Virt, KAMS)</t>
  </si>
  <si>
    <t>2/20 CTE Contact Hrs</t>
  </si>
  <si>
    <t>2/20 Bilingual Student HC</t>
  </si>
  <si>
    <t>2/20 Bilingual Contact Hrs</t>
  </si>
  <si>
    <t>2/20 Free Meals</t>
  </si>
  <si>
    <t>2/20 New Facilities</t>
  </si>
  <si>
    <t>2/20 Transp over 2.5</t>
  </si>
  <si>
    <t xml:space="preserve">Clay County </t>
  </si>
  <si>
    <t>Col 35</t>
  </si>
  <si>
    <t>Col 6</t>
  </si>
  <si>
    <t>Col 22</t>
  </si>
  <si>
    <t>Col 12</t>
  </si>
  <si>
    <t>Col 20</t>
  </si>
  <si>
    <t>Col 23</t>
  </si>
  <si>
    <t>Col 24</t>
  </si>
  <si>
    <t>Col 25</t>
  </si>
  <si>
    <t>Col 45</t>
  </si>
  <si>
    <t>Col 46</t>
  </si>
  <si>
    <t>Col 47</t>
  </si>
  <si>
    <t>Col 48</t>
  </si>
  <si>
    <t>Col 49</t>
  </si>
  <si>
    <t>Col 50</t>
  </si>
  <si>
    <t>Col 51</t>
  </si>
  <si>
    <t>Col 52</t>
  </si>
  <si>
    <t>Col 53</t>
  </si>
  <si>
    <t>Col 54</t>
  </si>
  <si>
    <t>Col 55</t>
  </si>
  <si>
    <t>Col 56</t>
  </si>
  <si>
    <t>Col 57</t>
  </si>
  <si>
    <t>Col 58</t>
  </si>
  <si>
    <t>Col 59</t>
  </si>
  <si>
    <t>Col 60</t>
  </si>
  <si>
    <t>Col 61</t>
  </si>
  <si>
    <t>Col 62</t>
  </si>
  <si>
    <t>Col 63</t>
  </si>
  <si>
    <t>Col 64</t>
  </si>
  <si>
    <t>Col 66</t>
  </si>
  <si>
    <t>Col 67</t>
  </si>
  <si>
    <t>Col 68</t>
  </si>
  <si>
    <t>Col 69</t>
  </si>
  <si>
    <t>Col 70</t>
  </si>
  <si>
    <t>Col 72</t>
  </si>
  <si>
    <t>Col 73</t>
  </si>
  <si>
    <t>Col 74</t>
  </si>
  <si>
    <t>Col 75</t>
  </si>
  <si>
    <t>Col 77</t>
  </si>
  <si>
    <t>Col 78</t>
  </si>
  <si>
    <t>Col 79</t>
  </si>
  <si>
    <t>Col 80</t>
  </si>
  <si>
    <t>Col 81</t>
  </si>
  <si>
    <t>Col 82</t>
  </si>
  <si>
    <t>Col 83</t>
  </si>
  <si>
    <t>Col 44</t>
  </si>
  <si>
    <t>Col 65</t>
  </si>
  <si>
    <t>Col 84</t>
  </si>
  <si>
    <t>N/A                Kindergarten FTE</t>
  </si>
  <si>
    <t>N/A Kindergarten  9/20 + 2/20</t>
  </si>
  <si>
    <r>
      <t xml:space="preserve">Percent of Free Lunch </t>
    </r>
    <r>
      <rPr>
        <b/>
        <sz val="10"/>
        <rFont val="Calibri"/>
        <family val="2"/>
        <scheme val="minor"/>
      </rPr>
      <t>(Current Year)</t>
    </r>
  </si>
  <si>
    <r>
      <rPr>
        <u/>
        <sz val="9"/>
        <color theme="1"/>
        <rFont val="Open Sans Light"/>
        <family val="2"/>
      </rPr>
      <t>INFO ONLY</t>
    </r>
    <r>
      <rPr>
        <sz val="9"/>
        <color theme="1"/>
        <rFont val="Open Sans Light"/>
        <family val="2"/>
      </rPr>
      <t xml:space="preserve"> Total Adj Enr</t>
    </r>
  </si>
  <si>
    <r>
      <rPr>
        <u/>
        <sz val="9"/>
        <color theme="1"/>
        <rFont val="Open Sans Light"/>
        <family val="2"/>
      </rPr>
      <t>INFO ONLY</t>
    </r>
    <r>
      <rPr>
        <sz val="9"/>
        <color theme="1"/>
        <rFont val="Open Sans Light"/>
        <family val="2"/>
      </rPr>
      <t xml:space="preserve"> CY 9/20 &amp; 2/20 Total Enr (Ex 4 yr AR, KAMS, Virtual )</t>
    </r>
  </si>
  <si>
    <r>
      <t xml:space="preserve">SF Legal Max WTD FTE (excl SPED) </t>
    </r>
    <r>
      <rPr>
        <sz val="9"/>
        <color rgb="FFFF0000"/>
        <rFont val="Open Sans Light"/>
        <family val="2"/>
      </rPr>
      <t>(after changing transp formula)</t>
    </r>
  </si>
  <si>
    <t xml:space="preserve">1) D0402-S066 show 4.0 for FT Virtual. Axel is only pulling in 1.0 for FT Virtual. The 3 students are also KAMS students. When we process the Audit, should clear out the difference </t>
  </si>
  <si>
    <t xml:space="preserve">LOB Certified (KSA 72-5143)     </t>
  </si>
  <si>
    <t>Cimarron-Ensign</t>
  </si>
  <si>
    <t xml:space="preserve">Fort Leavenworth </t>
  </si>
  <si>
    <t>Bilingual Headcount (9/20 + 2/20)</t>
  </si>
  <si>
    <t>Bilingual Contact Hours (9/20 + 2/20)</t>
  </si>
  <si>
    <t>upadated</t>
  </si>
  <si>
    <t>Virtual Credits (Dropouts 19 &amp; Under)</t>
  </si>
  <si>
    <t>PY Virtual Credits (20 yrs and older)</t>
  </si>
  <si>
    <t>3yr old Preschool Aged At-Risk FTE</t>
  </si>
  <si>
    <t xml:space="preserve"> 4yr Old Preschool Aged At Risk FTE</t>
  </si>
  <si>
    <t>2/20        3yr Old Preschool Aged At-Risk FTE</t>
  </si>
  <si>
    <t>Pre-School Aged At-Risk</t>
  </si>
  <si>
    <t>9/20 + 2/20           3yr &amp; 4yr AR</t>
  </si>
  <si>
    <t>Col 71</t>
  </si>
  <si>
    <t>Col 76</t>
  </si>
  <si>
    <t>Col 85</t>
  </si>
  <si>
    <r>
      <t xml:space="preserve">CY Virtual Headcount (20 &amp; Over) </t>
    </r>
    <r>
      <rPr>
        <b/>
        <sz val="9"/>
        <rFont val="Open Sans Light"/>
        <family val="2"/>
      </rPr>
      <t>Audited</t>
    </r>
  </si>
  <si>
    <t>Total 3yr &amp; 4yr AR</t>
  </si>
  <si>
    <t>74-3422</t>
  </si>
  <si>
    <t>72-5151</t>
  </si>
  <si>
    <t>72-3613</t>
  </si>
  <si>
    <t>SPEC ED</t>
  </si>
  <si>
    <t>Amount Required to Transfer from General Fund to Special Education</t>
  </si>
  <si>
    <t>BILINGUAL</t>
  </si>
  <si>
    <t>N/A             2022-23  (Dropouts 19 &amp; Under)  Headcount</t>
  </si>
  <si>
    <t>2/20 Total Funded HC (inc Pre-K At-Risk)</t>
  </si>
  <si>
    <t>2023-2024 Adjusted Legal General Fund Budget</t>
  </si>
  <si>
    <r>
      <rPr>
        <b/>
        <sz val="10"/>
        <rFont val="Calibri"/>
        <family val="2"/>
        <scheme val="minor"/>
      </rPr>
      <t>2023-2024</t>
    </r>
    <r>
      <rPr>
        <sz val="10"/>
        <rFont val="Calibri"/>
        <family val="2"/>
        <scheme val="minor"/>
      </rPr>
      <t xml:space="preserve"> LOB Authorized Percent</t>
    </r>
  </si>
  <si>
    <t>Enrollment Decline for 2022-23 to 2021-22</t>
  </si>
  <si>
    <t>2023-24</t>
  </si>
  <si>
    <t>2022-23 Federal Impact Aid</t>
  </si>
  <si>
    <t>0111</t>
  </si>
  <si>
    <t>Erie Elementary</t>
  </si>
  <si>
    <t>0112</t>
  </si>
  <si>
    <t>Galesburg Middle School</t>
  </si>
  <si>
    <t>0113</t>
  </si>
  <si>
    <t>Erie High School</t>
  </si>
  <si>
    <t>0124</t>
  </si>
  <si>
    <t>Cimarron Elem</t>
  </si>
  <si>
    <t>0125</t>
  </si>
  <si>
    <t>Cimarron High</t>
  </si>
  <si>
    <t>2780</t>
  </si>
  <si>
    <t>Cheylin Jr/Sr High</t>
  </si>
  <si>
    <t>3374</t>
  </si>
  <si>
    <t>Cheylin Elementary</t>
  </si>
  <si>
    <t>3348</t>
  </si>
  <si>
    <t>Rawlins County Elementary</t>
  </si>
  <si>
    <t>3350</t>
  </si>
  <si>
    <t>Rawlins County Jr/Sr High School</t>
  </si>
  <si>
    <t>2926</t>
  </si>
  <si>
    <t>Western Plains North Elem</t>
  </si>
  <si>
    <t>2928</t>
  </si>
  <si>
    <t>Western Plains High</t>
  </si>
  <si>
    <t>2966</t>
  </si>
  <si>
    <t>Western Plains South Elem/Jr High</t>
  </si>
  <si>
    <t>2976</t>
  </si>
  <si>
    <t>Rock Hills Elementary School</t>
  </si>
  <si>
    <t>2977</t>
  </si>
  <si>
    <t>Rock Hills Jr/Sr High School</t>
  </si>
  <si>
    <t>2981</t>
  </si>
  <si>
    <t>Washington County High School</t>
  </si>
  <si>
    <t>2983</t>
  </si>
  <si>
    <t>Washington Elementary</t>
  </si>
  <si>
    <t>2972</t>
  </si>
  <si>
    <t>Belleville East Elementary</t>
  </si>
  <si>
    <t>3070</t>
  </si>
  <si>
    <t>Republic County Jr./Sr. High School</t>
  </si>
  <si>
    <t>0192</t>
  </si>
  <si>
    <t>Thunder Ridge Elementary</t>
  </si>
  <si>
    <t>0193</t>
  </si>
  <si>
    <t>Thunder Ridge High School</t>
  </si>
  <si>
    <t>0194</t>
  </si>
  <si>
    <t>Thunder Ridge Middle School</t>
  </si>
  <si>
    <t>0200</t>
  </si>
  <si>
    <t>Doniphan West JR/SR High School</t>
  </si>
  <si>
    <t>0201</t>
  </si>
  <si>
    <t>Doniphan West Elementary School</t>
  </si>
  <si>
    <t>0415</t>
  </si>
  <si>
    <t>Wilson Elementary School</t>
  </si>
  <si>
    <t>0416</t>
  </si>
  <si>
    <t>Central Plains Elementary School - Holyrood</t>
  </si>
  <si>
    <t>0417</t>
  </si>
  <si>
    <t>Central Plains Jr. Sr. High School</t>
  </si>
  <si>
    <t>0399</t>
  </si>
  <si>
    <t>Axtell High</t>
  </si>
  <si>
    <t>0409</t>
  </si>
  <si>
    <t>Sabetha Elementary School</t>
  </si>
  <si>
    <t>0410</t>
  </si>
  <si>
    <t>Sabetha High School</t>
  </si>
  <si>
    <t>0411</t>
  </si>
  <si>
    <t>Sabetha Middle School</t>
  </si>
  <si>
    <t>0462</t>
  </si>
  <si>
    <t>Axtell Elementary School</t>
  </si>
  <si>
    <t>0433</t>
  </si>
  <si>
    <t>Riverside Intermediate</t>
  </si>
  <si>
    <t>0434</t>
  </si>
  <si>
    <t>Riverside Middle School</t>
  </si>
  <si>
    <t>0435</t>
  </si>
  <si>
    <t>Riverside Primary School</t>
  </si>
  <si>
    <t>0436</t>
  </si>
  <si>
    <t>Riverside High School</t>
  </si>
  <si>
    <t>0280</t>
  </si>
  <si>
    <t>Nemaha Central Elementary and Middle School</t>
  </si>
  <si>
    <t>0281</t>
  </si>
  <si>
    <t>Nemaha Central High School</t>
  </si>
  <si>
    <t>0132</t>
  </si>
  <si>
    <t>Greeley County Elem School</t>
  </si>
  <si>
    <t>0134</t>
  </si>
  <si>
    <t>Greeley County Jr./Sr. High</t>
  </si>
  <si>
    <t>0154</t>
  </si>
  <si>
    <t>Junction Elementary</t>
  </si>
  <si>
    <t>0155</t>
  </si>
  <si>
    <t>Turner Sixth Grade Academy</t>
  </si>
  <si>
    <t>0157</t>
  </si>
  <si>
    <t>Midland Trail</t>
  </si>
  <si>
    <t>0160</t>
  </si>
  <si>
    <t>Oak Grove Elem</t>
  </si>
  <si>
    <t>0164</t>
  </si>
  <si>
    <t>Turner Elem</t>
  </si>
  <si>
    <t>0167</t>
  </si>
  <si>
    <t>Turner Middle School</t>
  </si>
  <si>
    <t>0168</t>
  </si>
  <si>
    <t>Turner High</t>
  </si>
  <si>
    <t>0181</t>
  </si>
  <si>
    <t>Piper Prairie Elementary</t>
  </si>
  <si>
    <t>0187</t>
  </si>
  <si>
    <t>Piper Creek Elementary</t>
  </si>
  <si>
    <t>0189</t>
  </si>
  <si>
    <t>Piper Middle</t>
  </si>
  <si>
    <t>0190</t>
  </si>
  <si>
    <t>Piper High</t>
  </si>
  <si>
    <t>0210</t>
  </si>
  <si>
    <t>Bonner Springs Elementary</t>
  </si>
  <si>
    <t>0214</t>
  </si>
  <si>
    <t>Bonner Springs High</t>
  </si>
  <si>
    <t>0216</t>
  </si>
  <si>
    <t>Edwardsville Elem</t>
  </si>
  <si>
    <t>0221</t>
  </si>
  <si>
    <t>Robert E Clark Middle</t>
  </si>
  <si>
    <t>0228</t>
  </si>
  <si>
    <t>Delaware Ridge Elementary</t>
  </si>
  <si>
    <t>0238</t>
  </si>
  <si>
    <t>Bluestem Elementary School</t>
  </si>
  <si>
    <t>0240</t>
  </si>
  <si>
    <t>Bluestem Jr/Sr High</t>
  </si>
  <si>
    <t>0260</t>
  </si>
  <si>
    <t>Frederic Remington High</t>
  </si>
  <si>
    <t>0272</t>
  </si>
  <si>
    <t>Remington Elementary at Potwin</t>
  </si>
  <si>
    <t>0274</t>
  </si>
  <si>
    <t>Remington Middle School</t>
  </si>
  <si>
    <t>0286</t>
  </si>
  <si>
    <t>Bradley Elem</t>
  </si>
  <si>
    <t>0288</t>
  </si>
  <si>
    <t>Eisenhower Elem</t>
  </si>
  <si>
    <t>0290</t>
  </si>
  <si>
    <t>MacArthur Elem</t>
  </si>
  <si>
    <t>0294</t>
  </si>
  <si>
    <t>Patton Jr High</t>
  </si>
  <si>
    <t>0306</t>
  </si>
  <si>
    <t>Trego Grade School</t>
  </si>
  <si>
    <t>0308</t>
  </si>
  <si>
    <t>Trego Community High</t>
  </si>
  <si>
    <t>0342</t>
  </si>
  <si>
    <t>Moscow Elem</t>
  </si>
  <si>
    <t>0344</t>
  </si>
  <si>
    <t>Moscow High</t>
  </si>
  <si>
    <t>0356</t>
  </si>
  <si>
    <t>Hugoton Elem</t>
  </si>
  <si>
    <t>0357</t>
  </si>
  <si>
    <t>Hugoton Middle</t>
  </si>
  <si>
    <t>0358</t>
  </si>
  <si>
    <t>Hugoton High</t>
  </si>
  <si>
    <t>0367</t>
  </si>
  <si>
    <t>Hugoton Learning Academy</t>
  </si>
  <si>
    <t>0374</t>
  </si>
  <si>
    <t>0378</t>
  </si>
  <si>
    <t>Norton Jr High</t>
  </si>
  <si>
    <t>0380</t>
  </si>
  <si>
    <t>Norton High</t>
  </si>
  <si>
    <t>0404</t>
  </si>
  <si>
    <t>Almena Elem</t>
  </si>
  <si>
    <t>0406</t>
  </si>
  <si>
    <t>Northern Valley High</t>
  </si>
  <si>
    <t>0408</t>
  </si>
  <si>
    <t>Long Island Middle School</t>
  </si>
  <si>
    <t>0443</t>
  </si>
  <si>
    <t>Kepley Middle School</t>
  </si>
  <si>
    <t>0444</t>
  </si>
  <si>
    <t>Sullivan Elem</t>
  </si>
  <si>
    <t>0446</t>
  </si>
  <si>
    <t>Ulysses High</t>
  </si>
  <si>
    <t>0450</t>
  </si>
  <si>
    <t>Hickok Elem</t>
  </si>
  <si>
    <t>0466</t>
  </si>
  <si>
    <t>Lakin Elem</t>
  </si>
  <si>
    <t>0467</t>
  </si>
  <si>
    <t>Lakin Middle</t>
  </si>
  <si>
    <t>0468</t>
  </si>
  <si>
    <t>Lakin High</t>
  </si>
  <si>
    <t>0482</t>
  </si>
  <si>
    <t>Deerfield Elem</t>
  </si>
  <si>
    <t>0483</t>
  </si>
  <si>
    <t>Deerfield Middle School</t>
  </si>
  <si>
    <t>0484</t>
  </si>
  <si>
    <t>Deerfield High</t>
  </si>
  <si>
    <t>0496</t>
  </si>
  <si>
    <t>Rolla Elem (PreK-5)</t>
  </si>
  <si>
    <t>0498</t>
  </si>
  <si>
    <t>Rolla JH/HS (6-12)</t>
  </si>
  <si>
    <t>0514</t>
  </si>
  <si>
    <t>Elkhart Middle School</t>
  </si>
  <si>
    <t>0516</t>
  </si>
  <si>
    <t>Elkhart Elem</t>
  </si>
  <si>
    <t>0520</t>
  </si>
  <si>
    <t>Elkhart High</t>
  </si>
  <si>
    <t>0525</t>
  </si>
  <si>
    <t>Point Rock Alternative Learning Center</t>
  </si>
  <si>
    <t>0536</t>
  </si>
  <si>
    <t>Minneola Elem</t>
  </si>
  <si>
    <t>0538</t>
  </si>
  <si>
    <t>Minneola High</t>
  </si>
  <si>
    <t>0552</t>
  </si>
  <si>
    <t>Ashland Elem</t>
  </si>
  <si>
    <t>0553</t>
  </si>
  <si>
    <t>Ashland Junior High School</t>
  </si>
  <si>
    <t>0554</t>
  </si>
  <si>
    <t>Ashland High</t>
  </si>
  <si>
    <t>0620</t>
  </si>
  <si>
    <t>Hanover Elem</t>
  </si>
  <si>
    <t>0622</t>
  </si>
  <si>
    <t>Hanover High</t>
  </si>
  <si>
    <t>0628</t>
  </si>
  <si>
    <t>Linn Elem</t>
  </si>
  <si>
    <t>0630</t>
  </si>
  <si>
    <t>Linn High</t>
  </si>
  <si>
    <t>0658</t>
  </si>
  <si>
    <t>Clifton-Clyde Grade School K-3</t>
  </si>
  <si>
    <t>0660</t>
  </si>
  <si>
    <t>Clifton-Clyde Middle School</t>
  </si>
  <si>
    <t>0668</t>
  </si>
  <si>
    <t>Clifton-Clyde Sr High</t>
  </si>
  <si>
    <t>0684</t>
  </si>
  <si>
    <t>Fowler Elem</t>
  </si>
  <si>
    <t>0686</t>
  </si>
  <si>
    <t>Fowler High</t>
  </si>
  <si>
    <t>0700</t>
  </si>
  <si>
    <t>Meade Elem</t>
  </si>
  <si>
    <t>0702</t>
  </si>
  <si>
    <t>Meade High</t>
  </si>
  <si>
    <t>0722</t>
  </si>
  <si>
    <t>Hodgeman County Elementary</t>
  </si>
  <si>
    <t>0724</t>
  </si>
  <si>
    <t>Hodgeman County High</t>
  </si>
  <si>
    <t>0756</t>
  </si>
  <si>
    <t>Lakewood Elementary</t>
  </si>
  <si>
    <t>0757</t>
  </si>
  <si>
    <t xml:space="preserve">Lakewood Middle </t>
  </si>
  <si>
    <t>0758</t>
  </si>
  <si>
    <t>Cedar Hills Elementary</t>
  </si>
  <si>
    <t>0759</t>
  </si>
  <si>
    <t>Timber Creek Elementary School</t>
  </si>
  <si>
    <t>0765</t>
  </si>
  <si>
    <t>Liberty View Elementary</t>
  </si>
  <si>
    <t>0767</t>
  </si>
  <si>
    <t>Oxford Middle</t>
  </si>
  <si>
    <t>0768</t>
  </si>
  <si>
    <t>Stanley Elementary</t>
  </si>
  <si>
    <t>0769</t>
  </si>
  <si>
    <t>Blue Valley North High</t>
  </si>
  <si>
    <t>0770</t>
  </si>
  <si>
    <t>Blue Valley High</t>
  </si>
  <si>
    <t>0771</t>
  </si>
  <si>
    <t>Morse Elementary</t>
  </si>
  <si>
    <t>0772</t>
  </si>
  <si>
    <t>Valley Park Elementary</t>
  </si>
  <si>
    <t>0773</t>
  </si>
  <si>
    <t>Leawood Elementary</t>
  </si>
  <si>
    <t>0774</t>
  </si>
  <si>
    <t>Stilwell Elementary</t>
  </si>
  <si>
    <t>0776</t>
  </si>
  <si>
    <t>Blue Valley Middle</t>
  </si>
  <si>
    <t>0777</t>
  </si>
  <si>
    <t>Mission Trail Elementary</t>
  </si>
  <si>
    <t>0778</t>
  </si>
  <si>
    <t>Leawood Middle</t>
  </si>
  <si>
    <t>0779</t>
  </si>
  <si>
    <t>Overland Trail Elementary</t>
  </si>
  <si>
    <t>0780</t>
  </si>
  <si>
    <t>Indian Valley Elementary</t>
  </si>
  <si>
    <t>0781</t>
  </si>
  <si>
    <t>Overland Trail Middle</t>
  </si>
  <si>
    <t>0782</t>
  </si>
  <si>
    <t>Oak Hill Elementary</t>
  </si>
  <si>
    <t>0783</t>
  </si>
  <si>
    <t>Cottonwood Point Elementary</t>
  </si>
  <si>
    <t>0784</t>
  </si>
  <si>
    <t>Harmony Middle</t>
  </si>
  <si>
    <t>0785</t>
  </si>
  <si>
    <t>Harmony Elementary</t>
  </si>
  <si>
    <t>0820</t>
  </si>
  <si>
    <t>Blue Valley Southwest High School</t>
  </si>
  <si>
    <t>0823</t>
  </si>
  <si>
    <t>Aubry Bend Middle School</t>
  </si>
  <si>
    <t>0937</t>
  </si>
  <si>
    <t>Wolf Springs Elementary School</t>
  </si>
  <si>
    <t>1370</t>
  </si>
  <si>
    <t>Aspen Grove Elementary</t>
  </si>
  <si>
    <t>7773</t>
  </si>
  <si>
    <t>Prairie Star Elementary</t>
  </si>
  <si>
    <t>7774</t>
  </si>
  <si>
    <t>Blue Valley Northwest High</t>
  </si>
  <si>
    <t>7775</t>
  </si>
  <si>
    <t>Heartland Elementary</t>
  </si>
  <si>
    <t>7776</t>
  </si>
  <si>
    <t>Prairie Star Middle</t>
  </si>
  <si>
    <t>7777</t>
  </si>
  <si>
    <t>Blue Valley West High</t>
  </si>
  <si>
    <t>7786</t>
  </si>
  <si>
    <t>Blue River Elementary</t>
  </si>
  <si>
    <t>7787</t>
  </si>
  <si>
    <t>Pleasant Ridge Middle</t>
  </si>
  <si>
    <t>7788</t>
  </si>
  <si>
    <t>Sunset Ridge Elementary</t>
  </si>
  <si>
    <t>7790</t>
  </si>
  <si>
    <t>Sunrise Point Elementary</t>
  </si>
  <si>
    <t>0787</t>
  </si>
  <si>
    <t>Spring Hill Elementary School</t>
  </si>
  <si>
    <t>0790</t>
  </si>
  <si>
    <t>Spring Hill High School</t>
  </si>
  <si>
    <t>0792</t>
  </si>
  <si>
    <t>Spring Hill Middle School</t>
  </si>
  <si>
    <t>0793</t>
  </si>
  <si>
    <t>Prairie Creek Elementary</t>
  </si>
  <si>
    <t>0929</t>
  </si>
  <si>
    <t>Wolf Creek Elementary School</t>
  </si>
  <si>
    <t>0951</t>
  </si>
  <si>
    <t>Timber Sage Elementary School</t>
  </si>
  <si>
    <t>0954</t>
  </si>
  <si>
    <t>Woodland Spring Middle School</t>
  </si>
  <si>
    <t>0957</t>
  </si>
  <si>
    <t>Dayton Creek Elementary School</t>
  </si>
  <si>
    <t>1333</t>
  </si>
  <si>
    <t>Forest Spring Middle School</t>
  </si>
  <si>
    <t>0804</t>
  </si>
  <si>
    <t>Gardner Elem</t>
  </si>
  <si>
    <t>0808</t>
  </si>
  <si>
    <t>Gardner Edgerton High</t>
  </si>
  <si>
    <t>0812</t>
  </si>
  <si>
    <t>Edgerton Elem</t>
  </si>
  <si>
    <t>0814</t>
  </si>
  <si>
    <t>Sunflower Elementary</t>
  </si>
  <si>
    <t>0815</t>
  </si>
  <si>
    <t>Moonlight Elementary School</t>
  </si>
  <si>
    <t>0816</t>
  </si>
  <si>
    <t>Madison Elementary</t>
  </si>
  <si>
    <t>0817</t>
  </si>
  <si>
    <t>Pioneer Ridge Middle School</t>
  </si>
  <si>
    <t>0818</t>
  </si>
  <si>
    <t>Nike Elementary</t>
  </si>
  <si>
    <t>0819</t>
  </si>
  <si>
    <t>Wheatridge Middle School</t>
  </si>
  <si>
    <t>0927</t>
  </si>
  <si>
    <t>Grand Star Elementary</t>
  </si>
  <si>
    <t>0936</t>
  </si>
  <si>
    <t>Trail Ridge Middle School</t>
  </si>
  <si>
    <t>0825</t>
  </si>
  <si>
    <t>Clear Creek Elem</t>
  </si>
  <si>
    <t>0829</t>
  </si>
  <si>
    <t>Horizon Elementary</t>
  </si>
  <si>
    <t>0832</t>
  </si>
  <si>
    <t>De Soto  High  School</t>
  </si>
  <si>
    <t>0833</t>
  </si>
  <si>
    <t>Mill Valley High School</t>
  </si>
  <si>
    <t>0835</t>
  </si>
  <si>
    <t>Monticello Trails Middle School</t>
  </si>
  <si>
    <t>0836</t>
  </si>
  <si>
    <t>Lexington Trails Middle School</t>
  </si>
  <si>
    <t>0837</t>
  </si>
  <si>
    <t>Starside Elem</t>
  </si>
  <si>
    <t>0841</t>
  </si>
  <si>
    <t>Prairie Ridge Elementary School</t>
  </si>
  <si>
    <t>0842</t>
  </si>
  <si>
    <t>Mize Elementary School</t>
  </si>
  <si>
    <t>0843</t>
  </si>
  <si>
    <t>Riverview Elementary</t>
  </si>
  <si>
    <t>0844</t>
  </si>
  <si>
    <t>Mill Creek Middle School</t>
  </si>
  <si>
    <t>0912</t>
  </si>
  <si>
    <t>Belmont Elementary School</t>
  </si>
  <si>
    <t>0845</t>
  </si>
  <si>
    <t>Olathe Northwest High School</t>
  </si>
  <si>
    <t>0846</t>
  </si>
  <si>
    <t>Regency Place Elementary</t>
  </si>
  <si>
    <t>0847</t>
  </si>
  <si>
    <t>Frontier Trail Middle School</t>
  </si>
  <si>
    <t>0849</t>
  </si>
  <si>
    <t>Brougham Elem</t>
  </si>
  <si>
    <t>0850</t>
  </si>
  <si>
    <t>Central Elem</t>
  </si>
  <si>
    <t>0851</t>
  </si>
  <si>
    <t>Indian Creek Elem</t>
  </si>
  <si>
    <t>0852</t>
  </si>
  <si>
    <t>Fairview Elem</t>
  </si>
  <si>
    <t>0853</t>
  </si>
  <si>
    <t>Briarwood Elem</t>
  </si>
  <si>
    <t>0854</t>
  </si>
  <si>
    <t>Ridgeview Elem</t>
  </si>
  <si>
    <t>0855</t>
  </si>
  <si>
    <t>Walnut Grove Elem</t>
  </si>
  <si>
    <t>0856</t>
  </si>
  <si>
    <t>Prairie Center Elem</t>
  </si>
  <si>
    <t>0857</t>
  </si>
  <si>
    <t>Pioneer Trail Middle School</t>
  </si>
  <si>
    <t>0858</t>
  </si>
  <si>
    <t>Washington Elem</t>
  </si>
  <si>
    <t>0859</t>
  </si>
  <si>
    <t>Countryside Elementary</t>
  </si>
  <si>
    <t>0860</t>
  </si>
  <si>
    <t>Westview Elem</t>
  </si>
  <si>
    <t>0861</t>
  </si>
  <si>
    <t>Santa Fe Trail Middle School</t>
  </si>
  <si>
    <t>0862</t>
  </si>
  <si>
    <t>Oregon Trail Middle School</t>
  </si>
  <si>
    <t>0863</t>
  </si>
  <si>
    <t>Indian Trail Middle School</t>
  </si>
  <si>
    <t>0864</t>
  </si>
  <si>
    <t>Olathe North Sr High</t>
  </si>
  <si>
    <t>0865</t>
  </si>
  <si>
    <t>Olathe South Sr High</t>
  </si>
  <si>
    <t>0868</t>
  </si>
  <si>
    <t>Meadow Lane Elem</t>
  </si>
  <si>
    <t>0870</t>
  </si>
  <si>
    <t>Rolling Ridge Elem</t>
  </si>
  <si>
    <t>0871</t>
  </si>
  <si>
    <t>Northview Elem</t>
  </si>
  <si>
    <t>0872</t>
  </si>
  <si>
    <t>Havencroft Elem</t>
  </si>
  <si>
    <t>0874</t>
  </si>
  <si>
    <t>Scarborough Elem</t>
  </si>
  <si>
    <t>0875</t>
  </si>
  <si>
    <t>Heritage Elementary</t>
  </si>
  <si>
    <t>0876</t>
  </si>
  <si>
    <t>Black Bob Elem</t>
  </si>
  <si>
    <t>0877</t>
  </si>
  <si>
    <t>Tomahawk Elem</t>
  </si>
  <si>
    <t>0885</t>
  </si>
  <si>
    <t>Olathe East Sr High</t>
  </si>
  <si>
    <t>0913</t>
  </si>
  <si>
    <t>Mission Trail Middle School</t>
  </si>
  <si>
    <t>0934</t>
  </si>
  <si>
    <t>Millbrooke Elementary</t>
  </si>
  <si>
    <t>0939</t>
  </si>
  <si>
    <t>Olathe West High School</t>
  </si>
  <si>
    <t>0950</t>
  </si>
  <si>
    <t>Summit Trail Middle School</t>
  </si>
  <si>
    <t>0953</t>
  </si>
  <si>
    <t>Canyon Creek Elementary</t>
  </si>
  <si>
    <t>2781</t>
  </si>
  <si>
    <t>Green Springs Elem</t>
  </si>
  <si>
    <t>2782</t>
  </si>
  <si>
    <t>Mahaffie Elem</t>
  </si>
  <si>
    <t>2783</t>
  </si>
  <si>
    <t>Pleasant Ridge Elem</t>
  </si>
  <si>
    <t>2784</t>
  </si>
  <si>
    <t>Heatherstone Elem</t>
  </si>
  <si>
    <t>2785</t>
  </si>
  <si>
    <t>Bentwood Elem</t>
  </si>
  <si>
    <t>2786</t>
  </si>
  <si>
    <t>California Trail Middle School</t>
  </si>
  <si>
    <t>2787</t>
  </si>
  <si>
    <t>Cedar Creek Elem</t>
  </si>
  <si>
    <t>2789</t>
  </si>
  <si>
    <t>Madison Place Elementary</t>
  </si>
  <si>
    <t>2790</t>
  </si>
  <si>
    <t>Woodland Elem</t>
  </si>
  <si>
    <t>9300</t>
  </si>
  <si>
    <t>Sunnyside Elementary School</t>
  </si>
  <si>
    <t>9301</t>
  </si>
  <si>
    <t>Chisholm Trail Middle School</t>
  </si>
  <si>
    <t>9302</t>
  </si>
  <si>
    <t>Arbor Creek Elementary</t>
  </si>
  <si>
    <t>9304</t>
  </si>
  <si>
    <t>Manchester Park Elementary</t>
  </si>
  <si>
    <t>9305</t>
  </si>
  <si>
    <t>Clearwater Creek Elementary</t>
  </si>
  <si>
    <t>9306</t>
  </si>
  <si>
    <t>Prairie Trail Middle School</t>
  </si>
  <si>
    <t>9307</t>
  </si>
  <si>
    <t>Ravenwood Elementary</t>
  </si>
  <si>
    <t>9311</t>
  </si>
  <si>
    <t>Forest View Elem</t>
  </si>
  <si>
    <t>0898</t>
  </si>
  <si>
    <t>Eugene Ware Elem</t>
  </si>
  <si>
    <t>0900</t>
  </si>
  <si>
    <t>Winfield Scott Elem</t>
  </si>
  <si>
    <t>0902</t>
  </si>
  <si>
    <t>Fort Scott Middle School</t>
  </si>
  <si>
    <t>0904</t>
  </si>
  <si>
    <t>Fort Scott Sr High</t>
  </si>
  <si>
    <t>0964</t>
  </si>
  <si>
    <t>Uniontown High School</t>
  </si>
  <si>
    <t>0966</t>
  </si>
  <si>
    <t>West Bourbon Elementary</t>
  </si>
  <si>
    <t>1010</t>
  </si>
  <si>
    <t>Smith Center Elem</t>
  </si>
  <si>
    <t>1012</t>
  </si>
  <si>
    <t>Smith Center Jr Sr High</t>
  </si>
  <si>
    <t>1060</t>
  </si>
  <si>
    <t>Minneapolis Elementary</t>
  </si>
  <si>
    <t>1064</t>
  </si>
  <si>
    <t>Minneapolis Jr-Sr High School</t>
  </si>
  <si>
    <t>1078</t>
  </si>
  <si>
    <t>Bennington Elem</t>
  </si>
  <si>
    <t>1080</t>
  </si>
  <si>
    <t>Bennington Junior High/High School</t>
  </si>
  <si>
    <t>1088</t>
  </si>
  <si>
    <t>Tescott Elem</t>
  </si>
  <si>
    <t>1090</t>
  </si>
  <si>
    <t>Tescott Junior High/High School</t>
  </si>
  <si>
    <t>1104</t>
  </si>
  <si>
    <t>Sharon Springs Elem</t>
  </si>
  <si>
    <t>1106</t>
  </si>
  <si>
    <t>Wallace County High</t>
  </si>
  <si>
    <t>1120</t>
  </si>
  <si>
    <t>Weskan Elem</t>
  </si>
  <si>
    <t>1122</t>
  </si>
  <si>
    <t>Weskan High</t>
  </si>
  <si>
    <t>1134</t>
  </si>
  <si>
    <t>Lebo Elem</t>
  </si>
  <si>
    <t>1136</t>
  </si>
  <si>
    <t>Lebo High</t>
  </si>
  <si>
    <t>1138</t>
  </si>
  <si>
    <t>Waverly Elem</t>
  </si>
  <si>
    <t>1140</t>
  </si>
  <si>
    <t>Waverly High</t>
  </si>
  <si>
    <t>1154</t>
  </si>
  <si>
    <t>Burlington High</t>
  </si>
  <si>
    <t>1163</t>
  </si>
  <si>
    <t>Burlington Elementary School</t>
  </si>
  <si>
    <t>1165</t>
  </si>
  <si>
    <t>Burlington Middle School 5 - 8</t>
  </si>
  <si>
    <t>1176</t>
  </si>
  <si>
    <t>Southern Coffey County High School</t>
  </si>
  <si>
    <t>1178</t>
  </si>
  <si>
    <t>Southern Coffey County Elementary</t>
  </si>
  <si>
    <t>1182</t>
  </si>
  <si>
    <t>Southern Coffey County Middle School</t>
  </si>
  <si>
    <t>1194</t>
  </si>
  <si>
    <t>Northeast Elem</t>
  </si>
  <si>
    <t>1198</t>
  </si>
  <si>
    <t>North East High</t>
  </si>
  <si>
    <t>1220</t>
  </si>
  <si>
    <t>Southeast Middle School</t>
  </si>
  <si>
    <t>1230</t>
  </si>
  <si>
    <t>Southeast High</t>
  </si>
  <si>
    <t>1232</t>
  </si>
  <si>
    <t>Southeast Elementary School</t>
  </si>
  <si>
    <t>1258</t>
  </si>
  <si>
    <t>R V Haderlein Elem</t>
  </si>
  <si>
    <t>1260</t>
  </si>
  <si>
    <t>Girard Middle</t>
  </si>
  <si>
    <t>1262</t>
  </si>
  <si>
    <t>Girard High</t>
  </si>
  <si>
    <t>1287</t>
  </si>
  <si>
    <t>Frank Layden Elem</t>
  </si>
  <si>
    <t>1291</t>
  </si>
  <si>
    <t>Frontenac Jr. High</t>
  </si>
  <si>
    <t>1293</t>
  </si>
  <si>
    <t>Frontenac Sr. High School</t>
  </si>
  <si>
    <t>1302</t>
  </si>
  <si>
    <t>Geo E Nettels Elem</t>
  </si>
  <si>
    <t>1304</t>
  </si>
  <si>
    <t>Lakeside Elem</t>
  </si>
  <si>
    <t>1307</t>
  </si>
  <si>
    <t>Meadowlark Elementary</t>
  </si>
  <si>
    <t>1310</t>
  </si>
  <si>
    <t>Westside Elem</t>
  </si>
  <si>
    <t>1314</t>
  </si>
  <si>
    <t>Pittsburg Middle School</t>
  </si>
  <si>
    <t>1316</t>
  </si>
  <si>
    <t>Pittsburg High</t>
  </si>
  <si>
    <t>1350</t>
  </si>
  <si>
    <t>NLC Elementary School</t>
  </si>
  <si>
    <t>1358</t>
  </si>
  <si>
    <t>Northern Heights</t>
  </si>
  <si>
    <t>1382</t>
  </si>
  <si>
    <t>Hartford Jr./Sr. High School</t>
  </si>
  <si>
    <t>1388</t>
  </si>
  <si>
    <t>Neosho Rapids Elementary</t>
  </si>
  <si>
    <t>1392</t>
  </si>
  <si>
    <t>Olpe Elementary</t>
  </si>
  <si>
    <t>1394</t>
  </si>
  <si>
    <t>Olpe Jr./Sr. High School</t>
  </si>
  <si>
    <t>1414</t>
  </si>
  <si>
    <t>Village Elem</t>
  </si>
  <si>
    <t>1416</t>
  </si>
  <si>
    <t>Walnut Elem</t>
  </si>
  <si>
    <t>1418</t>
  </si>
  <si>
    <t>W A White Elem</t>
  </si>
  <si>
    <t>1422</t>
  </si>
  <si>
    <t>Emporia Middle School</t>
  </si>
  <si>
    <t>1424</t>
  </si>
  <si>
    <t>Emporia High</t>
  </si>
  <si>
    <t>1428</t>
  </si>
  <si>
    <t>Logan Ave Elem</t>
  </si>
  <si>
    <t>1429</t>
  </si>
  <si>
    <t>Riverside Elementary</t>
  </si>
  <si>
    <t>1430</t>
  </si>
  <si>
    <t>Timmerman Elementary</t>
  </si>
  <si>
    <t>1472</t>
  </si>
  <si>
    <t>Medicine Lodge Grade School</t>
  </si>
  <si>
    <t>1475</t>
  </si>
  <si>
    <t>Medicine Lodge Jr/Sr High School</t>
  </si>
  <si>
    <t>1503</t>
  </si>
  <si>
    <t>South Barber Pre-K-6</t>
  </si>
  <si>
    <t>1504</t>
  </si>
  <si>
    <t>South Barber 7-12</t>
  </si>
  <si>
    <t>1536</t>
  </si>
  <si>
    <t>Marmaton Valley Elem</t>
  </si>
  <si>
    <t>1538</t>
  </si>
  <si>
    <t>Marmaton Valley High</t>
  </si>
  <si>
    <t>1562</t>
  </si>
  <si>
    <t>Iola Middle School</t>
  </si>
  <si>
    <t>1563</t>
  </si>
  <si>
    <t>Iola Elementary School</t>
  </si>
  <si>
    <t>1564</t>
  </si>
  <si>
    <t>Iola Sr High</t>
  </si>
  <si>
    <t>1592</t>
  </si>
  <si>
    <t>Humboldt High School</t>
  </si>
  <si>
    <t>1596</t>
  </si>
  <si>
    <t>Humboldt Elementary School</t>
  </si>
  <si>
    <t>1600</t>
  </si>
  <si>
    <t>Humboldt Middle School</t>
  </si>
  <si>
    <t>1614</t>
  </si>
  <si>
    <t>Adams Elem</t>
  </si>
  <si>
    <t>1617</t>
  </si>
  <si>
    <t>Marshall Middle School</t>
  </si>
  <si>
    <t>1618</t>
  </si>
  <si>
    <t>Allen Elem</t>
  </si>
  <si>
    <t>1622</t>
  </si>
  <si>
    <t>Benton Elem</t>
  </si>
  <si>
    <t>1623</t>
  </si>
  <si>
    <t>Beech Elem</t>
  </si>
  <si>
    <t>1624</t>
  </si>
  <si>
    <t>Black Traditional Magnet Elem</t>
  </si>
  <si>
    <t>1625</t>
  </si>
  <si>
    <t>Gordon Parks Academy</t>
  </si>
  <si>
    <t>1627</t>
  </si>
  <si>
    <t>Mead Middle School</t>
  </si>
  <si>
    <t>1628</t>
  </si>
  <si>
    <t>Jackson Elementary</t>
  </si>
  <si>
    <t>1634</t>
  </si>
  <si>
    <t>Buckner Performing Arts Magnet Elem</t>
  </si>
  <si>
    <t>1636</t>
  </si>
  <si>
    <t>Caldwell Elem</t>
  </si>
  <si>
    <t>1640</t>
  </si>
  <si>
    <t>Cessna Elem</t>
  </si>
  <si>
    <t>1644</t>
  </si>
  <si>
    <t>Chisholm Trail Elem</t>
  </si>
  <si>
    <t>1646</t>
  </si>
  <si>
    <t>Clark Elem</t>
  </si>
  <si>
    <t>1648</t>
  </si>
  <si>
    <t>Cleaveland Traditional Magnet Elementary</t>
  </si>
  <si>
    <t>1650</t>
  </si>
  <si>
    <t>Cloud Elem</t>
  </si>
  <si>
    <t>1652</t>
  </si>
  <si>
    <t>College Hill Elem</t>
  </si>
  <si>
    <t>1653</t>
  </si>
  <si>
    <t>Colvin Elem</t>
  </si>
  <si>
    <t>1658</t>
  </si>
  <si>
    <t>Earhart Environ Magnet Elem</t>
  </si>
  <si>
    <t>1660</t>
  </si>
  <si>
    <t>Enterprise Elem</t>
  </si>
  <si>
    <t>1662</t>
  </si>
  <si>
    <t>Dodge Literacy Magnet</t>
  </si>
  <si>
    <t>1663</t>
  </si>
  <si>
    <t>Ortiz Elementary School</t>
  </si>
  <si>
    <t>1664</t>
  </si>
  <si>
    <t>Christa McAuliffe Academy</t>
  </si>
  <si>
    <t>1669</t>
  </si>
  <si>
    <t>Bryant Opportunity Academy</t>
  </si>
  <si>
    <t>1674</t>
  </si>
  <si>
    <t>Franklin Elem</t>
  </si>
  <si>
    <t>1677</t>
  </si>
  <si>
    <t>Gammon Elem</t>
  </si>
  <si>
    <t>1678</t>
  </si>
  <si>
    <t>Gardiner Elem</t>
  </si>
  <si>
    <t>1684</t>
  </si>
  <si>
    <t>Griffith Elem</t>
  </si>
  <si>
    <t>1686</t>
  </si>
  <si>
    <t>Price-Harris Communications Magnet</t>
  </si>
  <si>
    <t>1688</t>
  </si>
  <si>
    <t>Harry Street Elem</t>
  </si>
  <si>
    <t>1690</t>
  </si>
  <si>
    <t>Hyde Intl Studies/Commun Elem Magnet</t>
  </si>
  <si>
    <t>1693</t>
  </si>
  <si>
    <t>Spaght Multimedia Magnet</t>
  </si>
  <si>
    <t>1694</t>
  </si>
  <si>
    <t>Irving Elementary</t>
  </si>
  <si>
    <t>1695</t>
  </si>
  <si>
    <t>Isely Traditional Magnet Elem</t>
  </si>
  <si>
    <t>1698</t>
  </si>
  <si>
    <t>Jefferson Elem</t>
  </si>
  <si>
    <t>1704</t>
  </si>
  <si>
    <t>Kelly Liberal Arts Academy</t>
  </si>
  <si>
    <t>1706</t>
  </si>
  <si>
    <t>Kensler Elem</t>
  </si>
  <si>
    <t>1708</t>
  </si>
  <si>
    <t>Bostic Traditional Magnet Elem</t>
  </si>
  <si>
    <t>1710</t>
  </si>
  <si>
    <t>Enders STEM and Leadership Magnet</t>
  </si>
  <si>
    <t>1712</t>
  </si>
  <si>
    <t>Lawrence Elem</t>
  </si>
  <si>
    <t>1715</t>
  </si>
  <si>
    <t>Levy Sp Ed Center</t>
  </si>
  <si>
    <t>1718</t>
  </si>
  <si>
    <t>Linwood Elementary</t>
  </si>
  <si>
    <t>1724</t>
  </si>
  <si>
    <t>L'Ouverture Computer Technology Magnet</t>
  </si>
  <si>
    <t>1736</t>
  </si>
  <si>
    <t>McCollom Elem</t>
  </si>
  <si>
    <t>1740</t>
  </si>
  <si>
    <t>McLean Science/Tech Magnet Elem</t>
  </si>
  <si>
    <t>1744</t>
  </si>
  <si>
    <t>Minneha Core Knowledge Elem</t>
  </si>
  <si>
    <t>1746</t>
  </si>
  <si>
    <t>Mueller Aerospace/Engineering Discovery Magne</t>
  </si>
  <si>
    <t>1754</t>
  </si>
  <si>
    <t>O K Elem</t>
  </si>
  <si>
    <t>1756</t>
  </si>
  <si>
    <t>Park Elementary</t>
  </si>
  <si>
    <t>1758</t>
  </si>
  <si>
    <t>Payne Elem</t>
  </si>
  <si>
    <t>1760</t>
  </si>
  <si>
    <t>Peterson Elem</t>
  </si>
  <si>
    <t>1766</t>
  </si>
  <si>
    <t>Riverside Leadership Magnet Elementary</t>
  </si>
  <si>
    <t>1772</t>
  </si>
  <si>
    <t>Seltzer Elem</t>
  </si>
  <si>
    <t>1778</t>
  </si>
  <si>
    <t>Pleasant Valley Elem</t>
  </si>
  <si>
    <t>1780</t>
  </si>
  <si>
    <t>Sowers Alternative High School</t>
  </si>
  <si>
    <t>1782</t>
  </si>
  <si>
    <t>Stanley Elem</t>
  </si>
  <si>
    <t>1785</t>
  </si>
  <si>
    <t>Stucky Middle School</t>
  </si>
  <si>
    <t>1790</t>
  </si>
  <si>
    <t>Washington Accelerated Learning Elem</t>
  </si>
  <si>
    <t>1792</t>
  </si>
  <si>
    <t>Wells Alternative Middle School</t>
  </si>
  <si>
    <t>1796</t>
  </si>
  <si>
    <t>White Elem</t>
  </si>
  <si>
    <t>1798</t>
  </si>
  <si>
    <t>Anderson Elem</t>
  </si>
  <si>
    <t>1800</t>
  </si>
  <si>
    <t>Woodland Health / Wellness Magnet Elem</t>
  </si>
  <si>
    <t>1802</t>
  </si>
  <si>
    <t>Woodman Elem</t>
  </si>
  <si>
    <t>1804</t>
  </si>
  <si>
    <t>Allison Traditional Magnet Middle</t>
  </si>
  <si>
    <t>1806</t>
  </si>
  <si>
    <t>Brooks Magnet Middle School</t>
  </si>
  <si>
    <t>1808</t>
  </si>
  <si>
    <t>Curtis Middle School</t>
  </si>
  <si>
    <t>1810</t>
  </si>
  <si>
    <t>Coleman Middle School</t>
  </si>
  <si>
    <t>1812</t>
  </si>
  <si>
    <t>Hadley Middle School</t>
  </si>
  <si>
    <t>1814</t>
  </si>
  <si>
    <t>Hamilton Middle School</t>
  </si>
  <si>
    <t>1817</t>
  </si>
  <si>
    <t>Jardine Technology Middle Magnet</t>
  </si>
  <si>
    <t>1818</t>
  </si>
  <si>
    <t>Horace Mann Dual Language Magnet</t>
  </si>
  <si>
    <t>1823</t>
  </si>
  <si>
    <t>Northeast Magnet High School</t>
  </si>
  <si>
    <t>1824</t>
  </si>
  <si>
    <t>Mayberry Cultural and Fine Arts Magnet Middle</t>
  </si>
  <si>
    <t>1828</t>
  </si>
  <si>
    <t>Pleasant Valley Middle School</t>
  </si>
  <si>
    <t>1830</t>
  </si>
  <si>
    <t>Robinson Middle School</t>
  </si>
  <si>
    <t>1833</t>
  </si>
  <si>
    <t>Wilbur Middle School</t>
  </si>
  <si>
    <t>1834</t>
  </si>
  <si>
    <t>Truesdell Middle School</t>
  </si>
  <si>
    <t>1836</t>
  </si>
  <si>
    <t>East High</t>
  </si>
  <si>
    <t>1837</t>
  </si>
  <si>
    <t>Wichita Alternative High</t>
  </si>
  <si>
    <t>1838</t>
  </si>
  <si>
    <t>North High</t>
  </si>
  <si>
    <t>1840</t>
  </si>
  <si>
    <t>South High</t>
  </si>
  <si>
    <t>1842</t>
  </si>
  <si>
    <t>1844</t>
  </si>
  <si>
    <t>West High</t>
  </si>
  <si>
    <t>1846</t>
  </si>
  <si>
    <t>Heights High</t>
  </si>
  <si>
    <t>1847</t>
  </si>
  <si>
    <t>Northwest High</t>
  </si>
  <si>
    <t>1948</t>
  </si>
  <si>
    <t>Chisholm Life Skills Center</t>
  </si>
  <si>
    <t>1926</t>
  </si>
  <si>
    <t>Derby Middle Sch</t>
  </si>
  <si>
    <t>1927</t>
  </si>
  <si>
    <t>El Paso Elem</t>
  </si>
  <si>
    <t>1928</t>
  </si>
  <si>
    <t>Oaklawn Elem</t>
  </si>
  <si>
    <t>1930</t>
  </si>
  <si>
    <t>Paul B Cooper Elem</t>
  </si>
  <si>
    <t>1934</t>
  </si>
  <si>
    <t>Swaney Elem</t>
  </si>
  <si>
    <t>1936</t>
  </si>
  <si>
    <t>Wineteer Elem</t>
  </si>
  <si>
    <t>1941</t>
  </si>
  <si>
    <t>Derby Hills Elem</t>
  </si>
  <si>
    <t>1942</t>
  </si>
  <si>
    <t>Derby High School</t>
  </si>
  <si>
    <t>1944</t>
  </si>
  <si>
    <t>Tanglewood Elem</t>
  </si>
  <si>
    <t>1945</t>
  </si>
  <si>
    <t>Park Hill Elementary</t>
  </si>
  <si>
    <t>1976</t>
  </si>
  <si>
    <t>Derby North Middle School</t>
  </si>
  <si>
    <t>2106</t>
  </si>
  <si>
    <t>Stone Creek Elementary</t>
  </si>
  <si>
    <t>1955</t>
  </si>
  <si>
    <t>Haysville West Middle School</t>
  </si>
  <si>
    <t>1956</t>
  </si>
  <si>
    <t>Campus High Haysville</t>
  </si>
  <si>
    <t>1958</t>
  </si>
  <si>
    <t>Haysville Middle School</t>
  </si>
  <si>
    <t>1960</t>
  </si>
  <si>
    <t>Freeman Elem</t>
  </si>
  <si>
    <t>1961</t>
  </si>
  <si>
    <t>Prairie Elementary School</t>
  </si>
  <si>
    <t>1964</t>
  </si>
  <si>
    <t>Nelson Elem</t>
  </si>
  <si>
    <t>1965</t>
  </si>
  <si>
    <t>Ruth Clark Elementary K-5</t>
  </si>
  <si>
    <t>1966</t>
  </si>
  <si>
    <t>Oatville Elem</t>
  </si>
  <si>
    <t>1968</t>
  </si>
  <si>
    <t>Rex Elem</t>
  </si>
  <si>
    <t>1977</t>
  </si>
  <si>
    <t>Valley Center Intermediate School</t>
  </si>
  <si>
    <t>1980</t>
  </si>
  <si>
    <t>Abilene Elem</t>
  </si>
  <si>
    <t>1981</t>
  </si>
  <si>
    <t>Wheatland Elem</t>
  </si>
  <si>
    <t>1984</t>
  </si>
  <si>
    <t>West Elem</t>
  </si>
  <si>
    <t>1985</t>
  </si>
  <si>
    <t>Valley Center Middle School</t>
  </si>
  <si>
    <t>1986</t>
  </si>
  <si>
    <t>Valley Center High</t>
  </si>
  <si>
    <t>1992</t>
  </si>
  <si>
    <t>Mulvane Elem W D Munson</t>
  </si>
  <si>
    <t>1996</t>
  </si>
  <si>
    <t>Mulvane High</t>
  </si>
  <si>
    <t>1997</t>
  </si>
  <si>
    <t>Mulvane Middle School</t>
  </si>
  <si>
    <t>1998</t>
  </si>
  <si>
    <t>Mulvane Grade School</t>
  </si>
  <si>
    <t>2011</t>
  </si>
  <si>
    <t>Clearwater Elementary West</t>
  </si>
  <si>
    <t>2012</t>
  </si>
  <si>
    <t>Clearwater Intermediate - Middle School</t>
  </si>
  <si>
    <t>2014</t>
  </si>
  <si>
    <t>Clearwater High</t>
  </si>
  <si>
    <t>2025</t>
  </si>
  <si>
    <t>Clark Davidson Elem</t>
  </si>
  <si>
    <t>2026</t>
  </si>
  <si>
    <t>Oak Street Elementary School K-4</t>
  </si>
  <si>
    <t>2027</t>
  </si>
  <si>
    <t>Goddard Middle School</t>
  </si>
  <si>
    <t>2028</t>
  </si>
  <si>
    <t>Challenger Intermediate School</t>
  </si>
  <si>
    <t>2029</t>
  </si>
  <si>
    <t>Dwight D. Eisenhower Middle School</t>
  </si>
  <si>
    <t>2030</t>
  </si>
  <si>
    <t>Goddard High</t>
  </si>
  <si>
    <t>2033</t>
  </si>
  <si>
    <t>Amelia Earhart Elementary School</t>
  </si>
  <si>
    <t>2034</t>
  </si>
  <si>
    <t>Discovery Intermediate School</t>
  </si>
  <si>
    <t>2035</t>
  </si>
  <si>
    <t>Explorer Elementary School</t>
  </si>
  <si>
    <t>2069</t>
  </si>
  <si>
    <t>Apollo Elementary School</t>
  </si>
  <si>
    <t>2073</t>
  </si>
  <si>
    <t>Eisenhower High School</t>
  </si>
  <si>
    <t>2043</t>
  </si>
  <si>
    <t>Pray-Woodman Elementary</t>
  </si>
  <si>
    <t>2044</t>
  </si>
  <si>
    <t>Maize Middle School</t>
  </si>
  <si>
    <t>2045</t>
  </si>
  <si>
    <t>Maize South Elementary</t>
  </si>
  <si>
    <t>2046</t>
  </si>
  <si>
    <t>Maize Elementary</t>
  </si>
  <si>
    <t>2047</t>
  </si>
  <si>
    <t>Maize South Middle School</t>
  </si>
  <si>
    <t>2050</t>
  </si>
  <si>
    <t>Maize Sr High</t>
  </si>
  <si>
    <t>2051</t>
  </si>
  <si>
    <t>Maize Central Elementary</t>
  </si>
  <si>
    <t>2052</t>
  </si>
  <si>
    <t>Maize South High School</t>
  </si>
  <si>
    <t>2075</t>
  </si>
  <si>
    <t>Vermillion Elementary School</t>
  </si>
  <si>
    <t>2161</t>
  </si>
  <si>
    <t>Maize Intermediate School</t>
  </si>
  <si>
    <t>2162</t>
  </si>
  <si>
    <t>Maize South Intermediate School</t>
  </si>
  <si>
    <t>2062</t>
  </si>
  <si>
    <t>Andale Elem-Middle</t>
  </si>
  <si>
    <t>2064</t>
  </si>
  <si>
    <t>Andale High</t>
  </si>
  <si>
    <t>2066</t>
  </si>
  <si>
    <t>Colwich Elem</t>
  </si>
  <si>
    <t>2068</t>
  </si>
  <si>
    <t>Garden Plain Elem</t>
  </si>
  <si>
    <t>2070</t>
  </si>
  <si>
    <t>Garden Plain High</t>
  </si>
  <si>
    <t>2071</t>
  </si>
  <si>
    <t>St. Marks School</t>
  </si>
  <si>
    <t>2090</t>
  </si>
  <si>
    <t>Cheney Elem</t>
  </si>
  <si>
    <t>2091</t>
  </si>
  <si>
    <t>Cheney Middle School  6-8</t>
  </si>
  <si>
    <t>2092</t>
  </si>
  <si>
    <t>Cheney High</t>
  </si>
  <si>
    <t>2110</t>
  </si>
  <si>
    <t>Palco Jr. High</t>
  </si>
  <si>
    <t>2115</t>
  </si>
  <si>
    <t>Damar Elementary School</t>
  </si>
  <si>
    <t>2116</t>
  </si>
  <si>
    <t>Palco High</t>
  </si>
  <si>
    <t>2136</t>
  </si>
  <si>
    <t>Plainville Elem</t>
  </si>
  <si>
    <t>2138</t>
  </si>
  <si>
    <t>Plainville High</t>
  </si>
  <si>
    <t>2156</t>
  </si>
  <si>
    <t>Stockton Elem</t>
  </si>
  <si>
    <t>2158</t>
  </si>
  <si>
    <t>Stockton High</t>
  </si>
  <si>
    <t>2171</t>
  </si>
  <si>
    <t>Lakeside Elementary</t>
  </si>
  <si>
    <t>2176</t>
  </si>
  <si>
    <t>Lakeside Junior/Senior High School</t>
  </si>
  <si>
    <t>2179</t>
  </si>
  <si>
    <t>Tipton Community School</t>
  </si>
  <si>
    <t>2214</t>
  </si>
  <si>
    <t>Beloit Elem</t>
  </si>
  <si>
    <t>2218</t>
  </si>
  <si>
    <t>Beloit Jr-Sr High</t>
  </si>
  <si>
    <t>2262</t>
  </si>
  <si>
    <t>Oakley Elem</t>
  </si>
  <si>
    <t>2266</t>
  </si>
  <si>
    <t>Oakley Sr High</t>
  </si>
  <si>
    <t>2268</t>
  </si>
  <si>
    <t>Oakley Middle School</t>
  </si>
  <si>
    <t>2286</t>
  </si>
  <si>
    <t>Winona Elem</t>
  </si>
  <si>
    <t>2288</t>
  </si>
  <si>
    <t>Winona High</t>
  </si>
  <si>
    <t>2407</t>
  </si>
  <si>
    <t>Hill City Junior-Senior High</t>
  </si>
  <si>
    <t>2412</t>
  </si>
  <si>
    <t>Hill City Elem</t>
  </si>
  <si>
    <t>2436</t>
  </si>
  <si>
    <t>West Elk Schools</t>
  </si>
  <si>
    <t>2470</t>
  </si>
  <si>
    <t>Elk Valley Elementary</t>
  </si>
  <si>
    <t>2472</t>
  </si>
  <si>
    <t>Elk Valley High School</t>
  </si>
  <si>
    <t>2489</t>
  </si>
  <si>
    <t>Chase County Junior Senior High School</t>
  </si>
  <si>
    <t>2491</t>
  </si>
  <si>
    <t>Chase County Elementary School</t>
  </si>
  <si>
    <t>2518</t>
  </si>
  <si>
    <t>Cedar Vale Elem</t>
  </si>
  <si>
    <t>2520</t>
  </si>
  <si>
    <t>Cedar Vale High</t>
  </si>
  <si>
    <t>2544</t>
  </si>
  <si>
    <t>Sedan Elem</t>
  </si>
  <si>
    <t>2546</t>
  </si>
  <si>
    <t>Sedan High</t>
  </si>
  <si>
    <t>2559</t>
  </si>
  <si>
    <t>Appanoose Elementary School</t>
  </si>
  <si>
    <t>2563</t>
  </si>
  <si>
    <t>West Franklin Middle School</t>
  </si>
  <si>
    <t>2564</t>
  </si>
  <si>
    <t>Williamsburg Elementary School</t>
  </si>
  <si>
    <t>2569</t>
  </si>
  <si>
    <t>West Franklin High School</t>
  </si>
  <si>
    <t>2584</t>
  </si>
  <si>
    <t>Central Heights High</t>
  </si>
  <si>
    <t>2585</t>
  </si>
  <si>
    <t>Central Heights Elem</t>
  </si>
  <si>
    <t>2620</t>
  </si>
  <si>
    <t>Wellsville Elem</t>
  </si>
  <si>
    <t>2621</t>
  </si>
  <si>
    <t>Wellsville Middle School</t>
  </si>
  <si>
    <t>2622</t>
  </si>
  <si>
    <t>Wellsville High</t>
  </si>
  <si>
    <t>2644</t>
  </si>
  <si>
    <t>Garfield Elem</t>
  </si>
  <si>
    <t>2648</t>
  </si>
  <si>
    <t>Lincoln Elem</t>
  </si>
  <si>
    <t>2650</t>
  </si>
  <si>
    <t>Ottawa Middle School</t>
  </si>
  <si>
    <t>2652</t>
  </si>
  <si>
    <t>Ottawa Sr High</t>
  </si>
  <si>
    <t>2658</t>
  </si>
  <si>
    <t>Sunflower Elementary School</t>
  </si>
  <si>
    <t>2666</t>
  </si>
  <si>
    <t>Grinnell Grade School</t>
  </si>
  <si>
    <t>2671</t>
  </si>
  <si>
    <t>Grinnell Middle School</t>
  </si>
  <si>
    <t>2689</t>
  </si>
  <si>
    <t>Wheatland Elementary School</t>
  </si>
  <si>
    <t>2691</t>
  </si>
  <si>
    <t>Wheatland High School</t>
  </si>
  <si>
    <t>2710</t>
  </si>
  <si>
    <t>Quinter Elem</t>
  </si>
  <si>
    <t>2712</t>
  </si>
  <si>
    <t>Quinter Jr-Sr High</t>
  </si>
  <si>
    <t>2738</t>
  </si>
  <si>
    <t>Oberlin Elem</t>
  </si>
  <si>
    <t>2740</t>
  </si>
  <si>
    <t>Decatur Community Jr/Sr High</t>
  </si>
  <si>
    <t>2812</t>
  </si>
  <si>
    <t>St Francis Elem</t>
  </si>
  <si>
    <t>2816</t>
  </si>
  <si>
    <t>St Francis High</t>
  </si>
  <si>
    <t>2840</t>
  </si>
  <si>
    <t>2842</t>
  </si>
  <si>
    <t>Lincoln Jr/Sr High</t>
  </si>
  <si>
    <t>2860</t>
  </si>
  <si>
    <t>Lucas/Sylvan Elementary Unified</t>
  </si>
  <si>
    <t>2861</t>
  </si>
  <si>
    <t>Sylvan-Lucas Unified Jr. sr</t>
  </si>
  <si>
    <t>2890</t>
  </si>
  <si>
    <t>South Central High School</t>
  </si>
  <si>
    <t>2892</t>
  </si>
  <si>
    <t>South Central Elementary School</t>
  </si>
  <si>
    <t>2894</t>
  </si>
  <si>
    <t>South Central Middle School</t>
  </si>
  <si>
    <t>2948</t>
  </si>
  <si>
    <t>Ness City Elem</t>
  </si>
  <si>
    <t>2952</t>
  </si>
  <si>
    <t>Ness City High</t>
  </si>
  <si>
    <t>2985</t>
  </si>
  <si>
    <t>Coronado Elem</t>
  </si>
  <si>
    <t>2994</t>
  </si>
  <si>
    <t>Heusner Elem</t>
  </si>
  <si>
    <t>3000</t>
  </si>
  <si>
    <t>Meadowlark Ridge Elem</t>
  </si>
  <si>
    <t>3002</t>
  </si>
  <si>
    <t>Oakdale Elem</t>
  </si>
  <si>
    <t>3008</t>
  </si>
  <si>
    <t>Schilling Elem</t>
  </si>
  <si>
    <t>3014</t>
  </si>
  <si>
    <t>Stewart Elem</t>
  </si>
  <si>
    <t>3018</t>
  </si>
  <si>
    <t>Sunset Elem</t>
  </si>
  <si>
    <t>3020</t>
  </si>
  <si>
    <t>Cottonwood Elementary School</t>
  </si>
  <si>
    <t>3022</t>
  </si>
  <si>
    <t>Lakewood Middle School</t>
  </si>
  <si>
    <t>3024</t>
  </si>
  <si>
    <t>Salina South Middle</t>
  </si>
  <si>
    <t>3026</t>
  </si>
  <si>
    <t>Salina High Central</t>
  </si>
  <si>
    <t>3027</t>
  </si>
  <si>
    <t>Salina High South</t>
  </si>
  <si>
    <t>3052</t>
  </si>
  <si>
    <t>Southeast Saline High</t>
  </si>
  <si>
    <t>3056</t>
  </si>
  <si>
    <t>Southeast Saline Elem</t>
  </si>
  <si>
    <t>3080</t>
  </si>
  <si>
    <t>Ell-Saline Middle/High School</t>
  </si>
  <si>
    <t>3082</t>
  </si>
  <si>
    <t>Ell-Saline Elementary</t>
  </si>
  <si>
    <t>3101</t>
  </si>
  <si>
    <t>Hutchinson Magnet School at Allen</t>
  </si>
  <si>
    <t>3106</t>
  </si>
  <si>
    <t>Faris Elementary</t>
  </si>
  <si>
    <t>3108</t>
  </si>
  <si>
    <t>Graber Elementary</t>
  </si>
  <si>
    <t>3116</t>
  </si>
  <si>
    <t>McCandless Elementary</t>
  </si>
  <si>
    <t>3118</t>
  </si>
  <si>
    <t>Morgan Elementary</t>
  </si>
  <si>
    <t>3124</t>
  </si>
  <si>
    <t>Wiley Elementary</t>
  </si>
  <si>
    <t>3130</t>
  </si>
  <si>
    <t>Hutchinson Middle School 8</t>
  </si>
  <si>
    <t>3134</t>
  </si>
  <si>
    <t>Hutchinson High School</t>
  </si>
  <si>
    <t>3139</t>
  </si>
  <si>
    <t>Hutchinson Middle School 7</t>
  </si>
  <si>
    <t>3164</t>
  </si>
  <si>
    <t>Nickerson Elem</t>
  </si>
  <si>
    <t>3166</t>
  </si>
  <si>
    <t>Nickerson High</t>
  </si>
  <si>
    <t>3168</t>
  </si>
  <si>
    <t>Reno Valley Middle School</t>
  </si>
  <si>
    <t>3170</t>
  </si>
  <si>
    <t>South Hutchinson Elem</t>
  </si>
  <si>
    <t>3191</t>
  </si>
  <si>
    <t>Fairfield Schools</t>
  </si>
  <si>
    <t>3218</t>
  </si>
  <si>
    <t>Pretty Prairie Elem</t>
  </si>
  <si>
    <t>3220</t>
  </si>
  <si>
    <t>Pretty Prairie High</t>
  </si>
  <si>
    <t>3222</t>
  </si>
  <si>
    <t>Pretty Prairie Middle</t>
  </si>
  <si>
    <t>3232</t>
  </si>
  <si>
    <t>Haven Elem</t>
  </si>
  <si>
    <t>3233</t>
  </si>
  <si>
    <t>Haven Middle School</t>
  </si>
  <si>
    <t>3234</t>
  </si>
  <si>
    <t>Haven High</t>
  </si>
  <si>
    <t>3238</t>
  </si>
  <si>
    <t>Yoder Charter Elem School</t>
  </si>
  <si>
    <t>3252</t>
  </si>
  <si>
    <t>Buhler Grade School</t>
  </si>
  <si>
    <t>3254</t>
  </si>
  <si>
    <t>Buhler High</t>
  </si>
  <si>
    <t>3261</t>
  </si>
  <si>
    <t>Plum Creek Elementary</t>
  </si>
  <si>
    <t>3262</t>
  </si>
  <si>
    <t>Prairie Hills Middle</t>
  </si>
  <si>
    <t>3264</t>
  </si>
  <si>
    <t>Union Valley Elem</t>
  </si>
  <si>
    <t>3276</t>
  </si>
  <si>
    <t>Brewster Elem</t>
  </si>
  <si>
    <t>3278</t>
  </si>
  <si>
    <t>Brewster High</t>
  </si>
  <si>
    <t>3290</t>
  </si>
  <si>
    <t>Colby Elem</t>
  </si>
  <si>
    <t>3292</t>
  </si>
  <si>
    <t>Colby Middle School</t>
  </si>
  <si>
    <t>3294</t>
  </si>
  <si>
    <t>Colby Senior High</t>
  </si>
  <si>
    <t>3314</t>
  </si>
  <si>
    <t>Golden Plains Middle</t>
  </si>
  <si>
    <t>3316</t>
  </si>
  <si>
    <t>Golden Plains High</t>
  </si>
  <si>
    <t>3318</t>
  </si>
  <si>
    <t>Golden Plains Elem</t>
  </si>
  <si>
    <t>3388</t>
  </si>
  <si>
    <t>Wamego Middle School</t>
  </si>
  <si>
    <t>3396</t>
  </si>
  <si>
    <t>3398</t>
  </si>
  <si>
    <t>Wamego High</t>
  </si>
  <si>
    <t>3399</t>
  </si>
  <si>
    <t>3426</t>
  </si>
  <si>
    <t>Rossville Elem</t>
  </si>
  <si>
    <t>3428</t>
  </si>
  <si>
    <t>Rossville Jr.-Sr. High School</t>
  </si>
  <si>
    <t>3430</t>
  </si>
  <si>
    <t>St Marys Elem</t>
  </si>
  <si>
    <t>3432</t>
  </si>
  <si>
    <t>St. Marys Junior Senior High</t>
  </si>
  <si>
    <t>3454</t>
  </si>
  <si>
    <t>Onaga Middle School</t>
  </si>
  <si>
    <t>3456</t>
  </si>
  <si>
    <t>Onaga Elem</t>
  </si>
  <si>
    <t>3458</t>
  </si>
  <si>
    <t>Onaga Senior High</t>
  </si>
  <si>
    <t>3485</t>
  </si>
  <si>
    <t>Rock Creek Middle School</t>
  </si>
  <si>
    <t>3488</t>
  </si>
  <si>
    <t>St George Elem</t>
  </si>
  <si>
    <t>3492</t>
  </si>
  <si>
    <t>Westmoreland Elem</t>
  </si>
  <si>
    <t>3495</t>
  </si>
  <si>
    <t>Rock Creek High School</t>
  </si>
  <si>
    <t>3538</t>
  </si>
  <si>
    <t>Phillipsburg Elem</t>
  </si>
  <si>
    <t>3540</t>
  </si>
  <si>
    <t>Phillipsburg Middle</t>
  </si>
  <si>
    <t>3542</t>
  </si>
  <si>
    <t>Phillipsburg High</t>
  </si>
  <si>
    <t>3562</t>
  </si>
  <si>
    <t>Logan Elem</t>
  </si>
  <si>
    <t>3564</t>
  </si>
  <si>
    <t>Logan High</t>
  </si>
  <si>
    <t>3594</t>
  </si>
  <si>
    <t>Ellsworth Elem</t>
  </si>
  <si>
    <t>3598</t>
  </si>
  <si>
    <t>Ellsworth High</t>
  </si>
  <si>
    <t>3600</t>
  </si>
  <si>
    <t>Kanopolis Middle</t>
  </si>
  <si>
    <t>3650</t>
  </si>
  <si>
    <t>Wabaunsee Elementary School</t>
  </si>
  <si>
    <t>3652</t>
  </si>
  <si>
    <t>Wabaunsee Sr High</t>
  </si>
  <si>
    <t>3665</t>
  </si>
  <si>
    <t>Wabaunsee Junior High</t>
  </si>
  <si>
    <t>3686</t>
  </si>
  <si>
    <t>Mission Valley Junior and Senior High School</t>
  </si>
  <si>
    <t>3687</t>
  </si>
  <si>
    <t>Mission  Valley Elementary</t>
  </si>
  <si>
    <t>3709</t>
  </si>
  <si>
    <t>Kingman Elementary School</t>
  </si>
  <si>
    <t>3710</t>
  </si>
  <si>
    <t>Kingman Middle School</t>
  </si>
  <si>
    <t>3711</t>
  </si>
  <si>
    <t>Norwich Middle School</t>
  </si>
  <si>
    <t>3712</t>
  </si>
  <si>
    <t>Norwich Elementary School</t>
  </si>
  <si>
    <t>3716</t>
  </si>
  <si>
    <t>Kingman High</t>
  </si>
  <si>
    <t>3724</t>
  </si>
  <si>
    <t>Norwich High</t>
  </si>
  <si>
    <t>3748</t>
  </si>
  <si>
    <t>Cunningham Elem</t>
  </si>
  <si>
    <t>3750</t>
  </si>
  <si>
    <t>Cunningham High</t>
  </si>
  <si>
    <t>3780</t>
  </si>
  <si>
    <t>Concordia Elementary</t>
  </si>
  <si>
    <t>3793</t>
  </si>
  <si>
    <t>Concordia Middle</t>
  </si>
  <si>
    <t>3794</t>
  </si>
  <si>
    <t>Concordia Jr-Sr High</t>
  </si>
  <si>
    <t>3832</t>
  </si>
  <si>
    <t>Glasco Elem</t>
  </si>
  <si>
    <t>3834</t>
  </si>
  <si>
    <t>Glasco High</t>
  </si>
  <si>
    <t>3836</t>
  </si>
  <si>
    <t>Miltonvale Elem</t>
  </si>
  <si>
    <t>3838</t>
  </si>
  <si>
    <t>Miltonvale High</t>
  </si>
  <si>
    <t>3871</t>
  </si>
  <si>
    <t>Jackson Heights Elementary School</t>
  </si>
  <si>
    <t>3872</t>
  </si>
  <si>
    <t>Jackson Heights High School and Middle School</t>
  </si>
  <si>
    <t>3887</t>
  </si>
  <si>
    <t>Holton Elementary School</t>
  </si>
  <si>
    <t>3890</t>
  </si>
  <si>
    <t>Holton Middle</t>
  </si>
  <si>
    <t>3892</t>
  </si>
  <si>
    <t>Holton High</t>
  </si>
  <si>
    <t>3916</t>
  </si>
  <si>
    <t>Royal Valley Elementary</t>
  </si>
  <si>
    <t>3918</t>
  </si>
  <si>
    <t>Royal Valley High</t>
  </si>
  <si>
    <t>3921</t>
  </si>
  <si>
    <t>Royal Valley Middle School</t>
  </si>
  <si>
    <t>3936</t>
  </si>
  <si>
    <t>Valley Falls Elem</t>
  </si>
  <si>
    <t>3938</t>
  </si>
  <si>
    <t>Valley Falls High</t>
  </si>
  <si>
    <t>3950</t>
  </si>
  <si>
    <t>Jefferson County North Elem/Middle</t>
  </si>
  <si>
    <t>3970</t>
  </si>
  <si>
    <t>Jefferson West High</t>
  </si>
  <si>
    <t>3972</t>
  </si>
  <si>
    <t>Jefferson West Middle</t>
  </si>
  <si>
    <t>3975</t>
  </si>
  <si>
    <t>Jefferson West Elementary School</t>
  </si>
  <si>
    <t>3988</t>
  </si>
  <si>
    <t>Oskaloosa Elem</t>
  </si>
  <si>
    <t>3991</t>
  </si>
  <si>
    <t>Oskaloosa JR-SR High School</t>
  </si>
  <si>
    <t>4006</t>
  </si>
  <si>
    <t>McLouth Elem</t>
  </si>
  <si>
    <t>4007</t>
  </si>
  <si>
    <t>McLouth Middle</t>
  </si>
  <si>
    <t>4008</t>
  </si>
  <si>
    <t>McLouth High</t>
  </si>
  <si>
    <t>4022</t>
  </si>
  <si>
    <t>Lecompton Elem</t>
  </si>
  <si>
    <t>4029</t>
  </si>
  <si>
    <t>Perry-Lecompton Middle</t>
  </si>
  <si>
    <t>4030</t>
  </si>
  <si>
    <t>Perry Lecompton High</t>
  </si>
  <si>
    <t>4038</t>
  </si>
  <si>
    <t>Pleasanton Elem</t>
  </si>
  <si>
    <t>4040</t>
  </si>
  <si>
    <t>Pleasanton High</t>
  </si>
  <si>
    <t>4054</t>
  </si>
  <si>
    <t>Logan Elementary</t>
  </si>
  <si>
    <t>4055</t>
  </si>
  <si>
    <t>North Fairview</t>
  </si>
  <si>
    <t>4058</t>
  </si>
  <si>
    <t>Elmont Elem</t>
  </si>
  <si>
    <t>4069</t>
  </si>
  <si>
    <t>Northern Hills Elementary</t>
  </si>
  <si>
    <t>4072</t>
  </si>
  <si>
    <t>West Indianola Elem</t>
  </si>
  <si>
    <t>4075</t>
  </si>
  <si>
    <t>Seaman Middle School</t>
  </si>
  <si>
    <t>4076</t>
  </si>
  <si>
    <t>Seaman High</t>
  </si>
  <si>
    <t>4092</t>
  </si>
  <si>
    <t>Jayhawk Elementary</t>
  </si>
  <si>
    <t>4094</t>
  </si>
  <si>
    <t>Jayhawk-Linn High</t>
  </si>
  <si>
    <t>4117</t>
  </si>
  <si>
    <t>Kinsley Jr/Sr High School</t>
  </si>
  <si>
    <t>4120</t>
  </si>
  <si>
    <t>Kinsley-Offerle Elementary Pre-K-5</t>
  </si>
  <si>
    <t>4141</t>
  </si>
  <si>
    <t>Baldwin Junior High School</t>
  </si>
  <si>
    <t>4142</t>
  </si>
  <si>
    <t>Baldwin High School</t>
  </si>
  <si>
    <t>4150</t>
  </si>
  <si>
    <t>Baldwin Elementary Primary Center</t>
  </si>
  <si>
    <t>4151</t>
  </si>
  <si>
    <t>Baldwin Elementary Intermediate Center</t>
  </si>
  <si>
    <t>4158</t>
  </si>
  <si>
    <t>Stafford Elementary</t>
  </si>
  <si>
    <t>4164</t>
  </si>
  <si>
    <t>Stafford Middle School/High School</t>
  </si>
  <si>
    <t>4180</t>
  </si>
  <si>
    <t>St John Elem</t>
  </si>
  <si>
    <t>4182</t>
  </si>
  <si>
    <t>St John High</t>
  </si>
  <si>
    <t>4196</t>
  </si>
  <si>
    <t>Macksville Elem</t>
  </si>
  <si>
    <t>4200</t>
  </si>
  <si>
    <t>Macksville High</t>
  </si>
  <si>
    <t>4228</t>
  </si>
  <si>
    <t>Goodland Jr-Sr. High School</t>
  </si>
  <si>
    <t>4230</t>
  </si>
  <si>
    <t>North Elementary</t>
  </si>
  <si>
    <t>4239</t>
  </si>
  <si>
    <t>West Elementary</t>
  </si>
  <si>
    <t>4260</t>
  </si>
  <si>
    <t>4265</t>
  </si>
  <si>
    <t>Kennedy Elem</t>
  </si>
  <si>
    <t>4266</t>
  </si>
  <si>
    <t>4274</t>
  </si>
  <si>
    <t>4276</t>
  </si>
  <si>
    <t>Wellington Middle School</t>
  </si>
  <si>
    <t>4280</t>
  </si>
  <si>
    <t>Wellington High School</t>
  </si>
  <si>
    <t>4318</t>
  </si>
  <si>
    <t>Ellinwood Elem</t>
  </si>
  <si>
    <t>4320</t>
  </si>
  <si>
    <t>Ellinwood  Middle School</t>
  </si>
  <si>
    <t>4322</t>
  </si>
  <si>
    <t>Ellinwood High</t>
  </si>
  <si>
    <t>4340</t>
  </si>
  <si>
    <t>Conway Springs Kyle Trueblood</t>
  </si>
  <si>
    <t>4341</t>
  </si>
  <si>
    <t>Conway Springs Middle School</t>
  </si>
  <si>
    <t>4342</t>
  </si>
  <si>
    <t>Conway Springs High School</t>
  </si>
  <si>
    <t>4362</t>
  </si>
  <si>
    <t>Belle Plaine Elem</t>
  </si>
  <si>
    <t>4363</t>
  </si>
  <si>
    <t>Belle Plaine Middle</t>
  </si>
  <si>
    <t>4364</t>
  </si>
  <si>
    <t>Belle Plaine High</t>
  </si>
  <si>
    <t>4388</t>
  </si>
  <si>
    <t>Oxford Elem</t>
  </si>
  <si>
    <t>4390</t>
  </si>
  <si>
    <t>Oxford Jr/Sr High</t>
  </si>
  <si>
    <t>4404</t>
  </si>
  <si>
    <t>Argonia Elem</t>
  </si>
  <si>
    <t>4406</t>
  </si>
  <si>
    <t>Argonia High</t>
  </si>
  <si>
    <t>4420</t>
  </si>
  <si>
    <t>4422</t>
  </si>
  <si>
    <t>Caldwell Secondary School</t>
  </si>
  <si>
    <t>4438</t>
  </si>
  <si>
    <t>Anthony Elem</t>
  </si>
  <si>
    <t>4442</t>
  </si>
  <si>
    <t>Chaparral Jr/Sr High</t>
  </si>
  <si>
    <t>4458</t>
  </si>
  <si>
    <t>Harper Elem</t>
  </si>
  <si>
    <t>4496</t>
  </si>
  <si>
    <t>Lacygne Elem</t>
  </si>
  <si>
    <t>4502</t>
  </si>
  <si>
    <t>Parker Elem</t>
  </si>
  <si>
    <t>4504</t>
  </si>
  <si>
    <t>Prairie View Middle</t>
  </si>
  <si>
    <t>4505</t>
  </si>
  <si>
    <t>Prairie View High</t>
  </si>
  <si>
    <t>4516</t>
  </si>
  <si>
    <t>Holcomb Elem 3-5</t>
  </si>
  <si>
    <t>4517</t>
  </si>
  <si>
    <t>Holcomb Middle</t>
  </si>
  <si>
    <t>4518</t>
  </si>
  <si>
    <t>Holcomb High</t>
  </si>
  <si>
    <t>4519</t>
  </si>
  <si>
    <t>Wiley Elem</t>
  </si>
  <si>
    <t>4545</t>
  </si>
  <si>
    <t>Marysville Elem</t>
  </si>
  <si>
    <t>4548</t>
  </si>
  <si>
    <t>Marysville Jr/Sr High</t>
  </si>
  <si>
    <t>4580</t>
  </si>
  <si>
    <t>Garnett Elementary School</t>
  </si>
  <si>
    <t>4592</t>
  </si>
  <si>
    <t>Greeley Elem</t>
  </si>
  <si>
    <t>4610</t>
  </si>
  <si>
    <t>Westphalia</t>
  </si>
  <si>
    <t>4612</t>
  </si>
  <si>
    <t>Anderson County Jr/Sr High School</t>
  </si>
  <si>
    <t>4639</t>
  </si>
  <si>
    <t>Yates Center Elem</t>
  </si>
  <si>
    <t>4646</t>
  </si>
  <si>
    <t>Yates Center High</t>
  </si>
  <si>
    <t>4662</t>
  </si>
  <si>
    <t>Trojan Elem</t>
  </si>
  <si>
    <t>4664</t>
  </si>
  <si>
    <t>Swenson Early Childhood Education Center</t>
  </si>
  <si>
    <t>4665</t>
  </si>
  <si>
    <t>Osawatomie Middle School</t>
  </si>
  <si>
    <t>4666</t>
  </si>
  <si>
    <t>Osawatomie High</t>
  </si>
  <si>
    <t>4690</t>
  </si>
  <si>
    <t>Sunflower Elem</t>
  </si>
  <si>
    <t>4694</t>
  </si>
  <si>
    <t>Paola Middle</t>
  </si>
  <si>
    <t>4700</t>
  </si>
  <si>
    <t>Paola High</t>
  </si>
  <si>
    <t>4701</t>
  </si>
  <si>
    <t>Cottonwood Elem</t>
  </si>
  <si>
    <t>4734</t>
  </si>
  <si>
    <t>Burrton Elem</t>
  </si>
  <si>
    <t>4736</t>
  </si>
  <si>
    <t>Burrton MS/HS</t>
  </si>
  <si>
    <t>4762</t>
  </si>
  <si>
    <t>Montezuma Elem</t>
  </si>
  <si>
    <t>4764</t>
  </si>
  <si>
    <t>South Gray High</t>
  </si>
  <si>
    <t>4776</t>
  </si>
  <si>
    <t>Silver Lake Elem</t>
  </si>
  <si>
    <t>4778</t>
  </si>
  <si>
    <t>Silver Lake Jr-Sr High</t>
  </si>
  <si>
    <t>4810</t>
  </si>
  <si>
    <t>Newton Sr High</t>
  </si>
  <si>
    <t>4821</t>
  </si>
  <si>
    <t>Chisholm Middle School</t>
  </si>
  <si>
    <t>4823</t>
  </si>
  <si>
    <t>Northridge Elementary</t>
  </si>
  <si>
    <t>4824</t>
  </si>
  <si>
    <t>Santa Fe 5/6 Center</t>
  </si>
  <si>
    <t>4827</t>
  </si>
  <si>
    <t>Slate Creek Elementary</t>
  </si>
  <si>
    <t>4831</t>
  </si>
  <si>
    <t>South Breeze Elementary</t>
  </si>
  <si>
    <t>4842</t>
  </si>
  <si>
    <t>Sunset Elementary</t>
  </si>
  <si>
    <t>4847</t>
  </si>
  <si>
    <t>Opportunity Academy</t>
  </si>
  <si>
    <t>4834</t>
  </si>
  <si>
    <t>Sublette Elem</t>
  </si>
  <si>
    <t>4836</t>
  </si>
  <si>
    <t>Sublette High</t>
  </si>
  <si>
    <t>4838</t>
  </si>
  <si>
    <t>Sublette Middle</t>
  </si>
  <si>
    <t>4850</t>
  </si>
  <si>
    <t>Circle Benton Elementary</t>
  </si>
  <si>
    <t>4852</t>
  </si>
  <si>
    <t>Circle High</t>
  </si>
  <si>
    <t>4854</t>
  </si>
  <si>
    <t>Circle Oil Hill Elementary</t>
  </si>
  <si>
    <t>4856</t>
  </si>
  <si>
    <t>Circle Towanda Elementary</t>
  </si>
  <si>
    <t>4859</t>
  </si>
  <si>
    <t>Circle Middle School</t>
  </si>
  <si>
    <t>4876</t>
  </si>
  <si>
    <t>Circle Greenwich Elementary</t>
  </si>
  <si>
    <t>4864</t>
  </si>
  <si>
    <t>Sterling Grade School</t>
  </si>
  <si>
    <t>4866</t>
  </si>
  <si>
    <t>Sterling Junior High/Senior High</t>
  </si>
  <si>
    <t>4889</t>
  </si>
  <si>
    <t>Atchison County Community Elementary School</t>
  </si>
  <si>
    <t>4891</t>
  </si>
  <si>
    <t>Atchison County Community JR/SR High</t>
  </si>
  <si>
    <t>4950</t>
  </si>
  <si>
    <t>Riley County Grade School</t>
  </si>
  <si>
    <t>4952</t>
  </si>
  <si>
    <t>Riley County High School</t>
  </si>
  <si>
    <t>4970</t>
  </si>
  <si>
    <t>4972</t>
  </si>
  <si>
    <t>4974</t>
  </si>
  <si>
    <t>Clay Center Community Middle</t>
  </si>
  <si>
    <t>4976</t>
  </si>
  <si>
    <t>Clay Center Community High</t>
  </si>
  <si>
    <t>5014</t>
  </si>
  <si>
    <t>Wakefield Elem</t>
  </si>
  <si>
    <t>5016</t>
  </si>
  <si>
    <t>Wakefield High</t>
  </si>
  <si>
    <t>5032</t>
  </si>
  <si>
    <t>Centralia Elem</t>
  </si>
  <si>
    <t>5034</t>
  </si>
  <si>
    <t>Centralia High</t>
  </si>
  <si>
    <t>5036</t>
  </si>
  <si>
    <t>Frankfort Elem</t>
  </si>
  <si>
    <t>5038</t>
  </si>
  <si>
    <t>Frankfort High</t>
  </si>
  <si>
    <t>5058</t>
  </si>
  <si>
    <t>Spearville Elem</t>
  </si>
  <si>
    <t>5060</t>
  </si>
  <si>
    <t>Spearville Jr/Sr High</t>
  </si>
  <si>
    <t>5088</t>
  </si>
  <si>
    <t>Southwest Elem</t>
  </si>
  <si>
    <t>5090</t>
  </si>
  <si>
    <t>Liberty Middle School</t>
  </si>
  <si>
    <t>5092</t>
  </si>
  <si>
    <t>Pratt Sr High</t>
  </si>
  <si>
    <t>5112</t>
  </si>
  <si>
    <t>Amanda Arnold Elem</t>
  </si>
  <si>
    <t>5113</t>
  </si>
  <si>
    <t>Frank V Bergman Elem</t>
  </si>
  <si>
    <t>5114</t>
  </si>
  <si>
    <t>Bluemont Elementary School</t>
  </si>
  <si>
    <t>5124</t>
  </si>
  <si>
    <t>Lee Elem</t>
  </si>
  <si>
    <t>5126</t>
  </si>
  <si>
    <t>Marlatt Elem</t>
  </si>
  <si>
    <t>5128</t>
  </si>
  <si>
    <t>5130</t>
  </si>
  <si>
    <t>Theo Roosevelt Elem</t>
  </si>
  <si>
    <t>5132</t>
  </si>
  <si>
    <t>Woodrow Wilson Elem</t>
  </si>
  <si>
    <t>5135</t>
  </si>
  <si>
    <t>Susan B Anthony Middle School</t>
  </si>
  <si>
    <t>5136</t>
  </si>
  <si>
    <t>Manhattan High School</t>
  </si>
  <si>
    <t>5137</t>
  </si>
  <si>
    <t>Dwight D Eisenhower Middle School</t>
  </si>
  <si>
    <t>5138</t>
  </si>
  <si>
    <t>Ogden Elem</t>
  </si>
  <si>
    <t>5139</t>
  </si>
  <si>
    <t>Oliver Brown Elementary</t>
  </si>
  <si>
    <t>5160</t>
  </si>
  <si>
    <t>McCormick Elementary</t>
  </si>
  <si>
    <t>5164</t>
  </si>
  <si>
    <t>Randolph Middle</t>
  </si>
  <si>
    <t>5166</t>
  </si>
  <si>
    <t>5177</t>
  </si>
  <si>
    <t>Cottonwood Elementary</t>
  </si>
  <si>
    <t>5179</t>
  </si>
  <si>
    <t>Andover Middle School</t>
  </si>
  <si>
    <t>5180</t>
  </si>
  <si>
    <t>Andover High</t>
  </si>
  <si>
    <t>5181</t>
  </si>
  <si>
    <t>Robert M. Martin Elementary</t>
  </si>
  <si>
    <t>5182</t>
  </si>
  <si>
    <t>5183</t>
  </si>
  <si>
    <t>5184</t>
  </si>
  <si>
    <t>5185</t>
  </si>
  <si>
    <t>Andover Central Middle School</t>
  </si>
  <si>
    <t>5186</t>
  </si>
  <si>
    <t>Andover Central High School</t>
  </si>
  <si>
    <t>5187</t>
  </si>
  <si>
    <t>Wheatland Elementary</t>
  </si>
  <si>
    <t>5198</t>
  </si>
  <si>
    <t>Madison Elem</t>
  </si>
  <si>
    <t>5202</t>
  </si>
  <si>
    <t>Madison High</t>
  </si>
  <si>
    <t>5215</t>
  </si>
  <si>
    <t>Altoona-Midway Elementary</t>
  </si>
  <si>
    <t>5223</t>
  </si>
  <si>
    <t>Altoona-Midway Middle/High School</t>
  </si>
  <si>
    <t>5236</t>
  </si>
  <si>
    <t>5238</t>
  </si>
  <si>
    <t>Ellis Jr/Sr High</t>
  </si>
  <si>
    <t>5268</t>
  </si>
  <si>
    <t>Eureka Jr/Sr High</t>
  </si>
  <si>
    <t>5287</t>
  </si>
  <si>
    <t>Marshall Elementary School</t>
  </si>
  <si>
    <t>5296</t>
  </si>
  <si>
    <t>Hamilton Elem</t>
  </si>
  <si>
    <t>5298</t>
  </si>
  <si>
    <t>Hamilton High</t>
  </si>
  <si>
    <t>5332</t>
  </si>
  <si>
    <t>Osborne Elem</t>
  </si>
  <si>
    <t>5334</t>
  </si>
  <si>
    <t>Osborne Junior/Senior High</t>
  </si>
  <si>
    <t>5354</t>
  </si>
  <si>
    <t>Solomon Elem</t>
  </si>
  <si>
    <t>5356</t>
  </si>
  <si>
    <t>Solomon High</t>
  </si>
  <si>
    <t>5370</t>
  </si>
  <si>
    <t>Rose Hill Primary</t>
  </si>
  <si>
    <t>5371</t>
  </si>
  <si>
    <t>Rose Hill Middle</t>
  </si>
  <si>
    <t>5372</t>
  </si>
  <si>
    <t>Rose Hill High</t>
  </si>
  <si>
    <t>5374</t>
  </si>
  <si>
    <t>Rose Hill Intermediate</t>
  </si>
  <si>
    <t>5389</t>
  </si>
  <si>
    <t>La Crosse Elementary</t>
  </si>
  <si>
    <t>5390</t>
  </si>
  <si>
    <t>La Crosse High</t>
  </si>
  <si>
    <t>5396</t>
  </si>
  <si>
    <t>La Crosse Middle School</t>
  </si>
  <si>
    <t>5411</t>
  </si>
  <si>
    <t>Leonard C Seal Elem</t>
  </si>
  <si>
    <t>5413</t>
  </si>
  <si>
    <t>Marvin Sisk Middle School</t>
  </si>
  <si>
    <t>5414</t>
  </si>
  <si>
    <t>Douglass High</t>
  </si>
  <si>
    <t>5435</t>
  </si>
  <si>
    <t>Centre</t>
  </si>
  <si>
    <t>5460</t>
  </si>
  <si>
    <t>Peabody-Burns Elementary</t>
  </si>
  <si>
    <t>5462</t>
  </si>
  <si>
    <t>Peabody-Burns Jr/Sr High School</t>
  </si>
  <si>
    <t>5486</t>
  </si>
  <si>
    <t>Natoma Elem</t>
  </si>
  <si>
    <t>5488</t>
  </si>
  <si>
    <t>Natoma High (6-12)</t>
  </si>
  <si>
    <t>5504</t>
  </si>
  <si>
    <t>Soderstrom Elem</t>
  </si>
  <si>
    <t>5505</t>
  </si>
  <si>
    <t>Smoky Valley Middle School</t>
  </si>
  <si>
    <t>5506</t>
  </si>
  <si>
    <t>Smoky Valley High</t>
  </si>
  <si>
    <t>5534</t>
  </si>
  <si>
    <t>Chase Raymond Primary Intermediate School</t>
  </si>
  <si>
    <t>5536</t>
  </si>
  <si>
    <t>Chase High</t>
  </si>
  <si>
    <t>5554</t>
  </si>
  <si>
    <t>5555</t>
  </si>
  <si>
    <t>Ewalt Elementary</t>
  </si>
  <si>
    <t>5556</t>
  </si>
  <si>
    <t>5560</t>
  </si>
  <si>
    <t>Augusta Middle School</t>
  </si>
  <si>
    <t>5562</t>
  </si>
  <si>
    <t>Augusta Sr High</t>
  </si>
  <si>
    <t>5598</t>
  </si>
  <si>
    <t>Otis-Bison Elementary</t>
  </si>
  <si>
    <t>5600</t>
  </si>
  <si>
    <t>Otis-Bison Junior/Senior High School</t>
  </si>
  <si>
    <t>5620</t>
  </si>
  <si>
    <t>Riverton Elem</t>
  </si>
  <si>
    <t>5621</t>
  </si>
  <si>
    <t>Riverton Middle</t>
  </si>
  <si>
    <t>5622</t>
  </si>
  <si>
    <t>Riverton High</t>
  </si>
  <si>
    <t>5636</t>
  </si>
  <si>
    <t>Lyons Central Elementary</t>
  </si>
  <si>
    <t>5638</t>
  </si>
  <si>
    <t>Lyons Park Elementary</t>
  </si>
  <si>
    <t>5640</t>
  </si>
  <si>
    <t>Lyons Middle School</t>
  </si>
  <si>
    <t>5642</t>
  </si>
  <si>
    <t>Lyons High School</t>
  </si>
  <si>
    <t>5718</t>
  </si>
  <si>
    <t>Bickerdyke Elem</t>
  </si>
  <si>
    <t>5720</t>
  </si>
  <si>
    <t>Simpson Elem</t>
  </si>
  <si>
    <t>5722</t>
  </si>
  <si>
    <t>Ruppenthal Middle</t>
  </si>
  <si>
    <t>5724</t>
  </si>
  <si>
    <t>Russell High</t>
  </si>
  <si>
    <t>5746</t>
  </si>
  <si>
    <t>Marion Middle</t>
  </si>
  <si>
    <t>5748</t>
  </si>
  <si>
    <t>Marion High</t>
  </si>
  <si>
    <t>5750</t>
  </si>
  <si>
    <t>Marion Elem</t>
  </si>
  <si>
    <t>5761</t>
  </si>
  <si>
    <t>Atchison Elementary School</t>
  </si>
  <si>
    <t>5770</t>
  </si>
  <si>
    <t>Atchison High  School</t>
  </si>
  <si>
    <t>5775</t>
  </si>
  <si>
    <t>Central School</t>
  </si>
  <si>
    <t>5776</t>
  </si>
  <si>
    <t>Atchison Middle School</t>
  </si>
  <si>
    <t>5812</t>
  </si>
  <si>
    <t>Hillsboro Elem</t>
  </si>
  <si>
    <t>5814</t>
  </si>
  <si>
    <t>Hillsboro Middle/High School</t>
  </si>
  <si>
    <t>5834</t>
  </si>
  <si>
    <t>Goessel Elem</t>
  </si>
  <si>
    <t>5836</t>
  </si>
  <si>
    <t>Goessel High</t>
  </si>
  <si>
    <t>5852</t>
  </si>
  <si>
    <t>Hoxie Elem</t>
  </si>
  <si>
    <t>5854</t>
  </si>
  <si>
    <t>Hoxie High</t>
  </si>
  <si>
    <t>5871</t>
  </si>
  <si>
    <t>Chanute Elementary School</t>
  </si>
  <si>
    <t>5880</t>
  </si>
  <si>
    <t>Royster Middle School</t>
  </si>
  <si>
    <t>5882</t>
  </si>
  <si>
    <t>Chanute High</t>
  </si>
  <si>
    <t>5936</t>
  </si>
  <si>
    <t>Hiawatha Elem</t>
  </si>
  <si>
    <t>5940</t>
  </si>
  <si>
    <t>Hiawatha Sr High</t>
  </si>
  <si>
    <t>5950</t>
  </si>
  <si>
    <t>Hiawatha Middle School</t>
  </si>
  <si>
    <t>5970</t>
  </si>
  <si>
    <t>Broadmoor Elementary</t>
  </si>
  <si>
    <t>5972</t>
  </si>
  <si>
    <t>Louisburg High</t>
  </si>
  <si>
    <t>5978</t>
  </si>
  <si>
    <t>Louisburg Middle</t>
  </si>
  <si>
    <t>5980</t>
  </si>
  <si>
    <t>Rockville Elementary School</t>
  </si>
  <si>
    <t>5987</t>
  </si>
  <si>
    <t>Prairie Heights Elementary School</t>
  </si>
  <si>
    <t>5990</t>
  </si>
  <si>
    <t>Council Grove Elementary School</t>
  </si>
  <si>
    <t>5994</t>
  </si>
  <si>
    <t>Council Grove Junior Senior High School</t>
  </si>
  <si>
    <t>6028</t>
  </si>
  <si>
    <t>Eisenhower Elementary</t>
  </si>
  <si>
    <t>6030</t>
  </si>
  <si>
    <t>6032</t>
  </si>
  <si>
    <t>Roosevelt Elem</t>
  </si>
  <si>
    <t>6034</t>
  </si>
  <si>
    <t>6038</t>
  </si>
  <si>
    <t>McPherson Middle School</t>
  </si>
  <si>
    <t>6040</t>
  </si>
  <si>
    <t>McPherson High</t>
  </si>
  <si>
    <t>6066</t>
  </si>
  <si>
    <t>Canton-Galva Jr./Sr. High</t>
  </si>
  <si>
    <t>6070</t>
  </si>
  <si>
    <t>Canton-Galva Elementary</t>
  </si>
  <si>
    <t>6088</t>
  </si>
  <si>
    <t>Osage City Elem</t>
  </si>
  <si>
    <t>6090</t>
  </si>
  <si>
    <t>Osage City High</t>
  </si>
  <si>
    <t>6091</t>
  </si>
  <si>
    <t>Osage City Middle School</t>
  </si>
  <si>
    <t>6102</t>
  </si>
  <si>
    <t>Lyndon Elem</t>
  </si>
  <si>
    <t>6104</t>
  </si>
  <si>
    <t>Lyndon High</t>
  </si>
  <si>
    <t>6118</t>
  </si>
  <si>
    <t>Kiowa County Elem/Jr. High</t>
  </si>
  <si>
    <t>6122</t>
  </si>
  <si>
    <t>Kiowa County High School</t>
  </si>
  <si>
    <t>6140</t>
  </si>
  <si>
    <t>Moundridge Elem</t>
  </si>
  <si>
    <t>6142</t>
  </si>
  <si>
    <t>Moundridge High</t>
  </si>
  <si>
    <t>6146</t>
  </si>
  <si>
    <t>Moundridge Middle</t>
  </si>
  <si>
    <t>6192</t>
  </si>
  <si>
    <t>Pike Valley Elem</t>
  </si>
  <si>
    <t>6194</t>
  </si>
  <si>
    <t>Pike Valley Jr High</t>
  </si>
  <si>
    <t>6206</t>
  </si>
  <si>
    <t>Pike Valley High</t>
  </si>
  <si>
    <t>6256</t>
  </si>
  <si>
    <t>6268</t>
  </si>
  <si>
    <t>6270</t>
  </si>
  <si>
    <t>6274</t>
  </si>
  <si>
    <t>Park Elem</t>
  </si>
  <si>
    <t>6276</t>
  </si>
  <si>
    <t>Riley Elem</t>
  </si>
  <si>
    <t>6280</t>
  </si>
  <si>
    <t>Great Bend Middle School</t>
  </si>
  <si>
    <t>6284</t>
  </si>
  <si>
    <t>Great Bend High School</t>
  </si>
  <si>
    <t>6324</t>
  </si>
  <si>
    <t>Troy Elem</t>
  </si>
  <si>
    <t>6326</t>
  </si>
  <si>
    <t>Troy High and Middle School</t>
  </si>
  <si>
    <t>6344</t>
  </si>
  <si>
    <t>Everest Middle</t>
  </si>
  <si>
    <t>6348</t>
  </si>
  <si>
    <t>Horton Elem</t>
  </si>
  <si>
    <t>6350</t>
  </si>
  <si>
    <t>Horton High</t>
  </si>
  <si>
    <t>6375</t>
  </si>
  <si>
    <t>Lincoln Elementary</t>
  </si>
  <si>
    <t>6377</t>
  </si>
  <si>
    <t>Roosevelt Elementary</t>
  </si>
  <si>
    <t>6378</t>
  </si>
  <si>
    <t>Hoisington Middle</t>
  </si>
  <si>
    <t>6380</t>
  </si>
  <si>
    <t>Hoisington High</t>
  </si>
  <si>
    <t>6399</t>
  </si>
  <si>
    <t>Victoria Elementary</t>
  </si>
  <si>
    <t>6403</t>
  </si>
  <si>
    <t>Victoria Junior-Senior High School</t>
  </si>
  <si>
    <t>6440</t>
  </si>
  <si>
    <t>Carbondale Attendance Center</t>
  </si>
  <si>
    <t>6444</t>
  </si>
  <si>
    <t>Overbrook Attendance Center</t>
  </si>
  <si>
    <t>6446</t>
  </si>
  <si>
    <t>Santa Fe Trail High</t>
  </si>
  <si>
    <t>6464</t>
  </si>
  <si>
    <t>Dwight D. Eisenhower Elementary</t>
  </si>
  <si>
    <t>6466</t>
  </si>
  <si>
    <t>6470</t>
  </si>
  <si>
    <t>McKinley Elem</t>
  </si>
  <si>
    <t>6475</t>
  </si>
  <si>
    <t>Abilene Middle School</t>
  </si>
  <si>
    <t>6476</t>
  </si>
  <si>
    <t>Abilene High School</t>
  </si>
  <si>
    <t>6490</t>
  </si>
  <si>
    <t>Lincoln Memorial Elem</t>
  </si>
  <si>
    <t>6491</t>
  </si>
  <si>
    <t>Caney Valley Charter Academy</t>
  </si>
  <si>
    <t>6492</t>
  </si>
  <si>
    <t>Caney Valley High</t>
  </si>
  <si>
    <t>6512</t>
  </si>
  <si>
    <t>Auburn Elementary</t>
  </si>
  <si>
    <t>6513</t>
  </si>
  <si>
    <t>Farley Elementary</t>
  </si>
  <si>
    <t>6517</t>
  </si>
  <si>
    <t>Indian Hills Elementary</t>
  </si>
  <si>
    <t>6518</t>
  </si>
  <si>
    <t>Pauline Central Primary</t>
  </si>
  <si>
    <t>6522</t>
  </si>
  <si>
    <t>Pauline South Intermediate</t>
  </si>
  <si>
    <t>6527</t>
  </si>
  <si>
    <t>Washburn Rural Middle School</t>
  </si>
  <si>
    <t>6528</t>
  </si>
  <si>
    <t>Wanamaker Elem</t>
  </si>
  <si>
    <t>6530</t>
  </si>
  <si>
    <t>Jay Shideler Elementary</t>
  </si>
  <si>
    <t>6532</t>
  </si>
  <si>
    <t>Washburn Rural High</t>
  </si>
  <si>
    <t>6559</t>
  </si>
  <si>
    <t>Skyline Elem</t>
  </si>
  <si>
    <t>6560</t>
  </si>
  <si>
    <t>Skyline High</t>
  </si>
  <si>
    <t>6572</t>
  </si>
  <si>
    <t>R L Wright  Elem</t>
  </si>
  <si>
    <t>6574</t>
  </si>
  <si>
    <t>Sedgwick High</t>
  </si>
  <si>
    <t>6586</t>
  </si>
  <si>
    <t>Bentley Primary School</t>
  </si>
  <si>
    <t>6592</t>
  </si>
  <si>
    <t>Halstead Middle School</t>
  </si>
  <si>
    <t>6594</t>
  </si>
  <si>
    <t>Halstead High</t>
  </si>
  <si>
    <t>6674</t>
  </si>
  <si>
    <t>6678</t>
  </si>
  <si>
    <t>Miller Elem</t>
  </si>
  <si>
    <t>6680</t>
  </si>
  <si>
    <t>Northwest Elem</t>
  </si>
  <si>
    <t>6682</t>
  </si>
  <si>
    <t>Sunnyside Elem</t>
  </si>
  <si>
    <t>6684</t>
  </si>
  <si>
    <t>Dodge City Middle School</t>
  </si>
  <si>
    <t>6685</t>
  </si>
  <si>
    <t>Ross Elementary School</t>
  </si>
  <si>
    <t>6686</t>
  </si>
  <si>
    <t>Dodge City High School</t>
  </si>
  <si>
    <t>6687</t>
  </si>
  <si>
    <t>Beeson Elementary</t>
  </si>
  <si>
    <t>6688</t>
  </si>
  <si>
    <t>Linn Elementary</t>
  </si>
  <si>
    <t>6689</t>
  </si>
  <si>
    <t>Soule Elementary School</t>
  </si>
  <si>
    <t>6707</t>
  </si>
  <si>
    <t>Comanche Middle School</t>
  </si>
  <si>
    <t>6726</t>
  </si>
  <si>
    <t>Little River Junior High</t>
  </si>
  <si>
    <t>6728</t>
  </si>
  <si>
    <t>Little River High</t>
  </si>
  <si>
    <t>6734</t>
  </si>
  <si>
    <t>Windom Elem</t>
  </si>
  <si>
    <t>6756</t>
  </si>
  <si>
    <t>Community Elementary</t>
  </si>
  <si>
    <t>6770</t>
  </si>
  <si>
    <t>Roosevelt Middle</t>
  </si>
  <si>
    <t>6772</t>
  </si>
  <si>
    <t>Field Kindley High</t>
  </si>
  <si>
    <t>6821</t>
  </si>
  <si>
    <t>6825</t>
  </si>
  <si>
    <t>Jefferson School</t>
  </si>
  <si>
    <t>6828</t>
  </si>
  <si>
    <t>Independence Middle</t>
  </si>
  <si>
    <t>6830</t>
  </si>
  <si>
    <t>Independence Sr High</t>
  </si>
  <si>
    <t>6870</t>
  </si>
  <si>
    <t>Lincoln Central Elem</t>
  </si>
  <si>
    <t>6871</t>
  </si>
  <si>
    <t>Thayer Schools</t>
  </si>
  <si>
    <t>6876</t>
  </si>
  <si>
    <t>Cherryvale Sr / Middle School</t>
  </si>
  <si>
    <t>6896</t>
  </si>
  <si>
    <t>Inman Elem</t>
  </si>
  <si>
    <t>6898</t>
  </si>
  <si>
    <t>Inman Jr/Sr High School</t>
  </si>
  <si>
    <t>6917</t>
  </si>
  <si>
    <t>6918</t>
  </si>
  <si>
    <t>Pleasant Ridge High</t>
  </si>
  <si>
    <t>6919</t>
  </si>
  <si>
    <t>Pleasant Ridge Elementary</t>
  </si>
  <si>
    <t>6938</t>
  </si>
  <si>
    <t>Berryton Elem</t>
  </si>
  <si>
    <t>6940</t>
  </si>
  <si>
    <t>Shawnee Heights Elem</t>
  </si>
  <si>
    <t>6944</t>
  </si>
  <si>
    <t>Shawnee Heights High</t>
  </si>
  <si>
    <t>6945</t>
  </si>
  <si>
    <t>Shawnee Heights Middle</t>
  </si>
  <si>
    <t>6946</t>
  </si>
  <si>
    <t>Tecumseh North Elem</t>
  </si>
  <si>
    <t>6948</t>
  </si>
  <si>
    <t>Tecumseh South Elem</t>
  </si>
  <si>
    <t>6982</t>
  </si>
  <si>
    <t>Stanton County Elementary</t>
  </si>
  <si>
    <t>6984</t>
  </si>
  <si>
    <t>Stanton County Jr./Sr. High School</t>
  </si>
  <si>
    <t>7020</t>
  </si>
  <si>
    <t>Leavenworth Sr High</t>
  </si>
  <si>
    <t>7028</t>
  </si>
  <si>
    <t>Henry Leavenworth</t>
  </si>
  <si>
    <t>7029</t>
  </si>
  <si>
    <t>Anthony Elementary</t>
  </si>
  <si>
    <t>7031</t>
  </si>
  <si>
    <t>David Brewer Elementary</t>
  </si>
  <si>
    <t>7033</t>
  </si>
  <si>
    <t>Richard Warren Middle School</t>
  </si>
  <si>
    <t>7046</t>
  </si>
  <si>
    <t>Richard Warren Intermediate School</t>
  </si>
  <si>
    <t>7047</t>
  </si>
  <si>
    <t>Earl Lawson Early Education Center</t>
  </si>
  <si>
    <t>7057</t>
  </si>
  <si>
    <t>Burlingame Elementary</t>
  </si>
  <si>
    <t>7058</t>
  </si>
  <si>
    <t>Burlingame Junior/Senior High</t>
  </si>
  <si>
    <t>7094</t>
  </si>
  <si>
    <t>Marais Des Cygnes Valley Elem</t>
  </si>
  <si>
    <t>7096</t>
  </si>
  <si>
    <t>Marais Des Cygnes Valley High</t>
  </si>
  <si>
    <t>7104</t>
  </si>
  <si>
    <t>Marais Des Cygnes Valley Middle</t>
  </si>
  <si>
    <t>7115</t>
  </si>
  <si>
    <t>Edith Scheuerman Elem</t>
  </si>
  <si>
    <t>7118</t>
  </si>
  <si>
    <t>Alta Brown Elem</t>
  </si>
  <si>
    <t>7119</t>
  </si>
  <si>
    <t>Florence Wilson Elem</t>
  </si>
  <si>
    <t>7120</t>
  </si>
  <si>
    <t>Abe Hubert Elementary School</t>
  </si>
  <si>
    <t>7124</t>
  </si>
  <si>
    <t>Buffalo Jones Elem</t>
  </si>
  <si>
    <t>7126</t>
  </si>
  <si>
    <t>Georgia Matthews Elem</t>
  </si>
  <si>
    <t>7128</t>
  </si>
  <si>
    <t>Horace J. Good Middle School</t>
  </si>
  <si>
    <t>7130</t>
  </si>
  <si>
    <t>Garden City High School</t>
  </si>
  <si>
    <t>7131</t>
  </si>
  <si>
    <t>Gertrude Walker Elem</t>
  </si>
  <si>
    <t>7132</t>
  </si>
  <si>
    <t>Jennie Barker Elem</t>
  </si>
  <si>
    <t>7133</t>
  </si>
  <si>
    <t>Jennie Wilson Elem</t>
  </si>
  <si>
    <t>7138</t>
  </si>
  <si>
    <t>Kenneth Henderson Middle</t>
  </si>
  <si>
    <t>7140</t>
  </si>
  <si>
    <t>Plymell Elementary</t>
  </si>
  <si>
    <t>7143</t>
  </si>
  <si>
    <t>Victor Ornelas Elem</t>
  </si>
  <si>
    <t>7147</t>
  </si>
  <si>
    <t>Bernadine Sitts Intermediate Ctr</t>
  </si>
  <si>
    <t>7148</t>
  </si>
  <si>
    <t>Charles O Stones Intermediate Ctr</t>
  </si>
  <si>
    <t>7177</t>
  </si>
  <si>
    <t>GC Achieve at J.D. Adams Hall</t>
  </si>
  <si>
    <t>7160</t>
  </si>
  <si>
    <t>Basehor Elementary School</t>
  </si>
  <si>
    <t>7164</t>
  </si>
  <si>
    <t>Basehor-Linwood High School</t>
  </si>
  <si>
    <t>7170</t>
  </si>
  <si>
    <t>Linwood Elementary School</t>
  </si>
  <si>
    <t>7172</t>
  </si>
  <si>
    <t>Basehor-Linwood Middle School</t>
  </si>
  <si>
    <t>7175</t>
  </si>
  <si>
    <t>Glenwood Ridge Elementary School</t>
  </si>
  <si>
    <t>7181</t>
  </si>
  <si>
    <t>Gray Hawk Elementary School</t>
  </si>
  <si>
    <t>7184</t>
  </si>
  <si>
    <t>Bucklin Elem</t>
  </si>
  <si>
    <t>7186</t>
  </si>
  <si>
    <t>Bucklin High</t>
  </si>
  <si>
    <t>7206</t>
  </si>
  <si>
    <t>Hesston Elem</t>
  </si>
  <si>
    <t>7208</t>
  </si>
  <si>
    <t>Hesston Middle</t>
  </si>
  <si>
    <t>7210</t>
  </si>
  <si>
    <t>Hesston High</t>
  </si>
  <si>
    <t>7226</t>
  </si>
  <si>
    <t>Heller Elem</t>
  </si>
  <si>
    <t>7228</t>
  </si>
  <si>
    <t>North Lawn Elem</t>
  </si>
  <si>
    <t>7232</t>
  </si>
  <si>
    <t>Neodesha High</t>
  </si>
  <si>
    <t>7246</t>
  </si>
  <si>
    <t>7254</t>
  </si>
  <si>
    <t>Central Jr-Sr High</t>
  </si>
  <si>
    <t>7270</t>
  </si>
  <si>
    <t>Udall Elem</t>
  </si>
  <si>
    <t>7271</t>
  </si>
  <si>
    <t>Udall Middle School</t>
  </si>
  <si>
    <t>7272</t>
  </si>
  <si>
    <t>Udall High</t>
  </si>
  <si>
    <t>7298</t>
  </si>
  <si>
    <t>Tonganoxie High</t>
  </si>
  <si>
    <t>7299</t>
  </si>
  <si>
    <t>Tonganoxie Middle School</t>
  </si>
  <si>
    <t>7300</t>
  </si>
  <si>
    <t>Tonganoxie Elem</t>
  </si>
  <si>
    <t>7310</t>
  </si>
  <si>
    <t>Country View Elem</t>
  </si>
  <si>
    <t>7324</t>
  </si>
  <si>
    <t>Irving Elem</t>
  </si>
  <si>
    <t>7326</t>
  </si>
  <si>
    <t>Lowell Elem</t>
  </si>
  <si>
    <t>7330</t>
  </si>
  <si>
    <t>Whittier Elem</t>
  </si>
  <si>
    <t>7332</t>
  </si>
  <si>
    <t>Winfield High</t>
  </si>
  <si>
    <t>7333</t>
  </si>
  <si>
    <t>Winfield Middle School</t>
  </si>
  <si>
    <t>7356</t>
  </si>
  <si>
    <t>Scott City Lower Elem</t>
  </si>
  <si>
    <t>7358</t>
  </si>
  <si>
    <t>Scott City Middle</t>
  </si>
  <si>
    <t>7360</t>
  </si>
  <si>
    <t>Scott City High</t>
  </si>
  <si>
    <t>7382</t>
  </si>
  <si>
    <t>Wichita County Elementary</t>
  </si>
  <si>
    <t>7385</t>
  </si>
  <si>
    <t>Wichita County Junior-Senior High School</t>
  </si>
  <si>
    <t>7402</t>
  </si>
  <si>
    <t>Healy Elem</t>
  </si>
  <si>
    <t>7404</t>
  </si>
  <si>
    <t>Healy High</t>
  </si>
  <si>
    <t>7420</t>
  </si>
  <si>
    <t>Lansing Middle 6-8</t>
  </si>
  <si>
    <t>7423</t>
  </si>
  <si>
    <t>Lansing Elementary School</t>
  </si>
  <si>
    <t>7426</t>
  </si>
  <si>
    <t>Lansing High 9-12</t>
  </si>
  <si>
    <t>7435</t>
  </si>
  <si>
    <t>Lansing Intermediate School</t>
  </si>
  <si>
    <t>7440</t>
  </si>
  <si>
    <t>7442</t>
  </si>
  <si>
    <t>Frances Willard Elem</t>
  </si>
  <si>
    <t>7443</t>
  </si>
  <si>
    <t>7448</t>
  </si>
  <si>
    <t>7454</t>
  </si>
  <si>
    <t>Arkansas City Middle Sch</t>
  </si>
  <si>
    <t>7456</t>
  </si>
  <si>
    <t>Arkansas City High</t>
  </si>
  <si>
    <t>7458</t>
  </si>
  <si>
    <t>C 4 Elem</t>
  </si>
  <si>
    <t>7466</t>
  </si>
  <si>
    <t>I X L Elem</t>
  </si>
  <si>
    <t>7492</t>
  </si>
  <si>
    <t>Dexter Elem</t>
  </si>
  <si>
    <t>7494</t>
  </si>
  <si>
    <t>Dexter High</t>
  </si>
  <si>
    <t>7534</t>
  </si>
  <si>
    <t>Blue Ridge Elem</t>
  </si>
  <si>
    <t>7540</t>
  </si>
  <si>
    <t>Chapman Elem</t>
  </si>
  <si>
    <t>7541</t>
  </si>
  <si>
    <t>Chapman Middle School</t>
  </si>
  <si>
    <t>7542</t>
  </si>
  <si>
    <t>Chapman High</t>
  </si>
  <si>
    <t>7546</t>
  </si>
  <si>
    <t>7552</t>
  </si>
  <si>
    <t>Rural Center Elem</t>
  </si>
  <si>
    <t>7574</t>
  </si>
  <si>
    <t>Haviland Elem</t>
  </si>
  <si>
    <t>7592</t>
  </si>
  <si>
    <t>Grandview Elem</t>
  </si>
  <si>
    <t>7593</t>
  </si>
  <si>
    <t>Spring Valley Elementary</t>
  </si>
  <si>
    <t>7598</t>
  </si>
  <si>
    <t>7600</t>
  </si>
  <si>
    <t>Fort Riley Elem</t>
  </si>
  <si>
    <t>7601</t>
  </si>
  <si>
    <t>LTG Richard J. Seitz Elementary</t>
  </si>
  <si>
    <t>7606</t>
  </si>
  <si>
    <t>7608</t>
  </si>
  <si>
    <t>Morris Hill Elem</t>
  </si>
  <si>
    <t>7610</t>
  </si>
  <si>
    <t>Sheridan Elem</t>
  </si>
  <si>
    <t>7612</t>
  </si>
  <si>
    <t>7614</t>
  </si>
  <si>
    <t>Westwood Elem</t>
  </si>
  <si>
    <t>7616</t>
  </si>
  <si>
    <t>Fort Riley Middle School</t>
  </si>
  <si>
    <t>7618</t>
  </si>
  <si>
    <t>Junction City Middle School</t>
  </si>
  <si>
    <t>7620</t>
  </si>
  <si>
    <t>Junction City Sr High</t>
  </si>
  <si>
    <t>7624</t>
  </si>
  <si>
    <t>Milford Elem</t>
  </si>
  <si>
    <t>7630</t>
  </si>
  <si>
    <t>Ware Elem</t>
  </si>
  <si>
    <t>7648</t>
  </si>
  <si>
    <t>Copeland Elem</t>
  </si>
  <si>
    <t>7651</t>
  </si>
  <si>
    <t>South Gray Jr High</t>
  </si>
  <si>
    <t>7664</t>
  </si>
  <si>
    <t>Ingalls Elem</t>
  </si>
  <si>
    <t>7666</t>
  </si>
  <si>
    <t>Ingalls High School/Junior High</t>
  </si>
  <si>
    <t>7692</t>
  </si>
  <si>
    <t>Crest Elementary</t>
  </si>
  <si>
    <t>7694</t>
  </si>
  <si>
    <t>Crest High</t>
  </si>
  <si>
    <t>7715</t>
  </si>
  <si>
    <t>7718</t>
  </si>
  <si>
    <t>MacArthur Elementary School</t>
  </si>
  <si>
    <t>7725</t>
  </si>
  <si>
    <t>7732</t>
  </si>
  <si>
    <t>Liberal Sr High</t>
  </si>
  <si>
    <t>7736</t>
  </si>
  <si>
    <t>Eisenhower Middle School</t>
  </si>
  <si>
    <t>7737</t>
  </si>
  <si>
    <t>Prairie View Elementary School</t>
  </si>
  <si>
    <t>7738</t>
  </si>
  <si>
    <t>Meadowlark Elementary School</t>
  </si>
  <si>
    <t>7739</t>
  </si>
  <si>
    <t>Seymour Rogers Middle School</t>
  </si>
  <si>
    <t>7750</t>
  </si>
  <si>
    <t>Hope Elem</t>
  </si>
  <si>
    <t>7752</t>
  </si>
  <si>
    <t>Hope High</t>
  </si>
  <si>
    <t>7758</t>
  </si>
  <si>
    <t>White City Elem</t>
  </si>
  <si>
    <t>7760</t>
  </si>
  <si>
    <t>White City High</t>
  </si>
  <si>
    <t>7778</t>
  </si>
  <si>
    <t>Dighton Elem</t>
  </si>
  <si>
    <t>7782</t>
  </si>
  <si>
    <t>Dighton High</t>
  </si>
  <si>
    <t>7798</t>
  </si>
  <si>
    <t>Kismet Elem</t>
  </si>
  <si>
    <t>7800</t>
  </si>
  <si>
    <t>Plains Elem</t>
  </si>
  <si>
    <t>7804</t>
  </si>
  <si>
    <t>Southwestern Heights Jr/Sr High</t>
  </si>
  <si>
    <t>7821</t>
  </si>
  <si>
    <t>Fredonia Early Learning Center</t>
  </si>
  <si>
    <t>7832</t>
  </si>
  <si>
    <t>7838</t>
  </si>
  <si>
    <t>Fredonia Jr./Sr. High School</t>
  </si>
  <si>
    <t>7888</t>
  </si>
  <si>
    <t>Herington Elem</t>
  </si>
  <si>
    <t>7890</t>
  </si>
  <si>
    <t>Herington Middle Sch</t>
  </si>
  <si>
    <t>7892</t>
  </si>
  <si>
    <t>Herington High</t>
  </si>
  <si>
    <t>7946</t>
  </si>
  <si>
    <t>7950</t>
  </si>
  <si>
    <t>7952</t>
  </si>
  <si>
    <t>Hays Middle School</t>
  </si>
  <si>
    <t>7954</t>
  </si>
  <si>
    <t>Hays High</t>
  </si>
  <si>
    <t>7956</t>
  </si>
  <si>
    <t>Kathryn O'Loughlin McCarthy Elem</t>
  </si>
  <si>
    <t>7959</t>
  </si>
  <si>
    <t>7990</t>
  </si>
  <si>
    <t>8000</t>
  </si>
  <si>
    <t>El Dorado Middle</t>
  </si>
  <si>
    <t>8002</t>
  </si>
  <si>
    <t>El Dorado High</t>
  </si>
  <si>
    <t>8009</t>
  </si>
  <si>
    <t>Skelly Elementary School</t>
  </si>
  <si>
    <t>8011</t>
  </si>
  <si>
    <t>Blackmore Elementary</t>
  </si>
  <si>
    <t>8022</t>
  </si>
  <si>
    <t>Eudora Elementary School</t>
  </si>
  <si>
    <t>8023</t>
  </si>
  <si>
    <t>Eudora High  School</t>
  </si>
  <si>
    <t>8029</t>
  </si>
  <si>
    <t>Eudora Middle School</t>
  </si>
  <si>
    <t>8038</t>
  </si>
  <si>
    <t>Flinthills Primary School</t>
  </si>
  <si>
    <t>8046</t>
  </si>
  <si>
    <t>Flinthills Intermediate School</t>
  </si>
  <si>
    <t>8050</t>
  </si>
  <si>
    <t>Flinthills Middle School</t>
  </si>
  <si>
    <t>8051</t>
  </si>
  <si>
    <t>Flinthills High School</t>
  </si>
  <si>
    <t>8064</t>
  </si>
  <si>
    <t>Highland Elem</t>
  </si>
  <si>
    <t>8066</t>
  </si>
  <si>
    <t>8068</t>
  </si>
  <si>
    <t>8070</t>
  </si>
  <si>
    <t>Columbus Junior High and High School</t>
  </si>
  <si>
    <t>8110</t>
  </si>
  <si>
    <t>Syracuse Elem</t>
  </si>
  <si>
    <t>8114</t>
  </si>
  <si>
    <t>Syracuse High</t>
  </si>
  <si>
    <t>8133</t>
  </si>
  <si>
    <t>Fort Larned Elementary School</t>
  </si>
  <si>
    <t>8140</t>
  </si>
  <si>
    <t>Larned Middle School</t>
  </si>
  <si>
    <t>8142</t>
  </si>
  <si>
    <t>Larned Sr High</t>
  </si>
  <si>
    <t>8167</t>
  </si>
  <si>
    <t>Pawnee Heights</t>
  </si>
  <si>
    <t>8171</t>
  </si>
  <si>
    <t>Pawnee Heights Primary School</t>
  </si>
  <si>
    <t>8189</t>
  </si>
  <si>
    <t>8190</t>
  </si>
  <si>
    <t>Prairie Park Elem</t>
  </si>
  <si>
    <t>8194</t>
  </si>
  <si>
    <t>Cordley Elem</t>
  </si>
  <si>
    <t>8195</t>
  </si>
  <si>
    <t>8198</t>
  </si>
  <si>
    <t>Hillcrest Elem</t>
  </si>
  <si>
    <t>8202</t>
  </si>
  <si>
    <t>Quail Run Elementary</t>
  </si>
  <si>
    <t>8204</t>
  </si>
  <si>
    <t>New York Elem</t>
  </si>
  <si>
    <t>8208</t>
  </si>
  <si>
    <t>Schwegler Elem</t>
  </si>
  <si>
    <t>8210</t>
  </si>
  <si>
    <t>Sunset Hill Elem</t>
  </si>
  <si>
    <t>8212</t>
  </si>
  <si>
    <t>Woodlawn Elem</t>
  </si>
  <si>
    <t>8213</t>
  </si>
  <si>
    <t>Langston Hughes Elem</t>
  </si>
  <si>
    <t>8214</t>
  </si>
  <si>
    <t>Lawrence Liberty Memorial Central Mid School</t>
  </si>
  <si>
    <t>8215</t>
  </si>
  <si>
    <t>Billy Mills Middle School</t>
  </si>
  <si>
    <t>8216</t>
  </si>
  <si>
    <t>Lawrence West Middle School</t>
  </si>
  <si>
    <t>8217</t>
  </si>
  <si>
    <t>Lawrence Southwest Middle School</t>
  </si>
  <si>
    <t>8218</t>
  </si>
  <si>
    <t>Lawrence High</t>
  </si>
  <si>
    <t>8224</t>
  </si>
  <si>
    <t>Lawrence Free State High</t>
  </si>
  <si>
    <t>8238</t>
  </si>
  <si>
    <t>Valley Heights Elem</t>
  </si>
  <si>
    <t>8246</t>
  </si>
  <si>
    <t>Valley Heights Elementary - Waterville</t>
  </si>
  <si>
    <t>8252</t>
  </si>
  <si>
    <t>Valley Heights Jr/Sr High</t>
  </si>
  <si>
    <t>8264</t>
  </si>
  <si>
    <t>Liberty Elem</t>
  </si>
  <si>
    <t>8268</t>
  </si>
  <si>
    <t>Spring Grove Primary Center</t>
  </si>
  <si>
    <t>8270</t>
  </si>
  <si>
    <t>Galena Middle School</t>
  </si>
  <si>
    <t>8274</t>
  </si>
  <si>
    <t>Galena High</t>
  </si>
  <si>
    <t>8279</t>
  </si>
  <si>
    <t>Banneker Elem</t>
  </si>
  <si>
    <t>8281</t>
  </si>
  <si>
    <t>McKinley Elementary School</t>
  </si>
  <si>
    <t>8282</t>
  </si>
  <si>
    <t>Silver City Elem</t>
  </si>
  <si>
    <t>8284</t>
  </si>
  <si>
    <t>Chelsea Elem</t>
  </si>
  <si>
    <t>8285</t>
  </si>
  <si>
    <t>Douglass Elem</t>
  </si>
  <si>
    <t>8287</t>
  </si>
  <si>
    <t>Thomas A Edison Elem</t>
  </si>
  <si>
    <t>8288</t>
  </si>
  <si>
    <t>Emerson Elem</t>
  </si>
  <si>
    <t>8290</t>
  </si>
  <si>
    <t>John Fiske Elem</t>
  </si>
  <si>
    <t>8292</t>
  </si>
  <si>
    <t>Grant Elem</t>
  </si>
  <si>
    <t>8293</t>
  </si>
  <si>
    <t>Bertram Caruthers Elem</t>
  </si>
  <si>
    <t>8298</t>
  </si>
  <si>
    <t>Mark Twain Elem</t>
  </si>
  <si>
    <t>8303</t>
  </si>
  <si>
    <t>Noble Prentis Elem</t>
  </si>
  <si>
    <t>8305</t>
  </si>
  <si>
    <t>Quindaro Elem</t>
  </si>
  <si>
    <t>8308</t>
  </si>
  <si>
    <t>Frank Rushton Elem</t>
  </si>
  <si>
    <t>8309</t>
  </si>
  <si>
    <t>New Stanley Elem</t>
  </si>
  <si>
    <t>8311</t>
  </si>
  <si>
    <t>8313</t>
  </si>
  <si>
    <t>8315</t>
  </si>
  <si>
    <t>8316</t>
  </si>
  <si>
    <t>Central Middle</t>
  </si>
  <si>
    <t>8317</t>
  </si>
  <si>
    <t>Carl B. Bruce Middle School</t>
  </si>
  <si>
    <t>8320</t>
  </si>
  <si>
    <t>Argentine Middle</t>
  </si>
  <si>
    <t>8321</t>
  </si>
  <si>
    <t>Rosedale Middle</t>
  </si>
  <si>
    <t>8322</t>
  </si>
  <si>
    <t>Sumner Academy of Arts &amp; Science</t>
  </si>
  <si>
    <t>8323</t>
  </si>
  <si>
    <t>Wyandotte High</t>
  </si>
  <si>
    <t>8324</t>
  </si>
  <si>
    <t>Arrowhead Middle</t>
  </si>
  <si>
    <t>8327</t>
  </si>
  <si>
    <t>J C Harmon High</t>
  </si>
  <si>
    <t>8329</t>
  </si>
  <si>
    <t>F L Schlagle High</t>
  </si>
  <si>
    <t>8330</t>
  </si>
  <si>
    <t>Claude A Huyck Elem</t>
  </si>
  <si>
    <t>8331</t>
  </si>
  <si>
    <t>D D Eisenhower Middle</t>
  </si>
  <si>
    <t>8332</t>
  </si>
  <si>
    <t>Hazel Grove Elem</t>
  </si>
  <si>
    <t>8340</t>
  </si>
  <si>
    <t>John F Kennedy Elem</t>
  </si>
  <si>
    <t>8342</t>
  </si>
  <si>
    <t>Lindbergh Elem</t>
  </si>
  <si>
    <t>8346</t>
  </si>
  <si>
    <t>Stony Point South</t>
  </si>
  <si>
    <t>8348</t>
  </si>
  <si>
    <t>Stony Point North</t>
  </si>
  <si>
    <t>8350</t>
  </si>
  <si>
    <t>Washington High</t>
  </si>
  <si>
    <t>8352</t>
  </si>
  <si>
    <t>Welborn Elem</t>
  </si>
  <si>
    <t>8358</t>
  </si>
  <si>
    <t>M E Pearson Elem</t>
  </si>
  <si>
    <t>8402</t>
  </si>
  <si>
    <t>Alfred Fairfax Academy</t>
  </si>
  <si>
    <t>8406</t>
  </si>
  <si>
    <t>Bridges/Wyandot Academy</t>
  </si>
  <si>
    <t>8407</t>
  </si>
  <si>
    <t>Gloria Willis Middle School</t>
  </si>
  <si>
    <t>8408</t>
  </si>
  <si>
    <t>Lowell Brune Elementary School</t>
  </si>
  <si>
    <t>8409</t>
  </si>
  <si>
    <t>West Park Elementary School</t>
  </si>
  <si>
    <t>8446</t>
  </si>
  <si>
    <t>Avondale Academy</t>
  </si>
  <si>
    <t>8452</t>
  </si>
  <si>
    <t>Chase Middle School</t>
  </si>
  <si>
    <t>8453</t>
  </si>
  <si>
    <t>Jardine Elementary</t>
  </si>
  <si>
    <t>8462</t>
  </si>
  <si>
    <t>Highland Park Central</t>
  </si>
  <si>
    <t>8465</t>
  </si>
  <si>
    <t>Ross Elementary</t>
  </si>
  <si>
    <t>8467</t>
  </si>
  <si>
    <t>Hope Street Charter Academy</t>
  </si>
  <si>
    <t>8472</t>
  </si>
  <si>
    <t>Lowman Hill Elem</t>
  </si>
  <si>
    <t>8480</t>
  </si>
  <si>
    <t>McCarter Elem</t>
  </si>
  <si>
    <t>8482</t>
  </si>
  <si>
    <t>McClure Elem</t>
  </si>
  <si>
    <t>8484</t>
  </si>
  <si>
    <t>McEachron Elem</t>
  </si>
  <si>
    <t>8486</t>
  </si>
  <si>
    <t>Meadows Elementary</t>
  </si>
  <si>
    <t>8494</t>
  </si>
  <si>
    <t>Quincy Elem</t>
  </si>
  <si>
    <t>8498</t>
  </si>
  <si>
    <t>Randolph Elem</t>
  </si>
  <si>
    <t>8499</t>
  </si>
  <si>
    <t>Scott Dual Language Magnet</t>
  </si>
  <si>
    <t>8501</t>
  </si>
  <si>
    <t>8504</t>
  </si>
  <si>
    <t>State Street Elem</t>
  </si>
  <si>
    <t>8512</t>
  </si>
  <si>
    <t>Whitson Elem</t>
  </si>
  <si>
    <t>8513</t>
  </si>
  <si>
    <t>Williams Science and Fine Arts Magnet School</t>
  </si>
  <si>
    <t>8524</t>
  </si>
  <si>
    <t>8530</t>
  </si>
  <si>
    <t>Jardine Middle School</t>
  </si>
  <si>
    <t>8532</t>
  </si>
  <si>
    <t>Landon Middle School</t>
  </si>
  <si>
    <t>8533</t>
  </si>
  <si>
    <t>Marjorie French Middle School</t>
  </si>
  <si>
    <t>8536</t>
  </si>
  <si>
    <t>Highland Park High</t>
  </si>
  <si>
    <t>8538</t>
  </si>
  <si>
    <t>Topeka High</t>
  </si>
  <si>
    <t>8540</t>
  </si>
  <si>
    <t>Topeka West High</t>
  </si>
  <si>
    <t>8552</t>
  </si>
  <si>
    <t>Capital City</t>
  </si>
  <si>
    <t>8580</t>
  </si>
  <si>
    <t>Lewis Elem</t>
  </si>
  <si>
    <t>8594</t>
  </si>
  <si>
    <t>Parsons Middle School</t>
  </si>
  <si>
    <t>8596</t>
  </si>
  <si>
    <t>Parsons Sr High</t>
  </si>
  <si>
    <t>8602</t>
  </si>
  <si>
    <t>Garfield School</t>
  </si>
  <si>
    <t>8603</t>
  </si>
  <si>
    <t>Guthridge School</t>
  </si>
  <si>
    <t>8604</t>
  </si>
  <si>
    <t>Lincoln School</t>
  </si>
  <si>
    <t>8622</t>
  </si>
  <si>
    <t>Oswego Neosho Hgts Elem</t>
  </si>
  <si>
    <t>8623</t>
  </si>
  <si>
    <t>Service Valley Charter Academy</t>
  </si>
  <si>
    <t>8624</t>
  </si>
  <si>
    <t>Oswego Junior-Senior High School</t>
  </si>
  <si>
    <t>8370</t>
  </si>
  <si>
    <t>St. Paul Elementary School</t>
  </si>
  <si>
    <t>8372</t>
  </si>
  <si>
    <t>St. Paul High School</t>
  </si>
  <si>
    <t>8373</t>
  </si>
  <si>
    <t>St. Paul Middle School</t>
  </si>
  <si>
    <t>8636</t>
  </si>
  <si>
    <t>Chetopa Elem</t>
  </si>
  <si>
    <t>8638</t>
  </si>
  <si>
    <t>Chetopa High</t>
  </si>
  <si>
    <t>8652</t>
  </si>
  <si>
    <t>Altamont Elem</t>
  </si>
  <si>
    <t>8654</t>
  </si>
  <si>
    <t>Labette County High School</t>
  </si>
  <si>
    <t>8658</t>
  </si>
  <si>
    <t>Bartlett Elem</t>
  </si>
  <si>
    <t>8666</t>
  </si>
  <si>
    <t>Edna Elem</t>
  </si>
  <si>
    <t>8680</t>
  </si>
  <si>
    <t>Meadowview Elem</t>
  </si>
  <si>
    <t>8684</t>
  </si>
  <si>
    <t>Mound Valley Elem</t>
  </si>
  <si>
    <t>8694</t>
  </si>
  <si>
    <t>Satanta Elem</t>
  </si>
  <si>
    <t>8696</t>
  </si>
  <si>
    <t>Satanta Jr-Sr High</t>
  </si>
  <si>
    <t>8702</t>
  </si>
  <si>
    <t>8704</t>
  </si>
  <si>
    <t>8710</t>
  </si>
  <si>
    <t>Baxter Springs High</t>
  </si>
  <si>
    <t>8742</t>
  </si>
  <si>
    <t>South Haven Elem</t>
  </si>
  <si>
    <t>8744</t>
  </si>
  <si>
    <t>South Haven High</t>
  </si>
  <si>
    <t>8762</t>
  </si>
  <si>
    <t>Puls Elem</t>
  </si>
  <si>
    <t>8764</t>
  </si>
  <si>
    <t>Attica High</t>
  </si>
  <si>
    <t>8774</t>
  </si>
  <si>
    <t>East Antioch Elem</t>
  </si>
  <si>
    <t>8776</t>
  </si>
  <si>
    <t>Apache Elem</t>
  </si>
  <si>
    <t>8782</t>
  </si>
  <si>
    <t>Belinder Elem</t>
  </si>
  <si>
    <t>8784</t>
  </si>
  <si>
    <t>Bluejacket-Flint</t>
  </si>
  <si>
    <t>8786</t>
  </si>
  <si>
    <t>8787</t>
  </si>
  <si>
    <t>Broken Arrow Elem</t>
  </si>
  <si>
    <t>8788</t>
  </si>
  <si>
    <t>Brookridge Elem</t>
  </si>
  <si>
    <t>8790</t>
  </si>
  <si>
    <t>Brookwood Elem</t>
  </si>
  <si>
    <t>8791</t>
  </si>
  <si>
    <t>Christa McAuliffe Elem</t>
  </si>
  <si>
    <t>8793</t>
  </si>
  <si>
    <t>Comanche Elem</t>
  </si>
  <si>
    <t>8794</t>
  </si>
  <si>
    <t>Corinth Elem</t>
  </si>
  <si>
    <t>8796</t>
  </si>
  <si>
    <t>Crestview Elem</t>
  </si>
  <si>
    <t>8805</t>
  </si>
  <si>
    <t>Lenexa Hills Elementary</t>
  </si>
  <si>
    <t>8806</t>
  </si>
  <si>
    <t>Highlands Elem</t>
  </si>
  <si>
    <t>8808</t>
  </si>
  <si>
    <t>John Diemer Elem</t>
  </si>
  <si>
    <t>8812</t>
  </si>
  <si>
    <t>Shawanoe Elem</t>
  </si>
  <si>
    <t>8815</t>
  </si>
  <si>
    <t>Merriam Park Elementary</t>
  </si>
  <si>
    <t>8816</t>
  </si>
  <si>
    <t>Ray Marsh Elem</t>
  </si>
  <si>
    <t>8819</t>
  </si>
  <si>
    <t>Mill Creek Elem</t>
  </si>
  <si>
    <t>8822</t>
  </si>
  <si>
    <t>Nieman Elem</t>
  </si>
  <si>
    <t>8824</t>
  </si>
  <si>
    <t>Oak Park-Carpenter Elementary</t>
  </si>
  <si>
    <t>8826</t>
  </si>
  <si>
    <t>Overland Park Elem</t>
  </si>
  <si>
    <t>8828</t>
  </si>
  <si>
    <t>Pawnee Elem</t>
  </si>
  <si>
    <t>8832</t>
  </si>
  <si>
    <t>Prairie Elem</t>
  </si>
  <si>
    <t>8834</t>
  </si>
  <si>
    <t>Rhein Benninghoven Elem</t>
  </si>
  <si>
    <t>8836</t>
  </si>
  <si>
    <t>Rising Star Elem</t>
  </si>
  <si>
    <t>8838</t>
  </si>
  <si>
    <t>Roesland Elem</t>
  </si>
  <si>
    <t>8842</t>
  </si>
  <si>
    <t>Rosehill Elem</t>
  </si>
  <si>
    <t>8844</t>
  </si>
  <si>
    <t>Rushton Elem</t>
  </si>
  <si>
    <t>8846</t>
  </si>
  <si>
    <t>Santa Fe Trail Elem</t>
  </si>
  <si>
    <t>8857</t>
  </si>
  <si>
    <t>8858</t>
  </si>
  <si>
    <t>8860</t>
  </si>
  <si>
    <t>Trailwood Elem</t>
  </si>
  <si>
    <t>8864</t>
  </si>
  <si>
    <t>Westwood View Elem</t>
  </si>
  <si>
    <t>8868</t>
  </si>
  <si>
    <t>Westridge Middle</t>
  </si>
  <si>
    <t>8870</t>
  </si>
  <si>
    <t>Hocker Grove Middle</t>
  </si>
  <si>
    <t>8874</t>
  </si>
  <si>
    <t>Indian Hills Middle</t>
  </si>
  <si>
    <t>8880</t>
  </si>
  <si>
    <t>Indian Woods Middle</t>
  </si>
  <si>
    <t>8884</t>
  </si>
  <si>
    <t>Trailridge Middle</t>
  </si>
  <si>
    <t>8886</t>
  </si>
  <si>
    <t>Shawnee Mission East High</t>
  </si>
  <si>
    <t>8888</t>
  </si>
  <si>
    <t>Shawnee Mission North High</t>
  </si>
  <si>
    <t>8890</t>
  </si>
  <si>
    <t>Shawnee Mission Northwest High</t>
  </si>
  <si>
    <t>8892</t>
  </si>
  <si>
    <t>Shawnee Mission South High</t>
  </si>
  <si>
    <t>8894</t>
  </si>
  <si>
    <t>Shawnee Mission West High</t>
  </si>
  <si>
    <t xml:space="preserve"> 9/20/23  Bilingual Student Contact Hrs</t>
  </si>
  <si>
    <t xml:space="preserve"> 2/20/24 Bilingual Student Contact Hrs</t>
  </si>
  <si>
    <t>2/20/24 Free Meals Headcount</t>
  </si>
  <si>
    <t>9/20/23 KAMS</t>
  </si>
  <si>
    <t>2/20/24 Transport &gt; = 2.5</t>
  </si>
  <si>
    <t>9/20/23 Virtual Full-Time</t>
  </si>
  <si>
    <t>9/20/23 Virtual Part-Time</t>
  </si>
  <si>
    <t>HDAR-S066 not rounding up-19.95 FTE</t>
  </si>
  <si>
    <t xml:space="preserve">USD didn’t  use the correct amount for COL </t>
  </si>
  <si>
    <t>USD did not include COL on S066</t>
  </si>
  <si>
    <t>HDAR-S066 not rounding up-11.55 FTE</t>
  </si>
  <si>
    <t>HDAR-S066 not rounding up-24.15 FTE</t>
  </si>
  <si>
    <t xml:space="preserve">Transp - S066 not including 2/20 on Transp </t>
  </si>
  <si>
    <t>Should not have entered 2/20-Peggy already pulled for audit</t>
  </si>
  <si>
    <t>9/20/23 Free Meals Headcount</t>
  </si>
  <si>
    <t xml:space="preserve"> 2/20/24 Bilingual Student Headcount</t>
  </si>
  <si>
    <t xml:space="preserve"> 9/20/23 Bilingual Student Headcount</t>
  </si>
  <si>
    <t>9/20/23 Transport &gt; = 2.5</t>
  </si>
  <si>
    <r>
      <t xml:space="preserve">Preschool-Aged At-Risk </t>
    </r>
    <r>
      <rPr>
        <b/>
        <sz val="10"/>
        <rFont val="Calibri"/>
        <family val="2"/>
        <scheme val="minor"/>
      </rPr>
      <t xml:space="preserve"> 9/20/2023  2/20/2024</t>
    </r>
  </si>
  <si>
    <r>
      <t xml:space="preserve">Career / 
Tech Ed 
</t>
    </r>
    <r>
      <rPr>
        <b/>
        <sz val="10"/>
        <rFont val="Calibri"/>
        <family val="2"/>
        <scheme val="minor"/>
      </rPr>
      <t>WTD FTE</t>
    </r>
  </si>
  <si>
    <t>Free Lunch 
(9/20 + 2/20)</t>
  </si>
  <si>
    <r>
      <t xml:space="preserve">At-Risk 
(Free Lunch) 
</t>
    </r>
    <r>
      <rPr>
        <b/>
        <sz val="10"/>
        <rFont val="Calibri"/>
        <family val="2"/>
        <scheme val="minor"/>
      </rPr>
      <t>WTD FTE</t>
    </r>
  </si>
  <si>
    <t xml:space="preserve"> Career / 
Tech Ed 
Contact Hours 
(9/20 + 2/20)</t>
  </si>
  <si>
    <r>
      <t xml:space="preserve">FTE Enroll (excl 
Pre-K At-Risk 
&amp; Virtual) </t>
    </r>
    <r>
      <rPr>
        <b/>
        <sz val="10"/>
        <rFont val="Calibri"/>
        <family val="2"/>
        <scheme val="minor"/>
      </rPr>
      <t>9/20/2023</t>
    </r>
  </si>
  <si>
    <r>
      <t xml:space="preserve">FTE Enroll (excl 
Pre-K At-Risk 
&amp; Virtual) </t>
    </r>
    <r>
      <rPr>
        <b/>
        <sz val="10"/>
        <rFont val="Calibri"/>
        <family val="2"/>
        <scheme val="minor"/>
      </rPr>
      <t>2/20/2024</t>
    </r>
  </si>
  <si>
    <t>High Density 
At-Risk (USD)</t>
  </si>
  <si>
    <t>High Density 
At-Risk (School)</t>
  </si>
  <si>
    <r>
      <t xml:space="preserve">High Density 
At-Risk 
</t>
    </r>
    <r>
      <rPr>
        <b/>
        <sz val="10"/>
        <rFont val="Calibri"/>
        <family val="2"/>
        <scheme val="minor"/>
      </rPr>
      <t>WTD FTE</t>
    </r>
  </si>
  <si>
    <t>Transportation 
FTE 
&gt; = 2.5 Miles 
(9/20 + 2/20)</t>
  </si>
  <si>
    <r>
      <t xml:space="preserve">Transportation 
</t>
    </r>
    <r>
      <rPr>
        <b/>
        <sz val="10"/>
        <rFont val="Calibri"/>
        <family val="2"/>
        <scheme val="minor"/>
      </rPr>
      <t>WTD FTE</t>
    </r>
  </si>
  <si>
    <r>
      <t xml:space="preserve">Ancillary 
</t>
    </r>
    <r>
      <rPr>
        <b/>
        <sz val="10"/>
        <rFont val="Calibri"/>
        <family val="2"/>
        <scheme val="minor"/>
      </rPr>
      <t>WTD FTE</t>
    </r>
  </si>
  <si>
    <r>
      <t xml:space="preserve">Cost of Living 
</t>
    </r>
    <r>
      <rPr>
        <b/>
        <sz val="10"/>
        <rFont val="Calibri"/>
        <family val="2"/>
        <scheme val="minor"/>
      </rPr>
      <t>WTD FTE</t>
    </r>
  </si>
  <si>
    <t>Special  Education 
State Aid</t>
  </si>
  <si>
    <r>
      <t xml:space="preserve">Special Education 
</t>
    </r>
    <r>
      <rPr>
        <b/>
        <sz val="10"/>
        <rFont val="Calibri"/>
        <family val="2"/>
        <scheme val="minor"/>
      </rPr>
      <t>WTD FTE</t>
    </r>
  </si>
  <si>
    <t>WTD FTE 
(excl COLA; 
incl SPED)</t>
  </si>
  <si>
    <t>WTD FTE 
(excl SPED)</t>
  </si>
  <si>
    <t>Virtual Full-Time FTE 
($5600)</t>
  </si>
  <si>
    <t>Virtual Part-Time FTE 
($2800)</t>
  </si>
  <si>
    <t>Virtual Credits 
(20yrs &amp; Older) 
($709)</t>
  </si>
  <si>
    <t>Virtual Credits (Dropout 19 
&amp; Under) 
($709)</t>
  </si>
  <si>
    <t>Virtual 
State Aid</t>
  </si>
  <si>
    <t>Funded Headcount 
(excl Virtual, KAMS, JDC) 
(9/20 + 2/20)</t>
  </si>
  <si>
    <t>Adopted 
General Fund</t>
  </si>
  <si>
    <t>Legal Maximum
General Fund 
(before reductions)</t>
  </si>
  <si>
    <r>
      <t xml:space="preserve">FTE Enroll (excl 
4yr old at-risk  
&amp; virtual) 
</t>
    </r>
    <r>
      <rPr>
        <b/>
        <sz val="10"/>
        <rFont val="Calibri"/>
        <family val="2"/>
        <scheme val="minor"/>
      </rPr>
      <t>2/20/2021</t>
    </r>
  </si>
  <si>
    <r>
      <t xml:space="preserve">FTE Enroll 
(excl 4yr old 
at-risk 
&amp; virtual) 
</t>
    </r>
    <r>
      <rPr>
        <b/>
        <sz val="10"/>
        <rFont val="Calibri"/>
        <family val="2"/>
        <scheme val="minor"/>
      </rPr>
      <t>9/20/2020</t>
    </r>
  </si>
  <si>
    <r>
      <t xml:space="preserve">FTE Enroll 
(excl 4yr old 
at-risk  
&amp; virtual) </t>
    </r>
    <r>
      <rPr>
        <b/>
        <sz val="10"/>
        <rFont val="Calibri"/>
        <family val="2"/>
        <scheme val="minor"/>
      </rPr>
      <t>9/20/2021</t>
    </r>
  </si>
  <si>
    <r>
      <t xml:space="preserve">FTE Enroll (excl 4yr old at-risk 
&amp; virtual) </t>
    </r>
    <r>
      <rPr>
        <b/>
        <sz val="10"/>
        <rFont val="Calibri"/>
        <family val="2"/>
        <scheme val="minor"/>
      </rPr>
      <t>2/20/2022</t>
    </r>
  </si>
  <si>
    <r>
      <t xml:space="preserve">FTE Enroll (excl 4yr old at-risk 
&amp; virtual) 
</t>
    </r>
    <r>
      <rPr>
        <b/>
        <sz val="10"/>
        <rFont val="Calibri"/>
        <family val="2"/>
        <scheme val="minor"/>
      </rPr>
      <t>9/20/2022</t>
    </r>
  </si>
  <si>
    <r>
      <t xml:space="preserve">FTE Enroll 
Tax Credit Scholarship (TCS) excl 4yr old at-risk 
&amp; virtual - 
</t>
    </r>
    <r>
      <rPr>
        <b/>
        <sz val="10"/>
        <rFont val="Calibri"/>
        <family val="2"/>
        <scheme val="minor"/>
      </rPr>
      <t>9/20/2020</t>
    </r>
  </si>
  <si>
    <r>
      <t xml:space="preserve">FTE Enroll 
Tax Credit Scholarship (TCS) excl 4yr old at-risk 
&amp; virtual - 
</t>
    </r>
    <r>
      <rPr>
        <b/>
        <sz val="10"/>
        <rFont val="Calibri"/>
        <family val="2"/>
        <scheme val="minor"/>
      </rPr>
      <t>9/20/2021</t>
    </r>
  </si>
  <si>
    <r>
      <t xml:space="preserve">FTE Enroll 
Tax Credit Scholarship (TCS) excl 
4yr old at-risk 
&amp; virtual - 
</t>
    </r>
    <r>
      <rPr>
        <b/>
        <sz val="10"/>
        <rFont val="Calibri"/>
        <family val="2"/>
        <scheme val="minor"/>
      </rPr>
      <t>9/20/2022</t>
    </r>
  </si>
  <si>
    <r>
      <t xml:space="preserve">FTE Enroll (excl 4yr old at-risk 
&amp; virtual) 
</t>
    </r>
    <r>
      <rPr>
        <b/>
        <sz val="10"/>
        <rFont val="Calibri"/>
        <family val="2"/>
        <scheme val="minor"/>
      </rPr>
      <t>2/20/2023</t>
    </r>
  </si>
  <si>
    <r>
      <rPr>
        <b/>
        <sz val="10"/>
        <rFont val="Calibri"/>
        <family val="2"/>
        <scheme val="minor"/>
      </rPr>
      <t xml:space="preserve">Current Year </t>
    </r>
    <r>
      <rPr>
        <sz val="10"/>
        <rFont val="Calibri"/>
        <family val="2"/>
        <scheme val="minor"/>
      </rPr>
      <t>Transp 
Audit Adj</t>
    </r>
  </si>
  <si>
    <r>
      <rPr>
        <b/>
        <sz val="10"/>
        <rFont val="Calibri"/>
        <family val="2"/>
        <scheme val="minor"/>
      </rPr>
      <t>2023-2024</t>
    </r>
    <r>
      <rPr>
        <sz val="10"/>
        <rFont val="Calibri"/>
        <family val="2"/>
        <scheme val="minor"/>
      </rPr>
      <t xml:space="preserve"> 
LOB Base 
General Fund </t>
    </r>
  </si>
  <si>
    <r>
      <t xml:space="preserve">Computed 
General Fund 
</t>
    </r>
    <r>
      <rPr>
        <b/>
        <sz val="10"/>
        <rFont val="Calibri"/>
        <family val="2"/>
        <scheme val="minor"/>
      </rPr>
      <t>(excl SPED)</t>
    </r>
  </si>
  <si>
    <r>
      <t xml:space="preserve">Computed 
General Fund 
</t>
    </r>
    <r>
      <rPr>
        <b/>
        <sz val="10"/>
        <rFont val="Calibri"/>
        <family val="2"/>
        <scheme val="minor"/>
      </rPr>
      <t>(incl SPED)</t>
    </r>
  </si>
  <si>
    <t>Computed 
Local Option 
Budget</t>
  </si>
  <si>
    <t>Adopted 
Local Option 
Budget</t>
  </si>
  <si>
    <t>Legal Maximum 
Local Option 
Budget</t>
  </si>
  <si>
    <t>LOB 
Percent 
Used</t>
  </si>
  <si>
    <t>Maximum 
Computed Cost of Living</t>
  </si>
  <si>
    <t>Total 
WTD FTE 
(inc. SPED)</t>
  </si>
  <si>
    <t>LOB Transfer
to
At-Risk</t>
  </si>
  <si>
    <t>LOB Transfer
to
Bilingual</t>
  </si>
  <si>
    <t>General Fund 
Transfer To 
At-Risk</t>
  </si>
  <si>
    <t>Total FTE 
Enrollment
(incl Virtual)</t>
  </si>
  <si>
    <r>
      <rPr>
        <b/>
        <sz val="10"/>
        <rFont val="Calibri"/>
        <family val="2"/>
        <scheme val="minor"/>
      </rPr>
      <t>Total 
Adjusted Enrollment</t>
    </r>
    <r>
      <rPr>
        <sz val="10"/>
        <rFont val="Calibri"/>
        <family val="2"/>
        <scheme val="minor"/>
      </rPr>
      <t xml:space="preserve"> (incl Pre-K AR)</t>
    </r>
  </si>
  <si>
    <t xml:space="preserve"> Transportation 
State Aid</t>
  </si>
  <si>
    <t>WTD FTE 
Free Lunch &gt;=50%</t>
  </si>
  <si>
    <t>WTD FTE 
Free Lunch &gt;=35% &lt;50%</t>
  </si>
  <si>
    <r>
      <rPr>
        <sz val="10"/>
        <color rgb="FFFF0000"/>
        <rFont val="Calibri"/>
        <family val="2"/>
        <scheme val="minor"/>
      </rPr>
      <t xml:space="preserve">Form 150 - 
</t>
    </r>
    <r>
      <rPr>
        <sz val="10"/>
        <rFont val="Calibri"/>
        <family val="2"/>
        <scheme val="minor"/>
      </rPr>
      <t xml:space="preserve">Board of 
Tax Appeals 
</t>
    </r>
    <r>
      <rPr>
        <b/>
        <sz val="10"/>
        <rFont val="Calibri"/>
        <family val="2"/>
        <scheme val="minor"/>
      </rPr>
      <t>(Cost of Living)</t>
    </r>
  </si>
  <si>
    <r>
      <t xml:space="preserve">Board of 
Tax Appeals 
</t>
    </r>
    <r>
      <rPr>
        <b/>
        <sz val="10"/>
        <rFont val="Calibri"/>
        <family val="2"/>
        <scheme val="minor"/>
      </rPr>
      <t>(Ancillary)</t>
    </r>
  </si>
  <si>
    <t>Transportation 
 Weighted FTE</t>
  </si>
  <si>
    <t xml:space="preserve"> Factor Per Capita Allowance 
(Factor B)</t>
  </si>
  <si>
    <t>Factor per Capita times Constant 
(Factor C)</t>
  </si>
  <si>
    <t>Base Change 
(Factor A)</t>
  </si>
  <si>
    <t>Area in 
Square 
Miles</t>
  </si>
  <si>
    <t>Consolidated Districts</t>
  </si>
  <si>
    <t>At-Risk 
WTD FTE</t>
  </si>
  <si>
    <t>HD At-Risk 
WTD FTE</t>
  </si>
  <si>
    <t>Bilingual (max Hrs 
or Hdct) 
WTD FTE</t>
  </si>
  <si>
    <t>Amount Required to Transfer from General Fund 
to At-Risk</t>
  </si>
  <si>
    <t>Total WTD FTE  (excl 4yr AR 
&amp; KAMS, 
incl SPED)</t>
  </si>
  <si>
    <t>At-Risk 
(Free Lunch) 
WTD FTE</t>
  </si>
  <si>
    <t>Percent of At-Risk Wtg to 
Total Adj (WTD) Enr</t>
  </si>
  <si>
    <t>Percent of Bilingual Wtg to 
Total Adj (WTD) Enr</t>
  </si>
  <si>
    <t>LOB Percent
Authorized 
(Min Col D or Col E)</t>
  </si>
  <si>
    <t>LOB Percent Authorized</t>
  </si>
  <si>
    <t>Free Meals 
Percent</t>
  </si>
  <si>
    <t>Total 
Free Lunch</t>
  </si>
  <si>
    <t>Total 
Headcount</t>
  </si>
  <si>
    <t>D0999</t>
  </si>
  <si>
    <t>State Totals</t>
  </si>
  <si>
    <t>2007</t>
  </si>
  <si>
    <t>The Learning Center</t>
  </si>
  <si>
    <t>Include Virtual Schools; exclude Central Office Buildings.</t>
  </si>
  <si>
    <t>Do not override formulas.  Copy values in shaded cells only.</t>
  </si>
  <si>
    <t>Total Headcount of 
Funded Students</t>
  </si>
  <si>
    <t>Preschool-Aged 
At-Risk</t>
  </si>
  <si>
    <t>Career and Tech Ed Contact Hrs</t>
  </si>
  <si>
    <t>3yr Old 
At-Risk</t>
  </si>
  <si>
    <t>4yr Old 
At-Risk</t>
  </si>
  <si>
    <t>9/20/23 FTE Enrollment (excl Preschool-Aged At-Risk, Virt, KAMS)</t>
  </si>
  <si>
    <t>2/20/22 FTE Enrollment (excl Preschool-Aged At-Risk, Virt, KAMS)</t>
  </si>
  <si>
    <t>2/20/23 FTE Enrollment (excl Preschool-Aged At-Risk, Virt, KAMS)</t>
  </si>
  <si>
    <t>2/20/24 FTE Enrollment (excl Preschool-Aged At-Risk, Virt, KAMS)</t>
  </si>
  <si>
    <t>9/20/23 
Total Funded 
Headcount</t>
  </si>
  <si>
    <t>2/20/24 
Total Funded 
Headcount</t>
  </si>
  <si>
    <t>9/20/23 Preschool-Aged At-Risk FTE</t>
  </si>
  <si>
    <t>2/20/24 Preschool-Aged At-Risk FTE</t>
  </si>
  <si>
    <t xml:space="preserve"> 9/20/23 
CTE 
Contact Hrs</t>
  </si>
  <si>
    <t>2/20/4 
CTE 
Contact Hrs</t>
  </si>
  <si>
    <t>Bilingual 
Contact Hrs</t>
  </si>
  <si>
    <t>Virtual 
Credits 
(Adult 
20 &amp; Over)</t>
  </si>
  <si>
    <t>HD-AR 
(USD Level)</t>
  </si>
  <si>
    <t>HD-AR 
(School Level)</t>
  </si>
  <si>
    <t>Sub Total 
WTD FTE</t>
  </si>
  <si>
    <t>Total WTD FTE 
(excl SPED)</t>
  </si>
  <si>
    <r>
      <t xml:space="preserve">Difference 
(S066 (Col H) minus 
LM Wtd Enr) 
</t>
    </r>
    <r>
      <rPr>
        <b/>
        <sz val="9"/>
        <rFont val="Open Sans Light"/>
        <family val="2"/>
      </rPr>
      <t>Info only</t>
    </r>
  </si>
  <si>
    <t>FTE Enrollment 
(excludes PK At-Risk, Virt, KAMS)</t>
  </si>
  <si>
    <r>
      <t xml:space="preserve">FTE Enroll (excl 
4yr old At-Risk 
&amp; Virtual) </t>
    </r>
    <r>
      <rPr>
        <b/>
        <sz val="10"/>
        <rFont val="Calibri"/>
        <family val="2"/>
        <scheme val="minor"/>
      </rPr>
      <t>9/20/2020  
2/20/2021</t>
    </r>
  </si>
  <si>
    <r>
      <t xml:space="preserve">FTE Enroll (excl 
Pre-K At-Risk 
&amp; Virtual) </t>
    </r>
    <r>
      <rPr>
        <b/>
        <sz val="10"/>
        <rFont val="Calibri"/>
        <family val="2"/>
        <scheme val="minor"/>
      </rPr>
      <t>9/20/2021 
2/20/2022</t>
    </r>
  </si>
  <si>
    <r>
      <t xml:space="preserve">FTE Enroll (excl 
Pre-K At-Risk 
&amp; Virtual) </t>
    </r>
    <r>
      <rPr>
        <b/>
        <sz val="10"/>
        <rFont val="Calibri"/>
        <family val="2"/>
        <scheme val="minor"/>
      </rPr>
      <t>9/20/2022 
2/20/2023</t>
    </r>
  </si>
  <si>
    <r>
      <t xml:space="preserve">FTE Enroll (excl 
Pre-K At-Risk 
&amp; Virtual) 
</t>
    </r>
    <r>
      <rPr>
        <b/>
        <sz val="10"/>
        <rFont val="Calibri"/>
        <family val="2"/>
        <scheme val="minor"/>
      </rPr>
      <t>9/20/2023 
2/20/2024</t>
    </r>
  </si>
  <si>
    <t>0 = NO</t>
  </si>
  <si>
    <t>1 = YES</t>
  </si>
  <si>
    <t>Total FTE Enrollment 
9/20 + 2/20 
(excl PK-AR, Virt, KAMS)</t>
  </si>
  <si>
    <t>Total FTE
9/20 + 2/20
Preschool-Aged 
At-Risk</t>
  </si>
  <si>
    <t>Total  
9/20 + 2/20 
Bilingual Student Contact Hrs</t>
  </si>
  <si>
    <t>Total 
9/20 + 2/20 
Bilingual Student Headcount</t>
  </si>
  <si>
    <t>Total 
9/20 + 2/20 
CTE Contact Hrs</t>
  </si>
  <si>
    <t>Total 
9/20 + 2/20 
Free Meals</t>
  </si>
  <si>
    <t>Total 
9/20 + 2/20 
Transport &gt; = 2.5</t>
  </si>
  <si>
    <t xml:space="preserve">  Total 
9/20 + 2/20 
Funded Headcount</t>
  </si>
  <si>
    <t>Low Enrl 
WTD FTE</t>
  </si>
  <si>
    <t>HD-AR 
(Max USD 
vs School)</t>
  </si>
  <si>
    <t>Tax Credit FTE adjustment not on S066 - Sara</t>
  </si>
  <si>
    <t>Rounding Difference on S066 USD HDAR - Sara</t>
  </si>
  <si>
    <t>Erie-Galesburg</t>
  </si>
  <si>
    <t>Cheylin</t>
  </si>
  <si>
    <t>Rawlins County</t>
  </si>
  <si>
    <t>Western Plains</t>
  </si>
  <si>
    <t>Rock Hills</t>
  </si>
  <si>
    <t>Washington Co. Schools</t>
  </si>
  <si>
    <t>Republic County</t>
  </si>
  <si>
    <t>Thunder Ridge Schools</t>
  </si>
  <si>
    <t>Doniphan West Schools</t>
  </si>
  <si>
    <t>Central Plains</t>
  </si>
  <si>
    <t>Prairie Hills</t>
  </si>
  <si>
    <t>Riverside</t>
  </si>
  <si>
    <t>Nemaha Central</t>
  </si>
  <si>
    <t>Greeley County Schools</t>
  </si>
  <si>
    <t>Turner-Kansas City</t>
  </si>
  <si>
    <t>Piper-Kansas City</t>
  </si>
  <si>
    <t>Bonner Springs</t>
  </si>
  <si>
    <t>Bluestem</t>
  </si>
  <si>
    <t>Remington-Whitewater</t>
  </si>
  <si>
    <t>Fort Leavenworth</t>
  </si>
  <si>
    <t>Moscow Public Schools</t>
  </si>
  <si>
    <t>Hugoton Public Schools</t>
  </si>
  <si>
    <t>Norton Community Schools</t>
  </si>
  <si>
    <t>Northern Valley</t>
  </si>
  <si>
    <t>Ulysses</t>
  </si>
  <si>
    <t>Lakin</t>
  </si>
  <si>
    <t>Deerfield</t>
  </si>
  <si>
    <t>Rolla</t>
  </si>
  <si>
    <t>Elkhart</t>
  </si>
  <si>
    <t>Minneola</t>
  </si>
  <si>
    <t>Ashland</t>
  </si>
  <si>
    <t>Barnes</t>
  </si>
  <si>
    <t>Clifton-Clyde</t>
  </si>
  <si>
    <t>Fowler</t>
  </si>
  <si>
    <t>Unified School District 227</t>
  </si>
  <si>
    <t>Blue Valley</t>
  </si>
  <si>
    <t>Spring Hill</t>
  </si>
  <si>
    <t>Gardner Edgerton</t>
  </si>
  <si>
    <t>De Soto</t>
  </si>
  <si>
    <t>Olathe</t>
  </si>
  <si>
    <t>Fort Scott</t>
  </si>
  <si>
    <t>Uniontown</t>
  </si>
  <si>
    <t>Smith Center</t>
  </si>
  <si>
    <t>North Ottawa County</t>
  </si>
  <si>
    <t>Twin Valley</t>
  </si>
  <si>
    <t>Wallace County Schools</t>
  </si>
  <si>
    <t>Weskan</t>
  </si>
  <si>
    <t>Lebo-Waverly</t>
  </si>
  <si>
    <t>Burlington</t>
  </si>
  <si>
    <t>LeRoy-Gridley</t>
  </si>
  <si>
    <t>Northeast</t>
  </si>
  <si>
    <t>Girard</t>
  </si>
  <si>
    <t>Frontenac Public Schools</t>
  </si>
  <si>
    <t>Pittsburg</t>
  </si>
  <si>
    <t>North Lyon County</t>
  </si>
  <si>
    <t>Southern Lyon County</t>
  </si>
  <si>
    <t>Emporia</t>
  </si>
  <si>
    <t>Barber County North</t>
  </si>
  <si>
    <t>South Barber</t>
  </si>
  <si>
    <t>Marmaton Valley</t>
  </si>
  <si>
    <t>Iola</t>
  </si>
  <si>
    <t>Humboldt</t>
  </si>
  <si>
    <t>Derby</t>
  </si>
  <si>
    <t>Haysville</t>
  </si>
  <si>
    <t>Valley Center Pub Sch</t>
  </si>
  <si>
    <t>Mulvane</t>
  </si>
  <si>
    <t>Clearwater</t>
  </si>
  <si>
    <t>Goddard</t>
  </si>
  <si>
    <t>Maize</t>
  </si>
  <si>
    <t>Renwick</t>
  </si>
  <si>
    <t>Cheney</t>
  </si>
  <si>
    <t>Palco</t>
  </si>
  <si>
    <t>Plainville</t>
  </si>
  <si>
    <t>Stockton</t>
  </si>
  <si>
    <t>Waconda</t>
  </si>
  <si>
    <t>Beloit</t>
  </si>
  <si>
    <t>Oakley</t>
  </si>
  <si>
    <t>Triplains</t>
  </si>
  <si>
    <t>Graham County</t>
  </si>
  <si>
    <t>West Elk</t>
  </si>
  <si>
    <t>Elk Valley</t>
  </si>
  <si>
    <t>Chase County</t>
  </si>
  <si>
    <t>Cedar Vale</t>
  </si>
  <si>
    <t>Chautauqua Co Community</t>
  </si>
  <si>
    <t>West Franklin</t>
  </si>
  <si>
    <t>Central Heights</t>
  </si>
  <si>
    <t>Wellsville</t>
  </si>
  <si>
    <t>Grinnell Public Schools</t>
  </si>
  <si>
    <t>Wheatland</t>
  </si>
  <si>
    <t>Quinter Public Schools</t>
  </si>
  <si>
    <t>Oberlin</t>
  </si>
  <si>
    <t>St Francis Comm Sch</t>
  </si>
  <si>
    <t>Sylvan Grove</t>
  </si>
  <si>
    <t>Comanche County</t>
  </si>
  <si>
    <t>Ness City</t>
  </si>
  <si>
    <t>Salina</t>
  </si>
  <si>
    <t>Southeast Of Saline</t>
  </si>
  <si>
    <t>Ell-Saline</t>
  </si>
  <si>
    <t>Hutchinson Public Schools</t>
  </si>
  <si>
    <t>Nickerson</t>
  </si>
  <si>
    <t>Fairfield</t>
  </si>
  <si>
    <t>Pretty Prairie</t>
  </si>
  <si>
    <t>Haven Public Schools</t>
  </si>
  <si>
    <t>Buhler</t>
  </si>
  <si>
    <t>Brewster</t>
  </si>
  <si>
    <t>Colby Public Schools</t>
  </si>
  <si>
    <t>Golden Plains</t>
  </si>
  <si>
    <t>Wamego</t>
  </si>
  <si>
    <t>Kaw Valley</t>
  </si>
  <si>
    <t>Onaga-Havensville-Wheaton</t>
  </si>
  <si>
    <t>Rock Creek</t>
  </si>
  <si>
    <t>Phillipsburg</t>
  </si>
  <si>
    <t>Mission Valley</t>
  </si>
  <si>
    <t>Kingman - Norwich</t>
  </si>
  <si>
    <t>Cunningham</t>
  </si>
  <si>
    <t>Concordia</t>
  </si>
  <si>
    <t>Southern Cloud</t>
  </si>
  <si>
    <t>North Jackson</t>
  </si>
  <si>
    <t>Holton</t>
  </si>
  <si>
    <t>Royal Valley</t>
  </si>
  <si>
    <t>Valley Falls</t>
  </si>
  <si>
    <t>Jefferson County North</t>
  </si>
  <si>
    <t>Jefferson West</t>
  </si>
  <si>
    <t>Oskaloosa Public Schools</t>
  </si>
  <si>
    <t>McLouth</t>
  </si>
  <si>
    <t>Perry Public Schools</t>
  </si>
  <si>
    <t>Pleasanton</t>
  </si>
  <si>
    <t>Seaman</t>
  </si>
  <si>
    <t>Jayhawk</t>
  </si>
  <si>
    <t>Kinsley-Offerle</t>
  </si>
  <si>
    <t>Baldwin City</t>
  </si>
  <si>
    <t>St John-Hudson</t>
  </si>
  <si>
    <t>Macksville</t>
  </si>
  <si>
    <t>Goodland</t>
  </si>
  <si>
    <t>Wellington</t>
  </si>
  <si>
    <t>Ellinwood Public Schools</t>
  </si>
  <si>
    <t>Conway Springs</t>
  </si>
  <si>
    <t>Belle Plaine</t>
  </si>
  <si>
    <t>Oxford</t>
  </si>
  <si>
    <t>Argonia Public Schools</t>
  </si>
  <si>
    <t>Caldwell</t>
  </si>
  <si>
    <t>Prairie View</t>
  </si>
  <si>
    <t>Holcomb</t>
  </si>
  <si>
    <t>Marysville</t>
  </si>
  <si>
    <t>Garnett</t>
  </si>
  <si>
    <t>Osawatomie</t>
  </si>
  <si>
    <t>Unified School District 368</t>
  </si>
  <si>
    <t>Burrton</t>
  </si>
  <si>
    <t>Montezuma</t>
  </si>
  <si>
    <t>Silver Lake</t>
  </si>
  <si>
    <t>Newton</t>
  </si>
  <si>
    <t>Sublette</t>
  </si>
  <si>
    <t>Circle</t>
  </si>
  <si>
    <t>Sterling</t>
  </si>
  <si>
    <t>Atchison Co Comm Schools</t>
  </si>
  <si>
    <t>Riley County</t>
  </si>
  <si>
    <t>Clay County</t>
  </si>
  <si>
    <t>Vermillion</t>
  </si>
  <si>
    <t>Spearville</t>
  </si>
  <si>
    <t>Manhattan-Ogden</t>
  </si>
  <si>
    <t>Andover</t>
  </si>
  <si>
    <t>Madison-Virgil</t>
  </si>
  <si>
    <t>Altoona-Midway</t>
  </si>
  <si>
    <t>Eureka</t>
  </si>
  <si>
    <t>Osborne County</t>
  </si>
  <si>
    <t>Solomon</t>
  </si>
  <si>
    <t>Rose Hill Public Schools</t>
  </si>
  <si>
    <t>LaCrosse</t>
  </si>
  <si>
    <t>Douglass Public Schools</t>
  </si>
  <si>
    <t>Peabody-Burns</t>
  </si>
  <si>
    <t>Paradise</t>
  </si>
  <si>
    <t>Smoky Valley</t>
  </si>
  <si>
    <t>Chase-Raymond</t>
  </si>
  <si>
    <t>Augusta</t>
  </si>
  <si>
    <t>Otis-Bison</t>
  </si>
  <si>
    <t>Riverton</t>
  </si>
  <si>
    <t>Lyons</t>
  </si>
  <si>
    <t>Russell County</t>
  </si>
  <si>
    <t>Marion-Florence</t>
  </si>
  <si>
    <t>Atchison Public Schools</t>
  </si>
  <si>
    <t>Durham-Hillsboro-Lehigh</t>
  </si>
  <si>
    <t>Goessel</t>
  </si>
  <si>
    <t>Hoxie Community Schools</t>
  </si>
  <si>
    <t>Chanute Public Schools</t>
  </si>
  <si>
    <t>Hiawatha</t>
  </si>
  <si>
    <t>Louisburg</t>
  </si>
  <si>
    <t>Morris County</t>
  </si>
  <si>
    <t>Canton-Galva</t>
  </si>
  <si>
    <t>Osage City</t>
  </si>
  <si>
    <t>Lyndon</t>
  </si>
  <si>
    <t>Kiowa County</t>
  </si>
  <si>
    <t>Moundridge</t>
  </si>
  <si>
    <t>Pike Valley</t>
  </si>
  <si>
    <t>Great Bend</t>
  </si>
  <si>
    <t>Troy Public Schools</t>
  </si>
  <si>
    <t>South Brown County</t>
  </si>
  <si>
    <t>Hoisington</t>
  </si>
  <si>
    <t>Victoria</t>
  </si>
  <si>
    <t>Santa Fe Trail</t>
  </si>
  <si>
    <t>Abilene</t>
  </si>
  <si>
    <t>Caney Valley</t>
  </si>
  <si>
    <t>Auburn-Washburn USD 437</t>
  </si>
  <si>
    <t>Skyline Schools</t>
  </si>
  <si>
    <t>Sedgwick Public Schools</t>
  </si>
  <si>
    <t>Halstead</t>
  </si>
  <si>
    <t>Dodge City</t>
  </si>
  <si>
    <t>Little River</t>
  </si>
  <si>
    <t>Coffeyville</t>
  </si>
  <si>
    <t>Independence</t>
  </si>
  <si>
    <t>Cherryvale</t>
  </si>
  <si>
    <t>Inman</t>
  </si>
  <si>
    <t>Easton</t>
  </si>
  <si>
    <t>Shawnee Heights</t>
  </si>
  <si>
    <t>Stanton County</t>
  </si>
  <si>
    <t>Burlingame Public School</t>
  </si>
  <si>
    <t>Marais Des Cygnes Valley</t>
  </si>
  <si>
    <t>Garden City</t>
  </si>
  <si>
    <t>Basehor-Linwood</t>
  </si>
  <si>
    <t>Bucklin</t>
  </si>
  <si>
    <t>Hesston</t>
  </si>
  <si>
    <t>Neodesha</t>
  </si>
  <si>
    <t>Central</t>
  </si>
  <si>
    <t>Udall</t>
  </si>
  <si>
    <t>Tonganoxie</t>
  </si>
  <si>
    <t>Winfield</t>
  </si>
  <si>
    <t>Scott County</t>
  </si>
  <si>
    <t>Leoti</t>
  </si>
  <si>
    <t>Healy Public Schools</t>
  </si>
  <si>
    <t>Lansing</t>
  </si>
  <si>
    <t>Arkansas City</t>
  </si>
  <si>
    <t>Dexter</t>
  </si>
  <si>
    <t>Chapman</t>
  </si>
  <si>
    <t>Haviland</t>
  </si>
  <si>
    <t>Geary County Schools</t>
  </si>
  <si>
    <t>Copeland</t>
  </si>
  <si>
    <t>Ingalls</t>
  </si>
  <si>
    <t>Crest</t>
  </si>
  <si>
    <t>Liberal</t>
  </si>
  <si>
    <t>Rural Vista</t>
  </si>
  <si>
    <t>Dighton</t>
  </si>
  <si>
    <t>Kismet-Plains</t>
  </si>
  <si>
    <t>Fredonia</t>
  </si>
  <si>
    <t>Herington</t>
  </si>
  <si>
    <t>Hays</t>
  </si>
  <si>
    <t>El Dorado</t>
  </si>
  <si>
    <t>Eudora</t>
  </si>
  <si>
    <t>Flinthills</t>
  </si>
  <si>
    <t>Columbus</t>
  </si>
  <si>
    <t>Syracuse</t>
  </si>
  <si>
    <t>Ft Larned</t>
  </si>
  <si>
    <t>Lawrence</t>
  </si>
  <si>
    <t>Valley Heights</t>
  </si>
  <si>
    <t>Galena Unified School District No 499</t>
  </si>
  <si>
    <t>Kansas City</t>
  </si>
  <si>
    <t>Topeka Public Schools</t>
  </si>
  <si>
    <t>Lewis</t>
  </si>
  <si>
    <t>Parsons</t>
  </si>
  <si>
    <t>Oswego</t>
  </si>
  <si>
    <t>Chetopa-St. Paul</t>
  </si>
  <si>
    <t>Labette County</t>
  </si>
  <si>
    <t>Satanta</t>
  </si>
  <si>
    <t>Baxter Springs</t>
  </si>
  <si>
    <t>South Haven</t>
  </si>
  <si>
    <t>Attica</t>
  </si>
  <si>
    <t>Accepting Students</t>
  </si>
  <si>
    <t>in FY2024 due</t>
  </si>
  <si>
    <t>to Schools Closing</t>
  </si>
  <si>
    <t>(Yes = 1)</t>
  </si>
  <si>
    <t>Factor</t>
  </si>
  <si>
    <t>2022-2023</t>
  </si>
  <si>
    <t>Thru FY24-26</t>
  </si>
  <si>
    <t>2023-2024</t>
  </si>
  <si>
    <t>Low/High Enroll</t>
  </si>
  <si>
    <t>2023-2024 Low/High Enroll Factor</t>
  </si>
  <si>
    <t>Pulls from 2024 Legal Max Worksheet Tab</t>
  </si>
  <si>
    <t>If Acceptance = Yes</t>
  </si>
  <si>
    <t>Max of FY23 or FY24 Factor</t>
  </si>
  <si>
    <t>Otherwise FY24 Factor</t>
  </si>
  <si>
    <t>Difference</t>
  </si>
  <si>
    <t>Current Factor</t>
  </si>
  <si>
    <t>1129</t>
  </si>
  <si>
    <t>Central Plains Adult Diploma Program</t>
  </si>
  <si>
    <t>0437</t>
  </si>
  <si>
    <t>Riverside Virtual High School</t>
  </si>
  <si>
    <t>0984</t>
  </si>
  <si>
    <t>Beyond the Bell</t>
  </si>
  <si>
    <t>1116</t>
  </si>
  <si>
    <t>Ulysses Community Learning Center (UCLC)</t>
  </si>
  <si>
    <t>0523</t>
  </si>
  <si>
    <t>Kansas Connections Academy</t>
  </si>
  <si>
    <t>1319</t>
  </si>
  <si>
    <t>Blue Valley Virtual Program</t>
  </si>
  <si>
    <t>0794</t>
  </si>
  <si>
    <t>Insight School of Kansas</t>
  </si>
  <si>
    <t>0931</t>
  </si>
  <si>
    <t>Kansas Virtual Academy (KSVA)</t>
  </si>
  <si>
    <t>0997</t>
  </si>
  <si>
    <t>Virtual Education Program</t>
  </si>
  <si>
    <t>1379</t>
  </si>
  <si>
    <t>Step Up Virtual</t>
  </si>
  <si>
    <t>1197</t>
  </si>
  <si>
    <t>Northeast Virtual School</t>
  </si>
  <si>
    <t>1535</t>
  </si>
  <si>
    <t>Marmaton Valley Virtual School</t>
  </si>
  <si>
    <t>1561</t>
  </si>
  <si>
    <t>Iola High School Virtual</t>
  </si>
  <si>
    <t>1598</t>
  </si>
  <si>
    <t>Humboldt Virtual Education</t>
  </si>
  <si>
    <t>1613</t>
  </si>
  <si>
    <t>Education Imagine Academy</t>
  </si>
  <si>
    <t>2297</t>
  </si>
  <si>
    <t>Derby Virtual School</t>
  </si>
  <si>
    <t>2188</t>
  </si>
  <si>
    <t>USD 265 - Goddard Virtual School</t>
  </si>
  <si>
    <t>2076</t>
  </si>
  <si>
    <t>Maize Virtual Preparatory School</t>
  </si>
  <si>
    <t>2437</t>
  </si>
  <si>
    <t xml:space="preserve">West Elk Virtual Academy </t>
  </si>
  <si>
    <t>2659</t>
  </si>
  <si>
    <t>Ottawa Virtual School</t>
  </si>
  <si>
    <t>3023</t>
  </si>
  <si>
    <t>Salina Virtual Innovation Academy</t>
  </si>
  <si>
    <t>3149</t>
  </si>
  <si>
    <t>Hutchinson Virtual School</t>
  </si>
  <si>
    <t>3171</t>
  </si>
  <si>
    <t>Central State Academy</t>
  </si>
  <si>
    <t>3263</t>
  </si>
  <si>
    <t>Haven Virtual Academy</t>
  </si>
  <si>
    <t>3265</t>
  </si>
  <si>
    <t>Ad Astra Virtual Academy</t>
  </si>
  <si>
    <t>3266</t>
  </si>
  <si>
    <t>Ad Astra Alternative Academy</t>
  </si>
  <si>
    <t>3394</t>
  </si>
  <si>
    <t>Wamego High School Virtual School</t>
  </si>
  <si>
    <t>3713</t>
  </si>
  <si>
    <t>USD 331 Virtual School</t>
  </si>
  <si>
    <t>3889</t>
  </si>
  <si>
    <t>Fresh Start (Virtual)</t>
  </si>
  <si>
    <t>3948</t>
  </si>
  <si>
    <t>Jefferson Co North High</t>
  </si>
  <si>
    <t>3976</t>
  </si>
  <si>
    <t>Rocket Online Schools (ROCS)</t>
  </si>
  <si>
    <t>4233</t>
  </si>
  <si>
    <t>Goodland Virtual School</t>
  </si>
  <si>
    <t>4234</t>
  </si>
  <si>
    <t>Goodland Learning Center</t>
  </si>
  <si>
    <t>4255</t>
  </si>
  <si>
    <t>Wellington Virtual School</t>
  </si>
  <si>
    <t>4379</t>
  </si>
  <si>
    <t>Oxford Online Virtual School</t>
  </si>
  <si>
    <t>4428</t>
  </si>
  <si>
    <t>Caldwell Secondary School-Chisholm Trail eLea</t>
  </si>
  <si>
    <t>4441</t>
  </si>
  <si>
    <t>Chaparral Virtual School</t>
  </si>
  <si>
    <t>4522</t>
  </si>
  <si>
    <t>USD 363 Virtual Academy</t>
  </si>
  <si>
    <t>4671</t>
  </si>
  <si>
    <t>Osawatomie Virtual School</t>
  </si>
  <si>
    <t>5085</t>
  </si>
  <si>
    <t>Pratt Learning Center</t>
  </si>
  <si>
    <t>5143</t>
  </si>
  <si>
    <t>Manhattan Virtual Academy</t>
  </si>
  <si>
    <t>5204</t>
  </si>
  <si>
    <t>Andover eCademy</t>
  </si>
  <si>
    <t>5437</t>
  </si>
  <si>
    <t>Kansas Online Learning Program</t>
  </si>
  <si>
    <t>5498</t>
  </si>
  <si>
    <t>Smoky Valley Virtual Charter School</t>
  </si>
  <si>
    <t>5587</t>
  </si>
  <si>
    <t>Otis Bison Academy</t>
  </si>
  <si>
    <t>5973</t>
  </si>
  <si>
    <t>Louisburg Virtual Program</t>
  </si>
  <si>
    <t>6472</t>
  </si>
  <si>
    <t>Abilene Virtual School</t>
  </si>
  <si>
    <t>6752</t>
  </si>
  <si>
    <t>Coffeyville Virtual Program</t>
  </si>
  <si>
    <t>6831</t>
  </si>
  <si>
    <t>BRIDGES Academy</t>
  </si>
  <si>
    <t>7026</t>
  </si>
  <si>
    <t>Leavenworth Virtual School</t>
  </si>
  <si>
    <t>7189</t>
  </si>
  <si>
    <t>USD 457 Virtual Academy</t>
  </si>
  <si>
    <t>7188</t>
  </si>
  <si>
    <t>Basehor-Linwood Virtual School</t>
  </si>
  <si>
    <t>7274</t>
  </si>
  <si>
    <t>Udall Virtual School</t>
  </si>
  <si>
    <t>7359</t>
  </si>
  <si>
    <t>Scott Community Learning Center</t>
  </si>
  <si>
    <t>7822</t>
  </si>
  <si>
    <t>Fredonia Virtual Academy</t>
  </si>
  <si>
    <t>7945</t>
  </si>
  <si>
    <t>Hays Virtual School</t>
  </si>
  <si>
    <t>8012</t>
  </si>
  <si>
    <t>El Dorado Virtual School</t>
  </si>
  <si>
    <t>8033</t>
  </si>
  <si>
    <t>Eudora Schools Virtual Learning</t>
  </si>
  <si>
    <t>8185</t>
  </si>
  <si>
    <t>Lawrence Virtual School</t>
  </si>
  <si>
    <t>8403</t>
  </si>
  <si>
    <t>500 Reach</t>
  </si>
  <si>
    <t>8457</t>
  </si>
  <si>
    <t>Topeka Virtual School</t>
  </si>
  <si>
    <t>8657</t>
  </si>
  <si>
    <t>Labette County Virtual School</t>
  </si>
  <si>
    <t>8707</t>
  </si>
  <si>
    <t>USD 508 eAcademy</t>
  </si>
  <si>
    <t>8809</t>
  </si>
  <si>
    <t>Project Finish</t>
  </si>
  <si>
    <t>Erie</t>
  </si>
  <si>
    <t>Cheney Middle School 6-8</t>
  </si>
  <si>
    <t>South Barber County</t>
  </si>
  <si>
    <t>PY Audit Virtual Credits 
(20 yrs &amp; Older)</t>
  </si>
  <si>
    <r>
      <t xml:space="preserve">2023-24 Virtual Credits (Dropouts 19 &amp; Under) </t>
    </r>
    <r>
      <rPr>
        <b/>
        <sz val="9"/>
        <color theme="1"/>
        <rFont val="Open Sans Light"/>
        <family val="2"/>
      </rPr>
      <t>Audited</t>
    </r>
    <r>
      <rPr>
        <sz val="9"/>
        <color theme="1"/>
        <rFont val="Open Sans Light"/>
        <family val="2"/>
      </rPr>
      <t xml:space="preserve"> </t>
    </r>
  </si>
  <si>
    <t>Total Virtual Credits Reduction
 (20 &amp; Over and 
(19 &amp; Under)</t>
  </si>
  <si>
    <t>Except 
Virtual Credits
 (20 &amp; Over)</t>
  </si>
  <si>
    <t>2023-24 Virtual Credits
 (Dropouts 19 &amp; Under)</t>
  </si>
  <si>
    <t>Except Virtual Dropout Credits
 (19 &amp; Under)</t>
  </si>
  <si>
    <t>Mission Valley Elementary</t>
  </si>
  <si>
    <t>Shawnee Mission</t>
  </si>
  <si>
    <t>Original Low/High ENRL 
WTD FTE</t>
  </si>
  <si>
    <t>Actual Low/High ENRL 
WTD FTE</t>
  </si>
  <si>
    <t>Info Only (S066)</t>
  </si>
  <si>
    <t>Trego Community (WaKeeney)</t>
  </si>
  <si>
    <t>PY Virtual Credits (FT/PT)  adjusted to Dropout Virtual Credits</t>
  </si>
  <si>
    <t>Doniphan West</t>
  </si>
  <si>
    <t>Greeley County</t>
  </si>
  <si>
    <t>Frontenac</t>
  </si>
  <si>
    <t>Clay Center</t>
  </si>
  <si>
    <t>Troy</t>
  </si>
  <si>
    <t>Galena</t>
  </si>
  <si>
    <t>Thunder Ridge</t>
  </si>
  <si>
    <t>Turner</t>
  </si>
  <si>
    <t>Hodgeman County - Jetmore</t>
  </si>
  <si>
    <t>Wallace County</t>
  </si>
  <si>
    <t>Quinter</t>
  </si>
  <si>
    <t>Perry-Lecompton</t>
  </si>
  <si>
    <t>Paola</t>
  </si>
  <si>
    <t>Skyline</t>
  </si>
  <si>
    <t>Piper</t>
  </si>
  <si>
    <t>Moscow</t>
  </si>
  <si>
    <t>Hugoton</t>
  </si>
  <si>
    <t>DeSoto</t>
  </si>
  <si>
    <t>De Soto High School</t>
  </si>
  <si>
    <t>Kingman-Norwich</t>
  </si>
  <si>
    <t>Chaparral</t>
  </si>
  <si>
    <t>Wichita County (Leoti)</t>
  </si>
  <si>
    <t>Oskaloosa</t>
  </si>
  <si>
    <t>Burlingame</t>
  </si>
  <si>
    <t>Chanute</t>
  </si>
  <si>
    <t>Southeast of Saline</t>
  </si>
  <si>
    <t>Colby</t>
  </si>
  <si>
    <t>Lakewood Middle</t>
  </si>
  <si>
    <t>Healy</t>
  </si>
  <si>
    <t>Topeka</t>
  </si>
  <si>
    <t>Gardner-Edgerton</t>
  </si>
  <si>
    <t>Grinnell</t>
  </si>
  <si>
    <t>Ellinwood</t>
  </si>
  <si>
    <t>Ellinwood Middle School</t>
  </si>
  <si>
    <t>Atchison County</t>
  </si>
  <si>
    <t>Atchison High School</t>
  </si>
  <si>
    <t>Hoxie Community</t>
  </si>
  <si>
    <t>Auburn-Washburn</t>
  </si>
  <si>
    <t>Southeast (Cherokee)</t>
  </si>
  <si>
    <t>St. Francis</t>
  </si>
  <si>
    <t>Haven</t>
  </si>
  <si>
    <t>Vermillon</t>
  </si>
  <si>
    <t xml:space="preserve">Russell </t>
  </si>
  <si>
    <t>R L Wright Elem</t>
  </si>
  <si>
    <t>Fort Larned</t>
  </si>
  <si>
    <t>Washington County</t>
  </si>
  <si>
    <t>St. John-Hudson</t>
  </si>
  <si>
    <t>Argonia</t>
  </si>
  <si>
    <t>Chautauqua County</t>
  </si>
  <si>
    <t>Hillsboro</t>
  </si>
  <si>
    <t>Eudora High School</t>
  </si>
  <si>
    <t>Chetopa - St. Paul</t>
  </si>
  <si>
    <t>Geary County</t>
  </si>
  <si>
    <t>2/20        4yr Old Preschool Aged At-Risk (3 &amp; 4 yr old AR) FTE</t>
  </si>
  <si>
    <t>Valley Center</t>
  </si>
  <si>
    <t>Rose Hill</t>
  </si>
  <si>
    <t>Douglass</t>
  </si>
  <si>
    <t>Hutchinson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</si>
</sst>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6" formatCode="&quot;$&quot;#,##0_);[Red]\(&quot;$&quot;#,##0\)"/>
    <numFmt numFmtId="8" formatCode="&quot;$&quot;#,##0.00_);[Red]\(&quot;$&quot;#,##0.00\)"/>
    <numFmt numFmtId="44" formatCode="_(&quot;$&quot;* #,##0.00_);_(&quot;$&quot;* \(#,##0.00\);_(&quot;$&quot;* &quot;-&quot;??_);_(@_)"/>
    <numFmt numFmtId="43" formatCode="_(* #,##0.00_);_(* \(#,##0.00\);_(* &quot;-&quot;??_);_(@_)"/>
    <numFmt numFmtId="164" formatCode="#,##0.0"/>
    <numFmt numFmtId="165" formatCode=".0000"/>
    <numFmt numFmtId="166" formatCode=".000"/>
    <numFmt numFmtId="167" formatCode=".000000"/>
    <numFmt numFmtId="168" formatCode="0.0"/>
    <numFmt numFmtId="169" formatCode="#,##0.0000"/>
    <numFmt numFmtId="170" formatCode="0.0%"/>
    <numFmt numFmtId="171" formatCode="#,##0;\-#,##0;;@"/>
    <numFmt numFmtId="172" formatCode="[$-10409]#,##0.0"/>
    <numFmt numFmtId="173" formatCode="0.000"/>
    <numFmt numFmtId="174" formatCode="#,##0.000"/>
    <numFmt numFmtId="175" formatCode="#,##0.0_);[Red]\(#,##0.0\)"/>
    <numFmt numFmtId="176" formatCode="0.0000"/>
    <numFmt numFmtId="177" formatCode="0000"/>
    <numFmt numFmtId="178" formatCode="#,##0.000000"/>
    <numFmt numFmtId="179" formatCode="0.000000"/>
  </numFmts>
  <fonts count="74">
    <font>
      <sz val="10"/>
      <name val="Geneva"/>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Geneva"/>
    </font>
    <font>
      <sz val="8"/>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Calibri"/>
      <family val="2"/>
      <scheme val="minor"/>
    </font>
    <font>
      <b/>
      <sz val="10"/>
      <name val="Calibri"/>
      <family val="2"/>
      <scheme val="minor"/>
    </font>
    <font>
      <sz val="10"/>
      <color indexed="10"/>
      <name val="Calibri"/>
      <family val="2"/>
      <scheme val="minor"/>
    </font>
    <font>
      <sz val="9"/>
      <color indexed="81"/>
      <name val="Tahoma"/>
      <family val="2"/>
    </font>
    <font>
      <b/>
      <sz val="9"/>
      <color indexed="81"/>
      <name val="Tahoma"/>
      <family val="2"/>
    </font>
    <font>
      <sz val="14"/>
      <name val="Calibri"/>
      <family val="2"/>
      <scheme val="minor"/>
    </font>
    <font>
      <sz val="11"/>
      <color theme="1"/>
      <name val="Times New Roman"/>
      <family val="2"/>
    </font>
    <font>
      <sz val="10"/>
      <name val="MS Sans Serif"/>
      <family val="2"/>
    </font>
    <font>
      <sz val="10"/>
      <name val="Times New Roman"/>
      <family val="1"/>
    </font>
    <font>
      <sz val="11"/>
      <color indexed="8"/>
      <name val="Calibri"/>
      <family val="2"/>
    </font>
    <font>
      <sz val="11"/>
      <color indexed="8"/>
      <name val="Times New Roman"/>
      <family val="2"/>
    </font>
    <font>
      <u/>
      <sz val="10"/>
      <color indexed="12"/>
      <name val="Geneva"/>
    </font>
    <font>
      <u/>
      <sz val="10"/>
      <color indexed="12"/>
      <name val="Arial"/>
      <family val="2"/>
    </font>
    <font>
      <u/>
      <sz val="11"/>
      <color theme="10"/>
      <name val="Times New Roman"/>
      <family val="2"/>
    </font>
    <font>
      <u/>
      <sz val="11"/>
      <color theme="10"/>
      <name val="Calibri"/>
      <family val="2"/>
    </font>
    <font>
      <sz val="10"/>
      <name val="Arial"/>
      <family val="2"/>
    </font>
    <font>
      <sz val="10"/>
      <color theme="1"/>
      <name val="Calibri"/>
      <family val="2"/>
      <scheme val="minor"/>
    </font>
    <font>
      <sz val="11"/>
      <color rgb="FF000000"/>
      <name val="Calibri"/>
      <family val="2"/>
      <scheme val="minor"/>
    </font>
    <font>
      <b/>
      <sz val="10"/>
      <color indexed="12"/>
      <name val="Calibri"/>
      <family val="2"/>
      <scheme val="minor"/>
    </font>
    <font>
      <sz val="18"/>
      <color theme="3"/>
      <name val="Cambria"/>
      <family val="2"/>
      <scheme val="major"/>
    </font>
    <font>
      <sz val="10"/>
      <color rgb="FFFF0000"/>
      <name val="Calibri"/>
      <family val="2"/>
      <scheme val="minor"/>
    </font>
    <font>
      <sz val="10"/>
      <color theme="1"/>
      <name val="Calibri"/>
      <family val="2"/>
    </font>
    <font>
      <sz val="10"/>
      <name val="Arial"/>
      <family val="2"/>
    </font>
    <font>
      <sz val="10"/>
      <color indexed="8"/>
      <name val="Arial"/>
      <family val="2"/>
    </font>
    <font>
      <sz val="10"/>
      <name val="Calibri"/>
      <family val="2"/>
    </font>
    <font>
      <b/>
      <sz val="10"/>
      <name val="Calibri"/>
      <family val="2"/>
    </font>
    <font>
      <sz val="10"/>
      <color rgb="FFFF0000"/>
      <name val="Calibri"/>
      <family val="2"/>
    </font>
    <font>
      <sz val="11"/>
      <name val="Calibri"/>
      <family val="2"/>
    </font>
    <font>
      <sz val="10"/>
      <name val="Open Sans Light"/>
      <family val="2"/>
    </font>
    <font>
      <sz val="9"/>
      <name val="Open Sans Light"/>
      <family val="2"/>
    </font>
    <font>
      <b/>
      <sz val="9"/>
      <name val="Open Sans Light"/>
      <family val="2"/>
    </font>
    <font>
      <sz val="9"/>
      <color theme="1"/>
      <name val="Open Sans Light"/>
      <family val="2"/>
    </font>
    <font>
      <u/>
      <sz val="9"/>
      <color theme="1"/>
      <name val="Open Sans Light"/>
      <family val="2"/>
    </font>
    <font>
      <sz val="9"/>
      <color indexed="8"/>
      <name val="Open Sans Light"/>
      <family val="2"/>
    </font>
    <font>
      <sz val="9"/>
      <color rgb="FFFF0000"/>
      <name val="Open Sans Light"/>
      <family val="2"/>
    </font>
    <font>
      <b/>
      <sz val="9"/>
      <color theme="1"/>
      <name val="Open Sans Light"/>
      <family val="2"/>
    </font>
    <font>
      <sz val="9"/>
      <color rgb="FF000000"/>
      <name val="Open Sans Light"/>
      <family val="2"/>
    </font>
    <font>
      <b/>
      <sz val="10"/>
      <name val="Open Sans Light"/>
      <family val="2"/>
    </font>
    <font>
      <sz val="8"/>
      <name val="Geneva"/>
    </font>
    <font>
      <b/>
      <sz val="9"/>
      <color rgb="FFC00000"/>
      <name val="Open Sans Light"/>
      <family val="2"/>
    </font>
  </fonts>
  <fills count="56">
    <fill>
      <patternFill patternType="none"/>
    </fill>
    <fill>
      <patternFill patternType="gray125"/>
    </fill>
    <fill>
      <patternFill patternType="solid">
        <fgColor indexed="43"/>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gradientFill>
        <stop position="0">
          <color rgb="FF00B0F0"/>
        </stop>
        <stop position="1">
          <color theme="0"/>
        </stop>
      </gradientFill>
    </fill>
    <fill>
      <gradientFill>
        <stop position="0">
          <color theme="6" tint="0.40000610370189521"/>
        </stop>
        <stop position="1">
          <color theme="6" tint="0.80001220740379042"/>
        </stop>
      </gradientFill>
    </fill>
    <fill>
      <gradientFill>
        <stop position="0">
          <color rgb="FFFFC000"/>
        </stop>
        <stop position="1">
          <color rgb="FFFFFF00"/>
        </stop>
      </gradientFill>
    </fill>
    <fill>
      <patternFill patternType="solid">
        <fgColor theme="3" tint="0.79998168889431442"/>
        <bgColor indexed="64"/>
      </patternFill>
    </fill>
    <fill>
      <gradientFill degree="45">
        <stop position="0">
          <color rgb="FFFF0000"/>
        </stop>
        <stop position="1">
          <color theme="0"/>
        </stop>
      </gradient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rgb="FFFFFFCC"/>
        <bgColor indexed="0"/>
      </patternFill>
    </fill>
    <fill>
      <patternFill patternType="solid">
        <fgColor theme="8" tint="0.79998168889431442"/>
        <bgColor indexed="0"/>
      </patternFill>
    </fill>
    <fill>
      <patternFill patternType="solid">
        <fgColor rgb="FFFFFFCC"/>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6" tint="0.59999389629810485"/>
        <bgColor indexed="0"/>
      </patternFill>
    </fill>
    <fill>
      <patternFill patternType="solid">
        <fgColor theme="7"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5" tint="0.59999389629810485"/>
        <bgColor indexed="64"/>
      </patternFill>
    </fill>
  </fills>
  <borders count="62">
    <border>
      <left/>
      <right/>
      <top/>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double">
        <color indexed="64"/>
      </left>
      <right style="double">
        <color indexed="64"/>
      </right>
      <top/>
      <bottom/>
      <diagonal/>
    </border>
    <border>
      <left/>
      <right style="double">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double">
        <color indexed="64"/>
      </right>
      <top/>
      <bottom style="thin">
        <color indexed="64"/>
      </bottom>
      <diagonal/>
    </border>
    <border>
      <left/>
      <right/>
      <top/>
      <bottom style="thin">
        <color indexed="64"/>
      </bottom>
      <diagonal/>
    </border>
    <border>
      <left style="double">
        <color indexed="64"/>
      </left>
      <right style="double">
        <color indexed="64"/>
      </right>
      <top/>
      <bottom style="thin">
        <color indexed="64"/>
      </bottom>
      <diagonal/>
    </border>
    <border>
      <left style="double">
        <color auto="1"/>
      </left>
      <right/>
      <top/>
      <bottom style="thin">
        <color auto="1"/>
      </bottom>
      <diagonal/>
    </border>
    <border>
      <left/>
      <right/>
      <top style="thin">
        <color auto="1"/>
      </top>
      <bottom/>
      <diagonal/>
    </border>
    <border>
      <left style="double">
        <color auto="1"/>
      </left>
      <right/>
      <top style="thin">
        <color auto="1"/>
      </top>
      <bottom/>
      <diagonal/>
    </border>
    <border>
      <left/>
      <right style="double">
        <color auto="1"/>
      </right>
      <top style="thin">
        <color auto="1"/>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right/>
      <top style="thin">
        <color indexed="64"/>
      </top>
      <bottom style="thin">
        <color indexed="64"/>
      </bottom>
      <diagonal/>
    </border>
    <border>
      <left style="thin">
        <color indexed="64"/>
      </left>
      <right/>
      <top/>
      <bottom style="thin">
        <color indexed="64"/>
      </bottom>
      <diagonal/>
    </border>
    <border>
      <left style="thin">
        <color auto="1"/>
      </left>
      <right style="double">
        <color auto="1"/>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bottom style="medium">
        <color auto="1"/>
      </bottom>
      <diagonal/>
    </border>
    <border>
      <left style="thin">
        <color indexed="8"/>
      </left>
      <right style="thin">
        <color indexed="8"/>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medium">
        <color auto="1"/>
      </left>
      <right style="medium">
        <color auto="1"/>
      </right>
      <top/>
      <bottom/>
      <diagonal/>
    </border>
    <border>
      <left style="medium">
        <color auto="1"/>
      </left>
      <right style="medium">
        <color auto="1"/>
      </right>
      <top/>
      <bottom style="thin">
        <color indexed="64"/>
      </bottom>
      <diagonal/>
    </border>
    <border>
      <left/>
      <right style="medium">
        <color auto="1"/>
      </right>
      <top/>
      <bottom style="thin">
        <color indexed="64"/>
      </bottom>
      <diagonal/>
    </border>
    <border>
      <left style="medium">
        <color indexed="64"/>
      </left>
      <right style="medium">
        <color indexed="64"/>
      </right>
      <top style="medium">
        <color indexed="64"/>
      </top>
      <bottom/>
      <diagonal/>
    </border>
    <border>
      <left style="medium">
        <color indexed="64"/>
      </left>
      <right style="mediumDashed">
        <color theme="1" tint="0.499984740745262"/>
      </right>
      <top/>
      <bottom/>
      <diagonal/>
    </border>
    <border>
      <left style="medium">
        <color indexed="64"/>
      </left>
      <right style="mediumDashed">
        <color theme="1" tint="0.499984740745262"/>
      </right>
      <top/>
      <bottom style="thin">
        <color indexed="64"/>
      </bottom>
      <diagonal/>
    </border>
    <border>
      <left/>
      <right style="thin">
        <color indexed="8"/>
      </right>
      <top/>
      <bottom/>
      <diagonal/>
    </border>
    <border>
      <left/>
      <right/>
      <top style="thin">
        <color indexed="64"/>
      </top>
      <bottom style="double">
        <color indexed="64"/>
      </bottom>
      <diagonal/>
    </border>
    <border>
      <left style="thin">
        <color auto="1"/>
      </left>
      <right style="double">
        <color auto="1"/>
      </right>
      <top/>
      <bottom/>
      <diagonal/>
    </border>
    <border>
      <left style="double">
        <color auto="1"/>
      </left>
      <right/>
      <top style="thin">
        <color indexed="64"/>
      </top>
      <bottom style="double">
        <color indexed="64"/>
      </bottom>
      <diagonal/>
    </border>
    <border>
      <left/>
      <right style="double">
        <color indexed="64"/>
      </right>
      <top style="thin">
        <color indexed="64"/>
      </top>
      <bottom style="double">
        <color indexed="64"/>
      </bottom>
      <diagonal/>
    </border>
  </borders>
  <cellStyleXfs count="3604">
    <xf numFmtId="0" fontId="0" fillId="0" borderId="0"/>
    <xf numFmtId="40" fontId="15" fillId="0" borderId="0" applyFont="0" applyFill="0" applyBorder="0" applyAlignment="0" applyProtection="0"/>
    <xf numFmtId="8" fontId="15" fillId="0" borderId="0" applyFont="0" applyFill="0" applyBorder="0" applyAlignment="0" applyProtection="0"/>
    <xf numFmtId="0" fontId="17" fillId="0" borderId="0" applyNumberFormat="0" applyFill="0" applyBorder="0" applyAlignment="0" applyProtection="0"/>
    <xf numFmtId="0" fontId="18" fillId="0" borderId="13" applyNumberFormat="0" applyFill="0" applyAlignment="0" applyProtection="0"/>
    <xf numFmtId="0" fontId="19" fillId="0" borderId="14" applyNumberFormat="0" applyFill="0" applyAlignment="0" applyProtection="0"/>
    <xf numFmtId="0" fontId="20" fillId="0" borderId="15"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16" applyNumberFormat="0" applyAlignment="0" applyProtection="0"/>
    <xf numFmtId="0" fontId="25" fillId="8" borderId="17" applyNumberFormat="0" applyAlignment="0" applyProtection="0"/>
    <xf numFmtId="0" fontId="26" fillId="8" borderId="16" applyNumberFormat="0" applyAlignment="0" applyProtection="0"/>
    <xf numFmtId="0" fontId="27" fillId="0" borderId="18" applyNumberFormat="0" applyFill="0" applyAlignment="0" applyProtection="0"/>
    <xf numFmtId="0" fontId="28" fillId="9" borderId="1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21" applyNumberFormat="0" applyFill="0" applyAlignment="0" applyProtection="0"/>
    <xf numFmtId="0" fontId="32"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32" fillId="34" borderId="0" applyNumberFormat="0" applyBorder="0" applyAlignment="0" applyProtection="0"/>
    <xf numFmtId="0" fontId="14" fillId="0" borderId="0"/>
    <xf numFmtId="0" fontId="14" fillId="10" borderId="20" applyNumberFormat="0" applyFont="0" applyAlignment="0" applyProtection="0"/>
    <xf numFmtId="0" fontId="33" fillId="0" borderId="0"/>
    <xf numFmtId="0" fontId="13" fillId="0" borderId="0"/>
    <xf numFmtId="0" fontId="13" fillId="12"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5" fillId="0" borderId="0"/>
    <xf numFmtId="40" fontId="15" fillId="0" borderId="0" applyFont="0" applyFill="0" applyBorder="0" applyAlignment="0" applyProtection="0"/>
    <xf numFmtId="8" fontId="15"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42" fillId="0" borderId="0"/>
    <xf numFmtId="0" fontId="41" fillId="0" borderId="0"/>
    <xf numFmtId="0" fontId="40" fillId="0" borderId="0"/>
    <xf numFmtId="0" fontId="13" fillId="0" borderId="0"/>
    <xf numFmtId="0" fontId="13" fillId="10" borderId="20" applyNumberFormat="0" applyFont="0" applyAlignment="0" applyProtection="0"/>
    <xf numFmtId="0" fontId="41" fillId="0" borderId="0"/>
    <xf numFmtId="43" fontId="40" fillId="0" borderId="0" applyFont="0" applyFill="0" applyBorder="0" applyAlignment="0" applyProtection="0"/>
    <xf numFmtId="0" fontId="33" fillId="0" borderId="0"/>
    <xf numFmtId="0" fontId="13" fillId="0" borderId="0"/>
    <xf numFmtId="0" fontId="33" fillId="0" borderId="0"/>
    <xf numFmtId="0" fontId="41" fillId="0" borderId="0"/>
    <xf numFmtId="0" fontId="12" fillId="0" borderId="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0" applyNumberFormat="0" applyFont="0" applyAlignment="0" applyProtection="0"/>
    <xf numFmtId="0" fontId="12" fillId="0" borderId="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0" applyNumberFormat="0" applyFont="0" applyAlignment="0" applyProtection="0"/>
    <xf numFmtId="0" fontId="12" fillId="0" borderId="0"/>
    <xf numFmtId="0" fontId="33" fillId="0" borderId="0"/>
    <xf numFmtId="8" fontId="15" fillId="0" borderId="0" applyFont="0" applyFill="0" applyBorder="0" applyAlignment="0" applyProtection="0"/>
    <xf numFmtId="0" fontId="15" fillId="0" borderId="0"/>
    <xf numFmtId="0" fontId="33" fillId="0" borderId="0" applyBorder="0"/>
    <xf numFmtId="0" fontId="12" fillId="0" borderId="0"/>
    <xf numFmtId="40" fontId="15" fillId="0" borderId="0" applyFont="0" applyFill="0" applyBorder="0" applyAlignment="0" applyProtection="0"/>
    <xf numFmtId="0" fontId="15" fillId="0" borderId="0"/>
    <xf numFmtId="40" fontId="15" fillId="0" borderId="0" applyFont="0" applyFill="0" applyBorder="0" applyAlignment="0" applyProtection="0"/>
    <xf numFmtId="8" fontId="15" fillId="0" borderId="0" applyFont="0" applyFill="0" applyBorder="0" applyAlignment="0" applyProtection="0"/>
    <xf numFmtId="9" fontId="15" fillId="0" borderId="0" applyFont="0" applyFill="0" applyBorder="0" applyAlignment="0" applyProtection="0"/>
    <xf numFmtId="0" fontId="15" fillId="0" borderId="0"/>
    <xf numFmtId="0" fontId="40" fillId="0" borderId="0"/>
    <xf numFmtId="43" fontId="40" fillId="0" borderId="0" applyFont="0" applyFill="0" applyBorder="0" applyAlignment="0" applyProtection="0"/>
    <xf numFmtId="0" fontId="33" fillId="0" borderId="0"/>
    <xf numFmtId="0" fontId="12" fillId="0" borderId="0"/>
    <xf numFmtId="0" fontId="43" fillId="10" borderId="20" applyNumberFormat="0" applyFont="0" applyAlignment="0" applyProtection="0"/>
    <xf numFmtId="9" fontId="15" fillId="0" borderId="0" applyFont="0" applyFill="0" applyBorder="0" applyAlignment="0" applyProtection="0"/>
    <xf numFmtId="0" fontId="33" fillId="0" borderId="0"/>
    <xf numFmtId="43" fontId="12" fillId="0" borderId="0" applyFont="0" applyFill="0" applyBorder="0" applyAlignment="0" applyProtection="0"/>
    <xf numFmtId="1" fontId="15" fillId="0" borderId="0" applyFont="0" applyFill="0" applyBorder="0" applyAlignment="0" applyProtection="0"/>
    <xf numFmtId="1" fontId="15" fillId="0" borderId="0" applyFont="0" applyFill="0" applyBorder="0" applyAlignment="0" applyProtection="0"/>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0" fillId="0" borderId="0"/>
    <xf numFmtId="0" fontId="33" fillId="0" borderId="0" applyBorder="0"/>
    <xf numFmtId="0" fontId="33" fillId="0" borderId="0" applyBorder="0"/>
    <xf numFmtId="0" fontId="43" fillId="10" borderId="20" applyNumberFormat="0" applyFont="0" applyAlignment="0" applyProtection="0"/>
    <xf numFmtId="0" fontId="33" fillId="0" borderId="0"/>
    <xf numFmtId="0" fontId="15" fillId="0" borderId="0"/>
    <xf numFmtId="43" fontId="44" fillId="0" borderId="0" applyFont="0" applyFill="0" applyBorder="0" applyAlignment="0" applyProtection="0"/>
    <xf numFmtId="0" fontId="33" fillId="0" borderId="0" applyBorder="0"/>
    <xf numFmtId="0" fontId="12" fillId="0" borderId="0"/>
    <xf numFmtId="40" fontId="15" fillId="0" borderId="0" applyFont="0" applyFill="0" applyBorder="0" applyAlignment="0" applyProtection="0"/>
    <xf numFmtId="0" fontId="33" fillId="0" borderId="0"/>
    <xf numFmtId="0" fontId="40" fillId="0" borderId="0"/>
    <xf numFmtId="0" fontId="43" fillId="10" borderId="20" applyNumberFormat="0" applyFont="0" applyAlignment="0" applyProtection="0"/>
    <xf numFmtId="0" fontId="12" fillId="10" borderId="20" applyNumberFormat="0" applyFont="0" applyAlignment="0" applyProtection="0"/>
    <xf numFmtId="0" fontId="33" fillId="0" borderId="0"/>
    <xf numFmtId="0" fontId="12" fillId="0" borderId="0"/>
    <xf numFmtId="0" fontId="12" fillId="0" borderId="0"/>
    <xf numFmtId="0" fontId="47" fillId="0" borderId="0" applyNumberFormat="0" applyFill="0" applyBorder="0" applyAlignment="0" applyProtection="0"/>
    <xf numFmtId="0" fontId="33" fillId="0" borderId="0"/>
    <xf numFmtId="0" fontId="43" fillId="10" borderId="20" applyNumberFormat="0" applyFont="0" applyAlignment="0" applyProtection="0"/>
    <xf numFmtId="0" fontId="43" fillId="10" borderId="20" applyNumberFormat="0" applyFont="0" applyAlignment="0" applyProtection="0"/>
    <xf numFmtId="43" fontId="40" fillId="0" borderId="0" applyFont="0" applyFill="0" applyBorder="0" applyAlignment="0" applyProtection="0"/>
    <xf numFmtId="0" fontId="33" fillId="0" borderId="0" applyBorder="0"/>
    <xf numFmtId="43" fontId="41" fillId="0" borderId="0" applyFont="0" applyFill="0" applyBorder="0" applyAlignment="0" applyProtection="0"/>
    <xf numFmtId="43" fontId="44" fillId="0" borderId="0" applyFont="0" applyFill="0" applyBorder="0" applyAlignment="0" applyProtection="0"/>
    <xf numFmtId="40" fontId="15" fillId="0" borderId="0" applyFont="0" applyFill="0" applyBorder="0" applyAlignment="0" applyProtection="0"/>
    <xf numFmtId="0" fontId="12" fillId="0" borderId="0"/>
    <xf numFmtId="0" fontId="12" fillId="0" borderId="0"/>
    <xf numFmtId="0" fontId="12" fillId="10" borderId="20" applyNumberFormat="0" applyFont="0" applyAlignment="0" applyProtection="0"/>
    <xf numFmtId="0" fontId="12" fillId="0" borderId="0"/>
    <xf numFmtId="0" fontId="12" fillId="0" borderId="0"/>
    <xf numFmtId="0" fontId="12" fillId="10" borderId="20" applyNumberFormat="0" applyFont="0" applyAlignment="0" applyProtection="0"/>
    <xf numFmtId="0" fontId="33" fillId="0" borderId="0"/>
    <xf numFmtId="43" fontId="44" fillId="0" borderId="0" applyFont="0" applyFill="0" applyBorder="0" applyAlignment="0" applyProtection="0"/>
    <xf numFmtId="0" fontId="12" fillId="0" borderId="0"/>
    <xf numFmtId="43" fontId="41" fillId="0" borderId="0" applyFont="0" applyFill="0" applyBorder="0" applyAlignment="0" applyProtection="0"/>
    <xf numFmtId="0" fontId="40" fillId="0" borderId="0"/>
    <xf numFmtId="0" fontId="41" fillId="0" borderId="0"/>
    <xf numFmtId="0" fontId="33" fillId="0" borderId="0"/>
    <xf numFmtId="0" fontId="12" fillId="0" borderId="0"/>
    <xf numFmtId="0" fontId="33" fillId="0" borderId="0"/>
    <xf numFmtId="0" fontId="41" fillId="0" borderId="0"/>
    <xf numFmtId="40" fontId="15" fillId="0" borderId="0" applyFont="0" applyFill="0" applyBorder="0" applyAlignment="0" applyProtection="0"/>
    <xf numFmtId="40" fontId="15" fillId="0" borderId="0" applyFont="0" applyFill="0" applyBorder="0" applyAlignment="0" applyProtection="0"/>
    <xf numFmtId="0" fontId="48" fillId="0" borderId="0" applyNumberFormat="0" applyFill="0" applyBorder="0" applyAlignment="0" applyProtection="0">
      <alignment vertical="top"/>
      <protection locked="0"/>
    </xf>
    <xf numFmtId="0" fontId="33" fillId="0" borderId="0" applyBorder="0"/>
    <xf numFmtId="0" fontId="43" fillId="10" borderId="20" applyNumberFormat="0" applyFont="0" applyAlignment="0" applyProtection="0"/>
    <xf numFmtId="0" fontId="43" fillId="10" borderId="20" applyNumberFormat="0" applyFont="0" applyAlignment="0" applyProtection="0"/>
    <xf numFmtId="0" fontId="15" fillId="0" borderId="0"/>
    <xf numFmtId="40" fontId="15" fillId="0" borderId="0" applyFont="0" applyFill="0" applyBorder="0" applyAlignment="0" applyProtection="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20" applyNumberFormat="0" applyFont="0" applyAlignment="0" applyProtection="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20" applyNumberFormat="0" applyFont="0" applyAlignment="0" applyProtection="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20" applyNumberFormat="0" applyFont="0" applyAlignment="0" applyProtection="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20" applyNumberFormat="0" applyFont="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10" borderId="20" applyNumberFormat="0" applyFont="0" applyAlignment="0" applyProtection="0"/>
    <xf numFmtId="0" fontId="11" fillId="0" borderId="0"/>
    <xf numFmtId="0" fontId="11" fillId="0" borderId="0"/>
    <xf numFmtId="0" fontId="11" fillId="0" borderId="0"/>
    <xf numFmtId="0" fontId="11" fillId="0" borderId="0"/>
    <xf numFmtId="0" fontId="11" fillId="10" borderId="20" applyNumberFormat="0" applyFont="0" applyAlignment="0" applyProtection="0"/>
    <xf numFmtId="0" fontId="11" fillId="0" borderId="0"/>
    <xf numFmtId="0" fontId="11" fillId="0" borderId="0"/>
    <xf numFmtId="0" fontId="11" fillId="10" borderId="20" applyNumberFormat="0" applyFont="0" applyAlignment="0" applyProtection="0"/>
    <xf numFmtId="0" fontId="11" fillId="0" borderId="0"/>
    <xf numFmtId="0" fontId="11" fillId="0" borderId="0"/>
    <xf numFmtId="0" fontId="10" fillId="0" borderId="0"/>
    <xf numFmtId="0" fontId="10" fillId="10" borderId="20"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49" fillId="0" borderId="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43" fontId="4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8" fillId="0" borderId="0"/>
    <xf numFmtId="0" fontId="8" fillId="10" borderId="20"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0" applyNumberFormat="0" applyFont="0" applyAlignment="0" applyProtection="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0" applyNumberFormat="0" applyFont="0" applyAlignment="0" applyProtection="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0" applyNumberFormat="0" applyFont="0" applyAlignment="0" applyProtection="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0" applyNumberFormat="0" applyFont="0" applyAlignment="0" applyProtection="0"/>
    <xf numFmtId="0" fontId="8" fillId="0" borderId="0"/>
    <xf numFmtId="43" fontId="8" fillId="0" borderId="0" applyFont="0" applyFill="0" applyBorder="0" applyAlignment="0" applyProtection="0"/>
    <xf numFmtId="0" fontId="33" fillId="0" borderId="0" applyBorder="0"/>
    <xf numFmtId="0" fontId="45" fillId="0" borderId="0" applyNumberFormat="0" applyFill="0" applyBorder="0" applyAlignment="0" applyProtection="0">
      <alignment vertical="top"/>
      <protection locked="0"/>
    </xf>
    <xf numFmtId="0" fontId="15" fillId="0" borderId="0"/>
    <xf numFmtId="0" fontId="8" fillId="0" borderId="0"/>
    <xf numFmtId="0" fontId="8" fillId="0" borderId="0"/>
    <xf numFmtId="0" fontId="33" fillId="0" borderId="0"/>
    <xf numFmtId="0" fontId="8" fillId="0" borderId="0"/>
    <xf numFmtId="0" fontId="33" fillId="0" borderId="0" applyBorder="0"/>
    <xf numFmtId="0" fontId="8" fillId="0" borderId="0"/>
    <xf numFmtId="0" fontId="8" fillId="10" borderId="20" applyNumberFormat="0" applyFont="0" applyAlignment="0" applyProtection="0"/>
    <xf numFmtId="0" fontId="8" fillId="0" borderId="0"/>
    <xf numFmtId="0" fontId="8" fillId="0" borderId="0"/>
    <xf numFmtId="0" fontId="8" fillId="0" borderId="0"/>
    <xf numFmtId="0" fontId="8" fillId="10" borderId="20" applyNumberFormat="0" applyFont="0" applyAlignment="0" applyProtection="0"/>
    <xf numFmtId="0" fontId="8" fillId="0" borderId="0"/>
    <xf numFmtId="0" fontId="8" fillId="0" borderId="0"/>
    <xf numFmtId="0" fontId="8" fillId="10" borderId="20" applyNumberFormat="0" applyFont="0" applyAlignment="0" applyProtection="0"/>
    <xf numFmtId="0" fontId="8" fillId="0" borderId="0"/>
    <xf numFmtId="0" fontId="15"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0" borderId="0"/>
    <xf numFmtId="0" fontId="7" fillId="0" borderId="0"/>
    <xf numFmtId="0" fontId="7" fillId="10" borderId="20" applyNumberFormat="0" applyFont="0" applyAlignment="0" applyProtection="0"/>
    <xf numFmtId="0" fontId="7" fillId="0" borderId="0"/>
    <xf numFmtId="0" fontId="7" fillId="0" borderId="0"/>
    <xf numFmtId="0" fontId="7" fillId="10" borderId="20" applyNumberFormat="0" applyFont="0" applyAlignment="0" applyProtection="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0" borderId="0"/>
    <xf numFmtId="0" fontId="7" fillId="0" borderId="0"/>
    <xf numFmtId="0" fontId="7" fillId="10" borderId="20" applyNumberFormat="0" applyFont="0" applyAlignment="0" applyProtection="0"/>
    <xf numFmtId="0" fontId="7" fillId="0" borderId="0"/>
    <xf numFmtId="0" fontId="7" fillId="0" borderId="0"/>
    <xf numFmtId="0" fontId="7" fillId="10" borderId="20" applyNumberFormat="0" applyFont="0" applyAlignment="0" applyProtection="0"/>
    <xf numFmtId="0" fontId="7" fillId="0" borderId="0"/>
    <xf numFmtId="0" fontId="7" fillId="0" borderId="0"/>
    <xf numFmtId="0" fontId="7" fillId="0" borderId="0"/>
    <xf numFmtId="0" fontId="7" fillId="10" borderId="20"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33" fillId="0" borderId="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51" fillId="0" borderId="0"/>
    <xf numFmtId="0" fontId="6" fillId="10" borderId="20" applyNumberFormat="0" applyFont="0" applyAlignment="0" applyProtection="0"/>
    <xf numFmtId="43" fontId="33" fillId="0" borderId="0" applyFont="0" applyFill="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9" fontId="15" fillId="0" borderId="0" applyFont="0" applyFill="0" applyBorder="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41" fillId="0" borderId="0"/>
    <xf numFmtId="0" fontId="33" fillId="0" borderId="0"/>
    <xf numFmtId="0" fontId="6" fillId="0" borderId="0"/>
    <xf numFmtId="40" fontId="15"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33" fillId="0" borderId="0" applyBorder="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42"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8" fontId="15" fillId="0" borderId="0" applyFont="0" applyFill="0" applyBorder="0" applyAlignment="0" applyProtection="0"/>
    <xf numFmtId="0" fontId="6" fillId="0" borderId="0"/>
    <xf numFmtId="0" fontId="33" fillId="0" borderId="0" applyBorder="0"/>
    <xf numFmtId="0" fontId="6" fillId="0" borderId="0"/>
    <xf numFmtId="0" fontId="15" fillId="0" borderId="0"/>
    <xf numFmtId="0" fontId="33" fillId="0" borderId="0" applyBorder="0"/>
    <xf numFmtId="40" fontId="15" fillId="0" borderId="0" applyFont="0" applyFill="0" applyBorder="0" applyAlignment="0" applyProtection="0"/>
    <xf numFmtId="0" fontId="43" fillId="10" borderId="20" applyNumberFormat="0" applyFont="0" applyAlignment="0" applyProtection="0"/>
    <xf numFmtId="0" fontId="33" fillId="0" borderId="0"/>
    <xf numFmtId="0" fontId="33" fillId="0" borderId="0"/>
    <xf numFmtId="0" fontId="43" fillId="10" borderId="20" applyNumberFormat="0" applyFont="0" applyAlignment="0" applyProtection="0"/>
    <xf numFmtId="0" fontId="41" fillId="0" borderId="0"/>
    <xf numFmtId="0" fontId="15" fillId="0" borderId="0"/>
    <xf numFmtId="0" fontId="33" fillId="0" borderId="0"/>
    <xf numFmtId="0" fontId="6" fillId="10" borderId="20" applyNumberFormat="0" applyFont="0" applyAlignment="0" applyProtection="0"/>
    <xf numFmtId="0" fontId="43" fillId="10" borderId="20" applyNumberFormat="0" applyFont="0" applyAlignment="0" applyProtection="0"/>
    <xf numFmtId="40" fontId="15" fillId="0" borderId="0" applyFont="0" applyFill="0" applyBorder="0" applyAlignment="0" applyProtection="0"/>
    <xf numFmtId="40" fontId="15" fillId="0" borderId="0" applyFont="0" applyFill="0" applyBorder="0" applyAlignment="0" applyProtection="0"/>
    <xf numFmtId="0" fontId="6" fillId="10" borderId="20" applyNumberFormat="0" applyFont="0" applyAlignment="0" applyProtection="0"/>
    <xf numFmtId="43" fontId="41" fillId="0" borderId="0" applyFont="0" applyFill="0" applyBorder="0" applyAlignment="0" applyProtection="0"/>
    <xf numFmtId="0" fontId="15" fillId="0" borderId="0"/>
    <xf numFmtId="0" fontId="33" fillId="0" borderId="0"/>
    <xf numFmtId="0" fontId="6" fillId="10" borderId="20" applyNumberFormat="0" applyFont="0" applyAlignment="0" applyProtection="0"/>
    <xf numFmtId="0" fontId="33" fillId="0" borderId="0"/>
    <xf numFmtId="0" fontId="6" fillId="0" borderId="0"/>
    <xf numFmtId="43" fontId="44" fillId="0" borderId="0" applyFont="0" applyFill="0" applyBorder="0" applyAlignment="0" applyProtection="0"/>
    <xf numFmtId="0" fontId="33" fillId="0" borderId="0"/>
    <xf numFmtId="0" fontId="6" fillId="0" borderId="0"/>
    <xf numFmtId="0" fontId="6" fillId="0" borderId="0"/>
    <xf numFmtId="0" fontId="40" fillId="0" borderId="0"/>
    <xf numFmtId="40" fontId="15" fillId="0" borderId="0" applyFont="0" applyFill="0" applyBorder="0" applyAlignment="0" applyProtection="0"/>
    <xf numFmtId="0" fontId="6" fillId="10" borderId="20" applyNumberFormat="0" applyFont="0" applyAlignment="0" applyProtection="0"/>
    <xf numFmtId="0" fontId="33" fillId="0" borderId="0"/>
    <xf numFmtId="0" fontId="6" fillId="10" borderId="20" applyNumberFormat="0" applyFont="0" applyAlignment="0" applyProtection="0"/>
    <xf numFmtId="1" fontId="15" fillId="0" borderId="0" applyFont="0" applyFill="0" applyBorder="0" applyAlignment="0" applyProtection="0"/>
    <xf numFmtId="0" fontId="33" fillId="0" borderId="0" applyBorder="0"/>
    <xf numFmtId="0" fontId="41" fillId="0" borderId="0"/>
    <xf numFmtId="0" fontId="43"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15" fillId="0" borderId="0"/>
    <xf numFmtId="1" fontId="15" fillId="0" borderId="0" applyFont="0" applyFill="0" applyBorder="0" applyAlignment="0" applyProtection="0"/>
    <xf numFmtId="0" fontId="43" fillId="10" borderId="20" applyNumberFormat="0" applyFont="0" applyAlignment="0" applyProtection="0"/>
    <xf numFmtId="0" fontId="15" fillId="0" borderId="0"/>
    <xf numFmtId="0" fontId="33" fillId="0" borderId="0" applyBorder="0"/>
    <xf numFmtId="0" fontId="33" fillId="0" borderId="0"/>
    <xf numFmtId="0" fontId="15" fillId="0" borderId="0"/>
    <xf numFmtId="0" fontId="33" fillId="0" borderId="0"/>
    <xf numFmtId="0" fontId="6" fillId="10" borderId="20" applyNumberFormat="0" applyFont="0" applyAlignment="0" applyProtection="0"/>
    <xf numFmtId="0" fontId="43" fillId="10" borderId="20" applyNumberFormat="0" applyFont="0" applyAlignment="0" applyProtection="0"/>
    <xf numFmtId="0" fontId="6" fillId="0" borderId="0"/>
    <xf numFmtId="0" fontId="47" fillId="0" borderId="0" applyNumberFormat="0" applyFill="0" applyBorder="0" applyAlignment="0" applyProtection="0"/>
    <xf numFmtId="0" fontId="6" fillId="0" borderId="0"/>
    <xf numFmtId="43" fontId="41" fillId="0" borderId="0" applyFont="0" applyFill="0" applyBorder="0" applyAlignment="0" applyProtection="0"/>
    <xf numFmtId="0" fontId="6" fillId="0" borderId="0"/>
    <xf numFmtId="0" fontId="15" fillId="0" borderId="0"/>
    <xf numFmtId="0" fontId="6" fillId="10" borderId="20" applyNumberFormat="0" applyFont="0" applyAlignment="0" applyProtection="0"/>
    <xf numFmtId="43" fontId="41" fillId="0" borderId="0" applyFont="0" applyFill="0" applyBorder="0" applyAlignment="0" applyProtection="0"/>
    <xf numFmtId="43" fontId="33" fillId="0" borderId="0" applyFont="0" applyFill="0" applyBorder="0" applyAlignment="0" applyProtection="0"/>
    <xf numFmtId="0" fontId="40" fillId="0" borderId="0"/>
    <xf numFmtId="0" fontId="6" fillId="12" borderId="0" applyNumberFormat="0" applyBorder="0" applyAlignment="0" applyProtection="0"/>
    <xf numFmtId="0" fontId="43" fillId="10" borderId="20" applyNumberFormat="0" applyFont="0" applyAlignment="0" applyProtection="0"/>
    <xf numFmtId="43" fontId="44" fillId="0" borderId="0" applyFont="0" applyFill="0" applyBorder="0" applyAlignment="0" applyProtection="0"/>
    <xf numFmtId="0" fontId="40" fillId="0" borderId="0"/>
    <xf numFmtId="0" fontId="6" fillId="0" borderId="0"/>
    <xf numFmtId="0" fontId="43" fillId="10" borderId="20" applyNumberFormat="0" applyFont="0" applyAlignment="0" applyProtection="0"/>
    <xf numFmtId="43" fontId="44" fillId="0" borderId="0" applyFont="0" applyFill="0" applyBorder="0" applyAlignment="0" applyProtection="0"/>
    <xf numFmtId="0" fontId="6" fillId="21" borderId="0" applyNumberFormat="0" applyBorder="0" applyAlignment="0" applyProtection="0"/>
    <xf numFmtId="0" fontId="6" fillId="10" borderId="20" applyNumberFormat="0" applyFont="0" applyAlignment="0" applyProtection="0"/>
    <xf numFmtId="0" fontId="6" fillId="32" borderId="0" applyNumberFormat="0" applyBorder="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24" borderId="0" applyNumberFormat="0" applyBorder="0" applyAlignment="0" applyProtection="0"/>
    <xf numFmtId="0" fontId="6" fillId="0" borderId="0"/>
    <xf numFmtId="0" fontId="6" fillId="33" borderId="0" applyNumberFormat="0" applyBorder="0" applyAlignment="0" applyProtection="0"/>
    <xf numFmtId="0" fontId="6" fillId="25" borderId="0" applyNumberFormat="0" applyBorder="0" applyAlignment="0" applyProtection="0"/>
    <xf numFmtId="0" fontId="6" fillId="0" borderId="0"/>
    <xf numFmtId="0" fontId="6" fillId="0" borderId="0"/>
    <xf numFmtId="0" fontId="6" fillId="0" borderId="0"/>
    <xf numFmtId="0" fontId="6" fillId="0" borderId="0"/>
    <xf numFmtId="43" fontId="40" fillId="0" borderId="0" applyFont="0" applyFill="0" applyBorder="0" applyAlignment="0" applyProtection="0"/>
    <xf numFmtId="0" fontId="6" fillId="2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0" borderId="0"/>
    <xf numFmtId="0" fontId="6" fillId="17" borderId="0" applyNumberFormat="0" applyBorder="0" applyAlignment="0" applyProtection="0"/>
    <xf numFmtId="0" fontId="6" fillId="0" borderId="0"/>
    <xf numFmtId="0" fontId="6" fillId="13" borderId="0" applyNumberFormat="0" applyBorder="0" applyAlignment="0" applyProtection="0"/>
    <xf numFmtId="0" fontId="6" fillId="10" borderId="20" applyNumberFormat="0" applyFont="0" applyAlignment="0" applyProtection="0"/>
    <xf numFmtId="0" fontId="6" fillId="0" borderId="0"/>
    <xf numFmtId="0" fontId="6" fillId="0" borderId="0"/>
    <xf numFmtId="0" fontId="6" fillId="16" borderId="0" applyNumberFormat="0" applyBorder="0" applyAlignment="0" applyProtection="0"/>
    <xf numFmtId="40" fontId="15" fillId="0" borderId="0" applyFont="0" applyFill="0" applyBorder="0" applyAlignment="0" applyProtection="0"/>
    <xf numFmtId="0" fontId="40" fillId="0" borderId="0"/>
    <xf numFmtId="0" fontId="6" fillId="0" borderId="0"/>
    <xf numFmtId="0" fontId="33" fillId="0" borderId="0"/>
    <xf numFmtId="0" fontId="6" fillId="0" borderId="0"/>
    <xf numFmtId="0" fontId="6" fillId="0" borderId="0"/>
    <xf numFmtId="0" fontId="6" fillId="0" borderId="0"/>
    <xf numFmtId="0" fontId="41" fillId="0" borderId="0"/>
    <xf numFmtId="0" fontId="6" fillId="10" borderId="20" applyNumberFormat="0" applyFont="0" applyAlignment="0" applyProtection="0"/>
    <xf numFmtId="0" fontId="33" fillId="0" borderId="0"/>
    <xf numFmtId="43" fontId="41" fillId="0" borderId="0" applyFont="0" applyFill="0" applyBorder="0" applyAlignment="0" applyProtection="0"/>
    <xf numFmtId="44" fontId="33" fillId="0" borderId="0" applyFont="0" applyFill="0" applyBorder="0" applyAlignment="0" applyProtection="0"/>
    <xf numFmtId="43" fontId="6" fillId="0" borderId="0" applyFont="0" applyFill="0" applyBorder="0" applyAlignment="0" applyProtection="0"/>
    <xf numFmtId="0" fontId="6" fillId="10" borderId="20" applyNumberFormat="0" applyFont="0" applyAlignment="0" applyProtection="0"/>
    <xf numFmtId="0" fontId="6" fillId="10" borderId="20" applyNumberFormat="0" applyFont="0" applyAlignment="0" applyProtection="0"/>
    <xf numFmtId="0" fontId="33" fillId="0" borderId="0"/>
    <xf numFmtId="0" fontId="6" fillId="0" borderId="0"/>
    <xf numFmtId="0" fontId="6" fillId="0" borderId="0"/>
    <xf numFmtId="0" fontId="41" fillId="0" borderId="0"/>
    <xf numFmtId="0" fontId="6" fillId="0" borderId="0"/>
    <xf numFmtId="40" fontId="15" fillId="0" borderId="0" applyFont="0" applyFill="0" applyBorder="0" applyAlignment="0" applyProtection="0"/>
    <xf numFmtId="0" fontId="6" fillId="10" borderId="20" applyNumberFormat="0" applyFont="0" applyAlignment="0" applyProtection="0"/>
    <xf numFmtId="0" fontId="33" fillId="0" borderId="0"/>
    <xf numFmtId="0" fontId="53" fillId="0" borderId="0" applyNumberFormat="0" applyFill="0" applyBorder="0" applyAlignment="0" applyProtection="0"/>
    <xf numFmtId="0" fontId="33" fillId="0" borderId="0"/>
    <xf numFmtId="43" fontId="6" fillId="0" borderId="0" applyFont="0" applyFill="0" applyBorder="0" applyAlignment="0" applyProtection="0"/>
    <xf numFmtId="0" fontId="33" fillId="0" borderId="0"/>
    <xf numFmtId="0" fontId="6" fillId="0" borderId="0"/>
    <xf numFmtId="0" fontId="6" fillId="0" borderId="0"/>
    <xf numFmtId="43" fontId="41" fillId="0" borderId="0" applyFont="0" applyFill="0" applyBorder="0" applyAlignment="0" applyProtection="0"/>
    <xf numFmtId="0" fontId="41" fillId="0" borderId="0"/>
    <xf numFmtId="0" fontId="6" fillId="0" borderId="0"/>
    <xf numFmtId="0" fontId="6" fillId="10" borderId="20" applyNumberFormat="0" applyFont="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0" borderId="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10" borderId="20" applyNumberFormat="0" applyFont="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10" borderId="20" applyNumberFormat="0" applyFont="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33" fillId="0" borderId="0"/>
    <xf numFmtId="0" fontId="33" fillId="0" borderId="0"/>
    <xf numFmtId="0" fontId="15" fillId="0" borderId="0"/>
    <xf numFmtId="0" fontId="33" fillId="0" borderId="0"/>
    <xf numFmtId="0" fontId="5" fillId="0" borderId="0"/>
    <xf numFmtId="0" fontId="5" fillId="10" borderId="20"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0" borderId="0"/>
    <xf numFmtId="0" fontId="5" fillId="10" borderId="20"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0" applyNumberFormat="0" applyFont="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10" borderId="20" applyNumberFormat="0" applyFont="0" applyAlignment="0" applyProtection="0"/>
    <xf numFmtId="0" fontId="5" fillId="0" borderId="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0" applyNumberFormat="0" applyFont="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10" borderId="20" applyNumberFormat="0" applyFont="0" applyAlignment="0" applyProtection="0"/>
    <xf numFmtId="0" fontId="5" fillId="0" borderId="0"/>
    <xf numFmtId="0" fontId="5" fillId="0" borderId="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4" fillId="0" borderId="0"/>
    <xf numFmtId="0" fontId="4" fillId="10" borderId="20"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15" fillId="0" borderId="0"/>
    <xf numFmtId="40" fontId="15" fillId="0" borderId="0" applyFont="0" applyFill="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10" borderId="20"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0" borderId="0"/>
    <xf numFmtId="43" fontId="33" fillId="0" borderId="0" applyFont="0" applyFill="0" applyBorder="0" applyAlignment="0" applyProtection="0"/>
    <xf numFmtId="0" fontId="4" fillId="0" borderId="0"/>
    <xf numFmtId="0" fontId="4" fillId="10" borderId="20"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10" borderId="20"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0" borderId="0"/>
    <xf numFmtId="0" fontId="3" fillId="10" borderId="20"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55" fillId="0" borderId="0"/>
    <xf numFmtId="0" fontId="2" fillId="0" borderId="0"/>
    <xf numFmtId="0" fontId="56" fillId="0" borderId="0"/>
    <xf numFmtId="0" fontId="57" fillId="0" borderId="0"/>
    <xf numFmtId="0" fontId="1" fillId="0" borderId="0"/>
  </cellStyleXfs>
  <cellXfs count="373">
    <xf numFmtId="0" fontId="0" fillId="0" borderId="0" xfId="0"/>
    <xf numFmtId="0" fontId="34" fillId="0" borderId="0" xfId="0" applyFont="1"/>
    <xf numFmtId="0" fontId="34" fillId="3" borderId="6" xfId="0" applyFont="1" applyFill="1" applyBorder="1"/>
    <xf numFmtId="0" fontId="34" fillId="3" borderId="5" xfId="0" applyFont="1" applyFill="1" applyBorder="1"/>
    <xf numFmtId="0" fontId="35" fillId="3" borderId="0" xfId="0" applyFont="1" applyFill="1" applyAlignment="1">
      <alignment horizontal="center"/>
    </xf>
    <xf numFmtId="0" fontId="35" fillId="3" borderId="6" xfId="0" applyFont="1" applyFill="1" applyBorder="1" applyAlignment="1">
      <alignment horizontal="center"/>
    </xf>
    <xf numFmtId="6" fontId="34" fillId="3" borderId="0" xfId="2" applyNumberFormat="1" applyFont="1" applyFill="1" applyBorder="1"/>
    <xf numFmtId="6" fontId="34" fillId="3" borderId="1" xfId="2" applyNumberFormat="1" applyFont="1" applyFill="1" applyBorder="1"/>
    <xf numFmtId="0" fontId="34" fillId="3" borderId="5" xfId="0" applyFont="1" applyFill="1" applyBorder="1" applyAlignment="1">
      <alignment horizontal="right"/>
    </xf>
    <xf numFmtId="6" fontId="34" fillId="3" borderId="0" xfId="0" applyNumberFormat="1" applyFont="1" applyFill="1"/>
    <xf numFmtId="6" fontId="36" fillId="3" borderId="0" xfId="2" applyNumberFormat="1" applyFont="1" applyFill="1" applyBorder="1"/>
    <xf numFmtId="6" fontId="34" fillId="3" borderId="1" xfId="0" applyNumberFormat="1" applyFont="1" applyFill="1" applyBorder="1"/>
    <xf numFmtId="6" fontId="36" fillId="3" borderId="1" xfId="2" applyNumberFormat="1" applyFont="1" applyFill="1" applyBorder="1"/>
    <xf numFmtId="0" fontId="34" fillId="3" borderId="7" xfId="0" applyFont="1" applyFill="1" applyBorder="1"/>
    <xf numFmtId="0" fontId="34" fillId="3" borderId="8" xfId="0" applyFont="1" applyFill="1" applyBorder="1"/>
    <xf numFmtId="0" fontId="34" fillId="3" borderId="9" xfId="0" applyFont="1" applyFill="1" applyBorder="1"/>
    <xf numFmtId="3" fontId="34" fillId="3" borderId="0" xfId="0" applyNumberFormat="1" applyFont="1" applyFill="1"/>
    <xf numFmtId="3" fontId="34" fillId="3" borderId="1" xfId="0" applyNumberFormat="1" applyFont="1" applyFill="1" applyBorder="1"/>
    <xf numFmtId="0" fontId="34" fillId="3" borderId="0" xfId="0" applyFont="1" applyFill="1" applyAlignment="1">
      <alignment horizontal="right"/>
    </xf>
    <xf numFmtId="3" fontId="36" fillId="3" borderId="0" xfId="0" applyNumberFormat="1" applyFont="1" applyFill="1"/>
    <xf numFmtId="3" fontId="36" fillId="3" borderId="1" xfId="0" applyNumberFormat="1" applyFont="1" applyFill="1" applyBorder="1"/>
    <xf numFmtId="0" fontId="34" fillId="0" borderId="5" xfId="0" applyFont="1" applyBorder="1"/>
    <xf numFmtId="0" fontId="34" fillId="0" borderId="6" xfId="0" applyFont="1" applyBorder="1"/>
    <xf numFmtId="0" fontId="35" fillId="0" borderId="0" xfId="0" applyFont="1" applyAlignment="1">
      <alignment horizontal="center"/>
    </xf>
    <xf numFmtId="3" fontId="34" fillId="0" borderId="0" xfId="0" applyNumberFormat="1" applyFont="1"/>
    <xf numFmtId="3" fontId="34" fillId="0" borderId="1" xfId="0" applyNumberFormat="1" applyFont="1" applyBorder="1"/>
    <xf numFmtId="0" fontId="34" fillId="0" borderId="5" xfId="0" applyFont="1" applyBorder="1" applyAlignment="1">
      <alignment horizontal="right"/>
    </xf>
    <xf numFmtId="0" fontId="34" fillId="0" borderId="0" xfId="0" applyFont="1" applyAlignment="1">
      <alignment horizontal="right"/>
    </xf>
    <xf numFmtId="3" fontId="36" fillId="0" borderId="0" xfId="0" applyNumberFormat="1" applyFont="1"/>
    <xf numFmtId="3" fontId="36" fillId="0" borderId="1" xfId="0" applyNumberFormat="1" applyFont="1" applyBorder="1"/>
    <xf numFmtId="0" fontId="34" fillId="0" borderId="7" xfId="0" applyFont="1" applyBorder="1" applyAlignment="1">
      <alignment horizontal="right"/>
    </xf>
    <xf numFmtId="3" fontId="34" fillId="0" borderId="8" xfId="0" applyNumberFormat="1" applyFont="1" applyBorder="1"/>
    <xf numFmtId="0" fontId="34" fillId="0" borderId="9" xfId="0" applyFont="1" applyBorder="1"/>
    <xf numFmtId="0" fontId="34" fillId="0" borderId="8" xfId="0" applyFont="1" applyBorder="1" applyAlignment="1">
      <alignment horizontal="right"/>
    </xf>
    <xf numFmtId="0" fontId="35" fillId="0" borderId="6" xfId="0" applyFont="1" applyBorder="1" applyAlignment="1">
      <alignment horizontal="center"/>
    </xf>
    <xf numFmtId="3" fontId="34" fillId="0" borderId="6" xfId="0" applyNumberFormat="1" applyFont="1" applyBorder="1"/>
    <xf numFmtId="3" fontId="36" fillId="0" borderId="6" xfId="0" applyNumberFormat="1" applyFont="1" applyBorder="1"/>
    <xf numFmtId="3" fontId="34" fillId="0" borderId="9" xfId="0" applyNumberFormat="1" applyFont="1" applyBorder="1"/>
    <xf numFmtId="0" fontId="34" fillId="0" borderId="8" xfId="0" applyFont="1" applyBorder="1"/>
    <xf numFmtId="168" fontId="34" fillId="3" borderId="6" xfId="0" applyNumberFormat="1" applyFont="1" applyFill="1" applyBorder="1"/>
    <xf numFmtId="0" fontId="39" fillId="0" borderId="8" xfId="0" applyFont="1" applyBorder="1"/>
    <xf numFmtId="0" fontId="34" fillId="3" borderId="0" xfId="0" applyFont="1" applyFill="1"/>
    <xf numFmtId="6" fontId="34" fillId="3" borderId="0" xfId="2" applyNumberFormat="1" applyFont="1" applyFill="1" applyBorder="1" applyAlignment="1"/>
    <xf numFmtId="6" fontId="34" fillId="3" borderId="1" xfId="2" applyNumberFormat="1" applyFont="1" applyFill="1" applyBorder="1" applyAlignment="1"/>
    <xf numFmtId="6" fontId="36" fillId="3" borderId="0" xfId="2" applyNumberFormat="1" applyFont="1" applyFill="1" applyBorder="1" applyAlignment="1"/>
    <xf numFmtId="6" fontId="36" fillId="3" borderId="1" xfId="2" applyNumberFormat="1" applyFont="1" applyFill="1" applyBorder="1" applyAlignment="1"/>
    <xf numFmtId="0" fontId="35" fillId="3" borderId="9" xfId="0" applyFont="1" applyFill="1" applyBorder="1" applyAlignment="1">
      <alignment horizontal="center"/>
    </xf>
    <xf numFmtId="3" fontId="34" fillId="3" borderId="6" xfId="0" applyNumberFormat="1" applyFont="1" applyFill="1" applyBorder="1"/>
    <xf numFmtId="3" fontId="36" fillId="3" borderId="6" xfId="0" applyNumberFormat="1" applyFont="1" applyFill="1" applyBorder="1"/>
    <xf numFmtId="3" fontId="34" fillId="3" borderId="9" xfId="0" applyNumberFormat="1" applyFont="1" applyFill="1" applyBorder="1"/>
    <xf numFmtId="0" fontId="34" fillId="3" borderId="7" xfId="0" applyFont="1" applyFill="1" applyBorder="1" applyAlignment="1">
      <alignment horizontal="right"/>
    </xf>
    <xf numFmtId="3" fontId="34" fillId="3" borderId="8" xfId="0" applyNumberFormat="1" applyFont="1" applyFill="1" applyBorder="1"/>
    <xf numFmtId="0" fontId="35" fillId="0" borderId="23" xfId="0" applyFont="1" applyBorder="1" applyAlignment="1">
      <alignment horizontal="center"/>
    </xf>
    <xf numFmtId="0" fontId="35" fillId="39" borderId="0" xfId="0" applyFont="1" applyFill="1" applyAlignment="1">
      <alignment horizontal="left"/>
    </xf>
    <xf numFmtId="0" fontId="34" fillId="0" borderId="0" xfId="0" applyFont="1" applyAlignment="1">
      <alignment horizontal="center"/>
    </xf>
    <xf numFmtId="0" fontId="34" fillId="37" borderId="0" xfId="0" applyFont="1" applyFill="1"/>
    <xf numFmtId="0" fontId="54" fillId="0" borderId="0" xfId="0" applyFont="1" applyAlignment="1">
      <alignment horizontal="center"/>
    </xf>
    <xf numFmtId="164" fontId="34" fillId="0" borderId="23" xfId="0" applyNumberFormat="1" applyFont="1" applyBorder="1" applyAlignment="1">
      <alignment horizontal="center" textRotation="90" wrapText="1"/>
    </xf>
    <xf numFmtId="164" fontId="34" fillId="0" borderId="0" xfId="0" applyNumberFormat="1" applyFont="1"/>
    <xf numFmtId="1" fontId="34" fillId="0" borderId="0" xfId="0" applyNumberFormat="1" applyFont="1" applyAlignment="1">
      <alignment horizontal="center"/>
    </xf>
    <xf numFmtId="38" fontId="34" fillId="0" borderId="0" xfId="1" applyNumberFormat="1" applyFont="1" applyFill="1" applyAlignment="1" applyProtection="1"/>
    <xf numFmtId="168" fontId="34" fillId="0" borderId="0" xfId="0" applyNumberFormat="1" applyFont="1"/>
    <xf numFmtId="14" fontId="52" fillId="2" borderId="0" xfId="0" applyNumberFormat="1" applyFont="1" applyFill="1" applyAlignment="1">
      <alignment horizontal="center"/>
    </xf>
    <xf numFmtId="0" fontId="34" fillId="0" borderId="0" xfId="0" applyFont="1" applyAlignment="1">
      <alignment horizontal="left"/>
    </xf>
    <xf numFmtId="38" fontId="34" fillId="36" borderId="0" xfId="1" applyNumberFormat="1" applyFont="1" applyFill="1" applyAlignment="1" applyProtection="1"/>
    <xf numFmtId="10" fontId="34" fillId="0" borderId="0" xfId="0" applyNumberFormat="1" applyFont="1"/>
    <xf numFmtId="3" fontId="34" fillId="38" borderId="0" xfId="0" applyNumberFormat="1" applyFont="1" applyFill="1"/>
    <xf numFmtId="3" fontId="50" fillId="0" borderId="0" xfId="426" applyNumberFormat="1" applyFont="1"/>
    <xf numFmtId="170" fontId="34" fillId="0" borderId="0" xfId="0" applyNumberFormat="1" applyFont="1"/>
    <xf numFmtId="0" fontId="35" fillId="0" borderId="0" xfId="0" applyFont="1"/>
    <xf numFmtId="164" fontId="34" fillId="0" borderId="23" xfId="0" applyNumberFormat="1" applyFont="1" applyBorder="1" applyAlignment="1">
      <alignment horizontal="center" wrapText="1"/>
    </xf>
    <xf numFmtId="171" fontId="34" fillId="0" borderId="0" xfId="0" applyNumberFormat="1" applyFont="1"/>
    <xf numFmtId="0" fontId="34" fillId="40" borderId="0" xfId="0" applyFont="1" applyFill="1"/>
    <xf numFmtId="4" fontId="34" fillId="0" borderId="0" xfId="0" applyNumberFormat="1" applyFont="1"/>
    <xf numFmtId="165" fontId="34" fillId="0" borderId="0" xfId="0" applyNumberFormat="1" applyFont="1"/>
    <xf numFmtId="167" fontId="34" fillId="0" borderId="0" xfId="0" applyNumberFormat="1" applyFont="1"/>
    <xf numFmtId="166" fontId="34" fillId="0" borderId="0" xfId="0" applyNumberFormat="1" applyFont="1"/>
    <xf numFmtId="2" fontId="34" fillId="0" borderId="0" xfId="0" applyNumberFormat="1" applyFont="1"/>
    <xf numFmtId="10" fontId="34" fillId="0" borderId="0" xfId="2427" applyNumberFormat="1" applyFont="1"/>
    <xf numFmtId="1" fontId="54" fillId="0" borderId="0" xfId="0" applyNumberFormat="1" applyFont="1" applyAlignment="1">
      <alignment horizontal="center"/>
    </xf>
    <xf numFmtId="3" fontId="50" fillId="0" borderId="0" xfId="103" applyNumberFormat="1" applyFont="1"/>
    <xf numFmtId="164" fontId="34" fillId="41" borderId="23" xfId="0" applyNumberFormat="1" applyFont="1" applyFill="1" applyBorder="1" applyAlignment="1">
      <alignment horizontal="center" wrapText="1"/>
    </xf>
    <xf numFmtId="10" fontId="50" fillId="0" borderId="0" xfId="0" applyNumberFormat="1" applyFont="1"/>
    <xf numFmtId="164" fontId="34" fillId="42" borderId="23" xfId="0" applyNumberFormat="1" applyFont="1" applyFill="1" applyBorder="1" applyAlignment="1">
      <alignment horizontal="center" wrapText="1"/>
    </xf>
    <xf numFmtId="164" fontId="35" fillId="0" borderId="23" xfId="0" applyNumberFormat="1" applyFont="1" applyBorder="1" applyAlignment="1">
      <alignment horizontal="center" wrapText="1"/>
    </xf>
    <xf numFmtId="164" fontId="35" fillId="0" borderId="22" xfId="0" applyNumberFormat="1" applyFont="1" applyBorder="1" applyAlignment="1">
      <alignment horizontal="center" wrapText="1"/>
    </xf>
    <xf numFmtId="10" fontId="34" fillId="0" borderId="0" xfId="0" applyNumberFormat="1" applyFont="1" applyAlignment="1">
      <alignment horizontal="center"/>
    </xf>
    <xf numFmtId="3" fontId="34" fillId="0" borderId="0" xfId="426" applyNumberFormat="1" applyFont="1"/>
    <xf numFmtId="164" fontId="34" fillId="0" borderId="24" xfId="0" applyNumberFormat="1" applyFont="1" applyBorder="1" applyAlignment="1">
      <alignment horizontal="center" wrapText="1"/>
    </xf>
    <xf numFmtId="10" fontId="34" fillId="0" borderId="11" xfId="0" applyNumberFormat="1" applyFont="1" applyBorder="1"/>
    <xf numFmtId="164" fontId="34" fillId="42" borderId="25" xfId="0" applyNumberFormat="1" applyFont="1" applyFill="1" applyBorder="1" applyAlignment="1">
      <alignment horizontal="center" wrapText="1"/>
    </xf>
    <xf numFmtId="164" fontId="34" fillId="42" borderId="35" xfId="0" applyNumberFormat="1" applyFont="1" applyFill="1" applyBorder="1" applyAlignment="1">
      <alignment horizontal="center" wrapText="1"/>
    </xf>
    <xf numFmtId="164" fontId="34" fillId="42" borderId="36" xfId="0" applyNumberFormat="1" applyFont="1" applyFill="1" applyBorder="1" applyAlignment="1">
      <alignment horizontal="center" wrapText="1"/>
    </xf>
    <xf numFmtId="164" fontId="34" fillId="44" borderId="23" xfId="0" applyNumberFormat="1" applyFont="1" applyFill="1" applyBorder="1" applyAlignment="1">
      <alignment horizontal="center" wrapText="1"/>
    </xf>
    <xf numFmtId="164" fontId="34" fillId="41" borderId="37" xfId="0" applyNumberFormat="1" applyFont="1" applyFill="1" applyBorder="1" applyAlignment="1">
      <alignment horizontal="center" wrapText="1"/>
    </xf>
    <xf numFmtId="164" fontId="34" fillId="41" borderId="38" xfId="0" applyNumberFormat="1" applyFont="1" applyFill="1" applyBorder="1" applyAlignment="1">
      <alignment horizontal="center" wrapText="1"/>
    </xf>
    <xf numFmtId="164" fontId="34" fillId="41" borderId="22" xfId="0" applyNumberFormat="1" applyFont="1" applyFill="1" applyBorder="1" applyAlignment="1">
      <alignment horizontal="center" wrapText="1"/>
    </xf>
    <xf numFmtId="164" fontId="34" fillId="45" borderId="23" xfId="0" applyNumberFormat="1" applyFont="1" applyFill="1" applyBorder="1" applyAlignment="1">
      <alignment horizontal="center" wrapText="1"/>
    </xf>
    <xf numFmtId="164" fontId="34" fillId="45" borderId="22" xfId="0" applyNumberFormat="1" applyFont="1" applyFill="1" applyBorder="1" applyAlignment="1">
      <alignment horizontal="center" wrapText="1"/>
    </xf>
    <xf numFmtId="164" fontId="34" fillId="39" borderId="0" xfId="0" applyNumberFormat="1" applyFont="1" applyFill="1" applyAlignment="1">
      <alignment horizontal="left" wrapText="1"/>
    </xf>
    <xf numFmtId="38" fontId="34" fillId="0" borderId="0" xfId="1" applyNumberFormat="1" applyFont="1" applyFill="1" applyProtection="1"/>
    <xf numFmtId="0" fontId="34" fillId="35" borderId="0" xfId="0" applyFont="1" applyFill="1" applyAlignment="1">
      <alignment horizontal="center"/>
    </xf>
    <xf numFmtId="174" fontId="34" fillId="0" borderId="0" xfId="0" applyNumberFormat="1" applyFont="1"/>
    <xf numFmtId="3" fontId="34" fillId="0" borderId="0" xfId="0" applyNumberFormat="1" applyFont="1" applyAlignment="1">
      <alignment horizontal="center"/>
    </xf>
    <xf numFmtId="0" fontId="34" fillId="0" borderId="11" xfId="0" applyFont="1" applyBorder="1"/>
    <xf numFmtId="0" fontId="58" fillId="0" borderId="0" xfId="0" applyFont="1"/>
    <xf numFmtId="175" fontId="34" fillId="0" borderId="0" xfId="1" applyNumberFormat="1" applyFont="1"/>
    <xf numFmtId="0" fontId="34" fillId="52" borderId="25" xfId="0" applyFont="1" applyFill="1" applyBorder="1" applyAlignment="1">
      <alignment horizontal="center" wrapText="1"/>
    </xf>
    <xf numFmtId="0" fontId="34" fillId="52" borderId="22" xfId="0" applyFont="1" applyFill="1" applyBorder="1" applyAlignment="1">
      <alignment horizontal="center" wrapText="1"/>
    </xf>
    <xf numFmtId="176" fontId="34" fillId="0" borderId="0" xfId="0" applyNumberFormat="1" applyFont="1"/>
    <xf numFmtId="10" fontId="58" fillId="0" borderId="0" xfId="0" applyNumberFormat="1" applyFont="1"/>
    <xf numFmtId="0" fontId="58" fillId="0" borderId="23" xfId="0" applyFont="1" applyBorder="1" applyAlignment="1">
      <alignment horizontal="center"/>
    </xf>
    <xf numFmtId="0" fontId="58" fillId="0" borderId="23" xfId="0" applyFont="1" applyBorder="1" applyAlignment="1">
      <alignment horizontal="center" wrapText="1"/>
    </xf>
    <xf numFmtId="0" fontId="58" fillId="0" borderId="0" xfId="43" applyFont="1" applyAlignment="1">
      <alignment horizontal="center"/>
    </xf>
    <xf numFmtId="164" fontId="58" fillId="0" borderId="0" xfId="0" applyNumberFormat="1" applyFont="1"/>
    <xf numFmtId="0" fontId="55" fillId="0" borderId="0" xfId="43" applyFont="1" applyAlignment="1">
      <alignment horizontal="center"/>
    </xf>
    <xf numFmtId="0" fontId="58" fillId="35" borderId="0" xfId="43" applyFont="1" applyFill="1" applyAlignment="1">
      <alignment horizontal="center"/>
    </xf>
    <xf numFmtId="0" fontId="58" fillId="0" borderId="0" xfId="43" applyFont="1"/>
    <xf numFmtId="164" fontId="58" fillId="0" borderId="0" xfId="0" applyNumberFormat="1" applyFont="1" applyAlignment="1">
      <alignment horizontal="center"/>
    </xf>
    <xf numFmtId="0" fontId="58" fillId="0" borderId="23" xfId="0" applyFont="1" applyBorder="1"/>
    <xf numFmtId="0" fontId="59" fillId="39" borderId="34" xfId="0" applyFont="1" applyFill="1" applyBorder="1" applyAlignment="1">
      <alignment horizontal="left"/>
    </xf>
    <xf numFmtId="164" fontId="58" fillId="39" borderId="34" xfId="0" applyNumberFormat="1" applyFont="1" applyFill="1" applyBorder="1" applyAlignment="1">
      <alignment horizontal="center"/>
    </xf>
    <xf numFmtId="0" fontId="60" fillId="39" borderId="34" xfId="0" applyFont="1" applyFill="1" applyBorder="1"/>
    <xf numFmtId="0" fontId="59" fillId="39" borderId="48" xfId="0" applyFont="1" applyFill="1" applyBorder="1" applyAlignment="1">
      <alignment horizontal="left"/>
    </xf>
    <xf numFmtId="0" fontId="58" fillId="39" borderId="49" xfId="0" applyFont="1" applyFill="1" applyBorder="1"/>
    <xf numFmtId="0" fontId="60" fillId="39" borderId="49" xfId="0" applyFont="1" applyFill="1" applyBorder="1"/>
    <xf numFmtId="10" fontId="34" fillId="42" borderId="0" xfId="0" applyNumberFormat="1" applyFont="1" applyFill="1" applyAlignment="1">
      <alignment horizontal="center"/>
    </xf>
    <xf numFmtId="10" fontId="62" fillId="0" borderId="0" xfId="0" applyNumberFormat="1" applyFont="1"/>
    <xf numFmtId="10" fontId="63" fillId="0" borderId="0" xfId="0" applyNumberFormat="1" applyFont="1"/>
    <xf numFmtId="0" fontId="63" fillId="0" borderId="0" xfId="0" applyFont="1"/>
    <xf numFmtId="0" fontId="64" fillId="0" borderId="23" xfId="0" applyFont="1" applyBorder="1" applyAlignment="1">
      <alignment horizontal="center"/>
    </xf>
    <xf numFmtId="0" fontId="63" fillId="0" borderId="23" xfId="0" applyFont="1" applyBorder="1" applyAlignment="1">
      <alignment horizontal="center" wrapText="1"/>
    </xf>
    <xf numFmtId="164" fontId="63" fillId="0" borderId="23" xfId="0" applyNumberFormat="1" applyFont="1" applyBorder="1" applyAlignment="1">
      <alignment horizontal="center" wrapText="1"/>
    </xf>
    <xf numFmtId="0" fontId="64" fillId="39" borderId="0" xfId="0" applyFont="1" applyFill="1" applyAlignment="1">
      <alignment horizontal="left"/>
    </xf>
    <xf numFmtId="0" fontId="63" fillId="0" borderId="0" xfId="0" applyFont="1" applyAlignment="1">
      <alignment horizontal="center"/>
    </xf>
    <xf numFmtId="0" fontId="63" fillId="0" borderId="7" xfId="0" applyFont="1" applyBorder="1"/>
    <xf numFmtId="164" fontId="63" fillId="0" borderId="0" xfId="0" applyNumberFormat="1" applyFont="1"/>
    <xf numFmtId="0" fontId="63" fillId="0" borderId="23" xfId="0" applyFont="1" applyBorder="1" applyAlignment="1">
      <alignment horizontal="center"/>
    </xf>
    <xf numFmtId="4" fontId="63" fillId="0" borderId="0" xfId="0" applyNumberFormat="1" applyFont="1"/>
    <xf numFmtId="3" fontId="63" fillId="0" borderId="0" xfId="0" applyNumberFormat="1" applyFont="1"/>
    <xf numFmtId="2" fontId="63" fillId="0" borderId="0" xfId="0" applyNumberFormat="1" applyFont="1"/>
    <xf numFmtId="0" fontId="64" fillId="0" borderId="23" xfId="0" applyFont="1" applyBorder="1" applyAlignment="1">
      <alignment horizontal="center" wrapText="1"/>
    </xf>
    <xf numFmtId="0" fontId="63" fillId="0" borderId="23" xfId="0" applyFont="1" applyBorder="1" applyAlignment="1">
      <alignment horizontal="left"/>
    </xf>
    <xf numFmtId="0" fontId="63" fillId="39" borderId="0" xfId="0" applyFont="1" applyFill="1" applyAlignment="1">
      <alignment horizontal="left"/>
    </xf>
    <xf numFmtId="0" fontId="63" fillId="0" borderId="0" xfId="0" applyFont="1" applyAlignment="1">
      <alignment horizontal="center" wrapText="1"/>
    </xf>
    <xf numFmtId="0" fontId="64" fillId="39" borderId="34" xfId="0" applyFont="1" applyFill="1" applyBorder="1" applyAlignment="1">
      <alignment horizontal="center"/>
    </xf>
    <xf numFmtId="0" fontId="64" fillId="39" borderId="34" xfId="0" applyFont="1" applyFill="1" applyBorder="1" applyAlignment="1">
      <alignment horizontal="left"/>
    </xf>
    <xf numFmtId="3" fontId="63" fillId="39" borderId="34" xfId="0" applyNumberFormat="1" applyFont="1" applyFill="1" applyBorder="1" applyAlignment="1">
      <alignment horizontal="left"/>
    </xf>
    <xf numFmtId="3" fontId="63" fillId="39" borderId="23" xfId="0" applyNumberFormat="1" applyFont="1" applyFill="1" applyBorder="1" applyAlignment="1">
      <alignment horizontal="left"/>
    </xf>
    <xf numFmtId="3" fontId="63" fillId="0" borderId="0" xfId="0" applyNumberFormat="1" applyFont="1" applyAlignment="1">
      <alignment horizontal="center"/>
    </xf>
    <xf numFmtId="0" fontId="65" fillId="0" borderId="0" xfId="0" applyFont="1"/>
    <xf numFmtId="164" fontId="63" fillId="0" borderId="0" xfId="0" applyNumberFormat="1" applyFont="1" applyAlignment="1">
      <alignment horizontal="right"/>
    </xf>
    <xf numFmtId="0" fontId="65" fillId="41" borderId="0" xfId="0" applyFont="1" applyFill="1" applyAlignment="1">
      <alignment horizontal="center" wrapText="1"/>
    </xf>
    <xf numFmtId="0" fontId="65" fillId="50" borderId="0" xfId="0" applyFont="1" applyFill="1" applyAlignment="1">
      <alignment horizontal="center" wrapText="1"/>
    </xf>
    <xf numFmtId="0" fontId="63" fillId="50" borderId="0" xfId="0" applyFont="1" applyFill="1" applyAlignment="1">
      <alignment wrapText="1"/>
    </xf>
    <xf numFmtId="14" fontId="63" fillId="50" borderId="0" xfId="0" applyNumberFormat="1" applyFont="1" applyFill="1" applyAlignment="1">
      <alignment wrapText="1"/>
    </xf>
    <xf numFmtId="0" fontId="63" fillId="50" borderId="0" xfId="0" applyFont="1" applyFill="1" applyAlignment="1">
      <alignment horizontal="center" wrapText="1"/>
    </xf>
    <xf numFmtId="0" fontId="63" fillId="50" borderId="0" xfId="0" applyFont="1" applyFill="1" applyAlignment="1">
      <alignment horizontal="center"/>
    </xf>
    <xf numFmtId="0" fontId="63" fillId="0" borderId="0" xfId="0" applyFont="1" applyAlignment="1">
      <alignment wrapText="1"/>
    </xf>
    <xf numFmtId="0" fontId="65" fillId="0" borderId="0" xfId="0" applyFont="1" applyAlignment="1">
      <alignment horizontal="center" wrapText="1"/>
    </xf>
    <xf numFmtId="0" fontId="65" fillId="35" borderId="0" xfId="0" applyFont="1" applyFill="1" applyAlignment="1">
      <alignment horizontal="center" wrapText="1"/>
    </xf>
    <xf numFmtId="0" fontId="63" fillId="35" borderId="0" xfId="0" applyFont="1" applyFill="1" applyAlignment="1">
      <alignment wrapText="1"/>
    </xf>
    <xf numFmtId="0" fontId="63" fillId="42" borderId="0" xfId="0" applyFont="1" applyFill="1"/>
    <xf numFmtId="0" fontId="63" fillId="42" borderId="0" xfId="0" applyFont="1" applyFill="1" applyAlignment="1">
      <alignment horizontal="right"/>
    </xf>
    <xf numFmtId="168" fontId="63" fillId="0" borderId="0" xfId="0" applyNumberFormat="1" applyFont="1"/>
    <xf numFmtId="0" fontId="63" fillId="0" borderId="0" xfId="0" applyFont="1" applyAlignment="1">
      <alignment horizontal="left"/>
    </xf>
    <xf numFmtId="0" fontId="63" fillId="0" borderId="0" xfId="0" applyFont="1" applyAlignment="1">
      <alignment horizontal="right"/>
    </xf>
    <xf numFmtId="14" fontId="63" fillId="0" borderId="0" xfId="0" applyNumberFormat="1" applyFont="1"/>
    <xf numFmtId="1" fontId="63" fillId="0" borderId="0" xfId="0" applyNumberFormat="1" applyFont="1"/>
    <xf numFmtId="168" fontId="63" fillId="0" borderId="0" xfId="0" applyNumberFormat="1" applyFont="1" applyAlignment="1">
      <alignment horizontal="right"/>
    </xf>
    <xf numFmtId="14" fontId="63" fillId="0" borderId="0" xfId="0" applyNumberFormat="1" applyFont="1" applyAlignment="1">
      <alignment horizontal="center"/>
    </xf>
    <xf numFmtId="0" fontId="67" fillId="47" borderId="40" xfId="3602" applyFont="1" applyFill="1" applyBorder="1" applyAlignment="1">
      <alignment horizontal="center"/>
    </xf>
    <xf numFmtId="14" fontId="67" fillId="46" borderId="40" xfId="3602" applyNumberFormat="1" applyFont="1" applyFill="1" applyBorder="1" applyAlignment="1">
      <alignment horizontal="center"/>
    </xf>
    <xf numFmtId="14" fontId="67" fillId="51" borderId="40" xfId="3602" applyNumberFormat="1" applyFont="1" applyFill="1" applyBorder="1" applyAlignment="1">
      <alignment horizontal="center"/>
    </xf>
    <xf numFmtId="0" fontId="67" fillId="47" borderId="42" xfId="3602" applyFont="1" applyFill="1" applyBorder="1" applyAlignment="1">
      <alignment horizontal="center"/>
    </xf>
    <xf numFmtId="0" fontId="67" fillId="46" borderId="41" xfId="3602" applyFont="1" applyFill="1" applyBorder="1" applyAlignment="1">
      <alignment horizontal="center"/>
    </xf>
    <xf numFmtId="0" fontId="67" fillId="51" borderId="41" xfId="3602" applyFont="1" applyFill="1" applyBorder="1" applyAlignment="1">
      <alignment horizontal="center" wrapText="1"/>
    </xf>
    <xf numFmtId="0" fontId="67" fillId="47" borderId="41" xfId="3602" applyFont="1" applyFill="1" applyBorder="1" applyAlignment="1">
      <alignment horizontal="center" wrapText="1"/>
    </xf>
    <xf numFmtId="0" fontId="67" fillId="47" borderId="41" xfId="3602" applyFont="1" applyFill="1" applyBorder="1" applyAlignment="1">
      <alignment horizontal="center"/>
    </xf>
    <xf numFmtId="3" fontId="63" fillId="39" borderId="23" xfId="0" applyNumberFormat="1" applyFont="1" applyFill="1" applyBorder="1"/>
    <xf numFmtId="2" fontId="63" fillId="39" borderId="23" xfId="0" applyNumberFormat="1" applyFont="1" applyFill="1" applyBorder="1"/>
    <xf numFmtId="164" fontId="63" fillId="39" borderId="23" xfId="0" applyNumberFormat="1" applyFont="1" applyFill="1" applyBorder="1"/>
    <xf numFmtId="0" fontId="68" fillId="0" borderId="0" xfId="0" applyFont="1"/>
    <xf numFmtId="0" fontId="68" fillId="0" borderId="0" xfId="0" applyFont="1" applyAlignment="1">
      <alignment horizontal="center"/>
    </xf>
    <xf numFmtId="3" fontId="68" fillId="0" borderId="0" xfId="0" applyNumberFormat="1" applyFont="1"/>
    <xf numFmtId="164" fontId="65" fillId="0" borderId="0" xfId="270" applyNumberFormat="1" applyFont="1" applyAlignment="1">
      <alignment horizontal="right"/>
    </xf>
    <xf numFmtId="37" fontId="64" fillId="0" borderId="0" xfId="0" applyNumberFormat="1" applyFont="1"/>
    <xf numFmtId="37" fontId="63" fillId="0" borderId="0" xfId="0" applyNumberFormat="1" applyFont="1"/>
    <xf numFmtId="0" fontId="63" fillId="0" borderId="25" xfId="0" applyFont="1" applyBorder="1" applyAlignment="1">
      <alignment horizontal="center"/>
    </xf>
    <xf numFmtId="0" fontId="63" fillId="0" borderId="22" xfId="0" applyFont="1" applyBorder="1"/>
    <xf numFmtId="10" fontId="63" fillId="0" borderId="0" xfId="0" applyNumberFormat="1" applyFont="1" applyAlignment="1">
      <alignment horizontal="center"/>
    </xf>
    <xf numFmtId="0" fontId="63" fillId="0" borderId="27" xfId="0" applyFont="1" applyBorder="1"/>
    <xf numFmtId="0" fontId="63" fillId="0" borderId="26" xfId="0" applyFont="1" applyBorder="1"/>
    <xf numFmtId="0" fontId="63" fillId="0" borderId="28" xfId="0" applyFont="1" applyBorder="1"/>
    <xf numFmtId="0" fontId="63" fillId="0" borderId="10" xfId="0" applyFont="1" applyBorder="1"/>
    <xf numFmtId="0" fontId="63" fillId="0" borderId="12" xfId="0" applyFont="1" applyBorder="1"/>
    <xf numFmtId="0" fontId="63" fillId="0" borderId="10" xfId="0" applyFont="1" applyBorder="1" applyAlignment="1">
      <alignment horizontal="right"/>
    </xf>
    <xf numFmtId="176" fontId="63" fillId="0" borderId="12" xfId="0" applyNumberFormat="1" applyFont="1" applyBorder="1"/>
    <xf numFmtId="173" fontId="63" fillId="0" borderId="0" xfId="0" applyNumberFormat="1" applyFont="1"/>
    <xf numFmtId="1" fontId="63" fillId="0" borderId="12" xfId="0" applyNumberFormat="1" applyFont="1" applyBorder="1"/>
    <xf numFmtId="3" fontId="63" fillId="44" borderId="0" xfId="0" applyNumberFormat="1" applyFont="1" applyFill="1"/>
    <xf numFmtId="0" fontId="63" fillId="0" borderId="32" xfId="0" applyFont="1" applyBorder="1"/>
    <xf numFmtId="0" fontId="63" fillId="0" borderId="1" xfId="0" applyFont="1" applyBorder="1"/>
    <xf numFmtId="0" fontId="63" fillId="0" borderId="33" xfId="0" applyFont="1" applyBorder="1"/>
    <xf numFmtId="3" fontId="63" fillId="0" borderId="10" xfId="0" applyNumberFormat="1" applyFont="1" applyBorder="1"/>
    <xf numFmtId="0" fontId="69" fillId="49" borderId="43" xfId="0" applyFont="1" applyFill="1" applyBorder="1" applyAlignment="1">
      <alignment horizontal="center"/>
    </xf>
    <xf numFmtId="0" fontId="63" fillId="0" borderId="8" xfId="0" applyFont="1" applyBorder="1"/>
    <xf numFmtId="0" fontId="69" fillId="42" borderId="45" xfId="0" applyFont="1" applyFill="1" applyBorder="1" applyAlignment="1">
      <alignment horizontal="center"/>
    </xf>
    <xf numFmtId="0" fontId="69" fillId="41" borderId="43" xfId="0" applyFont="1" applyFill="1" applyBorder="1" applyAlignment="1">
      <alignment horizontal="center"/>
    </xf>
    <xf numFmtId="0" fontId="69" fillId="43" borderId="47" xfId="0" applyFont="1" applyFill="1" applyBorder="1" applyAlignment="1">
      <alignment horizontal="center" wrapText="1"/>
    </xf>
    <xf numFmtId="0" fontId="69" fillId="43" borderId="43" xfId="0" applyFont="1" applyFill="1" applyBorder="1" applyAlignment="1">
      <alignment horizontal="center" wrapText="1"/>
    </xf>
    <xf numFmtId="164" fontId="63" fillId="0" borderId="0" xfId="0" applyNumberFormat="1" applyFont="1" applyAlignment="1">
      <alignment horizontal="center"/>
    </xf>
    <xf numFmtId="0" fontId="65" fillId="42" borderId="0" xfId="0" applyFont="1" applyFill="1" applyAlignment="1">
      <alignment horizontal="center" wrapText="1"/>
    </xf>
    <xf numFmtId="0" fontId="65" fillId="43" borderId="0" xfId="0" applyFont="1" applyFill="1" applyAlignment="1">
      <alignment horizontal="center" wrapText="1"/>
    </xf>
    <xf numFmtId="0" fontId="65" fillId="39" borderId="0" xfId="0" applyFont="1" applyFill="1" applyAlignment="1">
      <alignment horizontal="center" wrapText="1"/>
    </xf>
    <xf numFmtId="0" fontId="63" fillId="39" borderId="0" xfId="0" applyFont="1" applyFill="1" applyAlignment="1">
      <alignment horizontal="center" wrapText="1"/>
    </xf>
    <xf numFmtId="0" fontId="65" fillId="0" borderId="0" xfId="75" applyFont="1" applyAlignment="1">
      <alignment horizontal="center"/>
    </xf>
    <xf numFmtId="3" fontId="70" fillId="0" borderId="0" xfId="831" applyNumberFormat="1" applyFont="1" applyAlignment="1">
      <alignment vertical="top" wrapText="1" readingOrder="1"/>
    </xf>
    <xf numFmtId="164" fontId="70" fillId="0" borderId="0" xfId="831" applyNumberFormat="1" applyFont="1" applyAlignment="1">
      <alignment vertical="top" wrapText="1" readingOrder="1"/>
    </xf>
    <xf numFmtId="164" fontId="65" fillId="0" borderId="0" xfId="0" applyNumberFormat="1" applyFont="1"/>
    <xf numFmtId="172" fontId="70" fillId="0" borderId="0" xfId="831" applyNumberFormat="1" applyFont="1" applyAlignment="1">
      <alignment vertical="top" wrapText="1" readingOrder="1"/>
    </xf>
    <xf numFmtId="164" fontId="65" fillId="0" borderId="0" xfId="103" applyNumberFormat="1" applyFont="1"/>
    <xf numFmtId="4" fontId="65" fillId="0" borderId="0" xfId="2157" applyNumberFormat="1" applyFont="1"/>
    <xf numFmtId="164" fontId="65" fillId="0" borderId="0" xfId="2157" applyNumberFormat="1" applyFont="1"/>
    <xf numFmtId="164" fontId="63" fillId="42" borderId="0" xfId="0" applyNumberFormat="1" applyFont="1" applyFill="1"/>
    <xf numFmtId="3" fontId="65" fillId="0" borderId="0" xfId="426" applyNumberFormat="1" applyFont="1"/>
    <xf numFmtId="3" fontId="70" fillId="0" borderId="0" xfId="831" applyNumberFormat="1" applyFont="1" applyAlignment="1">
      <alignment horizontal="center" vertical="top" wrapText="1" readingOrder="1"/>
    </xf>
    <xf numFmtId="0" fontId="65" fillId="0" borderId="0" xfId="3603" applyFont="1"/>
    <xf numFmtId="0" fontId="64" fillId="0" borderId="0" xfId="0" applyFont="1" applyAlignment="1">
      <alignment horizontal="center"/>
    </xf>
    <xf numFmtId="0" fontId="64" fillId="0" borderId="0" xfId="0" applyFont="1"/>
    <xf numFmtId="9" fontId="64" fillId="0" borderId="0" xfId="0" applyNumberFormat="1" applyFont="1" applyAlignment="1">
      <alignment horizontal="center"/>
    </xf>
    <xf numFmtId="9" fontId="64" fillId="0" borderId="23" xfId="0" applyNumberFormat="1" applyFont="1" applyBorder="1" applyAlignment="1">
      <alignment horizontal="center" wrapText="1"/>
    </xf>
    <xf numFmtId="0" fontId="64" fillId="0" borderId="23" xfId="0" applyFont="1" applyBorder="1" applyAlignment="1">
      <alignment horizontal="right"/>
    </xf>
    <xf numFmtId="3" fontId="63" fillId="39" borderId="0" xfId="0" applyNumberFormat="1" applyFont="1" applyFill="1" applyAlignment="1">
      <alignment horizontal="left"/>
    </xf>
    <xf numFmtId="0" fontId="63" fillId="39" borderId="0" xfId="0" applyFont="1" applyFill="1"/>
    <xf numFmtId="0" fontId="34" fillId="43" borderId="24" xfId="0" applyFont="1" applyFill="1" applyBorder="1" applyAlignment="1">
      <alignment horizontal="center" wrapText="1"/>
    </xf>
    <xf numFmtId="0" fontId="34" fillId="54" borderId="25" xfId="0" applyFont="1" applyFill="1" applyBorder="1" applyAlignment="1">
      <alignment horizontal="center" wrapText="1"/>
    </xf>
    <xf numFmtId="0" fontId="34" fillId="55" borderId="23" xfId="0" applyFont="1" applyFill="1" applyBorder="1" applyAlignment="1">
      <alignment horizontal="center" wrapText="1"/>
    </xf>
    <xf numFmtId="0" fontId="34" fillId="53" borderId="0" xfId="0" applyFont="1" applyFill="1" applyAlignment="1">
      <alignment horizontal="right"/>
    </xf>
    <xf numFmtId="0" fontId="63" fillId="0" borderId="51" xfId="0" applyFont="1" applyBorder="1" applyAlignment="1">
      <alignment horizontal="center"/>
    </xf>
    <xf numFmtId="0" fontId="63" fillId="0" borderId="52" xfId="0" applyFont="1" applyBorder="1" applyAlignment="1">
      <alignment horizontal="center" wrapText="1"/>
    </xf>
    <xf numFmtId="3" fontId="63" fillId="0" borderId="51" xfId="0" applyNumberFormat="1" applyFont="1" applyBorder="1"/>
    <xf numFmtId="164" fontId="63" fillId="0" borderId="53" xfId="0" applyNumberFormat="1" applyFont="1" applyBorder="1" applyAlignment="1">
      <alignment horizontal="center" wrapText="1"/>
    </xf>
    <xf numFmtId="3" fontId="63" fillId="0" borderId="6" xfId="0" applyNumberFormat="1" applyFont="1" applyBorder="1"/>
    <xf numFmtId="0" fontId="63" fillId="0" borderId="3" xfId="0" applyFont="1" applyBorder="1"/>
    <xf numFmtId="0" fontId="63" fillId="0" borderId="4" xfId="0" applyFont="1" applyBorder="1"/>
    <xf numFmtId="0" fontId="63" fillId="0" borderId="53" xfId="0" applyFont="1" applyBorder="1" applyAlignment="1">
      <alignment horizontal="center" wrapText="1"/>
    </xf>
    <xf numFmtId="0" fontId="63" fillId="0" borderId="6" xfId="0" applyFont="1" applyBorder="1"/>
    <xf numFmtId="0" fontId="64" fillId="0" borderId="43" xfId="0" applyFont="1" applyBorder="1" applyAlignment="1">
      <alignment horizontal="center"/>
    </xf>
    <xf numFmtId="0" fontId="63" fillId="0" borderId="54" xfId="0" applyFont="1" applyBorder="1"/>
    <xf numFmtId="0" fontId="63" fillId="0" borderId="55" xfId="0" applyFont="1" applyBorder="1"/>
    <xf numFmtId="0" fontId="63" fillId="0" borderId="56" xfId="0" applyFont="1" applyBorder="1" applyAlignment="1">
      <alignment horizontal="center" wrapText="1"/>
    </xf>
    <xf numFmtId="164" fontId="63" fillId="0" borderId="55" xfId="0" applyNumberFormat="1" applyFont="1" applyBorder="1"/>
    <xf numFmtId="0" fontId="71" fillId="0" borderId="23" xfId="0" applyFont="1" applyBorder="1" applyAlignment="1">
      <alignment horizontal="center"/>
    </xf>
    <xf numFmtId="0" fontId="71" fillId="0" borderId="23" xfId="0" applyFont="1" applyBorder="1" applyAlignment="1">
      <alignment horizontal="center" wrapText="1"/>
    </xf>
    <xf numFmtId="0" fontId="62" fillId="0" borderId="0" xfId="0" applyFont="1"/>
    <xf numFmtId="0" fontId="71" fillId="39" borderId="0" xfId="0" applyFont="1" applyFill="1" applyAlignment="1">
      <alignment horizontal="left"/>
    </xf>
    <xf numFmtId="0" fontId="62" fillId="0" borderId="0" xfId="0" applyFont="1" applyAlignment="1">
      <alignment horizontal="center"/>
    </xf>
    <xf numFmtId="10" fontId="34" fillId="52" borderId="0" xfId="0" applyNumberFormat="1" applyFont="1" applyFill="1" applyAlignment="1">
      <alignment horizontal="center"/>
    </xf>
    <xf numFmtId="177" fontId="63" fillId="0" borderId="0" xfId="0" applyNumberFormat="1" applyFont="1" applyAlignment="1">
      <alignment horizontal="center"/>
    </xf>
    <xf numFmtId="0" fontId="70" fillId="0" borderId="0" xfId="0" applyFont="1" applyAlignment="1">
      <alignment horizontal="center" vertical="top" wrapText="1" readingOrder="1"/>
    </xf>
    <xf numFmtId="177" fontId="70" fillId="0" borderId="0" xfId="0" applyNumberFormat="1" applyFont="1" applyAlignment="1">
      <alignment horizontal="center" vertical="top" wrapText="1" readingOrder="1"/>
    </xf>
    <xf numFmtId="0" fontId="70" fillId="0" borderId="0" xfId="0" applyFont="1" applyAlignment="1">
      <alignment vertical="top" wrapText="1" readingOrder="1"/>
    </xf>
    <xf numFmtId="0" fontId="63" fillId="0" borderId="50" xfId="0" applyFont="1" applyBorder="1" applyAlignment="1">
      <alignment horizontal="center"/>
    </xf>
    <xf numFmtId="177" fontId="63" fillId="0" borderId="50" xfId="0" applyNumberFormat="1" applyFont="1" applyBorder="1" applyAlignment="1">
      <alignment horizontal="center"/>
    </xf>
    <xf numFmtId="0" fontId="63" fillId="0" borderId="50" xfId="0" applyFont="1" applyBorder="1"/>
    <xf numFmtId="10" fontId="63" fillId="0" borderId="0" xfId="0" applyNumberFormat="1" applyFont="1" applyAlignment="1">
      <alignment horizontal="right"/>
    </xf>
    <xf numFmtId="10" fontId="34" fillId="39" borderId="0" xfId="0" applyNumberFormat="1" applyFont="1" applyFill="1" applyAlignment="1">
      <alignment horizontal="center" wrapText="1"/>
    </xf>
    <xf numFmtId="10" fontId="34" fillId="39" borderId="39" xfId="0" applyNumberFormat="1" applyFont="1" applyFill="1" applyBorder="1" applyAlignment="1">
      <alignment horizontal="center" wrapText="1"/>
    </xf>
    <xf numFmtId="164" fontId="34" fillId="39" borderId="0" xfId="0" applyNumberFormat="1" applyFont="1" applyFill="1" applyAlignment="1">
      <alignment horizontal="center" wrapText="1"/>
    </xf>
    <xf numFmtId="3" fontId="34" fillId="39" borderId="0" xfId="0" applyNumberFormat="1" applyFont="1" applyFill="1" applyAlignment="1">
      <alignment horizontal="center" wrapText="1"/>
    </xf>
    <xf numFmtId="4" fontId="34" fillId="39" borderId="0" xfId="0" applyNumberFormat="1" applyFont="1" applyFill="1" applyAlignment="1">
      <alignment horizontal="center" wrapText="1"/>
    </xf>
    <xf numFmtId="169" fontId="34" fillId="39" borderId="0" xfId="0" applyNumberFormat="1" applyFont="1" applyFill="1" applyAlignment="1">
      <alignment horizontal="center" wrapText="1"/>
    </xf>
    <xf numFmtId="164" fontId="34" fillId="39" borderId="0" xfId="0" applyNumberFormat="1" applyFont="1" applyFill="1" applyAlignment="1">
      <alignment horizontal="center"/>
    </xf>
    <xf numFmtId="3" fontId="34" fillId="39" borderId="0" xfId="0" applyNumberFormat="1" applyFont="1" applyFill="1" applyAlignment="1">
      <alignment horizontal="center"/>
    </xf>
    <xf numFmtId="2" fontId="34" fillId="0" borderId="0" xfId="0" applyNumberFormat="1" applyFont="1" applyAlignment="1">
      <alignment horizontal="center"/>
    </xf>
    <xf numFmtId="3" fontId="63" fillId="39" borderId="51" xfId="0" applyNumberFormat="1" applyFont="1" applyFill="1" applyBorder="1" applyAlignment="1">
      <alignment horizontal="center"/>
    </xf>
    <xf numFmtId="164" fontId="63" fillId="53" borderId="0" xfId="0" applyNumberFormat="1" applyFont="1" applyFill="1" applyAlignment="1">
      <alignment horizontal="center"/>
    </xf>
    <xf numFmtId="3" fontId="63" fillId="53" borderId="6" xfId="0" applyNumberFormat="1" applyFont="1" applyFill="1" applyBorder="1" applyAlignment="1">
      <alignment horizontal="center"/>
    </xf>
    <xf numFmtId="164" fontId="63" fillId="39" borderId="55" xfId="0" applyNumberFormat="1" applyFont="1" applyFill="1" applyBorder="1" applyAlignment="1">
      <alignment horizontal="center"/>
    </xf>
    <xf numFmtId="164" fontId="63" fillId="39" borderId="0" xfId="0" applyNumberFormat="1" applyFont="1" applyFill="1" applyAlignment="1">
      <alignment horizontal="center"/>
    </xf>
    <xf numFmtId="4" fontId="63" fillId="53" borderId="0" xfId="0" applyNumberFormat="1" applyFont="1" applyFill="1" applyAlignment="1">
      <alignment horizontal="center"/>
    </xf>
    <xf numFmtId="3" fontId="63" fillId="39" borderId="6" xfId="0" applyNumberFormat="1" applyFont="1" applyFill="1" applyBorder="1" applyAlignment="1">
      <alignment horizontal="center"/>
    </xf>
    <xf numFmtId="2" fontId="63" fillId="53" borderId="0" xfId="0" applyNumberFormat="1" applyFont="1" applyFill="1" applyAlignment="1">
      <alignment horizontal="center"/>
    </xf>
    <xf numFmtId="10" fontId="62" fillId="39" borderId="0" xfId="0" applyNumberFormat="1" applyFont="1" applyFill="1" applyAlignment="1">
      <alignment horizontal="center"/>
    </xf>
    <xf numFmtId="3" fontId="63" fillId="39" borderId="34" xfId="0" applyNumberFormat="1" applyFont="1" applyFill="1" applyBorder="1" applyAlignment="1">
      <alignment horizontal="center"/>
    </xf>
    <xf numFmtId="164" fontId="63" fillId="53" borderId="23" xfId="0" applyNumberFormat="1" applyFont="1" applyFill="1" applyBorder="1"/>
    <xf numFmtId="0" fontId="63" fillId="49" borderId="0" xfId="0" applyFont="1" applyFill="1"/>
    <xf numFmtId="0" fontId="63" fillId="49" borderId="0" xfId="0" applyFont="1" applyFill="1" applyAlignment="1">
      <alignment horizontal="center"/>
    </xf>
    <xf numFmtId="3" fontId="63" fillId="49" borderId="0" xfId="0" applyNumberFormat="1" applyFont="1" applyFill="1" applyAlignment="1">
      <alignment horizontal="center"/>
    </xf>
    <xf numFmtId="10" fontId="63" fillId="49" borderId="0" xfId="0" applyNumberFormat="1" applyFont="1" applyFill="1" applyAlignment="1">
      <alignment horizontal="center"/>
    </xf>
    <xf numFmtId="164" fontId="63" fillId="49" borderId="0" xfId="0" applyNumberFormat="1" applyFont="1" applyFill="1" applyAlignment="1">
      <alignment horizontal="center"/>
    </xf>
    <xf numFmtId="3" fontId="63" fillId="48" borderId="0" xfId="0" applyNumberFormat="1" applyFont="1" applyFill="1"/>
    <xf numFmtId="3" fontId="70" fillId="48" borderId="0" xfId="0" applyNumberFormat="1" applyFont="1" applyFill="1" applyAlignment="1">
      <alignment vertical="top" wrapText="1" readingOrder="1"/>
    </xf>
    <xf numFmtId="3" fontId="63" fillId="48" borderId="50" xfId="0" applyNumberFormat="1" applyFont="1" applyFill="1" applyBorder="1"/>
    <xf numFmtId="3" fontId="63" fillId="48" borderId="0" xfId="0" applyNumberFormat="1" applyFont="1" applyFill="1" applyAlignment="1">
      <alignment horizontal="right"/>
    </xf>
    <xf numFmtId="0" fontId="63" fillId="41" borderId="0" xfId="0" applyFont="1" applyFill="1" applyAlignment="1">
      <alignment horizontal="center" wrapText="1"/>
    </xf>
    <xf numFmtId="3" fontId="63" fillId="43" borderId="0" xfId="0" applyNumberFormat="1" applyFont="1" applyFill="1"/>
    <xf numFmtId="0" fontId="71" fillId="0" borderId="8" xfId="0" applyFont="1" applyBorder="1"/>
    <xf numFmtId="178" fontId="62" fillId="0" borderId="0" xfId="0" applyNumberFormat="1" applyFont="1"/>
    <xf numFmtId="178" fontId="62" fillId="48" borderId="0" xfId="0" applyNumberFormat="1" applyFont="1" applyFill="1"/>
    <xf numFmtId="178" fontId="62" fillId="0" borderId="10" xfId="0" applyNumberFormat="1" applyFont="1" applyBorder="1"/>
    <xf numFmtId="179" fontId="62" fillId="0" borderId="12" xfId="0" applyNumberFormat="1" applyFont="1" applyBorder="1"/>
    <xf numFmtId="164" fontId="62" fillId="0" borderId="0" xfId="0" applyNumberFormat="1" applyFont="1"/>
    <xf numFmtId="0" fontId="71" fillId="0" borderId="0" xfId="0" applyFont="1" applyAlignment="1">
      <alignment horizontal="center"/>
    </xf>
    <xf numFmtId="0" fontId="63" fillId="35" borderId="0" xfId="0" applyFont="1" applyFill="1" applyAlignment="1">
      <alignment horizontal="center" wrapText="1"/>
    </xf>
    <xf numFmtId="0" fontId="71" fillId="0" borderId="0" xfId="0" applyFont="1"/>
    <xf numFmtId="14" fontId="62" fillId="0" borderId="0" xfId="0" applyNumberFormat="1" applyFont="1" applyAlignment="1">
      <alignment horizontal="center"/>
    </xf>
    <xf numFmtId="164" fontId="62" fillId="42" borderId="10" xfId="0" applyNumberFormat="1" applyFont="1" applyFill="1" applyBorder="1" applyAlignment="1">
      <alignment horizontal="center" wrapText="1"/>
    </xf>
    <xf numFmtId="164" fontId="62" fillId="42" borderId="0" xfId="0" applyNumberFormat="1" applyFont="1" applyFill="1" applyAlignment="1">
      <alignment horizontal="center" wrapText="1"/>
    </xf>
    <xf numFmtId="0" fontId="62" fillId="0" borderId="0" xfId="0" applyFont="1" applyAlignment="1">
      <alignment horizontal="center" wrapText="1"/>
    </xf>
    <xf numFmtId="164" fontId="62" fillId="42" borderId="59" xfId="0" applyNumberFormat="1" applyFont="1" applyFill="1" applyBorder="1" applyAlignment="1">
      <alignment horizontal="center" wrapText="1"/>
    </xf>
    <xf numFmtId="0" fontId="71" fillId="0" borderId="58" xfId="0" applyFont="1" applyBorder="1"/>
    <xf numFmtId="168" fontId="62" fillId="0" borderId="58" xfId="0" applyNumberFormat="1" applyFont="1" applyBorder="1" applyAlignment="1">
      <alignment horizontal="right"/>
    </xf>
    <xf numFmtId="0" fontId="62" fillId="0" borderId="58" xfId="0" applyFont="1" applyBorder="1" applyAlignment="1">
      <alignment horizontal="center"/>
    </xf>
    <xf numFmtId="0" fontId="71" fillId="0" borderId="1" xfId="0" applyFont="1" applyBorder="1"/>
    <xf numFmtId="164" fontId="62" fillId="0" borderId="58" xfId="0" applyNumberFormat="1" applyFont="1" applyBorder="1" applyAlignment="1">
      <alignment horizontal="right" wrapText="1"/>
    </xf>
    <xf numFmtId="164" fontId="62" fillId="0" borderId="60" xfId="0" applyNumberFormat="1" applyFont="1" applyBorder="1" applyAlignment="1">
      <alignment horizontal="center" wrapText="1"/>
    </xf>
    <xf numFmtId="164" fontId="62" fillId="0" borderId="58" xfId="0" applyNumberFormat="1" applyFont="1" applyBorder="1" applyAlignment="1">
      <alignment horizontal="center" wrapText="1"/>
    </xf>
    <xf numFmtId="164" fontId="62" fillId="0" borderId="61" xfId="0" applyNumberFormat="1" applyFont="1" applyBorder="1" applyAlignment="1">
      <alignment horizontal="center" wrapText="1"/>
    </xf>
    <xf numFmtId="3" fontId="62" fillId="0" borderId="0" xfId="0" applyNumberFormat="1" applyFont="1"/>
    <xf numFmtId="8" fontId="63" fillId="0" borderId="0" xfId="2" applyFont="1"/>
    <xf numFmtId="0" fontId="35" fillId="52" borderId="10" xfId="0" applyFont="1" applyFill="1" applyBorder="1" applyAlignment="1">
      <alignment horizontal="center"/>
    </xf>
    <xf numFmtId="0" fontId="35" fillId="52" borderId="12" xfId="0" applyFont="1" applyFill="1" applyBorder="1" applyAlignment="1">
      <alignment horizontal="center"/>
    </xf>
    <xf numFmtId="1" fontId="35" fillId="42" borderId="10" xfId="0" applyNumberFormat="1" applyFont="1" applyFill="1" applyBorder="1" applyAlignment="1">
      <alignment horizontal="center"/>
    </xf>
    <xf numFmtId="1" fontId="35" fillId="42" borderId="0" xfId="0" applyNumberFormat="1" applyFont="1" applyFill="1" applyAlignment="1">
      <alignment horizontal="center"/>
    </xf>
    <xf numFmtId="1" fontId="35" fillId="42" borderId="12" xfId="0" applyNumberFormat="1" applyFont="1" applyFill="1" applyBorder="1" applyAlignment="1">
      <alignment horizontal="center"/>
    </xf>
    <xf numFmtId="0" fontId="35" fillId="41" borderId="10" xfId="0" applyFont="1" applyFill="1" applyBorder="1" applyAlignment="1">
      <alignment horizontal="center"/>
    </xf>
    <xf numFmtId="0" fontId="34" fillId="41" borderId="0" xfId="0" applyFont="1" applyFill="1" applyAlignment="1">
      <alignment horizontal="center"/>
    </xf>
    <xf numFmtId="0" fontId="34" fillId="41" borderId="12" xfId="0" applyFont="1" applyFill="1" applyBorder="1" applyAlignment="1">
      <alignment horizontal="center"/>
    </xf>
    <xf numFmtId="0" fontId="35" fillId="45" borderId="10" xfId="0" applyFont="1" applyFill="1" applyBorder="1" applyAlignment="1">
      <alignment horizontal="center"/>
    </xf>
    <xf numFmtId="0" fontId="35" fillId="45" borderId="0" xfId="0" applyFont="1" applyFill="1" applyAlignment="1">
      <alignment horizontal="center"/>
    </xf>
    <xf numFmtId="0" fontId="35" fillId="45" borderId="12" xfId="0" applyFont="1" applyFill="1" applyBorder="1" applyAlignment="1">
      <alignment horizontal="center"/>
    </xf>
    <xf numFmtId="0" fontId="35" fillId="44" borderId="10" xfId="0" applyFont="1" applyFill="1" applyBorder="1" applyAlignment="1">
      <alignment horizontal="center"/>
    </xf>
    <xf numFmtId="0" fontId="35" fillId="44" borderId="0" xfId="0" applyFont="1" applyFill="1" applyAlignment="1">
      <alignment horizontal="center"/>
    </xf>
    <xf numFmtId="0" fontId="35" fillId="44" borderId="12" xfId="0" applyFont="1" applyFill="1" applyBorder="1" applyAlignment="1">
      <alignment horizontal="center"/>
    </xf>
    <xf numFmtId="0" fontId="63" fillId="0" borderId="0" xfId="0" applyFont="1" applyAlignment="1">
      <alignment horizontal="center"/>
    </xf>
    <xf numFmtId="0" fontId="63" fillId="0" borderId="29" xfId="0" applyFont="1" applyBorder="1" applyAlignment="1">
      <alignment horizontal="center"/>
    </xf>
    <xf numFmtId="0" fontId="63" fillId="0" borderId="30" xfId="0" applyFont="1" applyBorder="1" applyAlignment="1">
      <alignment horizontal="center"/>
    </xf>
    <xf numFmtId="0" fontId="63" fillId="0" borderId="31" xfId="0" applyFont="1" applyBorder="1" applyAlignment="1">
      <alignment horizontal="center"/>
    </xf>
    <xf numFmtId="0" fontId="64" fillId="0" borderId="0" xfId="0" applyFont="1" applyAlignment="1">
      <alignment horizontal="center"/>
    </xf>
    <xf numFmtId="0" fontId="63" fillId="44" borderId="0" xfId="0" applyFont="1" applyFill="1" applyAlignment="1">
      <alignment horizontal="center"/>
    </xf>
    <xf numFmtId="0" fontId="64" fillId="0" borderId="44" xfId="0" applyFont="1" applyBorder="1" applyAlignment="1">
      <alignment horizontal="center"/>
    </xf>
    <xf numFmtId="0" fontId="64" fillId="0" borderId="45" xfId="0" applyFont="1" applyBorder="1" applyAlignment="1">
      <alignment horizontal="center"/>
    </xf>
    <xf numFmtId="0" fontId="64" fillId="0" borderId="46" xfId="0" applyFont="1" applyBorder="1" applyAlignment="1">
      <alignment horizontal="center"/>
    </xf>
    <xf numFmtId="0" fontId="64" fillId="0" borderId="43" xfId="0" applyFont="1" applyBorder="1" applyAlignment="1">
      <alignment horizontal="center"/>
    </xf>
    <xf numFmtId="0" fontId="34" fillId="3" borderId="5" xfId="0" applyFont="1" applyFill="1" applyBorder="1" applyAlignment="1">
      <alignment wrapText="1"/>
    </xf>
    <xf numFmtId="0" fontId="0" fillId="3" borderId="0" xfId="0" applyFill="1" applyAlignment="1">
      <alignment wrapText="1"/>
    </xf>
    <xf numFmtId="0" fontId="0" fillId="3" borderId="6" xfId="0" applyFill="1" applyBorder="1" applyAlignment="1">
      <alignment wrapText="1"/>
    </xf>
    <xf numFmtId="0" fontId="34" fillId="3" borderId="0" xfId="0" applyFont="1" applyFill="1" applyAlignment="1">
      <alignment wrapText="1"/>
    </xf>
    <xf numFmtId="0" fontId="34" fillId="0" borderId="0" xfId="0" applyFont="1" applyAlignment="1">
      <alignment wrapText="1"/>
    </xf>
    <xf numFmtId="0" fontId="0" fillId="0" borderId="0" xfId="0" applyAlignment="1">
      <alignment wrapText="1"/>
    </xf>
    <xf numFmtId="0" fontId="0" fillId="0" borderId="6" xfId="0" applyBorder="1" applyAlignment="1">
      <alignment wrapText="1"/>
    </xf>
    <xf numFmtId="0" fontId="34" fillId="3" borderId="5" xfId="0" applyFont="1" applyFill="1" applyBorder="1" applyAlignment="1">
      <alignment horizontal="left" wrapText="1"/>
    </xf>
    <xf numFmtId="0" fontId="0" fillId="0" borderId="0" xfId="0" applyAlignment="1">
      <alignment horizontal="left" wrapText="1"/>
    </xf>
    <xf numFmtId="0" fontId="0" fillId="0" borderId="6" xfId="0" applyBorder="1" applyAlignment="1">
      <alignment horizontal="left" wrapText="1"/>
    </xf>
    <xf numFmtId="0" fontId="34" fillId="3" borderId="0" xfId="0" applyFont="1" applyFill="1" applyAlignment="1">
      <alignment horizontal="left" wrapText="1"/>
    </xf>
    <xf numFmtId="0" fontId="34" fillId="3" borderId="2" xfId="0" applyFont="1" applyFill="1"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63" fillId="54" borderId="0" xfId="0" applyFont="1" applyFill="1" applyAlignment="1">
      <alignment horizontal="center"/>
    </xf>
    <xf numFmtId="0" fontId="69" fillId="41" borderId="44" xfId="0" applyFont="1" applyFill="1" applyBorder="1" applyAlignment="1">
      <alignment horizontal="center"/>
    </xf>
    <xf numFmtId="0" fontId="69" fillId="41" borderId="45" xfId="0" applyFont="1" applyFill="1" applyBorder="1" applyAlignment="1">
      <alignment horizontal="center"/>
    </xf>
    <xf numFmtId="0" fontId="69" fillId="41" borderId="46" xfId="0" applyFont="1" applyFill="1" applyBorder="1" applyAlignment="1">
      <alignment horizontal="center"/>
    </xf>
    <xf numFmtId="0" fontId="69" fillId="41" borderId="44" xfId="0" applyFont="1" applyFill="1" applyBorder="1" applyAlignment="1">
      <alignment horizontal="center" wrapText="1"/>
    </xf>
    <xf numFmtId="0" fontId="69" fillId="41" borderId="45" xfId="0" applyFont="1" applyFill="1" applyBorder="1" applyAlignment="1">
      <alignment horizontal="center" wrapText="1"/>
    </xf>
    <xf numFmtId="0" fontId="69" fillId="41" borderId="46" xfId="0" applyFont="1" applyFill="1" applyBorder="1" applyAlignment="1">
      <alignment horizontal="center" wrapText="1"/>
    </xf>
    <xf numFmtId="0" fontId="63" fillId="48" borderId="0" xfId="0" applyFont="1" applyFill="1" applyAlignment="1">
      <alignment horizontal="left"/>
    </xf>
    <xf numFmtId="14" fontId="73" fillId="0" borderId="0" xfId="0" applyNumberFormat="1" applyFont="1" applyAlignment="1">
      <alignment horizontal="left"/>
    </xf>
    <xf numFmtId="0" fontId="73" fillId="48" borderId="0" xfId="0" applyFont="1" applyFill="1" applyAlignment="1">
      <alignment horizontal="left"/>
    </xf>
    <xf numFmtId="0" fontId="73" fillId="48" borderId="57" xfId="0" applyFont="1" applyFill="1" applyBorder="1" applyAlignment="1">
      <alignment horizontal="left"/>
    </xf>
    <xf numFmtId="0" fontId="62" fillId="0" borderId="0" xfId="0" applyFont="1" applyAlignment="1">
      <alignment horizontal="center"/>
    </xf>
    <xf numFmtId="0" fontId="61" fillId="0" borderId="0" xfId="0" applyFont="1" applyAlignment="1">
      <alignment horizontal="center"/>
    </xf>
  </cellXfs>
  <cellStyles count="3604">
    <cellStyle name="20% - Accent1" xfId="20" builtinId="30" customBuiltin="1"/>
    <cellStyle name="20% - Accent1 10" xfId="1724" xr:uid="{00000000-0005-0000-0000-000001000000}"/>
    <cellStyle name="20% - Accent1 11" xfId="1919" xr:uid="{00000000-0005-0000-0000-000002000000}"/>
    <cellStyle name="20% - Accent1 12" xfId="2159" xr:uid="{00000000-0005-0000-0000-000003000000}"/>
    <cellStyle name="20% - Accent1 13" xfId="2881" xr:uid="{00000000-0005-0000-0000-000004000000}"/>
    <cellStyle name="20% - Accent1 2" xfId="47" xr:uid="{00000000-0005-0000-0000-000005000000}"/>
    <cellStyle name="20% - Accent1 2 10" xfId="1931" xr:uid="{00000000-0005-0000-0000-000006000000}"/>
    <cellStyle name="20% - Accent1 2 11" xfId="2176" xr:uid="{00000000-0005-0000-0000-000007000000}"/>
    <cellStyle name="20% - Accent1 2 12" xfId="2896" xr:uid="{00000000-0005-0000-0000-000008000000}"/>
    <cellStyle name="20% - Accent1 2 2" xfId="91" xr:uid="{00000000-0005-0000-0000-000009000000}"/>
    <cellStyle name="20% - Accent1 2 2 2" xfId="226" xr:uid="{00000000-0005-0000-0000-00000A000000}"/>
    <cellStyle name="20% - Accent1 2 2 2 2" xfId="274" xr:uid="{00000000-0005-0000-0000-00000B000000}"/>
    <cellStyle name="20% - Accent1 2 2 2 2 2" xfId="679" xr:uid="{00000000-0005-0000-0000-00000C000000}"/>
    <cellStyle name="20% - Accent1 2 2 2 2 2 2" xfId="1410" xr:uid="{00000000-0005-0000-0000-00000D000000}"/>
    <cellStyle name="20% - Accent1 2 2 2 2 2 3" xfId="2730" xr:uid="{00000000-0005-0000-0000-00000E000000}"/>
    <cellStyle name="20% - Accent1 2 2 2 2 2 4" xfId="3448" xr:uid="{00000000-0005-0000-0000-00000F000000}"/>
    <cellStyle name="20% - Accent1 2 2 2 2 3" xfId="1013" xr:uid="{00000000-0005-0000-0000-000010000000}"/>
    <cellStyle name="20% - Accent1 2 2 2 2 4" xfId="2331" xr:uid="{00000000-0005-0000-0000-000011000000}"/>
    <cellStyle name="20% - Accent1 2 2 2 2 5" xfId="3051" xr:uid="{00000000-0005-0000-0000-000012000000}"/>
    <cellStyle name="20% - Accent1 2 2 2 3" xfId="631" xr:uid="{00000000-0005-0000-0000-000013000000}"/>
    <cellStyle name="20% - Accent1 2 2 2 3 2" xfId="1363" xr:uid="{00000000-0005-0000-0000-000014000000}"/>
    <cellStyle name="20% - Accent1 2 2 2 3 3" xfId="2683" xr:uid="{00000000-0005-0000-0000-000015000000}"/>
    <cellStyle name="20% - Accent1 2 2 2 3 4" xfId="3401" xr:uid="{00000000-0005-0000-0000-000016000000}"/>
    <cellStyle name="20% - Accent1 2 2 2 4" xfId="966" xr:uid="{00000000-0005-0000-0000-000017000000}"/>
    <cellStyle name="20% - Accent1 2 2 2 5" xfId="2090" xr:uid="{00000000-0005-0000-0000-000018000000}"/>
    <cellStyle name="20% - Accent1 2 2 2 6" xfId="2284" xr:uid="{00000000-0005-0000-0000-000019000000}"/>
    <cellStyle name="20% - Accent1 2 2 2 7" xfId="3004" xr:uid="{00000000-0005-0000-0000-00001A000000}"/>
    <cellStyle name="20% - Accent1 2 2 3" xfId="273" xr:uid="{00000000-0005-0000-0000-00001B000000}"/>
    <cellStyle name="20% - Accent1 2 2 3 2" xfId="678" xr:uid="{00000000-0005-0000-0000-00001C000000}"/>
    <cellStyle name="20% - Accent1 2 2 3 2 2" xfId="1409" xr:uid="{00000000-0005-0000-0000-00001D000000}"/>
    <cellStyle name="20% - Accent1 2 2 3 2 3" xfId="2729" xr:uid="{00000000-0005-0000-0000-00001E000000}"/>
    <cellStyle name="20% - Accent1 2 2 3 2 4" xfId="3447" xr:uid="{00000000-0005-0000-0000-00001F000000}"/>
    <cellStyle name="20% - Accent1 2 2 3 3" xfId="1012" xr:uid="{00000000-0005-0000-0000-000020000000}"/>
    <cellStyle name="20% - Accent1 2 2 3 4" xfId="2047" xr:uid="{00000000-0005-0000-0000-000021000000}"/>
    <cellStyle name="20% - Accent1 2 2 3 5" xfId="2330" xr:uid="{00000000-0005-0000-0000-000022000000}"/>
    <cellStyle name="20% - Accent1 2 2 3 6" xfId="3050" xr:uid="{00000000-0005-0000-0000-000023000000}"/>
    <cellStyle name="20% - Accent1 2 2 4" xfId="473" xr:uid="{00000000-0005-0000-0000-000024000000}"/>
    <cellStyle name="20% - Accent1 2 2 4 2" xfId="1211" xr:uid="{00000000-0005-0000-0000-000025000000}"/>
    <cellStyle name="20% - Accent1 2 2 4 3" xfId="1847" xr:uid="{00000000-0005-0000-0000-000026000000}"/>
    <cellStyle name="20% - Accent1 2 2 4 4" xfId="2531" xr:uid="{00000000-0005-0000-0000-000027000000}"/>
    <cellStyle name="20% - Accent1 2 2 4 5" xfId="3249" xr:uid="{00000000-0005-0000-0000-000028000000}"/>
    <cellStyle name="20% - Accent1 2 2 5" xfId="554" xr:uid="{00000000-0005-0000-0000-000029000000}"/>
    <cellStyle name="20% - Accent1 2 2 5 2" xfId="1286" xr:uid="{00000000-0005-0000-0000-00002A000000}"/>
    <cellStyle name="20% - Accent1 2 2 5 3" xfId="2606" xr:uid="{00000000-0005-0000-0000-00002B000000}"/>
    <cellStyle name="20% - Accent1 2 2 5 4" xfId="3324" xr:uid="{00000000-0005-0000-0000-00002C000000}"/>
    <cellStyle name="20% - Accent1 2 2 6" xfId="882" xr:uid="{00000000-0005-0000-0000-00002D000000}"/>
    <cellStyle name="20% - Accent1 2 2 7" xfId="1970" xr:uid="{00000000-0005-0000-0000-00002E000000}"/>
    <cellStyle name="20% - Accent1 2 2 8" xfId="2207" xr:uid="{00000000-0005-0000-0000-00002F000000}"/>
    <cellStyle name="20% - Accent1 2 2 9" xfId="2927" xr:uid="{00000000-0005-0000-0000-000030000000}"/>
    <cellStyle name="20% - Accent1 2 3" xfId="195" xr:uid="{00000000-0005-0000-0000-000031000000}"/>
    <cellStyle name="20% - Accent1 2 3 2" xfId="275" xr:uid="{00000000-0005-0000-0000-000032000000}"/>
    <cellStyle name="20% - Accent1 2 3 2 2" xfId="680" xr:uid="{00000000-0005-0000-0000-000033000000}"/>
    <cellStyle name="20% - Accent1 2 3 2 2 2" xfId="1411" xr:uid="{00000000-0005-0000-0000-000034000000}"/>
    <cellStyle name="20% - Accent1 2 3 2 2 3" xfId="2731" xr:uid="{00000000-0005-0000-0000-000035000000}"/>
    <cellStyle name="20% - Accent1 2 3 2 2 4" xfId="3449" xr:uid="{00000000-0005-0000-0000-000036000000}"/>
    <cellStyle name="20% - Accent1 2 3 2 3" xfId="1014" xr:uid="{00000000-0005-0000-0000-000037000000}"/>
    <cellStyle name="20% - Accent1 2 3 2 4" xfId="2332" xr:uid="{00000000-0005-0000-0000-000038000000}"/>
    <cellStyle name="20% - Accent1 2 3 2 5" xfId="3052" xr:uid="{00000000-0005-0000-0000-000039000000}"/>
    <cellStyle name="20% - Accent1 2 3 3" xfId="600" xr:uid="{00000000-0005-0000-0000-00003A000000}"/>
    <cellStyle name="20% - Accent1 2 3 3 2" xfId="1332" xr:uid="{00000000-0005-0000-0000-00003B000000}"/>
    <cellStyle name="20% - Accent1 2 3 3 3" xfId="2652" xr:uid="{00000000-0005-0000-0000-00003C000000}"/>
    <cellStyle name="20% - Accent1 2 3 3 4" xfId="3370" xr:uid="{00000000-0005-0000-0000-00003D000000}"/>
    <cellStyle name="20% - Accent1 2 3 4" xfId="935" xr:uid="{00000000-0005-0000-0000-00003E000000}"/>
    <cellStyle name="20% - Accent1 2 3 5" xfId="2008" xr:uid="{00000000-0005-0000-0000-00003F000000}"/>
    <cellStyle name="20% - Accent1 2 3 6" xfId="2253" xr:uid="{00000000-0005-0000-0000-000040000000}"/>
    <cellStyle name="20% - Accent1 2 3 7" xfId="2973" xr:uid="{00000000-0005-0000-0000-000041000000}"/>
    <cellStyle name="20% - Accent1 2 4" xfId="272" xr:uid="{00000000-0005-0000-0000-000042000000}"/>
    <cellStyle name="20% - Accent1 2 4 2" xfId="677" xr:uid="{00000000-0005-0000-0000-000043000000}"/>
    <cellStyle name="20% - Accent1 2 4 2 2" xfId="1408" xr:uid="{00000000-0005-0000-0000-000044000000}"/>
    <cellStyle name="20% - Accent1 2 4 2 3" xfId="2728" xr:uid="{00000000-0005-0000-0000-000045000000}"/>
    <cellStyle name="20% - Accent1 2 4 2 4" xfId="3446" xr:uid="{00000000-0005-0000-0000-000046000000}"/>
    <cellStyle name="20% - Accent1 2 4 3" xfId="1011" xr:uid="{00000000-0005-0000-0000-000047000000}"/>
    <cellStyle name="20% - Accent1 2 4 4" xfId="2132" xr:uid="{00000000-0005-0000-0000-000048000000}"/>
    <cellStyle name="20% - Accent1 2 4 5" xfId="2329" xr:uid="{00000000-0005-0000-0000-000049000000}"/>
    <cellStyle name="20% - Accent1 2 4 6" xfId="3049" xr:uid="{00000000-0005-0000-0000-00004A000000}"/>
    <cellStyle name="20% - Accent1 2 5" xfId="443" xr:uid="{00000000-0005-0000-0000-00004B000000}"/>
    <cellStyle name="20% - Accent1 2 5 2" xfId="1181" xr:uid="{00000000-0005-0000-0000-00004C000000}"/>
    <cellStyle name="20% - Accent1 2 5 3" xfId="1778" xr:uid="{00000000-0005-0000-0000-00004D000000}"/>
    <cellStyle name="20% - Accent1 2 5 4" xfId="2501" xr:uid="{00000000-0005-0000-0000-00004E000000}"/>
    <cellStyle name="20% - Accent1 2 5 5" xfId="3219" xr:uid="{00000000-0005-0000-0000-00004F000000}"/>
    <cellStyle name="20% - Accent1 2 6" xfId="523" xr:uid="{00000000-0005-0000-0000-000050000000}"/>
    <cellStyle name="20% - Accent1 2 6 2" xfId="1255" xr:uid="{00000000-0005-0000-0000-000051000000}"/>
    <cellStyle name="20% - Accent1 2 6 3" xfId="1817" xr:uid="{00000000-0005-0000-0000-000052000000}"/>
    <cellStyle name="20% - Accent1 2 6 4" xfId="2575" xr:uid="{00000000-0005-0000-0000-000053000000}"/>
    <cellStyle name="20% - Accent1 2 6 5" xfId="3293" xr:uid="{00000000-0005-0000-0000-000054000000}"/>
    <cellStyle name="20% - Accent1 2 7" xfId="850" xr:uid="{00000000-0005-0000-0000-000055000000}"/>
    <cellStyle name="20% - Accent1 2 7 2" xfId="1699" xr:uid="{00000000-0005-0000-0000-000056000000}"/>
    <cellStyle name="20% - Accent1 2 7 3" xfId="1888" xr:uid="{00000000-0005-0000-0000-000057000000}"/>
    <cellStyle name="20% - Accent1 2 8" xfId="1624" xr:uid="{00000000-0005-0000-0000-000058000000}"/>
    <cellStyle name="20% - Accent1 2 9" xfId="1737" xr:uid="{00000000-0005-0000-0000-000059000000}"/>
    <cellStyle name="20% - Accent1 3" xfId="76" xr:uid="{00000000-0005-0000-0000-00005A000000}"/>
    <cellStyle name="20% - Accent1 3 2" xfId="211" xr:uid="{00000000-0005-0000-0000-00005B000000}"/>
    <cellStyle name="20% - Accent1 3 2 2" xfId="277" xr:uid="{00000000-0005-0000-0000-00005C000000}"/>
    <cellStyle name="20% - Accent1 3 2 2 2" xfId="682" xr:uid="{00000000-0005-0000-0000-00005D000000}"/>
    <cellStyle name="20% - Accent1 3 2 2 2 2" xfId="1413" xr:uid="{00000000-0005-0000-0000-00005E000000}"/>
    <cellStyle name="20% - Accent1 3 2 2 2 3" xfId="2733" xr:uid="{00000000-0005-0000-0000-00005F000000}"/>
    <cellStyle name="20% - Accent1 3 2 2 2 4" xfId="3451" xr:uid="{00000000-0005-0000-0000-000060000000}"/>
    <cellStyle name="20% - Accent1 3 2 2 3" xfId="1016" xr:uid="{00000000-0005-0000-0000-000061000000}"/>
    <cellStyle name="20% - Accent1 3 2 2 4" xfId="2334" xr:uid="{00000000-0005-0000-0000-000062000000}"/>
    <cellStyle name="20% - Accent1 3 2 2 5" xfId="3054" xr:uid="{00000000-0005-0000-0000-000063000000}"/>
    <cellStyle name="20% - Accent1 3 2 3" xfId="616" xr:uid="{00000000-0005-0000-0000-000064000000}"/>
    <cellStyle name="20% - Accent1 3 2 3 2" xfId="1348" xr:uid="{00000000-0005-0000-0000-000065000000}"/>
    <cellStyle name="20% - Accent1 3 2 3 3" xfId="2668" xr:uid="{00000000-0005-0000-0000-000066000000}"/>
    <cellStyle name="20% - Accent1 3 2 3 4" xfId="3386" xr:uid="{00000000-0005-0000-0000-000067000000}"/>
    <cellStyle name="20% - Accent1 3 2 4" xfId="951" xr:uid="{00000000-0005-0000-0000-000068000000}"/>
    <cellStyle name="20% - Accent1 3 2 5" xfId="2076" xr:uid="{00000000-0005-0000-0000-000069000000}"/>
    <cellStyle name="20% - Accent1 3 2 6" xfId="2269" xr:uid="{00000000-0005-0000-0000-00006A000000}"/>
    <cellStyle name="20% - Accent1 3 2 7" xfId="2989" xr:uid="{00000000-0005-0000-0000-00006B000000}"/>
    <cellStyle name="20% - Accent1 3 3" xfId="276" xr:uid="{00000000-0005-0000-0000-00006C000000}"/>
    <cellStyle name="20% - Accent1 3 3 2" xfId="681" xr:uid="{00000000-0005-0000-0000-00006D000000}"/>
    <cellStyle name="20% - Accent1 3 3 2 2" xfId="1412" xr:uid="{00000000-0005-0000-0000-00006E000000}"/>
    <cellStyle name="20% - Accent1 3 3 2 3" xfId="2732" xr:uid="{00000000-0005-0000-0000-00006F000000}"/>
    <cellStyle name="20% - Accent1 3 3 2 4" xfId="3450" xr:uid="{00000000-0005-0000-0000-000070000000}"/>
    <cellStyle name="20% - Accent1 3 3 3" xfId="1015" xr:uid="{00000000-0005-0000-0000-000071000000}"/>
    <cellStyle name="20% - Accent1 3 3 4" xfId="2034" xr:uid="{00000000-0005-0000-0000-000072000000}"/>
    <cellStyle name="20% - Accent1 3 3 5" xfId="2333" xr:uid="{00000000-0005-0000-0000-000073000000}"/>
    <cellStyle name="20% - Accent1 3 3 6" xfId="3053" xr:uid="{00000000-0005-0000-0000-000074000000}"/>
    <cellStyle name="20% - Accent1 3 4" xfId="458" xr:uid="{00000000-0005-0000-0000-000075000000}"/>
    <cellStyle name="20% - Accent1 3 4 2" xfId="1196" xr:uid="{00000000-0005-0000-0000-000076000000}"/>
    <cellStyle name="20% - Accent1 3 4 3" xfId="1832" xr:uid="{00000000-0005-0000-0000-000077000000}"/>
    <cellStyle name="20% - Accent1 3 4 4" xfId="2516" xr:uid="{00000000-0005-0000-0000-000078000000}"/>
    <cellStyle name="20% - Accent1 3 4 5" xfId="3234" xr:uid="{00000000-0005-0000-0000-000079000000}"/>
    <cellStyle name="20% - Accent1 3 5" xfId="539" xr:uid="{00000000-0005-0000-0000-00007A000000}"/>
    <cellStyle name="20% - Accent1 3 5 2" xfId="1271" xr:uid="{00000000-0005-0000-0000-00007B000000}"/>
    <cellStyle name="20% - Accent1 3 5 3" xfId="2591" xr:uid="{00000000-0005-0000-0000-00007C000000}"/>
    <cellStyle name="20% - Accent1 3 5 4" xfId="3309" xr:uid="{00000000-0005-0000-0000-00007D000000}"/>
    <cellStyle name="20% - Accent1 3 6" xfId="867" xr:uid="{00000000-0005-0000-0000-00007E000000}"/>
    <cellStyle name="20% - Accent1 3 7" xfId="1958" xr:uid="{00000000-0005-0000-0000-00007F000000}"/>
    <cellStyle name="20% - Accent1 3 8" xfId="2192" xr:uid="{00000000-0005-0000-0000-000080000000}"/>
    <cellStyle name="20% - Accent1 3 9" xfId="2912" xr:uid="{00000000-0005-0000-0000-000081000000}"/>
    <cellStyle name="20% - Accent1 4" xfId="180" xr:uid="{00000000-0005-0000-0000-000082000000}"/>
    <cellStyle name="20% - Accent1 4 2" xfId="278" xr:uid="{00000000-0005-0000-0000-000083000000}"/>
    <cellStyle name="20% - Accent1 4 2 2" xfId="683" xr:uid="{00000000-0005-0000-0000-000084000000}"/>
    <cellStyle name="20% - Accent1 4 2 2 2" xfId="1414" xr:uid="{00000000-0005-0000-0000-000085000000}"/>
    <cellStyle name="20% - Accent1 4 2 2 3" xfId="2734" xr:uid="{00000000-0005-0000-0000-000086000000}"/>
    <cellStyle name="20% - Accent1 4 2 2 4" xfId="3452" xr:uid="{00000000-0005-0000-0000-000087000000}"/>
    <cellStyle name="20% - Accent1 4 2 3" xfId="1017" xr:uid="{00000000-0005-0000-0000-000088000000}"/>
    <cellStyle name="20% - Accent1 4 2 4" xfId="2335" xr:uid="{00000000-0005-0000-0000-000089000000}"/>
    <cellStyle name="20% - Accent1 4 2 5" xfId="3055" xr:uid="{00000000-0005-0000-0000-00008A000000}"/>
    <cellStyle name="20% - Accent1 4 3" xfId="585" xr:uid="{00000000-0005-0000-0000-00008B000000}"/>
    <cellStyle name="20% - Accent1 4 3 2" xfId="1317" xr:uid="{00000000-0005-0000-0000-00008C000000}"/>
    <cellStyle name="20% - Accent1 4 3 3" xfId="2637" xr:uid="{00000000-0005-0000-0000-00008D000000}"/>
    <cellStyle name="20% - Accent1 4 3 4" xfId="3355" xr:uid="{00000000-0005-0000-0000-00008E000000}"/>
    <cellStyle name="20% - Accent1 4 4" xfId="920" xr:uid="{00000000-0005-0000-0000-00008F000000}"/>
    <cellStyle name="20% - Accent1 4 5" xfId="1996" xr:uid="{00000000-0005-0000-0000-000090000000}"/>
    <cellStyle name="20% - Accent1 4 6" xfId="2238" xr:uid="{00000000-0005-0000-0000-000091000000}"/>
    <cellStyle name="20% - Accent1 4 7" xfId="2958" xr:uid="{00000000-0005-0000-0000-000092000000}"/>
    <cellStyle name="20% - Accent1 5" xfId="258" xr:uid="{00000000-0005-0000-0000-000093000000}"/>
    <cellStyle name="20% - Accent1 5 2" xfId="663" xr:uid="{00000000-0005-0000-0000-000094000000}"/>
    <cellStyle name="20% - Accent1 5 2 2" xfId="1395" xr:uid="{00000000-0005-0000-0000-000095000000}"/>
    <cellStyle name="20% - Accent1 5 2 3" xfId="2715" xr:uid="{00000000-0005-0000-0000-000096000000}"/>
    <cellStyle name="20% - Accent1 5 2 4" xfId="3433" xr:uid="{00000000-0005-0000-0000-000097000000}"/>
    <cellStyle name="20% - Accent1 5 3" xfId="998" xr:uid="{00000000-0005-0000-0000-000098000000}"/>
    <cellStyle name="20% - Accent1 5 4" xfId="2120" xr:uid="{00000000-0005-0000-0000-000099000000}"/>
    <cellStyle name="20% - Accent1 5 5" xfId="2316" xr:uid="{00000000-0005-0000-0000-00009A000000}"/>
    <cellStyle name="20% - Accent1 5 6" xfId="3036" xr:uid="{00000000-0005-0000-0000-00009B000000}"/>
    <cellStyle name="20% - Accent1 6" xfId="271" xr:uid="{00000000-0005-0000-0000-00009C000000}"/>
    <cellStyle name="20% - Accent1 6 2" xfId="676" xr:uid="{00000000-0005-0000-0000-00009D000000}"/>
    <cellStyle name="20% - Accent1 6 2 2" xfId="1407" xr:uid="{00000000-0005-0000-0000-00009E000000}"/>
    <cellStyle name="20% - Accent1 6 2 3" xfId="2727" xr:uid="{00000000-0005-0000-0000-00009F000000}"/>
    <cellStyle name="20% - Accent1 6 2 4" xfId="3445" xr:uid="{00000000-0005-0000-0000-0000A0000000}"/>
    <cellStyle name="20% - Accent1 6 3" xfId="1010" xr:uid="{00000000-0005-0000-0000-0000A1000000}"/>
    <cellStyle name="20% - Accent1 6 4" xfId="2328" xr:uid="{00000000-0005-0000-0000-0000A2000000}"/>
    <cellStyle name="20% - Accent1 6 5" xfId="3048" xr:uid="{00000000-0005-0000-0000-0000A3000000}"/>
    <cellStyle name="20% - Accent1 7" xfId="428" xr:uid="{00000000-0005-0000-0000-0000A4000000}"/>
    <cellStyle name="20% - Accent1 7 2" xfId="1166" xr:uid="{00000000-0005-0000-0000-0000A5000000}"/>
    <cellStyle name="20% - Accent1 7 3" xfId="1803" xr:uid="{00000000-0005-0000-0000-0000A6000000}"/>
    <cellStyle name="20% - Accent1 7 4" xfId="2486" xr:uid="{00000000-0005-0000-0000-0000A7000000}"/>
    <cellStyle name="20% - Accent1 7 5" xfId="3204" xr:uid="{00000000-0005-0000-0000-0000A8000000}"/>
    <cellStyle name="20% - Accent1 8" xfId="508" xr:uid="{00000000-0005-0000-0000-0000A9000000}"/>
    <cellStyle name="20% - Accent1 8 2" xfId="1240" xr:uid="{00000000-0005-0000-0000-0000AA000000}"/>
    <cellStyle name="20% - Accent1 8 3" xfId="1876" xr:uid="{00000000-0005-0000-0000-0000AB000000}"/>
    <cellStyle name="20% - Accent1 8 4" xfId="2560" xr:uid="{00000000-0005-0000-0000-0000AC000000}"/>
    <cellStyle name="20% - Accent1 8 5" xfId="3278" xr:uid="{00000000-0005-0000-0000-0000AD000000}"/>
    <cellStyle name="20% - Accent1 9" xfId="834" xr:uid="{00000000-0005-0000-0000-0000AE000000}"/>
    <cellStyle name="20% - Accent2" xfId="24" builtinId="34" customBuiltin="1"/>
    <cellStyle name="20% - Accent2 10" xfId="1726" xr:uid="{00000000-0005-0000-0000-0000B0000000}"/>
    <cellStyle name="20% - Accent2 11" xfId="1921" xr:uid="{00000000-0005-0000-0000-0000B1000000}"/>
    <cellStyle name="20% - Accent2 12" xfId="2161" xr:uid="{00000000-0005-0000-0000-0000B2000000}"/>
    <cellStyle name="20% - Accent2 13" xfId="2883" xr:uid="{00000000-0005-0000-0000-0000B3000000}"/>
    <cellStyle name="20% - Accent2 2" xfId="49" xr:uid="{00000000-0005-0000-0000-0000B4000000}"/>
    <cellStyle name="20% - Accent2 2 10" xfId="1932" xr:uid="{00000000-0005-0000-0000-0000B5000000}"/>
    <cellStyle name="20% - Accent2 2 11" xfId="2178" xr:uid="{00000000-0005-0000-0000-0000B6000000}"/>
    <cellStyle name="20% - Accent2 2 12" xfId="2898" xr:uid="{00000000-0005-0000-0000-0000B7000000}"/>
    <cellStyle name="20% - Accent2 2 2" xfId="93" xr:uid="{00000000-0005-0000-0000-0000B8000000}"/>
    <cellStyle name="20% - Accent2 2 2 2" xfId="228" xr:uid="{00000000-0005-0000-0000-0000B9000000}"/>
    <cellStyle name="20% - Accent2 2 2 2 2" xfId="282" xr:uid="{00000000-0005-0000-0000-0000BA000000}"/>
    <cellStyle name="20% - Accent2 2 2 2 2 2" xfId="687" xr:uid="{00000000-0005-0000-0000-0000BB000000}"/>
    <cellStyle name="20% - Accent2 2 2 2 2 2 2" xfId="1418" xr:uid="{00000000-0005-0000-0000-0000BC000000}"/>
    <cellStyle name="20% - Accent2 2 2 2 2 2 3" xfId="2738" xr:uid="{00000000-0005-0000-0000-0000BD000000}"/>
    <cellStyle name="20% - Accent2 2 2 2 2 2 4" xfId="3456" xr:uid="{00000000-0005-0000-0000-0000BE000000}"/>
    <cellStyle name="20% - Accent2 2 2 2 2 3" xfId="1021" xr:uid="{00000000-0005-0000-0000-0000BF000000}"/>
    <cellStyle name="20% - Accent2 2 2 2 2 4" xfId="2339" xr:uid="{00000000-0005-0000-0000-0000C0000000}"/>
    <cellStyle name="20% - Accent2 2 2 2 2 5" xfId="3059" xr:uid="{00000000-0005-0000-0000-0000C1000000}"/>
    <cellStyle name="20% - Accent2 2 2 2 3" xfId="633" xr:uid="{00000000-0005-0000-0000-0000C2000000}"/>
    <cellStyle name="20% - Accent2 2 2 2 3 2" xfId="1365" xr:uid="{00000000-0005-0000-0000-0000C3000000}"/>
    <cellStyle name="20% - Accent2 2 2 2 3 3" xfId="2685" xr:uid="{00000000-0005-0000-0000-0000C4000000}"/>
    <cellStyle name="20% - Accent2 2 2 2 3 4" xfId="3403" xr:uid="{00000000-0005-0000-0000-0000C5000000}"/>
    <cellStyle name="20% - Accent2 2 2 2 4" xfId="968" xr:uid="{00000000-0005-0000-0000-0000C6000000}"/>
    <cellStyle name="20% - Accent2 2 2 2 5" xfId="2092" xr:uid="{00000000-0005-0000-0000-0000C7000000}"/>
    <cellStyle name="20% - Accent2 2 2 2 6" xfId="2286" xr:uid="{00000000-0005-0000-0000-0000C8000000}"/>
    <cellStyle name="20% - Accent2 2 2 2 7" xfId="3006" xr:uid="{00000000-0005-0000-0000-0000C9000000}"/>
    <cellStyle name="20% - Accent2 2 2 3" xfId="281" xr:uid="{00000000-0005-0000-0000-0000CA000000}"/>
    <cellStyle name="20% - Accent2 2 2 3 2" xfId="686" xr:uid="{00000000-0005-0000-0000-0000CB000000}"/>
    <cellStyle name="20% - Accent2 2 2 3 2 2" xfId="1417" xr:uid="{00000000-0005-0000-0000-0000CC000000}"/>
    <cellStyle name="20% - Accent2 2 2 3 2 3" xfId="2737" xr:uid="{00000000-0005-0000-0000-0000CD000000}"/>
    <cellStyle name="20% - Accent2 2 2 3 2 4" xfId="3455" xr:uid="{00000000-0005-0000-0000-0000CE000000}"/>
    <cellStyle name="20% - Accent2 2 2 3 3" xfId="1020" xr:uid="{00000000-0005-0000-0000-0000CF000000}"/>
    <cellStyle name="20% - Accent2 2 2 3 4" xfId="2049" xr:uid="{00000000-0005-0000-0000-0000D0000000}"/>
    <cellStyle name="20% - Accent2 2 2 3 5" xfId="2338" xr:uid="{00000000-0005-0000-0000-0000D1000000}"/>
    <cellStyle name="20% - Accent2 2 2 3 6" xfId="3058" xr:uid="{00000000-0005-0000-0000-0000D2000000}"/>
    <cellStyle name="20% - Accent2 2 2 4" xfId="475" xr:uid="{00000000-0005-0000-0000-0000D3000000}"/>
    <cellStyle name="20% - Accent2 2 2 4 2" xfId="1213" xr:uid="{00000000-0005-0000-0000-0000D4000000}"/>
    <cellStyle name="20% - Accent2 2 2 4 3" xfId="1849" xr:uid="{00000000-0005-0000-0000-0000D5000000}"/>
    <cellStyle name="20% - Accent2 2 2 4 4" xfId="2533" xr:uid="{00000000-0005-0000-0000-0000D6000000}"/>
    <cellStyle name="20% - Accent2 2 2 4 5" xfId="3251" xr:uid="{00000000-0005-0000-0000-0000D7000000}"/>
    <cellStyle name="20% - Accent2 2 2 5" xfId="556" xr:uid="{00000000-0005-0000-0000-0000D8000000}"/>
    <cellStyle name="20% - Accent2 2 2 5 2" xfId="1288" xr:uid="{00000000-0005-0000-0000-0000D9000000}"/>
    <cellStyle name="20% - Accent2 2 2 5 3" xfId="2608" xr:uid="{00000000-0005-0000-0000-0000DA000000}"/>
    <cellStyle name="20% - Accent2 2 2 5 4" xfId="3326" xr:uid="{00000000-0005-0000-0000-0000DB000000}"/>
    <cellStyle name="20% - Accent2 2 2 6" xfId="884" xr:uid="{00000000-0005-0000-0000-0000DC000000}"/>
    <cellStyle name="20% - Accent2 2 2 7" xfId="1971" xr:uid="{00000000-0005-0000-0000-0000DD000000}"/>
    <cellStyle name="20% - Accent2 2 2 8" xfId="2209" xr:uid="{00000000-0005-0000-0000-0000DE000000}"/>
    <cellStyle name="20% - Accent2 2 2 9" xfId="2929" xr:uid="{00000000-0005-0000-0000-0000DF000000}"/>
    <cellStyle name="20% - Accent2 2 3" xfId="197" xr:uid="{00000000-0005-0000-0000-0000E0000000}"/>
    <cellStyle name="20% - Accent2 2 3 2" xfId="283" xr:uid="{00000000-0005-0000-0000-0000E1000000}"/>
    <cellStyle name="20% - Accent2 2 3 2 2" xfId="688" xr:uid="{00000000-0005-0000-0000-0000E2000000}"/>
    <cellStyle name="20% - Accent2 2 3 2 2 2" xfId="1419" xr:uid="{00000000-0005-0000-0000-0000E3000000}"/>
    <cellStyle name="20% - Accent2 2 3 2 2 3" xfId="2739" xr:uid="{00000000-0005-0000-0000-0000E4000000}"/>
    <cellStyle name="20% - Accent2 2 3 2 2 4" xfId="3457" xr:uid="{00000000-0005-0000-0000-0000E5000000}"/>
    <cellStyle name="20% - Accent2 2 3 2 3" xfId="1022" xr:uid="{00000000-0005-0000-0000-0000E6000000}"/>
    <cellStyle name="20% - Accent2 2 3 2 4" xfId="2340" xr:uid="{00000000-0005-0000-0000-0000E7000000}"/>
    <cellStyle name="20% - Accent2 2 3 2 5" xfId="3060" xr:uid="{00000000-0005-0000-0000-0000E8000000}"/>
    <cellStyle name="20% - Accent2 2 3 3" xfId="602" xr:uid="{00000000-0005-0000-0000-0000E9000000}"/>
    <cellStyle name="20% - Accent2 2 3 3 2" xfId="1334" xr:uid="{00000000-0005-0000-0000-0000EA000000}"/>
    <cellStyle name="20% - Accent2 2 3 3 3" xfId="2654" xr:uid="{00000000-0005-0000-0000-0000EB000000}"/>
    <cellStyle name="20% - Accent2 2 3 3 4" xfId="3372" xr:uid="{00000000-0005-0000-0000-0000EC000000}"/>
    <cellStyle name="20% - Accent2 2 3 4" xfId="937" xr:uid="{00000000-0005-0000-0000-0000ED000000}"/>
    <cellStyle name="20% - Accent2 2 3 5" xfId="2009" xr:uid="{00000000-0005-0000-0000-0000EE000000}"/>
    <cellStyle name="20% - Accent2 2 3 6" xfId="2255" xr:uid="{00000000-0005-0000-0000-0000EF000000}"/>
    <cellStyle name="20% - Accent2 2 3 7" xfId="2975" xr:uid="{00000000-0005-0000-0000-0000F0000000}"/>
    <cellStyle name="20% - Accent2 2 4" xfId="280" xr:uid="{00000000-0005-0000-0000-0000F1000000}"/>
    <cellStyle name="20% - Accent2 2 4 2" xfId="685" xr:uid="{00000000-0005-0000-0000-0000F2000000}"/>
    <cellStyle name="20% - Accent2 2 4 2 2" xfId="1416" xr:uid="{00000000-0005-0000-0000-0000F3000000}"/>
    <cellStyle name="20% - Accent2 2 4 2 3" xfId="2736" xr:uid="{00000000-0005-0000-0000-0000F4000000}"/>
    <cellStyle name="20% - Accent2 2 4 2 4" xfId="3454" xr:uid="{00000000-0005-0000-0000-0000F5000000}"/>
    <cellStyle name="20% - Accent2 2 4 3" xfId="1019" xr:uid="{00000000-0005-0000-0000-0000F6000000}"/>
    <cellStyle name="20% - Accent2 2 4 4" xfId="2133" xr:uid="{00000000-0005-0000-0000-0000F7000000}"/>
    <cellStyle name="20% - Accent2 2 4 5" xfId="2337" xr:uid="{00000000-0005-0000-0000-0000F8000000}"/>
    <cellStyle name="20% - Accent2 2 4 6" xfId="3057" xr:uid="{00000000-0005-0000-0000-0000F9000000}"/>
    <cellStyle name="20% - Accent2 2 5" xfId="445" xr:uid="{00000000-0005-0000-0000-0000FA000000}"/>
    <cellStyle name="20% - Accent2 2 5 2" xfId="1183" xr:uid="{00000000-0005-0000-0000-0000FB000000}"/>
    <cellStyle name="20% - Accent2 2 5 3" xfId="1779" xr:uid="{00000000-0005-0000-0000-0000FC000000}"/>
    <cellStyle name="20% - Accent2 2 5 4" xfId="2503" xr:uid="{00000000-0005-0000-0000-0000FD000000}"/>
    <cellStyle name="20% - Accent2 2 5 5" xfId="3221" xr:uid="{00000000-0005-0000-0000-0000FE000000}"/>
    <cellStyle name="20% - Accent2 2 6" xfId="525" xr:uid="{00000000-0005-0000-0000-0000FF000000}"/>
    <cellStyle name="20% - Accent2 2 6 2" xfId="1257" xr:uid="{00000000-0005-0000-0000-000000010000}"/>
    <cellStyle name="20% - Accent2 2 6 3" xfId="1819" xr:uid="{00000000-0005-0000-0000-000001010000}"/>
    <cellStyle name="20% - Accent2 2 6 4" xfId="2577" xr:uid="{00000000-0005-0000-0000-000002010000}"/>
    <cellStyle name="20% - Accent2 2 6 5" xfId="3295" xr:uid="{00000000-0005-0000-0000-000003010000}"/>
    <cellStyle name="20% - Accent2 2 7" xfId="852" xr:uid="{00000000-0005-0000-0000-000004010000}"/>
    <cellStyle name="20% - Accent2 2 7 2" xfId="1700" xr:uid="{00000000-0005-0000-0000-000005010000}"/>
    <cellStyle name="20% - Accent2 2 7 3" xfId="1889" xr:uid="{00000000-0005-0000-0000-000006010000}"/>
    <cellStyle name="20% - Accent2 2 8" xfId="1658" xr:uid="{00000000-0005-0000-0000-000007010000}"/>
    <cellStyle name="20% - Accent2 2 9" xfId="1738" xr:uid="{00000000-0005-0000-0000-000008010000}"/>
    <cellStyle name="20% - Accent2 3" xfId="78" xr:uid="{00000000-0005-0000-0000-000009010000}"/>
    <cellStyle name="20% - Accent2 3 2" xfId="213" xr:uid="{00000000-0005-0000-0000-00000A010000}"/>
    <cellStyle name="20% - Accent2 3 2 2" xfId="285" xr:uid="{00000000-0005-0000-0000-00000B010000}"/>
    <cellStyle name="20% - Accent2 3 2 2 2" xfId="690" xr:uid="{00000000-0005-0000-0000-00000C010000}"/>
    <cellStyle name="20% - Accent2 3 2 2 2 2" xfId="1421" xr:uid="{00000000-0005-0000-0000-00000D010000}"/>
    <cellStyle name="20% - Accent2 3 2 2 2 3" xfId="2741" xr:uid="{00000000-0005-0000-0000-00000E010000}"/>
    <cellStyle name="20% - Accent2 3 2 2 2 4" xfId="3459" xr:uid="{00000000-0005-0000-0000-00000F010000}"/>
    <cellStyle name="20% - Accent2 3 2 2 3" xfId="1024" xr:uid="{00000000-0005-0000-0000-000010010000}"/>
    <cellStyle name="20% - Accent2 3 2 2 4" xfId="2342" xr:uid="{00000000-0005-0000-0000-000011010000}"/>
    <cellStyle name="20% - Accent2 3 2 2 5" xfId="3062" xr:uid="{00000000-0005-0000-0000-000012010000}"/>
    <cellStyle name="20% - Accent2 3 2 3" xfId="618" xr:uid="{00000000-0005-0000-0000-000013010000}"/>
    <cellStyle name="20% - Accent2 3 2 3 2" xfId="1350" xr:uid="{00000000-0005-0000-0000-000014010000}"/>
    <cellStyle name="20% - Accent2 3 2 3 3" xfId="2670" xr:uid="{00000000-0005-0000-0000-000015010000}"/>
    <cellStyle name="20% - Accent2 3 2 3 4" xfId="3388" xr:uid="{00000000-0005-0000-0000-000016010000}"/>
    <cellStyle name="20% - Accent2 3 2 4" xfId="953" xr:uid="{00000000-0005-0000-0000-000017010000}"/>
    <cellStyle name="20% - Accent2 3 2 5" xfId="2078" xr:uid="{00000000-0005-0000-0000-000018010000}"/>
    <cellStyle name="20% - Accent2 3 2 6" xfId="2271" xr:uid="{00000000-0005-0000-0000-000019010000}"/>
    <cellStyle name="20% - Accent2 3 2 7" xfId="2991" xr:uid="{00000000-0005-0000-0000-00001A010000}"/>
    <cellStyle name="20% - Accent2 3 3" xfId="284" xr:uid="{00000000-0005-0000-0000-00001B010000}"/>
    <cellStyle name="20% - Accent2 3 3 2" xfId="689" xr:uid="{00000000-0005-0000-0000-00001C010000}"/>
    <cellStyle name="20% - Accent2 3 3 2 2" xfId="1420" xr:uid="{00000000-0005-0000-0000-00001D010000}"/>
    <cellStyle name="20% - Accent2 3 3 2 3" xfId="2740" xr:uid="{00000000-0005-0000-0000-00001E010000}"/>
    <cellStyle name="20% - Accent2 3 3 2 4" xfId="3458" xr:uid="{00000000-0005-0000-0000-00001F010000}"/>
    <cellStyle name="20% - Accent2 3 3 3" xfId="1023" xr:uid="{00000000-0005-0000-0000-000020010000}"/>
    <cellStyle name="20% - Accent2 3 3 4" xfId="2036" xr:uid="{00000000-0005-0000-0000-000021010000}"/>
    <cellStyle name="20% - Accent2 3 3 5" xfId="2341" xr:uid="{00000000-0005-0000-0000-000022010000}"/>
    <cellStyle name="20% - Accent2 3 3 6" xfId="3061" xr:uid="{00000000-0005-0000-0000-000023010000}"/>
    <cellStyle name="20% - Accent2 3 4" xfId="460" xr:uid="{00000000-0005-0000-0000-000024010000}"/>
    <cellStyle name="20% - Accent2 3 4 2" xfId="1198" xr:uid="{00000000-0005-0000-0000-000025010000}"/>
    <cellStyle name="20% - Accent2 3 4 3" xfId="1834" xr:uid="{00000000-0005-0000-0000-000026010000}"/>
    <cellStyle name="20% - Accent2 3 4 4" xfId="2518" xr:uid="{00000000-0005-0000-0000-000027010000}"/>
    <cellStyle name="20% - Accent2 3 4 5" xfId="3236" xr:uid="{00000000-0005-0000-0000-000028010000}"/>
    <cellStyle name="20% - Accent2 3 5" xfId="541" xr:uid="{00000000-0005-0000-0000-000029010000}"/>
    <cellStyle name="20% - Accent2 3 5 2" xfId="1273" xr:uid="{00000000-0005-0000-0000-00002A010000}"/>
    <cellStyle name="20% - Accent2 3 5 3" xfId="2593" xr:uid="{00000000-0005-0000-0000-00002B010000}"/>
    <cellStyle name="20% - Accent2 3 5 4" xfId="3311" xr:uid="{00000000-0005-0000-0000-00002C010000}"/>
    <cellStyle name="20% - Accent2 3 6" xfId="869" xr:uid="{00000000-0005-0000-0000-00002D010000}"/>
    <cellStyle name="20% - Accent2 3 7" xfId="1960" xr:uid="{00000000-0005-0000-0000-00002E010000}"/>
    <cellStyle name="20% - Accent2 3 8" xfId="2194" xr:uid="{00000000-0005-0000-0000-00002F010000}"/>
    <cellStyle name="20% - Accent2 3 9" xfId="2914" xr:uid="{00000000-0005-0000-0000-000030010000}"/>
    <cellStyle name="20% - Accent2 4" xfId="182" xr:uid="{00000000-0005-0000-0000-000031010000}"/>
    <cellStyle name="20% - Accent2 4 2" xfId="286" xr:uid="{00000000-0005-0000-0000-000032010000}"/>
    <cellStyle name="20% - Accent2 4 2 2" xfId="691" xr:uid="{00000000-0005-0000-0000-000033010000}"/>
    <cellStyle name="20% - Accent2 4 2 2 2" xfId="1422" xr:uid="{00000000-0005-0000-0000-000034010000}"/>
    <cellStyle name="20% - Accent2 4 2 2 3" xfId="2742" xr:uid="{00000000-0005-0000-0000-000035010000}"/>
    <cellStyle name="20% - Accent2 4 2 2 4" xfId="3460" xr:uid="{00000000-0005-0000-0000-000036010000}"/>
    <cellStyle name="20% - Accent2 4 2 3" xfId="1025" xr:uid="{00000000-0005-0000-0000-000037010000}"/>
    <cellStyle name="20% - Accent2 4 2 4" xfId="2343" xr:uid="{00000000-0005-0000-0000-000038010000}"/>
    <cellStyle name="20% - Accent2 4 2 5" xfId="3063" xr:uid="{00000000-0005-0000-0000-000039010000}"/>
    <cellStyle name="20% - Accent2 4 3" xfId="587" xr:uid="{00000000-0005-0000-0000-00003A010000}"/>
    <cellStyle name="20% - Accent2 4 3 2" xfId="1319" xr:uid="{00000000-0005-0000-0000-00003B010000}"/>
    <cellStyle name="20% - Accent2 4 3 3" xfId="2639" xr:uid="{00000000-0005-0000-0000-00003C010000}"/>
    <cellStyle name="20% - Accent2 4 3 4" xfId="3357" xr:uid="{00000000-0005-0000-0000-00003D010000}"/>
    <cellStyle name="20% - Accent2 4 4" xfId="922" xr:uid="{00000000-0005-0000-0000-00003E010000}"/>
    <cellStyle name="20% - Accent2 4 5" xfId="1998" xr:uid="{00000000-0005-0000-0000-00003F010000}"/>
    <cellStyle name="20% - Accent2 4 6" xfId="2240" xr:uid="{00000000-0005-0000-0000-000040010000}"/>
    <cellStyle name="20% - Accent2 4 7" xfId="2960" xr:uid="{00000000-0005-0000-0000-000041010000}"/>
    <cellStyle name="20% - Accent2 5" xfId="260" xr:uid="{00000000-0005-0000-0000-000042010000}"/>
    <cellStyle name="20% - Accent2 5 2" xfId="665" xr:uid="{00000000-0005-0000-0000-000043010000}"/>
    <cellStyle name="20% - Accent2 5 2 2" xfId="1397" xr:uid="{00000000-0005-0000-0000-000044010000}"/>
    <cellStyle name="20% - Accent2 5 2 3" xfId="2717" xr:uid="{00000000-0005-0000-0000-000045010000}"/>
    <cellStyle name="20% - Accent2 5 2 4" xfId="3435" xr:uid="{00000000-0005-0000-0000-000046010000}"/>
    <cellStyle name="20% - Accent2 5 3" xfId="1000" xr:uid="{00000000-0005-0000-0000-000047010000}"/>
    <cellStyle name="20% - Accent2 5 4" xfId="2122" xr:uid="{00000000-0005-0000-0000-000048010000}"/>
    <cellStyle name="20% - Accent2 5 5" xfId="2318" xr:uid="{00000000-0005-0000-0000-000049010000}"/>
    <cellStyle name="20% - Accent2 5 6" xfId="3038" xr:uid="{00000000-0005-0000-0000-00004A010000}"/>
    <cellStyle name="20% - Accent2 6" xfId="279" xr:uid="{00000000-0005-0000-0000-00004B010000}"/>
    <cellStyle name="20% - Accent2 6 2" xfId="684" xr:uid="{00000000-0005-0000-0000-00004C010000}"/>
    <cellStyle name="20% - Accent2 6 2 2" xfId="1415" xr:uid="{00000000-0005-0000-0000-00004D010000}"/>
    <cellStyle name="20% - Accent2 6 2 3" xfId="2735" xr:uid="{00000000-0005-0000-0000-00004E010000}"/>
    <cellStyle name="20% - Accent2 6 2 4" xfId="3453" xr:uid="{00000000-0005-0000-0000-00004F010000}"/>
    <cellStyle name="20% - Accent2 6 3" xfId="1018" xr:uid="{00000000-0005-0000-0000-000050010000}"/>
    <cellStyle name="20% - Accent2 6 4" xfId="2336" xr:uid="{00000000-0005-0000-0000-000051010000}"/>
    <cellStyle name="20% - Accent2 6 5" xfId="3056" xr:uid="{00000000-0005-0000-0000-000052010000}"/>
    <cellStyle name="20% - Accent2 7" xfId="430" xr:uid="{00000000-0005-0000-0000-000053010000}"/>
    <cellStyle name="20% - Accent2 7 2" xfId="1168" xr:uid="{00000000-0005-0000-0000-000054010000}"/>
    <cellStyle name="20% - Accent2 7 3" xfId="1805" xr:uid="{00000000-0005-0000-0000-000055010000}"/>
    <cellStyle name="20% - Accent2 7 4" xfId="2488" xr:uid="{00000000-0005-0000-0000-000056010000}"/>
    <cellStyle name="20% - Accent2 7 5" xfId="3206" xr:uid="{00000000-0005-0000-0000-000057010000}"/>
    <cellStyle name="20% - Accent2 8" xfId="510" xr:uid="{00000000-0005-0000-0000-000058010000}"/>
    <cellStyle name="20% - Accent2 8 2" xfId="1242" xr:uid="{00000000-0005-0000-0000-000059010000}"/>
    <cellStyle name="20% - Accent2 8 3" xfId="1878" xr:uid="{00000000-0005-0000-0000-00005A010000}"/>
    <cellStyle name="20% - Accent2 8 4" xfId="2562" xr:uid="{00000000-0005-0000-0000-00005B010000}"/>
    <cellStyle name="20% - Accent2 8 5" xfId="3280" xr:uid="{00000000-0005-0000-0000-00005C010000}"/>
    <cellStyle name="20% - Accent2 9" xfId="836" xr:uid="{00000000-0005-0000-0000-00005D010000}"/>
    <cellStyle name="20% - Accent3" xfId="28" builtinId="38" customBuiltin="1"/>
    <cellStyle name="20% - Accent3 10" xfId="1728" xr:uid="{00000000-0005-0000-0000-00005F010000}"/>
    <cellStyle name="20% - Accent3 11" xfId="1923" xr:uid="{00000000-0005-0000-0000-000060010000}"/>
    <cellStyle name="20% - Accent3 12" xfId="2163" xr:uid="{00000000-0005-0000-0000-000061010000}"/>
    <cellStyle name="20% - Accent3 13" xfId="2885" xr:uid="{00000000-0005-0000-0000-000062010000}"/>
    <cellStyle name="20% - Accent3 2" xfId="51" xr:uid="{00000000-0005-0000-0000-000063010000}"/>
    <cellStyle name="20% - Accent3 2 10" xfId="1933" xr:uid="{00000000-0005-0000-0000-000064010000}"/>
    <cellStyle name="20% - Accent3 2 11" xfId="2180" xr:uid="{00000000-0005-0000-0000-000065010000}"/>
    <cellStyle name="20% - Accent3 2 12" xfId="2900" xr:uid="{00000000-0005-0000-0000-000066010000}"/>
    <cellStyle name="20% - Accent3 2 2" xfId="95" xr:uid="{00000000-0005-0000-0000-000067010000}"/>
    <cellStyle name="20% - Accent3 2 2 2" xfId="230" xr:uid="{00000000-0005-0000-0000-000068010000}"/>
    <cellStyle name="20% - Accent3 2 2 2 2" xfId="290" xr:uid="{00000000-0005-0000-0000-000069010000}"/>
    <cellStyle name="20% - Accent3 2 2 2 2 2" xfId="695" xr:uid="{00000000-0005-0000-0000-00006A010000}"/>
    <cellStyle name="20% - Accent3 2 2 2 2 2 2" xfId="1426" xr:uid="{00000000-0005-0000-0000-00006B010000}"/>
    <cellStyle name="20% - Accent3 2 2 2 2 2 3" xfId="2746" xr:uid="{00000000-0005-0000-0000-00006C010000}"/>
    <cellStyle name="20% - Accent3 2 2 2 2 2 4" xfId="3464" xr:uid="{00000000-0005-0000-0000-00006D010000}"/>
    <cellStyle name="20% - Accent3 2 2 2 2 3" xfId="1029" xr:uid="{00000000-0005-0000-0000-00006E010000}"/>
    <cellStyle name="20% - Accent3 2 2 2 2 4" xfId="2347" xr:uid="{00000000-0005-0000-0000-00006F010000}"/>
    <cellStyle name="20% - Accent3 2 2 2 2 5" xfId="3067" xr:uid="{00000000-0005-0000-0000-000070010000}"/>
    <cellStyle name="20% - Accent3 2 2 2 3" xfId="635" xr:uid="{00000000-0005-0000-0000-000071010000}"/>
    <cellStyle name="20% - Accent3 2 2 2 3 2" xfId="1367" xr:uid="{00000000-0005-0000-0000-000072010000}"/>
    <cellStyle name="20% - Accent3 2 2 2 3 3" xfId="2687" xr:uid="{00000000-0005-0000-0000-000073010000}"/>
    <cellStyle name="20% - Accent3 2 2 2 3 4" xfId="3405" xr:uid="{00000000-0005-0000-0000-000074010000}"/>
    <cellStyle name="20% - Accent3 2 2 2 4" xfId="970" xr:uid="{00000000-0005-0000-0000-000075010000}"/>
    <cellStyle name="20% - Accent3 2 2 2 5" xfId="2094" xr:uid="{00000000-0005-0000-0000-000076010000}"/>
    <cellStyle name="20% - Accent3 2 2 2 6" xfId="2288" xr:uid="{00000000-0005-0000-0000-000077010000}"/>
    <cellStyle name="20% - Accent3 2 2 2 7" xfId="3008" xr:uid="{00000000-0005-0000-0000-000078010000}"/>
    <cellStyle name="20% - Accent3 2 2 3" xfId="289" xr:uid="{00000000-0005-0000-0000-000079010000}"/>
    <cellStyle name="20% - Accent3 2 2 3 2" xfId="694" xr:uid="{00000000-0005-0000-0000-00007A010000}"/>
    <cellStyle name="20% - Accent3 2 2 3 2 2" xfId="1425" xr:uid="{00000000-0005-0000-0000-00007B010000}"/>
    <cellStyle name="20% - Accent3 2 2 3 2 3" xfId="2745" xr:uid="{00000000-0005-0000-0000-00007C010000}"/>
    <cellStyle name="20% - Accent3 2 2 3 2 4" xfId="3463" xr:uid="{00000000-0005-0000-0000-00007D010000}"/>
    <cellStyle name="20% - Accent3 2 2 3 3" xfId="1028" xr:uid="{00000000-0005-0000-0000-00007E010000}"/>
    <cellStyle name="20% - Accent3 2 2 3 4" xfId="2051" xr:uid="{00000000-0005-0000-0000-00007F010000}"/>
    <cellStyle name="20% - Accent3 2 2 3 5" xfId="2346" xr:uid="{00000000-0005-0000-0000-000080010000}"/>
    <cellStyle name="20% - Accent3 2 2 3 6" xfId="3066" xr:uid="{00000000-0005-0000-0000-000081010000}"/>
    <cellStyle name="20% - Accent3 2 2 4" xfId="477" xr:uid="{00000000-0005-0000-0000-000082010000}"/>
    <cellStyle name="20% - Accent3 2 2 4 2" xfId="1215" xr:uid="{00000000-0005-0000-0000-000083010000}"/>
    <cellStyle name="20% - Accent3 2 2 4 3" xfId="1851" xr:uid="{00000000-0005-0000-0000-000084010000}"/>
    <cellStyle name="20% - Accent3 2 2 4 4" xfId="2535" xr:uid="{00000000-0005-0000-0000-000085010000}"/>
    <cellStyle name="20% - Accent3 2 2 4 5" xfId="3253" xr:uid="{00000000-0005-0000-0000-000086010000}"/>
    <cellStyle name="20% - Accent3 2 2 5" xfId="558" xr:uid="{00000000-0005-0000-0000-000087010000}"/>
    <cellStyle name="20% - Accent3 2 2 5 2" xfId="1290" xr:uid="{00000000-0005-0000-0000-000088010000}"/>
    <cellStyle name="20% - Accent3 2 2 5 3" xfId="2610" xr:uid="{00000000-0005-0000-0000-000089010000}"/>
    <cellStyle name="20% - Accent3 2 2 5 4" xfId="3328" xr:uid="{00000000-0005-0000-0000-00008A010000}"/>
    <cellStyle name="20% - Accent3 2 2 6" xfId="886" xr:uid="{00000000-0005-0000-0000-00008B010000}"/>
    <cellStyle name="20% - Accent3 2 2 7" xfId="1972" xr:uid="{00000000-0005-0000-0000-00008C010000}"/>
    <cellStyle name="20% - Accent3 2 2 8" xfId="2211" xr:uid="{00000000-0005-0000-0000-00008D010000}"/>
    <cellStyle name="20% - Accent3 2 2 9" xfId="2931" xr:uid="{00000000-0005-0000-0000-00008E010000}"/>
    <cellStyle name="20% - Accent3 2 3" xfId="199" xr:uid="{00000000-0005-0000-0000-00008F010000}"/>
    <cellStyle name="20% - Accent3 2 3 2" xfId="291" xr:uid="{00000000-0005-0000-0000-000090010000}"/>
    <cellStyle name="20% - Accent3 2 3 2 2" xfId="696" xr:uid="{00000000-0005-0000-0000-000091010000}"/>
    <cellStyle name="20% - Accent3 2 3 2 2 2" xfId="1427" xr:uid="{00000000-0005-0000-0000-000092010000}"/>
    <cellStyle name="20% - Accent3 2 3 2 2 3" xfId="2747" xr:uid="{00000000-0005-0000-0000-000093010000}"/>
    <cellStyle name="20% - Accent3 2 3 2 2 4" xfId="3465" xr:uid="{00000000-0005-0000-0000-000094010000}"/>
    <cellStyle name="20% - Accent3 2 3 2 3" xfId="1030" xr:uid="{00000000-0005-0000-0000-000095010000}"/>
    <cellStyle name="20% - Accent3 2 3 2 4" xfId="2348" xr:uid="{00000000-0005-0000-0000-000096010000}"/>
    <cellStyle name="20% - Accent3 2 3 2 5" xfId="3068" xr:uid="{00000000-0005-0000-0000-000097010000}"/>
    <cellStyle name="20% - Accent3 2 3 3" xfId="604" xr:uid="{00000000-0005-0000-0000-000098010000}"/>
    <cellStyle name="20% - Accent3 2 3 3 2" xfId="1336" xr:uid="{00000000-0005-0000-0000-000099010000}"/>
    <cellStyle name="20% - Accent3 2 3 3 3" xfId="2656" xr:uid="{00000000-0005-0000-0000-00009A010000}"/>
    <cellStyle name="20% - Accent3 2 3 3 4" xfId="3374" xr:uid="{00000000-0005-0000-0000-00009B010000}"/>
    <cellStyle name="20% - Accent3 2 3 4" xfId="939" xr:uid="{00000000-0005-0000-0000-00009C010000}"/>
    <cellStyle name="20% - Accent3 2 3 5" xfId="2010" xr:uid="{00000000-0005-0000-0000-00009D010000}"/>
    <cellStyle name="20% - Accent3 2 3 6" xfId="2257" xr:uid="{00000000-0005-0000-0000-00009E010000}"/>
    <cellStyle name="20% - Accent3 2 3 7" xfId="2977" xr:uid="{00000000-0005-0000-0000-00009F010000}"/>
    <cellStyle name="20% - Accent3 2 4" xfId="288" xr:uid="{00000000-0005-0000-0000-0000A0010000}"/>
    <cellStyle name="20% - Accent3 2 4 2" xfId="693" xr:uid="{00000000-0005-0000-0000-0000A1010000}"/>
    <cellStyle name="20% - Accent3 2 4 2 2" xfId="1424" xr:uid="{00000000-0005-0000-0000-0000A2010000}"/>
    <cellStyle name="20% - Accent3 2 4 2 3" xfId="2744" xr:uid="{00000000-0005-0000-0000-0000A3010000}"/>
    <cellStyle name="20% - Accent3 2 4 2 4" xfId="3462" xr:uid="{00000000-0005-0000-0000-0000A4010000}"/>
    <cellStyle name="20% - Accent3 2 4 3" xfId="1027" xr:uid="{00000000-0005-0000-0000-0000A5010000}"/>
    <cellStyle name="20% - Accent3 2 4 4" xfId="2134" xr:uid="{00000000-0005-0000-0000-0000A6010000}"/>
    <cellStyle name="20% - Accent3 2 4 5" xfId="2345" xr:uid="{00000000-0005-0000-0000-0000A7010000}"/>
    <cellStyle name="20% - Accent3 2 4 6" xfId="3065" xr:uid="{00000000-0005-0000-0000-0000A8010000}"/>
    <cellStyle name="20% - Accent3 2 5" xfId="447" xr:uid="{00000000-0005-0000-0000-0000A9010000}"/>
    <cellStyle name="20% - Accent3 2 5 2" xfId="1185" xr:uid="{00000000-0005-0000-0000-0000AA010000}"/>
    <cellStyle name="20% - Accent3 2 5 3" xfId="1780" xr:uid="{00000000-0005-0000-0000-0000AB010000}"/>
    <cellStyle name="20% - Accent3 2 5 4" xfId="2505" xr:uid="{00000000-0005-0000-0000-0000AC010000}"/>
    <cellStyle name="20% - Accent3 2 5 5" xfId="3223" xr:uid="{00000000-0005-0000-0000-0000AD010000}"/>
    <cellStyle name="20% - Accent3 2 6" xfId="527" xr:uid="{00000000-0005-0000-0000-0000AE010000}"/>
    <cellStyle name="20% - Accent3 2 6 2" xfId="1259" xr:uid="{00000000-0005-0000-0000-0000AF010000}"/>
    <cellStyle name="20% - Accent3 2 6 3" xfId="1821" xr:uid="{00000000-0005-0000-0000-0000B0010000}"/>
    <cellStyle name="20% - Accent3 2 6 4" xfId="2579" xr:uid="{00000000-0005-0000-0000-0000B1010000}"/>
    <cellStyle name="20% - Accent3 2 6 5" xfId="3297" xr:uid="{00000000-0005-0000-0000-0000B2010000}"/>
    <cellStyle name="20% - Accent3 2 7" xfId="854" xr:uid="{00000000-0005-0000-0000-0000B3010000}"/>
    <cellStyle name="20% - Accent3 2 7 2" xfId="1701" xr:uid="{00000000-0005-0000-0000-0000B4010000}"/>
    <cellStyle name="20% - Accent3 2 7 3" xfId="1890" xr:uid="{00000000-0005-0000-0000-0000B5010000}"/>
    <cellStyle name="20% - Accent3 2 8" xfId="1648" xr:uid="{00000000-0005-0000-0000-0000B6010000}"/>
    <cellStyle name="20% - Accent3 2 9" xfId="1739" xr:uid="{00000000-0005-0000-0000-0000B7010000}"/>
    <cellStyle name="20% - Accent3 3" xfId="80" xr:uid="{00000000-0005-0000-0000-0000B8010000}"/>
    <cellStyle name="20% - Accent3 3 2" xfId="215" xr:uid="{00000000-0005-0000-0000-0000B9010000}"/>
    <cellStyle name="20% - Accent3 3 2 2" xfId="293" xr:uid="{00000000-0005-0000-0000-0000BA010000}"/>
    <cellStyle name="20% - Accent3 3 2 2 2" xfId="698" xr:uid="{00000000-0005-0000-0000-0000BB010000}"/>
    <cellStyle name="20% - Accent3 3 2 2 2 2" xfId="1429" xr:uid="{00000000-0005-0000-0000-0000BC010000}"/>
    <cellStyle name="20% - Accent3 3 2 2 2 3" xfId="2749" xr:uid="{00000000-0005-0000-0000-0000BD010000}"/>
    <cellStyle name="20% - Accent3 3 2 2 2 4" xfId="3467" xr:uid="{00000000-0005-0000-0000-0000BE010000}"/>
    <cellStyle name="20% - Accent3 3 2 2 3" xfId="1032" xr:uid="{00000000-0005-0000-0000-0000BF010000}"/>
    <cellStyle name="20% - Accent3 3 2 2 4" xfId="2350" xr:uid="{00000000-0005-0000-0000-0000C0010000}"/>
    <cellStyle name="20% - Accent3 3 2 2 5" xfId="3070" xr:uid="{00000000-0005-0000-0000-0000C1010000}"/>
    <cellStyle name="20% - Accent3 3 2 3" xfId="620" xr:uid="{00000000-0005-0000-0000-0000C2010000}"/>
    <cellStyle name="20% - Accent3 3 2 3 2" xfId="1352" xr:uid="{00000000-0005-0000-0000-0000C3010000}"/>
    <cellStyle name="20% - Accent3 3 2 3 3" xfId="2672" xr:uid="{00000000-0005-0000-0000-0000C4010000}"/>
    <cellStyle name="20% - Accent3 3 2 3 4" xfId="3390" xr:uid="{00000000-0005-0000-0000-0000C5010000}"/>
    <cellStyle name="20% - Accent3 3 2 4" xfId="955" xr:uid="{00000000-0005-0000-0000-0000C6010000}"/>
    <cellStyle name="20% - Accent3 3 2 5" xfId="2080" xr:uid="{00000000-0005-0000-0000-0000C7010000}"/>
    <cellStyle name="20% - Accent3 3 2 6" xfId="2273" xr:uid="{00000000-0005-0000-0000-0000C8010000}"/>
    <cellStyle name="20% - Accent3 3 2 7" xfId="2993" xr:uid="{00000000-0005-0000-0000-0000C9010000}"/>
    <cellStyle name="20% - Accent3 3 3" xfId="292" xr:uid="{00000000-0005-0000-0000-0000CA010000}"/>
    <cellStyle name="20% - Accent3 3 3 2" xfId="697" xr:uid="{00000000-0005-0000-0000-0000CB010000}"/>
    <cellStyle name="20% - Accent3 3 3 2 2" xfId="1428" xr:uid="{00000000-0005-0000-0000-0000CC010000}"/>
    <cellStyle name="20% - Accent3 3 3 2 3" xfId="2748" xr:uid="{00000000-0005-0000-0000-0000CD010000}"/>
    <cellStyle name="20% - Accent3 3 3 2 4" xfId="3466" xr:uid="{00000000-0005-0000-0000-0000CE010000}"/>
    <cellStyle name="20% - Accent3 3 3 3" xfId="1031" xr:uid="{00000000-0005-0000-0000-0000CF010000}"/>
    <cellStyle name="20% - Accent3 3 3 4" xfId="2038" xr:uid="{00000000-0005-0000-0000-0000D0010000}"/>
    <cellStyle name="20% - Accent3 3 3 5" xfId="2349" xr:uid="{00000000-0005-0000-0000-0000D1010000}"/>
    <cellStyle name="20% - Accent3 3 3 6" xfId="3069" xr:uid="{00000000-0005-0000-0000-0000D2010000}"/>
    <cellStyle name="20% - Accent3 3 4" xfId="462" xr:uid="{00000000-0005-0000-0000-0000D3010000}"/>
    <cellStyle name="20% - Accent3 3 4 2" xfId="1200" xr:uid="{00000000-0005-0000-0000-0000D4010000}"/>
    <cellStyle name="20% - Accent3 3 4 3" xfId="1836" xr:uid="{00000000-0005-0000-0000-0000D5010000}"/>
    <cellStyle name="20% - Accent3 3 4 4" xfId="2520" xr:uid="{00000000-0005-0000-0000-0000D6010000}"/>
    <cellStyle name="20% - Accent3 3 4 5" xfId="3238" xr:uid="{00000000-0005-0000-0000-0000D7010000}"/>
    <cellStyle name="20% - Accent3 3 5" xfId="543" xr:uid="{00000000-0005-0000-0000-0000D8010000}"/>
    <cellStyle name="20% - Accent3 3 5 2" xfId="1275" xr:uid="{00000000-0005-0000-0000-0000D9010000}"/>
    <cellStyle name="20% - Accent3 3 5 3" xfId="2595" xr:uid="{00000000-0005-0000-0000-0000DA010000}"/>
    <cellStyle name="20% - Accent3 3 5 4" xfId="3313" xr:uid="{00000000-0005-0000-0000-0000DB010000}"/>
    <cellStyle name="20% - Accent3 3 6" xfId="871" xr:uid="{00000000-0005-0000-0000-0000DC010000}"/>
    <cellStyle name="20% - Accent3 3 7" xfId="1962" xr:uid="{00000000-0005-0000-0000-0000DD010000}"/>
    <cellStyle name="20% - Accent3 3 8" xfId="2196" xr:uid="{00000000-0005-0000-0000-0000DE010000}"/>
    <cellStyle name="20% - Accent3 3 9" xfId="2916" xr:uid="{00000000-0005-0000-0000-0000DF010000}"/>
    <cellStyle name="20% - Accent3 4" xfId="184" xr:uid="{00000000-0005-0000-0000-0000E0010000}"/>
    <cellStyle name="20% - Accent3 4 2" xfId="294" xr:uid="{00000000-0005-0000-0000-0000E1010000}"/>
    <cellStyle name="20% - Accent3 4 2 2" xfId="699" xr:uid="{00000000-0005-0000-0000-0000E2010000}"/>
    <cellStyle name="20% - Accent3 4 2 2 2" xfId="1430" xr:uid="{00000000-0005-0000-0000-0000E3010000}"/>
    <cellStyle name="20% - Accent3 4 2 2 3" xfId="2750" xr:uid="{00000000-0005-0000-0000-0000E4010000}"/>
    <cellStyle name="20% - Accent3 4 2 2 4" xfId="3468" xr:uid="{00000000-0005-0000-0000-0000E5010000}"/>
    <cellStyle name="20% - Accent3 4 2 3" xfId="1033" xr:uid="{00000000-0005-0000-0000-0000E6010000}"/>
    <cellStyle name="20% - Accent3 4 2 4" xfId="2351" xr:uid="{00000000-0005-0000-0000-0000E7010000}"/>
    <cellStyle name="20% - Accent3 4 2 5" xfId="3071" xr:uid="{00000000-0005-0000-0000-0000E8010000}"/>
    <cellStyle name="20% - Accent3 4 3" xfId="589" xr:uid="{00000000-0005-0000-0000-0000E9010000}"/>
    <cellStyle name="20% - Accent3 4 3 2" xfId="1321" xr:uid="{00000000-0005-0000-0000-0000EA010000}"/>
    <cellStyle name="20% - Accent3 4 3 3" xfId="2641" xr:uid="{00000000-0005-0000-0000-0000EB010000}"/>
    <cellStyle name="20% - Accent3 4 3 4" xfId="3359" xr:uid="{00000000-0005-0000-0000-0000EC010000}"/>
    <cellStyle name="20% - Accent3 4 4" xfId="924" xr:uid="{00000000-0005-0000-0000-0000ED010000}"/>
    <cellStyle name="20% - Accent3 4 5" xfId="2000" xr:uid="{00000000-0005-0000-0000-0000EE010000}"/>
    <cellStyle name="20% - Accent3 4 6" xfId="2242" xr:uid="{00000000-0005-0000-0000-0000EF010000}"/>
    <cellStyle name="20% - Accent3 4 7" xfId="2962" xr:uid="{00000000-0005-0000-0000-0000F0010000}"/>
    <cellStyle name="20% - Accent3 5" xfId="262" xr:uid="{00000000-0005-0000-0000-0000F1010000}"/>
    <cellStyle name="20% - Accent3 5 2" xfId="667" xr:uid="{00000000-0005-0000-0000-0000F2010000}"/>
    <cellStyle name="20% - Accent3 5 2 2" xfId="1399" xr:uid="{00000000-0005-0000-0000-0000F3010000}"/>
    <cellStyle name="20% - Accent3 5 2 3" xfId="2719" xr:uid="{00000000-0005-0000-0000-0000F4010000}"/>
    <cellStyle name="20% - Accent3 5 2 4" xfId="3437" xr:uid="{00000000-0005-0000-0000-0000F5010000}"/>
    <cellStyle name="20% - Accent3 5 3" xfId="1002" xr:uid="{00000000-0005-0000-0000-0000F6010000}"/>
    <cellStyle name="20% - Accent3 5 4" xfId="2124" xr:uid="{00000000-0005-0000-0000-0000F7010000}"/>
    <cellStyle name="20% - Accent3 5 5" xfId="2320" xr:uid="{00000000-0005-0000-0000-0000F8010000}"/>
    <cellStyle name="20% - Accent3 5 6" xfId="3040" xr:uid="{00000000-0005-0000-0000-0000F9010000}"/>
    <cellStyle name="20% - Accent3 6" xfId="287" xr:uid="{00000000-0005-0000-0000-0000FA010000}"/>
    <cellStyle name="20% - Accent3 6 2" xfId="692" xr:uid="{00000000-0005-0000-0000-0000FB010000}"/>
    <cellStyle name="20% - Accent3 6 2 2" xfId="1423" xr:uid="{00000000-0005-0000-0000-0000FC010000}"/>
    <cellStyle name="20% - Accent3 6 2 3" xfId="2743" xr:uid="{00000000-0005-0000-0000-0000FD010000}"/>
    <cellStyle name="20% - Accent3 6 2 4" xfId="3461" xr:uid="{00000000-0005-0000-0000-0000FE010000}"/>
    <cellStyle name="20% - Accent3 6 3" xfId="1026" xr:uid="{00000000-0005-0000-0000-0000FF010000}"/>
    <cellStyle name="20% - Accent3 6 4" xfId="2344" xr:uid="{00000000-0005-0000-0000-000000020000}"/>
    <cellStyle name="20% - Accent3 6 5" xfId="3064" xr:uid="{00000000-0005-0000-0000-000001020000}"/>
    <cellStyle name="20% - Accent3 7" xfId="432" xr:uid="{00000000-0005-0000-0000-000002020000}"/>
    <cellStyle name="20% - Accent3 7 2" xfId="1170" xr:uid="{00000000-0005-0000-0000-000003020000}"/>
    <cellStyle name="20% - Accent3 7 3" xfId="1807" xr:uid="{00000000-0005-0000-0000-000004020000}"/>
    <cellStyle name="20% - Accent3 7 4" xfId="2490" xr:uid="{00000000-0005-0000-0000-000005020000}"/>
    <cellStyle name="20% - Accent3 7 5" xfId="3208" xr:uid="{00000000-0005-0000-0000-000006020000}"/>
    <cellStyle name="20% - Accent3 8" xfId="512" xr:uid="{00000000-0005-0000-0000-000007020000}"/>
    <cellStyle name="20% - Accent3 8 2" xfId="1244" xr:uid="{00000000-0005-0000-0000-000008020000}"/>
    <cellStyle name="20% - Accent3 8 3" xfId="1880" xr:uid="{00000000-0005-0000-0000-000009020000}"/>
    <cellStyle name="20% - Accent3 8 4" xfId="2564" xr:uid="{00000000-0005-0000-0000-00000A020000}"/>
    <cellStyle name="20% - Accent3 8 5" xfId="3282" xr:uid="{00000000-0005-0000-0000-00000B020000}"/>
    <cellStyle name="20% - Accent3 9" xfId="838" xr:uid="{00000000-0005-0000-0000-00000C020000}"/>
    <cellStyle name="20% - Accent4" xfId="32" builtinId="42" customBuiltin="1"/>
    <cellStyle name="20% - Accent4 10" xfId="1730" xr:uid="{00000000-0005-0000-0000-00000E020000}"/>
    <cellStyle name="20% - Accent4 11" xfId="1925" xr:uid="{00000000-0005-0000-0000-00000F020000}"/>
    <cellStyle name="20% - Accent4 12" xfId="2165" xr:uid="{00000000-0005-0000-0000-000010020000}"/>
    <cellStyle name="20% - Accent4 13" xfId="2887" xr:uid="{00000000-0005-0000-0000-000011020000}"/>
    <cellStyle name="20% - Accent4 2" xfId="53" xr:uid="{00000000-0005-0000-0000-000012020000}"/>
    <cellStyle name="20% - Accent4 2 10" xfId="1934" xr:uid="{00000000-0005-0000-0000-000013020000}"/>
    <cellStyle name="20% - Accent4 2 11" xfId="2182" xr:uid="{00000000-0005-0000-0000-000014020000}"/>
    <cellStyle name="20% - Accent4 2 12" xfId="2902" xr:uid="{00000000-0005-0000-0000-000015020000}"/>
    <cellStyle name="20% - Accent4 2 2" xfId="97" xr:uid="{00000000-0005-0000-0000-000016020000}"/>
    <cellStyle name="20% - Accent4 2 2 2" xfId="232" xr:uid="{00000000-0005-0000-0000-000017020000}"/>
    <cellStyle name="20% - Accent4 2 2 2 2" xfId="298" xr:uid="{00000000-0005-0000-0000-000018020000}"/>
    <cellStyle name="20% - Accent4 2 2 2 2 2" xfId="703" xr:uid="{00000000-0005-0000-0000-000019020000}"/>
    <cellStyle name="20% - Accent4 2 2 2 2 2 2" xfId="1434" xr:uid="{00000000-0005-0000-0000-00001A020000}"/>
    <cellStyle name="20% - Accent4 2 2 2 2 2 3" xfId="2754" xr:uid="{00000000-0005-0000-0000-00001B020000}"/>
    <cellStyle name="20% - Accent4 2 2 2 2 2 4" xfId="3472" xr:uid="{00000000-0005-0000-0000-00001C020000}"/>
    <cellStyle name="20% - Accent4 2 2 2 2 3" xfId="1037" xr:uid="{00000000-0005-0000-0000-00001D020000}"/>
    <cellStyle name="20% - Accent4 2 2 2 2 4" xfId="2355" xr:uid="{00000000-0005-0000-0000-00001E020000}"/>
    <cellStyle name="20% - Accent4 2 2 2 2 5" xfId="3075" xr:uid="{00000000-0005-0000-0000-00001F020000}"/>
    <cellStyle name="20% - Accent4 2 2 2 3" xfId="637" xr:uid="{00000000-0005-0000-0000-000020020000}"/>
    <cellStyle name="20% - Accent4 2 2 2 3 2" xfId="1369" xr:uid="{00000000-0005-0000-0000-000021020000}"/>
    <cellStyle name="20% - Accent4 2 2 2 3 3" xfId="2689" xr:uid="{00000000-0005-0000-0000-000022020000}"/>
    <cellStyle name="20% - Accent4 2 2 2 3 4" xfId="3407" xr:uid="{00000000-0005-0000-0000-000023020000}"/>
    <cellStyle name="20% - Accent4 2 2 2 4" xfId="972" xr:uid="{00000000-0005-0000-0000-000024020000}"/>
    <cellStyle name="20% - Accent4 2 2 2 5" xfId="2096" xr:uid="{00000000-0005-0000-0000-000025020000}"/>
    <cellStyle name="20% - Accent4 2 2 2 6" xfId="2290" xr:uid="{00000000-0005-0000-0000-000026020000}"/>
    <cellStyle name="20% - Accent4 2 2 2 7" xfId="3010" xr:uid="{00000000-0005-0000-0000-000027020000}"/>
    <cellStyle name="20% - Accent4 2 2 3" xfId="297" xr:uid="{00000000-0005-0000-0000-000028020000}"/>
    <cellStyle name="20% - Accent4 2 2 3 2" xfId="702" xr:uid="{00000000-0005-0000-0000-000029020000}"/>
    <cellStyle name="20% - Accent4 2 2 3 2 2" xfId="1433" xr:uid="{00000000-0005-0000-0000-00002A020000}"/>
    <cellStyle name="20% - Accent4 2 2 3 2 3" xfId="2753" xr:uid="{00000000-0005-0000-0000-00002B020000}"/>
    <cellStyle name="20% - Accent4 2 2 3 2 4" xfId="3471" xr:uid="{00000000-0005-0000-0000-00002C020000}"/>
    <cellStyle name="20% - Accent4 2 2 3 3" xfId="1036" xr:uid="{00000000-0005-0000-0000-00002D020000}"/>
    <cellStyle name="20% - Accent4 2 2 3 4" xfId="2053" xr:uid="{00000000-0005-0000-0000-00002E020000}"/>
    <cellStyle name="20% - Accent4 2 2 3 5" xfId="2354" xr:uid="{00000000-0005-0000-0000-00002F020000}"/>
    <cellStyle name="20% - Accent4 2 2 3 6" xfId="3074" xr:uid="{00000000-0005-0000-0000-000030020000}"/>
    <cellStyle name="20% - Accent4 2 2 4" xfId="479" xr:uid="{00000000-0005-0000-0000-000031020000}"/>
    <cellStyle name="20% - Accent4 2 2 4 2" xfId="1217" xr:uid="{00000000-0005-0000-0000-000032020000}"/>
    <cellStyle name="20% - Accent4 2 2 4 3" xfId="1853" xr:uid="{00000000-0005-0000-0000-000033020000}"/>
    <cellStyle name="20% - Accent4 2 2 4 4" xfId="2537" xr:uid="{00000000-0005-0000-0000-000034020000}"/>
    <cellStyle name="20% - Accent4 2 2 4 5" xfId="3255" xr:uid="{00000000-0005-0000-0000-000035020000}"/>
    <cellStyle name="20% - Accent4 2 2 5" xfId="560" xr:uid="{00000000-0005-0000-0000-000036020000}"/>
    <cellStyle name="20% - Accent4 2 2 5 2" xfId="1292" xr:uid="{00000000-0005-0000-0000-000037020000}"/>
    <cellStyle name="20% - Accent4 2 2 5 3" xfId="2612" xr:uid="{00000000-0005-0000-0000-000038020000}"/>
    <cellStyle name="20% - Accent4 2 2 5 4" xfId="3330" xr:uid="{00000000-0005-0000-0000-000039020000}"/>
    <cellStyle name="20% - Accent4 2 2 6" xfId="888" xr:uid="{00000000-0005-0000-0000-00003A020000}"/>
    <cellStyle name="20% - Accent4 2 2 7" xfId="1973" xr:uid="{00000000-0005-0000-0000-00003B020000}"/>
    <cellStyle name="20% - Accent4 2 2 8" xfId="2213" xr:uid="{00000000-0005-0000-0000-00003C020000}"/>
    <cellStyle name="20% - Accent4 2 2 9" xfId="2933" xr:uid="{00000000-0005-0000-0000-00003D020000}"/>
    <cellStyle name="20% - Accent4 2 3" xfId="201" xr:uid="{00000000-0005-0000-0000-00003E020000}"/>
    <cellStyle name="20% - Accent4 2 3 2" xfId="299" xr:uid="{00000000-0005-0000-0000-00003F020000}"/>
    <cellStyle name="20% - Accent4 2 3 2 2" xfId="704" xr:uid="{00000000-0005-0000-0000-000040020000}"/>
    <cellStyle name="20% - Accent4 2 3 2 2 2" xfId="1435" xr:uid="{00000000-0005-0000-0000-000041020000}"/>
    <cellStyle name="20% - Accent4 2 3 2 2 3" xfId="2755" xr:uid="{00000000-0005-0000-0000-000042020000}"/>
    <cellStyle name="20% - Accent4 2 3 2 2 4" xfId="3473" xr:uid="{00000000-0005-0000-0000-000043020000}"/>
    <cellStyle name="20% - Accent4 2 3 2 3" xfId="1038" xr:uid="{00000000-0005-0000-0000-000044020000}"/>
    <cellStyle name="20% - Accent4 2 3 2 4" xfId="2356" xr:uid="{00000000-0005-0000-0000-000045020000}"/>
    <cellStyle name="20% - Accent4 2 3 2 5" xfId="3076" xr:uid="{00000000-0005-0000-0000-000046020000}"/>
    <cellStyle name="20% - Accent4 2 3 3" xfId="606" xr:uid="{00000000-0005-0000-0000-000047020000}"/>
    <cellStyle name="20% - Accent4 2 3 3 2" xfId="1338" xr:uid="{00000000-0005-0000-0000-000048020000}"/>
    <cellStyle name="20% - Accent4 2 3 3 3" xfId="2658" xr:uid="{00000000-0005-0000-0000-000049020000}"/>
    <cellStyle name="20% - Accent4 2 3 3 4" xfId="3376" xr:uid="{00000000-0005-0000-0000-00004A020000}"/>
    <cellStyle name="20% - Accent4 2 3 4" xfId="941" xr:uid="{00000000-0005-0000-0000-00004B020000}"/>
    <cellStyle name="20% - Accent4 2 3 5" xfId="2011" xr:uid="{00000000-0005-0000-0000-00004C020000}"/>
    <cellStyle name="20% - Accent4 2 3 6" xfId="2259" xr:uid="{00000000-0005-0000-0000-00004D020000}"/>
    <cellStyle name="20% - Accent4 2 3 7" xfId="2979" xr:uid="{00000000-0005-0000-0000-00004E020000}"/>
    <cellStyle name="20% - Accent4 2 4" xfId="296" xr:uid="{00000000-0005-0000-0000-00004F020000}"/>
    <cellStyle name="20% - Accent4 2 4 2" xfId="701" xr:uid="{00000000-0005-0000-0000-000050020000}"/>
    <cellStyle name="20% - Accent4 2 4 2 2" xfId="1432" xr:uid="{00000000-0005-0000-0000-000051020000}"/>
    <cellStyle name="20% - Accent4 2 4 2 3" xfId="2752" xr:uid="{00000000-0005-0000-0000-000052020000}"/>
    <cellStyle name="20% - Accent4 2 4 2 4" xfId="3470" xr:uid="{00000000-0005-0000-0000-000053020000}"/>
    <cellStyle name="20% - Accent4 2 4 3" xfId="1035" xr:uid="{00000000-0005-0000-0000-000054020000}"/>
    <cellStyle name="20% - Accent4 2 4 4" xfId="2135" xr:uid="{00000000-0005-0000-0000-000055020000}"/>
    <cellStyle name="20% - Accent4 2 4 5" xfId="2353" xr:uid="{00000000-0005-0000-0000-000056020000}"/>
    <cellStyle name="20% - Accent4 2 4 6" xfId="3073" xr:uid="{00000000-0005-0000-0000-000057020000}"/>
    <cellStyle name="20% - Accent4 2 5" xfId="449" xr:uid="{00000000-0005-0000-0000-000058020000}"/>
    <cellStyle name="20% - Accent4 2 5 2" xfId="1187" xr:uid="{00000000-0005-0000-0000-000059020000}"/>
    <cellStyle name="20% - Accent4 2 5 3" xfId="1781" xr:uid="{00000000-0005-0000-0000-00005A020000}"/>
    <cellStyle name="20% - Accent4 2 5 4" xfId="2507" xr:uid="{00000000-0005-0000-0000-00005B020000}"/>
    <cellStyle name="20% - Accent4 2 5 5" xfId="3225" xr:uid="{00000000-0005-0000-0000-00005C020000}"/>
    <cellStyle name="20% - Accent4 2 6" xfId="529" xr:uid="{00000000-0005-0000-0000-00005D020000}"/>
    <cellStyle name="20% - Accent4 2 6 2" xfId="1261" xr:uid="{00000000-0005-0000-0000-00005E020000}"/>
    <cellStyle name="20% - Accent4 2 6 3" xfId="1823" xr:uid="{00000000-0005-0000-0000-00005F020000}"/>
    <cellStyle name="20% - Accent4 2 6 4" xfId="2581" xr:uid="{00000000-0005-0000-0000-000060020000}"/>
    <cellStyle name="20% - Accent4 2 6 5" xfId="3299" xr:uid="{00000000-0005-0000-0000-000061020000}"/>
    <cellStyle name="20% - Accent4 2 7" xfId="856" xr:uid="{00000000-0005-0000-0000-000062020000}"/>
    <cellStyle name="20% - Accent4 2 7 2" xfId="1702" xr:uid="{00000000-0005-0000-0000-000063020000}"/>
    <cellStyle name="20% - Accent4 2 7 3" xfId="1891" xr:uid="{00000000-0005-0000-0000-000064020000}"/>
    <cellStyle name="20% - Accent4 2 8" xfId="1639" xr:uid="{00000000-0005-0000-0000-000065020000}"/>
    <cellStyle name="20% - Accent4 2 9" xfId="1740" xr:uid="{00000000-0005-0000-0000-000066020000}"/>
    <cellStyle name="20% - Accent4 3" xfId="82" xr:uid="{00000000-0005-0000-0000-000067020000}"/>
    <cellStyle name="20% - Accent4 3 2" xfId="217" xr:uid="{00000000-0005-0000-0000-000068020000}"/>
    <cellStyle name="20% - Accent4 3 2 2" xfId="301" xr:uid="{00000000-0005-0000-0000-000069020000}"/>
    <cellStyle name="20% - Accent4 3 2 2 2" xfId="706" xr:uid="{00000000-0005-0000-0000-00006A020000}"/>
    <cellStyle name="20% - Accent4 3 2 2 2 2" xfId="1437" xr:uid="{00000000-0005-0000-0000-00006B020000}"/>
    <cellStyle name="20% - Accent4 3 2 2 2 3" xfId="2757" xr:uid="{00000000-0005-0000-0000-00006C020000}"/>
    <cellStyle name="20% - Accent4 3 2 2 2 4" xfId="3475" xr:uid="{00000000-0005-0000-0000-00006D020000}"/>
    <cellStyle name="20% - Accent4 3 2 2 3" xfId="1040" xr:uid="{00000000-0005-0000-0000-00006E020000}"/>
    <cellStyle name="20% - Accent4 3 2 2 4" xfId="2358" xr:uid="{00000000-0005-0000-0000-00006F020000}"/>
    <cellStyle name="20% - Accent4 3 2 2 5" xfId="3078" xr:uid="{00000000-0005-0000-0000-000070020000}"/>
    <cellStyle name="20% - Accent4 3 2 3" xfId="622" xr:uid="{00000000-0005-0000-0000-000071020000}"/>
    <cellStyle name="20% - Accent4 3 2 3 2" xfId="1354" xr:uid="{00000000-0005-0000-0000-000072020000}"/>
    <cellStyle name="20% - Accent4 3 2 3 3" xfId="2674" xr:uid="{00000000-0005-0000-0000-000073020000}"/>
    <cellStyle name="20% - Accent4 3 2 3 4" xfId="3392" xr:uid="{00000000-0005-0000-0000-000074020000}"/>
    <cellStyle name="20% - Accent4 3 2 4" xfId="957" xr:uid="{00000000-0005-0000-0000-000075020000}"/>
    <cellStyle name="20% - Accent4 3 2 5" xfId="2082" xr:uid="{00000000-0005-0000-0000-000076020000}"/>
    <cellStyle name="20% - Accent4 3 2 6" xfId="2275" xr:uid="{00000000-0005-0000-0000-000077020000}"/>
    <cellStyle name="20% - Accent4 3 2 7" xfId="2995" xr:uid="{00000000-0005-0000-0000-000078020000}"/>
    <cellStyle name="20% - Accent4 3 3" xfId="300" xr:uid="{00000000-0005-0000-0000-000079020000}"/>
    <cellStyle name="20% - Accent4 3 3 2" xfId="705" xr:uid="{00000000-0005-0000-0000-00007A020000}"/>
    <cellStyle name="20% - Accent4 3 3 2 2" xfId="1436" xr:uid="{00000000-0005-0000-0000-00007B020000}"/>
    <cellStyle name="20% - Accent4 3 3 2 3" xfId="2756" xr:uid="{00000000-0005-0000-0000-00007C020000}"/>
    <cellStyle name="20% - Accent4 3 3 2 4" xfId="3474" xr:uid="{00000000-0005-0000-0000-00007D020000}"/>
    <cellStyle name="20% - Accent4 3 3 3" xfId="1039" xr:uid="{00000000-0005-0000-0000-00007E020000}"/>
    <cellStyle name="20% - Accent4 3 3 4" xfId="2040" xr:uid="{00000000-0005-0000-0000-00007F020000}"/>
    <cellStyle name="20% - Accent4 3 3 5" xfId="2357" xr:uid="{00000000-0005-0000-0000-000080020000}"/>
    <cellStyle name="20% - Accent4 3 3 6" xfId="3077" xr:uid="{00000000-0005-0000-0000-000081020000}"/>
    <cellStyle name="20% - Accent4 3 4" xfId="464" xr:uid="{00000000-0005-0000-0000-000082020000}"/>
    <cellStyle name="20% - Accent4 3 4 2" xfId="1202" xr:uid="{00000000-0005-0000-0000-000083020000}"/>
    <cellStyle name="20% - Accent4 3 4 3" xfId="1838" xr:uid="{00000000-0005-0000-0000-000084020000}"/>
    <cellStyle name="20% - Accent4 3 4 4" xfId="2522" xr:uid="{00000000-0005-0000-0000-000085020000}"/>
    <cellStyle name="20% - Accent4 3 4 5" xfId="3240" xr:uid="{00000000-0005-0000-0000-000086020000}"/>
    <cellStyle name="20% - Accent4 3 5" xfId="545" xr:uid="{00000000-0005-0000-0000-000087020000}"/>
    <cellStyle name="20% - Accent4 3 5 2" xfId="1277" xr:uid="{00000000-0005-0000-0000-000088020000}"/>
    <cellStyle name="20% - Accent4 3 5 3" xfId="2597" xr:uid="{00000000-0005-0000-0000-000089020000}"/>
    <cellStyle name="20% - Accent4 3 5 4" xfId="3315" xr:uid="{00000000-0005-0000-0000-00008A020000}"/>
    <cellStyle name="20% - Accent4 3 6" xfId="873" xr:uid="{00000000-0005-0000-0000-00008B020000}"/>
    <cellStyle name="20% - Accent4 3 7" xfId="1964" xr:uid="{00000000-0005-0000-0000-00008C020000}"/>
    <cellStyle name="20% - Accent4 3 8" xfId="2198" xr:uid="{00000000-0005-0000-0000-00008D020000}"/>
    <cellStyle name="20% - Accent4 3 9" xfId="2918" xr:uid="{00000000-0005-0000-0000-00008E020000}"/>
    <cellStyle name="20% - Accent4 4" xfId="186" xr:uid="{00000000-0005-0000-0000-00008F020000}"/>
    <cellStyle name="20% - Accent4 4 2" xfId="302" xr:uid="{00000000-0005-0000-0000-000090020000}"/>
    <cellStyle name="20% - Accent4 4 2 2" xfId="707" xr:uid="{00000000-0005-0000-0000-000091020000}"/>
    <cellStyle name="20% - Accent4 4 2 2 2" xfId="1438" xr:uid="{00000000-0005-0000-0000-000092020000}"/>
    <cellStyle name="20% - Accent4 4 2 2 3" xfId="2758" xr:uid="{00000000-0005-0000-0000-000093020000}"/>
    <cellStyle name="20% - Accent4 4 2 2 4" xfId="3476" xr:uid="{00000000-0005-0000-0000-000094020000}"/>
    <cellStyle name="20% - Accent4 4 2 3" xfId="1041" xr:uid="{00000000-0005-0000-0000-000095020000}"/>
    <cellStyle name="20% - Accent4 4 2 4" xfId="2359" xr:uid="{00000000-0005-0000-0000-000096020000}"/>
    <cellStyle name="20% - Accent4 4 2 5" xfId="3079" xr:uid="{00000000-0005-0000-0000-000097020000}"/>
    <cellStyle name="20% - Accent4 4 3" xfId="591" xr:uid="{00000000-0005-0000-0000-000098020000}"/>
    <cellStyle name="20% - Accent4 4 3 2" xfId="1323" xr:uid="{00000000-0005-0000-0000-000099020000}"/>
    <cellStyle name="20% - Accent4 4 3 3" xfId="2643" xr:uid="{00000000-0005-0000-0000-00009A020000}"/>
    <cellStyle name="20% - Accent4 4 3 4" xfId="3361" xr:uid="{00000000-0005-0000-0000-00009B020000}"/>
    <cellStyle name="20% - Accent4 4 4" xfId="926" xr:uid="{00000000-0005-0000-0000-00009C020000}"/>
    <cellStyle name="20% - Accent4 4 5" xfId="2002" xr:uid="{00000000-0005-0000-0000-00009D020000}"/>
    <cellStyle name="20% - Accent4 4 6" xfId="2244" xr:uid="{00000000-0005-0000-0000-00009E020000}"/>
    <cellStyle name="20% - Accent4 4 7" xfId="2964" xr:uid="{00000000-0005-0000-0000-00009F020000}"/>
    <cellStyle name="20% - Accent4 5" xfId="264" xr:uid="{00000000-0005-0000-0000-0000A0020000}"/>
    <cellStyle name="20% - Accent4 5 2" xfId="669" xr:uid="{00000000-0005-0000-0000-0000A1020000}"/>
    <cellStyle name="20% - Accent4 5 2 2" xfId="1401" xr:uid="{00000000-0005-0000-0000-0000A2020000}"/>
    <cellStyle name="20% - Accent4 5 2 3" xfId="2721" xr:uid="{00000000-0005-0000-0000-0000A3020000}"/>
    <cellStyle name="20% - Accent4 5 2 4" xfId="3439" xr:uid="{00000000-0005-0000-0000-0000A4020000}"/>
    <cellStyle name="20% - Accent4 5 3" xfId="1004" xr:uid="{00000000-0005-0000-0000-0000A5020000}"/>
    <cellStyle name="20% - Accent4 5 4" xfId="2126" xr:uid="{00000000-0005-0000-0000-0000A6020000}"/>
    <cellStyle name="20% - Accent4 5 5" xfId="2322" xr:uid="{00000000-0005-0000-0000-0000A7020000}"/>
    <cellStyle name="20% - Accent4 5 6" xfId="3042" xr:uid="{00000000-0005-0000-0000-0000A8020000}"/>
    <cellStyle name="20% - Accent4 6" xfId="295" xr:uid="{00000000-0005-0000-0000-0000A9020000}"/>
    <cellStyle name="20% - Accent4 6 2" xfId="700" xr:uid="{00000000-0005-0000-0000-0000AA020000}"/>
    <cellStyle name="20% - Accent4 6 2 2" xfId="1431" xr:uid="{00000000-0005-0000-0000-0000AB020000}"/>
    <cellStyle name="20% - Accent4 6 2 3" xfId="2751" xr:uid="{00000000-0005-0000-0000-0000AC020000}"/>
    <cellStyle name="20% - Accent4 6 2 4" xfId="3469" xr:uid="{00000000-0005-0000-0000-0000AD020000}"/>
    <cellStyle name="20% - Accent4 6 3" xfId="1034" xr:uid="{00000000-0005-0000-0000-0000AE020000}"/>
    <cellStyle name="20% - Accent4 6 4" xfId="2352" xr:uid="{00000000-0005-0000-0000-0000AF020000}"/>
    <cellStyle name="20% - Accent4 6 5" xfId="3072" xr:uid="{00000000-0005-0000-0000-0000B0020000}"/>
    <cellStyle name="20% - Accent4 7" xfId="434" xr:uid="{00000000-0005-0000-0000-0000B1020000}"/>
    <cellStyle name="20% - Accent4 7 2" xfId="1172" xr:uid="{00000000-0005-0000-0000-0000B2020000}"/>
    <cellStyle name="20% - Accent4 7 3" xfId="1809" xr:uid="{00000000-0005-0000-0000-0000B3020000}"/>
    <cellStyle name="20% - Accent4 7 4" xfId="2492" xr:uid="{00000000-0005-0000-0000-0000B4020000}"/>
    <cellStyle name="20% - Accent4 7 5" xfId="3210" xr:uid="{00000000-0005-0000-0000-0000B5020000}"/>
    <cellStyle name="20% - Accent4 8" xfId="514" xr:uid="{00000000-0005-0000-0000-0000B6020000}"/>
    <cellStyle name="20% - Accent4 8 2" xfId="1246" xr:uid="{00000000-0005-0000-0000-0000B7020000}"/>
    <cellStyle name="20% - Accent4 8 3" xfId="1882" xr:uid="{00000000-0005-0000-0000-0000B8020000}"/>
    <cellStyle name="20% - Accent4 8 4" xfId="2566" xr:uid="{00000000-0005-0000-0000-0000B9020000}"/>
    <cellStyle name="20% - Accent4 8 5" xfId="3284" xr:uid="{00000000-0005-0000-0000-0000BA020000}"/>
    <cellStyle name="20% - Accent4 9" xfId="840" xr:uid="{00000000-0005-0000-0000-0000BB020000}"/>
    <cellStyle name="20% - Accent5" xfId="36" builtinId="46" customBuiltin="1"/>
    <cellStyle name="20% - Accent5 10" xfId="1732" xr:uid="{00000000-0005-0000-0000-0000BD020000}"/>
    <cellStyle name="20% - Accent5 11" xfId="1927" xr:uid="{00000000-0005-0000-0000-0000BE020000}"/>
    <cellStyle name="20% - Accent5 12" xfId="2167" xr:uid="{00000000-0005-0000-0000-0000BF020000}"/>
    <cellStyle name="20% - Accent5 13" xfId="2889" xr:uid="{00000000-0005-0000-0000-0000C0020000}"/>
    <cellStyle name="20% - Accent5 2" xfId="55" xr:uid="{00000000-0005-0000-0000-0000C1020000}"/>
    <cellStyle name="20% - Accent5 2 10" xfId="1935" xr:uid="{00000000-0005-0000-0000-0000C2020000}"/>
    <cellStyle name="20% - Accent5 2 11" xfId="2184" xr:uid="{00000000-0005-0000-0000-0000C3020000}"/>
    <cellStyle name="20% - Accent5 2 12" xfId="2904" xr:uid="{00000000-0005-0000-0000-0000C4020000}"/>
    <cellStyle name="20% - Accent5 2 2" xfId="99" xr:uid="{00000000-0005-0000-0000-0000C5020000}"/>
    <cellStyle name="20% - Accent5 2 2 2" xfId="234" xr:uid="{00000000-0005-0000-0000-0000C6020000}"/>
    <cellStyle name="20% - Accent5 2 2 2 2" xfId="306" xr:uid="{00000000-0005-0000-0000-0000C7020000}"/>
    <cellStyle name="20% - Accent5 2 2 2 2 2" xfId="711" xr:uid="{00000000-0005-0000-0000-0000C8020000}"/>
    <cellStyle name="20% - Accent5 2 2 2 2 2 2" xfId="1442" xr:uid="{00000000-0005-0000-0000-0000C9020000}"/>
    <cellStyle name="20% - Accent5 2 2 2 2 2 3" xfId="2762" xr:uid="{00000000-0005-0000-0000-0000CA020000}"/>
    <cellStyle name="20% - Accent5 2 2 2 2 2 4" xfId="3480" xr:uid="{00000000-0005-0000-0000-0000CB020000}"/>
    <cellStyle name="20% - Accent5 2 2 2 2 3" xfId="1045" xr:uid="{00000000-0005-0000-0000-0000CC020000}"/>
    <cellStyle name="20% - Accent5 2 2 2 2 4" xfId="2363" xr:uid="{00000000-0005-0000-0000-0000CD020000}"/>
    <cellStyle name="20% - Accent5 2 2 2 2 5" xfId="3083" xr:uid="{00000000-0005-0000-0000-0000CE020000}"/>
    <cellStyle name="20% - Accent5 2 2 2 3" xfId="639" xr:uid="{00000000-0005-0000-0000-0000CF020000}"/>
    <cellStyle name="20% - Accent5 2 2 2 3 2" xfId="1371" xr:uid="{00000000-0005-0000-0000-0000D0020000}"/>
    <cellStyle name="20% - Accent5 2 2 2 3 3" xfId="2691" xr:uid="{00000000-0005-0000-0000-0000D1020000}"/>
    <cellStyle name="20% - Accent5 2 2 2 3 4" xfId="3409" xr:uid="{00000000-0005-0000-0000-0000D2020000}"/>
    <cellStyle name="20% - Accent5 2 2 2 4" xfId="974" xr:uid="{00000000-0005-0000-0000-0000D3020000}"/>
    <cellStyle name="20% - Accent5 2 2 2 5" xfId="2098" xr:uid="{00000000-0005-0000-0000-0000D4020000}"/>
    <cellStyle name="20% - Accent5 2 2 2 6" xfId="2292" xr:uid="{00000000-0005-0000-0000-0000D5020000}"/>
    <cellStyle name="20% - Accent5 2 2 2 7" xfId="3012" xr:uid="{00000000-0005-0000-0000-0000D6020000}"/>
    <cellStyle name="20% - Accent5 2 2 3" xfId="305" xr:uid="{00000000-0005-0000-0000-0000D7020000}"/>
    <cellStyle name="20% - Accent5 2 2 3 2" xfId="710" xr:uid="{00000000-0005-0000-0000-0000D8020000}"/>
    <cellStyle name="20% - Accent5 2 2 3 2 2" xfId="1441" xr:uid="{00000000-0005-0000-0000-0000D9020000}"/>
    <cellStyle name="20% - Accent5 2 2 3 2 3" xfId="2761" xr:uid="{00000000-0005-0000-0000-0000DA020000}"/>
    <cellStyle name="20% - Accent5 2 2 3 2 4" xfId="3479" xr:uid="{00000000-0005-0000-0000-0000DB020000}"/>
    <cellStyle name="20% - Accent5 2 2 3 3" xfId="1044" xr:uid="{00000000-0005-0000-0000-0000DC020000}"/>
    <cellStyle name="20% - Accent5 2 2 3 4" xfId="2055" xr:uid="{00000000-0005-0000-0000-0000DD020000}"/>
    <cellStyle name="20% - Accent5 2 2 3 5" xfId="2362" xr:uid="{00000000-0005-0000-0000-0000DE020000}"/>
    <cellStyle name="20% - Accent5 2 2 3 6" xfId="3082" xr:uid="{00000000-0005-0000-0000-0000DF020000}"/>
    <cellStyle name="20% - Accent5 2 2 4" xfId="481" xr:uid="{00000000-0005-0000-0000-0000E0020000}"/>
    <cellStyle name="20% - Accent5 2 2 4 2" xfId="1219" xr:uid="{00000000-0005-0000-0000-0000E1020000}"/>
    <cellStyle name="20% - Accent5 2 2 4 3" xfId="1855" xr:uid="{00000000-0005-0000-0000-0000E2020000}"/>
    <cellStyle name="20% - Accent5 2 2 4 4" xfId="2539" xr:uid="{00000000-0005-0000-0000-0000E3020000}"/>
    <cellStyle name="20% - Accent5 2 2 4 5" xfId="3257" xr:uid="{00000000-0005-0000-0000-0000E4020000}"/>
    <cellStyle name="20% - Accent5 2 2 5" xfId="562" xr:uid="{00000000-0005-0000-0000-0000E5020000}"/>
    <cellStyle name="20% - Accent5 2 2 5 2" xfId="1294" xr:uid="{00000000-0005-0000-0000-0000E6020000}"/>
    <cellStyle name="20% - Accent5 2 2 5 3" xfId="2614" xr:uid="{00000000-0005-0000-0000-0000E7020000}"/>
    <cellStyle name="20% - Accent5 2 2 5 4" xfId="3332" xr:uid="{00000000-0005-0000-0000-0000E8020000}"/>
    <cellStyle name="20% - Accent5 2 2 6" xfId="890" xr:uid="{00000000-0005-0000-0000-0000E9020000}"/>
    <cellStyle name="20% - Accent5 2 2 7" xfId="1974" xr:uid="{00000000-0005-0000-0000-0000EA020000}"/>
    <cellStyle name="20% - Accent5 2 2 8" xfId="2215" xr:uid="{00000000-0005-0000-0000-0000EB020000}"/>
    <cellStyle name="20% - Accent5 2 2 9" xfId="2935" xr:uid="{00000000-0005-0000-0000-0000EC020000}"/>
    <cellStyle name="20% - Accent5 2 3" xfId="203" xr:uid="{00000000-0005-0000-0000-0000ED020000}"/>
    <cellStyle name="20% - Accent5 2 3 2" xfId="307" xr:uid="{00000000-0005-0000-0000-0000EE020000}"/>
    <cellStyle name="20% - Accent5 2 3 2 2" xfId="712" xr:uid="{00000000-0005-0000-0000-0000EF020000}"/>
    <cellStyle name="20% - Accent5 2 3 2 2 2" xfId="1443" xr:uid="{00000000-0005-0000-0000-0000F0020000}"/>
    <cellStyle name="20% - Accent5 2 3 2 2 3" xfId="2763" xr:uid="{00000000-0005-0000-0000-0000F1020000}"/>
    <cellStyle name="20% - Accent5 2 3 2 2 4" xfId="3481" xr:uid="{00000000-0005-0000-0000-0000F2020000}"/>
    <cellStyle name="20% - Accent5 2 3 2 3" xfId="1046" xr:uid="{00000000-0005-0000-0000-0000F3020000}"/>
    <cellStyle name="20% - Accent5 2 3 2 4" xfId="2364" xr:uid="{00000000-0005-0000-0000-0000F4020000}"/>
    <cellStyle name="20% - Accent5 2 3 2 5" xfId="3084" xr:uid="{00000000-0005-0000-0000-0000F5020000}"/>
    <cellStyle name="20% - Accent5 2 3 3" xfId="608" xr:uid="{00000000-0005-0000-0000-0000F6020000}"/>
    <cellStyle name="20% - Accent5 2 3 3 2" xfId="1340" xr:uid="{00000000-0005-0000-0000-0000F7020000}"/>
    <cellStyle name="20% - Accent5 2 3 3 3" xfId="2660" xr:uid="{00000000-0005-0000-0000-0000F8020000}"/>
    <cellStyle name="20% - Accent5 2 3 3 4" xfId="3378" xr:uid="{00000000-0005-0000-0000-0000F9020000}"/>
    <cellStyle name="20% - Accent5 2 3 4" xfId="943" xr:uid="{00000000-0005-0000-0000-0000FA020000}"/>
    <cellStyle name="20% - Accent5 2 3 5" xfId="2012" xr:uid="{00000000-0005-0000-0000-0000FB020000}"/>
    <cellStyle name="20% - Accent5 2 3 6" xfId="2261" xr:uid="{00000000-0005-0000-0000-0000FC020000}"/>
    <cellStyle name="20% - Accent5 2 3 7" xfId="2981" xr:uid="{00000000-0005-0000-0000-0000FD020000}"/>
    <cellStyle name="20% - Accent5 2 4" xfId="304" xr:uid="{00000000-0005-0000-0000-0000FE020000}"/>
    <cellStyle name="20% - Accent5 2 4 2" xfId="709" xr:uid="{00000000-0005-0000-0000-0000FF020000}"/>
    <cellStyle name="20% - Accent5 2 4 2 2" xfId="1440" xr:uid="{00000000-0005-0000-0000-000000030000}"/>
    <cellStyle name="20% - Accent5 2 4 2 3" xfId="2760" xr:uid="{00000000-0005-0000-0000-000001030000}"/>
    <cellStyle name="20% - Accent5 2 4 2 4" xfId="3478" xr:uid="{00000000-0005-0000-0000-000002030000}"/>
    <cellStyle name="20% - Accent5 2 4 3" xfId="1043" xr:uid="{00000000-0005-0000-0000-000003030000}"/>
    <cellStyle name="20% - Accent5 2 4 4" xfId="2136" xr:uid="{00000000-0005-0000-0000-000004030000}"/>
    <cellStyle name="20% - Accent5 2 4 5" xfId="2361" xr:uid="{00000000-0005-0000-0000-000005030000}"/>
    <cellStyle name="20% - Accent5 2 4 6" xfId="3081" xr:uid="{00000000-0005-0000-0000-000006030000}"/>
    <cellStyle name="20% - Accent5 2 5" xfId="451" xr:uid="{00000000-0005-0000-0000-000007030000}"/>
    <cellStyle name="20% - Accent5 2 5 2" xfId="1189" xr:uid="{00000000-0005-0000-0000-000008030000}"/>
    <cellStyle name="20% - Accent5 2 5 3" xfId="1782" xr:uid="{00000000-0005-0000-0000-000009030000}"/>
    <cellStyle name="20% - Accent5 2 5 4" xfId="2509" xr:uid="{00000000-0005-0000-0000-00000A030000}"/>
    <cellStyle name="20% - Accent5 2 5 5" xfId="3227" xr:uid="{00000000-0005-0000-0000-00000B030000}"/>
    <cellStyle name="20% - Accent5 2 6" xfId="531" xr:uid="{00000000-0005-0000-0000-00000C030000}"/>
    <cellStyle name="20% - Accent5 2 6 2" xfId="1263" xr:uid="{00000000-0005-0000-0000-00000D030000}"/>
    <cellStyle name="20% - Accent5 2 6 3" xfId="1825" xr:uid="{00000000-0005-0000-0000-00000E030000}"/>
    <cellStyle name="20% - Accent5 2 6 4" xfId="2583" xr:uid="{00000000-0005-0000-0000-00000F030000}"/>
    <cellStyle name="20% - Accent5 2 6 5" xfId="3301" xr:uid="{00000000-0005-0000-0000-000010030000}"/>
    <cellStyle name="20% - Accent5 2 7" xfId="858" xr:uid="{00000000-0005-0000-0000-000011030000}"/>
    <cellStyle name="20% - Accent5 2 7 2" xfId="1703" xr:uid="{00000000-0005-0000-0000-000012030000}"/>
    <cellStyle name="20% - Accent5 2 7 3" xfId="1892" xr:uid="{00000000-0005-0000-0000-000013030000}"/>
    <cellStyle name="20% - Accent5 2 8" xfId="1650" xr:uid="{00000000-0005-0000-0000-000014030000}"/>
    <cellStyle name="20% - Accent5 2 9" xfId="1741" xr:uid="{00000000-0005-0000-0000-000015030000}"/>
    <cellStyle name="20% - Accent5 3" xfId="84" xr:uid="{00000000-0005-0000-0000-000016030000}"/>
    <cellStyle name="20% - Accent5 3 2" xfId="219" xr:uid="{00000000-0005-0000-0000-000017030000}"/>
    <cellStyle name="20% - Accent5 3 2 2" xfId="309" xr:uid="{00000000-0005-0000-0000-000018030000}"/>
    <cellStyle name="20% - Accent5 3 2 2 2" xfId="714" xr:uid="{00000000-0005-0000-0000-000019030000}"/>
    <cellStyle name="20% - Accent5 3 2 2 2 2" xfId="1445" xr:uid="{00000000-0005-0000-0000-00001A030000}"/>
    <cellStyle name="20% - Accent5 3 2 2 2 3" xfId="2765" xr:uid="{00000000-0005-0000-0000-00001B030000}"/>
    <cellStyle name="20% - Accent5 3 2 2 2 4" xfId="3483" xr:uid="{00000000-0005-0000-0000-00001C030000}"/>
    <cellStyle name="20% - Accent5 3 2 2 3" xfId="1048" xr:uid="{00000000-0005-0000-0000-00001D030000}"/>
    <cellStyle name="20% - Accent5 3 2 2 4" xfId="2366" xr:uid="{00000000-0005-0000-0000-00001E030000}"/>
    <cellStyle name="20% - Accent5 3 2 2 5" xfId="3086" xr:uid="{00000000-0005-0000-0000-00001F030000}"/>
    <cellStyle name="20% - Accent5 3 2 3" xfId="624" xr:uid="{00000000-0005-0000-0000-000020030000}"/>
    <cellStyle name="20% - Accent5 3 2 3 2" xfId="1356" xr:uid="{00000000-0005-0000-0000-000021030000}"/>
    <cellStyle name="20% - Accent5 3 2 3 3" xfId="2676" xr:uid="{00000000-0005-0000-0000-000022030000}"/>
    <cellStyle name="20% - Accent5 3 2 3 4" xfId="3394" xr:uid="{00000000-0005-0000-0000-000023030000}"/>
    <cellStyle name="20% - Accent5 3 2 4" xfId="959" xr:uid="{00000000-0005-0000-0000-000024030000}"/>
    <cellStyle name="20% - Accent5 3 2 5" xfId="2084" xr:uid="{00000000-0005-0000-0000-000025030000}"/>
    <cellStyle name="20% - Accent5 3 2 6" xfId="2277" xr:uid="{00000000-0005-0000-0000-000026030000}"/>
    <cellStyle name="20% - Accent5 3 2 7" xfId="2997" xr:uid="{00000000-0005-0000-0000-000027030000}"/>
    <cellStyle name="20% - Accent5 3 3" xfId="308" xr:uid="{00000000-0005-0000-0000-000028030000}"/>
    <cellStyle name="20% - Accent5 3 3 2" xfId="713" xr:uid="{00000000-0005-0000-0000-000029030000}"/>
    <cellStyle name="20% - Accent5 3 3 2 2" xfId="1444" xr:uid="{00000000-0005-0000-0000-00002A030000}"/>
    <cellStyle name="20% - Accent5 3 3 2 3" xfId="2764" xr:uid="{00000000-0005-0000-0000-00002B030000}"/>
    <cellStyle name="20% - Accent5 3 3 2 4" xfId="3482" xr:uid="{00000000-0005-0000-0000-00002C030000}"/>
    <cellStyle name="20% - Accent5 3 3 3" xfId="1047" xr:uid="{00000000-0005-0000-0000-00002D030000}"/>
    <cellStyle name="20% - Accent5 3 3 4" xfId="2042" xr:uid="{00000000-0005-0000-0000-00002E030000}"/>
    <cellStyle name="20% - Accent5 3 3 5" xfId="2365" xr:uid="{00000000-0005-0000-0000-00002F030000}"/>
    <cellStyle name="20% - Accent5 3 3 6" xfId="3085" xr:uid="{00000000-0005-0000-0000-000030030000}"/>
    <cellStyle name="20% - Accent5 3 4" xfId="466" xr:uid="{00000000-0005-0000-0000-000031030000}"/>
    <cellStyle name="20% - Accent5 3 4 2" xfId="1204" xr:uid="{00000000-0005-0000-0000-000032030000}"/>
    <cellStyle name="20% - Accent5 3 4 3" xfId="1840" xr:uid="{00000000-0005-0000-0000-000033030000}"/>
    <cellStyle name="20% - Accent5 3 4 4" xfId="2524" xr:uid="{00000000-0005-0000-0000-000034030000}"/>
    <cellStyle name="20% - Accent5 3 4 5" xfId="3242" xr:uid="{00000000-0005-0000-0000-000035030000}"/>
    <cellStyle name="20% - Accent5 3 5" xfId="547" xr:uid="{00000000-0005-0000-0000-000036030000}"/>
    <cellStyle name="20% - Accent5 3 5 2" xfId="1279" xr:uid="{00000000-0005-0000-0000-000037030000}"/>
    <cellStyle name="20% - Accent5 3 5 3" xfId="2599" xr:uid="{00000000-0005-0000-0000-000038030000}"/>
    <cellStyle name="20% - Accent5 3 5 4" xfId="3317" xr:uid="{00000000-0005-0000-0000-000039030000}"/>
    <cellStyle name="20% - Accent5 3 6" xfId="875" xr:uid="{00000000-0005-0000-0000-00003A030000}"/>
    <cellStyle name="20% - Accent5 3 7" xfId="1966" xr:uid="{00000000-0005-0000-0000-00003B030000}"/>
    <cellStyle name="20% - Accent5 3 8" xfId="2200" xr:uid="{00000000-0005-0000-0000-00003C030000}"/>
    <cellStyle name="20% - Accent5 3 9" xfId="2920" xr:uid="{00000000-0005-0000-0000-00003D030000}"/>
    <cellStyle name="20% - Accent5 4" xfId="188" xr:uid="{00000000-0005-0000-0000-00003E030000}"/>
    <cellStyle name="20% - Accent5 4 2" xfId="310" xr:uid="{00000000-0005-0000-0000-00003F030000}"/>
    <cellStyle name="20% - Accent5 4 2 2" xfId="715" xr:uid="{00000000-0005-0000-0000-000040030000}"/>
    <cellStyle name="20% - Accent5 4 2 2 2" xfId="1446" xr:uid="{00000000-0005-0000-0000-000041030000}"/>
    <cellStyle name="20% - Accent5 4 2 2 3" xfId="2766" xr:uid="{00000000-0005-0000-0000-000042030000}"/>
    <cellStyle name="20% - Accent5 4 2 2 4" xfId="3484" xr:uid="{00000000-0005-0000-0000-000043030000}"/>
    <cellStyle name="20% - Accent5 4 2 3" xfId="1049" xr:uid="{00000000-0005-0000-0000-000044030000}"/>
    <cellStyle name="20% - Accent5 4 2 4" xfId="2367" xr:uid="{00000000-0005-0000-0000-000045030000}"/>
    <cellStyle name="20% - Accent5 4 2 5" xfId="3087" xr:uid="{00000000-0005-0000-0000-000046030000}"/>
    <cellStyle name="20% - Accent5 4 3" xfId="593" xr:uid="{00000000-0005-0000-0000-000047030000}"/>
    <cellStyle name="20% - Accent5 4 3 2" xfId="1325" xr:uid="{00000000-0005-0000-0000-000048030000}"/>
    <cellStyle name="20% - Accent5 4 3 3" xfId="2645" xr:uid="{00000000-0005-0000-0000-000049030000}"/>
    <cellStyle name="20% - Accent5 4 3 4" xfId="3363" xr:uid="{00000000-0005-0000-0000-00004A030000}"/>
    <cellStyle name="20% - Accent5 4 4" xfId="928" xr:uid="{00000000-0005-0000-0000-00004B030000}"/>
    <cellStyle name="20% - Accent5 4 5" xfId="2004" xr:uid="{00000000-0005-0000-0000-00004C030000}"/>
    <cellStyle name="20% - Accent5 4 6" xfId="2246" xr:uid="{00000000-0005-0000-0000-00004D030000}"/>
    <cellStyle name="20% - Accent5 4 7" xfId="2966" xr:uid="{00000000-0005-0000-0000-00004E030000}"/>
    <cellStyle name="20% - Accent5 5" xfId="266" xr:uid="{00000000-0005-0000-0000-00004F030000}"/>
    <cellStyle name="20% - Accent5 5 2" xfId="671" xr:uid="{00000000-0005-0000-0000-000050030000}"/>
    <cellStyle name="20% - Accent5 5 2 2" xfId="1403" xr:uid="{00000000-0005-0000-0000-000051030000}"/>
    <cellStyle name="20% - Accent5 5 2 3" xfId="2723" xr:uid="{00000000-0005-0000-0000-000052030000}"/>
    <cellStyle name="20% - Accent5 5 2 4" xfId="3441" xr:uid="{00000000-0005-0000-0000-000053030000}"/>
    <cellStyle name="20% - Accent5 5 3" xfId="1006" xr:uid="{00000000-0005-0000-0000-000054030000}"/>
    <cellStyle name="20% - Accent5 5 4" xfId="2128" xr:uid="{00000000-0005-0000-0000-000055030000}"/>
    <cellStyle name="20% - Accent5 5 5" xfId="2324" xr:uid="{00000000-0005-0000-0000-000056030000}"/>
    <cellStyle name="20% - Accent5 5 6" xfId="3044" xr:uid="{00000000-0005-0000-0000-000057030000}"/>
    <cellStyle name="20% - Accent5 6" xfId="303" xr:uid="{00000000-0005-0000-0000-000058030000}"/>
    <cellStyle name="20% - Accent5 6 2" xfId="708" xr:uid="{00000000-0005-0000-0000-000059030000}"/>
    <cellStyle name="20% - Accent5 6 2 2" xfId="1439" xr:uid="{00000000-0005-0000-0000-00005A030000}"/>
    <cellStyle name="20% - Accent5 6 2 3" xfId="2759" xr:uid="{00000000-0005-0000-0000-00005B030000}"/>
    <cellStyle name="20% - Accent5 6 2 4" xfId="3477" xr:uid="{00000000-0005-0000-0000-00005C030000}"/>
    <cellStyle name="20% - Accent5 6 3" xfId="1042" xr:uid="{00000000-0005-0000-0000-00005D030000}"/>
    <cellStyle name="20% - Accent5 6 4" xfId="2360" xr:uid="{00000000-0005-0000-0000-00005E030000}"/>
    <cellStyle name="20% - Accent5 6 5" xfId="3080" xr:uid="{00000000-0005-0000-0000-00005F030000}"/>
    <cellStyle name="20% - Accent5 7" xfId="436" xr:uid="{00000000-0005-0000-0000-000060030000}"/>
    <cellStyle name="20% - Accent5 7 2" xfId="1174" xr:uid="{00000000-0005-0000-0000-000061030000}"/>
    <cellStyle name="20% - Accent5 7 3" xfId="1811" xr:uid="{00000000-0005-0000-0000-000062030000}"/>
    <cellStyle name="20% - Accent5 7 4" xfId="2494" xr:uid="{00000000-0005-0000-0000-000063030000}"/>
    <cellStyle name="20% - Accent5 7 5" xfId="3212" xr:uid="{00000000-0005-0000-0000-000064030000}"/>
    <cellStyle name="20% - Accent5 8" xfId="516" xr:uid="{00000000-0005-0000-0000-000065030000}"/>
    <cellStyle name="20% - Accent5 8 2" xfId="1248" xr:uid="{00000000-0005-0000-0000-000066030000}"/>
    <cellStyle name="20% - Accent5 8 3" xfId="1884" xr:uid="{00000000-0005-0000-0000-000067030000}"/>
    <cellStyle name="20% - Accent5 8 4" xfId="2568" xr:uid="{00000000-0005-0000-0000-000068030000}"/>
    <cellStyle name="20% - Accent5 8 5" xfId="3286" xr:uid="{00000000-0005-0000-0000-000069030000}"/>
    <cellStyle name="20% - Accent5 9" xfId="842" xr:uid="{00000000-0005-0000-0000-00006A030000}"/>
    <cellStyle name="20% - Accent6" xfId="40" builtinId="50" customBuiltin="1"/>
    <cellStyle name="20% - Accent6 10" xfId="1734" xr:uid="{00000000-0005-0000-0000-00006C030000}"/>
    <cellStyle name="20% - Accent6 11" xfId="1929" xr:uid="{00000000-0005-0000-0000-00006D030000}"/>
    <cellStyle name="20% - Accent6 12" xfId="2169" xr:uid="{00000000-0005-0000-0000-00006E030000}"/>
    <cellStyle name="20% - Accent6 13" xfId="2891" xr:uid="{00000000-0005-0000-0000-00006F030000}"/>
    <cellStyle name="20% - Accent6 2" xfId="57" xr:uid="{00000000-0005-0000-0000-000070030000}"/>
    <cellStyle name="20% - Accent6 2 10" xfId="1936" xr:uid="{00000000-0005-0000-0000-000071030000}"/>
    <cellStyle name="20% - Accent6 2 11" xfId="2186" xr:uid="{00000000-0005-0000-0000-000072030000}"/>
    <cellStyle name="20% - Accent6 2 12" xfId="2906" xr:uid="{00000000-0005-0000-0000-000073030000}"/>
    <cellStyle name="20% - Accent6 2 2" xfId="101" xr:uid="{00000000-0005-0000-0000-000074030000}"/>
    <cellStyle name="20% - Accent6 2 2 2" xfId="236" xr:uid="{00000000-0005-0000-0000-000075030000}"/>
    <cellStyle name="20% - Accent6 2 2 2 2" xfId="314" xr:uid="{00000000-0005-0000-0000-000076030000}"/>
    <cellStyle name="20% - Accent6 2 2 2 2 2" xfId="719" xr:uid="{00000000-0005-0000-0000-000077030000}"/>
    <cellStyle name="20% - Accent6 2 2 2 2 2 2" xfId="1450" xr:uid="{00000000-0005-0000-0000-000078030000}"/>
    <cellStyle name="20% - Accent6 2 2 2 2 2 3" xfId="2770" xr:uid="{00000000-0005-0000-0000-000079030000}"/>
    <cellStyle name="20% - Accent6 2 2 2 2 2 4" xfId="3488" xr:uid="{00000000-0005-0000-0000-00007A030000}"/>
    <cellStyle name="20% - Accent6 2 2 2 2 3" xfId="1053" xr:uid="{00000000-0005-0000-0000-00007B030000}"/>
    <cellStyle name="20% - Accent6 2 2 2 2 4" xfId="2371" xr:uid="{00000000-0005-0000-0000-00007C030000}"/>
    <cellStyle name="20% - Accent6 2 2 2 2 5" xfId="3091" xr:uid="{00000000-0005-0000-0000-00007D030000}"/>
    <cellStyle name="20% - Accent6 2 2 2 3" xfId="641" xr:uid="{00000000-0005-0000-0000-00007E030000}"/>
    <cellStyle name="20% - Accent6 2 2 2 3 2" xfId="1373" xr:uid="{00000000-0005-0000-0000-00007F030000}"/>
    <cellStyle name="20% - Accent6 2 2 2 3 3" xfId="2693" xr:uid="{00000000-0005-0000-0000-000080030000}"/>
    <cellStyle name="20% - Accent6 2 2 2 3 4" xfId="3411" xr:uid="{00000000-0005-0000-0000-000081030000}"/>
    <cellStyle name="20% - Accent6 2 2 2 4" xfId="976" xr:uid="{00000000-0005-0000-0000-000082030000}"/>
    <cellStyle name="20% - Accent6 2 2 2 5" xfId="2100" xr:uid="{00000000-0005-0000-0000-000083030000}"/>
    <cellStyle name="20% - Accent6 2 2 2 6" xfId="2294" xr:uid="{00000000-0005-0000-0000-000084030000}"/>
    <cellStyle name="20% - Accent6 2 2 2 7" xfId="3014" xr:uid="{00000000-0005-0000-0000-000085030000}"/>
    <cellStyle name="20% - Accent6 2 2 3" xfId="313" xr:uid="{00000000-0005-0000-0000-000086030000}"/>
    <cellStyle name="20% - Accent6 2 2 3 2" xfId="718" xr:uid="{00000000-0005-0000-0000-000087030000}"/>
    <cellStyle name="20% - Accent6 2 2 3 2 2" xfId="1449" xr:uid="{00000000-0005-0000-0000-000088030000}"/>
    <cellStyle name="20% - Accent6 2 2 3 2 3" xfId="2769" xr:uid="{00000000-0005-0000-0000-000089030000}"/>
    <cellStyle name="20% - Accent6 2 2 3 2 4" xfId="3487" xr:uid="{00000000-0005-0000-0000-00008A030000}"/>
    <cellStyle name="20% - Accent6 2 2 3 3" xfId="1052" xr:uid="{00000000-0005-0000-0000-00008B030000}"/>
    <cellStyle name="20% - Accent6 2 2 3 4" xfId="2057" xr:uid="{00000000-0005-0000-0000-00008C030000}"/>
    <cellStyle name="20% - Accent6 2 2 3 5" xfId="2370" xr:uid="{00000000-0005-0000-0000-00008D030000}"/>
    <cellStyle name="20% - Accent6 2 2 3 6" xfId="3090" xr:uid="{00000000-0005-0000-0000-00008E030000}"/>
    <cellStyle name="20% - Accent6 2 2 4" xfId="483" xr:uid="{00000000-0005-0000-0000-00008F030000}"/>
    <cellStyle name="20% - Accent6 2 2 4 2" xfId="1221" xr:uid="{00000000-0005-0000-0000-000090030000}"/>
    <cellStyle name="20% - Accent6 2 2 4 3" xfId="1857" xr:uid="{00000000-0005-0000-0000-000091030000}"/>
    <cellStyle name="20% - Accent6 2 2 4 4" xfId="2541" xr:uid="{00000000-0005-0000-0000-000092030000}"/>
    <cellStyle name="20% - Accent6 2 2 4 5" xfId="3259" xr:uid="{00000000-0005-0000-0000-000093030000}"/>
    <cellStyle name="20% - Accent6 2 2 5" xfId="564" xr:uid="{00000000-0005-0000-0000-000094030000}"/>
    <cellStyle name="20% - Accent6 2 2 5 2" xfId="1296" xr:uid="{00000000-0005-0000-0000-000095030000}"/>
    <cellStyle name="20% - Accent6 2 2 5 3" xfId="2616" xr:uid="{00000000-0005-0000-0000-000096030000}"/>
    <cellStyle name="20% - Accent6 2 2 5 4" xfId="3334" xr:uid="{00000000-0005-0000-0000-000097030000}"/>
    <cellStyle name="20% - Accent6 2 2 6" xfId="892" xr:uid="{00000000-0005-0000-0000-000098030000}"/>
    <cellStyle name="20% - Accent6 2 2 7" xfId="1975" xr:uid="{00000000-0005-0000-0000-000099030000}"/>
    <cellStyle name="20% - Accent6 2 2 8" xfId="2217" xr:uid="{00000000-0005-0000-0000-00009A030000}"/>
    <cellStyle name="20% - Accent6 2 2 9" xfId="2937" xr:uid="{00000000-0005-0000-0000-00009B030000}"/>
    <cellStyle name="20% - Accent6 2 3" xfId="205" xr:uid="{00000000-0005-0000-0000-00009C030000}"/>
    <cellStyle name="20% - Accent6 2 3 2" xfId="315" xr:uid="{00000000-0005-0000-0000-00009D030000}"/>
    <cellStyle name="20% - Accent6 2 3 2 2" xfId="720" xr:uid="{00000000-0005-0000-0000-00009E030000}"/>
    <cellStyle name="20% - Accent6 2 3 2 2 2" xfId="1451" xr:uid="{00000000-0005-0000-0000-00009F030000}"/>
    <cellStyle name="20% - Accent6 2 3 2 2 3" xfId="2771" xr:uid="{00000000-0005-0000-0000-0000A0030000}"/>
    <cellStyle name="20% - Accent6 2 3 2 2 4" xfId="3489" xr:uid="{00000000-0005-0000-0000-0000A1030000}"/>
    <cellStyle name="20% - Accent6 2 3 2 3" xfId="1054" xr:uid="{00000000-0005-0000-0000-0000A2030000}"/>
    <cellStyle name="20% - Accent6 2 3 2 4" xfId="2372" xr:uid="{00000000-0005-0000-0000-0000A3030000}"/>
    <cellStyle name="20% - Accent6 2 3 2 5" xfId="3092" xr:uid="{00000000-0005-0000-0000-0000A4030000}"/>
    <cellStyle name="20% - Accent6 2 3 3" xfId="610" xr:uid="{00000000-0005-0000-0000-0000A5030000}"/>
    <cellStyle name="20% - Accent6 2 3 3 2" xfId="1342" xr:uid="{00000000-0005-0000-0000-0000A6030000}"/>
    <cellStyle name="20% - Accent6 2 3 3 3" xfId="2662" xr:uid="{00000000-0005-0000-0000-0000A7030000}"/>
    <cellStyle name="20% - Accent6 2 3 3 4" xfId="3380" xr:uid="{00000000-0005-0000-0000-0000A8030000}"/>
    <cellStyle name="20% - Accent6 2 3 4" xfId="945" xr:uid="{00000000-0005-0000-0000-0000A9030000}"/>
    <cellStyle name="20% - Accent6 2 3 5" xfId="2013" xr:uid="{00000000-0005-0000-0000-0000AA030000}"/>
    <cellStyle name="20% - Accent6 2 3 6" xfId="2263" xr:uid="{00000000-0005-0000-0000-0000AB030000}"/>
    <cellStyle name="20% - Accent6 2 3 7" xfId="2983" xr:uid="{00000000-0005-0000-0000-0000AC030000}"/>
    <cellStyle name="20% - Accent6 2 4" xfId="312" xr:uid="{00000000-0005-0000-0000-0000AD030000}"/>
    <cellStyle name="20% - Accent6 2 4 2" xfId="717" xr:uid="{00000000-0005-0000-0000-0000AE030000}"/>
    <cellStyle name="20% - Accent6 2 4 2 2" xfId="1448" xr:uid="{00000000-0005-0000-0000-0000AF030000}"/>
    <cellStyle name="20% - Accent6 2 4 2 3" xfId="2768" xr:uid="{00000000-0005-0000-0000-0000B0030000}"/>
    <cellStyle name="20% - Accent6 2 4 2 4" xfId="3486" xr:uid="{00000000-0005-0000-0000-0000B1030000}"/>
    <cellStyle name="20% - Accent6 2 4 3" xfId="1051" xr:uid="{00000000-0005-0000-0000-0000B2030000}"/>
    <cellStyle name="20% - Accent6 2 4 4" xfId="2137" xr:uid="{00000000-0005-0000-0000-0000B3030000}"/>
    <cellStyle name="20% - Accent6 2 4 5" xfId="2369" xr:uid="{00000000-0005-0000-0000-0000B4030000}"/>
    <cellStyle name="20% - Accent6 2 4 6" xfId="3089" xr:uid="{00000000-0005-0000-0000-0000B5030000}"/>
    <cellStyle name="20% - Accent6 2 5" xfId="453" xr:uid="{00000000-0005-0000-0000-0000B6030000}"/>
    <cellStyle name="20% - Accent6 2 5 2" xfId="1191" xr:uid="{00000000-0005-0000-0000-0000B7030000}"/>
    <cellStyle name="20% - Accent6 2 5 3" xfId="1783" xr:uid="{00000000-0005-0000-0000-0000B8030000}"/>
    <cellStyle name="20% - Accent6 2 5 4" xfId="2511" xr:uid="{00000000-0005-0000-0000-0000B9030000}"/>
    <cellStyle name="20% - Accent6 2 5 5" xfId="3229" xr:uid="{00000000-0005-0000-0000-0000BA030000}"/>
    <cellStyle name="20% - Accent6 2 6" xfId="533" xr:uid="{00000000-0005-0000-0000-0000BB030000}"/>
    <cellStyle name="20% - Accent6 2 6 2" xfId="1265" xr:uid="{00000000-0005-0000-0000-0000BC030000}"/>
    <cellStyle name="20% - Accent6 2 6 3" xfId="1827" xr:uid="{00000000-0005-0000-0000-0000BD030000}"/>
    <cellStyle name="20% - Accent6 2 6 4" xfId="2585" xr:uid="{00000000-0005-0000-0000-0000BE030000}"/>
    <cellStyle name="20% - Accent6 2 6 5" xfId="3303" xr:uid="{00000000-0005-0000-0000-0000BF030000}"/>
    <cellStyle name="20% - Accent6 2 7" xfId="860" xr:uid="{00000000-0005-0000-0000-0000C0030000}"/>
    <cellStyle name="20% - Accent6 2 7 2" xfId="1704" xr:uid="{00000000-0005-0000-0000-0000C1030000}"/>
    <cellStyle name="20% - Accent6 2 7 3" xfId="1893" xr:uid="{00000000-0005-0000-0000-0000C2030000}"/>
    <cellStyle name="20% - Accent6 2 8" xfId="1633" xr:uid="{00000000-0005-0000-0000-0000C3030000}"/>
    <cellStyle name="20% - Accent6 2 9" xfId="1742" xr:uid="{00000000-0005-0000-0000-0000C4030000}"/>
    <cellStyle name="20% - Accent6 3" xfId="86" xr:uid="{00000000-0005-0000-0000-0000C5030000}"/>
    <cellStyle name="20% - Accent6 3 2" xfId="221" xr:uid="{00000000-0005-0000-0000-0000C6030000}"/>
    <cellStyle name="20% - Accent6 3 2 2" xfId="317" xr:uid="{00000000-0005-0000-0000-0000C7030000}"/>
    <cellStyle name="20% - Accent6 3 2 2 2" xfId="722" xr:uid="{00000000-0005-0000-0000-0000C8030000}"/>
    <cellStyle name="20% - Accent6 3 2 2 2 2" xfId="1453" xr:uid="{00000000-0005-0000-0000-0000C9030000}"/>
    <cellStyle name="20% - Accent6 3 2 2 2 3" xfId="2773" xr:uid="{00000000-0005-0000-0000-0000CA030000}"/>
    <cellStyle name="20% - Accent6 3 2 2 2 4" xfId="3491" xr:uid="{00000000-0005-0000-0000-0000CB030000}"/>
    <cellStyle name="20% - Accent6 3 2 2 3" xfId="1056" xr:uid="{00000000-0005-0000-0000-0000CC030000}"/>
    <cellStyle name="20% - Accent6 3 2 2 4" xfId="2374" xr:uid="{00000000-0005-0000-0000-0000CD030000}"/>
    <cellStyle name="20% - Accent6 3 2 2 5" xfId="3094" xr:uid="{00000000-0005-0000-0000-0000CE030000}"/>
    <cellStyle name="20% - Accent6 3 2 3" xfId="626" xr:uid="{00000000-0005-0000-0000-0000CF030000}"/>
    <cellStyle name="20% - Accent6 3 2 3 2" xfId="1358" xr:uid="{00000000-0005-0000-0000-0000D0030000}"/>
    <cellStyle name="20% - Accent6 3 2 3 3" xfId="2678" xr:uid="{00000000-0005-0000-0000-0000D1030000}"/>
    <cellStyle name="20% - Accent6 3 2 3 4" xfId="3396" xr:uid="{00000000-0005-0000-0000-0000D2030000}"/>
    <cellStyle name="20% - Accent6 3 2 4" xfId="961" xr:uid="{00000000-0005-0000-0000-0000D3030000}"/>
    <cellStyle name="20% - Accent6 3 2 5" xfId="2086" xr:uid="{00000000-0005-0000-0000-0000D4030000}"/>
    <cellStyle name="20% - Accent6 3 2 6" xfId="2279" xr:uid="{00000000-0005-0000-0000-0000D5030000}"/>
    <cellStyle name="20% - Accent6 3 2 7" xfId="2999" xr:uid="{00000000-0005-0000-0000-0000D6030000}"/>
    <cellStyle name="20% - Accent6 3 3" xfId="316" xr:uid="{00000000-0005-0000-0000-0000D7030000}"/>
    <cellStyle name="20% - Accent6 3 3 2" xfId="721" xr:uid="{00000000-0005-0000-0000-0000D8030000}"/>
    <cellStyle name="20% - Accent6 3 3 2 2" xfId="1452" xr:uid="{00000000-0005-0000-0000-0000D9030000}"/>
    <cellStyle name="20% - Accent6 3 3 2 3" xfId="2772" xr:uid="{00000000-0005-0000-0000-0000DA030000}"/>
    <cellStyle name="20% - Accent6 3 3 2 4" xfId="3490" xr:uid="{00000000-0005-0000-0000-0000DB030000}"/>
    <cellStyle name="20% - Accent6 3 3 3" xfId="1055" xr:uid="{00000000-0005-0000-0000-0000DC030000}"/>
    <cellStyle name="20% - Accent6 3 3 4" xfId="2044" xr:uid="{00000000-0005-0000-0000-0000DD030000}"/>
    <cellStyle name="20% - Accent6 3 3 5" xfId="2373" xr:uid="{00000000-0005-0000-0000-0000DE030000}"/>
    <cellStyle name="20% - Accent6 3 3 6" xfId="3093" xr:uid="{00000000-0005-0000-0000-0000DF030000}"/>
    <cellStyle name="20% - Accent6 3 4" xfId="468" xr:uid="{00000000-0005-0000-0000-0000E0030000}"/>
    <cellStyle name="20% - Accent6 3 4 2" xfId="1206" xr:uid="{00000000-0005-0000-0000-0000E1030000}"/>
    <cellStyle name="20% - Accent6 3 4 3" xfId="1842" xr:uid="{00000000-0005-0000-0000-0000E2030000}"/>
    <cellStyle name="20% - Accent6 3 4 4" xfId="2526" xr:uid="{00000000-0005-0000-0000-0000E3030000}"/>
    <cellStyle name="20% - Accent6 3 4 5" xfId="3244" xr:uid="{00000000-0005-0000-0000-0000E4030000}"/>
    <cellStyle name="20% - Accent6 3 5" xfId="549" xr:uid="{00000000-0005-0000-0000-0000E5030000}"/>
    <cellStyle name="20% - Accent6 3 5 2" xfId="1281" xr:uid="{00000000-0005-0000-0000-0000E6030000}"/>
    <cellStyle name="20% - Accent6 3 5 3" xfId="2601" xr:uid="{00000000-0005-0000-0000-0000E7030000}"/>
    <cellStyle name="20% - Accent6 3 5 4" xfId="3319" xr:uid="{00000000-0005-0000-0000-0000E8030000}"/>
    <cellStyle name="20% - Accent6 3 6" xfId="877" xr:uid="{00000000-0005-0000-0000-0000E9030000}"/>
    <cellStyle name="20% - Accent6 3 7" xfId="1968" xr:uid="{00000000-0005-0000-0000-0000EA030000}"/>
    <cellStyle name="20% - Accent6 3 8" xfId="2202" xr:uid="{00000000-0005-0000-0000-0000EB030000}"/>
    <cellStyle name="20% - Accent6 3 9" xfId="2922" xr:uid="{00000000-0005-0000-0000-0000EC030000}"/>
    <cellStyle name="20% - Accent6 4" xfId="190" xr:uid="{00000000-0005-0000-0000-0000ED030000}"/>
    <cellStyle name="20% - Accent6 4 2" xfId="318" xr:uid="{00000000-0005-0000-0000-0000EE030000}"/>
    <cellStyle name="20% - Accent6 4 2 2" xfId="723" xr:uid="{00000000-0005-0000-0000-0000EF030000}"/>
    <cellStyle name="20% - Accent6 4 2 2 2" xfId="1454" xr:uid="{00000000-0005-0000-0000-0000F0030000}"/>
    <cellStyle name="20% - Accent6 4 2 2 3" xfId="2774" xr:uid="{00000000-0005-0000-0000-0000F1030000}"/>
    <cellStyle name="20% - Accent6 4 2 2 4" xfId="3492" xr:uid="{00000000-0005-0000-0000-0000F2030000}"/>
    <cellStyle name="20% - Accent6 4 2 3" xfId="1057" xr:uid="{00000000-0005-0000-0000-0000F3030000}"/>
    <cellStyle name="20% - Accent6 4 2 4" xfId="2375" xr:uid="{00000000-0005-0000-0000-0000F4030000}"/>
    <cellStyle name="20% - Accent6 4 2 5" xfId="3095" xr:uid="{00000000-0005-0000-0000-0000F5030000}"/>
    <cellStyle name="20% - Accent6 4 3" xfId="595" xr:uid="{00000000-0005-0000-0000-0000F6030000}"/>
    <cellStyle name="20% - Accent6 4 3 2" xfId="1327" xr:uid="{00000000-0005-0000-0000-0000F7030000}"/>
    <cellStyle name="20% - Accent6 4 3 3" xfId="2647" xr:uid="{00000000-0005-0000-0000-0000F8030000}"/>
    <cellStyle name="20% - Accent6 4 3 4" xfId="3365" xr:uid="{00000000-0005-0000-0000-0000F9030000}"/>
    <cellStyle name="20% - Accent6 4 4" xfId="930" xr:uid="{00000000-0005-0000-0000-0000FA030000}"/>
    <cellStyle name="20% - Accent6 4 5" xfId="2006" xr:uid="{00000000-0005-0000-0000-0000FB030000}"/>
    <cellStyle name="20% - Accent6 4 6" xfId="2248" xr:uid="{00000000-0005-0000-0000-0000FC030000}"/>
    <cellStyle name="20% - Accent6 4 7" xfId="2968" xr:uid="{00000000-0005-0000-0000-0000FD030000}"/>
    <cellStyle name="20% - Accent6 5" xfId="268" xr:uid="{00000000-0005-0000-0000-0000FE030000}"/>
    <cellStyle name="20% - Accent6 5 2" xfId="673" xr:uid="{00000000-0005-0000-0000-0000FF030000}"/>
    <cellStyle name="20% - Accent6 5 2 2" xfId="1405" xr:uid="{00000000-0005-0000-0000-000000040000}"/>
    <cellStyle name="20% - Accent6 5 2 3" xfId="2725" xr:uid="{00000000-0005-0000-0000-000001040000}"/>
    <cellStyle name="20% - Accent6 5 2 4" xfId="3443" xr:uid="{00000000-0005-0000-0000-000002040000}"/>
    <cellStyle name="20% - Accent6 5 3" xfId="1008" xr:uid="{00000000-0005-0000-0000-000003040000}"/>
    <cellStyle name="20% - Accent6 5 4" xfId="2130" xr:uid="{00000000-0005-0000-0000-000004040000}"/>
    <cellStyle name="20% - Accent6 5 5" xfId="2326" xr:uid="{00000000-0005-0000-0000-000005040000}"/>
    <cellStyle name="20% - Accent6 5 6" xfId="3046" xr:uid="{00000000-0005-0000-0000-000006040000}"/>
    <cellStyle name="20% - Accent6 6" xfId="311" xr:uid="{00000000-0005-0000-0000-000007040000}"/>
    <cellStyle name="20% - Accent6 6 2" xfId="716" xr:uid="{00000000-0005-0000-0000-000008040000}"/>
    <cellStyle name="20% - Accent6 6 2 2" xfId="1447" xr:uid="{00000000-0005-0000-0000-000009040000}"/>
    <cellStyle name="20% - Accent6 6 2 3" xfId="2767" xr:uid="{00000000-0005-0000-0000-00000A040000}"/>
    <cellStyle name="20% - Accent6 6 2 4" xfId="3485" xr:uid="{00000000-0005-0000-0000-00000B040000}"/>
    <cellStyle name="20% - Accent6 6 3" xfId="1050" xr:uid="{00000000-0005-0000-0000-00000C040000}"/>
    <cellStyle name="20% - Accent6 6 4" xfId="2368" xr:uid="{00000000-0005-0000-0000-00000D040000}"/>
    <cellStyle name="20% - Accent6 6 5" xfId="3088" xr:uid="{00000000-0005-0000-0000-00000E040000}"/>
    <cellStyle name="20% - Accent6 7" xfId="438" xr:uid="{00000000-0005-0000-0000-00000F040000}"/>
    <cellStyle name="20% - Accent6 7 2" xfId="1176" xr:uid="{00000000-0005-0000-0000-000010040000}"/>
    <cellStyle name="20% - Accent6 7 3" xfId="1813" xr:uid="{00000000-0005-0000-0000-000011040000}"/>
    <cellStyle name="20% - Accent6 7 4" xfId="2496" xr:uid="{00000000-0005-0000-0000-000012040000}"/>
    <cellStyle name="20% - Accent6 7 5" xfId="3214" xr:uid="{00000000-0005-0000-0000-000013040000}"/>
    <cellStyle name="20% - Accent6 8" xfId="518" xr:uid="{00000000-0005-0000-0000-000014040000}"/>
    <cellStyle name="20% - Accent6 8 2" xfId="1250" xr:uid="{00000000-0005-0000-0000-000015040000}"/>
    <cellStyle name="20% - Accent6 8 3" xfId="1886" xr:uid="{00000000-0005-0000-0000-000016040000}"/>
    <cellStyle name="20% - Accent6 8 4" xfId="2570" xr:uid="{00000000-0005-0000-0000-000017040000}"/>
    <cellStyle name="20% - Accent6 8 5" xfId="3288" xr:uid="{00000000-0005-0000-0000-000018040000}"/>
    <cellStyle name="20% - Accent6 9" xfId="845" xr:uid="{00000000-0005-0000-0000-000019040000}"/>
    <cellStyle name="40% - Accent1" xfId="21" builtinId="31" customBuiltin="1"/>
    <cellStyle name="40% - Accent1 10" xfId="1725" xr:uid="{00000000-0005-0000-0000-00001B040000}"/>
    <cellStyle name="40% - Accent1 11" xfId="1920" xr:uid="{00000000-0005-0000-0000-00001C040000}"/>
    <cellStyle name="40% - Accent1 12" xfId="2160" xr:uid="{00000000-0005-0000-0000-00001D040000}"/>
    <cellStyle name="40% - Accent1 13" xfId="2882" xr:uid="{00000000-0005-0000-0000-00001E040000}"/>
    <cellStyle name="40% - Accent1 2" xfId="48" xr:uid="{00000000-0005-0000-0000-00001F040000}"/>
    <cellStyle name="40% - Accent1 2 10" xfId="1937" xr:uid="{00000000-0005-0000-0000-000020040000}"/>
    <cellStyle name="40% - Accent1 2 11" xfId="2177" xr:uid="{00000000-0005-0000-0000-000021040000}"/>
    <cellStyle name="40% - Accent1 2 12" xfId="2897" xr:uid="{00000000-0005-0000-0000-000022040000}"/>
    <cellStyle name="40% - Accent1 2 2" xfId="92" xr:uid="{00000000-0005-0000-0000-000023040000}"/>
    <cellStyle name="40% - Accent1 2 2 2" xfId="227" xr:uid="{00000000-0005-0000-0000-000024040000}"/>
    <cellStyle name="40% - Accent1 2 2 2 2" xfId="322" xr:uid="{00000000-0005-0000-0000-000025040000}"/>
    <cellStyle name="40% - Accent1 2 2 2 2 2" xfId="727" xr:uid="{00000000-0005-0000-0000-000026040000}"/>
    <cellStyle name="40% - Accent1 2 2 2 2 2 2" xfId="1458" xr:uid="{00000000-0005-0000-0000-000027040000}"/>
    <cellStyle name="40% - Accent1 2 2 2 2 2 3" xfId="2778" xr:uid="{00000000-0005-0000-0000-000028040000}"/>
    <cellStyle name="40% - Accent1 2 2 2 2 2 4" xfId="3496" xr:uid="{00000000-0005-0000-0000-000029040000}"/>
    <cellStyle name="40% - Accent1 2 2 2 2 3" xfId="1061" xr:uid="{00000000-0005-0000-0000-00002A040000}"/>
    <cellStyle name="40% - Accent1 2 2 2 2 4" xfId="2379" xr:uid="{00000000-0005-0000-0000-00002B040000}"/>
    <cellStyle name="40% - Accent1 2 2 2 2 5" xfId="3099" xr:uid="{00000000-0005-0000-0000-00002C040000}"/>
    <cellStyle name="40% - Accent1 2 2 2 3" xfId="632" xr:uid="{00000000-0005-0000-0000-00002D040000}"/>
    <cellStyle name="40% - Accent1 2 2 2 3 2" xfId="1364" xr:uid="{00000000-0005-0000-0000-00002E040000}"/>
    <cellStyle name="40% - Accent1 2 2 2 3 3" xfId="2684" xr:uid="{00000000-0005-0000-0000-00002F040000}"/>
    <cellStyle name="40% - Accent1 2 2 2 3 4" xfId="3402" xr:uid="{00000000-0005-0000-0000-000030040000}"/>
    <cellStyle name="40% - Accent1 2 2 2 4" xfId="967" xr:uid="{00000000-0005-0000-0000-000031040000}"/>
    <cellStyle name="40% - Accent1 2 2 2 5" xfId="2091" xr:uid="{00000000-0005-0000-0000-000032040000}"/>
    <cellStyle name="40% - Accent1 2 2 2 6" xfId="2285" xr:uid="{00000000-0005-0000-0000-000033040000}"/>
    <cellStyle name="40% - Accent1 2 2 2 7" xfId="3005" xr:uid="{00000000-0005-0000-0000-000034040000}"/>
    <cellStyle name="40% - Accent1 2 2 3" xfId="321" xr:uid="{00000000-0005-0000-0000-000035040000}"/>
    <cellStyle name="40% - Accent1 2 2 3 2" xfId="726" xr:uid="{00000000-0005-0000-0000-000036040000}"/>
    <cellStyle name="40% - Accent1 2 2 3 2 2" xfId="1457" xr:uid="{00000000-0005-0000-0000-000037040000}"/>
    <cellStyle name="40% - Accent1 2 2 3 2 3" xfId="2777" xr:uid="{00000000-0005-0000-0000-000038040000}"/>
    <cellStyle name="40% - Accent1 2 2 3 2 4" xfId="3495" xr:uid="{00000000-0005-0000-0000-000039040000}"/>
    <cellStyle name="40% - Accent1 2 2 3 3" xfId="1060" xr:uid="{00000000-0005-0000-0000-00003A040000}"/>
    <cellStyle name="40% - Accent1 2 2 3 4" xfId="2048" xr:uid="{00000000-0005-0000-0000-00003B040000}"/>
    <cellStyle name="40% - Accent1 2 2 3 5" xfId="2378" xr:uid="{00000000-0005-0000-0000-00003C040000}"/>
    <cellStyle name="40% - Accent1 2 2 3 6" xfId="3098" xr:uid="{00000000-0005-0000-0000-00003D040000}"/>
    <cellStyle name="40% - Accent1 2 2 4" xfId="474" xr:uid="{00000000-0005-0000-0000-00003E040000}"/>
    <cellStyle name="40% - Accent1 2 2 4 2" xfId="1212" xr:uid="{00000000-0005-0000-0000-00003F040000}"/>
    <cellStyle name="40% - Accent1 2 2 4 3" xfId="1848" xr:uid="{00000000-0005-0000-0000-000040040000}"/>
    <cellStyle name="40% - Accent1 2 2 4 4" xfId="2532" xr:uid="{00000000-0005-0000-0000-000041040000}"/>
    <cellStyle name="40% - Accent1 2 2 4 5" xfId="3250" xr:uid="{00000000-0005-0000-0000-000042040000}"/>
    <cellStyle name="40% - Accent1 2 2 5" xfId="555" xr:uid="{00000000-0005-0000-0000-000043040000}"/>
    <cellStyle name="40% - Accent1 2 2 5 2" xfId="1287" xr:uid="{00000000-0005-0000-0000-000044040000}"/>
    <cellStyle name="40% - Accent1 2 2 5 3" xfId="2607" xr:uid="{00000000-0005-0000-0000-000045040000}"/>
    <cellStyle name="40% - Accent1 2 2 5 4" xfId="3325" xr:uid="{00000000-0005-0000-0000-000046040000}"/>
    <cellStyle name="40% - Accent1 2 2 6" xfId="883" xr:uid="{00000000-0005-0000-0000-000047040000}"/>
    <cellStyle name="40% - Accent1 2 2 7" xfId="1976" xr:uid="{00000000-0005-0000-0000-000048040000}"/>
    <cellStyle name="40% - Accent1 2 2 8" xfId="2208" xr:uid="{00000000-0005-0000-0000-000049040000}"/>
    <cellStyle name="40% - Accent1 2 2 9" xfId="2928" xr:uid="{00000000-0005-0000-0000-00004A040000}"/>
    <cellStyle name="40% - Accent1 2 3" xfId="196" xr:uid="{00000000-0005-0000-0000-00004B040000}"/>
    <cellStyle name="40% - Accent1 2 3 2" xfId="323" xr:uid="{00000000-0005-0000-0000-00004C040000}"/>
    <cellStyle name="40% - Accent1 2 3 2 2" xfId="728" xr:uid="{00000000-0005-0000-0000-00004D040000}"/>
    <cellStyle name="40% - Accent1 2 3 2 2 2" xfId="1459" xr:uid="{00000000-0005-0000-0000-00004E040000}"/>
    <cellStyle name="40% - Accent1 2 3 2 2 3" xfId="2779" xr:uid="{00000000-0005-0000-0000-00004F040000}"/>
    <cellStyle name="40% - Accent1 2 3 2 2 4" xfId="3497" xr:uid="{00000000-0005-0000-0000-000050040000}"/>
    <cellStyle name="40% - Accent1 2 3 2 3" xfId="1062" xr:uid="{00000000-0005-0000-0000-000051040000}"/>
    <cellStyle name="40% - Accent1 2 3 2 4" xfId="2380" xr:uid="{00000000-0005-0000-0000-000052040000}"/>
    <cellStyle name="40% - Accent1 2 3 2 5" xfId="3100" xr:uid="{00000000-0005-0000-0000-000053040000}"/>
    <cellStyle name="40% - Accent1 2 3 3" xfId="601" xr:uid="{00000000-0005-0000-0000-000054040000}"/>
    <cellStyle name="40% - Accent1 2 3 3 2" xfId="1333" xr:uid="{00000000-0005-0000-0000-000055040000}"/>
    <cellStyle name="40% - Accent1 2 3 3 3" xfId="2653" xr:uid="{00000000-0005-0000-0000-000056040000}"/>
    <cellStyle name="40% - Accent1 2 3 3 4" xfId="3371" xr:uid="{00000000-0005-0000-0000-000057040000}"/>
    <cellStyle name="40% - Accent1 2 3 4" xfId="936" xr:uid="{00000000-0005-0000-0000-000058040000}"/>
    <cellStyle name="40% - Accent1 2 3 5" xfId="2014" xr:uid="{00000000-0005-0000-0000-000059040000}"/>
    <cellStyle name="40% - Accent1 2 3 6" xfId="2254" xr:uid="{00000000-0005-0000-0000-00005A040000}"/>
    <cellStyle name="40% - Accent1 2 3 7" xfId="2974" xr:uid="{00000000-0005-0000-0000-00005B040000}"/>
    <cellStyle name="40% - Accent1 2 4" xfId="320" xr:uid="{00000000-0005-0000-0000-00005C040000}"/>
    <cellStyle name="40% - Accent1 2 4 2" xfId="725" xr:uid="{00000000-0005-0000-0000-00005D040000}"/>
    <cellStyle name="40% - Accent1 2 4 2 2" xfId="1456" xr:uid="{00000000-0005-0000-0000-00005E040000}"/>
    <cellStyle name="40% - Accent1 2 4 2 3" xfId="2776" xr:uid="{00000000-0005-0000-0000-00005F040000}"/>
    <cellStyle name="40% - Accent1 2 4 2 4" xfId="3494" xr:uid="{00000000-0005-0000-0000-000060040000}"/>
    <cellStyle name="40% - Accent1 2 4 3" xfId="1059" xr:uid="{00000000-0005-0000-0000-000061040000}"/>
    <cellStyle name="40% - Accent1 2 4 4" xfId="2138" xr:uid="{00000000-0005-0000-0000-000062040000}"/>
    <cellStyle name="40% - Accent1 2 4 5" xfId="2377" xr:uid="{00000000-0005-0000-0000-000063040000}"/>
    <cellStyle name="40% - Accent1 2 4 6" xfId="3097" xr:uid="{00000000-0005-0000-0000-000064040000}"/>
    <cellStyle name="40% - Accent1 2 5" xfId="444" xr:uid="{00000000-0005-0000-0000-000065040000}"/>
    <cellStyle name="40% - Accent1 2 5 2" xfId="1182" xr:uid="{00000000-0005-0000-0000-000066040000}"/>
    <cellStyle name="40% - Accent1 2 5 3" xfId="1784" xr:uid="{00000000-0005-0000-0000-000067040000}"/>
    <cellStyle name="40% - Accent1 2 5 4" xfId="2502" xr:uid="{00000000-0005-0000-0000-000068040000}"/>
    <cellStyle name="40% - Accent1 2 5 5" xfId="3220" xr:uid="{00000000-0005-0000-0000-000069040000}"/>
    <cellStyle name="40% - Accent1 2 6" xfId="524" xr:uid="{00000000-0005-0000-0000-00006A040000}"/>
    <cellStyle name="40% - Accent1 2 6 2" xfId="1256" xr:uid="{00000000-0005-0000-0000-00006B040000}"/>
    <cellStyle name="40% - Accent1 2 6 3" xfId="1818" xr:uid="{00000000-0005-0000-0000-00006C040000}"/>
    <cellStyle name="40% - Accent1 2 6 4" xfId="2576" xr:uid="{00000000-0005-0000-0000-00006D040000}"/>
    <cellStyle name="40% - Accent1 2 6 5" xfId="3294" xr:uid="{00000000-0005-0000-0000-00006E040000}"/>
    <cellStyle name="40% - Accent1 2 7" xfId="851" xr:uid="{00000000-0005-0000-0000-00006F040000}"/>
    <cellStyle name="40% - Accent1 2 7 2" xfId="1705" xr:uid="{00000000-0005-0000-0000-000070040000}"/>
    <cellStyle name="40% - Accent1 2 7 3" xfId="1894" xr:uid="{00000000-0005-0000-0000-000071040000}"/>
    <cellStyle name="40% - Accent1 2 8" xfId="1654" xr:uid="{00000000-0005-0000-0000-000072040000}"/>
    <cellStyle name="40% - Accent1 2 9" xfId="1743" xr:uid="{00000000-0005-0000-0000-000073040000}"/>
    <cellStyle name="40% - Accent1 3" xfId="77" xr:uid="{00000000-0005-0000-0000-000074040000}"/>
    <cellStyle name="40% - Accent1 3 2" xfId="212" xr:uid="{00000000-0005-0000-0000-000075040000}"/>
    <cellStyle name="40% - Accent1 3 2 2" xfId="325" xr:uid="{00000000-0005-0000-0000-000076040000}"/>
    <cellStyle name="40% - Accent1 3 2 2 2" xfId="730" xr:uid="{00000000-0005-0000-0000-000077040000}"/>
    <cellStyle name="40% - Accent1 3 2 2 2 2" xfId="1461" xr:uid="{00000000-0005-0000-0000-000078040000}"/>
    <cellStyle name="40% - Accent1 3 2 2 2 3" xfId="2781" xr:uid="{00000000-0005-0000-0000-000079040000}"/>
    <cellStyle name="40% - Accent1 3 2 2 2 4" xfId="3499" xr:uid="{00000000-0005-0000-0000-00007A040000}"/>
    <cellStyle name="40% - Accent1 3 2 2 3" xfId="1064" xr:uid="{00000000-0005-0000-0000-00007B040000}"/>
    <cellStyle name="40% - Accent1 3 2 2 4" xfId="2382" xr:uid="{00000000-0005-0000-0000-00007C040000}"/>
    <cellStyle name="40% - Accent1 3 2 2 5" xfId="3102" xr:uid="{00000000-0005-0000-0000-00007D040000}"/>
    <cellStyle name="40% - Accent1 3 2 3" xfId="617" xr:uid="{00000000-0005-0000-0000-00007E040000}"/>
    <cellStyle name="40% - Accent1 3 2 3 2" xfId="1349" xr:uid="{00000000-0005-0000-0000-00007F040000}"/>
    <cellStyle name="40% - Accent1 3 2 3 3" xfId="2669" xr:uid="{00000000-0005-0000-0000-000080040000}"/>
    <cellStyle name="40% - Accent1 3 2 3 4" xfId="3387" xr:uid="{00000000-0005-0000-0000-000081040000}"/>
    <cellStyle name="40% - Accent1 3 2 4" xfId="952" xr:uid="{00000000-0005-0000-0000-000082040000}"/>
    <cellStyle name="40% - Accent1 3 2 5" xfId="2077" xr:uid="{00000000-0005-0000-0000-000083040000}"/>
    <cellStyle name="40% - Accent1 3 2 6" xfId="2270" xr:uid="{00000000-0005-0000-0000-000084040000}"/>
    <cellStyle name="40% - Accent1 3 2 7" xfId="2990" xr:uid="{00000000-0005-0000-0000-000085040000}"/>
    <cellStyle name="40% - Accent1 3 3" xfId="324" xr:uid="{00000000-0005-0000-0000-000086040000}"/>
    <cellStyle name="40% - Accent1 3 3 2" xfId="729" xr:uid="{00000000-0005-0000-0000-000087040000}"/>
    <cellStyle name="40% - Accent1 3 3 2 2" xfId="1460" xr:uid="{00000000-0005-0000-0000-000088040000}"/>
    <cellStyle name="40% - Accent1 3 3 2 3" xfId="2780" xr:uid="{00000000-0005-0000-0000-000089040000}"/>
    <cellStyle name="40% - Accent1 3 3 2 4" xfId="3498" xr:uid="{00000000-0005-0000-0000-00008A040000}"/>
    <cellStyle name="40% - Accent1 3 3 3" xfId="1063" xr:uid="{00000000-0005-0000-0000-00008B040000}"/>
    <cellStyle name="40% - Accent1 3 3 4" xfId="2035" xr:uid="{00000000-0005-0000-0000-00008C040000}"/>
    <cellStyle name="40% - Accent1 3 3 5" xfId="2381" xr:uid="{00000000-0005-0000-0000-00008D040000}"/>
    <cellStyle name="40% - Accent1 3 3 6" xfId="3101" xr:uid="{00000000-0005-0000-0000-00008E040000}"/>
    <cellStyle name="40% - Accent1 3 4" xfId="459" xr:uid="{00000000-0005-0000-0000-00008F040000}"/>
    <cellStyle name="40% - Accent1 3 4 2" xfId="1197" xr:uid="{00000000-0005-0000-0000-000090040000}"/>
    <cellStyle name="40% - Accent1 3 4 3" xfId="1833" xr:uid="{00000000-0005-0000-0000-000091040000}"/>
    <cellStyle name="40% - Accent1 3 4 4" xfId="2517" xr:uid="{00000000-0005-0000-0000-000092040000}"/>
    <cellStyle name="40% - Accent1 3 4 5" xfId="3235" xr:uid="{00000000-0005-0000-0000-000093040000}"/>
    <cellStyle name="40% - Accent1 3 5" xfId="540" xr:uid="{00000000-0005-0000-0000-000094040000}"/>
    <cellStyle name="40% - Accent1 3 5 2" xfId="1272" xr:uid="{00000000-0005-0000-0000-000095040000}"/>
    <cellStyle name="40% - Accent1 3 5 3" xfId="2592" xr:uid="{00000000-0005-0000-0000-000096040000}"/>
    <cellStyle name="40% - Accent1 3 5 4" xfId="3310" xr:uid="{00000000-0005-0000-0000-000097040000}"/>
    <cellStyle name="40% - Accent1 3 6" xfId="868" xr:uid="{00000000-0005-0000-0000-000098040000}"/>
    <cellStyle name="40% - Accent1 3 7" xfId="1959" xr:uid="{00000000-0005-0000-0000-000099040000}"/>
    <cellStyle name="40% - Accent1 3 8" xfId="2193" xr:uid="{00000000-0005-0000-0000-00009A040000}"/>
    <cellStyle name="40% - Accent1 3 9" xfId="2913" xr:uid="{00000000-0005-0000-0000-00009B040000}"/>
    <cellStyle name="40% - Accent1 4" xfId="181" xr:uid="{00000000-0005-0000-0000-00009C040000}"/>
    <cellStyle name="40% - Accent1 4 2" xfId="326" xr:uid="{00000000-0005-0000-0000-00009D040000}"/>
    <cellStyle name="40% - Accent1 4 2 2" xfId="731" xr:uid="{00000000-0005-0000-0000-00009E040000}"/>
    <cellStyle name="40% - Accent1 4 2 2 2" xfId="1462" xr:uid="{00000000-0005-0000-0000-00009F040000}"/>
    <cellStyle name="40% - Accent1 4 2 2 3" xfId="2782" xr:uid="{00000000-0005-0000-0000-0000A0040000}"/>
    <cellStyle name="40% - Accent1 4 2 2 4" xfId="3500" xr:uid="{00000000-0005-0000-0000-0000A1040000}"/>
    <cellStyle name="40% - Accent1 4 2 3" xfId="1065" xr:uid="{00000000-0005-0000-0000-0000A2040000}"/>
    <cellStyle name="40% - Accent1 4 2 4" xfId="2383" xr:uid="{00000000-0005-0000-0000-0000A3040000}"/>
    <cellStyle name="40% - Accent1 4 2 5" xfId="3103" xr:uid="{00000000-0005-0000-0000-0000A4040000}"/>
    <cellStyle name="40% - Accent1 4 3" xfId="586" xr:uid="{00000000-0005-0000-0000-0000A5040000}"/>
    <cellStyle name="40% - Accent1 4 3 2" xfId="1318" xr:uid="{00000000-0005-0000-0000-0000A6040000}"/>
    <cellStyle name="40% - Accent1 4 3 3" xfId="2638" xr:uid="{00000000-0005-0000-0000-0000A7040000}"/>
    <cellStyle name="40% - Accent1 4 3 4" xfId="3356" xr:uid="{00000000-0005-0000-0000-0000A8040000}"/>
    <cellStyle name="40% - Accent1 4 4" xfId="921" xr:uid="{00000000-0005-0000-0000-0000A9040000}"/>
    <cellStyle name="40% - Accent1 4 5" xfId="1997" xr:uid="{00000000-0005-0000-0000-0000AA040000}"/>
    <cellStyle name="40% - Accent1 4 6" xfId="2239" xr:uid="{00000000-0005-0000-0000-0000AB040000}"/>
    <cellStyle name="40% - Accent1 4 7" xfId="2959" xr:uid="{00000000-0005-0000-0000-0000AC040000}"/>
    <cellStyle name="40% - Accent1 5" xfId="259" xr:uid="{00000000-0005-0000-0000-0000AD040000}"/>
    <cellStyle name="40% - Accent1 5 2" xfId="664" xr:uid="{00000000-0005-0000-0000-0000AE040000}"/>
    <cellStyle name="40% - Accent1 5 2 2" xfId="1396" xr:uid="{00000000-0005-0000-0000-0000AF040000}"/>
    <cellStyle name="40% - Accent1 5 2 3" xfId="2716" xr:uid="{00000000-0005-0000-0000-0000B0040000}"/>
    <cellStyle name="40% - Accent1 5 2 4" xfId="3434" xr:uid="{00000000-0005-0000-0000-0000B1040000}"/>
    <cellStyle name="40% - Accent1 5 3" xfId="999" xr:uid="{00000000-0005-0000-0000-0000B2040000}"/>
    <cellStyle name="40% - Accent1 5 4" xfId="2121" xr:uid="{00000000-0005-0000-0000-0000B3040000}"/>
    <cellStyle name="40% - Accent1 5 5" xfId="2317" xr:uid="{00000000-0005-0000-0000-0000B4040000}"/>
    <cellStyle name="40% - Accent1 5 6" xfId="3037" xr:uid="{00000000-0005-0000-0000-0000B5040000}"/>
    <cellStyle name="40% - Accent1 6" xfId="319" xr:uid="{00000000-0005-0000-0000-0000B6040000}"/>
    <cellStyle name="40% - Accent1 6 2" xfId="724" xr:uid="{00000000-0005-0000-0000-0000B7040000}"/>
    <cellStyle name="40% - Accent1 6 2 2" xfId="1455" xr:uid="{00000000-0005-0000-0000-0000B8040000}"/>
    <cellStyle name="40% - Accent1 6 2 3" xfId="2775" xr:uid="{00000000-0005-0000-0000-0000B9040000}"/>
    <cellStyle name="40% - Accent1 6 2 4" xfId="3493" xr:uid="{00000000-0005-0000-0000-0000BA040000}"/>
    <cellStyle name="40% - Accent1 6 3" xfId="1058" xr:uid="{00000000-0005-0000-0000-0000BB040000}"/>
    <cellStyle name="40% - Accent1 6 4" xfId="2376" xr:uid="{00000000-0005-0000-0000-0000BC040000}"/>
    <cellStyle name="40% - Accent1 6 5" xfId="3096" xr:uid="{00000000-0005-0000-0000-0000BD040000}"/>
    <cellStyle name="40% - Accent1 7" xfId="429" xr:uid="{00000000-0005-0000-0000-0000BE040000}"/>
    <cellStyle name="40% - Accent1 7 2" xfId="1167" xr:uid="{00000000-0005-0000-0000-0000BF040000}"/>
    <cellStyle name="40% - Accent1 7 3" xfId="1804" xr:uid="{00000000-0005-0000-0000-0000C0040000}"/>
    <cellStyle name="40% - Accent1 7 4" xfId="2487" xr:uid="{00000000-0005-0000-0000-0000C1040000}"/>
    <cellStyle name="40% - Accent1 7 5" xfId="3205" xr:uid="{00000000-0005-0000-0000-0000C2040000}"/>
    <cellStyle name="40% - Accent1 8" xfId="509" xr:uid="{00000000-0005-0000-0000-0000C3040000}"/>
    <cellStyle name="40% - Accent1 8 2" xfId="1241" xr:uid="{00000000-0005-0000-0000-0000C4040000}"/>
    <cellStyle name="40% - Accent1 8 3" xfId="1877" xr:uid="{00000000-0005-0000-0000-0000C5040000}"/>
    <cellStyle name="40% - Accent1 8 4" xfId="2561" xr:uid="{00000000-0005-0000-0000-0000C6040000}"/>
    <cellStyle name="40% - Accent1 8 5" xfId="3279" xr:uid="{00000000-0005-0000-0000-0000C7040000}"/>
    <cellStyle name="40% - Accent1 9" xfId="835" xr:uid="{00000000-0005-0000-0000-0000C8040000}"/>
    <cellStyle name="40% - Accent2" xfId="25" builtinId="35" customBuiltin="1"/>
    <cellStyle name="40% - Accent2 10" xfId="1727" xr:uid="{00000000-0005-0000-0000-0000CA040000}"/>
    <cellStyle name="40% - Accent2 11" xfId="1922" xr:uid="{00000000-0005-0000-0000-0000CB040000}"/>
    <cellStyle name="40% - Accent2 12" xfId="2162" xr:uid="{00000000-0005-0000-0000-0000CC040000}"/>
    <cellStyle name="40% - Accent2 13" xfId="2884" xr:uid="{00000000-0005-0000-0000-0000CD040000}"/>
    <cellStyle name="40% - Accent2 2" xfId="50" xr:uid="{00000000-0005-0000-0000-0000CE040000}"/>
    <cellStyle name="40% - Accent2 2 10" xfId="1938" xr:uid="{00000000-0005-0000-0000-0000CF040000}"/>
    <cellStyle name="40% - Accent2 2 11" xfId="2179" xr:uid="{00000000-0005-0000-0000-0000D0040000}"/>
    <cellStyle name="40% - Accent2 2 12" xfId="2899" xr:uid="{00000000-0005-0000-0000-0000D1040000}"/>
    <cellStyle name="40% - Accent2 2 2" xfId="94" xr:uid="{00000000-0005-0000-0000-0000D2040000}"/>
    <cellStyle name="40% - Accent2 2 2 2" xfId="229" xr:uid="{00000000-0005-0000-0000-0000D3040000}"/>
    <cellStyle name="40% - Accent2 2 2 2 2" xfId="330" xr:uid="{00000000-0005-0000-0000-0000D4040000}"/>
    <cellStyle name="40% - Accent2 2 2 2 2 2" xfId="735" xr:uid="{00000000-0005-0000-0000-0000D5040000}"/>
    <cellStyle name="40% - Accent2 2 2 2 2 2 2" xfId="1466" xr:uid="{00000000-0005-0000-0000-0000D6040000}"/>
    <cellStyle name="40% - Accent2 2 2 2 2 2 3" xfId="2786" xr:uid="{00000000-0005-0000-0000-0000D7040000}"/>
    <cellStyle name="40% - Accent2 2 2 2 2 2 4" xfId="3504" xr:uid="{00000000-0005-0000-0000-0000D8040000}"/>
    <cellStyle name="40% - Accent2 2 2 2 2 3" xfId="1069" xr:uid="{00000000-0005-0000-0000-0000D9040000}"/>
    <cellStyle name="40% - Accent2 2 2 2 2 4" xfId="2387" xr:uid="{00000000-0005-0000-0000-0000DA040000}"/>
    <cellStyle name="40% - Accent2 2 2 2 2 5" xfId="3107" xr:uid="{00000000-0005-0000-0000-0000DB040000}"/>
    <cellStyle name="40% - Accent2 2 2 2 3" xfId="634" xr:uid="{00000000-0005-0000-0000-0000DC040000}"/>
    <cellStyle name="40% - Accent2 2 2 2 3 2" xfId="1366" xr:uid="{00000000-0005-0000-0000-0000DD040000}"/>
    <cellStyle name="40% - Accent2 2 2 2 3 3" xfId="2686" xr:uid="{00000000-0005-0000-0000-0000DE040000}"/>
    <cellStyle name="40% - Accent2 2 2 2 3 4" xfId="3404" xr:uid="{00000000-0005-0000-0000-0000DF040000}"/>
    <cellStyle name="40% - Accent2 2 2 2 4" xfId="969" xr:uid="{00000000-0005-0000-0000-0000E0040000}"/>
    <cellStyle name="40% - Accent2 2 2 2 5" xfId="2093" xr:uid="{00000000-0005-0000-0000-0000E1040000}"/>
    <cellStyle name="40% - Accent2 2 2 2 6" xfId="2287" xr:uid="{00000000-0005-0000-0000-0000E2040000}"/>
    <cellStyle name="40% - Accent2 2 2 2 7" xfId="3007" xr:uid="{00000000-0005-0000-0000-0000E3040000}"/>
    <cellStyle name="40% - Accent2 2 2 3" xfId="329" xr:uid="{00000000-0005-0000-0000-0000E4040000}"/>
    <cellStyle name="40% - Accent2 2 2 3 2" xfId="734" xr:uid="{00000000-0005-0000-0000-0000E5040000}"/>
    <cellStyle name="40% - Accent2 2 2 3 2 2" xfId="1465" xr:uid="{00000000-0005-0000-0000-0000E6040000}"/>
    <cellStyle name="40% - Accent2 2 2 3 2 3" xfId="2785" xr:uid="{00000000-0005-0000-0000-0000E7040000}"/>
    <cellStyle name="40% - Accent2 2 2 3 2 4" xfId="3503" xr:uid="{00000000-0005-0000-0000-0000E8040000}"/>
    <cellStyle name="40% - Accent2 2 2 3 3" xfId="1068" xr:uid="{00000000-0005-0000-0000-0000E9040000}"/>
    <cellStyle name="40% - Accent2 2 2 3 4" xfId="2050" xr:uid="{00000000-0005-0000-0000-0000EA040000}"/>
    <cellStyle name="40% - Accent2 2 2 3 5" xfId="2386" xr:uid="{00000000-0005-0000-0000-0000EB040000}"/>
    <cellStyle name="40% - Accent2 2 2 3 6" xfId="3106" xr:uid="{00000000-0005-0000-0000-0000EC040000}"/>
    <cellStyle name="40% - Accent2 2 2 4" xfId="476" xr:uid="{00000000-0005-0000-0000-0000ED040000}"/>
    <cellStyle name="40% - Accent2 2 2 4 2" xfId="1214" xr:uid="{00000000-0005-0000-0000-0000EE040000}"/>
    <cellStyle name="40% - Accent2 2 2 4 3" xfId="1850" xr:uid="{00000000-0005-0000-0000-0000EF040000}"/>
    <cellStyle name="40% - Accent2 2 2 4 4" xfId="2534" xr:uid="{00000000-0005-0000-0000-0000F0040000}"/>
    <cellStyle name="40% - Accent2 2 2 4 5" xfId="3252" xr:uid="{00000000-0005-0000-0000-0000F1040000}"/>
    <cellStyle name="40% - Accent2 2 2 5" xfId="557" xr:uid="{00000000-0005-0000-0000-0000F2040000}"/>
    <cellStyle name="40% - Accent2 2 2 5 2" xfId="1289" xr:uid="{00000000-0005-0000-0000-0000F3040000}"/>
    <cellStyle name="40% - Accent2 2 2 5 3" xfId="2609" xr:uid="{00000000-0005-0000-0000-0000F4040000}"/>
    <cellStyle name="40% - Accent2 2 2 5 4" xfId="3327" xr:uid="{00000000-0005-0000-0000-0000F5040000}"/>
    <cellStyle name="40% - Accent2 2 2 6" xfId="885" xr:uid="{00000000-0005-0000-0000-0000F6040000}"/>
    <cellStyle name="40% - Accent2 2 2 7" xfId="1977" xr:uid="{00000000-0005-0000-0000-0000F7040000}"/>
    <cellStyle name="40% - Accent2 2 2 8" xfId="2210" xr:uid="{00000000-0005-0000-0000-0000F8040000}"/>
    <cellStyle name="40% - Accent2 2 2 9" xfId="2930" xr:uid="{00000000-0005-0000-0000-0000F9040000}"/>
    <cellStyle name="40% - Accent2 2 3" xfId="198" xr:uid="{00000000-0005-0000-0000-0000FA040000}"/>
    <cellStyle name="40% - Accent2 2 3 2" xfId="331" xr:uid="{00000000-0005-0000-0000-0000FB040000}"/>
    <cellStyle name="40% - Accent2 2 3 2 2" xfId="736" xr:uid="{00000000-0005-0000-0000-0000FC040000}"/>
    <cellStyle name="40% - Accent2 2 3 2 2 2" xfId="1467" xr:uid="{00000000-0005-0000-0000-0000FD040000}"/>
    <cellStyle name="40% - Accent2 2 3 2 2 3" xfId="2787" xr:uid="{00000000-0005-0000-0000-0000FE040000}"/>
    <cellStyle name="40% - Accent2 2 3 2 2 4" xfId="3505" xr:uid="{00000000-0005-0000-0000-0000FF040000}"/>
    <cellStyle name="40% - Accent2 2 3 2 3" xfId="1070" xr:uid="{00000000-0005-0000-0000-000000050000}"/>
    <cellStyle name="40% - Accent2 2 3 2 4" xfId="2388" xr:uid="{00000000-0005-0000-0000-000001050000}"/>
    <cellStyle name="40% - Accent2 2 3 2 5" xfId="3108" xr:uid="{00000000-0005-0000-0000-000002050000}"/>
    <cellStyle name="40% - Accent2 2 3 3" xfId="603" xr:uid="{00000000-0005-0000-0000-000003050000}"/>
    <cellStyle name="40% - Accent2 2 3 3 2" xfId="1335" xr:uid="{00000000-0005-0000-0000-000004050000}"/>
    <cellStyle name="40% - Accent2 2 3 3 3" xfId="2655" xr:uid="{00000000-0005-0000-0000-000005050000}"/>
    <cellStyle name="40% - Accent2 2 3 3 4" xfId="3373" xr:uid="{00000000-0005-0000-0000-000006050000}"/>
    <cellStyle name="40% - Accent2 2 3 4" xfId="938" xr:uid="{00000000-0005-0000-0000-000007050000}"/>
    <cellStyle name="40% - Accent2 2 3 5" xfId="2015" xr:uid="{00000000-0005-0000-0000-000008050000}"/>
    <cellStyle name="40% - Accent2 2 3 6" xfId="2256" xr:uid="{00000000-0005-0000-0000-000009050000}"/>
    <cellStyle name="40% - Accent2 2 3 7" xfId="2976" xr:uid="{00000000-0005-0000-0000-00000A050000}"/>
    <cellStyle name="40% - Accent2 2 4" xfId="328" xr:uid="{00000000-0005-0000-0000-00000B050000}"/>
    <cellStyle name="40% - Accent2 2 4 2" xfId="733" xr:uid="{00000000-0005-0000-0000-00000C050000}"/>
    <cellStyle name="40% - Accent2 2 4 2 2" xfId="1464" xr:uid="{00000000-0005-0000-0000-00000D050000}"/>
    <cellStyle name="40% - Accent2 2 4 2 3" xfId="2784" xr:uid="{00000000-0005-0000-0000-00000E050000}"/>
    <cellStyle name="40% - Accent2 2 4 2 4" xfId="3502" xr:uid="{00000000-0005-0000-0000-00000F050000}"/>
    <cellStyle name="40% - Accent2 2 4 3" xfId="1067" xr:uid="{00000000-0005-0000-0000-000010050000}"/>
    <cellStyle name="40% - Accent2 2 4 4" xfId="2139" xr:uid="{00000000-0005-0000-0000-000011050000}"/>
    <cellStyle name="40% - Accent2 2 4 5" xfId="2385" xr:uid="{00000000-0005-0000-0000-000012050000}"/>
    <cellStyle name="40% - Accent2 2 4 6" xfId="3105" xr:uid="{00000000-0005-0000-0000-000013050000}"/>
    <cellStyle name="40% - Accent2 2 5" xfId="446" xr:uid="{00000000-0005-0000-0000-000014050000}"/>
    <cellStyle name="40% - Accent2 2 5 2" xfId="1184" xr:uid="{00000000-0005-0000-0000-000015050000}"/>
    <cellStyle name="40% - Accent2 2 5 3" xfId="1785" xr:uid="{00000000-0005-0000-0000-000016050000}"/>
    <cellStyle name="40% - Accent2 2 5 4" xfId="2504" xr:uid="{00000000-0005-0000-0000-000017050000}"/>
    <cellStyle name="40% - Accent2 2 5 5" xfId="3222" xr:uid="{00000000-0005-0000-0000-000018050000}"/>
    <cellStyle name="40% - Accent2 2 6" xfId="526" xr:uid="{00000000-0005-0000-0000-000019050000}"/>
    <cellStyle name="40% - Accent2 2 6 2" xfId="1258" xr:uid="{00000000-0005-0000-0000-00001A050000}"/>
    <cellStyle name="40% - Accent2 2 6 3" xfId="1820" xr:uid="{00000000-0005-0000-0000-00001B050000}"/>
    <cellStyle name="40% - Accent2 2 6 4" xfId="2578" xr:uid="{00000000-0005-0000-0000-00001C050000}"/>
    <cellStyle name="40% - Accent2 2 6 5" xfId="3296" xr:uid="{00000000-0005-0000-0000-00001D050000}"/>
    <cellStyle name="40% - Accent2 2 7" xfId="853" xr:uid="{00000000-0005-0000-0000-00001E050000}"/>
    <cellStyle name="40% - Accent2 2 7 2" xfId="1706" xr:uid="{00000000-0005-0000-0000-00001F050000}"/>
    <cellStyle name="40% - Accent2 2 7 3" xfId="1895" xr:uid="{00000000-0005-0000-0000-000020050000}"/>
    <cellStyle name="40% - Accent2 2 8" xfId="1652" xr:uid="{00000000-0005-0000-0000-000021050000}"/>
    <cellStyle name="40% - Accent2 2 9" xfId="1744" xr:uid="{00000000-0005-0000-0000-000022050000}"/>
    <cellStyle name="40% - Accent2 3" xfId="79" xr:uid="{00000000-0005-0000-0000-000023050000}"/>
    <cellStyle name="40% - Accent2 3 2" xfId="214" xr:uid="{00000000-0005-0000-0000-000024050000}"/>
    <cellStyle name="40% - Accent2 3 2 2" xfId="333" xr:uid="{00000000-0005-0000-0000-000025050000}"/>
    <cellStyle name="40% - Accent2 3 2 2 2" xfId="738" xr:uid="{00000000-0005-0000-0000-000026050000}"/>
    <cellStyle name="40% - Accent2 3 2 2 2 2" xfId="1469" xr:uid="{00000000-0005-0000-0000-000027050000}"/>
    <cellStyle name="40% - Accent2 3 2 2 2 3" xfId="2789" xr:uid="{00000000-0005-0000-0000-000028050000}"/>
    <cellStyle name="40% - Accent2 3 2 2 2 4" xfId="3507" xr:uid="{00000000-0005-0000-0000-000029050000}"/>
    <cellStyle name="40% - Accent2 3 2 2 3" xfId="1072" xr:uid="{00000000-0005-0000-0000-00002A050000}"/>
    <cellStyle name="40% - Accent2 3 2 2 4" xfId="2390" xr:uid="{00000000-0005-0000-0000-00002B050000}"/>
    <cellStyle name="40% - Accent2 3 2 2 5" xfId="3110" xr:uid="{00000000-0005-0000-0000-00002C050000}"/>
    <cellStyle name="40% - Accent2 3 2 3" xfId="619" xr:uid="{00000000-0005-0000-0000-00002D050000}"/>
    <cellStyle name="40% - Accent2 3 2 3 2" xfId="1351" xr:uid="{00000000-0005-0000-0000-00002E050000}"/>
    <cellStyle name="40% - Accent2 3 2 3 3" xfId="2671" xr:uid="{00000000-0005-0000-0000-00002F050000}"/>
    <cellStyle name="40% - Accent2 3 2 3 4" xfId="3389" xr:uid="{00000000-0005-0000-0000-000030050000}"/>
    <cellStyle name="40% - Accent2 3 2 4" xfId="954" xr:uid="{00000000-0005-0000-0000-000031050000}"/>
    <cellStyle name="40% - Accent2 3 2 5" xfId="2079" xr:uid="{00000000-0005-0000-0000-000032050000}"/>
    <cellStyle name="40% - Accent2 3 2 6" xfId="2272" xr:uid="{00000000-0005-0000-0000-000033050000}"/>
    <cellStyle name="40% - Accent2 3 2 7" xfId="2992" xr:uid="{00000000-0005-0000-0000-000034050000}"/>
    <cellStyle name="40% - Accent2 3 3" xfId="332" xr:uid="{00000000-0005-0000-0000-000035050000}"/>
    <cellStyle name="40% - Accent2 3 3 2" xfId="737" xr:uid="{00000000-0005-0000-0000-000036050000}"/>
    <cellStyle name="40% - Accent2 3 3 2 2" xfId="1468" xr:uid="{00000000-0005-0000-0000-000037050000}"/>
    <cellStyle name="40% - Accent2 3 3 2 3" xfId="2788" xr:uid="{00000000-0005-0000-0000-000038050000}"/>
    <cellStyle name="40% - Accent2 3 3 2 4" xfId="3506" xr:uid="{00000000-0005-0000-0000-000039050000}"/>
    <cellStyle name="40% - Accent2 3 3 3" xfId="1071" xr:uid="{00000000-0005-0000-0000-00003A050000}"/>
    <cellStyle name="40% - Accent2 3 3 4" xfId="2037" xr:uid="{00000000-0005-0000-0000-00003B050000}"/>
    <cellStyle name="40% - Accent2 3 3 5" xfId="2389" xr:uid="{00000000-0005-0000-0000-00003C050000}"/>
    <cellStyle name="40% - Accent2 3 3 6" xfId="3109" xr:uid="{00000000-0005-0000-0000-00003D050000}"/>
    <cellStyle name="40% - Accent2 3 4" xfId="461" xr:uid="{00000000-0005-0000-0000-00003E050000}"/>
    <cellStyle name="40% - Accent2 3 4 2" xfId="1199" xr:uid="{00000000-0005-0000-0000-00003F050000}"/>
    <cellStyle name="40% - Accent2 3 4 3" xfId="1835" xr:uid="{00000000-0005-0000-0000-000040050000}"/>
    <cellStyle name="40% - Accent2 3 4 4" xfId="2519" xr:uid="{00000000-0005-0000-0000-000041050000}"/>
    <cellStyle name="40% - Accent2 3 4 5" xfId="3237" xr:uid="{00000000-0005-0000-0000-000042050000}"/>
    <cellStyle name="40% - Accent2 3 5" xfId="542" xr:uid="{00000000-0005-0000-0000-000043050000}"/>
    <cellStyle name="40% - Accent2 3 5 2" xfId="1274" xr:uid="{00000000-0005-0000-0000-000044050000}"/>
    <cellStyle name="40% - Accent2 3 5 3" xfId="2594" xr:uid="{00000000-0005-0000-0000-000045050000}"/>
    <cellStyle name="40% - Accent2 3 5 4" xfId="3312" xr:uid="{00000000-0005-0000-0000-000046050000}"/>
    <cellStyle name="40% - Accent2 3 6" xfId="870" xr:uid="{00000000-0005-0000-0000-000047050000}"/>
    <cellStyle name="40% - Accent2 3 7" xfId="1961" xr:uid="{00000000-0005-0000-0000-000048050000}"/>
    <cellStyle name="40% - Accent2 3 8" xfId="2195" xr:uid="{00000000-0005-0000-0000-000049050000}"/>
    <cellStyle name="40% - Accent2 3 9" xfId="2915" xr:uid="{00000000-0005-0000-0000-00004A050000}"/>
    <cellStyle name="40% - Accent2 4" xfId="183" xr:uid="{00000000-0005-0000-0000-00004B050000}"/>
    <cellStyle name="40% - Accent2 4 2" xfId="334" xr:uid="{00000000-0005-0000-0000-00004C050000}"/>
    <cellStyle name="40% - Accent2 4 2 2" xfId="739" xr:uid="{00000000-0005-0000-0000-00004D050000}"/>
    <cellStyle name="40% - Accent2 4 2 2 2" xfId="1470" xr:uid="{00000000-0005-0000-0000-00004E050000}"/>
    <cellStyle name="40% - Accent2 4 2 2 3" xfId="2790" xr:uid="{00000000-0005-0000-0000-00004F050000}"/>
    <cellStyle name="40% - Accent2 4 2 2 4" xfId="3508" xr:uid="{00000000-0005-0000-0000-000050050000}"/>
    <cellStyle name="40% - Accent2 4 2 3" xfId="1073" xr:uid="{00000000-0005-0000-0000-000051050000}"/>
    <cellStyle name="40% - Accent2 4 2 4" xfId="2391" xr:uid="{00000000-0005-0000-0000-000052050000}"/>
    <cellStyle name="40% - Accent2 4 2 5" xfId="3111" xr:uid="{00000000-0005-0000-0000-000053050000}"/>
    <cellStyle name="40% - Accent2 4 3" xfId="588" xr:uid="{00000000-0005-0000-0000-000054050000}"/>
    <cellStyle name="40% - Accent2 4 3 2" xfId="1320" xr:uid="{00000000-0005-0000-0000-000055050000}"/>
    <cellStyle name="40% - Accent2 4 3 3" xfId="2640" xr:uid="{00000000-0005-0000-0000-000056050000}"/>
    <cellStyle name="40% - Accent2 4 3 4" xfId="3358" xr:uid="{00000000-0005-0000-0000-000057050000}"/>
    <cellStyle name="40% - Accent2 4 4" xfId="923" xr:uid="{00000000-0005-0000-0000-000058050000}"/>
    <cellStyle name="40% - Accent2 4 5" xfId="1999" xr:uid="{00000000-0005-0000-0000-000059050000}"/>
    <cellStyle name="40% - Accent2 4 6" xfId="2241" xr:uid="{00000000-0005-0000-0000-00005A050000}"/>
    <cellStyle name="40% - Accent2 4 7" xfId="2961" xr:uid="{00000000-0005-0000-0000-00005B050000}"/>
    <cellStyle name="40% - Accent2 5" xfId="261" xr:uid="{00000000-0005-0000-0000-00005C050000}"/>
    <cellStyle name="40% - Accent2 5 2" xfId="666" xr:uid="{00000000-0005-0000-0000-00005D050000}"/>
    <cellStyle name="40% - Accent2 5 2 2" xfId="1398" xr:uid="{00000000-0005-0000-0000-00005E050000}"/>
    <cellStyle name="40% - Accent2 5 2 3" xfId="2718" xr:uid="{00000000-0005-0000-0000-00005F050000}"/>
    <cellStyle name="40% - Accent2 5 2 4" xfId="3436" xr:uid="{00000000-0005-0000-0000-000060050000}"/>
    <cellStyle name="40% - Accent2 5 3" xfId="1001" xr:uid="{00000000-0005-0000-0000-000061050000}"/>
    <cellStyle name="40% - Accent2 5 4" xfId="2123" xr:uid="{00000000-0005-0000-0000-000062050000}"/>
    <cellStyle name="40% - Accent2 5 5" xfId="2319" xr:uid="{00000000-0005-0000-0000-000063050000}"/>
    <cellStyle name="40% - Accent2 5 6" xfId="3039" xr:uid="{00000000-0005-0000-0000-000064050000}"/>
    <cellStyle name="40% - Accent2 6" xfId="327" xr:uid="{00000000-0005-0000-0000-000065050000}"/>
    <cellStyle name="40% - Accent2 6 2" xfId="732" xr:uid="{00000000-0005-0000-0000-000066050000}"/>
    <cellStyle name="40% - Accent2 6 2 2" xfId="1463" xr:uid="{00000000-0005-0000-0000-000067050000}"/>
    <cellStyle name="40% - Accent2 6 2 3" xfId="2783" xr:uid="{00000000-0005-0000-0000-000068050000}"/>
    <cellStyle name="40% - Accent2 6 2 4" xfId="3501" xr:uid="{00000000-0005-0000-0000-000069050000}"/>
    <cellStyle name="40% - Accent2 6 3" xfId="1066" xr:uid="{00000000-0005-0000-0000-00006A050000}"/>
    <cellStyle name="40% - Accent2 6 4" xfId="2384" xr:uid="{00000000-0005-0000-0000-00006B050000}"/>
    <cellStyle name="40% - Accent2 6 5" xfId="3104" xr:uid="{00000000-0005-0000-0000-00006C050000}"/>
    <cellStyle name="40% - Accent2 7" xfId="431" xr:uid="{00000000-0005-0000-0000-00006D050000}"/>
    <cellStyle name="40% - Accent2 7 2" xfId="1169" xr:uid="{00000000-0005-0000-0000-00006E050000}"/>
    <cellStyle name="40% - Accent2 7 3" xfId="1806" xr:uid="{00000000-0005-0000-0000-00006F050000}"/>
    <cellStyle name="40% - Accent2 7 4" xfId="2489" xr:uid="{00000000-0005-0000-0000-000070050000}"/>
    <cellStyle name="40% - Accent2 7 5" xfId="3207" xr:uid="{00000000-0005-0000-0000-000071050000}"/>
    <cellStyle name="40% - Accent2 8" xfId="511" xr:uid="{00000000-0005-0000-0000-000072050000}"/>
    <cellStyle name="40% - Accent2 8 2" xfId="1243" xr:uid="{00000000-0005-0000-0000-000073050000}"/>
    <cellStyle name="40% - Accent2 8 3" xfId="1879" xr:uid="{00000000-0005-0000-0000-000074050000}"/>
    <cellStyle name="40% - Accent2 8 4" xfId="2563" xr:uid="{00000000-0005-0000-0000-000075050000}"/>
    <cellStyle name="40% - Accent2 8 5" xfId="3281" xr:uid="{00000000-0005-0000-0000-000076050000}"/>
    <cellStyle name="40% - Accent2 9" xfId="837" xr:uid="{00000000-0005-0000-0000-000077050000}"/>
    <cellStyle name="40% - Accent3" xfId="29" builtinId="39" customBuiltin="1"/>
    <cellStyle name="40% - Accent3 10" xfId="1729" xr:uid="{00000000-0005-0000-0000-000079050000}"/>
    <cellStyle name="40% - Accent3 11" xfId="1924" xr:uid="{00000000-0005-0000-0000-00007A050000}"/>
    <cellStyle name="40% - Accent3 12" xfId="2164" xr:uid="{00000000-0005-0000-0000-00007B050000}"/>
    <cellStyle name="40% - Accent3 13" xfId="2886" xr:uid="{00000000-0005-0000-0000-00007C050000}"/>
    <cellStyle name="40% - Accent3 2" xfId="52" xr:uid="{00000000-0005-0000-0000-00007D050000}"/>
    <cellStyle name="40% - Accent3 2 10" xfId="1939" xr:uid="{00000000-0005-0000-0000-00007E050000}"/>
    <cellStyle name="40% - Accent3 2 11" xfId="2181" xr:uid="{00000000-0005-0000-0000-00007F050000}"/>
    <cellStyle name="40% - Accent3 2 12" xfId="2901" xr:uid="{00000000-0005-0000-0000-000080050000}"/>
    <cellStyle name="40% - Accent3 2 2" xfId="96" xr:uid="{00000000-0005-0000-0000-000081050000}"/>
    <cellStyle name="40% - Accent3 2 2 2" xfId="231" xr:uid="{00000000-0005-0000-0000-000082050000}"/>
    <cellStyle name="40% - Accent3 2 2 2 2" xfId="338" xr:uid="{00000000-0005-0000-0000-000083050000}"/>
    <cellStyle name="40% - Accent3 2 2 2 2 2" xfId="743" xr:uid="{00000000-0005-0000-0000-000084050000}"/>
    <cellStyle name="40% - Accent3 2 2 2 2 2 2" xfId="1474" xr:uid="{00000000-0005-0000-0000-000085050000}"/>
    <cellStyle name="40% - Accent3 2 2 2 2 2 3" xfId="2794" xr:uid="{00000000-0005-0000-0000-000086050000}"/>
    <cellStyle name="40% - Accent3 2 2 2 2 2 4" xfId="3512" xr:uid="{00000000-0005-0000-0000-000087050000}"/>
    <cellStyle name="40% - Accent3 2 2 2 2 3" xfId="1077" xr:uid="{00000000-0005-0000-0000-000088050000}"/>
    <cellStyle name="40% - Accent3 2 2 2 2 4" xfId="2395" xr:uid="{00000000-0005-0000-0000-000089050000}"/>
    <cellStyle name="40% - Accent3 2 2 2 2 5" xfId="3115" xr:uid="{00000000-0005-0000-0000-00008A050000}"/>
    <cellStyle name="40% - Accent3 2 2 2 3" xfId="636" xr:uid="{00000000-0005-0000-0000-00008B050000}"/>
    <cellStyle name="40% - Accent3 2 2 2 3 2" xfId="1368" xr:uid="{00000000-0005-0000-0000-00008C050000}"/>
    <cellStyle name="40% - Accent3 2 2 2 3 3" xfId="2688" xr:uid="{00000000-0005-0000-0000-00008D050000}"/>
    <cellStyle name="40% - Accent3 2 2 2 3 4" xfId="3406" xr:uid="{00000000-0005-0000-0000-00008E050000}"/>
    <cellStyle name="40% - Accent3 2 2 2 4" xfId="971" xr:uid="{00000000-0005-0000-0000-00008F050000}"/>
    <cellStyle name="40% - Accent3 2 2 2 5" xfId="2095" xr:uid="{00000000-0005-0000-0000-000090050000}"/>
    <cellStyle name="40% - Accent3 2 2 2 6" xfId="2289" xr:uid="{00000000-0005-0000-0000-000091050000}"/>
    <cellStyle name="40% - Accent3 2 2 2 7" xfId="3009" xr:uid="{00000000-0005-0000-0000-000092050000}"/>
    <cellStyle name="40% - Accent3 2 2 3" xfId="337" xr:uid="{00000000-0005-0000-0000-000093050000}"/>
    <cellStyle name="40% - Accent3 2 2 3 2" xfId="742" xr:uid="{00000000-0005-0000-0000-000094050000}"/>
    <cellStyle name="40% - Accent3 2 2 3 2 2" xfId="1473" xr:uid="{00000000-0005-0000-0000-000095050000}"/>
    <cellStyle name="40% - Accent3 2 2 3 2 3" xfId="2793" xr:uid="{00000000-0005-0000-0000-000096050000}"/>
    <cellStyle name="40% - Accent3 2 2 3 2 4" xfId="3511" xr:uid="{00000000-0005-0000-0000-000097050000}"/>
    <cellStyle name="40% - Accent3 2 2 3 3" xfId="1076" xr:uid="{00000000-0005-0000-0000-000098050000}"/>
    <cellStyle name="40% - Accent3 2 2 3 4" xfId="2052" xr:uid="{00000000-0005-0000-0000-000099050000}"/>
    <cellStyle name="40% - Accent3 2 2 3 5" xfId="2394" xr:uid="{00000000-0005-0000-0000-00009A050000}"/>
    <cellStyle name="40% - Accent3 2 2 3 6" xfId="3114" xr:uid="{00000000-0005-0000-0000-00009B050000}"/>
    <cellStyle name="40% - Accent3 2 2 4" xfId="478" xr:uid="{00000000-0005-0000-0000-00009C050000}"/>
    <cellStyle name="40% - Accent3 2 2 4 2" xfId="1216" xr:uid="{00000000-0005-0000-0000-00009D050000}"/>
    <cellStyle name="40% - Accent3 2 2 4 3" xfId="1852" xr:uid="{00000000-0005-0000-0000-00009E050000}"/>
    <cellStyle name="40% - Accent3 2 2 4 4" xfId="2536" xr:uid="{00000000-0005-0000-0000-00009F050000}"/>
    <cellStyle name="40% - Accent3 2 2 4 5" xfId="3254" xr:uid="{00000000-0005-0000-0000-0000A0050000}"/>
    <cellStyle name="40% - Accent3 2 2 5" xfId="559" xr:uid="{00000000-0005-0000-0000-0000A1050000}"/>
    <cellStyle name="40% - Accent3 2 2 5 2" xfId="1291" xr:uid="{00000000-0005-0000-0000-0000A2050000}"/>
    <cellStyle name="40% - Accent3 2 2 5 3" xfId="2611" xr:uid="{00000000-0005-0000-0000-0000A3050000}"/>
    <cellStyle name="40% - Accent3 2 2 5 4" xfId="3329" xr:uid="{00000000-0005-0000-0000-0000A4050000}"/>
    <cellStyle name="40% - Accent3 2 2 6" xfId="887" xr:uid="{00000000-0005-0000-0000-0000A5050000}"/>
    <cellStyle name="40% - Accent3 2 2 7" xfId="1978" xr:uid="{00000000-0005-0000-0000-0000A6050000}"/>
    <cellStyle name="40% - Accent3 2 2 8" xfId="2212" xr:uid="{00000000-0005-0000-0000-0000A7050000}"/>
    <cellStyle name="40% - Accent3 2 2 9" xfId="2932" xr:uid="{00000000-0005-0000-0000-0000A8050000}"/>
    <cellStyle name="40% - Accent3 2 3" xfId="200" xr:uid="{00000000-0005-0000-0000-0000A9050000}"/>
    <cellStyle name="40% - Accent3 2 3 2" xfId="339" xr:uid="{00000000-0005-0000-0000-0000AA050000}"/>
    <cellStyle name="40% - Accent3 2 3 2 2" xfId="744" xr:uid="{00000000-0005-0000-0000-0000AB050000}"/>
    <cellStyle name="40% - Accent3 2 3 2 2 2" xfId="1475" xr:uid="{00000000-0005-0000-0000-0000AC050000}"/>
    <cellStyle name="40% - Accent3 2 3 2 2 3" xfId="2795" xr:uid="{00000000-0005-0000-0000-0000AD050000}"/>
    <cellStyle name="40% - Accent3 2 3 2 2 4" xfId="3513" xr:uid="{00000000-0005-0000-0000-0000AE050000}"/>
    <cellStyle name="40% - Accent3 2 3 2 3" xfId="1078" xr:uid="{00000000-0005-0000-0000-0000AF050000}"/>
    <cellStyle name="40% - Accent3 2 3 2 4" xfId="2396" xr:uid="{00000000-0005-0000-0000-0000B0050000}"/>
    <cellStyle name="40% - Accent3 2 3 2 5" xfId="3116" xr:uid="{00000000-0005-0000-0000-0000B1050000}"/>
    <cellStyle name="40% - Accent3 2 3 3" xfId="605" xr:uid="{00000000-0005-0000-0000-0000B2050000}"/>
    <cellStyle name="40% - Accent3 2 3 3 2" xfId="1337" xr:uid="{00000000-0005-0000-0000-0000B3050000}"/>
    <cellStyle name="40% - Accent3 2 3 3 3" xfId="2657" xr:uid="{00000000-0005-0000-0000-0000B4050000}"/>
    <cellStyle name="40% - Accent3 2 3 3 4" xfId="3375" xr:uid="{00000000-0005-0000-0000-0000B5050000}"/>
    <cellStyle name="40% - Accent3 2 3 4" xfId="940" xr:uid="{00000000-0005-0000-0000-0000B6050000}"/>
    <cellStyle name="40% - Accent3 2 3 5" xfId="2016" xr:uid="{00000000-0005-0000-0000-0000B7050000}"/>
    <cellStyle name="40% - Accent3 2 3 6" xfId="2258" xr:uid="{00000000-0005-0000-0000-0000B8050000}"/>
    <cellStyle name="40% - Accent3 2 3 7" xfId="2978" xr:uid="{00000000-0005-0000-0000-0000B9050000}"/>
    <cellStyle name="40% - Accent3 2 4" xfId="336" xr:uid="{00000000-0005-0000-0000-0000BA050000}"/>
    <cellStyle name="40% - Accent3 2 4 2" xfId="741" xr:uid="{00000000-0005-0000-0000-0000BB050000}"/>
    <cellStyle name="40% - Accent3 2 4 2 2" xfId="1472" xr:uid="{00000000-0005-0000-0000-0000BC050000}"/>
    <cellStyle name="40% - Accent3 2 4 2 3" xfId="2792" xr:uid="{00000000-0005-0000-0000-0000BD050000}"/>
    <cellStyle name="40% - Accent3 2 4 2 4" xfId="3510" xr:uid="{00000000-0005-0000-0000-0000BE050000}"/>
    <cellStyle name="40% - Accent3 2 4 3" xfId="1075" xr:uid="{00000000-0005-0000-0000-0000BF050000}"/>
    <cellStyle name="40% - Accent3 2 4 4" xfId="2140" xr:uid="{00000000-0005-0000-0000-0000C0050000}"/>
    <cellStyle name="40% - Accent3 2 4 5" xfId="2393" xr:uid="{00000000-0005-0000-0000-0000C1050000}"/>
    <cellStyle name="40% - Accent3 2 4 6" xfId="3113" xr:uid="{00000000-0005-0000-0000-0000C2050000}"/>
    <cellStyle name="40% - Accent3 2 5" xfId="448" xr:uid="{00000000-0005-0000-0000-0000C3050000}"/>
    <cellStyle name="40% - Accent3 2 5 2" xfId="1186" xr:uid="{00000000-0005-0000-0000-0000C4050000}"/>
    <cellStyle name="40% - Accent3 2 5 3" xfId="1786" xr:uid="{00000000-0005-0000-0000-0000C5050000}"/>
    <cellStyle name="40% - Accent3 2 5 4" xfId="2506" xr:uid="{00000000-0005-0000-0000-0000C6050000}"/>
    <cellStyle name="40% - Accent3 2 5 5" xfId="3224" xr:uid="{00000000-0005-0000-0000-0000C7050000}"/>
    <cellStyle name="40% - Accent3 2 6" xfId="528" xr:uid="{00000000-0005-0000-0000-0000C8050000}"/>
    <cellStyle name="40% - Accent3 2 6 2" xfId="1260" xr:uid="{00000000-0005-0000-0000-0000C9050000}"/>
    <cellStyle name="40% - Accent3 2 6 3" xfId="1822" xr:uid="{00000000-0005-0000-0000-0000CA050000}"/>
    <cellStyle name="40% - Accent3 2 6 4" xfId="2580" xr:uid="{00000000-0005-0000-0000-0000CB050000}"/>
    <cellStyle name="40% - Accent3 2 6 5" xfId="3298" xr:uid="{00000000-0005-0000-0000-0000CC050000}"/>
    <cellStyle name="40% - Accent3 2 7" xfId="855" xr:uid="{00000000-0005-0000-0000-0000CD050000}"/>
    <cellStyle name="40% - Accent3 2 7 2" xfId="1707" xr:uid="{00000000-0005-0000-0000-0000CE050000}"/>
    <cellStyle name="40% - Accent3 2 7 3" xfId="1896" xr:uid="{00000000-0005-0000-0000-0000CF050000}"/>
    <cellStyle name="40% - Accent3 2 8" xfId="1631" xr:uid="{00000000-0005-0000-0000-0000D0050000}"/>
    <cellStyle name="40% - Accent3 2 9" xfId="1745" xr:uid="{00000000-0005-0000-0000-0000D1050000}"/>
    <cellStyle name="40% - Accent3 3" xfId="81" xr:uid="{00000000-0005-0000-0000-0000D2050000}"/>
    <cellStyle name="40% - Accent3 3 2" xfId="216" xr:uid="{00000000-0005-0000-0000-0000D3050000}"/>
    <cellStyle name="40% - Accent3 3 2 2" xfId="341" xr:uid="{00000000-0005-0000-0000-0000D4050000}"/>
    <cellStyle name="40% - Accent3 3 2 2 2" xfId="746" xr:uid="{00000000-0005-0000-0000-0000D5050000}"/>
    <cellStyle name="40% - Accent3 3 2 2 2 2" xfId="1477" xr:uid="{00000000-0005-0000-0000-0000D6050000}"/>
    <cellStyle name="40% - Accent3 3 2 2 2 3" xfId="2797" xr:uid="{00000000-0005-0000-0000-0000D7050000}"/>
    <cellStyle name="40% - Accent3 3 2 2 2 4" xfId="3515" xr:uid="{00000000-0005-0000-0000-0000D8050000}"/>
    <cellStyle name="40% - Accent3 3 2 2 3" xfId="1080" xr:uid="{00000000-0005-0000-0000-0000D9050000}"/>
    <cellStyle name="40% - Accent3 3 2 2 4" xfId="2398" xr:uid="{00000000-0005-0000-0000-0000DA050000}"/>
    <cellStyle name="40% - Accent3 3 2 2 5" xfId="3118" xr:uid="{00000000-0005-0000-0000-0000DB050000}"/>
    <cellStyle name="40% - Accent3 3 2 3" xfId="621" xr:uid="{00000000-0005-0000-0000-0000DC050000}"/>
    <cellStyle name="40% - Accent3 3 2 3 2" xfId="1353" xr:uid="{00000000-0005-0000-0000-0000DD050000}"/>
    <cellStyle name="40% - Accent3 3 2 3 3" xfId="2673" xr:uid="{00000000-0005-0000-0000-0000DE050000}"/>
    <cellStyle name="40% - Accent3 3 2 3 4" xfId="3391" xr:uid="{00000000-0005-0000-0000-0000DF050000}"/>
    <cellStyle name="40% - Accent3 3 2 4" xfId="956" xr:uid="{00000000-0005-0000-0000-0000E0050000}"/>
    <cellStyle name="40% - Accent3 3 2 5" xfId="2081" xr:uid="{00000000-0005-0000-0000-0000E1050000}"/>
    <cellStyle name="40% - Accent3 3 2 6" xfId="2274" xr:uid="{00000000-0005-0000-0000-0000E2050000}"/>
    <cellStyle name="40% - Accent3 3 2 7" xfId="2994" xr:uid="{00000000-0005-0000-0000-0000E3050000}"/>
    <cellStyle name="40% - Accent3 3 3" xfId="340" xr:uid="{00000000-0005-0000-0000-0000E4050000}"/>
    <cellStyle name="40% - Accent3 3 3 2" xfId="745" xr:uid="{00000000-0005-0000-0000-0000E5050000}"/>
    <cellStyle name="40% - Accent3 3 3 2 2" xfId="1476" xr:uid="{00000000-0005-0000-0000-0000E6050000}"/>
    <cellStyle name="40% - Accent3 3 3 2 3" xfId="2796" xr:uid="{00000000-0005-0000-0000-0000E7050000}"/>
    <cellStyle name="40% - Accent3 3 3 2 4" xfId="3514" xr:uid="{00000000-0005-0000-0000-0000E8050000}"/>
    <cellStyle name="40% - Accent3 3 3 3" xfId="1079" xr:uid="{00000000-0005-0000-0000-0000E9050000}"/>
    <cellStyle name="40% - Accent3 3 3 4" xfId="2039" xr:uid="{00000000-0005-0000-0000-0000EA050000}"/>
    <cellStyle name="40% - Accent3 3 3 5" xfId="2397" xr:uid="{00000000-0005-0000-0000-0000EB050000}"/>
    <cellStyle name="40% - Accent3 3 3 6" xfId="3117" xr:uid="{00000000-0005-0000-0000-0000EC050000}"/>
    <cellStyle name="40% - Accent3 3 4" xfId="463" xr:uid="{00000000-0005-0000-0000-0000ED050000}"/>
    <cellStyle name="40% - Accent3 3 4 2" xfId="1201" xr:uid="{00000000-0005-0000-0000-0000EE050000}"/>
    <cellStyle name="40% - Accent3 3 4 3" xfId="1837" xr:uid="{00000000-0005-0000-0000-0000EF050000}"/>
    <cellStyle name="40% - Accent3 3 4 4" xfId="2521" xr:uid="{00000000-0005-0000-0000-0000F0050000}"/>
    <cellStyle name="40% - Accent3 3 4 5" xfId="3239" xr:uid="{00000000-0005-0000-0000-0000F1050000}"/>
    <cellStyle name="40% - Accent3 3 5" xfId="544" xr:uid="{00000000-0005-0000-0000-0000F2050000}"/>
    <cellStyle name="40% - Accent3 3 5 2" xfId="1276" xr:uid="{00000000-0005-0000-0000-0000F3050000}"/>
    <cellStyle name="40% - Accent3 3 5 3" xfId="2596" xr:uid="{00000000-0005-0000-0000-0000F4050000}"/>
    <cellStyle name="40% - Accent3 3 5 4" xfId="3314" xr:uid="{00000000-0005-0000-0000-0000F5050000}"/>
    <cellStyle name="40% - Accent3 3 6" xfId="872" xr:uid="{00000000-0005-0000-0000-0000F6050000}"/>
    <cellStyle name="40% - Accent3 3 7" xfId="1963" xr:uid="{00000000-0005-0000-0000-0000F7050000}"/>
    <cellStyle name="40% - Accent3 3 8" xfId="2197" xr:uid="{00000000-0005-0000-0000-0000F8050000}"/>
    <cellStyle name="40% - Accent3 3 9" xfId="2917" xr:uid="{00000000-0005-0000-0000-0000F9050000}"/>
    <cellStyle name="40% - Accent3 4" xfId="185" xr:uid="{00000000-0005-0000-0000-0000FA050000}"/>
    <cellStyle name="40% - Accent3 4 2" xfId="342" xr:uid="{00000000-0005-0000-0000-0000FB050000}"/>
    <cellStyle name="40% - Accent3 4 2 2" xfId="747" xr:uid="{00000000-0005-0000-0000-0000FC050000}"/>
    <cellStyle name="40% - Accent3 4 2 2 2" xfId="1478" xr:uid="{00000000-0005-0000-0000-0000FD050000}"/>
    <cellStyle name="40% - Accent3 4 2 2 3" xfId="2798" xr:uid="{00000000-0005-0000-0000-0000FE050000}"/>
    <cellStyle name="40% - Accent3 4 2 2 4" xfId="3516" xr:uid="{00000000-0005-0000-0000-0000FF050000}"/>
    <cellStyle name="40% - Accent3 4 2 3" xfId="1081" xr:uid="{00000000-0005-0000-0000-000000060000}"/>
    <cellStyle name="40% - Accent3 4 2 4" xfId="2399" xr:uid="{00000000-0005-0000-0000-000001060000}"/>
    <cellStyle name="40% - Accent3 4 2 5" xfId="3119" xr:uid="{00000000-0005-0000-0000-000002060000}"/>
    <cellStyle name="40% - Accent3 4 3" xfId="590" xr:uid="{00000000-0005-0000-0000-000003060000}"/>
    <cellStyle name="40% - Accent3 4 3 2" xfId="1322" xr:uid="{00000000-0005-0000-0000-000004060000}"/>
    <cellStyle name="40% - Accent3 4 3 3" xfId="2642" xr:uid="{00000000-0005-0000-0000-000005060000}"/>
    <cellStyle name="40% - Accent3 4 3 4" xfId="3360" xr:uid="{00000000-0005-0000-0000-000006060000}"/>
    <cellStyle name="40% - Accent3 4 4" xfId="925" xr:uid="{00000000-0005-0000-0000-000007060000}"/>
    <cellStyle name="40% - Accent3 4 5" xfId="2001" xr:uid="{00000000-0005-0000-0000-000008060000}"/>
    <cellStyle name="40% - Accent3 4 6" xfId="2243" xr:uid="{00000000-0005-0000-0000-000009060000}"/>
    <cellStyle name="40% - Accent3 4 7" xfId="2963" xr:uid="{00000000-0005-0000-0000-00000A060000}"/>
    <cellStyle name="40% - Accent3 5" xfId="263" xr:uid="{00000000-0005-0000-0000-00000B060000}"/>
    <cellStyle name="40% - Accent3 5 2" xfId="668" xr:uid="{00000000-0005-0000-0000-00000C060000}"/>
    <cellStyle name="40% - Accent3 5 2 2" xfId="1400" xr:uid="{00000000-0005-0000-0000-00000D060000}"/>
    <cellStyle name="40% - Accent3 5 2 3" xfId="2720" xr:uid="{00000000-0005-0000-0000-00000E060000}"/>
    <cellStyle name="40% - Accent3 5 2 4" xfId="3438" xr:uid="{00000000-0005-0000-0000-00000F060000}"/>
    <cellStyle name="40% - Accent3 5 3" xfId="1003" xr:uid="{00000000-0005-0000-0000-000010060000}"/>
    <cellStyle name="40% - Accent3 5 4" xfId="2125" xr:uid="{00000000-0005-0000-0000-000011060000}"/>
    <cellStyle name="40% - Accent3 5 5" xfId="2321" xr:uid="{00000000-0005-0000-0000-000012060000}"/>
    <cellStyle name="40% - Accent3 5 6" xfId="3041" xr:uid="{00000000-0005-0000-0000-000013060000}"/>
    <cellStyle name="40% - Accent3 6" xfId="335" xr:uid="{00000000-0005-0000-0000-000014060000}"/>
    <cellStyle name="40% - Accent3 6 2" xfId="740" xr:uid="{00000000-0005-0000-0000-000015060000}"/>
    <cellStyle name="40% - Accent3 6 2 2" xfId="1471" xr:uid="{00000000-0005-0000-0000-000016060000}"/>
    <cellStyle name="40% - Accent3 6 2 3" xfId="2791" xr:uid="{00000000-0005-0000-0000-000017060000}"/>
    <cellStyle name="40% - Accent3 6 2 4" xfId="3509" xr:uid="{00000000-0005-0000-0000-000018060000}"/>
    <cellStyle name="40% - Accent3 6 3" xfId="1074" xr:uid="{00000000-0005-0000-0000-000019060000}"/>
    <cellStyle name="40% - Accent3 6 4" xfId="2392" xr:uid="{00000000-0005-0000-0000-00001A060000}"/>
    <cellStyle name="40% - Accent3 6 5" xfId="3112" xr:uid="{00000000-0005-0000-0000-00001B060000}"/>
    <cellStyle name="40% - Accent3 7" xfId="433" xr:uid="{00000000-0005-0000-0000-00001C060000}"/>
    <cellStyle name="40% - Accent3 7 2" xfId="1171" xr:uid="{00000000-0005-0000-0000-00001D060000}"/>
    <cellStyle name="40% - Accent3 7 3" xfId="1808" xr:uid="{00000000-0005-0000-0000-00001E060000}"/>
    <cellStyle name="40% - Accent3 7 4" xfId="2491" xr:uid="{00000000-0005-0000-0000-00001F060000}"/>
    <cellStyle name="40% - Accent3 7 5" xfId="3209" xr:uid="{00000000-0005-0000-0000-000020060000}"/>
    <cellStyle name="40% - Accent3 8" xfId="513" xr:uid="{00000000-0005-0000-0000-000021060000}"/>
    <cellStyle name="40% - Accent3 8 2" xfId="1245" xr:uid="{00000000-0005-0000-0000-000022060000}"/>
    <cellStyle name="40% - Accent3 8 3" xfId="1881" xr:uid="{00000000-0005-0000-0000-000023060000}"/>
    <cellStyle name="40% - Accent3 8 4" xfId="2565" xr:uid="{00000000-0005-0000-0000-000024060000}"/>
    <cellStyle name="40% - Accent3 8 5" xfId="3283" xr:uid="{00000000-0005-0000-0000-000025060000}"/>
    <cellStyle name="40% - Accent3 9" xfId="839" xr:uid="{00000000-0005-0000-0000-000026060000}"/>
    <cellStyle name="40% - Accent4" xfId="33" builtinId="43" customBuiltin="1"/>
    <cellStyle name="40% - Accent4 10" xfId="1731" xr:uid="{00000000-0005-0000-0000-000028060000}"/>
    <cellStyle name="40% - Accent4 11" xfId="1926" xr:uid="{00000000-0005-0000-0000-000029060000}"/>
    <cellStyle name="40% - Accent4 12" xfId="2166" xr:uid="{00000000-0005-0000-0000-00002A060000}"/>
    <cellStyle name="40% - Accent4 13" xfId="2888" xr:uid="{00000000-0005-0000-0000-00002B060000}"/>
    <cellStyle name="40% - Accent4 2" xfId="54" xr:uid="{00000000-0005-0000-0000-00002C060000}"/>
    <cellStyle name="40% - Accent4 2 10" xfId="1940" xr:uid="{00000000-0005-0000-0000-00002D060000}"/>
    <cellStyle name="40% - Accent4 2 11" xfId="2183" xr:uid="{00000000-0005-0000-0000-00002E060000}"/>
    <cellStyle name="40% - Accent4 2 12" xfId="2903" xr:uid="{00000000-0005-0000-0000-00002F060000}"/>
    <cellStyle name="40% - Accent4 2 2" xfId="98" xr:uid="{00000000-0005-0000-0000-000030060000}"/>
    <cellStyle name="40% - Accent4 2 2 2" xfId="233" xr:uid="{00000000-0005-0000-0000-000031060000}"/>
    <cellStyle name="40% - Accent4 2 2 2 2" xfId="346" xr:uid="{00000000-0005-0000-0000-000032060000}"/>
    <cellStyle name="40% - Accent4 2 2 2 2 2" xfId="751" xr:uid="{00000000-0005-0000-0000-000033060000}"/>
    <cellStyle name="40% - Accent4 2 2 2 2 2 2" xfId="1482" xr:uid="{00000000-0005-0000-0000-000034060000}"/>
    <cellStyle name="40% - Accent4 2 2 2 2 2 3" xfId="2802" xr:uid="{00000000-0005-0000-0000-000035060000}"/>
    <cellStyle name="40% - Accent4 2 2 2 2 2 4" xfId="3520" xr:uid="{00000000-0005-0000-0000-000036060000}"/>
    <cellStyle name="40% - Accent4 2 2 2 2 3" xfId="1085" xr:uid="{00000000-0005-0000-0000-000037060000}"/>
    <cellStyle name="40% - Accent4 2 2 2 2 4" xfId="2403" xr:uid="{00000000-0005-0000-0000-000038060000}"/>
    <cellStyle name="40% - Accent4 2 2 2 2 5" xfId="3123" xr:uid="{00000000-0005-0000-0000-000039060000}"/>
    <cellStyle name="40% - Accent4 2 2 2 3" xfId="638" xr:uid="{00000000-0005-0000-0000-00003A060000}"/>
    <cellStyle name="40% - Accent4 2 2 2 3 2" xfId="1370" xr:uid="{00000000-0005-0000-0000-00003B060000}"/>
    <cellStyle name="40% - Accent4 2 2 2 3 3" xfId="2690" xr:uid="{00000000-0005-0000-0000-00003C060000}"/>
    <cellStyle name="40% - Accent4 2 2 2 3 4" xfId="3408" xr:uid="{00000000-0005-0000-0000-00003D060000}"/>
    <cellStyle name="40% - Accent4 2 2 2 4" xfId="973" xr:uid="{00000000-0005-0000-0000-00003E060000}"/>
    <cellStyle name="40% - Accent4 2 2 2 5" xfId="2097" xr:uid="{00000000-0005-0000-0000-00003F060000}"/>
    <cellStyle name="40% - Accent4 2 2 2 6" xfId="2291" xr:uid="{00000000-0005-0000-0000-000040060000}"/>
    <cellStyle name="40% - Accent4 2 2 2 7" xfId="3011" xr:uid="{00000000-0005-0000-0000-000041060000}"/>
    <cellStyle name="40% - Accent4 2 2 3" xfId="345" xr:uid="{00000000-0005-0000-0000-000042060000}"/>
    <cellStyle name="40% - Accent4 2 2 3 2" xfId="750" xr:uid="{00000000-0005-0000-0000-000043060000}"/>
    <cellStyle name="40% - Accent4 2 2 3 2 2" xfId="1481" xr:uid="{00000000-0005-0000-0000-000044060000}"/>
    <cellStyle name="40% - Accent4 2 2 3 2 3" xfId="2801" xr:uid="{00000000-0005-0000-0000-000045060000}"/>
    <cellStyle name="40% - Accent4 2 2 3 2 4" xfId="3519" xr:uid="{00000000-0005-0000-0000-000046060000}"/>
    <cellStyle name="40% - Accent4 2 2 3 3" xfId="1084" xr:uid="{00000000-0005-0000-0000-000047060000}"/>
    <cellStyle name="40% - Accent4 2 2 3 4" xfId="2054" xr:uid="{00000000-0005-0000-0000-000048060000}"/>
    <cellStyle name="40% - Accent4 2 2 3 5" xfId="2402" xr:uid="{00000000-0005-0000-0000-000049060000}"/>
    <cellStyle name="40% - Accent4 2 2 3 6" xfId="3122" xr:uid="{00000000-0005-0000-0000-00004A060000}"/>
    <cellStyle name="40% - Accent4 2 2 4" xfId="480" xr:uid="{00000000-0005-0000-0000-00004B060000}"/>
    <cellStyle name="40% - Accent4 2 2 4 2" xfId="1218" xr:uid="{00000000-0005-0000-0000-00004C060000}"/>
    <cellStyle name="40% - Accent4 2 2 4 3" xfId="1854" xr:uid="{00000000-0005-0000-0000-00004D060000}"/>
    <cellStyle name="40% - Accent4 2 2 4 4" xfId="2538" xr:uid="{00000000-0005-0000-0000-00004E060000}"/>
    <cellStyle name="40% - Accent4 2 2 4 5" xfId="3256" xr:uid="{00000000-0005-0000-0000-00004F060000}"/>
    <cellStyle name="40% - Accent4 2 2 5" xfId="561" xr:uid="{00000000-0005-0000-0000-000050060000}"/>
    <cellStyle name="40% - Accent4 2 2 5 2" xfId="1293" xr:uid="{00000000-0005-0000-0000-000051060000}"/>
    <cellStyle name="40% - Accent4 2 2 5 3" xfId="2613" xr:uid="{00000000-0005-0000-0000-000052060000}"/>
    <cellStyle name="40% - Accent4 2 2 5 4" xfId="3331" xr:uid="{00000000-0005-0000-0000-000053060000}"/>
    <cellStyle name="40% - Accent4 2 2 6" xfId="889" xr:uid="{00000000-0005-0000-0000-000054060000}"/>
    <cellStyle name="40% - Accent4 2 2 7" xfId="1979" xr:uid="{00000000-0005-0000-0000-000055060000}"/>
    <cellStyle name="40% - Accent4 2 2 8" xfId="2214" xr:uid="{00000000-0005-0000-0000-000056060000}"/>
    <cellStyle name="40% - Accent4 2 2 9" xfId="2934" xr:uid="{00000000-0005-0000-0000-000057060000}"/>
    <cellStyle name="40% - Accent4 2 3" xfId="202" xr:uid="{00000000-0005-0000-0000-000058060000}"/>
    <cellStyle name="40% - Accent4 2 3 2" xfId="347" xr:uid="{00000000-0005-0000-0000-000059060000}"/>
    <cellStyle name="40% - Accent4 2 3 2 2" xfId="752" xr:uid="{00000000-0005-0000-0000-00005A060000}"/>
    <cellStyle name="40% - Accent4 2 3 2 2 2" xfId="1483" xr:uid="{00000000-0005-0000-0000-00005B060000}"/>
    <cellStyle name="40% - Accent4 2 3 2 2 3" xfId="2803" xr:uid="{00000000-0005-0000-0000-00005C060000}"/>
    <cellStyle name="40% - Accent4 2 3 2 2 4" xfId="3521" xr:uid="{00000000-0005-0000-0000-00005D060000}"/>
    <cellStyle name="40% - Accent4 2 3 2 3" xfId="1086" xr:uid="{00000000-0005-0000-0000-00005E060000}"/>
    <cellStyle name="40% - Accent4 2 3 2 4" xfId="2404" xr:uid="{00000000-0005-0000-0000-00005F060000}"/>
    <cellStyle name="40% - Accent4 2 3 2 5" xfId="3124" xr:uid="{00000000-0005-0000-0000-000060060000}"/>
    <cellStyle name="40% - Accent4 2 3 3" xfId="607" xr:uid="{00000000-0005-0000-0000-000061060000}"/>
    <cellStyle name="40% - Accent4 2 3 3 2" xfId="1339" xr:uid="{00000000-0005-0000-0000-000062060000}"/>
    <cellStyle name="40% - Accent4 2 3 3 3" xfId="2659" xr:uid="{00000000-0005-0000-0000-000063060000}"/>
    <cellStyle name="40% - Accent4 2 3 3 4" xfId="3377" xr:uid="{00000000-0005-0000-0000-000064060000}"/>
    <cellStyle name="40% - Accent4 2 3 4" xfId="942" xr:uid="{00000000-0005-0000-0000-000065060000}"/>
    <cellStyle name="40% - Accent4 2 3 5" xfId="2017" xr:uid="{00000000-0005-0000-0000-000066060000}"/>
    <cellStyle name="40% - Accent4 2 3 6" xfId="2260" xr:uid="{00000000-0005-0000-0000-000067060000}"/>
    <cellStyle name="40% - Accent4 2 3 7" xfId="2980" xr:uid="{00000000-0005-0000-0000-000068060000}"/>
    <cellStyle name="40% - Accent4 2 4" xfId="344" xr:uid="{00000000-0005-0000-0000-000069060000}"/>
    <cellStyle name="40% - Accent4 2 4 2" xfId="749" xr:uid="{00000000-0005-0000-0000-00006A060000}"/>
    <cellStyle name="40% - Accent4 2 4 2 2" xfId="1480" xr:uid="{00000000-0005-0000-0000-00006B060000}"/>
    <cellStyle name="40% - Accent4 2 4 2 3" xfId="2800" xr:uid="{00000000-0005-0000-0000-00006C060000}"/>
    <cellStyle name="40% - Accent4 2 4 2 4" xfId="3518" xr:uid="{00000000-0005-0000-0000-00006D060000}"/>
    <cellStyle name="40% - Accent4 2 4 3" xfId="1083" xr:uid="{00000000-0005-0000-0000-00006E060000}"/>
    <cellStyle name="40% - Accent4 2 4 4" xfId="2141" xr:uid="{00000000-0005-0000-0000-00006F060000}"/>
    <cellStyle name="40% - Accent4 2 4 5" xfId="2401" xr:uid="{00000000-0005-0000-0000-000070060000}"/>
    <cellStyle name="40% - Accent4 2 4 6" xfId="3121" xr:uid="{00000000-0005-0000-0000-000071060000}"/>
    <cellStyle name="40% - Accent4 2 5" xfId="450" xr:uid="{00000000-0005-0000-0000-000072060000}"/>
    <cellStyle name="40% - Accent4 2 5 2" xfId="1188" xr:uid="{00000000-0005-0000-0000-000073060000}"/>
    <cellStyle name="40% - Accent4 2 5 3" xfId="1787" xr:uid="{00000000-0005-0000-0000-000074060000}"/>
    <cellStyle name="40% - Accent4 2 5 4" xfId="2508" xr:uid="{00000000-0005-0000-0000-000075060000}"/>
    <cellStyle name="40% - Accent4 2 5 5" xfId="3226" xr:uid="{00000000-0005-0000-0000-000076060000}"/>
    <cellStyle name="40% - Accent4 2 6" xfId="530" xr:uid="{00000000-0005-0000-0000-000077060000}"/>
    <cellStyle name="40% - Accent4 2 6 2" xfId="1262" xr:uid="{00000000-0005-0000-0000-000078060000}"/>
    <cellStyle name="40% - Accent4 2 6 3" xfId="1824" xr:uid="{00000000-0005-0000-0000-000079060000}"/>
    <cellStyle name="40% - Accent4 2 6 4" xfId="2582" xr:uid="{00000000-0005-0000-0000-00007A060000}"/>
    <cellStyle name="40% - Accent4 2 6 5" xfId="3300" xr:uid="{00000000-0005-0000-0000-00007B060000}"/>
    <cellStyle name="40% - Accent4 2 7" xfId="857" xr:uid="{00000000-0005-0000-0000-00007C060000}"/>
    <cellStyle name="40% - Accent4 2 7 2" xfId="1708" xr:uid="{00000000-0005-0000-0000-00007D060000}"/>
    <cellStyle name="40% - Accent4 2 7 3" xfId="1897" xr:uid="{00000000-0005-0000-0000-00007E060000}"/>
    <cellStyle name="40% - Accent4 2 8" xfId="1642" xr:uid="{00000000-0005-0000-0000-00007F060000}"/>
    <cellStyle name="40% - Accent4 2 9" xfId="1746" xr:uid="{00000000-0005-0000-0000-000080060000}"/>
    <cellStyle name="40% - Accent4 3" xfId="83" xr:uid="{00000000-0005-0000-0000-000081060000}"/>
    <cellStyle name="40% - Accent4 3 2" xfId="218" xr:uid="{00000000-0005-0000-0000-000082060000}"/>
    <cellStyle name="40% - Accent4 3 2 2" xfId="349" xr:uid="{00000000-0005-0000-0000-000083060000}"/>
    <cellStyle name="40% - Accent4 3 2 2 2" xfId="754" xr:uid="{00000000-0005-0000-0000-000084060000}"/>
    <cellStyle name="40% - Accent4 3 2 2 2 2" xfId="1485" xr:uid="{00000000-0005-0000-0000-000085060000}"/>
    <cellStyle name="40% - Accent4 3 2 2 2 3" xfId="2805" xr:uid="{00000000-0005-0000-0000-000086060000}"/>
    <cellStyle name="40% - Accent4 3 2 2 2 4" xfId="3523" xr:uid="{00000000-0005-0000-0000-000087060000}"/>
    <cellStyle name="40% - Accent4 3 2 2 3" xfId="1088" xr:uid="{00000000-0005-0000-0000-000088060000}"/>
    <cellStyle name="40% - Accent4 3 2 2 4" xfId="2406" xr:uid="{00000000-0005-0000-0000-000089060000}"/>
    <cellStyle name="40% - Accent4 3 2 2 5" xfId="3126" xr:uid="{00000000-0005-0000-0000-00008A060000}"/>
    <cellStyle name="40% - Accent4 3 2 3" xfId="623" xr:uid="{00000000-0005-0000-0000-00008B060000}"/>
    <cellStyle name="40% - Accent4 3 2 3 2" xfId="1355" xr:uid="{00000000-0005-0000-0000-00008C060000}"/>
    <cellStyle name="40% - Accent4 3 2 3 3" xfId="2675" xr:uid="{00000000-0005-0000-0000-00008D060000}"/>
    <cellStyle name="40% - Accent4 3 2 3 4" xfId="3393" xr:uid="{00000000-0005-0000-0000-00008E060000}"/>
    <cellStyle name="40% - Accent4 3 2 4" xfId="958" xr:uid="{00000000-0005-0000-0000-00008F060000}"/>
    <cellStyle name="40% - Accent4 3 2 5" xfId="2083" xr:uid="{00000000-0005-0000-0000-000090060000}"/>
    <cellStyle name="40% - Accent4 3 2 6" xfId="2276" xr:uid="{00000000-0005-0000-0000-000091060000}"/>
    <cellStyle name="40% - Accent4 3 2 7" xfId="2996" xr:uid="{00000000-0005-0000-0000-000092060000}"/>
    <cellStyle name="40% - Accent4 3 3" xfId="348" xr:uid="{00000000-0005-0000-0000-000093060000}"/>
    <cellStyle name="40% - Accent4 3 3 2" xfId="753" xr:uid="{00000000-0005-0000-0000-000094060000}"/>
    <cellStyle name="40% - Accent4 3 3 2 2" xfId="1484" xr:uid="{00000000-0005-0000-0000-000095060000}"/>
    <cellStyle name="40% - Accent4 3 3 2 3" xfId="2804" xr:uid="{00000000-0005-0000-0000-000096060000}"/>
    <cellStyle name="40% - Accent4 3 3 2 4" xfId="3522" xr:uid="{00000000-0005-0000-0000-000097060000}"/>
    <cellStyle name="40% - Accent4 3 3 3" xfId="1087" xr:uid="{00000000-0005-0000-0000-000098060000}"/>
    <cellStyle name="40% - Accent4 3 3 4" xfId="2041" xr:uid="{00000000-0005-0000-0000-000099060000}"/>
    <cellStyle name="40% - Accent4 3 3 5" xfId="2405" xr:uid="{00000000-0005-0000-0000-00009A060000}"/>
    <cellStyle name="40% - Accent4 3 3 6" xfId="3125" xr:uid="{00000000-0005-0000-0000-00009B060000}"/>
    <cellStyle name="40% - Accent4 3 4" xfId="465" xr:uid="{00000000-0005-0000-0000-00009C060000}"/>
    <cellStyle name="40% - Accent4 3 4 2" xfId="1203" xr:uid="{00000000-0005-0000-0000-00009D060000}"/>
    <cellStyle name="40% - Accent4 3 4 3" xfId="1839" xr:uid="{00000000-0005-0000-0000-00009E060000}"/>
    <cellStyle name="40% - Accent4 3 4 4" xfId="2523" xr:uid="{00000000-0005-0000-0000-00009F060000}"/>
    <cellStyle name="40% - Accent4 3 4 5" xfId="3241" xr:uid="{00000000-0005-0000-0000-0000A0060000}"/>
    <cellStyle name="40% - Accent4 3 5" xfId="546" xr:uid="{00000000-0005-0000-0000-0000A1060000}"/>
    <cellStyle name="40% - Accent4 3 5 2" xfId="1278" xr:uid="{00000000-0005-0000-0000-0000A2060000}"/>
    <cellStyle name="40% - Accent4 3 5 3" xfId="2598" xr:uid="{00000000-0005-0000-0000-0000A3060000}"/>
    <cellStyle name="40% - Accent4 3 5 4" xfId="3316" xr:uid="{00000000-0005-0000-0000-0000A4060000}"/>
    <cellStyle name="40% - Accent4 3 6" xfId="874" xr:uid="{00000000-0005-0000-0000-0000A5060000}"/>
    <cellStyle name="40% - Accent4 3 7" xfId="1965" xr:uid="{00000000-0005-0000-0000-0000A6060000}"/>
    <cellStyle name="40% - Accent4 3 8" xfId="2199" xr:uid="{00000000-0005-0000-0000-0000A7060000}"/>
    <cellStyle name="40% - Accent4 3 9" xfId="2919" xr:uid="{00000000-0005-0000-0000-0000A8060000}"/>
    <cellStyle name="40% - Accent4 4" xfId="187" xr:uid="{00000000-0005-0000-0000-0000A9060000}"/>
    <cellStyle name="40% - Accent4 4 2" xfId="350" xr:uid="{00000000-0005-0000-0000-0000AA060000}"/>
    <cellStyle name="40% - Accent4 4 2 2" xfId="755" xr:uid="{00000000-0005-0000-0000-0000AB060000}"/>
    <cellStyle name="40% - Accent4 4 2 2 2" xfId="1486" xr:uid="{00000000-0005-0000-0000-0000AC060000}"/>
    <cellStyle name="40% - Accent4 4 2 2 3" xfId="2806" xr:uid="{00000000-0005-0000-0000-0000AD060000}"/>
    <cellStyle name="40% - Accent4 4 2 2 4" xfId="3524" xr:uid="{00000000-0005-0000-0000-0000AE060000}"/>
    <cellStyle name="40% - Accent4 4 2 3" xfId="1089" xr:uid="{00000000-0005-0000-0000-0000AF060000}"/>
    <cellStyle name="40% - Accent4 4 2 4" xfId="2407" xr:uid="{00000000-0005-0000-0000-0000B0060000}"/>
    <cellStyle name="40% - Accent4 4 2 5" xfId="3127" xr:uid="{00000000-0005-0000-0000-0000B1060000}"/>
    <cellStyle name="40% - Accent4 4 3" xfId="592" xr:uid="{00000000-0005-0000-0000-0000B2060000}"/>
    <cellStyle name="40% - Accent4 4 3 2" xfId="1324" xr:uid="{00000000-0005-0000-0000-0000B3060000}"/>
    <cellStyle name="40% - Accent4 4 3 3" xfId="2644" xr:uid="{00000000-0005-0000-0000-0000B4060000}"/>
    <cellStyle name="40% - Accent4 4 3 4" xfId="3362" xr:uid="{00000000-0005-0000-0000-0000B5060000}"/>
    <cellStyle name="40% - Accent4 4 4" xfId="927" xr:uid="{00000000-0005-0000-0000-0000B6060000}"/>
    <cellStyle name="40% - Accent4 4 5" xfId="2003" xr:uid="{00000000-0005-0000-0000-0000B7060000}"/>
    <cellStyle name="40% - Accent4 4 6" xfId="2245" xr:uid="{00000000-0005-0000-0000-0000B8060000}"/>
    <cellStyle name="40% - Accent4 4 7" xfId="2965" xr:uid="{00000000-0005-0000-0000-0000B9060000}"/>
    <cellStyle name="40% - Accent4 5" xfId="265" xr:uid="{00000000-0005-0000-0000-0000BA060000}"/>
    <cellStyle name="40% - Accent4 5 2" xfId="670" xr:uid="{00000000-0005-0000-0000-0000BB060000}"/>
    <cellStyle name="40% - Accent4 5 2 2" xfId="1402" xr:uid="{00000000-0005-0000-0000-0000BC060000}"/>
    <cellStyle name="40% - Accent4 5 2 3" xfId="2722" xr:uid="{00000000-0005-0000-0000-0000BD060000}"/>
    <cellStyle name="40% - Accent4 5 2 4" xfId="3440" xr:uid="{00000000-0005-0000-0000-0000BE060000}"/>
    <cellStyle name="40% - Accent4 5 3" xfId="1005" xr:uid="{00000000-0005-0000-0000-0000BF060000}"/>
    <cellStyle name="40% - Accent4 5 4" xfId="2127" xr:uid="{00000000-0005-0000-0000-0000C0060000}"/>
    <cellStyle name="40% - Accent4 5 5" xfId="2323" xr:uid="{00000000-0005-0000-0000-0000C1060000}"/>
    <cellStyle name="40% - Accent4 5 6" xfId="3043" xr:uid="{00000000-0005-0000-0000-0000C2060000}"/>
    <cellStyle name="40% - Accent4 6" xfId="343" xr:uid="{00000000-0005-0000-0000-0000C3060000}"/>
    <cellStyle name="40% - Accent4 6 2" xfId="748" xr:uid="{00000000-0005-0000-0000-0000C4060000}"/>
    <cellStyle name="40% - Accent4 6 2 2" xfId="1479" xr:uid="{00000000-0005-0000-0000-0000C5060000}"/>
    <cellStyle name="40% - Accent4 6 2 3" xfId="2799" xr:uid="{00000000-0005-0000-0000-0000C6060000}"/>
    <cellStyle name="40% - Accent4 6 2 4" xfId="3517" xr:uid="{00000000-0005-0000-0000-0000C7060000}"/>
    <cellStyle name="40% - Accent4 6 3" xfId="1082" xr:uid="{00000000-0005-0000-0000-0000C8060000}"/>
    <cellStyle name="40% - Accent4 6 4" xfId="2400" xr:uid="{00000000-0005-0000-0000-0000C9060000}"/>
    <cellStyle name="40% - Accent4 6 5" xfId="3120" xr:uid="{00000000-0005-0000-0000-0000CA060000}"/>
    <cellStyle name="40% - Accent4 7" xfId="435" xr:uid="{00000000-0005-0000-0000-0000CB060000}"/>
    <cellStyle name="40% - Accent4 7 2" xfId="1173" xr:uid="{00000000-0005-0000-0000-0000CC060000}"/>
    <cellStyle name="40% - Accent4 7 3" xfId="1810" xr:uid="{00000000-0005-0000-0000-0000CD060000}"/>
    <cellStyle name="40% - Accent4 7 4" xfId="2493" xr:uid="{00000000-0005-0000-0000-0000CE060000}"/>
    <cellStyle name="40% - Accent4 7 5" xfId="3211" xr:uid="{00000000-0005-0000-0000-0000CF060000}"/>
    <cellStyle name="40% - Accent4 8" xfId="515" xr:uid="{00000000-0005-0000-0000-0000D0060000}"/>
    <cellStyle name="40% - Accent4 8 2" xfId="1247" xr:uid="{00000000-0005-0000-0000-0000D1060000}"/>
    <cellStyle name="40% - Accent4 8 3" xfId="1883" xr:uid="{00000000-0005-0000-0000-0000D2060000}"/>
    <cellStyle name="40% - Accent4 8 4" xfId="2567" xr:uid="{00000000-0005-0000-0000-0000D3060000}"/>
    <cellStyle name="40% - Accent4 8 5" xfId="3285" xr:uid="{00000000-0005-0000-0000-0000D4060000}"/>
    <cellStyle name="40% - Accent4 9" xfId="841" xr:uid="{00000000-0005-0000-0000-0000D5060000}"/>
    <cellStyle name="40% - Accent5" xfId="37" builtinId="47" customBuiltin="1"/>
    <cellStyle name="40% - Accent5 10" xfId="1733" xr:uid="{00000000-0005-0000-0000-0000D7060000}"/>
    <cellStyle name="40% - Accent5 11" xfId="1928" xr:uid="{00000000-0005-0000-0000-0000D8060000}"/>
    <cellStyle name="40% - Accent5 12" xfId="2168" xr:uid="{00000000-0005-0000-0000-0000D9060000}"/>
    <cellStyle name="40% - Accent5 13" xfId="2890" xr:uid="{00000000-0005-0000-0000-0000DA060000}"/>
    <cellStyle name="40% - Accent5 2" xfId="56" xr:uid="{00000000-0005-0000-0000-0000DB060000}"/>
    <cellStyle name="40% - Accent5 2 10" xfId="1941" xr:uid="{00000000-0005-0000-0000-0000DC060000}"/>
    <cellStyle name="40% - Accent5 2 11" xfId="2185" xr:uid="{00000000-0005-0000-0000-0000DD060000}"/>
    <cellStyle name="40% - Accent5 2 12" xfId="2905" xr:uid="{00000000-0005-0000-0000-0000DE060000}"/>
    <cellStyle name="40% - Accent5 2 2" xfId="100" xr:uid="{00000000-0005-0000-0000-0000DF060000}"/>
    <cellStyle name="40% - Accent5 2 2 2" xfId="235" xr:uid="{00000000-0005-0000-0000-0000E0060000}"/>
    <cellStyle name="40% - Accent5 2 2 2 2" xfId="354" xr:uid="{00000000-0005-0000-0000-0000E1060000}"/>
    <cellStyle name="40% - Accent5 2 2 2 2 2" xfId="759" xr:uid="{00000000-0005-0000-0000-0000E2060000}"/>
    <cellStyle name="40% - Accent5 2 2 2 2 2 2" xfId="1490" xr:uid="{00000000-0005-0000-0000-0000E3060000}"/>
    <cellStyle name="40% - Accent5 2 2 2 2 2 3" xfId="2810" xr:uid="{00000000-0005-0000-0000-0000E4060000}"/>
    <cellStyle name="40% - Accent5 2 2 2 2 2 4" xfId="3528" xr:uid="{00000000-0005-0000-0000-0000E5060000}"/>
    <cellStyle name="40% - Accent5 2 2 2 2 3" xfId="1093" xr:uid="{00000000-0005-0000-0000-0000E6060000}"/>
    <cellStyle name="40% - Accent5 2 2 2 2 4" xfId="2411" xr:uid="{00000000-0005-0000-0000-0000E7060000}"/>
    <cellStyle name="40% - Accent5 2 2 2 2 5" xfId="3131" xr:uid="{00000000-0005-0000-0000-0000E8060000}"/>
    <cellStyle name="40% - Accent5 2 2 2 3" xfId="640" xr:uid="{00000000-0005-0000-0000-0000E9060000}"/>
    <cellStyle name="40% - Accent5 2 2 2 3 2" xfId="1372" xr:uid="{00000000-0005-0000-0000-0000EA060000}"/>
    <cellStyle name="40% - Accent5 2 2 2 3 3" xfId="2692" xr:uid="{00000000-0005-0000-0000-0000EB060000}"/>
    <cellStyle name="40% - Accent5 2 2 2 3 4" xfId="3410" xr:uid="{00000000-0005-0000-0000-0000EC060000}"/>
    <cellStyle name="40% - Accent5 2 2 2 4" xfId="975" xr:uid="{00000000-0005-0000-0000-0000ED060000}"/>
    <cellStyle name="40% - Accent5 2 2 2 5" xfId="2099" xr:uid="{00000000-0005-0000-0000-0000EE060000}"/>
    <cellStyle name="40% - Accent5 2 2 2 6" xfId="2293" xr:uid="{00000000-0005-0000-0000-0000EF060000}"/>
    <cellStyle name="40% - Accent5 2 2 2 7" xfId="3013" xr:uid="{00000000-0005-0000-0000-0000F0060000}"/>
    <cellStyle name="40% - Accent5 2 2 3" xfId="353" xr:uid="{00000000-0005-0000-0000-0000F1060000}"/>
    <cellStyle name="40% - Accent5 2 2 3 2" xfId="758" xr:uid="{00000000-0005-0000-0000-0000F2060000}"/>
    <cellStyle name="40% - Accent5 2 2 3 2 2" xfId="1489" xr:uid="{00000000-0005-0000-0000-0000F3060000}"/>
    <cellStyle name="40% - Accent5 2 2 3 2 3" xfId="2809" xr:uid="{00000000-0005-0000-0000-0000F4060000}"/>
    <cellStyle name="40% - Accent5 2 2 3 2 4" xfId="3527" xr:uid="{00000000-0005-0000-0000-0000F5060000}"/>
    <cellStyle name="40% - Accent5 2 2 3 3" xfId="1092" xr:uid="{00000000-0005-0000-0000-0000F6060000}"/>
    <cellStyle name="40% - Accent5 2 2 3 4" xfId="2056" xr:uid="{00000000-0005-0000-0000-0000F7060000}"/>
    <cellStyle name="40% - Accent5 2 2 3 5" xfId="2410" xr:uid="{00000000-0005-0000-0000-0000F8060000}"/>
    <cellStyle name="40% - Accent5 2 2 3 6" xfId="3130" xr:uid="{00000000-0005-0000-0000-0000F9060000}"/>
    <cellStyle name="40% - Accent5 2 2 4" xfId="482" xr:uid="{00000000-0005-0000-0000-0000FA060000}"/>
    <cellStyle name="40% - Accent5 2 2 4 2" xfId="1220" xr:uid="{00000000-0005-0000-0000-0000FB060000}"/>
    <cellStyle name="40% - Accent5 2 2 4 3" xfId="1856" xr:uid="{00000000-0005-0000-0000-0000FC060000}"/>
    <cellStyle name="40% - Accent5 2 2 4 4" xfId="2540" xr:uid="{00000000-0005-0000-0000-0000FD060000}"/>
    <cellStyle name="40% - Accent5 2 2 4 5" xfId="3258" xr:uid="{00000000-0005-0000-0000-0000FE060000}"/>
    <cellStyle name="40% - Accent5 2 2 5" xfId="563" xr:uid="{00000000-0005-0000-0000-0000FF060000}"/>
    <cellStyle name="40% - Accent5 2 2 5 2" xfId="1295" xr:uid="{00000000-0005-0000-0000-000000070000}"/>
    <cellStyle name="40% - Accent5 2 2 5 3" xfId="2615" xr:uid="{00000000-0005-0000-0000-000001070000}"/>
    <cellStyle name="40% - Accent5 2 2 5 4" xfId="3333" xr:uid="{00000000-0005-0000-0000-000002070000}"/>
    <cellStyle name="40% - Accent5 2 2 6" xfId="891" xr:uid="{00000000-0005-0000-0000-000003070000}"/>
    <cellStyle name="40% - Accent5 2 2 7" xfId="1980" xr:uid="{00000000-0005-0000-0000-000004070000}"/>
    <cellStyle name="40% - Accent5 2 2 8" xfId="2216" xr:uid="{00000000-0005-0000-0000-000005070000}"/>
    <cellStyle name="40% - Accent5 2 2 9" xfId="2936" xr:uid="{00000000-0005-0000-0000-000006070000}"/>
    <cellStyle name="40% - Accent5 2 3" xfId="204" xr:uid="{00000000-0005-0000-0000-000007070000}"/>
    <cellStyle name="40% - Accent5 2 3 2" xfId="355" xr:uid="{00000000-0005-0000-0000-000008070000}"/>
    <cellStyle name="40% - Accent5 2 3 2 2" xfId="760" xr:uid="{00000000-0005-0000-0000-000009070000}"/>
    <cellStyle name="40% - Accent5 2 3 2 2 2" xfId="1491" xr:uid="{00000000-0005-0000-0000-00000A070000}"/>
    <cellStyle name="40% - Accent5 2 3 2 2 3" xfId="2811" xr:uid="{00000000-0005-0000-0000-00000B070000}"/>
    <cellStyle name="40% - Accent5 2 3 2 2 4" xfId="3529" xr:uid="{00000000-0005-0000-0000-00000C070000}"/>
    <cellStyle name="40% - Accent5 2 3 2 3" xfId="1094" xr:uid="{00000000-0005-0000-0000-00000D070000}"/>
    <cellStyle name="40% - Accent5 2 3 2 4" xfId="2412" xr:uid="{00000000-0005-0000-0000-00000E070000}"/>
    <cellStyle name="40% - Accent5 2 3 2 5" xfId="3132" xr:uid="{00000000-0005-0000-0000-00000F070000}"/>
    <cellStyle name="40% - Accent5 2 3 3" xfId="609" xr:uid="{00000000-0005-0000-0000-000010070000}"/>
    <cellStyle name="40% - Accent5 2 3 3 2" xfId="1341" xr:uid="{00000000-0005-0000-0000-000011070000}"/>
    <cellStyle name="40% - Accent5 2 3 3 3" xfId="2661" xr:uid="{00000000-0005-0000-0000-000012070000}"/>
    <cellStyle name="40% - Accent5 2 3 3 4" xfId="3379" xr:uid="{00000000-0005-0000-0000-000013070000}"/>
    <cellStyle name="40% - Accent5 2 3 4" xfId="944" xr:uid="{00000000-0005-0000-0000-000014070000}"/>
    <cellStyle name="40% - Accent5 2 3 5" xfId="2018" xr:uid="{00000000-0005-0000-0000-000015070000}"/>
    <cellStyle name="40% - Accent5 2 3 6" xfId="2262" xr:uid="{00000000-0005-0000-0000-000016070000}"/>
    <cellStyle name="40% - Accent5 2 3 7" xfId="2982" xr:uid="{00000000-0005-0000-0000-000017070000}"/>
    <cellStyle name="40% - Accent5 2 4" xfId="352" xr:uid="{00000000-0005-0000-0000-000018070000}"/>
    <cellStyle name="40% - Accent5 2 4 2" xfId="757" xr:uid="{00000000-0005-0000-0000-000019070000}"/>
    <cellStyle name="40% - Accent5 2 4 2 2" xfId="1488" xr:uid="{00000000-0005-0000-0000-00001A070000}"/>
    <cellStyle name="40% - Accent5 2 4 2 3" xfId="2808" xr:uid="{00000000-0005-0000-0000-00001B070000}"/>
    <cellStyle name="40% - Accent5 2 4 2 4" xfId="3526" xr:uid="{00000000-0005-0000-0000-00001C070000}"/>
    <cellStyle name="40% - Accent5 2 4 3" xfId="1091" xr:uid="{00000000-0005-0000-0000-00001D070000}"/>
    <cellStyle name="40% - Accent5 2 4 4" xfId="2142" xr:uid="{00000000-0005-0000-0000-00001E070000}"/>
    <cellStyle name="40% - Accent5 2 4 5" xfId="2409" xr:uid="{00000000-0005-0000-0000-00001F070000}"/>
    <cellStyle name="40% - Accent5 2 4 6" xfId="3129" xr:uid="{00000000-0005-0000-0000-000020070000}"/>
    <cellStyle name="40% - Accent5 2 5" xfId="452" xr:uid="{00000000-0005-0000-0000-000021070000}"/>
    <cellStyle name="40% - Accent5 2 5 2" xfId="1190" xr:uid="{00000000-0005-0000-0000-000022070000}"/>
    <cellStyle name="40% - Accent5 2 5 3" xfId="1788" xr:uid="{00000000-0005-0000-0000-000023070000}"/>
    <cellStyle name="40% - Accent5 2 5 4" xfId="2510" xr:uid="{00000000-0005-0000-0000-000024070000}"/>
    <cellStyle name="40% - Accent5 2 5 5" xfId="3228" xr:uid="{00000000-0005-0000-0000-000025070000}"/>
    <cellStyle name="40% - Accent5 2 6" xfId="532" xr:uid="{00000000-0005-0000-0000-000026070000}"/>
    <cellStyle name="40% - Accent5 2 6 2" xfId="1264" xr:uid="{00000000-0005-0000-0000-000027070000}"/>
    <cellStyle name="40% - Accent5 2 6 3" xfId="1826" xr:uid="{00000000-0005-0000-0000-000028070000}"/>
    <cellStyle name="40% - Accent5 2 6 4" xfId="2584" xr:uid="{00000000-0005-0000-0000-000029070000}"/>
    <cellStyle name="40% - Accent5 2 6 5" xfId="3302" xr:uid="{00000000-0005-0000-0000-00002A070000}"/>
    <cellStyle name="40% - Accent5 2 7" xfId="859" xr:uid="{00000000-0005-0000-0000-00002B070000}"/>
    <cellStyle name="40% - Accent5 2 7 2" xfId="1709" xr:uid="{00000000-0005-0000-0000-00002C070000}"/>
    <cellStyle name="40% - Accent5 2 7 3" xfId="1898" xr:uid="{00000000-0005-0000-0000-00002D070000}"/>
    <cellStyle name="40% - Accent5 2 8" xfId="1649" xr:uid="{00000000-0005-0000-0000-00002E070000}"/>
    <cellStyle name="40% - Accent5 2 9" xfId="1747" xr:uid="{00000000-0005-0000-0000-00002F070000}"/>
    <cellStyle name="40% - Accent5 3" xfId="85" xr:uid="{00000000-0005-0000-0000-000030070000}"/>
    <cellStyle name="40% - Accent5 3 2" xfId="220" xr:uid="{00000000-0005-0000-0000-000031070000}"/>
    <cellStyle name="40% - Accent5 3 2 2" xfId="357" xr:uid="{00000000-0005-0000-0000-000032070000}"/>
    <cellStyle name="40% - Accent5 3 2 2 2" xfId="762" xr:uid="{00000000-0005-0000-0000-000033070000}"/>
    <cellStyle name="40% - Accent5 3 2 2 2 2" xfId="1493" xr:uid="{00000000-0005-0000-0000-000034070000}"/>
    <cellStyle name="40% - Accent5 3 2 2 2 3" xfId="2813" xr:uid="{00000000-0005-0000-0000-000035070000}"/>
    <cellStyle name="40% - Accent5 3 2 2 2 4" xfId="3531" xr:uid="{00000000-0005-0000-0000-000036070000}"/>
    <cellStyle name="40% - Accent5 3 2 2 3" xfId="1096" xr:uid="{00000000-0005-0000-0000-000037070000}"/>
    <cellStyle name="40% - Accent5 3 2 2 4" xfId="2414" xr:uid="{00000000-0005-0000-0000-000038070000}"/>
    <cellStyle name="40% - Accent5 3 2 2 5" xfId="3134" xr:uid="{00000000-0005-0000-0000-000039070000}"/>
    <cellStyle name="40% - Accent5 3 2 3" xfId="625" xr:uid="{00000000-0005-0000-0000-00003A070000}"/>
    <cellStyle name="40% - Accent5 3 2 3 2" xfId="1357" xr:uid="{00000000-0005-0000-0000-00003B070000}"/>
    <cellStyle name="40% - Accent5 3 2 3 3" xfId="2677" xr:uid="{00000000-0005-0000-0000-00003C070000}"/>
    <cellStyle name="40% - Accent5 3 2 3 4" xfId="3395" xr:uid="{00000000-0005-0000-0000-00003D070000}"/>
    <cellStyle name="40% - Accent5 3 2 4" xfId="960" xr:uid="{00000000-0005-0000-0000-00003E070000}"/>
    <cellStyle name="40% - Accent5 3 2 5" xfId="2085" xr:uid="{00000000-0005-0000-0000-00003F070000}"/>
    <cellStyle name="40% - Accent5 3 2 6" xfId="2278" xr:uid="{00000000-0005-0000-0000-000040070000}"/>
    <cellStyle name="40% - Accent5 3 2 7" xfId="2998" xr:uid="{00000000-0005-0000-0000-000041070000}"/>
    <cellStyle name="40% - Accent5 3 3" xfId="356" xr:uid="{00000000-0005-0000-0000-000042070000}"/>
    <cellStyle name="40% - Accent5 3 3 2" xfId="761" xr:uid="{00000000-0005-0000-0000-000043070000}"/>
    <cellStyle name="40% - Accent5 3 3 2 2" xfId="1492" xr:uid="{00000000-0005-0000-0000-000044070000}"/>
    <cellStyle name="40% - Accent5 3 3 2 3" xfId="2812" xr:uid="{00000000-0005-0000-0000-000045070000}"/>
    <cellStyle name="40% - Accent5 3 3 2 4" xfId="3530" xr:uid="{00000000-0005-0000-0000-000046070000}"/>
    <cellStyle name="40% - Accent5 3 3 3" xfId="1095" xr:uid="{00000000-0005-0000-0000-000047070000}"/>
    <cellStyle name="40% - Accent5 3 3 4" xfId="2043" xr:uid="{00000000-0005-0000-0000-000048070000}"/>
    <cellStyle name="40% - Accent5 3 3 5" xfId="2413" xr:uid="{00000000-0005-0000-0000-000049070000}"/>
    <cellStyle name="40% - Accent5 3 3 6" xfId="3133" xr:uid="{00000000-0005-0000-0000-00004A070000}"/>
    <cellStyle name="40% - Accent5 3 4" xfId="467" xr:uid="{00000000-0005-0000-0000-00004B070000}"/>
    <cellStyle name="40% - Accent5 3 4 2" xfId="1205" xr:uid="{00000000-0005-0000-0000-00004C070000}"/>
    <cellStyle name="40% - Accent5 3 4 3" xfId="1841" xr:uid="{00000000-0005-0000-0000-00004D070000}"/>
    <cellStyle name="40% - Accent5 3 4 4" xfId="2525" xr:uid="{00000000-0005-0000-0000-00004E070000}"/>
    <cellStyle name="40% - Accent5 3 4 5" xfId="3243" xr:uid="{00000000-0005-0000-0000-00004F070000}"/>
    <cellStyle name="40% - Accent5 3 5" xfId="548" xr:uid="{00000000-0005-0000-0000-000050070000}"/>
    <cellStyle name="40% - Accent5 3 5 2" xfId="1280" xr:uid="{00000000-0005-0000-0000-000051070000}"/>
    <cellStyle name="40% - Accent5 3 5 3" xfId="2600" xr:uid="{00000000-0005-0000-0000-000052070000}"/>
    <cellStyle name="40% - Accent5 3 5 4" xfId="3318" xr:uid="{00000000-0005-0000-0000-000053070000}"/>
    <cellStyle name="40% - Accent5 3 6" xfId="876" xr:uid="{00000000-0005-0000-0000-000054070000}"/>
    <cellStyle name="40% - Accent5 3 7" xfId="1967" xr:uid="{00000000-0005-0000-0000-000055070000}"/>
    <cellStyle name="40% - Accent5 3 8" xfId="2201" xr:uid="{00000000-0005-0000-0000-000056070000}"/>
    <cellStyle name="40% - Accent5 3 9" xfId="2921" xr:uid="{00000000-0005-0000-0000-000057070000}"/>
    <cellStyle name="40% - Accent5 4" xfId="189" xr:uid="{00000000-0005-0000-0000-000058070000}"/>
    <cellStyle name="40% - Accent5 4 2" xfId="358" xr:uid="{00000000-0005-0000-0000-000059070000}"/>
    <cellStyle name="40% - Accent5 4 2 2" xfId="763" xr:uid="{00000000-0005-0000-0000-00005A070000}"/>
    <cellStyle name="40% - Accent5 4 2 2 2" xfId="1494" xr:uid="{00000000-0005-0000-0000-00005B070000}"/>
    <cellStyle name="40% - Accent5 4 2 2 3" xfId="2814" xr:uid="{00000000-0005-0000-0000-00005C070000}"/>
    <cellStyle name="40% - Accent5 4 2 2 4" xfId="3532" xr:uid="{00000000-0005-0000-0000-00005D070000}"/>
    <cellStyle name="40% - Accent5 4 2 3" xfId="1097" xr:uid="{00000000-0005-0000-0000-00005E070000}"/>
    <cellStyle name="40% - Accent5 4 2 4" xfId="2415" xr:uid="{00000000-0005-0000-0000-00005F070000}"/>
    <cellStyle name="40% - Accent5 4 2 5" xfId="3135" xr:uid="{00000000-0005-0000-0000-000060070000}"/>
    <cellStyle name="40% - Accent5 4 3" xfId="594" xr:uid="{00000000-0005-0000-0000-000061070000}"/>
    <cellStyle name="40% - Accent5 4 3 2" xfId="1326" xr:uid="{00000000-0005-0000-0000-000062070000}"/>
    <cellStyle name="40% - Accent5 4 3 3" xfId="2646" xr:uid="{00000000-0005-0000-0000-000063070000}"/>
    <cellStyle name="40% - Accent5 4 3 4" xfId="3364" xr:uid="{00000000-0005-0000-0000-000064070000}"/>
    <cellStyle name="40% - Accent5 4 4" xfId="929" xr:uid="{00000000-0005-0000-0000-000065070000}"/>
    <cellStyle name="40% - Accent5 4 5" xfId="2005" xr:uid="{00000000-0005-0000-0000-000066070000}"/>
    <cellStyle name="40% - Accent5 4 6" xfId="2247" xr:uid="{00000000-0005-0000-0000-000067070000}"/>
    <cellStyle name="40% - Accent5 4 7" xfId="2967" xr:uid="{00000000-0005-0000-0000-000068070000}"/>
    <cellStyle name="40% - Accent5 5" xfId="267" xr:uid="{00000000-0005-0000-0000-000069070000}"/>
    <cellStyle name="40% - Accent5 5 2" xfId="672" xr:uid="{00000000-0005-0000-0000-00006A070000}"/>
    <cellStyle name="40% - Accent5 5 2 2" xfId="1404" xr:uid="{00000000-0005-0000-0000-00006B070000}"/>
    <cellStyle name="40% - Accent5 5 2 3" xfId="2724" xr:uid="{00000000-0005-0000-0000-00006C070000}"/>
    <cellStyle name="40% - Accent5 5 2 4" xfId="3442" xr:uid="{00000000-0005-0000-0000-00006D070000}"/>
    <cellStyle name="40% - Accent5 5 3" xfId="1007" xr:uid="{00000000-0005-0000-0000-00006E070000}"/>
    <cellStyle name="40% - Accent5 5 4" xfId="2129" xr:uid="{00000000-0005-0000-0000-00006F070000}"/>
    <cellStyle name="40% - Accent5 5 5" xfId="2325" xr:uid="{00000000-0005-0000-0000-000070070000}"/>
    <cellStyle name="40% - Accent5 5 6" xfId="3045" xr:uid="{00000000-0005-0000-0000-000071070000}"/>
    <cellStyle name="40% - Accent5 6" xfId="351" xr:uid="{00000000-0005-0000-0000-000072070000}"/>
    <cellStyle name="40% - Accent5 6 2" xfId="756" xr:uid="{00000000-0005-0000-0000-000073070000}"/>
    <cellStyle name="40% - Accent5 6 2 2" xfId="1487" xr:uid="{00000000-0005-0000-0000-000074070000}"/>
    <cellStyle name="40% - Accent5 6 2 3" xfId="2807" xr:uid="{00000000-0005-0000-0000-000075070000}"/>
    <cellStyle name="40% - Accent5 6 2 4" xfId="3525" xr:uid="{00000000-0005-0000-0000-000076070000}"/>
    <cellStyle name="40% - Accent5 6 3" xfId="1090" xr:uid="{00000000-0005-0000-0000-000077070000}"/>
    <cellStyle name="40% - Accent5 6 4" xfId="2408" xr:uid="{00000000-0005-0000-0000-000078070000}"/>
    <cellStyle name="40% - Accent5 6 5" xfId="3128" xr:uid="{00000000-0005-0000-0000-000079070000}"/>
    <cellStyle name="40% - Accent5 7" xfId="437" xr:uid="{00000000-0005-0000-0000-00007A070000}"/>
    <cellStyle name="40% - Accent5 7 2" xfId="1175" xr:uid="{00000000-0005-0000-0000-00007B070000}"/>
    <cellStyle name="40% - Accent5 7 3" xfId="1812" xr:uid="{00000000-0005-0000-0000-00007C070000}"/>
    <cellStyle name="40% - Accent5 7 4" xfId="2495" xr:uid="{00000000-0005-0000-0000-00007D070000}"/>
    <cellStyle name="40% - Accent5 7 5" xfId="3213" xr:uid="{00000000-0005-0000-0000-00007E070000}"/>
    <cellStyle name="40% - Accent5 8" xfId="517" xr:uid="{00000000-0005-0000-0000-00007F070000}"/>
    <cellStyle name="40% - Accent5 8 2" xfId="1249" xr:uid="{00000000-0005-0000-0000-000080070000}"/>
    <cellStyle name="40% - Accent5 8 3" xfId="1885" xr:uid="{00000000-0005-0000-0000-000081070000}"/>
    <cellStyle name="40% - Accent5 8 4" xfId="2569" xr:uid="{00000000-0005-0000-0000-000082070000}"/>
    <cellStyle name="40% - Accent5 8 5" xfId="3287" xr:uid="{00000000-0005-0000-0000-000083070000}"/>
    <cellStyle name="40% - Accent5 9" xfId="843" xr:uid="{00000000-0005-0000-0000-000084070000}"/>
    <cellStyle name="40% - Accent6" xfId="41" builtinId="51" customBuiltin="1"/>
    <cellStyle name="40% - Accent6 10" xfId="1735" xr:uid="{00000000-0005-0000-0000-000086070000}"/>
    <cellStyle name="40% - Accent6 11" xfId="1930" xr:uid="{00000000-0005-0000-0000-000087070000}"/>
    <cellStyle name="40% - Accent6 12" xfId="2170" xr:uid="{00000000-0005-0000-0000-000088070000}"/>
    <cellStyle name="40% - Accent6 13" xfId="2892" xr:uid="{00000000-0005-0000-0000-000089070000}"/>
    <cellStyle name="40% - Accent6 2" xfId="58" xr:uid="{00000000-0005-0000-0000-00008A070000}"/>
    <cellStyle name="40% - Accent6 2 10" xfId="1942" xr:uid="{00000000-0005-0000-0000-00008B070000}"/>
    <cellStyle name="40% - Accent6 2 11" xfId="2187" xr:uid="{00000000-0005-0000-0000-00008C070000}"/>
    <cellStyle name="40% - Accent6 2 12" xfId="2907" xr:uid="{00000000-0005-0000-0000-00008D070000}"/>
    <cellStyle name="40% - Accent6 2 2" xfId="102" xr:uid="{00000000-0005-0000-0000-00008E070000}"/>
    <cellStyle name="40% - Accent6 2 2 2" xfId="237" xr:uid="{00000000-0005-0000-0000-00008F070000}"/>
    <cellStyle name="40% - Accent6 2 2 2 2" xfId="362" xr:uid="{00000000-0005-0000-0000-000090070000}"/>
    <cellStyle name="40% - Accent6 2 2 2 2 2" xfId="767" xr:uid="{00000000-0005-0000-0000-000091070000}"/>
    <cellStyle name="40% - Accent6 2 2 2 2 2 2" xfId="1498" xr:uid="{00000000-0005-0000-0000-000092070000}"/>
    <cellStyle name="40% - Accent6 2 2 2 2 2 3" xfId="2818" xr:uid="{00000000-0005-0000-0000-000093070000}"/>
    <cellStyle name="40% - Accent6 2 2 2 2 2 4" xfId="3536" xr:uid="{00000000-0005-0000-0000-000094070000}"/>
    <cellStyle name="40% - Accent6 2 2 2 2 3" xfId="1101" xr:uid="{00000000-0005-0000-0000-000095070000}"/>
    <cellStyle name="40% - Accent6 2 2 2 2 4" xfId="2419" xr:uid="{00000000-0005-0000-0000-000096070000}"/>
    <cellStyle name="40% - Accent6 2 2 2 2 5" xfId="3139" xr:uid="{00000000-0005-0000-0000-000097070000}"/>
    <cellStyle name="40% - Accent6 2 2 2 3" xfId="642" xr:uid="{00000000-0005-0000-0000-000098070000}"/>
    <cellStyle name="40% - Accent6 2 2 2 3 2" xfId="1374" xr:uid="{00000000-0005-0000-0000-000099070000}"/>
    <cellStyle name="40% - Accent6 2 2 2 3 3" xfId="2694" xr:uid="{00000000-0005-0000-0000-00009A070000}"/>
    <cellStyle name="40% - Accent6 2 2 2 3 4" xfId="3412" xr:uid="{00000000-0005-0000-0000-00009B070000}"/>
    <cellStyle name="40% - Accent6 2 2 2 4" xfId="977" xr:uid="{00000000-0005-0000-0000-00009C070000}"/>
    <cellStyle name="40% - Accent6 2 2 2 5" xfId="2101" xr:uid="{00000000-0005-0000-0000-00009D070000}"/>
    <cellStyle name="40% - Accent6 2 2 2 6" xfId="2295" xr:uid="{00000000-0005-0000-0000-00009E070000}"/>
    <cellStyle name="40% - Accent6 2 2 2 7" xfId="3015" xr:uid="{00000000-0005-0000-0000-00009F070000}"/>
    <cellStyle name="40% - Accent6 2 2 3" xfId="361" xr:uid="{00000000-0005-0000-0000-0000A0070000}"/>
    <cellStyle name="40% - Accent6 2 2 3 2" xfId="766" xr:uid="{00000000-0005-0000-0000-0000A1070000}"/>
    <cellStyle name="40% - Accent6 2 2 3 2 2" xfId="1497" xr:uid="{00000000-0005-0000-0000-0000A2070000}"/>
    <cellStyle name="40% - Accent6 2 2 3 2 3" xfId="2817" xr:uid="{00000000-0005-0000-0000-0000A3070000}"/>
    <cellStyle name="40% - Accent6 2 2 3 2 4" xfId="3535" xr:uid="{00000000-0005-0000-0000-0000A4070000}"/>
    <cellStyle name="40% - Accent6 2 2 3 3" xfId="1100" xr:uid="{00000000-0005-0000-0000-0000A5070000}"/>
    <cellStyle name="40% - Accent6 2 2 3 4" xfId="2058" xr:uid="{00000000-0005-0000-0000-0000A6070000}"/>
    <cellStyle name="40% - Accent6 2 2 3 5" xfId="2418" xr:uid="{00000000-0005-0000-0000-0000A7070000}"/>
    <cellStyle name="40% - Accent6 2 2 3 6" xfId="3138" xr:uid="{00000000-0005-0000-0000-0000A8070000}"/>
    <cellStyle name="40% - Accent6 2 2 4" xfId="484" xr:uid="{00000000-0005-0000-0000-0000A9070000}"/>
    <cellStyle name="40% - Accent6 2 2 4 2" xfId="1222" xr:uid="{00000000-0005-0000-0000-0000AA070000}"/>
    <cellStyle name="40% - Accent6 2 2 4 3" xfId="1858" xr:uid="{00000000-0005-0000-0000-0000AB070000}"/>
    <cellStyle name="40% - Accent6 2 2 4 4" xfId="2542" xr:uid="{00000000-0005-0000-0000-0000AC070000}"/>
    <cellStyle name="40% - Accent6 2 2 4 5" xfId="3260" xr:uid="{00000000-0005-0000-0000-0000AD070000}"/>
    <cellStyle name="40% - Accent6 2 2 5" xfId="565" xr:uid="{00000000-0005-0000-0000-0000AE070000}"/>
    <cellStyle name="40% - Accent6 2 2 5 2" xfId="1297" xr:uid="{00000000-0005-0000-0000-0000AF070000}"/>
    <cellStyle name="40% - Accent6 2 2 5 3" xfId="2617" xr:uid="{00000000-0005-0000-0000-0000B0070000}"/>
    <cellStyle name="40% - Accent6 2 2 5 4" xfId="3335" xr:uid="{00000000-0005-0000-0000-0000B1070000}"/>
    <cellStyle name="40% - Accent6 2 2 6" xfId="893" xr:uid="{00000000-0005-0000-0000-0000B2070000}"/>
    <cellStyle name="40% - Accent6 2 2 7" xfId="1981" xr:uid="{00000000-0005-0000-0000-0000B3070000}"/>
    <cellStyle name="40% - Accent6 2 2 8" xfId="2218" xr:uid="{00000000-0005-0000-0000-0000B4070000}"/>
    <cellStyle name="40% - Accent6 2 2 9" xfId="2938" xr:uid="{00000000-0005-0000-0000-0000B5070000}"/>
    <cellStyle name="40% - Accent6 2 3" xfId="206" xr:uid="{00000000-0005-0000-0000-0000B6070000}"/>
    <cellStyle name="40% - Accent6 2 3 2" xfId="363" xr:uid="{00000000-0005-0000-0000-0000B7070000}"/>
    <cellStyle name="40% - Accent6 2 3 2 2" xfId="768" xr:uid="{00000000-0005-0000-0000-0000B8070000}"/>
    <cellStyle name="40% - Accent6 2 3 2 2 2" xfId="1499" xr:uid="{00000000-0005-0000-0000-0000B9070000}"/>
    <cellStyle name="40% - Accent6 2 3 2 2 3" xfId="2819" xr:uid="{00000000-0005-0000-0000-0000BA070000}"/>
    <cellStyle name="40% - Accent6 2 3 2 2 4" xfId="3537" xr:uid="{00000000-0005-0000-0000-0000BB070000}"/>
    <cellStyle name="40% - Accent6 2 3 2 3" xfId="1102" xr:uid="{00000000-0005-0000-0000-0000BC070000}"/>
    <cellStyle name="40% - Accent6 2 3 2 4" xfId="2420" xr:uid="{00000000-0005-0000-0000-0000BD070000}"/>
    <cellStyle name="40% - Accent6 2 3 2 5" xfId="3140" xr:uid="{00000000-0005-0000-0000-0000BE070000}"/>
    <cellStyle name="40% - Accent6 2 3 3" xfId="611" xr:uid="{00000000-0005-0000-0000-0000BF070000}"/>
    <cellStyle name="40% - Accent6 2 3 3 2" xfId="1343" xr:uid="{00000000-0005-0000-0000-0000C0070000}"/>
    <cellStyle name="40% - Accent6 2 3 3 3" xfId="2663" xr:uid="{00000000-0005-0000-0000-0000C1070000}"/>
    <cellStyle name="40% - Accent6 2 3 3 4" xfId="3381" xr:uid="{00000000-0005-0000-0000-0000C2070000}"/>
    <cellStyle name="40% - Accent6 2 3 4" xfId="946" xr:uid="{00000000-0005-0000-0000-0000C3070000}"/>
    <cellStyle name="40% - Accent6 2 3 5" xfId="2019" xr:uid="{00000000-0005-0000-0000-0000C4070000}"/>
    <cellStyle name="40% - Accent6 2 3 6" xfId="2264" xr:uid="{00000000-0005-0000-0000-0000C5070000}"/>
    <cellStyle name="40% - Accent6 2 3 7" xfId="2984" xr:uid="{00000000-0005-0000-0000-0000C6070000}"/>
    <cellStyle name="40% - Accent6 2 4" xfId="360" xr:uid="{00000000-0005-0000-0000-0000C7070000}"/>
    <cellStyle name="40% - Accent6 2 4 2" xfId="765" xr:uid="{00000000-0005-0000-0000-0000C8070000}"/>
    <cellStyle name="40% - Accent6 2 4 2 2" xfId="1496" xr:uid="{00000000-0005-0000-0000-0000C9070000}"/>
    <cellStyle name="40% - Accent6 2 4 2 3" xfId="2816" xr:uid="{00000000-0005-0000-0000-0000CA070000}"/>
    <cellStyle name="40% - Accent6 2 4 2 4" xfId="3534" xr:uid="{00000000-0005-0000-0000-0000CB070000}"/>
    <cellStyle name="40% - Accent6 2 4 3" xfId="1099" xr:uid="{00000000-0005-0000-0000-0000CC070000}"/>
    <cellStyle name="40% - Accent6 2 4 4" xfId="2143" xr:uid="{00000000-0005-0000-0000-0000CD070000}"/>
    <cellStyle name="40% - Accent6 2 4 5" xfId="2417" xr:uid="{00000000-0005-0000-0000-0000CE070000}"/>
    <cellStyle name="40% - Accent6 2 4 6" xfId="3137" xr:uid="{00000000-0005-0000-0000-0000CF070000}"/>
    <cellStyle name="40% - Accent6 2 5" xfId="454" xr:uid="{00000000-0005-0000-0000-0000D0070000}"/>
    <cellStyle name="40% - Accent6 2 5 2" xfId="1192" xr:uid="{00000000-0005-0000-0000-0000D1070000}"/>
    <cellStyle name="40% - Accent6 2 5 3" xfId="1789" xr:uid="{00000000-0005-0000-0000-0000D2070000}"/>
    <cellStyle name="40% - Accent6 2 5 4" xfId="2512" xr:uid="{00000000-0005-0000-0000-0000D3070000}"/>
    <cellStyle name="40% - Accent6 2 5 5" xfId="3230" xr:uid="{00000000-0005-0000-0000-0000D4070000}"/>
    <cellStyle name="40% - Accent6 2 6" xfId="534" xr:uid="{00000000-0005-0000-0000-0000D5070000}"/>
    <cellStyle name="40% - Accent6 2 6 2" xfId="1266" xr:uid="{00000000-0005-0000-0000-0000D6070000}"/>
    <cellStyle name="40% - Accent6 2 6 3" xfId="1828" xr:uid="{00000000-0005-0000-0000-0000D7070000}"/>
    <cellStyle name="40% - Accent6 2 6 4" xfId="2586" xr:uid="{00000000-0005-0000-0000-0000D8070000}"/>
    <cellStyle name="40% - Accent6 2 6 5" xfId="3304" xr:uid="{00000000-0005-0000-0000-0000D9070000}"/>
    <cellStyle name="40% - Accent6 2 7" xfId="861" xr:uid="{00000000-0005-0000-0000-0000DA070000}"/>
    <cellStyle name="40% - Accent6 2 7 2" xfId="1710" xr:uid="{00000000-0005-0000-0000-0000DB070000}"/>
    <cellStyle name="40% - Accent6 2 7 3" xfId="1899" xr:uid="{00000000-0005-0000-0000-0000DC070000}"/>
    <cellStyle name="40% - Accent6 2 8" xfId="1641" xr:uid="{00000000-0005-0000-0000-0000DD070000}"/>
    <cellStyle name="40% - Accent6 2 9" xfId="1748" xr:uid="{00000000-0005-0000-0000-0000DE070000}"/>
    <cellStyle name="40% - Accent6 3" xfId="87" xr:uid="{00000000-0005-0000-0000-0000DF070000}"/>
    <cellStyle name="40% - Accent6 3 2" xfId="222" xr:uid="{00000000-0005-0000-0000-0000E0070000}"/>
    <cellStyle name="40% - Accent6 3 2 2" xfId="365" xr:uid="{00000000-0005-0000-0000-0000E1070000}"/>
    <cellStyle name="40% - Accent6 3 2 2 2" xfId="770" xr:uid="{00000000-0005-0000-0000-0000E2070000}"/>
    <cellStyle name="40% - Accent6 3 2 2 2 2" xfId="1501" xr:uid="{00000000-0005-0000-0000-0000E3070000}"/>
    <cellStyle name="40% - Accent6 3 2 2 2 3" xfId="2821" xr:uid="{00000000-0005-0000-0000-0000E4070000}"/>
    <cellStyle name="40% - Accent6 3 2 2 2 4" xfId="3539" xr:uid="{00000000-0005-0000-0000-0000E5070000}"/>
    <cellStyle name="40% - Accent6 3 2 2 3" xfId="1104" xr:uid="{00000000-0005-0000-0000-0000E6070000}"/>
    <cellStyle name="40% - Accent6 3 2 2 4" xfId="2422" xr:uid="{00000000-0005-0000-0000-0000E7070000}"/>
    <cellStyle name="40% - Accent6 3 2 2 5" xfId="3142" xr:uid="{00000000-0005-0000-0000-0000E8070000}"/>
    <cellStyle name="40% - Accent6 3 2 3" xfId="627" xr:uid="{00000000-0005-0000-0000-0000E9070000}"/>
    <cellStyle name="40% - Accent6 3 2 3 2" xfId="1359" xr:uid="{00000000-0005-0000-0000-0000EA070000}"/>
    <cellStyle name="40% - Accent6 3 2 3 3" xfId="2679" xr:uid="{00000000-0005-0000-0000-0000EB070000}"/>
    <cellStyle name="40% - Accent6 3 2 3 4" xfId="3397" xr:uid="{00000000-0005-0000-0000-0000EC070000}"/>
    <cellStyle name="40% - Accent6 3 2 4" xfId="962" xr:uid="{00000000-0005-0000-0000-0000ED070000}"/>
    <cellStyle name="40% - Accent6 3 2 5" xfId="2087" xr:uid="{00000000-0005-0000-0000-0000EE070000}"/>
    <cellStyle name="40% - Accent6 3 2 6" xfId="2280" xr:uid="{00000000-0005-0000-0000-0000EF070000}"/>
    <cellStyle name="40% - Accent6 3 2 7" xfId="3000" xr:uid="{00000000-0005-0000-0000-0000F0070000}"/>
    <cellStyle name="40% - Accent6 3 3" xfId="364" xr:uid="{00000000-0005-0000-0000-0000F1070000}"/>
    <cellStyle name="40% - Accent6 3 3 2" xfId="769" xr:uid="{00000000-0005-0000-0000-0000F2070000}"/>
    <cellStyle name="40% - Accent6 3 3 2 2" xfId="1500" xr:uid="{00000000-0005-0000-0000-0000F3070000}"/>
    <cellStyle name="40% - Accent6 3 3 2 3" xfId="2820" xr:uid="{00000000-0005-0000-0000-0000F4070000}"/>
    <cellStyle name="40% - Accent6 3 3 2 4" xfId="3538" xr:uid="{00000000-0005-0000-0000-0000F5070000}"/>
    <cellStyle name="40% - Accent6 3 3 3" xfId="1103" xr:uid="{00000000-0005-0000-0000-0000F6070000}"/>
    <cellStyle name="40% - Accent6 3 3 4" xfId="2045" xr:uid="{00000000-0005-0000-0000-0000F7070000}"/>
    <cellStyle name="40% - Accent6 3 3 5" xfId="2421" xr:uid="{00000000-0005-0000-0000-0000F8070000}"/>
    <cellStyle name="40% - Accent6 3 3 6" xfId="3141" xr:uid="{00000000-0005-0000-0000-0000F9070000}"/>
    <cellStyle name="40% - Accent6 3 4" xfId="469" xr:uid="{00000000-0005-0000-0000-0000FA070000}"/>
    <cellStyle name="40% - Accent6 3 4 2" xfId="1207" xr:uid="{00000000-0005-0000-0000-0000FB070000}"/>
    <cellStyle name="40% - Accent6 3 4 3" xfId="1843" xr:uid="{00000000-0005-0000-0000-0000FC070000}"/>
    <cellStyle name="40% - Accent6 3 4 4" xfId="2527" xr:uid="{00000000-0005-0000-0000-0000FD070000}"/>
    <cellStyle name="40% - Accent6 3 4 5" xfId="3245" xr:uid="{00000000-0005-0000-0000-0000FE070000}"/>
    <cellStyle name="40% - Accent6 3 5" xfId="550" xr:uid="{00000000-0005-0000-0000-0000FF070000}"/>
    <cellStyle name="40% - Accent6 3 5 2" xfId="1282" xr:uid="{00000000-0005-0000-0000-000000080000}"/>
    <cellStyle name="40% - Accent6 3 5 3" xfId="2602" xr:uid="{00000000-0005-0000-0000-000001080000}"/>
    <cellStyle name="40% - Accent6 3 5 4" xfId="3320" xr:uid="{00000000-0005-0000-0000-000002080000}"/>
    <cellStyle name="40% - Accent6 3 6" xfId="878" xr:uid="{00000000-0005-0000-0000-000003080000}"/>
    <cellStyle name="40% - Accent6 3 7" xfId="1969" xr:uid="{00000000-0005-0000-0000-000004080000}"/>
    <cellStyle name="40% - Accent6 3 8" xfId="2203" xr:uid="{00000000-0005-0000-0000-000005080000}"/>
    <cellStyle name="40% - Accent6 3 9" xfId="2923" xr:uid="{00000000-0005-0000-0000-000006080000}"/>
    <cellStyle name="40% - Accent6 4" xfId="191" xr:uid="{00000000-0005-0000-0000-000007080000}"/>
    <cellStyle name="40% - Accent6 4 2" xfId="366" xr:uid="{00000000-0005-0000-0000-000008080000}"/>
    <cellStyle name="40% - Accent6 4 2 2" xfId="771" xr:uid="{00000000-0005-0000-0000-000009080000}"/>
    <cellStyle name="40% - Accent6 4 2 2 2" xfId="1502" xr:uid="{00000000-0005-0000-0000-00000A080000}"/>
    <cellStyle name="40% - Accent6 4 2 2 3" xfId="2822" xr:uid="{00000000-0005-0000-0000-00000B080000}"/>
    <cellStyle name="40% - Accent6 4 2 2 4" xfId="3540" xr:uid="{00000000-0005-0000-0000-00000C080000}"/>
    <cellStyle name="40% - Accent6 4 2 3" xfId="1105" xr:uid="{00000000-0005-0000-0000-00000D080000}"/>
    <cellStyle name="40% - Accent6 4 2 4" xfId="2423" xr:uid="{00000000-0005-0000-0000-00000E080000}"/>
    <cellStyle name="40% - Accent6 4 2 5" xfId="3143" xr:uid="{00000000-0005-0000-0000-00000F080000}"/>
    <cellStyle name="40% - Accent6 4 3" xfId="596" xr:uid="{00000000-0005-0000-0000-000010080000}"/>
    <cellStyle name="40% - Accent6 4 3 2" xfId="1328" xr:uid="{00000000-0005-0000-0000-000011080000}"/>
    <cellStyle name="40% - Accent6 4 3 3" xfId="2648" xr:uid="{00000000-0005-0000-0000-000012080000}"/>
    <cellStyle name="40% - Accent6 4 3 4" xfId="3366" xr:uid="{00000000-0005-0000-0000-000013080000}"/>
    <cellStyle name="40% - Accent6 4 4" xfId="931" xr:uid="{00000000-0005-0000-0000-000014080000}"/>
    <cellStyle name="40% - Accent6 4 5" xfId="2007" xr:uid="{00000000-0005-0000-0000-000015080000}"/>
    <cellStyle name="40% - Accent6 4 6" xfId="2249" xr:uid="{00000000-0005-0000-0000-000016080000}"/>
    <cellStyle name="40% - Accent6 4 7" xfId="2969" xr:uid="{00000000-0005-0000-0000-000017080000}"/>
    <cellStyle name="40% - Accent6 5" xfId="269" xr:uid="{00000000-0005-0000-0000-000018080000}"/>
    <cellStyle name="40% - Accent6 5 2" xfId="674" xr:uid="{00000000-0005-0000-0000-000019080000}"/>
    <cellStyle name="40% - Accent6 5 2 2" xfId="1406" xr:uid="{00000000-0005-0000-0000-00001A080000}"/>
    <cellStyle name="40% - Accent6 5 2 3" xfId="2726" xr:uid="{00000000-0005-0000-0000-00001B080000}"/>
    <cellStyle name="40% - Accent6 5 2 4" xfId="3444" xr:uid="{00000000-0005-0000-0000-00001C080000}"/>
    <cellStyle name="40% - Accent6 5 3" xfId="1009" xr:uid="{00000000-0005-0000-0000-00001D080000}"/>
    <cellStyle name="40% - Accent6 5 4" xfId="2131" xr:uid="{00000000-0005-0000-0000-00001E080000}"/>
    <cellStyle name="40% - Accent6 5 5" xfId="2327" xr:uid="{00000000-0005-0000-0000-00001F080000}"/>
    <cellStyle name="40% - Accent6 5 6" xfId="3047" xr:uid="{00000000-0005-0000-0000-000020080000}"/>
    <cellStyle name="40% - Accent6 6" xfId="359" xr:uid="{00000000-0005-0000-0000-000021080000}"/>
    <cellStyle name="40% - Accent6 6 2" xfId="764" xr:uid="{00000000-0005-0000-0000-000022080000}"/>
    <cellStyle name="40% - Accent6 6 2 2" xfId="1495" xr:uid="{00000000-0005-0000-0000-000023080000}"/>
    <cellStyle name="40% - Accent6 6 2 3" xfId="2815" xr:uid="{00000000-0005-0000-0000-000024080000}"/>
    <cellStyle name="40% - Accent6 6 2 4" xfId="3533" xr:uid="{00000000-0005-0000-0000-000025080000}"/>
    <cellStyle name="40% - Accent6 6 3" xfId="1098" xr:uid="{00000000-0005-0000-0000-000026080000}"/>
    <cellStyle name="40% - Accent6 6 4" xfId="2416" xr:uid="{00000000-0005-0000-0000-000027080000}"/>
    <cellStyle name="40% - Accent6 6 5" xfId="3136" xr:uid="{00000000-0005-0000-0000-000028080000}"/>
    <cellStyle name="40% - Accent6 7" xfId="439" xr:uid="{00000000-0005-0000-0000-000029080000}"/>
    <cellStyle name="40% - Accent6 7 2" xfId="1177" xr:uid="{00000000-0005-0000-0000-00002A080000}"/>
    <cellStyle name="40% - Accent6 7 3" xfId="1814" xr:uid="{00000000-0005-0000-0000-00002B080000}"/>
    <cellStyle name="40% - Accent6 7 4" xfId="2497" xr:uid="{00000000-0005-0000-0000-00002C080000}"/>
    <cellStyle name="40% - Accent6 7 5" xfId="3215" xr:uid="{00000000-0005-0000-0000-00002D080000}"/>
    <cellStyle name="40% - Accent6 8" xfId="519" xr:uid="{00000000-0005-0000-0000-00002E080000}"/>
    <cellStyle name="40% - Accent6 8 2" xfId="1251" xr:uid="{00000000-0005-0000-0000-00002F080000}"/>
    <cellStyle name="40% - Accent6 8 3" xfId="1887" xr:uid="{00000000-0005-0000-0000-000030080000}"/>
    <cellStyle name="40% - Accent6 8 4" xfId="2571" xr:uid="{00000000-0005-0000-0000-000031080000}"/>
    <cellStyle name="40% - Accent6 8 5" xfId="3289" xr:uid="{00000000-0005-0000-0000-000032080000}"/>
    <cellStyle name="40% - Accent6 9" xfId="846" xr:uid="{00000000-0005-0000-0000-000033080000}"/>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Comma" xfId="1" builtinId="3"/>
    <cellStyle name="Comma 2" xfId="60" xr:uid="{00000000-0005-0000-0000-000044080000}"/>
    <cellStyle name="Comma 2 2" xfId="63" xr:uid="{00000000-0005-0000-0000-000045080000}"/>
    <cellStyle name="Comma 2 2 2" xfId="172" xr:uid="{00000000-0005-0000-0000-000046080000}"/>
    <cellStyle name="Comma 2 2 2 2" xfId="1679" xr:uid="{00000000-0005-0000-0000-000047080000}"/>
    <cellStyle name="Comma 2 2 2 3" xfId="1688" xr:uid="{00000000-0005-0000-0000-000048080000}"/>
    <cellStyle name="Comma 2 2 3" xfId="164" xr:uid="{00000000-0005-0000-0000-000049080000}"/>
    <cellStyle name="Comma 2 2 4" xfId="138" xr:uid="{00000000-0005-0000-0000-00004A080000}"/>
    <cellStyle name="Comma 2 2 5" xfId="1617" xr:uid="{00000000-0005-0000-0000-00004B080000}"/>
    <cellStyle name="Comma 2 2 6" xfId="900" xr:uid="{00000000-0005-0000-0000-00004C080000}"/>
    <cellStyle name="Comma 2 3" xfId="126" xr:uid="{00000000-0005-0000-0000-00004D080000}"/>
    <cellStyle name="Comma 2 3 2" xfId="162" xr:uid="{00000000-0005-0000-0000-00004E080000}"/>
    <cellStyle name="Comma 2 3 3" xfId="1595" xr:uid="{00000000-0005-0000-0000-00004F080000}"/>
    <cellStyle name="Comma 2 4" xfId="153" xr:uid="{00000000-0005-0000-0000-000050080000}"/>
    <cellStyle name="Comma 2 5" xfId="1630" xr:uid="{00000000-0005-0000-0000-000051080000}"/>
    <cellStyle name="Comma 3" xfId="70" xr:uid="{00000000-0005-0000-0000-000052080000}"/>
    <cellStyle name="Comma 3 2" xfId="150" xr:uid="{00000000-0005-0000-0000-000053080000}"/>
    <cellStyle name="Comma 3 3" xfId="171" xr:uid="{00000000-0005-0000-0000-000054080000}"/>
    <cellStyle name="Comma 3 4" xfId="154" xr:uid="{00000000-0005-0000-0000-000055080000}"/>
    <cellStyle name="Comma 3 5" xfId="1578" xr:uid="{00000000-0005-0000-0000-000056080000}"/>
    <cellStyle name="Comma 4" xfId="113" xr:uid="{00000000-0005-0000-0000-000057080000}"/>
    <cellStyle name="Comma 4 2" xfId="125" xr:uid="{00000000-0005-0000-0000-000058080000}"/>
    <cellStyle name="Comma 4 2 2" xfId="178" xr:uid="{00000000-0005-0000-0000-000059080000}"/>
    <cellStyle name="Comma 4 2 3" xfId="1605" xr:uid="{00000000-0005-0000-0000-00005A080000}"/>
    <cellStyle name="Comma 4 2 4" xfId="1669" xr:uid="{00000000-0005-0000-0000-00005B080000}"/>
    <cellStyle name="Comma 4 2 5" xfId="1580" xr:uid="{00000000-0005-0000-0000-00005C080000}"/>
    <cellStyle name="Comma 4 3" xfId="152" xr:uid="{00000000-0005-0000-0000-00005D080000}"/>
    <cellStyle name="Comma 4 4" xfId="1567" xr:uid="{00000000-0005-0000-0000-00005E080000}"/>
    <cellStyle name="Comma 4 5" xfId="1621" xr:uid="{00000000-0005-0000-0000-00005F080000}"/>
    <cellStyle name="Comma 5" xfId="124" xr:uid="{00000000-0005-0000-0000-000060080000}"/>
    <cellStyle name="Comma 5 2" xfId="135" xr:uid="{00000000-0005-0000-0000-000061080000}"/>
    <cellStyle name="Comma 5 3" xfId="243" xr:uid="{00000000-0005-0000-0000-000062080000}"/>
    <cellStyle name="Comma 5 3 2" xfId="369" xr:uid="{00000000-0005-0000-0000-000063080000}"/>
    <cellStyle name="Comma 5 3 2 2" xfId="774" xr:uid="{00000000-0005-0000-0000-000064080000}"/>
    <cellStyle name="Comma 5 3 2 2 2" xfId="1504" xr:uid="{00000000-0005-0000-0000-000065080000}"/>
    <cellStyle name="Comma 5 3 2 2 3" xfId="2824" xr:uid="{00000000-0005-0000-0000-000066080000}"/>
    <cellStyle name="Comma 5 3 2 2 4" xfId="3542" xr:uid="{00000000-0005-0000-0000-000067080000}"/>
    <cellStyle name="Comma 5 3 2 3" xfId="1107" xr:uid="{00000000-0005-0000-0000-000068080000}"/>
    <cellStyle name="Comma 5 3 2 4" xfId="2425" xr:uid="{00000000-0005-0000-0000-000069080000}"/>
    <cellStyle name="Comma 5 3 2 5" xfId="3145" xr:uid="{00000000-0005-0000-0000-00006A080000}"/>
    <cellStyle name="Comma 5 3 3" xfId="648" xr:uid="{00000000-0005-0000-0000-00006B080000}"/>
    <cellStyle name="Comma 5 3 3 2" xfId="1380" xr:uid="{00000000-0005-0000-0000-00006C080000}"/>
    <cellStyle name="Comma 5 3 3 3" xfId="2700" xr:uid="{00000000-0005-0000-0000-00006D080000}"/>
    <cellStyle name="Comma 5 3 3 4" xfId="3418" xr:uid="{00000000-0005-0000-0000-00006E080000}"/>
    <cellStyle name="Comma 5 3 4" xfId="983" xr:uid="{00000000-0005-0000-0000-00006F080000}"/>
    <cellStyle name="Comma 5 3 5" xfId="2107" xr:uid="{00000000-0005-0000-0000-000070080000}"/>
    <cellStyle name="Comma 5 3 6" xfId="2301" xr:uid="{00000000-0005-0000-0000-000071080000}"/>
    <cellStyle name="Comma 5 3 7" xfId="3021" xr:uid="{00000000-0005-0000-0000-000072080000}"/>
    <cellStyle name="Comma 5 4" xfId="368" xr:uid="{00000000-0005-0000-0000-000073080000}"/>
    <cellStyle name="Comma 5 4 2" xfId="773" xr:uid="{00000000-0005-0000-0000-000074080000}"/>
    <cellStyle name="Comma 5 4 2 2" xfId="1503" xr:uid="{00000000-0005-0000-0000-000075080000}"/>
    <cellStyle name="Comma 5 4 2 3" xfId="2823" xr:uid="{00000000-0005-0000-0000-000076080000}"/>
    <cellStyle name="Comma 5 4 2 4" xfId="3541" xr:uid="{00000000-0005-0000-0000-000077080000}"/>
    <cellStyle name="Comma 5 4 3" xfId="1106" xr:uid="{00000000-0005-0000-0000-000078080000}"/>
    <cellStyle name="Comma 5 4 4" xfId="2063" xr:uid="{00000000-0005-0000-0000-000079080000}"/>
    <cellStyle name="Comma 5 4 5" xfId="2424" xr:uid="{00000000-0005-0000-0000-00007A080000}"/>
    <cellStyle name="Comma 5 4 6" xfId="3144" xr:uid="{00000000-0005-0000-0000-00007B080000}"/>
    <cellStyle name="Comma 5 5" xfId="571" xr:uid="{00000000-0005-0000-0000-00007C080000}"/>
    <cellStyle name="Comma 5 5 2" xfId="1303" xr:uid="{00000000-0005-0000-0000-00007D080000}"/>
    <cellStyle name="Comma 5 5 3" xfId="1586" xr:uid="{00000000-0005-0000-0000-00007E080000}"/>
    <cellStyle name="Comma 5 5 3 2" xfId="1864" xr:uid="{00000000-0005-0000-0000-00007F080000}"/>
    <cellStyle name="Comma 5 5 4" xfId="2623" xr:uid="{00000000-0005-0000-0000-000080080000}"/>
    <cellStyle name="Comma 5 5 5" xfId="3341" xr:uid="{00000000-0005-0000-0000-000081080000}"/>
    <cellStyle name="Comma 5 6" xfId="902" xr:uid="{00000000-0005-0000-0000-000082080000}"/>
    <cellStyle name="Comma 5 6 2" xfId="833" xr:uid="{00000000-0005-0000-0000-000083080000}"/>
    <cellStyle name="Comma 5 7" xfId="1622" xr:uid="{00000000-0005-0000-0000-000084080000}"/>
    <cellStyle name="Comma 5 7 2" xfId="1626" xr:uid="{00000000-0005-0000-0000-000085080000}"/>
    <cellStyle name="Comma 5 8" xfId="2224" xr:uid="{00000000-0005-0000-0000-000086080000}"/>
    <cellStyle name="Comma 5 9" xfId="2944" xr:uid="{00000000-0005-0000-0000-000087080000}"/>
    <cellStyle name="Comma 6" xfId="111" xr:uid="{00000000-0005-0000-0000-000088080000}"/>
    <cellStyle name="Comma 6 2" xfId="118" xr:uid="{00000000-0005-0000-0000-000089080000}"/>
    <cellStyle name="Comma 6 3" xfId="1577" xr:uid="{00000000-0005-0000-0000-00008A080000}"/>
    <cellStyle name="Comma 7" xfId="367" xr:uid="{00000000-0005-0000-0000-00008B080000}"/>
    <cellStyle name="Comma 7 2" xfId="772" xr:uid="{00000000-0005-0000-0000-00008C080000}"/>
    <cellStyle name="Comma 7 3" xfId="1671" xr:uid="{00000000-0005-0000-0000-00008D080000}"/>
    <cellStyle name="Comma 7 3 2" xfId="2483" xr:uid="{00000000-0005-0000-0000-00008E080000}"/>
    <cellStyle name="Comma 7 4" xfId="1659" xr:uid="{00000000-0005-0000-0000-00008F080000}"/>
    <cellStyle name="Comma 7 5" xfId="1647" xr:uid="{00000000-0005-0000-0000-000090080000}"/>
    <cellStyle name="Comma 8" xfId="488" xr:uid="{00000000-0005-0000-0000-000091080000}"/>
    <cellStyle name="Comma 8 2" xfId="1226" xr:uid="{00000000-0005-0000-0000-000092080000}"/>
    <cellStyle name="Comma 8 3" xfId="2172" xr:uid="{00000000-0005-0000-0000-000093080000}"/>
    <cellStyle name="Comma 8 4" xfId="2546" xr:uid="{00000000-0005-0000-0000-000094080000}"/>
    <cellStyle name="Comma 8 5" xfId="3264" xr:uid="{00000000-0005-0000-0000-000095080000}"/>
    <cellStyle name="Comma 9" xfId="1591" xr:uid="{00000000-0005-0000-0000-000096080000}"/>
    <cellStyle name="Comma 9 2" xfId="1684" xr:uid="{00000000-0005-0000-0000-000097080000}"/>
    <cellStyle name="Currency" xfId="2" builtinId="4"/>
    <cellStyle name="Currency 2" xfId="61" xr:uid="{00000000-0005-0000-0000-000099080000}"/>
    <cellStyle name="Currency 3" xfId="114" xr:uid="{00000000-0005-0000-0000-00009A080000}"/>
    <cellStyle name="Currency 3 2" xfId="1670" xr:uid="{00000000-0005-0000-0000-00009B080000}"/>
    <cellStyle name="Currency 4" xfId="107" xr:uid="{00000000-0005-0000-0000-00009C080000}"/>
    <cellStyle name="Currency 5" xfId="1561" xr:uid="{00000000-0005-0000-0000-00009D080000}"/>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2" xfId="127" xr:uid="{00000000-0005-0000-0000-0000A4080000}"/>
    <cellStyle name="Hyperlink 3" xfId="128" xr:uid="{00000000-0005-0000-0000-0000A5080000}"/>
    <cellStyle name="Hyperlink 4" xfId="146" xr:uid="{00000000-0005-0000-0000-0000A6080000}"/>
    <cellStyle name="Hyperlink 4 2" xfId="173" xr:uid="{00000000-0005-0000-0000-0000A7080000}"/>
    <cellStyle name="Hyperlink 4 3" xfId="1615" xr:uid="{00000000-0005-0000-0000-0000A8080000}"/>
    <cellStyle name="Hyperlink 5" xfId="490" xr:uid="{00000000-0005-0000-0000-0000A9080000}"/>
    <cellStyle name="Input" xfId="11" builtinId="20" customBuiltin="1"/>
    <cellStyle name="Linked Cell" xfId="14" builtinId="24" customBuiltin="1"/>
    <cellStyle name="Neutral" xfId="10" builtinId="28" customBuiltin="1"/>
    <cellStyle name="Normal" xfId="0" builtinId="0"/>
    <cellStyle name="Normal 10" xfId="137" xr:uid="{00000000-0005-0000-0000-0000AE080000}"/>
    <cellStyle name="Normal 10 2" xfId="244" xr:uid="{00000000-0005-0000-0000-0000AF080000}"/>
    <cellStyle name="Normal 10 2 2" xfId="371" xr:uid="{00000000-0005-0000-0000-0000B0080000}"/>
    <cellStyle name="Normal 10 2 2 2" xfId="776" xr:uid="{00000000-0005-0000-0000-0000B1080000}"/>
    <cellStyle name="Normal 10 2 2 2 2" xfId="1506" xr:uid="{00000000-0005-0000-0000-0000B2080000}"/>
    <cellStyle name="Normal 10 2 2 2 3" xfId="2826" xr:uid="{00000000-0005-0000-0000-0000B3080000}"/>
    <cellStyle name="Normal 10 2 2 2 4" xfId="3544" xr:uid="{00000000-0005-0000-0000-0000B4080000}"/>
    <cellStyle name="Normal 10 2 2 3" xfId="1109" xr:uid="{00000000-0005-0000-0000-0000B5080000}"/>
    <cellStyle name="Normal 10 2 2 4" xfId="2427" xr:uid="{00000000-0005-0000-0000-0000B6080000}"/>
    <cellStyle name="Normal 10 2 2 5" xfId="3147" xr:uid="{00000000-0005-0000-0000-0000B7080000}"/>
    <cellStyle name="Normal 10 2 3" xfId="649" xr:uid="{00000000-0005-0000-0000-0000B8080000}"/>
    <cellStyle name="Normal 10 2 3 2" xfId="1381" xr:uid="{00000000-0005-0000-0000-0000B9080000}"/>
    <cellStyle name="Normal 10 2 3 3" xfId="2701" xr:uid="{00000000-0005-0000-0000-0000BA080000}"/>
    <cellStyle name="Normal 10 2 3 4" xfId="3419" xr:uid="{00000000-0005-0000-0000-0000BB080000}"/>
    <cellStyle name="Normal 10 2 4" xfId="984" xr:uid="{00000000-0005-0000-0000-0000BC080000}"/>
    <cellStyle name="Normal 10 2 5" xfId="2108" xr:uid="{00000000-0005-0000-0000-0000BD080000}"/>
    <cellStyle name="Normal 10 2 6" xfId="2302" xr:uid="{00000000-0005-0000-0000-0000BE080000}"/>
    <cellStyle name="Normal 10 2 7" xfId="3022" xr:uid="{00000000-0005-0000-0000-0000BF080000}"/>
    <cellStyle name="Normal 10 3" xfId="370" xr:uid="{00000000-0005-0000-0000-0000C0080000}"/>
    <cellStyle name="Normal 10 3 2" xfId="775" xr:uid="{00000000-0005-0000-0000-0000C1080000}"/>
    <cellStyle name="Normal 10 3 2 2" xfId="1505" xr:uid="{00000000-0005-0000-0000-0000C2080000}"/>
    <cellStyle name="Normal 10 3 2 3" xfId="2825" xr:uid="{00000000-0005-0000-0000-0000C3080000}"/>
    <cellStyle name="Normal 10 3 2 4" xfId="3543" xr:uid="{00000000-0005-0000-0000-0000C4080000}"/>
    <cellStyle name="Normal 10 3 3" xfId="1108" xr:uid="{00000000-0005-0000-0000-0000C5080000}"/>
    <cellStyle name="Normal 10 3 4" xfId="2064" xr:uid="{00000000-0005-0000-0000-0000C6080000}"/>
    <cellStyle name="Normal 10 3 5" xfId="2426" xr:uid="{00000000-0005-0000-0000-0000C7080000}"/>
    <cellStyle name="Normal 10 3 6" xfId="3146" xr:uid="{00000000-0005-0000-0000-0000C8080000}"/>
    <cellStyle name="Normal 10 4" xfId="499" xr:uid="{00000000-0005-0000-0000-0000C9080000}"/>
    <cellStyle name="Normal 10 4 2" xfId="1232" xr:uid="{00000000-0005-0000-0000-0000CA080000}"/>
    <cellStyle name="Normal 10 4 3" xfId="1865" xr:uid="{00000000-0005-0000-0000-0000CB080000}"/>
    <cellStyle name="Normal 10 4 4" xfId="2552" xr:uid="{00000000-0005-0000-0000-0000CC080000}"/>
    <cellStyle name="Normal 10 4 5" xfId="3270" xr:uid="{00000000-0005-0000-0000-0000CD080000}"/>
    <cellStyle name="Normal 10 5" xfId="572" xr:uid="{00000000-0005-0000-0000-0000CE080000}"/>
    <cellStyle name="Normal 10 5 2" xfId="1304" xr:uid="{00000000-0005-0000-0000-0000CF080000}"/>
    <cellStyle name="Normal 10 5 3" xfId="2624" xr:uid="{00000000-0005-0000-0000-0000D0080000}"/>
    <cellStyle name="Normal 10 5 4" xfId="3342" xr:uid="{00000000-0005-0000-0000-0000D1080000}"/>
    <cellStyle name="Normal 10 6" xfId="904" xr:uid="{00000000-0005-0000-0000-0000D2080000}"/>
    <cellStyle name="Normal 10 7" xfId="1957" xr:uid="{00000000-0005-0000-0000-0000D3080000}"/>
    <cellStyle name="Normal 10 8" xfId="2225" xr:uid="{00000000-0005-0000-0000-0000D4080000}"/>
    <cellStyle name="Normal 10 9" xfId="2945" xr:uid="{00000000-0005-0000-0000-0000D5080000}"/>
    <cellStyle name="Normal 11" xfId="131" xr:uid="{00000000-0005-0000-0000-0000D6080000}"/>
    <cellStyle name="Normal 11 2" xfId="1596" xr:uid="{00000000-0005-0000-0000-0000D7080000}"/>
    <cellStyle name="Normal 11 3" xfId="1601" xr:uid="{00000000-0005-0000-0000-0000D8080000}"/>
    <cellStyle name="Normal 11 4" xfId="1768" xr:uid="{00000000-0005-0000-0000-0000D9080000}"/>
    <cellStyle name="Normal 11 5" xfId="1995" xr:uid="{00000000-0005-0000-0000-0000DA080000}"/>
    <cellStyle name="Normal 12" xfId="179" xr:uid="{00000000-0005-0000-0000-0000DB080000}"/>
    <cellStyle name="Normal 12 2" xfId="372" xr:uid="{00000000-0005-0000-0000-0000DC080000}"/>
    <cellStyle name="Normal 12 2 2" xfId="777" xr:uid="{00000000-0005-0000-0000-0000DD080000}"/>
    <cellStyle name="Normal 12 2 2 2" xfId="1507" xr:uid="{00000000-0005-0000-0000-0000DE080000}"/>
    <cellStyle name="Normal 12 2 2 3" xfId="2827" xr:uid="{00000000-0005-0000-0000-0000DF080000}"/>
    <cellStyle name="Normal 12 2 2 4" xfId="3545" xr:uid="{00000000-0005-0000-0000-0000E0080000}"/>
    <cellStyle name="Normal 12 2 3" xfId="1110" xr:uid="{00000000-0005-0000-0000-0000E1080000}"/>
    <cellStyle name="Normal 12 2 4" xfId="2428" xr:uid="{00000000-0005-0000-0000-0000E2080000}"/>
    <cellStyle name="Normal 12 2 5" xfId="3148" xr:uid="{00000000-0005-0000-0000-0000E3080000}"/>
    <cellStyle name="Normal 12 3" xfId="489" xr:uid="{00000000-0005-0000-0000-0000E4080000}"/>
    <cellStyle name="Normal 12 3 2" xfId="1643" xr:uid="{00000000-0005-0000-0000-0000E5080000}"/>
    <cellStyle name="Normal 12 4" xfId="584" xr:uid="{00000000-0005-0000-0000-0000E6080000}"/>
    <cellStyle name="Normal 12 4 2" xfId="1316" xr:uid="{00000000-0005-0000-0000-0000E7080000}"/>
    <cellStyle name="Normal 12 4 3" xfId="2636" xr:uid="{00000000-0005-0000-0000-0000E8080000}"/>
    <cellStyle name="Normal 12 4 4" xfId="3354" xr:uid="{00000000-0005-0000-0000-0000E9080000}"/>
    <cellStyle name="Normal 12 5" xfId="919" xr:uid="{00000000-0005-0000-0000-0000EA080000}"/>
    <cellStyle name="Normal 12 6" xfId="2072" xr:uid="{00000000-0005-0000-0000-0000EB080000}"/>
    <cellStyle name="Normal 12 7" xfId="2237" xr:uid="{00000000-0005-0000-0000-0000EC080000}"/>
    <cellStyle name="Normal 12 8" xfId="2957" xr:uid="{00000000-0005-0000-0000-0000ED080000}"/>
    <cellStyle name="Normal 13" xfId="256" xr:uid="{00000000-0005-0000-0000-0000EE080000}"/>
    <cellStyle name="Normal 13 2" xfId="373" xr:uid="{00000000-0005-0000-0000-0000EF080000}"/>
    <cellStyle name="Normal 13 2 2" xfId="507" xr:uid="{00000000-0005-0000-0000-0000F0080000}"/>
    <cellStyle name="Normal 13 2 2 2" xfId="1665" xr:uid="{00000000-0005-0000-0000-0000F1080000}"/>
    <cellStyle name="Normal 13 2 3" xfId="778" xr:uid="{00000000-0005-0000-0000-0000F2080000}"/>
    <cellStyle name="Normal 13 2 3 2" xfId="1508" xr:uid="{00000000-0005-0000-0000-0000F3080000}"/>
    <cellStyle name="Normal 13 2 3 2 2" xfId="1915" xr:uid="{00000000-0005-0000-0000-0000F4080000}"/>
    <cellStyle name="Normal 13 2 3 3" xfId="2828" xr:uid="{00000000-0005-0000-0000-0000F5080000}"/>
    <cellStyle name="Normal 13 2 3 4" xfId="3546" xr:uid="{00000000-0005-0000-0000-0000F6080000}"/>
    <cellStyle name="Normal 13 2 4" xfId="1111" xr:uid="{00000000-0005-0000-0000-0000F7080000}"/>
    <cellStyle name="Normal 13 2 5" xfId="2429" xr:uid="{00000000-0005-0000-0000-0000F8080000}"/>
    <cellStyle name="Normal 13 2 6" xfId="3149" xr:uid="{00000000-0005-0000-0000-0000F9080000}"/>
    <cellStyle name="Normal 13 3" xfId="506" xr:uid="{00000000-0005-0000-0000-0000FA080000}"/>
    <cellStyle name="Normal 13 3 2" xfId="1239" xr:uid="{00000000-0005-0000-0000-0000FB080000}"/>
    <cellStyle name="Normal 13 3 3" xfId="2559" xr:uid="{00000000-0005-0000-0000-0000FC080000}"/>
    <cellStyle name="Normal 13 3 4" xfId="3277" xr:uid="{00000000-0005-0000-0000-0000FD080000}"/>
    <cellStyle name="Normal 13 4" xfId="661" xr:uid="{00000000-0005-0000-0000-0000FE080000}"/>
    <cellStyle name="Normal 13 4 2" xfId="1393" xr:uid="{00000000-0005-0000-0000-0000FF080000}"/>
    <cellStyle name="Normal 13 4 3" xfId="2713" xr:uid="{00000000-0005-0000-0000-000000090000}"/>
    <cellStyle name="Normal 13 4 4" xfId="3431" xr:uid="{00000000-0005-0000-0000-000001090000}"/>
    <cellStyle name="Normal 13 5" xfId="996" xr:uid="{00000000-0005-0000-0000-000002090000}"/>
    <cellStyle name="Normal 13 5 2" xfId="2482" xr:uid="{00000000-0005-0000-0000-000003090000}"/>
    <cellStyle name="Normal 13 6" xfId="2119" xr:uid="{00000000-0005-0000-0000-000004090000}"/>
    <cellStyle name="Normal 13 7" xfId="2314" xr:uid="{00000000-0005-0000-0000-000005090000}"/>
    <cellStyle name="Normal 13 8" xfId="3034" xr:uid="{00000000-0005-0000-0000-000006090000}"/>
    <cellStyle name="Normal 14" xfId="270" xr:uid="{00000000-0005-0000-0000-000007090000}"/>
    <cellStyle name="Normal 14 2" xfId="675" xr:uid="{00000000-0005-0000-0000-000008090000}"/>
    <cellStyle name="Normal 14 2 2" xfId="1914" xr:uid="{00000000-0005-0000-0000-000009090000}"/>
    <cellStyle name="Normal 14 2 3" xfId="1694" xr:uid="{00000000-0005-0000-0000-00000A090000}"/>
    <cellStyle name="Normal 14 3" xfId="1686" xr:uid="{00000000-0005-0000-0000-00000B090000}"/>
    <cellStyle name="Normal 15" xfId="426" xr:uid="{00000000-0005-0000-0000-00000C090000}"/>
    <cellStyle name="Normal 15 2" xfId="1164" xr:uid="{00000000-0005-0000-0000-00000D090000}"/>
    <cellStyle name="Normal 15 3" xfId="1875" xr:uid="{00000000-0005-0000-0000-00000E090000}"/>
    <cellStyle name="Normal 15 4" xfId="2171" xr:uid="{00000000-0005-0000-0000-00000F090000}"/>
    <cellStyle name="Normal 15 5" xfId="2484" xr:uid="{00000000-0005-0000-0000-000010090000}"/>
    <cellStyle name="Normal 15 6" xfId="3202" xr:uid="{00000000-0005-0000-0000-000011090000}"/>
    <cellStyle name="Normal 16" xfId="831" xr:uid="{00000000-0005-0000-0000-000012090000}"/>
    <cellStyle name="Normal 16 2" xfId="1660" xr:uid="{00000000-0005-0000-0000-000013090000}"/>
    <cellStyle name="Normal 17" xfId="1610" xr:uid="{00000000-0005-0000-0000-000014090000}"/>
    <cellStyle name="Normal 18" xfId="1917" xr:uid="{00000000-0005-0000-0000-000015090000}"/>
    <cellStyle name="Normal 19" xfId="2157" xr:uid="{00000000-0005-0000-0000-000016090000}"/>
    <cellStyle name="Normal 2" xfId="43" xr:uid="{00000000-0005-0000-0000-000017090000}"/>
    <cellStyle name="Normal 2 10" xfId="520" xr:uid="{00000000-0005-0000-0000-000018090000}"/>
    <cellStyle name="Normal 2 10 2" xfId="1252" xr:uid="{00000000-0005-0000-0000-000019090000}"/>
    <cellStyle name="Normal 2 10 3" xfId="1815" xr:uid="{00000000-0005-0000-0000-00001A090000}"/>
    <cellStyle name="Normal 2 10 4" xfId="2572" xr:uid="{00000000-0005-0000-0000-00001B090000}"/>
    <cellStyle name="Normal 2 10 5" xfId="3290" xr:uid="{00000000-0005-0000-0000-00001C090000}"/>
    <cellStyle name="Normal 2 11" xfId="847" xr:uid="{00000000-0005-0000-0000-00001D090000}"/>
    <cellStyle name="Normal 2 11 2" xfId="1711" xr:uid="{00000000-0005-0000-0000-00001E090000}"/>
    <cellStyle name="Normal 2 11 3" xfId="1900" xr:uid="{00000000-0005-0000-0000-00001F090000}"/>
    <cellStyle name="Normal 2 12" xfId="1657" xr:uid="{00000000-0005-0000-0000-000020090000}"/>
    <cellStyle name="Normal 2 13" xfId="1749" xr:uid="{00000000-0005-0000-0000-000021090000}"/>
    <cellStyle name="Normal 2 14" xfId="1943" xr:uid="{00000000-0005-0000-0000-000022090000}"/>
    <cellStyle name="Normal 2 15" xfId="2173" xr:uid="{00000000-0005-0000-0000-000023090000}"/>
    <cellStyle name="Normal 2 16" xfId="2893" xr:uid="{00000000-0005-0000-0000-000024090000}"/>
    <cellStyle name="Normal 2 2" xfId="65" xr:uid="{00000000-0005-0000-0000-000025090000}"/>
    <cellStyle name="Normal 2 2 2" xfId="74" xr:uid="{00000000-0005-0000-0000-000026090000}"/>
    <cellStyle name="Normal 2 2 2 10" xfId="1944" xr:uid="{00000000-0005-0000-0000-000027090000}"/>
    <cellStyle name="Normal 2 2 2 2" xfId="145" xr:uid="{00000000-0005-0000-0000-000028090000}"/>
    <cellStyle name="Normal 2 2 2 2 10" xfId="2948" xr:uid="{00000000-0005-0000-0000-000029090000}"/>
    <cellStyle name="Normal 2 2 2 2 2" xfId="158" xr:uid="{00000000-0005-0000-0000-00002A090000}"/>
    <cellStyle name="Normal 2 2 2 2 2 10" xfId="1952" xr:uid="{00000000-0005-0000-0000-00002B090000}"/>
    <cellStyle name="Normal 2 2 2 2 2 11" xfId="2232" xr:uid="{00000000-0005-0000-0000-00002C090000}"/>
    <cellStyle name="Normal 2 2 2 2 2 12" xfId="2952" xr:uid="{00000000-0005-0000-0000-00002D090000}"/>
    <cellStyle name="Normal 2 2 2 2 2 2" xfId="251" xr:uid="{00000000-0005-0000-0000-00002E090000}"/>
    <cellStyle name="Normal 2 2 2 2 2 2 2" xfId="377" xr:uid="{00000000-0005-0000-0000-00002F090000}"/>
    <cellStyle name="Normal 2 2 2 2 2 2 2 2" xfId="782" xr:uid="{00000000-0005-0000-0000-000030090000}"/>
    <cellStyle name="Normal 2 2 2 2 2 2 2 2 2" xfId="1512" xr:uid="{00000000-0005-0000-0000-000031090000}"/>
    <cellStyle name="Normal 2 2 2 2 2 2 2 2 3" xfId="2832" xr:uid="{00000000-0005-0000-0000-000032090000}"/>
    <cellStyle name="Normal 2 2 2 2 2 2 2 2 4" xfId="3550" xr:uid="{00000000-0005-0000-0000-000033090000}"/>
    <cellStyle name="Normal 2 2 2 2 2 2 2 3" xfId="1115" xr:uid="{00000000-0005-0000-0000-000034090000}"/>
    <cellStyle name="Normal 2 2 2 2 2 2 2 4" xfId="2113" xr:uid="{00000000-0005-0000-0000-000035090000}"/>
    <cellStyle name="Normal 2 2 2 2 2 2 2 5" xfId="2433" xr:uid="{00000000-0005-0000-0000-000036090000}"/>
    <cellStyle name="Normal 2 2 2 2 2 2 2 6" xfId="3153" xr:uid="{00000000-0005-0000-0000-000037090000}"/>
    <cellStyle name="Normal 2 2 2 2 2 2 3" xfId="656" xr:uid="{00000000-0005-0000-0000-000038090000}"/>
    <cellStyle name="Normal 2 2 2 2 2 2 3 2" xfId="1388" xr:uid="{00000000-0005-0000-0000-000039090000}"/>
    <cellStyle name="Normal 2 2 2 2 2 2 3 3" xfId="1874" xr:uid="{00000000-0005-0000-0000-00003A090000}"/>
    <cellStyle name="Normal 2 2 2 2 2 2 3 4" xfId="2708" xr:uid="{00000000-0005-0000-0000-00003B090000}"/>
    <cellStyle name="Normal 2 2 2 2 2 2 3 5" xfId="3426" xr:uid="{00000000-0005-0000-0000-00003C090000}"/>
    <cellStyle name="Normal 2 2 2 2 2 2 4" xfId="991" xr:uid="{00000000-0005-0000-0000-00003D090000}"/>
    <cellStyle name="Normal 2 2 2 2 2 2 5" xfId="1766" xr:uid="{00000000-0005-0000-0000-00003E090000}"/>
    <cellStyle name="Normal 2 2 2 2 2 2 6" xfId="1991" xr:uid="{00000000-0005-0000-0000-00003F090000}"/>
    <cellStyle name="Normal 2 2 2 2 2 2 7" xfId="2309" xr:uid="{00000000-0005-0000-0000-000040090000}"/>
    <cellStyle name="Normal 2 2 2 2 2 2 8" xfId="3029" xr:uid="{00000000-0005-0000-0000-000041090000}"/>
    <cellStyle name="Normal 2 2 2 2 2 3" xfId="376" xr:uid="{00000000-0005-0000-0000-000042090000}"/>
    <cellStyle name="Normal 2 2 2 2 2 3 2" xfId="781" xr:uid="{00000000-0005-0000-0000-000043090000}"/>
    <cellStyle name="Normal 2 2 2 2 2 3 2 2" xfId="1511" xr:uid="{00000000-0005-0000-0000-000044090000}"/>
    <cellStyle name="Normal 2 2 2 2 2 3 2 3" xfId="2831" xr:uid="{00000000-0005-0000-0000-000045090000}"/>
    <cellStyle name="Normal 2 2 2 2 2 3 2 4" xfId="3549" xr:uid="{00000000-0005-0000-0000-000046090000}"/>
    <cellStyle name="Normal 2 2 2 2 2 3 3" xfId="1114" xr:uid="{00000000-0005-0000-0000-000047090000}"/>
    <cellStyle name="Normal 2 2 2 2 2 3 4" xfId="2029" xr:uid="{00000000-0005-0000-0000-000048090000}"/>
    <cellStyle name="Normal 2 2 2 2 2 3 5" xfId="2432" xr:uid="{00000000-0005-0000-0000-000049090000}"/>
    <cellStyle name="Normal 2 2 2 2 2 3 6" xfId="3152" xr:uid="{00000000-0005-0000-0000-00004A090000}"/>
    <cellStyle name="Normal 2 2 2 2 2 4" xfId="503" xr:uid="{00000000-0005-0000-0000-00004B090000}"/>
    <cellStyle name="Normal 2 2 2 2 2 4 2" xfId="1236" xr:uid="{00000000-0005-0000-0000-00004C090000}"/>
    <cellStyle name="Normal 2 2 2 2 2 4 3" xfId="1776" xr:uid="{00000000-0005-0000-0000-00004D090000}"/>
    <cellStyle name="Normal 2 2 2 2 2 4 4" xfId="2153" xr:uid="{00000000-0005-0000-0000-00004E090000}"/>
    <cellStyle name="Normal 2 2 2 2 2 4 5" xfId="2556" xr:uid="{00000000-0005-0000-0000-00004F090000}"/>
    <cellStyle name="Normal 2 2 2 2 2 4 6" xfId="3274" xr:uid="{00000000-0005-0000-0000-000050090000}"/>
    <cellStyle name="Normal 2 2 2 2 2 5" xfId="579" xr:uid="{00000000-0005-0000-0000-000051090000}"/>
    <cellStyle name="Normal 2 2 2 2 2 5 2" xfId="1311" xr:uid="{00000000-0005-0000-0000-000052090000}"/>
    <cellStyle name="Normal 2 2 2 2 2 5 3" xfId="1799" xr:uid="{00000000-0005-0000-0000-000053090000}"/>
    <cellStyle name="Normal 2 2 2 2 2 5 4" xfId="2631" xr:uid="{00000000-0005-0000-0000-000054090000}"/>
    <cellStyle name="Normal 2 2 2 2 2 5 5" xfId="3349" xr:uid="{00000000-0005-0000-0000-000055090000}"/>
    <cellStyle name="Normal 2 2 2 2 2 6" xfId="912" xr:uid="{00000000-0005-0000-0000-000056090000}"/>
    <cellStyle name="Normal 2 2 2 2 2 6 2" xfId="1698" xr:uid="{00000000-0005-0000-0000-000057090000}"/>
    <cellStyle name="Normal 2 2 2 2 2 6 3" xfId="1869" xr:uid="{00000000-0005-0000-0000-000058090000}"/>
    <cellStyle name="Normal 2 2 2 2 2 7" xfId="1646" xr:uid="{00000000-0005-0000-0000-000059090000}"/>
    <cellStyle name="Normal 2 2 2 2 2 7 2" xfId="1720" xr:uid="{00000000-0005-0000-0000-00005A090000}"/>
    <cellStyle name="Normal 2 2 2 2 2 7 3" xfId="1909" xr:uid="{00000000-0005-0000-0000-00005B090000}"/>
    <cellStyle name="Normal 2 2 2 2 2 8" xfId="1640" xr:uid="{00000000-0005-0000-0000-00005C090000}"/>
    <cellStyle name="Normal 2 2 2 2 2 9" xfId="1758" xr:uid="{00000000-0005-0000-0000-00005D090000}"/>
    <cellStyle name="Normal 2 2 2 2 3" xfId="170" xr:uid="{00000000-0005-0000-0000-00005E090000}"/>
    <cellStyle name="Normal 2 2 2 2 4" xfId="247" xr:uid="{00000000-0005-0000-0000-00005F090000}"/>
    <cellStyle name="Normal 2 2 2 2 4 2" xfId="378" xr:uid="{00000000-0005-0000-0000-000060090000}"/>
    <cellStyle name="Normal 2 2 2 2 4 2 2" xfId="783" xr:uid="{00000000-0005-0000-0000-000061090000}"/>
    <cellStyle name="Normal 2 2 2 2 4 2 2 2" xfId="1513" xr:uid="{00000000-0005-0000-0000-000062090000}"/>
    <cellStyle name="Normal 2 2 2 2 4 2 2 3" xfId="2833" xr:uid="{00000000-0005-0000-0000-000063090000}"/>
    <cellStyle name="Normal 2 2 2 2 4 2 2 4" xfId="3551" xr:uid="{00000000-0005-0000-0000-000064090000}"/>
    <cellStyle name="Normal 2 2 2 2 4 2 3" xfId="1116" xr:uid="{00000000-0005-0000-0000-000065090000}"/>
    <cellStyle name="Normal 2 2 2 2 4 2 4" xfId="2434" xr:uid="{00000000-0005-0000-0000-000066090000}"/>
    <cellStyle name="Normal 2 2 2 2 4 2 5" xfId="3154" xr:uid="{00000000-0005-0000-0000-000067090000}"/>
    <cellStyle name="Normal 2 2 2 2 4 3" xfId="652" xr:uid="{00000000-0005-0000-0000-000068090000}"/>
    <cellStyle name="Normal 2 2 2 2 4 3 2" xfId="1384" xr:uid="{00000000-0005-0000-0000-000069090000}"/>
    <cellStyle name="Normal 2 2 2 2 4 3 3" xfId="2704" xr:uid="{00000000-0005-0000-0000-00006A090000}"/>
    <cellStyle name="Normal 2 2 2 2 4 3 4" xfId="3422" xr:uid="{00000000-0005-0000-0000-00006B090000}"/>
    <cellStyle name="Normal 2 2 2 2 4 4" xfId="987" xr:uid="{00000000-0005-0000-0000-00006C090000}"/>
    <cellStyle name="Normal 2 2 2 2 4 5" xfId="2109" xr:uid="{00000000-0005-0000-0000-00006D090000}"/>
    <cellStyle name="Normal 2 2 2 2 4 6" xfId="2305" xr:uid="{00000000-0005-0000-0000-00006E090000}"/>
    <cellStyle name="Normal 2 2 2 2 4 7" xfId="3025" xr:uid="{00000000-0005-0000-0000-00006F090000}"/>
    <cellStyle name="Normal 2 2 2 2 5" xfId="375" xr:uid="{00000000-0005-0000-0000-000070090000}"/>
    <cellStyle name="Normal 2 2 2 2 5 2" xfId="780" xr:uid="{00000000-0005-0000-0000-000071090000}"/>
    <cellStyle name="Normal 2 2 2 2 5 2 2" xfId="1510" xr:uid="{00000000-0005-0000-0000-000072090000}"/>
    <cellStyle name="Normal 2 2 2 2 5 2 3" xfId="2830" xr:uid="{00000000-0005-0000-0000-000073090000}"/>
    <cellStyle name="Normal 2 2 2 2 5 2 4" xfId="3548" xr:uid="{00000000-0005-0000-0000-000074090000}"/>
    <cellStyle name="Normal 2 2 2 2 5 3" xfId="1113" xr:uid="{00000000-0005-0000-0000-000075090000}"/>
    <cellStyle name="Normal 2 2 2 2 5 4" xfId="2431" xr:uid="{00000000-0005-0000-0000-000076090000}"/>
    <cellStyle name="Normal 2 2 2 2 5 5" xfId="3151" xr:uid="{00000000-0005-0000-0000-000077090000}"/>
    <cellStyle name="Normal 2 2 2 2 6" xfId="495" xr:uid="{00000000-0005-0000-0000-000078090000}"/>
    <cellStyle name="Normal 2 2 2 2 6 2" xfId="1229" xr:uid="{00000000-0005-0000-0000-000079090000}"/>
    <cellStyle name="Normal 2 2 2 2 6 3" xfId="2549" xr:uid="{00000000-0005-0000-0000-00007A090000}"/>
    <cellStyle name="Normal 2 2 2 2 6 4" xfId="3267" xr:uid="{00000000-0005-0000-0000-00007B090000}"/>
    <cellStyle name="Normal 2 2 2 2 7" xfId="575" xr:uid="{00000000-0005-0000-0000-00007C090000}"/>
    <cellStyle name="Normal 2 2 2 2 7 2" xfId="1307" xr:uid="{00000000-0005-0000-0000-00007D090000}"/>
    <cellStyle name="Normal 2 2 2 2 7 3" xfId="2627" xr:uid="{00000000-0005-0000-0000-00007E090000}"/>
    <cellStyle name="Normal 2 2 2 2 7 4" xfId="3345" xr:uid="{00000000-0005-0000-0000-00007F090000}"/>
    <cellStyle name="Normal 2 2 2 2 8" xfId="907" xr:uid="{00000000-0005-0000-0000-000080090000}"/>
    <cellStyle name="Normal 2 2 2 2 9" xfId="2228" xr:uid="{00000000-0005-0000-0000-000081090000}"/>
    <cellStyle name="Normal 2 2 2 3" xfId="1585" xr:uid="{00000000-0005-0000-0000-000082090000}"/>
    <cellStyle name="Normal 2 2 2 3 2" xfId="1651" xr:uid="{00000000-0005-0000-0000-000083090000}"/>
    <cellStyle name="Normal 2 2 2 3 3" xfId="1762" xr:uid="{00000000-0005-0000-0000-000084090000}"/>
    <cellStyle name="Normal 2 2 2 3 4" xfId="1983" xr:uid="{00000000-0005-0000-0000-000085090000}"/>
    <cellStyle name="Normal 2 2 2 4" xfId="1618" xr:uid="{00000000-0005-0000-0000-000086090000}"/>
    <cellStyle name="Normal 2 2 2 4 2" xfId="1653" xr:uid="{00000000-0005-0000-0000-000087090000}"/>
    <cellStyle name="Normal 2 2 2 4 3" xfId="1769" xr:uid="{00000000-0005-0000-0000-000088090000}"/>
    <cellStyle name="Normal 2 2 2 4 4" xfId="2021" xr:uid="{00000000-0005-0000-0000-000089090000}"/>
    <cellStyle name="Normal 2 2 2 5" xfId="1614" xr:uid="{00000000-0005-0000-0000-00008A090000}"/>
    <cellStyle name="Normal 2 2 2 5 2" xfId="1692" xr:uid="{00000000-0005-0000-0000-00008B090000}"/>
    <cellStyle name="Normal 2 2 2 5 3" xfId="1774" xr:uid="{00000000-0005-0000-0000-00008C090000}"/>
    <cellStyle name="Normal 2 2 2 5 4" xfId="2145" xr:uid="{00000000-0005-0000-0000-00008D090000}"/>
    <cellStyle name="Normal 2 2 2 6" xfId="1588" xr:uid="{00000000-0005-0000-0000-00008E090000}"/>
    <cellStyle name="Normal 2 2 2 6 2" xfId="1695" xr:uid="{00000000-0005-0000-0000-00008F090000}"/>
    <cellStyle name="Normal 2 2 2 6 3" xfId="1791" xr:uid="{00000000-0005-0000-0000-000090090000}"/>
    <cellStyle name="Normal 2 2 2 7" xfId="1638" xr:uid="{00000000-0005-0000-0000-000091090000}"/>
    <cellStyle name="Normal 2 2 2 7 2" xfId="1712" xr:uid="{00000000-0005-0000-0000-000092090000}"/>
    <cellStyle name="Normal 2 2 2 7 3" xfId="1901" xr:uid="{00000000-0005-0000-0000-000093090000}"/>
    <cellStyle name="Normal 2 2 2 8" xfId="1644" xr:uid="{00000000-0005-0000-0000-000094090000}"/>
    <cellStyle name="Normal 2 2 2 9" xfId="1750" xr:uid="{00000000-0005-0000-0000-000095090000}"/>
    <cellStyle name="Normal 2 2 3" xfId="71" xr:uid="{00000000-0005-0000-0000-000096090000}"/>
    <cellStyle name="Normal 2 2 3 2" xfId="167" xr:uid="{00000000-0005-0000-0000-000097090000}"/>
    <cellStyle name="Normal 2 2 3 3" xfId="155" xr:uid="{00000000-0005-0000-0000-000098090000}"/>
    <cellStyle name="Normal 2 2 3 3 2" xfId="248" xr:uid="{00000000-0005-0000-0000-000099090000}"/>
    <cellStyle name="Normal 2 2 3 3 2 2" xfId="380" xr:uid="{00000000-0005-0000-0000-00009A090000}"/>
    <cellStyle name="Normal 2 2 3 3 2 2 2" xfId="785" xr:uid="{00000000-0005-0000-0000-00009B090000}"/>
    <cellStyle name="Normal 2 2 3 3 2 2 2 2" xfId="1515" xr:uid="{00000000-0005-0000-0000-00009C090000}"/>
    <cellStyle name="Normal 2 2 3 3 2 2 2 3" xfId="2835" xr:uid="{00000000-0005-0000-0000-00009D090000}"/>
    <cellStyle name="Normal 2 2 3 3 2 2 2 4" xfId="3553" xr:uid="{00000000-0005-0000-0000-00009E090000}"/>
    <cellStyle name="Normal 2 2 3 3 2 2 3" xfId="1118" xr:uid="{00000000-0005-0000-0000-00009F090000}"/>
    <cellStyle name="Normal 2 2 3 3 2 2 4" xfId="2436" xr:uid="{00000000-0005-0000-0000-0000A0090000}"/>
    <cellStyle name="Normal 2 2 3 3 2 2 5" xfId="3156" xr:uid="{00000000-0005-0000-0000-0000A1090000}"/>
    <cellStyle name="Normal 2 2 3 3 2 3" xfId="653" xr:uid="{00000000-0005-0000-0000-0000A2090000}"/>
    <cellStyle name="Normal 2 2 3 3 2 3 2" xfId="1385" xr:uid="{00000000-0005-0000-0000-0000A3090000}"/>
    <cellStyle name="Normal 2 2 3 3 2 3 3" xfId="2705" xr:uid="{00000000-0005-0000-0000-0000A4090000}"/>
    <cellStyle name="Normal 2 2 3 3 2 3 4" xfId="3423" xr:uid="{00000000-0005-0000-0000-0000A5090000}"/>
    <cellStyle name="Normal 2 2 3 3 2 4" xfId="988" xr:uid="{00000000-0005-0000-0000-0000A6090000}"/>
    <cellStyle name="Normal 2 2 3 3 2 5" xfId="2110" xr:uid="{00000000-0005-0000-0000-0000A7090000}"/>
    <cellStyle name="Normal 2 2 3 3 2 6" xfId="2306" xr:uid="{00000000-0005-0000-0000-0000A8090000}"/>
    <cellStyle name="Normal 2 2 3 3 2 7" xfId="3026" xr:uid="{00000000-0005-0000-0000-0000A9090000}"/>
    <cellStyle name="Normal 2 2 3 3 3" xfId="379" xr:uid="{00000000-0005-0000-0000-0000AA090000}"/>
    <cellStyle name="Normal 2 2 3 3 3 2" xfId="784" xr:uid="{00000000-0005-0000-0000-0000AB090000}"/>
    <cellStyle name="Normal 2 2 3 3 3 2 2" xfId="1514" xr:uid="{00000000-0005-0000-0000-0000AC090000}"/>
    <cellStyle name="Normal 2 2 3 3 3 2 3" xfId="2834" xr:uid="{00000000-0005-0000-0000-0000AD090000}"/>
    <cellStyle name="Normal 2 2 3 3 3 2 4" xfId="3552" xr:uid="{00000000-0005-0000-0000-0000AE090000}"/>
    <cellStyle name="Normal 2 2 3 3 3 3" xfId="1117" xr:uid="{00000000-0005-0000-0000-0000AF090000}"/>
    <cellStyle name="Normal 2 2 3 3 3 4" xfId="2435" xr:uid="{00000000-0005-0000-0000-0000B0090000}"/>
    <cellStyle name="Normal 2 2 3 3 3 5" xfId="3155" xr:uid="{00000000-0005-0000-0000-0000B1090000}"/>
    <cellStyle name="Normal 2 2 3 3 4" xfId="500" xr:uid="{00000000-0005-0000-0000-0000B2090000}"/>
    <cellStyle name="Normal 2 2 3 3 4 2" xfId="1233" xr:uid="{00000000-0005-0000-0000-0000B3090000}"/>
    <cellStyle name="Normal 2 2 3 3 4 3" xfId="2553" xr:uid="{00000000-0005-0000-0000-0000B4090000}"/>
    <cellStyle name="Normal 2 2 3 3 4 4" xfId="3271" xr:uid="{00000000-0005-0000-0000-0000B5090000}"/>
    <cellStyle name="Normal 2 2 3 3 5" xfId="576" xr:uid="{00000000-0005-0000-0000-0000B6090000}"/>
    <cellStyle name="Normal 2 2 3 3 5 2" xfId="1308" xr:uid="{00000000-0005-0000-0000-0000B7090000}"/>
    <cellStyle name="Normal 2 2 3 3 5 3" xfId="2628" xr:uid="{00000000-0005-0000-0000-0000B8090000}"/>
    <cellStyle name="Normal 2 2 3 3 5 4" xfId="3346" xr:uid="{00000000-0005-0000-0000-0000B9090000}"/>
    <cellStyle name="Normal 2 2 3 3 6" xfId="909" xr:uid="{00000000-0005-0000-0000-0000BA090000}"/>
    <cellStyle name="Normal 2 2 3 3 7" xfId="2065" xr:uid="{00000000-0005-0000-0000-0000BB090000}"/>
    <cellStyle name="Normal 2 2 3 3 8" xfId="2229" xr:uid="{00000000-0005-0000-0000-0000BC090000}"/>
    <cellStyle name="Normal 2 2 3 3 9" xfId="2949" xr:uid="{00000000-0005-0000-0000-0000BD090000}"/>
    <cellStyle name="Normal 2 2 4" xfId="120" xr:uid="{00000000-0005-0000-0000-0000BE090000}"/>
    <cellStyle name="Normal 2 2 4 10" xfId="2943" xr:uid="{00000000-0005-0000-0000-0000BF090000}"/>
    <cellStyle name="Normal 2 2 4 2" xfId="242" xr:uid="{00000000-0005-0000-0000-0000C0090000}"/>
    <cellStyle name="Normal 2 2 4 2 2" xfId="382" xr:uid="{00000000-0005-0000-0000-0000C1090000}"/>
    <cellStyle name="Normal 2 2 4 2 2 2" xfId="787" xr:uid="{00000000-0005-0000-0000-0000C2090000}"/>
    <cellStyle name="Normal 2 2 4 2 2 2 2" xfId="1517" xr:uid="{00000000-0005-0000-0000-0000C3090000}"/>
    <cellStyle name="Normal 2 2 4 2 2 2 3" xfId="2837" xr:uid="{00000000-0005-0000-0000-0000C4090000}"/>
    <cellStyle name="Normal 2 2 4 2 2 2 4" xfId="3555" xr:uid="{00000000-0005-0000-0000-0000C5090000}"/>
    <cellStyle name="Normal 2 2 4 2 2 3" xfId="1120" xr:uid="{00000000-0005-0000-0000-0000C6090000}"/>
    <cellStyle name="Normal 2 2 4 2 2 4" xfId="2438" xr:uid="{00000000-0005-0000-0000-0000C7090000}"/>
    <cellStyle name="Normal 2 2 4 2 2 5" xfId="3158" xr:uid="{00000000-0005-0000-0000-0000C8090000}"/>
    <cellStyle name="Normal 2 2 4 2 3" xfId="647" xr:uid="{00000000-0005-0000-0000-0000C9090000}"/>
    <cellStyle name="Normal 2 2 4 2 3 2" xfId="1379" xr:uid="{00000000-0005-0000-0000-0000CA090000}"/>
    <cellStyle name="Normal 2 2 4 2 3 3" xfId="2699" xr:uid="{00000000-0005-0000-0000-0000CB090000}"/>
    <cellStyle name="Normal 2 2 4 2 3 4" xfId="3417" xr:uid="{00000000-0005-0000-0000-0000CC090000}"/>
    <cellStyle name="Normal 2 2 4 2 4" xfId="982" xr:uid="{00000000-0005-0000-0000-0000CD090000}"/>
    <cellStyle name="Normal 2 2 4 2 5" xfId="2106" xr:uid="{00000000-0005-0000-0000-0000CE090000}"/>
    <cellStyle name="Normal 2 2 4 2 6" xfId="2300" xr:uid="{00000000-0005-0000-0000-0000CF090000}"/>
    <cellStyle name="Normal 2 2 4 2 7" xfId="3020" xr:uid="{00000000-0005-0000-0000-0000D0090000}"/>
    <cellStyle name="Normal 2 2 4 3" xfId="381" xr:uid="{00000000-0005-0000-0000-0000D1090000}"/>
    <cellStyle name="Normal 2 2 4 3 2" xfId="786" xr:uid="{00000000-0005-0000-0000-0000D2090000}"/>
    <cellStyle name="Normal 2 2 4 3 2 2" xfId="1516" xr:uid="{00000000-0005-0000-0000-0000D3090000}"/>
    <cellStyle name="Normal 2 2 4 3 2 3" xfId="2836" xr:uid="{00000000-0005-0000-0000-0000D4090000}"/>
    <cellStyle name="Normal 2 2 4 3 2 4" xfId="3554" xr:uid="{00000000-0005-0000-0000-0000D5090000}"/>
    <cellStyle name="Normal 2 2 4 3 3" xfId="1119" xr:uid="{00000000-0005-0000-0000-0000D6090000}"/>
    <cellStyle name="Normal 2 2 4 3 3 2" xfId="1677" xr:uid="{00000000-0005-0000-0000-0000D7090000}"/>
    <cellStyle name="Normal 2 2 4 3 4" xfId="897" xr:uid="{00000000-0005-0000-0000-0000D8090000}"/>
    <cellStyle name="Normal 2 2 4 3 5" xfId="2437" xr:uid="{00000000-0005-0000-0000-0000D9090000}"/>
    <cellStyle name="Normal 2 2 4 3 6" xfId="3157" xr:uid="{00000000-0005-0000-0000-0000DA090000}"/>
    <cellStyle name="Normal 2 2 4 4" xfId="493" xr:uid="{00000000-0005-0000-0000-0000DB090000}"/>
    <cellStyle name="Normal 2 2 4 4 2" xfId="1228" xr:uid="{00000000-0005-0000-0000-0000DC090000}"/>
    <cellStyle name="Normal 2 2 4 4 3" xfId="1863" xr:uid="{00000000-0005-0000-0000-0000DD090000}"/>
    <cellStyle name="Normal 2 2 4 4 4" xfId="2548" xr:uid="{00000000-0005-0000-0000-0000DE090000}"/>
    <cellStyle name="Normal 2 2 4 4 5" xfId="3266" xr:uid="{00000000-0005-0000-0000-0000DF090000}"/>
    <cellStyle name="Normal 2 2 4 5" xfId="570" xr:uid="{00000000-0005-0000-0000-0000E0090000}"/>
    <cellStyle name="Normal 2 2 4 5 2" xfId="1302" xr:uid="{00000000-0005-0000-0000-0000E1090000}"/>
    <cellStyle name="Normal 2 2 4 5 3" xfId="2622" xr:uid="{00000000-0005-0000-0000-0000E2090000}"/>
    <cellStyle name="Normal 2 2 4 5 4" xfId="3340" xr:uid="{00000000-0005-0000-0000-0000E3090000}"/>
    <cellStyle name="Normal 2 2 4 6" xfId="901" xr:uid="{00000000-0005-0000-0000-0000E4090000}"/>
    <cellStyle name="Normal 2 2 4 6 2" xfId="1773" xr:uid="{00000000-0005-0000-0000-0000E5090000}"/>
    <cellStyle name="Normal 2 2 4 6 3" xfId="1689" xr:uid="{00000000-0005-0000-0000-0000E6090000}"/>
    <cellStyle name="Normal 2 2 4 7" xfId="1572" xr:uid="{00000000-0005-0000-0000-0000E7090000}"/>
    <cellStyle name="Normal 2 2 4 8" xfId="2062" xr:uid="{00000000-0005-0000-0000-0000E8090000}"/>
    <cellStyle name="Normal 2 2 4 9" xfId="2223" xr:uid="{00000000-0005-0000-0000-0000E9090000}"/>
    <cellStyle name="Normal 2 2 5" xfId="1600" xr:uid="{00000000-0005-0000-0000-0000EA090000}"/>
    <cellStyle name="Normal 2 2 6" xfId="1687" xr:uid="{00000000-0005-0000-0000-0000EB090000}"/>
    <cellStyle name="Normal 2 2 7" xfId="1664" xr:uid="{00000000-0005-0000-0000-0000EC090000}"/>
    <cellStyle name="Normal 2 3" xfId="64" xr:uid="{00000000-0005-0000-0000-0000ED090000}"/>
    <cellStyle name="Normal 2 3 2" xfId="916" xr:uid="{00000000-0005-0000-0000-0000EE090000}"/>
    <cellStyle name="Normal 2 3 3" xfId="898" xr:uid="{00000000-0005-0000-0000-0000EF090000}"/>
    <cellStyle name="Normal 2 4" xfId="69" xr:uid="{00000000-0005-0000-0000-0000F0090000}"/>
    <cellStyle name="Normal 2 4 2" xfId="139" xr:uid="{00000000-0005-0000-0000-0000F1090000}"/>
    <cellStyle name="Normal 2 4 2 2" xfId="166" xr:uid="{00000000-0005-0000-0000-0000F2090000}"/>
    <cellStyle name="Normal 2 4 2 3" xfId="1570" xr:uid="{00000000-0005-0000-0000-0000F3090000}"/>
    <cellStyle name="Normal 2 4 3" xfId="119" xr:uid="{00000000-0005-0000-0000-0000F4090000}"/>
    <cellStyle name="Normal 2 4 4" xfId="1597" xr:uid="{00000000-0005-0000-0000-0000F5090000}"/>
    <cellStyle name="Normal 2 4 5" xfId="1574" xr:uid="{00000000-0005-0000-0000-0000F6090000}"/>
    <cellStyle name="Normal 2 5" xfId="67" xr:uid="{00000000-0005-0000-0000-0000F7090000}"/>
    <cellStyle name="Normal 2 5 10" xfId="1950" xr:uid="{00000000-0005-0000-0000-0000F8090000}"/>
    <cellStyle name="Normal 2 5 11" xfId="2188" xr:uid="{00000000-0005-0000-0000-0000F9090000}"/>
    <cellStyle name="Normal 2 5 12" xfId="2908" xr:uid="{00000000-0005-0000-0000-0000FA090000}"/>
    <cellStyle name="Normal 2 5 2" xfId="103" xr:uid="{00000000-0005-0000-0000-0000FB090000}"/>
    <cellStyle name="Normal 2 5 2 2" xfId="238" xr:uid="{00000000-0005-0000-0000-0000FC090000}"/>
    <cellStyle name="Normal 2 5 2 2 2" xfId="385" xr:uid="{00000000-0005-0000-0000-0000FD090000}"/>
    <cellStyle name="Normal 2 5 2 2 2 2" xfId="790" xr:uid="{00000000-0005-0000-0000-0000FE090000}"/>
    <cellStyle name="Normal 2 5 2 2 2 2 2" xfId="1520" xr:uid="{00000000-0005-0000-0000-0000FF090000}"/>
    <cellStyle name="Normal 2 5 2 2 2 2 3" xfId="2840" xr:uid="{00000000-0005-0000-0000-0000000A0000}"/>
    <cellStyle name="Normal 2 5 2 2 2 2 4" xfId="3558" xr:uid="{00000000-0005-0000-0000-0000010A0000}"/>
    <cellStyle name="Normal 2 5 2 2 2 3" xfId="1123" xr:uid="{00000000-0005-0000-0000-0000020A0000}"/>
    <cellStyle name="Normal 2 5 2 2 2 4" xfId="2441" xr:uid="{00000000-0005-0000-0000-0000030A0000}"/>
    <cellStyle name="Normal 2 5 2 2 2 5" xfId="3161" xr:uid="{00000000-0005-0000-0000-0000040A0000}"/>
    <cellStyle name="Normal 2 5 2 2 3" xfId="643" xr:uid="{00000000-0005-0000-0000-0000050A0000}"/>
    <cellStyle name="Normal 2 5 2 2 3 2" xfId="1375" xr:uid="{00000000-0005-0000-0000-0000060A0000}"/>
    <cellStyle name="Normal 2 5 2 2 3 3" xfId="2695" xr:uid="{00000000-0005-0000-0000-0000070A0000}"/>
    <cellStyle name="Normal 2 5 2 2 3 4" xfId="3413" xr:uid="{00000000-0005-0000-0000-0000080A0000}"/>
    <cellStyle name="Normal 2 5 2 2 4" xfId="978" xr:uid="{00000000-0005-0000-0000-0000090A0000}"/>
    <cellStyle name="Normal 2 5 2 2 5" xfId="2102" xr:uid="{00000000-0005-0000-0000-00000A0A0000}"/>
    <cellStyle name="Normal 2 5 2 2 6" xfId="2296" xr:uid="{00000000-0005-0000-0000-00000B0A0000}"/>
    <cellStyle name="Normal 2 5 2 2 7" xfId="3016" xr:uid="{00000000-0005-0000-0000-00000C0A0000}"/>
    <cellStyle name="Normal 2 5 2 3" xfId="384" xr:uid="{00000000-0005-0000-0000-00000D0A0000}"/>
    <cellStyle name="Normal 2 5 2 3 2" xfId="789" xr:uid="{00000000-0005-0000-0000-00000E0A0000}"/>
    <cellStyle name="Normal 2 5 2 3 2 2" xfId="1519" xr:uid="{00000000-0005-0000-0000-00000F0A0000}"/>
    <cellStyle name="Normal 2 5 2 3 2 3" xfId="2839" xr:uid="{00000000-0005-0000-0000-0000100A0000}"/>
    <cellStyle name="Normal 2 5 2 3 2 4" xfId="3557" xr:uid="{00000000-0005-0000-0000-0000110A0000}"/>
    <cellStyle name="Normal 2 5 2 3 3" xfId="1122" xr:uid="{00000000-0005-0000-0000-0000120A0000}"/>
    <cellStyle name="Normal 2 5 2 3 4" xfId="2059" xr:uid="{00000000-0005-0000-0000-0000130A0000}"/>
    <cellStyle name="Normal 2 5 2 3 5" xfId="2440" xr:uid="{00000000-0005-0000-0000-0000140A0000}"/>
    <cellStyle name="Normal 2 5 2 3 6" xfId="3160" xr:uid="{00000000-0005-0000-0000-0000150A0000}"/>
    <cellStyle name="Normal 2 5 2 4" xfId="485" xr:uid="{00000000-0005-0000-0000-0000160A0000}"/>
    <cellStyle name="Normal 2 5 2 4 2" xfId="1223" xr:uid="{00000000-0005-0000-0000-0000170A0000}"/>
    <cellStyle name="Normal 2 5 2 4 3" xfId="1859" xr:uid="{00000000-0005-0000-0000-0000180A0000}"/>
    <cellStyle name="Normal 2 5 2 4 4" xfId="2543" xr:uid="{00000000-0005-0000-0000-0000190A0000}"/>
    <cellStyle name="Normal 2 5 2 4 5" xfId="3261" xr:uid="{00000000-0005-0000-0000-00001A0A0000}"/>
    <cellStyle name="Normal 2 5 2 5" xfId="566" xr:uid="{00000000-0005-0000-0000-00001B0A0000}"/>
    <cellStyle name="Normal 2 5 2 5 2" xfId="1298" xr:uid="{00000000-0005-0000-0000-00001C0A0000}"/>
    <cellStyle name="Normal 2 5 2 5 3" xfId="2618" xr:uid="{00000000-0005-0000-0000-00001D0A0000}"/>
    <cellStyle name="Normal 2 5 2 5 4" xfId="3336" xr:uid="{00000000-0005-0000-0000-00001E0A0000}"/>
    <cellStyle name="Normal 2 5 2 6" xfId="894" xr:uid="{00000000-0005-0000-0000-00001F0A0000}"/>
    <cellStyle name="Normal 2 5 2 7" xfId="1989" xr:uid="{00000000-0005-0000-0000-0000200A0000}"/>
    <cellStyle name="Normal 2 5 2 8" xfId="2219" xr:uid="{00000000-0005-0000-0000-0000210A0000}"/>
    <cellStyle name="Normal 2 5 2 9" xfId="2939" xr:uid="{00000000-0005-0000-0000-0000220A0000}"/>
    <cellStyle name="Normal 2 5 3" xfId="207" xr:uid="{00000000-0005-0000-0000-0000230A0000}"/>
    <cellStyle name="Normal 2 5 3 2" xfId="386" xr:uid="{00000000-0005-0000-0000-0000240A0000}"/>
    <cellStyle name="Normal 2 5 3 2 2" xfId="791" xr:uid="{00000000-0005-0000-0000-0000250A0000}"/>
    <cellStyle name="Normal 2 5 3 2 2 2" xfId="1521" xr:uid="{00000000-0005-0000-0000-0000260A0000}"/>
    <cellStyle name="Normal 2 5 3 2 2 3" xfId="2841" xr:uid="{00000000-0005-0000-0000-0000270A0000}"/>
    <cellStyle name="Normal 2 5 3 2 2 4" xfId="3559" xr:uid="{00000000-0005-0000-0000-0000280A0000}"/>
    <cellStyle name="Normal 2 5 3 2 3" xfId="1124" xr:uid="{00000000-0005-0000-0000-0000290A0000}"/>
    <cellStyle name="Normal 2 5 3 2 4" xfId="2442" xr:uid="{00000000-0005-0000-0000-00002A0A0000}"/>
    <cellStyle name="Normal 2 5 3 2 5" xfId="3162" xr:uid="{00000000-0005-0000-0000-00002B0A0000}"/>
    <cellStyle name="Normal 2 5 3 3" xfId="612" xr:uid="{00000000-0005-0000-0000-00002C0A0000}"/>
    <cellStyle name="Normal 2 5 3 3 2" xfId="1344" xr:uid="{00000000-0005-0000-0000-00002D0A0000}"/>
    <cellStyle name="Normal 2 5 3 3 2 2" xfId="1666" xr:uid="{00000000-0005-0000-0000-00002E0A0000}"/>
    <cellStyle name="Normal 2 5 3 3 3" xfId="2664" xr:uid="{00000000-0005-0000-0000-00002F0A0000}"/>
    <cellStyle name="Normal 2 5 3 3 4" xfId="3382" xr:uid="{00000000-0005-0000-0000-0000300A0000}"/>
    <cellStyle name="Normal 2 5 3 4" xfId="947" xr:uid="{00000000-0005-0000-0000-0000310A0000}"/>
    <cellStyle name="Normal 2 5 3 5" xfId="2027" xr:uid="{00000000-0005-0000-0000-0000320A0000}"/>
    <cellStyle name="Normal 2 5 3 6" xfId="2265" xr:uid="{00000000-0005-0000-0000-0000330A0000}"/>
    <cellStyle name="Normal 2 5 3 7" xfId="2985" xr:uid="{00000000-0005-0000-0000-0000340A0000}"/>
    <cellStyle name="Normal 2 5 4" xfId="383" xr:uid="{00000000-0005-0000-0000-0000350A0000}"/>
    <cellStyle name="Normal 2 5 4 2" xfId="788" xr:uid="{00000000-0005-0000-0000-0000360A0000}"/>
    <cellStyle name="Normal 2 5 4 2 2" xfId="1518" xr:uid="{00000000-0005-0000-0000-0000370A0000}"/>
    <cellStyle name="Normal 2 5 4 2 3" xfId="2838" xr:uid="{00000000-0005-0000-0000-0000380A0000}"/>
    <cellStyle name="Normal 2 5 4 2 4" xfId="3556" xr:uid="{00000000-0005-0000-0000-0000390A0000}"/>
    <cellStyle name="Normal 2 5 4 3" xfId="1121" xr:uid="{00000000-0005-0000-0000-00003A0A0000}"/>
    <cellStyle name="Normal 2 5 4 4" xfId="2151" xr:uid="{00000000-0005-0000-0000-00003B0A0000}"/>
    <cellStyle name="Normal 2 5 4 5" xfId="2439" xr:uid="{00000000-0005-0000-0000-00003C0A0000}"/>
    <cellStyle name="Normal 2 5 4 6" xfId="3159" xr:uid="{00000000-0005-0000-0000-00003D0A0000}"/>
    <cellStyle name="Normal 2 5 5" xfId="455" xr:uid="{00000000-0005-0000-0000-00003E0A0000}"/>
    <cellStyle name="Normal 2 5 5 2" xfId="1193" xr:uid="{00000000-0005-0000-0000-00003F0A0000}"/>
    <cellStyle name="Normal 2 5 5 3" xfId="1797" xr:uid="{00000000-0005-0000-0000-0000400A0000}"/>
    <cellStyle name="Normal 2 5 5 4" xfId="2513" xr:uid="{00000000-0005-0000-0000-0000410A0000}"/>
    <cellStyle name="Normal 2 5 5 5" xfId="3231" xr:uid="{00000000-0005-0000-0000-0000420A0000}"/>
    <cellStyle name="Normal 2 5 6" xfId="535" xr:uid="{00000000-0005-0000-0000-0000430A0000}"/>
    <cellStyle name="Normal 2 5 6 2" xfId="1267" xr:uid="{00000000-0005-0000-0000-0000440A0000}"/>
    <cellStyle name="Normal 2 5 6 3" xfId="1829" xr:uid="{00000000-0005-0000-0000-0000450A0000}"/>
    <cellStyle name="Normal 2 5 6 4" xfId="2587" xr:uid="{00000000-0005-0000-0000-0000460A0000}"/>
    <cellStyle name="Normal 2 5 6 5" xfId="3305" xr:uid="{00000000-0005-0000-0000-0000470A0000}"/>
    <cellStyle name="Normal 2 5 7" xfId="862" xr:uid="{00000000-0005-0000-0000-0000480A0000}"/>
    <cellStyle name="Normal 2 5 7 2" xfId="1718" xr:uid="{00000000-0005-0000-0000-0000490A0000}"/>
    <cellStyle name="Normal 2 5 7 3" xfId="1907" xr:uid="{00000000-0005-0000-0000-00004A0A0000}"/>
    <cellStyle name="Normal 2 5 8" xfId="1656" xr:uid="{00000000-0005-0000-0000-00004B0A0000}"/>
    <cellStyle name="Normal 2 5 9" xfId="1756" xr:uid="{00000000-0005-0000-0000-00004C0A0000}"/>
    <cellStyle name="Normal 2 6" xfId="88" xr:uid="{00000000-0005-0000-0000-00004D0A0000}"/>
    <cellStyle name="Normal 2 6 10" xfId="2924" xr:uid="{00000000-0005-0000-0000-00004E0A0000}"/>
    <cellStyle name="Normal 2 6 2" xfId="223" xr:uid="{00000000-0005-0000-0000-00004F0A0000}"/>
    <cellStyle name="Normal 2 6 2 2" xfId="388" xr:uid="{00000000-0005-0000-0000-0000500A0000}"/>
    <cellStyle name="Normal 2 6 2 2 2" xfId="793" xr:uid="{00000000-0005-0000-0000-0000510A0000}"/>
    <cellStyle name="Normal 2 6 2 2 2 2" xfId="1523" xr:uid="{00000000-0005-0000-0000-0000520A0000}"/>
    <cellStyle name="Normal 2 6 2 2 2 3" xfId="2843" xr:uid="{00000000-0005-0000-0000-0000530A0000}"/>
    <cellStyle name="Normal 2 6 2 2 2 4" xfId="3561" xr:uid="{00000000-0005-0000-0000-0000540A0000}"/>
    <cellStyle name="Normal 2 6 2 2 3" xfId="1126" xr:uid="{00000000-0005-0000-0000-0000550A0000}"/>
    <cellStyle name="Normal 2 6 2 2 4" xfId="2444" xr:uid="{00000000-0005-0000-0000-0000560A0000}"/>
    <cellStyle name="Normal 2 6 2 2 5" xfId="3164" xr:uid="{00000000-0005-0000-0000-0000570A0000}"/>
    <cellStyle name="Normal 2 6 2 3" xfId="628" xr:uid="{00000000-0005-0000-0000-0000580A0000}"/>
    <cellStyle name="Normal 2 6 2 3 2" xfId="1360" xr:uid="{00000000-0005-0000-0000-0000590A0000}"/>
    <cellStyle name="Normal 2 6 2 3 3" xfId="2680" xr:uid="{00000000-0005-0000-0000-00005A0A0000}"/>
    <cellStyle name="Normal 2 6 2 3 4" xfId="3398" xr:uid="{00000000-0005-0000-0000-00005B0A0000}"/>
    <cellStyle name="Normal 2 6 2 4" xfId="963" xr:uid="{00000000-0005-0000-0000-00005C0A0000}"/>
    <cellStyle name="Normal 2 6 2 5" xfId="2088" xr:uid="{00000000-0005-0000-0000-00005D0A0000}"/>
    <cellStyle name="Normal 2 6 2 6" xfId="2281" xr:uid="{00000000-0005-0000-0000-00005E0A0000}"/>
    <cellStyle name="Normal 2 6 2 7" xfId="3001" xr:uid="{00000000-0005-0000-0000-00005F0A0000}"/>
    <cellStyle name="Normal 2 6 3" xfId="387" xr:uid="{00000000-0005-0000-0000-0000600A0000}"/>
    <cellStyle name="Normal 2 6 3 2" xfId="792" xr:uid="{00000000-0005-0000-0000-0000610A0000}"/>
    <cellStyle name="Normal 2 6 3 2 2" xfId="1522" xr:uid="{00000000-0005-0000-0000-0000620A0000}"/>
    <cellStyle name="Normal 2 6 3 2 3" xfId="2842" xr:uid="{00000000-0005-0000-0000-0000630A0000}"/>
    <cellStyle name="Normal 2 6 3 2 4" xfId="3560" xr:uid="{00000000-0005-0000-0000-0000640A0000}"/>
    <cellStyle name="Normal 2 6 3 3" xfId="1125" xr:uid="{00000000-0005-0000-0000-0000650A0000}"/>
    <cellStyle name="Normal 2 6 3 4" xfId="2046" xr:uid="{00000000-0005-0000-0000-0000660A0000}"/>
    <cellStyle name="Normal 2 6 3 5" xfId="2443" xr:uid="{00000000-0005-0000-0000-0000670A0000}"/>
    <cellStyle name="Normal 2 6 3 6" xfId="3163" xr:uid="{00000000-0005-0000-0000-0000680A0000}"/>
    <cellStyle name="Normal 2 6 4" xfId="470" xr:uid="{00000000-0005-0000-0000-0000690A0000}"/>
    <cellStyle name="Normal 2 6 4 2" xfId="1208" xr:uid="{00000000-0005-0000-0000-00006A0A0000}"/>
    <cellStyle name="Normal 2 6 4 3" xfId="1844" xr:uid="{00000000-0005-0000-0000-00006B0A0000}"/>
    <cellStyle name="Normal 2 6 4 4" xfId="2528" xr:uid="{00000000-0005-0000-0000-00006C0A0000}"/>
    <cellStyle name="Normal 2 6 4 5" xfId="3246" xr:uid="{00000000-0005-0000-0000-00006D0A0000}"/>
    <cellStyle name="Normal 2 6 5" xfId="551" xr:uid="{00000000-0005-0000-0000-00006E0A0000}"/>
    <cellStyle name="Normal 2 6 5 2" xfId="1283" xr:uid="{00000000-0005-0000-0000-00006F0A0000}"/>
    <cellStyle name="Normal 2 6 5 3" xfId="2603" xr:uid="{00000000-0005-0000-0000-0000700A0000}"/>
    <cellStyle name="Normal 2 6 5 4" xfId="3321" xr:uid="{00000000-0005-0000-0000-0000710A0000}"/>
    <cellStyle name="Normal 2 6 6" xfId="879" xr:uid="{00000000-0005-0000-0000-0000720A0000}"/>
    <cellStyle name="Normal 2 6 7" xfId="1609" xr:uid="{00000000-0005-0000-0000-0000730A0000}"/>
    <cellStyle name="Normal 2 6 8" xfId="1982" xr:uid="{00000000-0005-0000-0000-0000740A0000}"/>
    <cellStyle name="Normal 2 6 9" xfId="2204" xr:uid="{00000000-0005-0000-0000-0000750A0000}"/>
    <cellStyle name="Normal 2 7" xfId="192" xr:uid="{00000000-0005-0000-0000-0000760A0000}"/>
    <cellStyle name="Normal 2 7 2" xfId="389" xr:uid="{00000000-0005-0000-0000-0000770A0000}"/>
    <cellStyle name="Normal 2 7 2 2" xfId="794" xr:uid="{00000000-0005-0000-0000-0000780A0000}"/>
    <cellStyle name="Normal 2 7 2 2 2" xfId="1524" xr:uid="{00000000-0005-0000-0000-0000790A0000}"/>
    <cellStyle name="Normal 2 7 2 2 3" xfId="2844" xr:uid="{00000000-0005-0000-0000-00007A0A0000}"/>
    <cellStyle name="Normal 2 7 2 2 4" xfId="3562" xr:uid="{00000000-0005-0000-0000-00007B0A0000}"/>
    <cellStyle name="Normal 2 7 2 3" xfId="1127" xr:uid="{00000000-0005-0000-0000-00007C0A0000}"/>
    <cellStyle name="Normal 2 7 2 4" xfId="2445" xr:uid="{00000000-0005-0000-0000-00007D0A0000}"/>
    <cellStyle name="Normal 2 7 2 5" xfId="3165" xr:uid="{00000000-0005-0000-0000-00007E0A0000}"/>
    <cellStyle name="Normal 2 7 3" xfId="597" xr:uid="{00000000-0005-0000-0000-00007F0A0000}"/>
    <cellStyle name="Normal 2 7 3 2" xfId="1329" xr:uid="{00000000-0005-0000-0000-0000800A0000}"/>
    <cellStyle name="Normal 2 7 3 3" xfId="2649" xr:uid="{00000000-0005-0000-0000-0000810A0000}"/>
    <cellStyle name="Normal 2 7 3 4" xfId="3367" xr:uid="{00000000-0005-0000-0000-0000820A0000}"/>
    <cellStyle name="Normal 2 7 4" xfId="932" xr:uid="{00000000-0005-0000-0000-0000830A0000}"/>
    <cellStyle name="Normal 2 7 5" xfId="2020" xr:uid="{00000000-0005-0000-0000-0000840A0000}"/>
    <cellStyle name="Normal 2 7 6" xfId="2250" xr:uid="{00000000-0005-0000-0000-0000850A0000}"/>
    <cellStyle name="Normal 2 7 7" xfId="2970" xr:uid="{00000000-0005-0000-0000-0000860A0000}"/>
    <cellStyle name="Normal 2 8" xfId="374" xr:uid="{00000000-0005-0000-0000-0000870A0000}"/>
    <cellStyle name="Normal 2 8 2" xfId="779" xr:uid="{00000000-0005-0000-0000-0000880A0000}"/>
    <cellStyle name="Normal 2 8 2 2" xfId="1509" xr:uid="{00000000-0005-0000-0000-0000890A0000}"/>
    <cellStyle name="Normal 2 8 2 3" xfId="2829" xr:uid="{00000000-0005-0000-0000-00008A0A0000}"/>
    <cellStyle name="Normal 2 8 2 4" xfId="3547" xr:uid="{00000000-0005-0000-0000-00008B0A0000}"/>
    <cellStyle name="Normal 2 8 3" xfId="1112" xr:uid="{00000000-0005-0000-0000-00008C0A0000}"/>
    <cellStyle name="Normal 2 8 4" xfId="2144" xr:uid="{00000000-0005-0000-0000-00008D0A0000}"/>
    <cellStyle name="Normal 2 8 5" xfId="2430" xr:uid="{00000000-0005-0000-0000-00008E0A0000}"/>
    <cellStyle name="Normal 2 8 6" xfId="3150" xr:uid="{00000000-0005-0000-0000-00008F0A0000}"/>
    <cellStyle name="Normal 2 9" xfId="440" xr:uid="{00000000-0005-0000-0000-0000900A0000}"/>
    <cellStyle name="Normal 2 9 2" xfId="1178" xr:uid="{00000000-0005-0000-0000-0000910A0000}"/>
    <cellStyle name="Normal 2 9 3" xfId="1790" xr:uid="{00000000-0005-0000-0000-0000920A0000}"/>
    <cellStyle name="Normal 2 9 4" xfId="2498" xr:uid="{00000000-0005-0000-0000-0000930A0000}"/>
    <cellStyle name="Normal 2 9 5" xfId="3216" xr:uid="{00000000-0005-0000-0000-0000940A0000}"/>
    <cellStyle name="Normal 20" xfId="3599" xr:uid="{00000000-0005-0000-0000-0000950A0000}"/>
    <cellStyle name="Normal 21" xfId="3601" xr:uid="{00000000-0005-0000-0000-0000960A0000}"/>
    <cellStyle name="Normal 22" xfId="3603" xr:uid="{00000000-0005-0000-0000-0000970A0000}"/>
    <cellStyle name="Normal 3" xfId="45" xr:uid="{00000000-0005-0000-0000-0000980A0000}"/>
    <cellStyle name="Normal 3 2" xfId="72" xr:uid="{00000000-0005-0000-0000-0000990A0000}"/>
    <cellStyle name="Normal 3 2 10" xfId="2910" xr:uid="{00000000-0005-0000-0000-00009A0A0000}"/>
    <cellStyle name="Normal 3 2 2" xfId="105" xr:uid="{00000000-0005-0000-0000-00009B0A0000}"/>
    <cellStyle name="Normal 3 2 2 10" xfId="1757" xr:uid="{00000000-0005-0000-0000-00009C0A0000}"/>
    <cellStyle name="Normal 3 2 2 11" xfId="1951" xr:uid="{00000000-0005-0000-0000-00009D0A0000}"/>
    <cellStyle name="Normal 3 2 2 12" xfId="2221" xr:uid="{00000000-0005-0000-0000-00009E0A0000}"/>
    <cellStyle name="Normal 3 2 2 13" xfId="2941" xr:uid="{00000000-0005-0000-0000-00009F0A0000}"/>
    <cellStyle name="Normal 3 2 2 2" xfId="168" xr:uid="{00000000-0005-0000-0000-0000A00A0000}"/>
    <cellStyle name="Normal 3 2 2 2 2" xfId="255" xr:uid="{00000000-0005-0000-0000-0000A10A0000}"/>
    <cellStyle name="Normal 3 2 2 2 2 2" xfId="393" xr:uid="{00000000-0005-0000-0000-0000A20A0000}"/>
    <cellStyle name="Normal 3 2 2 2 2 2 2" xfId="798" xr:uid="{00000000-0005-0000-0000-0000A30A0000}"/>
    <cellStyle name="Normal 3 2 2 2 2 2 2 2" xfId="1528" xr:uid="{00000000-0005-0000-0000-0000A40A0000}"/>
    <cellStyle name="Normal 3 2 2 2 2 2 2 3" xfId="2848" xr:uid="{00000000-0005-0000-0000-0000A50A0000}"/>
    <cellStyle name="Normal 3 2 2 2 2 2 2 4" xfId="3566" xr:uid="{00000000-0005-0000-0000-0000A60A0000}"/>
    <cellStyle name="Normal 3 2 2 2 2 2 3" xfId="1131" xr:uid="{00000000-0005-0000-0000-0000A70A0000}"/>
    <cellStyle name="Normal 3 2 2 2 2 2 4" xfId="2449" xr:uid="{00000000-0005-0000-0000-0000A80A0000}"/>
    <cellStyle name="Normal 3 2 2 2 2 2 5" xfId="3169" xr:uid="{00000000-0005-0000-0000-0000A90A0000}"/>
    <cellStyle name="Normal 3 2 2 2 2 3" xfId="660" xr:uid="{00000000-0005-0000-0000-0000AA0A0000}"/>
    <cellStyle name="Normal 3 2 2 2 2 3 2" xfId="1392" xr:uid="{00000000-0005-0000-0000-0000AB0A0000}"/>
    <cellStyle name="Normal 3 2 2 2 2 3 3" xfId="2712" xr:uid="{00000000-0005-0000-0000-0000AC0A0000}"/>
    <cellStyle name="Normal 3 2 2 2 2 3 4" xfId="3430" xr:uid="{00000000-0005-0000-0000-0000AD0A0000}"/>
    <cellStyle name="Normal 3 2 2 2 2 4" xfId="995" xr:uid="{00000000-0005-0000-0000-0000AE0A0000}"/>
    <cellStyle name="Normal 3 2 2 2 2 5" xfId="2117" xr:uid="{00000000-0005-0000-0000-0000AF0A0000}"/>
    <cellStyle name="Normal 3 2 2 2 2 6" xfId="2313" xr:uid="{00000000-0005-0000-0000-0000B00A0000}"/>
    <cellStyle name="Normal 3 2 2 2 2 7" xfId="3033" xr:uid="{00000000-0005-0000-0000-0000B10A0000}"/>
    <cellStyle name="Normal 3 2 2 2 3" xfId="392" xr:uid="{00000000-0005-0000-0000-0000B20A0000}"/>
    <cellStyle name="Normal 3 2 2 2 3 2" xfId="797" xr:uid="{00000000-0005-0000-0000-0000B30A0000}"/>
    <cellStyle name="Normal 3 2 2 2 3 2 2" xfId="1527" xr:uid="{00000000-0005-0000-0000-0000B40A0000}"/>
    <cellStyle name="Normal 3 2 2 2 3 2 3" xfId="2847" xr:uid="{00000000-0005-0000-0000-0000B50A0000}"/>
    <cellStyle name="Normal 3 2 2 2 3 2 4" xfId="3565" xr:uid="{00000000-0005-0000-0000-0000B60A0000}"/>
    <cellStyle name="Normal 3 2 2 2 3 3" xfId="1130" xr:uid="{00000000-0005-0000-0000-0000B70A0000}"/>
    <cellStyle name="Normal 3 2 2 2 3 4" xfId="2071" xr:uid="{00000000-0005-0000-0000-0000B80A0000}"/>
    <cellStyle name="Normal 3 2 2 2 3 5" xfId="2448" xr:uid="{00000000-0005-0000-0000-0000B90A0000}"/>
    <cellStyle name="Normal 3 2 2 2 3 6" xfId="3168" xr:uid="{00000000-0005-0000-0000-0000BA0A0000}"/>
    <cellStyle name="Normal 3 2 2 2 4" xfId="494" xr:uid="{00000000-0005-0000-0000-0000BB0A0000}"/>
    <cellStyle name="Normal 3 2 2 2 4 2" xfId="1675" xr:uid="{00000000-0005-0000-0000-0000BC0A0000}"/>
    <cellStyle name="Normal 3 2 2 2 4 3" xfId="1873" xr:uid="{00000000-0005-0000-0000-0000BD0A0000}"/>
    <cellStyle name="Normal 3 2 2 2 5" xfId="583" xr:uid="{00000000-0005-0000-0000-0000BE0A0000}"/>
    <cellStyle name="Normal 3 2 2 2 5 2" xfId="1315" xr:uid="{00000000-0005-0000-0000-0000BF0A0000}"/>
    <cellStyle name="Normal 3 2 2 2 5 3" xfId="2635" xr:uid="{00000000-0005-0000-0000-0000C00A0000}"/>
    <cellStyle name="Normal 3 2 2 2 5 4" xfId="3353" xr:uid="{00000000-0005-0000-0000-0000C10A0000}"/>
    <cellStyle name="Normal 3 2 2 2 6" xfId="917" xr:uid="{00000000-0005-0000-0000-0000C20A0000}"/>
    <cellStyle name="Normal 3 2 2 2 7" xfId="1990" xr:uid="{00000000-0005-0000-0000-0000C30A0000}"/>
    <cellStyle name="Normal 3 2 2 2 8" xfId="2236" xr:uid="{00000000-0005-0000-0000-0000C40A0000}"/>
    <cellStyle name="Normal 3 2 2 2 9" xfId="2956" xr:uid="{00000000-0005-0000-0000-0000C50A0000}"/>
    <cellStyle name="Normal 3 2 2 3" xfId="147" xr:uid="{00000000-0005-0000-0000-0000C60A0000}"/>
    <cellStyle name="Normal 3 2 2 3 2" xfId="1582" xr:uid="{00000000-0005-0000-0000-0000C70A0000}"/>
    <cellStyle name="Normal 3 2 2 3 3" xfId="1564" xr:uid="{00000000-0005-0000-0000-0000C80A0000}"/>
    <cellStyle name="Normal 3 2 2 3 4" xfId="1772" xr:uid="{00000000-0005-0000-0000-0000C90A0000}"/>
    <cellStyle name="Normal 3 2 2 3 5" xfId="2028" xr:uid="{00000000-0005-0000-0000-0000CA0A0000}"/>
    <cellStyle name="Normal 3 2 2 4" xfId="240" xr:uid="{00000000-0005-0000-0000-0000CB0A0000}"/>
    <cellStyle name="Normal 3 2 2 4 2" xfId="394" xr:uid="{00000000-0005-0000-0000-0000CC0A0000}"/>
    <cellStyle name="Normal 3 2 2 4 2 2" xfId="799" xr:uid="{00000000-0005-0000-0000-0000CD0A0000}"/>
    <cellStyle name="Normal 3 2 2 4 2 2 2" xfId="1529" xr:uid="{00000000-0005-0000-0000-0000CE0A0000}"/>
    <cellStyle name="Normal 3 2 2 4 2 2 3" xfId="2849" xr:uid="{00000000-0005-0000-0000-0000CF0A0000}"/>
    <cellStyle name="Normal 3 2 2 4 2 2 4" xfId="3567" xr:uid="{00000000-0005-0000-0000-0000D00A0000}"/>
    <cellStyle name="Normal 3 2 2 4 2 3" xfId="1132" xr:uid="{00000000-0005-0000-0000-0000D10A0000}"/>
    <cellStyle name="Normal 3 2 2 4 2 4" xfId="2450" xr:uid="{00000000-0005-0000-0000-0000D20A0000}"/>
    <cellStyle name="Normal 3 2 2 4 2 5" xfId="3170" xr:uid="{00000000-0005-0000-0000-0000D30A0000}"/>
    <cellStyle name="Normal 3 2 2 4 3" xfId="645" xr:uid="{00000000-0005-0000-0000-0000D40A0000}"/>
    <cellStyle name="Normal 3 2 2 4 3 2" xfId="1377" xr:uid="{00000000-0005-0000-0000-0000D50A0000}"/>
    <cellStyle name="Normal 3 2 2 4 3 3" xfId="2697" xr:uid="{00000000-0005-0000-0000-0000D60A0000}"/>
    <cellStyle name="Normal 3 2 2 4 3 4" xfId="3415" xr:uid="{00000000-0005-0000-0000-0000D70A0000}"/>
    <cellStyle name="Normal 3 2 2 4 4" xfId="980" xr:uid="{00000000-0005-0000-0000-0000D80A0000}"/>
    <cellStyle name="Normal 3 2 2 4 5" xfId="2104" xr:uid="{00000000-0005-0000-0000-0000D90A0000}"/>
    <cellStyle name="Normal 3 2 2 4 6" xfId="2298" xr:uid="{00000000-0005-0000-0000-0000DA0A0000}"/>
    <cellStyle name="Normal 3 2 2 4 7" xfId="3018" xr:uid="{00000000-0005-0000-0000-0000DB0A0000}"/>
    <cellStyle name="Normal 3 2 2 5" xfId="391" xr:uid="{00000000-0005-0000-0000-0000DC0A0000}"/>
    <cellStyle name="Normal 3 2 2 5 2" xfId="796" xr:uid="{00000000-0005-0000-0000-0000DD0A0000}"/>
    <cellStyle name="Normal 3 2 2 5 2 2" xfId="1526" xr:uid="{00000000-0005-0000-0000-0000DE0A0000}"/>
    <cellStyle name="Normal 3 2 2 5 2 3" xfId="2846" xr:uid="{00000000-0005-0000-0000-0000DF0A0000}"/>
    <cellStyle name="Normal 3 2 2 5 2 4" xfId="3564" xr:uid="{00000000-0005-0000-0000-0000E00A0000}"/>
    <cellStyle name="Normal 3 2 2 5 3" xfId="1129" xr:uid="{00000000-0005-0000-0000-0000E10A0000}"/>
    <cellStyle name="Normal 3 2 2 5 4" xfId="2152" xr:uid="{00000000-0005-0000-0000-0000E20A0000}"/>
    <cellStyle name="Normal 3 2 2 5 5" xfId="2447" xr:uid="{00000000-0005-0000-0000-0000E30A0000}"/>
    <cellStyle name="Normal 3 2 2 5 6" xfId="3167" xr:uid="{00000000-0005-0000-0000-0000E40A0000}"/>
    <cellStyle name="Normal 3 2 2 6" xfId="487" xr:uid="{00000000-0005-0000-0000-0000E50A0000}"/>
    <cellStyle name="Normal 3 2 2 6 2" xfId="1225" xr:uid="{00000000-0005-0000-0000-0000E60A0000}"/>
    <cellStyle name="Normal 3 2 2 6 3" xfId="1798" xr:uid="{00000000-0005-0000-0000-0000E70A0000}"/>
    <cellStyle name="Normal 3 2 2 6 4" xfId="2545" xr:uid="{00000000-0005-0000-0000-0000E80A0000}"/>
    <cellStyle name="Normal 3 2 2 6 5" xfId="3263" xr:uid="{00000000-0005-0000-0000-0000E90A0000}"/>
    <cellStyle name="Normal 3 2 2 7" xfId="568" xr:uid="{00000000-0005-0000-0000-0000EA0A0000}"/>
    <cellStyle name="Normal 3 2 2 7 2" xfId="1300" xr:uid="{00000000-0005-0000-0000-0000EB0A0000}"/>
    <cellStyle name="Normal 3 2 2 7 3" xfId="1861" xr:uid="{00000000-0005-0000-0000-0000EC0A0000}"/>
    <cellStyle name="Normal 3 2 2 7 4" xfId="2620" xr:uid="{00000000-0005-0000-0000-0000ED0A0000}"/>
    <cellStyle name="Normal 3 2 2 7 5" xfId="3338" xr:uid="{00000000-0005-0000-0000-0000EE0A0000}"/>
    <cellStyle name="Normal 3 2 2 8" xfId="896" xr:uid="{00000000-0005-0000-0000-0000EF0A0000}"/>
    <cellStyle name="Normal 3 2 2 8 2" xfId="1719" xr:uid="{00000000-0005-0000-0000-0000F00A0000}"/>
    <cellStyle name="Normal 3 2 2 8 3" xfId="1908" xr:uid="{00000000-0005-0000-0000-0000F10A0000}"/>
    <cellStyle name="Normal 3 2 2 9" xfId="1637" xr:uid="{00000000-0005-0000-0000-0000F20A0000}"/>
    <cellStyle name="Normal 3 2 3" xfId="143" xr:uid="{00000000-0005-0000-0000-0000F30A0000}"/>
    <cellStyle name="Normal 3 2 4" xfId="209" xr:uid="{00000000-0005-0000-0000-0000F40A0000}"/>
    <cellStyle name="Normal 3 2 4 2" xfId="395" xr:uid="{00000000-0005-0000-0000-0000F50A0000}"/>
    <cellStyle name="Normal 3 2 4 2 2" xfId="800" xr:uid="{00000000-0005-0000-0000-0000F60A0000}"/>
    <cellStyle name="Normal 3 2 4 2 2 2" xfId="1530" xr:uid="{00000000-0005-0000-0000-0000F70A0000}"/>
    <cellStyle name="Normal 3 2 4 2 2 3" xfId="2850" xr:uid="{00000000-0005-0000-0000-0000F80A0000}"/>
    <cellStyle name="Normal 3 2 4 2 2 4" xfId="3568" xr:uid="{00000000-0005-0000-0000-0000F90A0000}"/>
    <cellStyle name="Normal 3 2 4 2 3" xfId="1133" xr:uid="{00000000-0005-0000-0000-0000FA0A0000}"/>
    <cellStyle name="Normal 3 2 4 2 4" xfId="2451" xr:uid="{00000000-0005-0000-0000-0000FB0A0000}"/>
    <cellStyle name="Normal 3 2 4 2 5" xfId="3171" xr:uid="{00000000-0005-0000-0000-0000FC0A0000}"/>
    <cellStyle name="Normal 3 2 4 3" xfId="614" xr:uid="{00000000-0005-0000-0000-0000FD0A0000}"/>
    <cellStyle name="Normal 3 2 4 3 2" xfId="1346" xr:uid="{00000000-0005-0000-0000-0000FE0A0000}"/>
    <cellStyle name="Normal 3 2 4 3 3" xfId="2666" xr:uid="{00000000-0005-0000-0000-0000FF0A0000}"/>
    <cellStyle name="Normal 3 2 4 3 4" xfId="3384" xr:uid="{00000000-0005-0000-0000-0000000B0000}"/>
    <cellStyle name="Normal 3 2 4 4" xfId="949" xr:uid="{00000000-0005-0000-0000-0000010B0000}"/>
    <cellStyle name="Normal 3 2 4 5" xfId="2074" xr:uid="{00000000-0005-0000-0000-0000020B0000}"/>
    <cellStyle name="Normal 3 2 4 6" xfId="2267" xr:uid="{00000000-0005-0000-0000-0000030B0000}"/>
    <cellStyle name="Normal 3 2 4 7" xfId="2987" xr:uid="{00000000-0005-0000-0000-0000040B0000}"/>
    <cellStyle name="Normal 3 2 5" xfId="390" xr:uid="{00000000-0005-0000-0000-0000050B0000}"/>
    <cellStyle name="Normal 3 2 5 2" xfId="795" xr:uid="{00000000-0005-0000-0000-0000060B0000}"/>
    <cellStyle name="Normal 3 2 5 2 2" xfId="1525" xr:uid="{00000000-0005-0000-0000-0000070B0000}"/>
    <cellStyle name="Normal 3 2 5 2 2 2" xfId="1681" xr:uid="{00000000-0005-0000-0000-0000080B0000}"/>
    <cellStyle name="Normal 3 2 5 2 3" xfId="2845" xr:uid="{00000000-0005-0000-0000-0000090B0000}"/>
    <cellStyle name="Normal 3 2 5 2 4" xfId="3563" xr:uid="{00000000-0005-0000-0000-00000A0B0000}"/>
    <cellStyle name="Normal 3 2 5 3" xfId="1128" xr:uid="{00000000-0005-0000-0000-00000B0B0000}"/>
    <cellStyle name="Normal 3 2 5 4" xfId="1569" xr:uid="{00000000-0005-0000-0000-00000C0B0000}"/>
    <cellStyle name="Normal 3 2 5 5" xfId="2446" xr:uid="{00000000-0005-0000-0000-00000D0B0000}"/>
    <cellStyle name="Normal 3 2 5 6" xfId="3166" xr:uid="{00000000-0005-0000-0000-00000E0B0000}"/>
    <cellStyle name="Normal 3 2 6" xfId="457" xr:uid="{00000000-0005-0000-0000-00000F0B0000}"/>
    <cellStyle name="Normal 3 2 6 2" xfId="1195" xr:uid="{00000000-0005-0000-0000-0000100B0000}"/>
    <cellStyle name="Normal 3 2 6 3" xfId="2515" xr:uid="{00000000-0005-0000-0000-0000110B0000}"/>
    <cellStyle name="Normal 3 2 6 4" xfId="3233" xr:uid="{00000000-0005-0000-0000-0000120B0000}"/>
    <cellStyle name="Normal 3 2 7" xfId="537" xr:uid="{00000000-0005-0000-0000-0000130B0000}"/>
    <cellStyle name="Normal 3 2 7 2" xfId="1269" xr:uid="{00000000-0005-0000-0000-0000140B0000}"/>
    <cellStyle name="Normal 3 2 7 3" xfId="2589" xr:uid="{00000000-0005-0000-0000-0000150B0000}"/>
    <cellStyle name="Normal 3 2 7 4" xfId="3307" xr:uid="{00000000-0005-0000-0000-0000160B0000}"/>
    <cellStyle name="Normal 3 2 8" xfId="864" xr:uid="{00000000-0005-0000-0000-0000170B0000}"/>
    <cellStyle name="Normal 3 2 9" xfId="2190" xr:uid="{00000000-0005-0000-0000-0000180B0000}"/>
    <cellStyle name="Normal 3 3" xfId="129" xr:uid="{00000000-0005-0000-0000-0000190B0000}"/>
    <cellStyle name="Normal 3 4" xfId="117" xr:uid="{00000000-0005-0000-0000-00001A0B0000}"/>
    <cellStyle name="Normal 3 5" xfId="1590" xr:uid="{00000000-0005-0000-0000-00001B0B0000}"/>
    <cellStyle name="Normal 4" xfId="59" xr:uid="{00000000-0005-0000-0000-00001C0B0000}"/>
    <cellStyle name="Normal 4 2" xfId="73" xr:uid="{00000000-0005-0000-0000-00001D0B0000}"/>
    <cellStyle name="Normal 4 2 2" xfId="169" xr:uid="{00000000-0005-0000-0000-00001E0B0000}"/>
    <cellStyle name="Normal 4 2 2 2" xfId="496" xr:uid="{00000000-0005-0000-0000-00001F0B0000}"/>
    <cellStyle name="Normal 4 2 3" xfId="136" xr:uid="{00000000-0005-0000-0000-0000200B0000}"/>
    <cellStyle name="Normal 4 2 4" xfId="1589" xr:uid="{00000000-0005-0000-0000-0000210B0000}"/>
    <cellStyle name="Normal 4 2 4 2" xfId="1690" xr:uid="{00000000-0005-0000-0000-0000220B0000}"/>
    <cellStyle name="Normal 4 2 4 3" xfId="1661" xr:uid="{00000000-0005-0000-0000-0000230B0000}"/>
    <cellStyle name="Normal 4 2 4 4" xfId="2118" xr:uid="{00000000-0005-0000-0000-0000240B0000}"/>
    <cellStyle name="Normal 4 2 5" xfId="908" xr:uid="{00000000-0005-0000-0000-0000250B0000}"/>
    <cellStyle name="Normal 4 3" xfId="144" xr:uid="{00000000-0005-0000-0000-0000260B0000}"/>
    <cellStyle name="Normal 4 3 10" xfId="1602" xr:uid="{00000000-0005-0000-0000-0000270B0000}"/>
    <cellStyle name="Normal 4 3 11" xfId="1945" xr:uid="{00000000-0005-0000-0000-0000280B0000}"/>
    <cellStyle name="Normal 4 3 12" xfId="2227" xr:uid="{00000000-0005-0000-0000-0000290B0000}"/>
    <cellStyle name="Normal 4 3 13" xfId="2947" xr:uid="{00000000-0005-0000-0000-00002A0B0000}"/>
    <cellStyle name="Normal 4 3 2" xfId="159" xr:uid="{00000000-0005-0000-0000-00002B0B0000}"/>
    <cellStyle name="Normal 4 3 2 2" xfId="252" xr:uid="{00000000-0005-0000-0000-00002C0B0000}"/>
    <cellStyle name="Normal 4 3 2 2 2" xfId="398" xr:uid="{00000000-0005-0000-0000-00002D0B0000}"/>
    <cellStyle name="Normal 4 3 2 2 2 2" xfId="803" xr:uid="{00000000-0005-0000-0000-00002E0B0000}"/>
    <cellStyle name="Normal 4 3 2 2 2 2 2" xfId="1533" xr:uid="{00000000-0005-0000-0000-00002F0B0000}"/>
    <cellStyle name="Normal 4 3 2 2 2 2 3" xfId="2853" xr:uid="{00000000-0005-0000-0000-0000300B0000}"/>
    <cellStyle name="Normal 4 3 2 2 2 2 4" xfId="3571" xr:uid="{00000000-0005-0000-0000-0000310B0000}"/>
    <cellStyle name="Normal 4 3 2 2 2 3" xfId="1136" xr:uid="{00000000-0005-0000-0000-0000320B0000}"/>
    <cellStyle name="Normal 4 3 2 2 2 4" xfId="2454" xr:uid="{00000000-0005-0000-0000-0000330B0000}"/>
    <cellStyle name="Normal 4 3 2 2 2 5" xfId="3174" xr:uid="{00000000-0005-0000-0000-0000340B0000}"/>
    <cellStyle name="Normal 4 3 2 2 3" xfId="657" xr:uid="{00000000-0005-0000-0000-0000350B0000}"/>
    <cellStyle name="Normal 4 3 2 2 3 2" xfId="1389" xr:uid="{00000000-0005-0000-0000-0000360B0000}"/>
    <cellStyle name="Normal 4 3 2 2 3 3" xfId="2709" xr:uid="{00000000-0005-0000-0000-0000370B0000}"/>
    <cellStyle name="Normal 4 3 2 2 3 4" xfId="3427" xr:uid="{00000000-0005-0000-0000-0000380B0000}"/>
    <cellStyle name="Normal 4 3 2 2 4" xfId="992" xr:uid="{00000000-0005-0000-0000-0000390B0000}"/>
    <cellStyle name="Normal 4 3 2 2 5" xfId="2114" xr:uid="{00000000-0005-0000-0000-00003A0B0000}"/>
    <cellStyle name="Normal 4 3 2 2 6" xfId="2310" xr:uid="{00000000-0005-0000-0000-00003B0B0000}"/>
    <cellStyle name="Normal 4 3 2 2 7" xfId="3030" xr:uid="{00000000-0005-0000-0000-00003C0B0000}"/>
    <cellStyle name="Normal 4 3 2 3" xfId="397" xr:uid="{00000000-0005-0000-0000-00003D0B0000}"/>
    <cellStyle name="Normal 4 3 2 3 2" xfId="802" xr:uid="{00000000-0005-0000-0000-00003E0B0000}"/>
    <cellStyle name="Normal 4 3 2 3 2 2" xfId="1532" xr:uid="{00000000-0005-0000-0000-00003F0B0000}"/>
    <cellStyle name="Normal 4 3 2 3 2 3" xfId="2852" xr:uid="{00000000-0005-0000-0000-0000400B0000}"/>
    <cellStyle name="Normal 4 3 2 3 2 4" xfId="3570" xr:uid="{00000000-0005-0000-0000-0000410B0000}"/>
    <cellStyle name="Normal 4 3 2 3 3" xfId="1135" xr:uid="{00000000-0005-0000-0000-0000420B0000}"/>
    <cellStyle name="Normal 4 3 2 3 4" xfId="2068" xr:uid="{00000000-0005-0000-0000-0000430B0000}"/>
    <cellStyle name="Normal 4 3 2 3 5" xfId="2453" xr:uid="{00000000-0005-0000-0000-0000440B0000}"/>
    <cellStyle name="Normal 4 3 2 3 6" xfId="3173" xr:uid="{00000000-0005-0000-0000-0000450B0000}"/>
    <cellStyle name="Normal 4 3 2 4" xfId="504" xr:uid="{00000000-0005-0000-0000-0000460B0000}"/>
    <cellStyle name="Normal 4 3 2 4 2" xfId="1237" xr:uid="{00000000-0005-0000-0000-0000470B0000}"/>
    <cellStyle name="Normal 4 3 2 4 3" xfId="1870" xr:uid="{00000000-0005-0000-0000-0000480B0000}"/>
    <cellStyle name="Normal 4 3 2 4 4" xfId="2557" xr:uid="{00000000-0005-0000-0000-0000490B0000}"/>
    <cellStyle name="Normal 4 3 2 4 5" xfId="3275" xr:uid="{00000000-0005-0000-0000-00004A0B0000}"/>
    <cellStyle name="Normal 4 3 2 5" xfId="580" xr:uid="{00000000-0005-0000-0000-00004B0B0000}"/>
    <cellStyle name="Normal 4 3 2 5 2" xfId="1312" xr:uid="{00000000-0005-0000-0000-00004C0B0000}"/>
    <cellStyle name="Normal 4 3 2 5 3" xfId="2632" xr:uid="{00000000-0005-0000-0000-00004D0B0000}"/>
    <cellStyle name="Normal 4 3 2 5 4" xfId="3350" xr:uid="{00000000-0005-0000-0000-00004E0B0000}"/>
    <cellStyle name="Normal 4 3 2 6" xfId="913" xr:uid="{00000000-0005-0000-0000-00004F0B0000}"/>
    <cellStyle name="Normal 4 3 2 7" xfId="1984" xr:uid="{00000000-0005-0000-0000-0000500B0000}"/>
    <cellStyle name="Normal 4 3 2 8" xfId="2233" xr:uid="{00000000-0005-0000-0000-0000510B0000}"/>
    <cellStyle name="Normal 4 3 2 9" xfId="2953" xr:uid="{00000000-0005-0000-0000-0000520B0000}"/>
    <cellStyle name="Normal 4 3 3" xfId="246" xr:uid="{00000000-0005-0000-0000-0000530B0000}"/>
    <cellStyle name="Normal 4 3 3 2" xfId="399" xr:uid="{00000000-0005-0000-0000-0000540B0000}"/>
    <cellStyle name="Normal 4 3 3 2 2" xfId="804" xr:uid="{00000000-0005-0000-0000-0000550B0000}"/>
    <cellStyle name="Normal 4 3 3 2 2 2" xfId="1534" xr:uid="{00000000-0005-0000-0000-0000560B0000}"/>
    <cellStyle name="Normal 4 3 3 2 2 3" xfId="2854" xr:uid="{00000000-0005-0000-0000-0000570B0000}"/>
    <cellStyle name="Normal 4 3 3 2 2 4" xfId="3572" xr:uid="{00000000-0005-0000-0000-0000580B0000}"/>
    <cellStyle name="Normal 4 3 3 2 3" xfId="1137" xr:uid="{00000000-0005-0000-0000-0000590B0000}"/>
    <cellStyle name="Normal 4 3 3 2 4" xfId="2455" xr:uid="{00000000-0005-0000-0000-00005A0B0000}"/>
    <cellStyle name="Normal 4 3 3 2 5" xfId="3175" xr:uid="{00000000-0005-0000-0000-00005B0B0000}"/>
    <cellStyle name="Normal 4 3 3 3" xfId="651" xr:uid="{00000000-0005-0000-0000-00005C0B0000}"/>
    <cellStyle name="Normal 4 3 3 3 2" xfId="1383" xr:uid="{00000000-0005-0000-0000-00005D0B0000}"/>
    <cellStyle name="Normal 4 3 3 3 3" xfId="2703" xr:uid="{00000000-0005-0000-0000-00005E0B0000}"/>
    <cellStyle name="Normal 4 3 3 3 4" xfId="3421" xr:uid="{00000000-0005-0000-0000-00005F0B0000}"/>
    <cellStyle name="Normal 4 3 3 4" xfId="986" xr:uid="{00000000-0005-0000-0000-0000600B0000}"/>
    <cellStyle name="Normal 4 3 3 5" xfId="2022" xr:uid="{00000000-0005-0000-0000-0000610B0000}"/>
    <cellStyle name="Normal 4 3 3 6" xfId="2304" xr:uid="{00000000-0005-0000-0000-0000620B0000}"/>
    <cellStyle name="Normal 4 3 3 7" xfId="3024" xr:uid="{00000000-0005-0000-0000-0000630B0000}"/>
    <cellStyle name="Normal 4 3 4" xfId="396" xr:uid="{00000000-0005-0000-0000-0000640B0000}"/>
    <cellStyle name="Normal 4 3 4 2" xfId="801" xr:uid="{00000000-0005-0000-0000-0000650B0000}"/>
    <cellStyle name="Normal 4 3 4 2 2" xfId="1531" xr:uid="{00000000-0005-0000-0000-0000660B0000}"/>
    <cellStyle name="Normal 4 3 4 2 3" xfId="2851" xr:uid="{00000000-0005-0000-0000-0000670B0000}"/>
    <cellStyle name="Normal 4 3 4 2 4" xfId="3569" xr:uid="{00000000-0005-0000-0000-0000680B0000}"/>
    <cellStyle name="Normal 4 3 4 3" xfId="1134" xr:uid="{00000000-0005-0000-0000-0000690B0000}"/>
    <cellStyle name="Normal 4 3 4 4" xfId="2146" xr:uid="{00000000-0005-0000-0000-00006A0B0000}"/>
    <cellStyle name="Normal 4 3 4 5" xfId="2452" xr:uid="{00000000-0005-0000-0000-00006B0B0000}"/>
    <cellStyle name="Normal 4 3 4 6" xfId="3172" xr:uid="{00000000-0005-0000-0000-00006C0B0000}"/>
    <cellStyle name="Normal 4 3 5" xfId="497" xr:uid="{00000000-0005-0000-0000-00006D0B0000}"/>
    <cellStyle name="Normal 4 3 5 2" xfId="1230" xr:uid="{00000000-0005-0000-0000-00006E0B0000}"/>
    <cellStyle name="Normal 4 3 5 3" xfId="1792" xr:uid="{00000000-0005-0000-0000-00006F0B0000}"/>
    <cellStyle name="Normal 4 3 5 4" xfId="1619" xr:uid="{00000000-0005-0000-0000-0000700B0000}"/>
    <cellStyle name="Normal 4 3 5 5" xfId="2550" xr:uid="{00000000-0005-0000-0000-0000710B0000}"/>
    <cellStyle name="Normal 4 3 5 6" xfId="3268" xr:uid="{00000000-0005-0000-0000-0000720B0000}"/>
    <cellStyle name="Normal 4 3 6" xfId="574" xr:uid="{00000000-0005-0000-0000-0000730B0000}"/>
    <cellStyle name="Normal 4 3 6 2" xfId="1306" xr:uid="{00000000-0005-0000-0000-0000740B0000}"/>
    <cellStyle name="Normal 4 3 6 3" xfId="1867" xr:uid="{00000000-0005-0000-0000-0000750B0000}"/>
    <cellStyle name="Normal 4 3 6 4" xfId="2626" xr:uid="{00000000-0005-0000-0000-0000760B0000}"/>
    <cellStyle name="Normal 4 3 6 5" xfId="3344" xr:uid="{00000000-0005-0000-0000-0000770B0000}"/>
    <cellStyle name="Normal 4 3 7" xfId="906" xr:uid="{00000000-0005-0000-0000-0000780B0000}"/>
    <cellStyle name="Normal 4 3 7 2" xfId="1713" xr:uid="{00000000-0005-0000-0000-0000790B0000}"/>
    <cellStyle name="Normal 4 3 7 3" xfId="1902" xr:uid="{00000000-0005-0000-0000-00007A0B0000}"/>
    <cellStyle name="Normal 4 3 8" xfId="1607" xr:uid="{00000000-0005-0000-0000-00007B0B0000}"/>
    <cellStyle name="Normal 4 3 8 2" xfId="903" xr:uid="{00000000-0005-0000-0000-00007C0B0000}"/>
    <cellStyle name="Normal 4 3 9" xfId="1751" xr:uid="{00000000-0005-0000-0000-00007D0B0000}"/>
    <cellStyle name="Normal 4 4" xfId="108" xr:uid="{00000000-0005-0000-0000-00007E0B0000}"/>
    <cellStyle name="Normal 4 4 2" xfId="1628" xr:uid="{00000000-0005-0000-0000-00007F0B0000}"/>
    <cellStyle name="Normal 4 4 3" xfId="1604" xr:uid="{00000000-0005-0000-0000-0000800B0000}"/>
    <cellStyle name="Normal 4 4 4" xfId="1603" xr:uid="{00000000-0005-0000-0000-0000810B0000}"/>
    <cellStyle name="Normal 4 5" xfId="130" xr:uid="{00000000-0005-0000-0000-0000820B0000}"/>
    <cellStyle name="Normal 4 6" xfId="151" xr:uid="{00000000-0005-0000-0000-0000830B0000}"/>
    <cellStyle name="Normal 4 7" xfId="1566" xr:uid="{00000000-0005-0000-0000-0000840B0000}"/>
    <cellStyle name="Normal 4 7 2" xfId="1663" xr:uid="{00000000-0005-0000-0000-0000850B0000}"/>
    <cellStyle name="Normal 4 8" xfId="1676" xr:uid="{00000000-0005-0000-0000-0000860B0000}"/>
    <cellStyle name="Normal 4 9" xfId="1678" xr:uid="{00000000-0005-0000-0000-0000870B0000}"/>
    <cellStyle name="Normal 5" xfId="66" xr:uid="{00000000-0005-0000-0000-0000880B0000}"/>
    <cellStyle name="Normal 5 2" xfId="165" xr:uid="{00000000-0005-0000-0000-0000890B0000}"/>
    <cellStyle name="Normal 5 2 2" xfId="491" xr:uid="{00000000-0005-0000-0000-00008A0B0000}"/>
    <cellStyle name="Normal 5 3" xfId="134" xr:uid="{00000000-0005-0000-0000-00008B0B0000}"/>
    <cellStyle name="Normal 6" xfId="46" xr:uid="{00000000-0005-0000-0000-00008C0B0000}"/>
    <cellStyle name="Normal 6 10" xfId="2895" xr:uid="{00000000-0005-0000-0000-00008D0B0000}"/>
    <cellStyle name="Normal 6 2" xfId="90" xr:uid="{00000000-0005-0000-0000-00008E0B0000}"/>
    <cellStyle name="Normal 6 2 10" xfId="1645" xr:uid="{00000000-0005-0000-0000-00008F0B0000}"/>
    <cellStyle name="Normal 6 2 11" xfId="1755" xr:uid="{00000000-0005-0000-0000-0000900B0000}"/>
    <cellStyle name="Normal 6 2 12" xfId="1949" xr:uid="{00000000-0005-0000-0000-0000910B0000}"/>
    <cellStyle name="Normal 6 2 13" xfId="2206" xr:uid="{00000000-0005-0000-0000-0000920B0000}"/>
    <cellStyle name="Normal 6 2 14" xfId="2926" xr:uid="{00000000-0005-0000-0000-0000930B0000}"/>
    <cellStyle name="Normal 6 2 2" xfId="174" xr:uid="{00000000-0005-0000-0000-0000940B0000}"/>
    <cellStyle name="Normal 6 2 3" xfId="163" xr:uid="{00000000-0005-0000-0000-0000950B0000}"/>
    <cellStyle name="Normal 6 2 3 2" xfId="254" xr:uid="{00000000-0005-0000-0000-0000960B0000}"/>
    <cellStyle name="Normal 6 2 3 2 2" xfId="403" xr:uid="{00000000-0005-0000-0000-0000970B0000}"/>
    <cellStyle name="Normal 6 2 3 2 2 2" xfId="808" xr:uid="{00000000-0005-0000-0000-0000980B0000}"/>
    <cellStyle name="Normal 6 2 3 2 2 2 2" xfId="1538" xr:uid="{00000000-0005-0000-0000-0000990B0000}"/>
    <cellStyle name="Normal 6 2 3 2 2 2 3" xfId="2858" xr:uid="{00000000-0005-0000-0000-00009A0B0000}"/>
    <cellStyle name="Normal 6 2 3 2 2 2 4" xfId="3576" xr:uid="{00000000-0005-0000-0000-00009B0B0000}"/>
    <cellStyle name="Normal 6 2 3 2 2 3" xfId="1141" xr:uid="{00000000-0005-0000-0000-00009C0B0000}"/>
    <cellStyle name="Normal 6 2 3 2 2 4" xfId="2459" xr:uid="{00000000-0005-0000-0000-00009D0B0000}"/>
    <cellStyle name="Normal 6 2 3 2 2 5" xfId="3179" xr:uid="{00000000-0005-0000-0000-00009E0B0000}"/>
    <cellStyle name="Normal 6 2 3 2 3" xfId="659" xr:uid="{00000000-0005-0000-0000-00009F0B0000}"/>
    <cellStyle name="Normal 6 2 3 2 3 2" xfId="1391" xr:uid="{00000000-0005-0000-0000-0000A00B0000}"/>
    <cellStyle name="Normal 6 2 3 2 3 3" xfId="2711" xr:uid="{00000000-0005-0000-0000-0000A10B0000}"/>
    <cellStyle name="Normal 6 2 3 2 3 4" xfId="3429" xr:uid="{00000000-0005-0000-0000-0000A20B0000}"/>
    <cellStyle name="Normal 6 2 3 2 4" xfId="994" xr:uid="{00000000-0005-0000-0000-0000A30B0000}"/>
    <cellStyle name="Normal 6 2 3 2 5" xfId="2116" xr:uid="{00000000-0005-0000-0000-0000A40B0000}"/>
    <cellStyle name="Normal 6 2 3 2 6" xfId="2312" xr:uid="{00000000-0005-0000-0000-0000A50B0000}"/>
    <cellStyle name="Normal 6 2 3 2 7" xfId="3032" xr:uid="{00000000-0005-0000-0000-0000A60B0000}"/>
    <cellStyle name="Normal 6 2 3 3" xfId="402" xr:uid="{00000000-0005-0000-0000-0000A70B0000}"/>
    <cellStyle name="Normal 6 2 3 3 2" xfId="807" xr:uid="{00000000-0005-0000-0000-0000A80B0000}"/>
    <cellStyle name="Normal 6 2 3 3 2 2" xfId="1537" xr:uid="{00000000-0005-0000-0000-0000A90B0000}"/>
    <cellStyle name="Normal 6 2 3 3 2 3" xfId="2857" xr:uid="{00000000-0005-0000-0000-0000AA0B0000}"/>
    <cellStyle name="Normal 6 2 3 3 2 4" xfId="3575" xr:uid="{00000000-0005-0000-0000-0000AB0B0000}"/>
    <cellStyle name="Normal 6 2 3 3 3" xfId="1140" xr:uid="{00000000-0005-0000-0000-0000AC0B0000}"/>
    <cellStyle name="Normal 6 2 3 3 4" xfId="2070" xr:uid="{00000000-0005-0000-0000-0000AD0B0000}"/>
    <cellStyle name="Normal 6 2 3 3 5" xfId="2458" xr:uid="{00000000-0005-0000-0000-0000AE0B0000}"/>
    <cellStyle name="Normal 6 2 3 3 6" xfId="3178" xr:uid="{00000000-0005-0000-0000-0000AF0B0000}"/>
    <cellStyle name="Normal 6 2 3 4" xfId="582" xr:uid="{00000000-0005-0000-0000-0000B00B0000}"/>
    <cellStyle name="Normal 6 2 3 4 2" xfId="1314" xr:uid="{00000000-0005-0000-0000-0000B10B0000}"/>
    <cellStyle name="Normal 6 2 3 4 3" xfId="1872" xr:uid="{00000000-0005-0000-0000-0000B20B0000}"/>
    <cellStyle name="Normal 6 2 3 4 4" xfId="2634" xr:uid="{00000000-0005-0000-0000-0000B30B0000}"/>
    <cellStyle name="Normal 6 2 3 4 5" xfId="3352" xr:uid="{00000000-0005-0000-0000-0000B40B0000}"/>
    <cellStyle name="Normal 6 2 3 5" xfId="915" xr:uid="{00000000-0005-0000-0000-0000B50B0000}"/>
    <cellStyle name="Normal 6 2 3 6" xfId="1765" xr:uid="{00000000-0005-0000-0000-0000B60B0000}"/>
    <cellStyle name="Normal 6 2 3 7" xfId="1988" xr:uid="{00000000-0005-0000-0000-0000B70B0000}"/>
    <cellStyle name="Normal 6 2 3 8" xfId="2235" xr:uid="{00000000-0005-0000-0000-0000B80B0000}"/>
    <cellStyle name="Normal 6 2 3 9" xfId="2955" xr:uid="{00000000-0005-0000-0000-0000B90B0000}"/>
    <cellStyle name="Normal 6 2 4" xfId="109" xr:uid="{00000000-0005-0000-0000-0000BA0B0000}"/>
    <cellStyle name="Normal 6 2 4 2" xfId="1608" xr:uid="{00000000-0005-0000-0000-0000BB0B0000}"/>
    <cellStyle name="Normal 6 2 4 3" xfId="1562" xr:uid="{00000000-0005-0000-0000-0000BC0B0000}"/>
    <cellStyle name="Normal 6 2 4 4" xfId="1771" xr:uid="{00000000-0005-0000-0000-0000BD0B0000}"/>
    <cellStyle name="Normal 6 2 4 5" xfId="2026" xr:uid="{00000000-0005-0000-0000-0000BE0B0000}"/>
    <cellStyle name="Normal 6 2 5" xfId="225" xr:uid="{00000000-0005-0000-0000-0000BF0B0000}"/>
    <cellStyle name="Normal 6 2 5 2" xfId="404" xr:uid="{00000000-0005-0000-0000-0000C00B0000}"/>
    <cellStyle name="Normal 6 2 5 2 2" xfId="809" xr:uid="{00000000-0005-0000-0000-0000C10B0000}"/>
    <cellStyle name="Normal 6 2 5 2 2 2" xfId="1539" xr:uid="{00000000-0005-0000-0000-0000C20B0000}"/>
    <cellStyle name="Normal 6 2 5 2 2 3" xfId="2859" xr:uid="{00000000-0005-0000-0000-0000C30B0000}"/>
    <cellStyle name="Normal 6 2 5 2 2 4" xfId="3577" xr:uid="{00000000-0005-0000-0000-0000C40B0000}"/>
    <cellStyle name="Normal 6 2 5 2 3" xfId="1142" xr:uid="{00000000-0005-0000-0000-0000C50B0000}"/>
    <cellStyle name="Normal 6 2 5 2 4" xfId="2460" xr:uid="{00000000-0005-0000-0000-0000C60B0000}"/>
    <cellStyle name="Normal 6 2 5 2 5" xfId="3180" xr:uid="{00000000-0005-0000-0000-0000C70B0000}"/>
    <cellStyle name="Normal 6 2 5 3" xfId="630" xr:uid="{00000000-0005-0000-0000-0000C80B0000}"/>
    <cellStyle name="Normal 6 2 5 3 2" xfId="1362" xr:uid="{00000000-0005-0000-0000-0000C90B0000}"/>
    <cellStyle name="Normal 6 2 5 3 3" xfId="2682" xr:uid="{00000000-0005-0000-0000-0000CA0B0000}"/>
    <cellStyle name="Normal 6 2 5 3 4" xfId="3400" xr:uid="{00000000-0005-0000-0000-0000CB0B0000}"/>
    <cellStyle name="Normal 6 2 5 4" xfId="965" xr:uid="{00000000-0005-0000-0000-0000CC0B0000}"/>
    <cellStyle name="Normal 6 2 5 5" xfId="2089" xr:uid="{00000000-0005-0000-0000-0000CD0B0000}"/>
    <cellStyle name="Normal 6 2 5 6" xfId="2283" xr:uid="{00000000-0005-0000-0000-0000CE0B0000}"/>
    <cellStyle name="Normal 6 2 5 7" xfId="3003" xr:uid="{00000000-0005-0000-0000-0000CF0B0000}"/>
    <cellStyle name="Normal 6 2 6" xfId="401" xr:uid="{00000000-0005-0000-0000-0000D00B0000}"/>
    <cellStyle name="Normal 6 2 6 2" xfId="806" xr:uid="{00000000-0005-0000-0000-0000D10B0000}"/>
    <cellStyle name="Normal 6 2 6 2 2" xfId="1536" xr:uid="{00000000-0005-0000-0000-0000D20B0000}"/>
    <cellStyle name="Normal 6 2 6 2 3" xfId="2856" xr:uid="{00000000-0005-0000-0000-0000D30B0000}"/>
    <cellStyle name="Normal 6 2 6 2 4" xfId="3574" xr:uid="{00000000-0005-0000-0000-0000D40B0000}"/>
    <cellStyle name="Normal 6 2 6 3" xfId="1139" xr:uid="{00000000-0005-0000-0000-0000D50B0000}"/>
    <cellStyle name="Normal 6 2 6 4" xfId="2150" xr:uid="{00000000-0005-0000-0000-0000D60B0000}"/>
    <cellStyle name="Normal 6 2 6 5" xfId="2457" xr:uid="{00000000-0005-0000-0000-0000D70B0000}"/>
    <cellStyle name="Normal 6 2 6 6" xfId="3177" xr:uid="{00000000-0005-0000-0000-0000D80B0000}"/>
    <cellStyle name="Normal 6 2 7" xfId="472" xr:uid="{00000000-0005-0000-0000-0000D90B0000}"/>
    <cellStyle name="Normal 6 2 7 2" xfId="1210" xr:uid="{00000000-0005-0000-0000-0000DA0B0000}"/>
    <cellStyle name="Normal 6 2 7 3" xfId="1796" xr:uid="{00000000-0005-0000-0000-0000DB0B0000}"/>
    <cellStyle name="Normal 6 2 7 4" xfId="2530" xr:uid="{00000000-0005-0000-0000-0000DC0B0000}"/>
    <cellStyle name="Normal 6 2 7 5" xfId="3248" xr:uid="{00000000-0005-0000-0000-0000DD0B0000}"/>
    <cellStyle name="Normal 6 2 8" xfId="553" xr:uid="{00000000-0005-0000-0000-0000DE0B0000}"/>
    <cellStyle name="Normal 6 2 8 2" xfId="1285" xr:uid="{00000000-0005-0000-0000-0000DF0B0000}"/>
    <cellStyle name="Normal 6 2 8 3" xfId="1846" xr:uid="{00000000-0005-0000-0000-0000E00B0000}"/>
    <cellStyle name="Normal 6 2 8 4" xfId="2605" xr:uid="{00000000-0005-0000-0000-0000E10B0000}"/>
    <cellStyle name="Normal 6 2 8 5" xfId="3323" xr:uid="{00000000-0005-0000-0000-0000E20B0000}"/>
    <cellStyle name="Normal 6 2 9" xfId="881" xr:uid="{00000000-0005-0000-0000-0000E30B0000}"/>
    <cellStyle name="Normal 6 2 9 2" xfId="1717" xr:uid="{00000000-0005-0000-0000-0000E40B0000}"/>
    <cellStyle name="Normal 6 2 9 3" xfId="1906" xr:uid="{00000000-0005-0000-0000-0000E50B0000}"/>
    <cellStyle name="Normal 6 3" xfId="156" xr:uid="{00000000-0005-0000-0000-0000E60B0000}"/>
    <cellStyle name="Normal 6 3 2" xfId="249" xr:uid="{00000000-0005-0000-0000-0000E70B0000}"/>
    <cellStyle name="Normal 6 3 2 2" xfId="406" xr:uid="{00000000-0005-0000-0000-0000E80B0000}"/>
    <cellStyle name="Normal 6 3 2 2 2" xfId="811" xr:uid="{00000000-0005-0000-0000-0000E90B0000}"/>
    <cellStyle name="Normal 6 3 2 2 2 2" xfId="1541" xr:uid="{00000000-0005-0000-0000-0000EA0B0000}"/>
    <cellStyle name="Normal 6 3 2 2 2 3" xfId="2861" xr:uid="{00000000-0005-0000-0000-0000EB0B0000}"/>
    <cellStyle name="Normal 6 3 2 2 2 4" xfId="3579" xr:uid="{00000000-0005-0000-0000-0000EC0B0000}"/>
    <cellStyle name="Normal 6 3 2 2 3" xfId="1144" xr:uid="{00000000-0005-0000-0000-0000ED0B0000}"/>
    <cellStyle name="Normal 6 3 2 2 4" xfId="2462" xr:uid="{00000000-0005-0000-0000-0000EE0B0000}"/>
    <cellStyle name="Normal 6 3 2 2 5" xfId="3182" xr:uid="{00000000-0005-0000-0000-0000EF0B0000}"/>
    <cellStyle name="Normal 6 3 2 3" xfId="654" xr:uid="{00000000-0005-0000-0000-0000F00B0000}"/>
    <cellStyle name="Normal 6 3 2 3 2" xfId="1386" xr:uid="{00000000-0005-0000-0000-0000F10B0000}"/>
    <cellStyle name="Normal 6 3 2 3 3" xfId="2706" xr:uid="{00000000-0005-0000-0000-0000F20B0000}"/>
    <cellStyle name="Normal 6 3 2 3 4" xfId="3424" xr:uid="{00000000-0005-0000-0000-0000F30B0000}"/>
    <cellStyle name="Normal 6 3 2 4" xfId="989" xr:uid="{00000000-0005-0000-0000-0000F40B0000}"/>
    <cellStyle name="Normal 6 3 2 5" xfId="2111" xr:uid="{00000000-0005-0000-0000-0000F50B0000}"/>
    <cellStyle name="Normal 6 3 2 6" xfId="2307" xr:uid="{00000000-0005-0000-0000-0000F60B0000}"/>
    <cellStyle name="Normal 6 3 2 7" xfId="3027" xr:uid="{00000000-0005-0000-0000-0000F70B0000}"/>
    <cellStyle name="Normal 6 3 3" xfId="405" xr:uid="{00000000-0005-0000-0000-0000F80B0000}"/>
    <cellStyle name="Normal 6 3 3 2" xfId="810" xr:uid="{00000000-0005-0000-0000-0000F90B0000}"/>
    <cellStyle name="Normal 6 3 3 2 2" xfId="1540" xr:uid="{00000000-0005-0000-0000-0000FA0B0000}"/>
    <cellStyle name="Normal 6 3 3 2 3" xfId="2860" xr:uid="{00000000-0005-0000-0000-0000FB0B0000}"/>
    <cellStyle name="Normal 6 3 3 2 4" xfId="3578" xr:uid="{00000000-0005-0000-0000-0000FC0B0000}"/>
    <cellStyle name="Normal 6 3 3 3" xfId="1143" xr:uid="{00000000-0005-0000-0000-0000FD0B0000}"/>
    <cellStyle name="Normal 6 3 3 4" xfId="2461" xr:uid="{00000000-0005-0000-0000-0000FE0B0000}"/>
    <cellStyle name="Normal 6 3 3 5" xfId="3181" xr:uid="{00000000-0005-0000-0000-0000FF0B0000}"/>
    <cellStyle name="Normal 6 3 4" xfId="501" xr:uid="{00000000-0005-0000-0000-0000000C0000}"/>
    <cellStyle name="Normal 6 3 4 2" xfId="1234" xr:uid="{00000000-0005-0000-0000-0000010C0000}"/>
    <cellStyle name="Normal 6 3 4 3" xfId="2554" xr:uid="{00000000-0005-0000-0000-0000020C0000}"/>
    <cellStyle name="Normal 6 3 4 4" xfId="3272" xr:uid="{00000000-0005-0000-0000-0000030C0000}"/>
    <cellStyle name="Normal 6 3 5" xfId="577" xr:uid="{00000000-0005-0000-0000-0000040C0000}"/>
    <cellStyle name="Normal 6 3 5 2" xfId="1309" xr:uid="{00000000-0005-0000-0000-0000050C0000}"/>
    <cellStyle name="Normal 6 3 5 3" xfId="2629" xr:uid="{00000000-0005-0000-0000-0000060C0000}"/>
    <cellStyle name="Normal 6 3 5 4" xfId="3347" xr:uid="{00000000-0005-0000-0000-0000070C0000}"/>
    <cellStyle name="Normal 6 3 6" xfId="910" xr:uid="{00000000-0005-0000-0000-0000080C0000}"/>
    <cellStyle name="Normal 6 3 7" xfId="2066" xr:uid="{00000000-0005-0000-0000-0000090C0000}"/>
    <cellStyle name="Normal 6 3 8" xfId="2230" xr:uid="{00000000-0005-0000-0000-00000A0C0000}"/>
    <cellStyle name="Normal 6 3 9" xfId="2950" xr:uid="{00000000-0005-0000-0000-00000B0C0000}"/>
    <cellStyle name="Normal 6 4" xfId="194" xr:uid="{00000000-0005-0000-0000-00000C0C0000}"/>
    <cellStyle name="Normal 6 4 2" xfId="407" xr:uid="{00000000-0005-0000-0000-00000D0C0000}"/>
    <cellStyle name="Normal 6 4 2 2" xfId="812" xr:uid="{00000000-0005-0000-0000-00000E0C0000}"/>
    <cellStyle name="Normal 6 4 2 2 2" xfId="1542" xr:uid="{00000000-0005-0000-0000-00000F0C0000}"/>
    <cellStyle name="Normal 6 4 2 2 3" xfId="2862" xr:uid="{00000000-0005-0000-0000-0000100C0000}"/>
    <cellStyle name="Normal 6 4 2 2 4" xfId="3580" xr:uid="{00000000-0005-0000-0000-0000110C0000}"/>
    <cellStyle name="Normal 6 4 2 3" xfId="1145" xr:uid="{00000000-0005-0000-0000-0000120C0000}"/>
    <cellStyle name="Normal 6 4 2 4" xfId="2463" xr:uid="{00000000-0005-0000-0000-0000130C0000}"/>
    <cellStyle name="Normal 6 4 2 5" xfId="3183" xr:uid="{00000000-0005-0000-0000-0000140C0000}"/>
    <cellStyle name="Normal 6 4 3" xfId="599" xr:uid="{00000000-0005-0000-0000-0000150C0000}"/>
    <cellStyle name="Normal 6 4 3 2" xfId="1331" xr:uid="{00000000-0005-0000-0000-0000160C0000}"/>
    <cellStyle name="Normal 6 4 3 3" xfId="2651" xr:uid="{00000000-0005-0000-0000-0000170C0000}"/>
    <cellStyle name="Normal 6 4 3 4" xfId="3369" xr:uid="{00000000-0005-0000-0000-0000180C0000}"/>
    <cellStyle name="Normal 6 4 4" xfId="934" xr:uid="{00000000-0005-0000-0000-0000190C0000}"/>
    <cellStyle name="Normal 6 4 5" xfId="2073" xr:uid="{00000000-0005-0000-0000-00001A0C0000}"/>
    <cellStyle name="Normal 6 4 6" xfId="2252" xr:uid="{00000000-0005-0000-0000-00001B0C0000}"/>
    <cellStyle name="Normal 6 4 7" xfId="2972" xr:uid="{00000000-0005-0000-0000-00001C0C0000}"/>
    <cellStyle name="Normal 6 5" xfId="400" xr:uid="{00000000-0005-0000-0000-00001D0C0000}"/>
    <cellStyle name="Normal 6 5 2" xfId="805" xr:uid="{00000000-0005-0000-0000-00001E0C0000}"/>
    <cellStyle name="Normal 6 5 2 2" xfId="1535" xr:uid="{00000000-0005-0000-0000-00001F0C0000}"/>
    <cellStyle name="Normal 6 5 2 3" xfId="2855" xr:uid="{00000000-0005-0000-0000-0000200C0000}"/>
    <cellStyle name="Normal 6 5 2 4" xfId="3573" xr:uid="{00000000-0005-0000-0000-0000210C0000}"/>
    <cellStyle name="Normal 6 5 3" xfId="1138" xr:uid="{00000000-0005-0000-0000-0000220C0000}"/>
    <cellStyle name="Normal 6 5 4" xfId="1563" xr:uid="{00000000-0005-0000-0000-0000230C0000}"/>
    <cellStyle name="Normal 6 5 5" xfId="2456" xr:uid="{00000000-0005-0000-0000-0000240C0000}"/>
    <cellStyle name="Normal 6 5 6" xfId="3176" xr:uid="{00000000-0005-0000-0000-0000250C0000}"/>
    <cellStyle name="Normal 6 6" xfId="442" xr:uid="{00000000-0005-0000-0000-0000260C0000}"/>
    <cellStyle name="Normal 6 6 2" xfId="1180" xr:uid="{00000000-0005-0000-0000-0000270C0000}"/>
    <cellStyle name="Normal 6 6 3" xfId="2500" xr:uid="{00000000-0005-0000-0000-0000280C0000}"/>
    <cellStyle name="Normal 6 6 4" xfId="3218" xr:uid="{00000000-0005-0000-0000-0000290C0000}"/>
    <cellStyle name="Normal 6 7" xfId="522" xr:uid="{00000000-0005-0000-0000-00002A0C0000}"/>
    <cellStyle name="Normal 6 7 2" xfId="1254" xr:uid="{00000000-0005-0000-0000-00002B0C0000}"/>
    <cellStyle name="Normal 6 7 3" xfId="2574" xr:uid="{00000000-0005-0000-0000-00002C0C0000}"/>
    <cellStyle name="Normal 6 7 4" xfId="3292" xr:uid="{00000000-0005-0000-0000-00002D0C0000}"/>
    <cellStyle name="Normal 6 8" xfId="849" xr:uid="{00000000-0005-0000-0000-00002E0C0000}"/>
    <cellStyle name="Normal 6 9" xfId="2175" xr:uid="{00000000-0005-0000-0000-00002F0C0000}"/>
    <cellStyle name="Normal 7" xfId="75" xr:uid="{00000000-0005-0000-0000-0000300C0000}"/>
    <cellStyle name="Normal 7 10" xfId="866" xr:uid="{00000000-0005-0000-0000-0000310C0000}"/>
    <cellStyle name="Normal 7 10 2" xfId="1916" xr:uid="{00000000-0005-0000-0000-0000320C0000}"/>
    <cellStyle name="Normal 7 10 3" xfId="1913" xr:uid="{00000000-0005-0000-0000-0000330C0000}"/>
    <cellStyle name="Normal 7 11" xfId="2191" xr:uid="{00000000-0005-0000-0000-0000340C0000}"/>
    <cellStyle name="Normal 7 12" xfId="2911" xr:uid="{00000000-0005-0000-0000-0000350C0000}"/>
    <cellStyle name="Normal 7 13" xfId="3600" xr:uid="{00000000-0005-0000-0000-0000360C0000}"/>
    <cellStyle name="Normal 7 2" xfId="112" xr:uid="{00000000-0005-0000-0000-0000370C0000}"/>
    <cellStyle name="Normal 7 2 2" xfId="123" xr:uid="{00000000-0005-0000-0000-0000380C0000}"/>
    <cellStyle name="Normal 7 2 3" xfId="1573" xr:uid="{00000000-0005-0000-0000-0000390C0000}"/>
    <cellStyle name="Normal 7 3" xfId="133" xr:uid="{00000000-0005-0000-0000-00003A0C0000}"/>
    <cellStyle name="Normal 7 3 2" xfId="1668" xr:uid="{00000000-0005-0000-0000-00003B0C0000}"/>
    <cellStyle name="Normal 7 4" xfId="161" xr:uid="{00000000-0005-0000-0000-00003C0C0000}"/>
    <cellStyle name="Normal 7 4 2" xfId="1685" xr:uid="{00000000-0005-0000-0000-00003D0C0000}"/>
    <cellStyle name="Normal 7 5" xfId="177" xr:uid="{00000000-0005-0000-0000-00003E0C0000}"/>
    <cellStyle name="Normal 7 5 2" xfId="1581" xr:uid="{00000000-0005-0000-0000-00003F0C0000}"/>
    <cellStyle name="Normal 7 5 2 2" xfId="1662" xr:uid="{00000000-0005-0000-0000-0000400C0000}"/>
    <cellStyle name="Normal 7 5 3" xfId="1674" xr:uid="{00000000-0005-0000-0000-0000410C0000}"/>
    <cellStyle name="Normal 7 5 4" xfId="1584" xr:uid="{00000000-0005-0000-0000-0000420C0000}"/>
    <cellStyle name="Normal 7 6" xfId="106" xr:uid="{00000000-0005-0000-0000-0000430C0000}"/>
    <cellStyle name="Normal 7 7" xfId="210" xr:uid="{00000000-0005-0000-0000-0000440C0000}"/>
    <cellStyle name="Normal 7 7 2" xfId="408" xr:uid="{00000000-0005-0000-0000-0000450C0000}"/>
    <cellStyle name="Normal 7 7 2 2" xfId="813" xr:uid="{00000000-0005-0000-0000-0000460C0000}"/>
    <cellStyle name="Normal 7 7 2 2 2" xfId="1543" xr:uid="{00000000-0005-0000-0000-0000470C0000}"/>
    <cellStyle name="Normal 7 7 2 2 3" xfId="2863" xr:uid="{00000000-0005-0000-0000-0000480C0000}"/>
    <cellStyle name="Normal 7 7 2 2 4" xfId="3581" xr:uid="{00000000-0005-0000-0000-0000490C0000}"/>
    <cellStyle name="Normal 7 7 2 3" xfId="1146" xr:uid="{00000000-0005-0000-0000-00004A0C0000}"/>
    <cellStyle name="Normal 7 7 2 4" xfId="2464" xr:uid="{00000000-0005-0000-0000-00004B0C0000}"/>
    <cellStyle name="Normal 7 7 2 5" xfId="3184" xr:uid="{00000000-0005-0000-0000-00004C0C0000}"/>
    <cellStyle name="Normal 7 7 3" xfId="615" xr:uid="{00000000-0005-0000-0000-00004D0C0000}"/>
    <cellStyle name="Normal 7 7 3 2" xfId="1347" xr:uid="{00000000-0005-0000-0000-00004E0C0000}"/>
    <cellStyle name="Normal 7 7 3 3" xfId="2667" xr:uid="{00000000-0005-0000-0000-00004F0C0000}"/>
    <cellStyle name="Normal 7 7 3 4" xfId="3385" xr:uid="{00000000-0005-0000-0000-0000500C0000}"/>
    <cellStyle name="Normal 7 7 4" xfId="950" xr:uid="{00000000-0005-0000-0000-0000510C0000}"/>
    <cellStyle name="Normal 7 7 5" xfId="2075" xr:uid="{00000000-0005-0000-0000-0000520C0000}"/>
    <cellStyle name="Normal 7 7 6" xfId="2268" xr:uid="{00000000-0005-0000-0000-0000530C0000}"/>
    <cellStyle name="Normal 7 7 7" xfId="2988" xr:uid="{00000000-0005-0000-0000-0000540C0000}"/>
    <cellStyle name="Normal 7 8" xfId="409" xr:uid="{00000000-0005-0000-0000-0000550C0000}"/>
    <cellStyle name="Normal 7 8 2" xfId="814" xr:uid="{00000000-0005-0000-0000-0000560C0000}"/>
    <cellStyle name="Normal 7 8 2 2" xfId="1544" xr:uid="{00000000-0005-0000-0000-0000570C0000}"/>
    <cellStyle name="Normal 7 8 2 3" xfId="2864" xr:uid="{00000000-0005-0000-0000-0000580C0000}"/>
    <cellStyle name="Normal 7 8 2 4" xfId="3582" xr:uid="{00000000-0005-0000-0000-0000590C0000}"/>
    <cellStyle name="Normal 7 8 3" xfId="1147" xr:uid="{00000000-0005-0000-0000-00005A0C0000}"/>
    <cellStyle name="Normal 7 8 4" xfId="2033" xr:uid="{00000000-0005-0000-0000-00005B0C0000}"/>
    <cellStyle name="Normal 7 8 5" xfId="2465" xr:uid="{00000000-0005-0000-0000-00005C0C0000}"/>
    <cellStyle name="Normal 7 8 6" xfId="3185" xr:uid="{00000000-0005-0000-0000-00005D0C0000}"/>
    <cellStyle name="Normal 7 9" xfId="538" xr:uid="{00000000-0005-0000-0000-00005E0C0000}"/>
    <cellStyle name="Normal 7 9 2" xfId="1270" xr:uid="{00000000-0005-0000-0000-00005F0C0000}"/>
    <cellStyle name="Normal 7 9 3" xfId="1593" xr:uid="{00000000-0005-0000-0000-0000600C0000}"/>
    <cellStyle name="Normal 7 9 3 2" xfId="1831" xr:uid="{00000000-0005-0000-0000-0000610C0000}"/>
    <cellStyle name="Normal 7 9 4" xfId="2590" xr:uid="{00000000-0005-0000-0000-0000620C0000}"/>
    <cellStyle name="Normal 7 9 5" xfId="3308" xr:uid="{00000000-0005-0000-0000-0000630C0000}"/>
    <cellStyle name="Normal 8" xfId="116" xr:uid="{00000000-0005-0000-0000-0000640C0000}"/>
    <cellStyle name="Normal 8 2" xfId="140" xr:uid="{00000000-0005-0000-0000-0000650C0000}"/>
    <cellStyle name="Normal 8 3" xfId="1565" xr:uid="{00000000-0005-0000-0000-0000660C0000}"/>
    <cellStyle name="Normal 8 4" xfId="1623" xr:uid="{00000000-0005-0000-0000-0000670C0000}"/>
    <cellStyle name="Normal 8 4 2" xfId="918" xr:uid="{00000000-0005-0000-0000-0000680C0000}"/>
    <cellStyle name="Normal 8 5" xfId="844" xr:uid="{00000000-0005-0000-0000-0000690C0000}"/>
    <cellStyle name="Normal 8 5 2" xfId="1627" xr:uid="{00000000-0005-0000-0000-00006A0C0000}"/>
    <cellStyle name="Normal 9" xfId="110" xr:uid="{00000000-0005-0000-0000-00006B0C0000}"/>
    <cellStyle name="Normal 9 10" xfId="2942" xr:uid="{00000000-0005-0000-0000-00006C0C0000}"/>
    <cellStyle name="Normal 9 2" xfId="241" xr:uid="{00000000-0005-0000-0000-00006D0C0000}"/>
    <cellStyle name="Normal 9 2 2" xfId="411" xr:uid="{00000000-0005-0000-0000-00006E0C0000}"/>
    <cellStyle name="Normal 9 2 2 2" xfId="816" xr:uid="{00000000-0005-0000-0000-00006F0C0000}"/>
    <cellStyle name="Normal 9 2 2 2 2" xfId="1546" xr:uid="{00000000-0005-0000-0000-0000700C0000}"/>
    <cellStyle name="Normal 9 2 2 2 3" xfId="2866" xr:uid="{00000000-0005-0000-0000-0000710C0000}"/>
    <cellStyle name="Normal 9 2 2 2 4" xfId="3584" xr:uid="{00000000-0005-0000-0000-0000720C0000}"/>
    <cellStyle name="Normal 9 2 2 3" xfId="1149" xr:uid="{00000000-0005-0000-0000-0000730C0000}"/>
    <cellStyle name="Normal 9 2 2 4" xfId="2467" xr:uid="{00000000-0005-0000-0000-0000740C0000}"/>
    <cellStyle name="Normal 9 2 2 5" xfId="3187" xr:uid="{00000000-0005-0000-0000-0000750C0000}"/>
    <cellStyle name="Normal 9 2 3" xfId="646" xr:uid="{00000000-0005-0000-0000-0000760C0000}"/>
    <cellStyle name="Normal 9 2 3 2" xfId="1378" xr:uid="{00000000-0005-0000-0000-0000770C0000}"/>
    <cellStyle name="Normal 9 2 3 3" xfId="2698" xr:uid="{00000000-0005-0000-0000-0000780C0000}"/>
    <cellStyle name="Normal 9 2 3 4" xfId="3416" xr:uid="{00000000-0005-0000-0000-0000790C0000}"/>
    <cellStyle name="Normal 9 2 4" xfId="981" xr:uid="{00000000-0005-0000-0000-00007A0C0000}"/>
    <cellStyle name="Normal 9 2 5" xfId="2105" xr:uid="{00000000-0005-0000-0000-00007B0C0000}"/>
    <cellStyle name="Normal 9 2 6" xfId="2299" xr:uid="{00000000-0005-0000-0000-00007C0C0000}"/>
    <cellStyle name="Normal 9 2 7" xfId="3019" xr:uid="{00000000-0005-0000-0000-00007D0C0000}"/>
    <cellStyle name="Normal 9 3" xfId="410" xr:uid="{00000000-0005-0000-0000-00007E0C0000}"/>
    <cellStyle name="Normal 9 3 2" xfId="815" xr:uid="{00000000-0005-0000-0000-00007F0C0000}"/>
    <cellStyle name="Normal 9 3 2 2" xfId="1545" xr:uid="{00000000-0005-0000-0000-0000800C0000}"/>
    <cellStyle name="Normal 9 3 2 3" xfId="2865" xr:uid="{00000000-0005-0000-0000-0000810C0000}"/>
    <cellStyle name="Normal 9 3 2 4" xfId="3583" xr:uid="{00000000-0005-0000-0000-0000820C0000}"/>
    <cellStyle name="Normal 9 3 3" xfId="1148" xr:uid="{00000000-0005-0000-0000-0000830C0000}"/>
    <cellStyle name="Normal 9 3 4" xfId="2061" xr:uid="{00000000-0005-0000-0000-0000840C0000}"/>
    <cellStyle name="Normal 9 3 5" xfId="2466" xr:uid="{00000000-0005-0000-0000-0000850C0000}"/>
    <cellStyle name="Normal 9 3 6" xfId="3186" xr:uid="{00000000-0005-0000-0000-0000860C0000}"/>
    <cellStyle name="Normal 9 4" xfId="492" xr:uid="{00000000-0005-0000-0000-0000870C0000}"/>
    <cellStyle name="Normal 9 4 2" xfId="1227" xr:uid="{00000000-0005-0000-0000-0000880C0000}"/>
    <cellStyle name="Normal 9 4 3" xfId="1862" xr:uid="{00000000-0005-0000-0000-0000890C0000}"/>
    <cellStyle name="Normal 9 4 4" xfId="1611" xr:uid="{00000000-0005-0000-0000-00008A0C0000}"/>
    <cellStyle name="Normal 9 4 5" xfId="2547" xr:uid="{00000000-0005-0000-0000-00008B0C0000}"/>
    <cellStyle name="Normal 9 4 6" xfId="3265" xr:uid="{00000000-0005-0000-0000-00008C0C0000}"/>
    <cellStyle name="Normal 9 5" xfId="569" xr:uid="{00000000-0005-0000-0000-00008D0C0000}"/>
    <cellStyle name="Normal 9 5 2" xfId="1301" xr:uid="{00000000-0005-0000-0000-00008E0C0000}"/>
    <cellStyle name="Normal 9 5 3" xfId="2621" xr:uid="{00000000-0005-0000-0000-00008F0C0000}"/>
    <cellStyle name="Normal 9 5 4" xfId="3339" xr:uid="{00000000-0005-0000-0000-0000900C0000}"/>
    <cellStyle name="Normal 9 6" xfId="899" xr:uid="{00000000-0005-0000-0000-0000910C0000}"/>
    <cellStyle name="Normal 9 6 2" xfId="1736" xr:uid="{00000000-0005-0000-0000-0000920C0000}"/>
    <cellStyle name="Normal 9 6 3" xfId="1683" xr:uid="{00000000-0005-0000-0000-0000930C0000}"/>
    <cellStyle name="Normal 9 7" xfId="1587" xr:uid="{00000000-0005-0000-0000-0000940C0000}"/>
    <cellStyle name="Normal 9 7 2" xfId="1616" xr:uid="{00000000-0005-0000-0000-0000950C0000}"/>
    <cellStyle name="Normal 9 8" xfId="1955" xr:uid="{00000000-0005-0000-0000-0000960C0000}"/>
    <cellStyle name="Normal 9 9" xfId="2222" xr:uid="{00000000-0005-0000-0000-0000970C0000}"/>
    <cellStyle name="Normal_Sheet1" xfId="3602" xr:uid="{00000000-0005-0000-0000-0000980C0000}"/>
    <cellStyle name="Note 10" xfId="1673" xr:uid="{00000000-0005-0000-0000-0000990C0000}"/>
    <cellStyle name="Note 10 2" xfId="1723" xr:uid="{00000000-0005-0000-0000-00009A0C0000}"/>
    <cellStyle name="Note 10 3" xfId="1912" xr:uid="{00000000-0005-0000-0000-00009B0C0000}"/>
    <cellStyle name="Note 11" xfId="1918" xr:uid="{00000000-0005-0000-0000-00009C0C0000}"/>
    <cellStyle name="Note 12" xfId="2158" xr:uid="{00000000-0005-0000-0000-00009D0C0000}"/>
    <cellStyle name="Note 2" xfId="44" xr:uid="{00000000-0005-0000-0000-00009E0C0000}"/>
    <cellStyle name="Note 2 10" xfId="848" xr:uid="{00000000-0005-0000-0000-00009F0C0000}"/>
    <cellStyle name="Note 2 10 2" xfId="1714" xr:uid="{00000000-0005-0000-0000-0000A00C0000}"/>
    <cellStyle name="Note 2 10 3" xfId="1903" xr:uid="{00000000-0005-0000-0000-0000A10C0000}"/>
    <cellStyle name="Note 2 11" xfId="1655" xr:uid="{00000000-0005-0000-0000-0000A20C0000}"/>
    <cellStyle name="Note 2 12" xfId="1752" xr:uid="{00000000-0005-0000-0000-0000A30C0000}"/>
    <cellStyle name="Note 2 13" xfId="1946" xr:uid="{00000000-0005-0000-0000-0000A40C0000}"/>
    <cellStyle name="Note 2 14" xfId="2174" xr:uid="{00000000-0005-0000-0000-0000A50C0000}"/>
    <cellStyle name="Note 2 15" xfId="2894" xr:uid="{00000000-0005-0000-0000-0000A60C0000}"/>
    <cellStyle name="Note 2 2" xfId="68" xr:uid="{00000000-0005-0000-0000-0000A70C0000}"/>
    <cellStyle name="Note 2 2 10" xfId="1947" xr:uid="{00000000-0005-0000-0000-0000A80C0000}"/>
    <cellStyle name="Note 2 2 11" xfId="2189" xr:uid="{00000000-0005-0000-0000-0000A90C0000}"/>
    <cellStyle name="Note 2 2 12" xfId="2909" xr:uid="{00000000-0005-0000-0000-0000AA0C0000}"/>
    <cellStyle name="Note 2 2 2" xfId="104" xr:uid="{00000000-0005-0000-0000-0000AB0C0000}"/>
    <cellStyle name="Note 2 2 2 2" xfId="239" xr:uid="{00000000-0005-0000-0000-0000AC0C0000}"/>
    <cellStyle name="Note 2 2 2 2 2" xfId="415" xr:uid="{00000000-0005-0000-0000-0000AD0C0000}"/>
    <cellStyle name="Note 2 2 2 2 2 2" xfId="820" xr:uid="{00000000-0005-0000-0000-0000AE0C0000}"/>
    <cellStyle name="Note 2 2 2 2 2 2 2" xfId="1550" xr:uid="{00000000-0005-0000-0000-0000AF0C0000}"/>
    <cellStyle name="Note 2 2 2 2 2 2 3" xfId="2870" xr:uid="{00000000-0005-0000-0000-0000B00C0000}"/>
    <cellStyle name="Note 2 2 2 2 2 2 4" xfId="3588" xr:uid="{00000000-0005-0000-0000-0000B10C0000}"/>
    <cellStyle name="Note 2 2 2 2 2 3" xfId="1153" xr:uid="{00000000-0005-0000-0000-0000B20C0000}"/>
    <cellStyle name="Note 2 2 2 2 2 4" xfId="2471" xr:uid="{00000000-0005-0000-0000-0000B30C0000}"/>
    <cellStyle name="Note 2 2 2 2 2 5" xfId="3191" xr:uid="{00000000-0005-0000-0000-0000B40C0000}"/>
    <cellStyle name="Note 2 2 2 2 3" xfId="644" xr:uid="{00000000-0005-0000-0000-0000B50C0000}"/>
    <cellStyle name="Note 2 2 2 2 3 2" xfId="1376" xr:uid="{00000000-0005-0000-0000-0000B60C0000}"/>
    <cellStyle name="Note 2 2 2 2 3 3" xfId="2696" xr:uid="{00000000-0005-0000-0000-0000B70C0000}"/>
    <cellStyle name="Note 2 2 2 2 3 4" xfId="3414" xr:uid="{00000000-0005-0000-0000-0000B80C0000}"/>
    <cellStyle name="Note 2 2 2 2 4" xfId="979" xr:uid="{00000000-0005-0000-0000-0000B90C0000}"/>
    <cellStyle name="Note 2 2 2 2 5" xfId="2103" xr:uid="{00000000-0005-0000-0000-0000BA0C0000}"/>
    <cellStyle name="Note 2 2 2 2 6" xfId="2297" xr:uid="{00000000-0005-0000-0000-0000BB0C0000}"/>
    <cellStyle name="Note 2 2 2 2 7" xfId="3017" xr:uid="{00000000-0005-0000-0000-0000BC0C0000}"/>
    <cellStyle name="Note 2 2 2 3" xfId="414" xr:uid="{00000000-0005-0000-0000-0000BD0C0000}"/>
    <cellStyle name="Note 2 2 2 3 2" xfId="819" xr:uid="{00000000-0005-0000-0000-0000BE0C0000}"/>
    <cellStyle name="Note 2 2 2 3 2 2" xfId="1549" xr:uid="{00000000-0005-0000-0000-0000BF0C0000}"/>
    <cellStyle name="Note 2 2 2 3 2 3" xfId="2869" xr:uid="{00000000-0005-0000-0000-0000C00C0000}"/>
    <cellStyle name="Note 2 2 2 3 2 4" xfId="3587" xr:uid="{00000000-0005-0000-0000-0000C10C0000}"/>
    <cellStyle name="Note 2 2 2 3 3" xfId="1152" xr:uid="{00000000-0005-0000-0000-0000C20C0000}"/>
    <cellStyle name="Note 2 2 2 3 4" xfId="2060" xr:uid="{00000000-0005-0000-0000-0000C30C0000}"/>
    <cellStyle name="Note 2 2 2 3 5" xfId="2470" xr:uid="{00000000-0005-0000-0000-0000C40C0000}"/>
    <cellStyle name="Note 2 2 2 3 6" xfId="3190" xr:uid="{00000000-0005-0000-0000-0000C50C0000}"/>
    <cellStyle name="Note 2 2 2 4" xfId="486" xr:uid="{00000000-0005-0000-0000-0000C60C0000}"/>
    <cellStyle name="Note 2 2 2 4 2" xfId="1224" xr:uid="{00000000-0005-0000-0000-0000C70C0000}"/>
    <cellStyle name="Note 2 2 2 4 3" xfId="1860" xr:uid="{00000000-0005-0000-0000-0000C80C0000}"/>
    <cellStyle name="Note 2 2 2 4 4" xfId="2544" xr:uid="{00000000-0005-0000-0000-0000C90C0000}"/>
    <cellStyle name="Note 2 2 2 4 5" xfId="3262" xr:uid="{00000000-0005-0000-0000-0000CA0C0000}"/>
    <cellStyle name="Note 2 2 2 5" xfId="567" xr:uid="{00000000-0005-0000-0000-0000CB0C0000}"/>
    <cellStyle name="Note 2 2 2 5 2" xfId="1299" xr:uid="{00000000-0005-0000-0000-0000CC0C0000}"/>
    <cellStyle name="Note 2 2 2 5 3" xfId="2619" xr:uid="{00000000-0005-0000-0000-0000CD0C0000}"/>
    <cellStyle name="Note 2 2 2 5 4" xfId="3337" xr:uid="{00000000-0005-0000-0000-0000CE0C0000}"/>
    <cellStyle name="Note 2 2 2 6" xfId="895" xr:uid="{00000000-0005-0000-0000-0000CF0C0000}"/>
    <cellStyle name="Note 2 2 2 7" xfId="1986" xr:uid="{00000000-0005-0000-0000-0000D00C0000}"/>
    <cellStyle name="Note 2 2 2 8" xfId="2220" xr:uid="{00000000-0005-0000-0000-0000D10C0000}"/>
    <cellStyle name="Note 2 2 2 9" xfId="2940" xr:uid="{00000000-0005-0000-0000-0000D20C0000}"/>
    <cellStyle name="Note 2 2 3" xfId="208" xr:uid="{00000000-0005-0000-0000-0000D30C0000}"/>
    <cellStyle name="Note 2 2 3 2" xfId="416" xr:uid="{00000000-0005-0000-0000-0000D40C0000}"/>
    <cellStyle name="Note 2 2 3 2 2" xfId="821" xr:uid="{00000000-0005-0000-0000-0000D50C0000}"/>
    <cellStyle name="Note 2 2 3 2 2 2" xfId="1551" xr:uid="{00000000-0005-0000-0000-0000D60C0000}"/>
    <cellStyle name="Note 2 2 3 2 2 3" xfId="2871" xr:uid="{00000000-0005-0000-0000-0000D70C0000}"/>
    <cellStyle name="Note 2 2 3 2 2 4" xfId="3589" xr:uid="{00000000-0005-0000-0000-0000D80C0000}"/>
    <cellStyle name="Note 2 2 3 2 3" xfId="1154" xr:uid="{00000000-0005-0000-0000-0000D90C0000}"/>
    <cellStyle name="Note 2 2 3 2 4" xfId="2472" xr:uid="{00000000-0005-0000-0000-0000DA0C0000}"/>
    <cellStyle name="Note 2 2 3 2 5" xfId="3192" xr:uid="{00000000-0005-0000-0000-0000DB0C0000}"/>
    <cellStyle name="Note 2 2 3 3" xfId="613" xr:uid="{00000000-0005-0000-0000-0000DC0C0000}"/>
    <cellStyle name="Note 2 2 3 3 2" xfId="1345" xr:uid="{00000000-0005-0000-0000-0000DD0C0000}"/>
    <cellStyle name="Note 2 2 3 3 3" xfId="2665" xr:uid="{00000000-0005-0000-0000-0000DE0C0000}"/>
    <cellStyle name="Note 2 2 3 3 4" xfId="3383" xr:uid="{00000000-0005-0000-0000-0000DF0C0000}"/>
    <cellStyle name="Note 2 2 3 4" xfId="948" xr:uid="{00000000-0005-0000-0000-0000E00C0000}"/>
    <cellStyle name="Note 2 2 3 5" xfId="2024" xr:uid="{00000000-0005-0000-0000-0000E10C0000}"/>
    <cellStyle name="Note 2 2 3 6" xfId="2266" xr:uid="{00000000-0005-0000-0000-0000E20C0000}"/>
    <cellStyle name="Note 2 2 3 7" xfId="2986" xr:uid="{00000000-0005-0000-0000-0000E30C0000}"/>
    <cellStyle name="Note 2 2 4" xfId="413" xr:uid="{00000000-0005-0000-0000-0000E40C0000}"/>
    <cellStyle name="Note 2 2 4 2" xfId="818" xr:uid="{00000000-0005-0000-0000-0000E50C0000}"/>
    <cellStyle name="Note 2 2 4 2 2" xfId="1548" xr:uid="{00000000-0005-0000-0000-0000E60C0000}"/>
    <cellStyle name="Note 2 2 4 2 3" xfId="2868" xr:uid="{00000000-0005-0000-0000-0000E70C0000}"/>
    <cellStyle name="Note 2 2 4 2 4" xfId="3586" xr:uid="{00000000-0005-0000-0000-0000E80C0000}"/>
    <cellStyle name="Note 2 2 4 3" xfId="1151" xr:uid="{00000000-0005-0000-0000-0000E90C0000}"/>
    <cellStyle name="Note 2 2 4 4" xfId="2148" xr:uid="{00000000-0005-0000-0000-0000EA0C0000}"/>
    <cellStyle name="Note 2 2 4 5" xfId="2469" xr:uid="{00000000-0005-0000-0000-0000EB0C0000}"/>
    <cellStyle name="Note 2 2 4 6" xfId="3189" xr:uid="{00000000-0005-0000-0000-0000EC0C0000}"/>
    <cellStyle name="Note 2 2 5" xfId="456" xr:uid="{00000000-0005-0000-0000-0000ED0C0000}"/>
    <cellStyle name="Note 2 2 5 2" xfId="1194" xr:uid="{00000000-0005-0000-0000-0000EE0C0000}"/>
    <cellStyle name="Note 2 2 5 3" xfId="1794" xr:uid="{00000000-0005-0000-0000-0000EF0C0000}"/>
    <cellStyle name="Note 2 2 5 4" xfId="2514" xr:uid="{00000000-0005-0000-0000-0000F00C0000}"/>
    <cellStyle name="Note 2 2 5 5" xfId="3232" xr:uid="{00000000-0005-0000-0000-0000F10C0000}"/>
    <cellStyle name="Note 2 2 6" xfId="536" xr:uid="{00000000-0005-0000-0000-0000F20C0000}"/>
    <cellStyle name="Note 2 2 6 2" xfId="1268" xr:uid="{00000000-0005-0000-0000-0000F30C0000}"/>
    <cellStyle name="Note 2 2 6 3" xfId="1830" xr:uid="{00000000-0005-0000-0000-0000F40C0000}"/>
    <cellStyle name="Note 2 2 6 4" xfId="2588" xr:uid="{00000000-0005-0000-0000-0000F50C0000}"/>
    <cellStyle name="Note 2 2 6 5" xfId="3306" xr:uid="{00000000-0005-0000-0000-0000F60C0000}"/>
    <cellStyle name="Note 2 2 7" xfId="863" xr:uid="{00000000-0005-0000-0000-0000F70C0000}"/>
    <cellStyle name="Note 2 2 7 2" xfId="1715" xr:uid="{00000000-0005-0000-0000-0000F80C0000}"/>
    <cellStyle name="Note 2 2 7 3" xfId="1904" xr:uid="{00000000-0005-0000-0000-0000F90C0000}"/>
    <cellStyle name="Note 2 2 8" xfId="1635" xr:uid="{00000000-0005-0000-0000-0000FA0C0000}"/>
    <cellStyle name="Note 2 2 9" xfId="1753" xr:uid="{00000000-0005-0000-0000-0000FB0C0000}"/>
    <cellStyle name="Note 2 3" xfId="89" xr:uid="{00000000-0005-0000-0000-0000FC0C0000}"/>
    <cellStyle name="Note 2 3 10" xfId="1953" xr:uid="{00000000-0005-0000-0000-0000FD0C0000}"/>
    <cellStyle name="Note 2 3 11" xfId="2205" xr:uid="{00000000-0005-0000-0000-0000FE0C0000}"/>
    <cellStyle name="Note 2 3 12" xfId="2925" xr:uid="{00000000-0005-0000-0000-0000FF0C0000}"/>
    <cellStyle name="Note 2 3 2" xfId="157" xr:uid="{00000000-0005-0000-0000-0000000D0000}"/>
    <cellStyle name="Note 2 3 2 2" xfId="250" xr:uid="{00000000-0005-0000-0000-0000010D0000}"/>
    <cellStyle name="Note 2 3 2 2 2" xfId="419" xr:uid="{00000000-0005-0000-0000-0000020D0000}"/>
    <cellStyle name="Note 2 3 2 2 2 2" xfId="824" xr:uid="{00000000-0005-0000-0000-0000030D0000}"/>
    <cellStyle name="Note 2 3 2 2 2 2 2" xfId="1554" xr:uid="{00000000-0005-0000-0000-0000040D0000}"/>
    <cellStyle name="Note 2 3 2 2 2 2 3" xfId="2874" xr:uid="{00000000-0005-0000-0000-0000050D0000}"/>
    <cellStyle name="Note 2 3 2 2 2 2 4" xfId="3592" xr:uid="{00000000-0005-0000-0000-0000060D0000}"/>
    <cellStyle name="Note 2 3 2 2 2 3" xfId="1157" xr:uid="{00000000-0005-0000-0000-0000070D0000}"/>
    <cellStyle name="Note 2 3 2 2 2 4" xfId="2475" xr:uid="{00000000-0005-0000-0000-0000080D0000}"/>
    <cellStyle name="Note 2 3 2 2 2 5" xfId="3195" xr:uid="{00000000-0005-0000-0000-0000090D0000}"/>
    <cellStyle name="Note 2 3 2 2 3" xfId="655" xr:uid="{00000000-0005-0000-0000-00000A0D0000}"/>
    <cellStyle name="Note 2 3 2 2 3 2" xfId="1387" xr:uid="{00000000-0005-0000-0000-00000B0D0000}"/>
    <cellStyle name="Note 2 3 2 2 3 3" xfId="2707" xr:uid="{00000000-0005-0000-0000-00000C0D0000}"/>
    <cellStyle name="Note 2 3 2 2 3 4" xfId="3425" xr:uid="{00000000-0005-0000-0000-00000D0D0000}"/>
    <cellStyle name="Note 2 3 2 2 4" xfId="990" xr:uid="{00000000-0005-0000-0000-00000E0D0000}"/>
    <cellStyle name="Note 2 3 2 2 5" xfId="2112" xr:uid="{00000000-0005-0000-0000-00000F0D0000}"/>
    <cellStyle name="Note 2 3 2 2 6" xfId="2308" xr:uid="{00000000-0005-0000-0000-0000100D0000}"/>
    <cellStyle name="Note 2 3 2 2 7" xfId="3028" xr:uid="{00000000-0005-0000-0000-0000110D0000}"/>
    <cellStyle name="Note 2 3 2 3" xfId="418" xr:uid="{00000000-0005-0000-0000-0000120D0000}"/>
    <cellStyle name="Note 2 3 2 3 2" xfId="823" xr:uid="{00000000-0005-0000-0000-0000130D0000}"/>
    <cellStyle name="Note 2 3 2 3 2 2" xfId="1553" xr:uid="{00000000-0005-0000-0000-0000140D0000}"/>
    <cellStyle name="Note 2 3 2 3 2 3" xfId="2873" xr:uid="{00000000-0005-0000-0000-0000150D0000}"/>
    <cellStyle name="Note 2 3 2 3 2 4" xfId="3591" xr:uid="{00000000-0005-0000-0000-0000160D0000}"/>
    <cellStyle name="Note 2 3 2 3 3" xfId="1156" xr:uid="{00000000-0005-0000-0000-0000170D0000}"/>
    <cellStyle name="Note 2 3 2 3 4" xfId="2067" xr:uid="{00000000-0005-0000-0000-0000180D0000}"/>
    <cellStyle name="Note 2 3 2 3 5" xfId="2474" xr:uid="{00000000-0005-0000-0000-0000190D0000}"/>
    <cellStyle name="Note 2 3 2 3 6" xfId="3194" xr:uid="{00000000-0005-0000-0000-00001A0D0000}"/>
    <cellStyle name="Note 2 3 2 4" xfId="502" xr:uid="{00000000-0005-0000-0000-00001B0D0000}"/>
    <cellStyle name="Note 2 3 2 4 2" xfId="1235" xr:uid="{00000000-0005-0000-0000-00001C0D0000}"/>
    <cellStyle name="Note 2 3 2 4 3" xfId="1868" xr:uid="{00000000-0005-0000-0000-00001D0D0000}"/>
    <cellStyle name="Note 2 3 2 4 4" xfId="2555" xr:uid="{00000000-0005-0000-0000-00001E0D0000}"/>
    <cellStyle name="Note 2 3 2 4 5" xfId="3273" xr:uid="{00000000-0005-0000-0000-00001F0D0000}"/>
    <cellStyle name="Note 2 3 2 5" xfId="578" xr:uid="{00000000-0005-0000-0000-0000200D0000}"/>
    <cellStyle name="Note 2 3 2 5 2" xfId="1310" xr:uid="{00000000-0005-0000-0000-0000210D0000}"/>
    <cellStyle name="Note 2 3 2 5 3" xfId="2630" xr:uid="{00000000-0005-0000-0000-0000220D0000}"/>
    <cellStyle name="Note 2 3 2 5 4" xfId="3348" xr:uid="{00000000-0005-0000-0000-0000230D0000}"/>
    <cellStyle name="Note 2 3 2 6" xfId="911" xr:uid="{00000000-0005-0000-0000-0000240D0000}"/>
    <cellStyle name="Note 2 3 2 7" xfId="1992" xr:uid="{00000000-0005-0000-0000-0000250D0000}"/>
    <cellStyle name="Note 2 3 2 8" xfId="2231" xr:uid="{00000000-0005-0000-0000-0000260D0000}"/>
    <cellStyle name="Note 2 3 2 9" xfId="2951" xr:uid="{00000000-0005-0000-0000-0000270D0000}"/>
    <cellStyle name="Note 2 3 3" xfId="224" xr:uid="{00000000-0005-0000-0000-0000280D0000}"/>
    <cellStyle name="Note 2 3 3 2" xfId="420" xr:uid="{00000000-0005-0000-0000-0000290D0000}"/>
    <cellStyle name="Note 2 3 3 2 2" xfId="825" xr:uid="{00000000-0005-0000-0000-00002A0D0000}"/>
    <cellStyle name="Note 2 3 3 2 2 2" xfId="1555" xr:uid="{00000000-0005-0000-0000-00002B0D0000}"/>
    <cellStyle name="Note 2 3 3 2 2 3" xfId="2875" xr:uid="{00000000-0005-0000-0000-00002C0D0000}"/>
    <cellStyle name="Note 2 3 3 2 2 4" xfId="3593" xr:uid="{00000000-0005-0000-0000-00002D0D0000}"/>
    <cellStyle name="Note 2 3 3 2 3" xfId="1158" xr:uid="{00000000-0005-0000-0000-00002E0D0000}"/>
    <cellStyle name="Note 2 3 3 2 4" xfId="2476" xr:uid="{00000000-0005-0000-0000-00002F0D0000}"/>
    <cellStyle name="Note 2 3 3 2 5" xfId="3196" xr:uid="{00000000-0005-0000-0000-0000300D0000}"/>
    <cellStyle name="Note 2 3 3 3" xfId="629" xr:uid="{00000000-0005-0000-0000-0000310D0000}"/>
    <cellStyle name="Note 2 3 3 3 2" xfId="1361" xr:uid="{00000000-0005-0000-0000-0000320D0000}"/>
    <cellStyle name="Note 2 3 3 3 3" xfId="2681" xr:uid="{00000000-0005-0000-0000-0000330D0000}"/>
    <cellStyle name="Note 2 3 3 3 4" xfId="3399" xr:uid="{00000000-0005-0000-0000-0000340D0000}"/>
    <cellStyle name="Note 2 3 3 4" xfId="964" xr:uid="{00000000-0005-0000-0000-0000350D0000}"/>
    <cellStyle name="Note 2 3 3 5" xfId="2030" xr:uid="{00000000-0005-0000-0000-0000360D0000}"/>
    <cellStyle name="Note 2 3 3 6" xfId="2282" xr:uid="{00000000-0005-0000-0000-0000370D0000}"/>
    <cellStyle name="Note 2 3 3 7" xfId="3002" xr:uid="{00000000-0005-0000-0000-0000380D0000}"/>
    <cellStyle name="Note 2 3 4" xfId="417" xr:uid="{00000000-0005-0000-0000-0000390D0000}"/>
    <cellStyle name="Note 2 3 4 2" xfId="822" xr:uid="{00000000-0005-0000-0000-00003A0D0000}"/>
    <cellStyle name="Note 2 3 4 2 2" xfId="1552" xr:uid="{00000000-0005-0000-0000-00003B0D0000}"/>
    <cellStyle name="Note 2 3 4 2 3" xfId="2872" xr:uid="{00000000-0005-0000-0000-00003C0D0000}"/>
    <cellStyle name="Note 2 3 4 2 4" xfId="3590" xr:uid="{00000000-0005-0000-0000-00003D0D0000}"/>
    <cellStyle name="Note 2 3 4 3" xfId="1155" xr:uid="{00000000-0005-0000-0000-00003E0D0000}"/>
    <cellStyle name="Note 2 3 4 4" xfId="2154" xr:uid="{00000000-0005-0000-0000-00003F0D0000}"/>
    <cellStyle name="Note 2 3 4 5" xfId="2473" xr:uid="{00000000-0005-0000-0000-0000400D0000}"/>
    <cellStyle name="Note 2 3 4 6" xfId="3193" xr:uid="{00000000-0005-0000-0000-0000410D0000}"/>
    <cellStyle name="Note 2 3 5" xfId="471" xr:uid="{00000000-0005-0000-0000-0000420D0000}"/>
    <cellStyle name="Note 2 3 5 2" xfId="1209" xr:uid="{00000000-0005-0000-0000-0000430D0000}"/>
    <cellStyle name="Note 2 3 5 3" xfId="1800" xr:uid="{00000000-0005-0000-0000-0000440D0000}"/>
    <cellStyle name="Note 2 3 5 4" xfId="2529" xr:uid="{00000000-0005-0000-0000-0000450D0000}"/>
    <cellStyle name="Note 2 3 5 5" xfId="3247" xr:uid="{00000000-0005-0000-0000-0000460D0000}"/>
    <cellStyle name="Note 2 3 6" xfId="552" xr:uid="{00000000-0005-0000-0000-0000470D0000}"/>
    <cellStyle name="Note 2 3 6 2" xfId="1284" xr:uid="{00000000-0005-0000-0000-0000480D0000}"/>
    <cellStyle name="Note 2 3 6 3" xfId="1845" xr:uid="{00000000-0005-0000-0000-0000490D0000}"/>
    <cellStyle name="Note 2 3 6 4" xfId="2604" xr:uid="{00000000-0005-0000-0000-00004A0D0000}"/>
    <cellStyle name="Note 2 3 6 5" xfId="3322" xr:uid="{00000000-0005-0000-0000-00004B0D0000}"/>
    <cellStyle name="Note 2 3 7" xfId="880" xr:uid="{00000000-0005-0000-0000-00004C0D0000}"/>
    <cellStyle name="Note 2 3 7 2" xfId="1721" xr:uid="{00000000-0005-0000-0000-00004D0D0000}"/>
    <cellStyle name="Note 2 3 7 3" xfId="1910" xr:uid="{00000000-0005-0000-0000-00004E0D0000}"/>
    <cellStyle name="Note 2 3 8" xfId="1612" xr:uid="{00000000-0005-0000-0000-00004F0D0000}"/>
    <cellStyle name="Note 2 3 9" xfId="1759" xr:uid="{00000000-0005-0000-0000-0000500D0000}"/>
    <cellStyle name="Note 2 4" xfId="175" xr:uid="{00000000-0005-0000-0000-0000510D0000}"/>
    <cellStyle name="Note 2 5" xfId="149" xr:uid="{00000000-0005-0000-0000-0000520D0000}"/>
    <cellStyle name="Note 2 5 2" xfId="1606" xr:uid="{00000000-0005-0000-0000-0000530D0000}"/>
    <cellStyle name="Note 2 5 3" xfId="1620" xr:uid="{00000000-0005-0000-0000-0000540D0000}"/>
    <cellStyle name="Note 2 5 4" xfId="1763" xr:uid="{00000000-0005-0000-0000-0000550D0000}"/>
    <cellStyle name="Note 2 5 5" xfId="1985" xr:uid="{00000000-0005-0000-0000-0000560D0000}"/>
    <cellStyle name="Note 2 6" xfId="193" xr:uid="{00000000-0005-0000-0000-0000570D0000}"/>
    <cellStyle name="Note 2 6 2" xfId="421" xr:uid="{00000000-0005-0000-0000-0000580D0000}"/>
    <cellStyle name="Note 2 6 2 2" xfId="826" xr:uid="{00000000-0005-0000-0000-0000590D0000}"/>
    <cellStyle name="Note 2 6 2 2 2" xfId="1556" xr:uid="{00000000-0005-0000-0000-00005A0D0000}"/>
    <cellStyle name="Note 2 6 2 2 3" xfId="2876" xr:uid="{00000000-0005-0000-0000-00005B0D0000}"/>
    <cellStyle name="Note 2 6 2 2 4" xfId="3594" xr:uid="{00000000-0005-0000-0000-00005C0D0000}"/>
    <cellStyle name="Note 2 6 2 3" xfId="1159" xr:uid="{00000000-0005-0000-0000-00005D0D0000}"/>
    <cellStyle name="Note 2 6 2 4" xfId="2477" xr:uid="{00000000-0005-0000-0000-00005E0D0000}"/>
    <cellStyle name="Note 2 6 2 5" xfId="3197" xr:uid="{00000000-0005-0000-0000-00005F0D0000}"/>
    <cellStyle name="Note 2 6 3" xfId="598" xr:uid="{00000000-0005-0000-0000-0000600D0000}"/>
    <cellStyle name="Note 2 6 3 2" xfId="1330" xr:uid="{00000000-0005-0000-0000-0000610D0000}"/>
    <cellStyle name="Note 2 6 3 3" xfId="2650" xr:uid="{00000000-0005-0000-0000-0000620D0000}"/>
    <cellStyle name="Note 2 6 3 4" xfId="3368" xr:uid="{00000000-0005-0000-0000-0000630D0000}"/>
    <cellStyle name="Note 2 6 4" xfId="933" xr:uid="{00000000-0005-0000-0000-0000640D0000}"/>
    <cellStyle name="Note 2 6 5" xfId="1571" xr:uid="{00000000-0005-0000-0000-0000650D0000}"/>
    <cellStyle name="Note 2 6 6" xfId="2023" xr:uid="{00000000-0005-0000-0000-0000660D0000}"/>
    <cellStyle name="Note 2 6 7" xfId="2251" xr:uid="{00000000-0005-0000-0000-0000670D0000}"/>
    <cellStyle name="Note 2 6 8" xfId="2971" xr:uid="{00000000-0005-0000-0000-0000680D0000}"/>
    <cellStyle name="Note 2 7" xfId="412" xr:uid="{00000000-0005-0000-0000-0000690D0000}"/>
    <cellStyle name="Note 2 7 2" xfId="817" xr:uid="{00000000-0005-0000-0000-00006A0D0000}"/>
    <cellStyle name="Note 2 7 2 2" xfId="1547" xr:uid="{00000000-0005-0000-0000-00006B0D0000}"/>
    <cellStyle name="Note 2 7 2 3" xfId="2867" xr:uid="{00000000-0005-0000-0000-00006C0D0000}"/>
    <cellStyle name="Note 2 7 2 4" xfId="3585" xr:uid="{00000000-0005-0000-0000-00006D0D0000}"/>
    <cellStyle name="Note 2 7 3" xfId="1150" xr:uid="{00000000-0005-0000-0000-00006E0D0000}"/>
    <cellStyle name="Note 2 7 4" xfId="2147" xr:uid="{00000000-0005-0000-0000-00006F0D0000}"/>
    <cellStyle name="Note 2 7 5" xfId="2468" xr:uid="{00000000-0005-0000-0000-0000700D0000}"/>
    <cellStyle name="Note 2 7 6" xfId="3188" xr:uid="{00000000-0005-0000-0000-0000710D0000}"/>
    <cellStyle name="Note 2 8" xfId="441" xr:uid="{00000000-0005-0000-0000-0000720D0000}"/>
    <cellStyle name="Note 2 8 2" xfId="1179" xr:uid="{00000000-0005-0000-0000-0000730D0000}"/>
    <cellStyle name="Note 2 8 3" xfId="1793" xr:uid="{00000000-0005-0000-0000-0000740D0000}"/>
    <cellStyle name="Note 2 8 4" xfId="2499" xr:uid="{00000000-0005-0000-0000-0000750D0000}"/>
    <cellStyle name="Note 2 8 5" xfId="3217" xr:uid="{00000000-0005-0000-0000-0000760D0000}"/>
    <cellStyle name="Note 2 9" xfId="521" xr:uid="{00000000-0005-0000-0000-0000770D0000}"/>
    <cellStyle name="Note 2 9 2" xfId="1253" xr:uid="{00000000-0005-0000-0000-0000780D0000}"/>
    <cellStyle name="Note 2 9 3" xfId="1816" xr:uid="{00000000-0005-0000-0000-0000790D0000}"/>
    <cellStyle name="Note 2 9 4" xfId="2573" xr:uid="{00000000-0005-0000-0000-00007A0D0000}"/>
    <cellStyle name="Note 2 9 5" xfId="3291" xr:uid="{00000000-0005-0000-0000-00007B0D0000}"/>
    <cellStyle name="Note 3" xfId="132" xr:uid="{00000000-0005-0000-0000-00007C0D0000}"/>
    <cellStyle name="Note 3 10" xfId="1754" xr:uid="{00000000-0005-0000-0000-00007D0D0000}"/>
    <cellStyle name="Note 3 11" xfId="1576" xr:uid="{00000000-0005-0000-0000-00007E0D0000}"/>
    <cellStyle name="Note 3 12" xfId="1948" xr:uid="{00000000-0005-0000-0000-00007F0D0000}"/>
    <cellStyle name="Note 3 2" xfId="142" xr:uid="{00000000-0005-0000-0000-0000800D0000}"/>
    <cellStyle name="Note 3 2 10" xfId="1954" xr:uid="{00000000-0005-0000-0000-0000810D0000}"/>
    <cellStyle name="Note 3 2 11" xfId="2226" xr:uid="{00000000-0005-0000-0000-0000820D0000}"/>
    <cellStyle name="Note 3 2 12" xfId="2946" xr:uid="{00000000-0005-0000-0000-0000830D0000}"/>
    <cellStyle name="Note 3 2 2" xfId="160" xr:uid="{00000000-0005-0000-0000-0000840D0000}"/>
    <cellStyle name="Note 3 2 2 2" xfId="253" xr:uid="{00000000-0005-0000-0000-0000850D0000}"/>
    <cellStyle name="Note 3 2 2 2 2" xfId="424" xr:uid="{00000000-0005-0000-0000-0000860D0000}"/>
    <cellStyle name="Note 3 2 2 2 2 2" xfId="829" xr:uid="{00000000-0005-0000-0000-0000870D0000}"/>
    <cellStyle name="Note 3 2 2 2 2 2 2" xfId="1559" xr:uid="{00000000-0005-0000-0000-0000880D0000}"/>
    <cellStyle name="Note 3 2 2 2 2 2 3" xfId="2879" xr:uid="{00000000-0005-0000-0000-0000890D0000}"/>
    <cellStyle name="Note 3 2 2 2 2 2 4" xfId="3597" xr:uid="{00000000-0005-0000-0000-00008A0D0000}"/>
    <cellStyle name="Note 3 2 2 2 2 3" xfId="1162" xr:uid="{00000000-0005-0000-0000-00008B0D0000}"/>
    <cellStyle name="Note 3 2 2 2 2 4" xfId="2480" xr:uid="{00000000-0005-0000-0000-00008C0D0000}"/>
    <cellStyle name="Note 3 2 2 2 2 5" xfId="3200" xr:uid="{00000000-0005-0000-0000-00008D0D0000}"/>
    <cellStyle name="Note 3 2 2 2 3" xfId="658" xr:uid="{00000000-0005-0000-0000-00008E0D0000}"/>
    <cellStyle name="Note 3 2 2 2 3 2" xfId="1390" xr:uid="{00000000-0005-0000-0000-00008F0D0000}"/>
    <cellStyle name="Note 3 2 2 2 3 3" xfId="2710" xr:uid="{00000000-0005-0000-0000-0000900D0000}"/>
    <cellStyle name="Note 3 2 2 2 3 4" xfId="3428" xr:uid="{00000000-0005-0000-0000-0000910D0000}"/>
    <cellStyle name="Note 3 2 2 2 4" xfId="993" xr:uid="{00000000-0005-0000-0000-0000920D0000}"/>
    <cellStyle name="Note 3 2 2 2 5" xfId="2115" xr:uid="{00000000-0005-0000-0000-0000930D0000}"/>
    <cellStyle name="Note 3 2 2 2 6" xfId="2311" xr:uid="{00000000-0005-0000-0000-0000940D0000}"/>
    <cellStyle name="Note 3 2 2 2 7" xfId="3031" xr:uid="{00000000-0005-0000-0000-0000950D0000}"/>
    <cellStyle name="Note 3 2 2 3" xfId="423" xr:uid="{00000000-0005-0000-0000-0000960D0000}"/>
    <cellStyle name="Note 3 2 2 3 2" xfId="828" xr:uid="{00000000-0005-0000-0000-0000970D0000}"/>
    <cellStyle name="Note 3 2 2 3 2 2" xfId="1558" xr:uid="{00000000-0005-0000-0000-0000980D0000}"/>
    <cellStyle name="Note 3 2 2 3 2 3" xfId="2878" xr:uid="{00000000-0005-0000-0000-0000990D0000}"/>
    <cellStyle name="Note 3 2 2 3 2 4" xfId="3596" xr:uid="{00000000-0005-0000-0000-00009A0D0000}"/>
    <cellStyle name="Note 3 2 2 3 3" xfId="1161" xr:uid="{00000000-0005-0000-0000-00009B0D0000}"/>
    <cellStyle name="Note 3 2 2 3 4" xfId="2069" xr:uid="{00000000-0005-0000-0000-00009C0D0000}"/>
    <cellStyle name="Note 3 2 2 3 5" xfId="2479" xr:uid="{00000000-0005-0000-0000-00009D0D0000}"/>
    <cellStyle name="Note 3 2 2 3 6" xfId="3199" xr:uid="{00000000-0005-0000-0000-00009E0D0000}"/>
    <cellStyle name="Note 3 2 2 4" xfId="505" xr:uid="{00000000-0005-0000-0000-00009F0D0000}"/>
    <cellStyle name="Note 3 2 2 4 2" xfId="1238" xr:uid="{00000000-0005-0000-0000-0000A00D0000}"/>
    <cellStyle name="Note 3 2 2 4 3" xfId="1871" xr:uid="{00000000-0005-0000-0000-0000A10D0000}"/>
    <cellStyle name="Note 3 2 2 4 4" xfId="2558" xr:uid="{00000000-0005-0000-0000-0000A20D0000}"/>
    <cellStyle name="Note 3 2 2 4 5" xfId="3276" xr:uid="{00000000-0005-0000-0000-0000A30D0000}"/>
    <cellStyle name="Note 3 2 2 5" xfId="581" xr:uid="{00000000-0005-0000-0000-0000A40D0000}"/>
    <cellStyle name="Note 3 2 2 5 2" xfId="1313" xr:uid="{00000000-0005-0000-0000-0000A50D0000}"/>
    <cellStyle name="Note 3 2 2 5 3" xfId="2633" xr:uid="{00000000-0005-0000-0000-0000A60D0000}"/>
    <cellStyle name="Note 3 2 2 5 4" xfId="3351" xr:uid="{00000000-0005-0000-0000-0000A70D0000}"/>
    <cellStyle name="Note 3 2 2 6" xfId="914" xr:uid="{00000000-0005-0000-0000-0000A80D0000}"/>
    <cellStyle name="Note 3 2 2 7" xfId="1993" xr:uid="{00000000-0005-0000-0000-0000A90D0000}"/>
    <cellStyle name="Note 3 2 2 8" xfId="2234" xr:uid="{00000000-0005-0000-0000-0000AA0D0000}"/>
    <cellStyle name="Note 3 2 2 9" xfId="2954" xr:uid="{00000000-0005-0000-0000-0000AB0D0000}"/>
    <cellStyle name="Note 3 2 3" xfId="245" xr:uid="{00000000-0005-0000-0000-0000AC0D0000}"/>
    <cellStyle name="Note 3 2 3 2" xfId="425" xr:uid="{00000000-0005-0000-0000-0000AD0D0000}"/>
    <cellStyle name="Note 3 2 3 2 2" xfId="830" xr:uid="{00000000-0005-0000-0000-0000AE0D0000}"/>
    <cellStyle name="Note 3 2 3 2 2 2" xfId="1560" xr:uid="{00000000-0005-0000-0000-0000AF0D0000}"/>
    <cellStyle name="Note 3 2 3 2 2 3" xfId="2880" xr:uid="{00000000-0005-0000-0000-0000B00D0000}"/>
    <cellStyle name="Note 3 2 3 2 2 4" xfId="3598" xr:uid="{00000000-0005-0000-0000-0000B10D0000}"/>
    <cellStyle name="Note 3 2 3 2 3" xfId="1163" xr:uid="{00000000-0005-0000-0000-0000B20D0000}"/>
    <cellStyle name="Note 3 2 3 2 4" xfId="2481" xr:uid="{00000000-0005-0000-0000-0000B30D0000}"/>
    <cellStyle name="Note 3 2 3 2 5" xfId="3201" xr:uid="{00000000-0005-0000-0000-0000B40D0000}"/>
    <cellStyle name="Note 3 2 3 3" xfId="650" xr:uid="{00000000-0005-0000-0000-0000B50D0000}"/>
    <cellStyle name="Note 3 2 3 3 2" xfId="1382" xr:uid="{00000000-0005-0000-0000-0000B60D0000}"/>
    <cellStyle name="Note 3 2 3 3 3" xfId="2702" xr:uid="{00000000-0005-0000-0000-0000B70D0000}"/>
    <cellStyle name="Note 3 2 3 3 4" xfId="3420" xr:uid="{00000000-0005-0000-0000-0000B80D0000}"/>
    <cellStyle name="Note 3 2 3 4" xfId="985" xr:uid="{00000000-0005-0000-0000-0000B90D0000}"/>
    <cellStyle name="Note 3 2 3 5" xfId="2031" xr:uid="{00000000-0005-0000-0000-0000BA0D0000}"/>
    <cellStyle name="Note 3 2 3 6" xfId="2303" xr:uid="{00000000-0005-0000-0000-0000BB0D0000}"/>
    <cellStyle name="Note 3 2 3 7" xfId="3023" xr:uid="{00000000-0005-0000-0000-0000BC0D0000}"/>
    <cellStyle name="Note 3 2 4" xfId="422" xr:uid="{00000000-0005-0000-0000-0000BD0D0000}"/>
    <cellStyle name="Note 3 2 4 2" xfId="827" xr:uid="{00000000-0005-0000-0000-0000BE0D0000}"/>
    <cellStyle name="Note 3 2 4 2 2" xfId="1557" xr:uid="{00000000-0005-0000-0000-0000BF0D0000}"/>
    <cellStyle name="Note 3 2 4 2 3" xfId="2877" xr:uid="{00000000-0005-0000-0000-0000C00D0000}"/>
    <cellStyle name="Note 3 2 4 2 4" xfId="3595" xr:uid="{00000000-0005-0000-0000-0000C10D0000}"/>
    <cellStyle name="Note 3 2 4 3" xfId="1160" xr:uid="{00000000-0005-0000-0000-0000C20D0000}"/>
    <cellStyle name="Note 3 2 4 4" xfId="2155" xr:uid="{00000000-0005-0000-0000-0000C30D0000}"/>
    <cellStyle name="Note 3 2 4 5" xfId="2478" xr:uid="{00000000-0005-0000-0000-0000C40D0000}"/>
    <cellStyle name="Note 3 2 4 6" xfId="3198" xr:uid="{00000000-0005-0000-0000-0000C50D0000}"/>
    <cellStyle name="Note 3 2 5" xfId="498" xr:uid="{00000000-0005-0000-0000-0000C60D0000}"/>
    <cellStyle name="Note 3 2 5 2" xfId="1231" xr:uid="{00000000-0005-0000-0000-0000C70D0000}"/>
    <cellStyle name="Note 3 2 5 3" xfId="1801" xr:uid="{00000000-0005-0000-0000-0000C80D0000}"/>
    <cellStyle name="Note 3 2 5 4" xfId="2551" xr:uid="{00000000-0005-0000-0000-0000C90D0000}"/>
    <cellStyle name="Note 3 2 5 5" xfId="3269" xr:uid="{00000000-0005-0000-0000-0000CA0D0000}"/>
    <cellStyle name="Note 3 2 6" xfId="573" xr:uid="{00000000-0005-0000-0000-0000CB0D0000}"/>
    <cellStyle name="Note 3 2 6 2" xfId="1305" xr:uid="{00000000-0005-0000-0000-0000CC0D0000}"/>
    <cellStyle name="Note 3 2 6 3" xfId="1866" xr:uid="{00000000-0005-0000-0000-0000CD0D0000}"/>
    <cellStyle name="Note 3 2 6 4" xfId="2625" xr:uid="{00000000-0005-0000-0000-0000CE0D0000}"/>
    <cellStyle name="Note 3 2 6 5" xfId="3343" xr:uid="{00000000-0005-0000-0000-0000CF0D0000}"/>
    <cellStyle name="Note 3 2 7" xfId="905" xr:uid="{00000000-0005-0000-0000-0000D00D0000}"/>
    <cellStyle name="Note 3 2 7 2" xfId="1722" xr:uid="{00000000-0005-0000-0000-0000D10D0000}"/>
    <cellStyle name="Note 3 2 7 3" xfId="1911" xr:uid="{00000000-0005-0000-0000-0000D20D0000}"/>
    <cellStyle name="Note 3 2 8" xfId="1636" xr:uid="{00000000-0005-0000-0000-0000D30D0000}"/>
    <cellStyle name="Note 3 2 9" xfId="1760" xr:uid="{00000000-0005-0000-0000-0000D40D0000}"/>
    <cellStyle name="Note 3 3" xfId="176" xr:uid="{00000000-0005-0000-0000-0000D50D0000}"/>
    <cellStyle name="Note 3 4" xfId="1575" xr:uid="{00000000-0005-0000-0000-0000D60D0000}"/>
    <cellStyle name="Note 3 4 2" xfId="1613" xr:uid="{00000000-0005-0000-0000-0000D70D0000}"/>
    <cellStyle name="Note 3 4 3" xfId="1680" xr:uid="{00000000-0005-0000-0000-0000D80D0000}"/>
    <cellStyle name="Note 3 4 4" xfId="1764" xr:uid="{00000000-0005-0000-0000-0000D90D0000}"/>
    <cellStyle name="Note 3 4 5" xfId="1987" xr:uid="{00000000-0005-0000-0000-0000DA0D0000}"/>
    <cellStyle name="Note 3 5" xfId="832" xr:uid="{00000000-0005-0000-0000-0000DB0D0000}"/>
    <cellStyle name="Note 3 5 2" xfId="1634" xr:uid="{00000000-0005-0000-0000-0000DC0D0000}"/>
    <cellStyle name="Note 3 5 3" xfId="1770" xr:uid="{00000000-0005-0000-0000-0000DD0D0000}"/>
    <cellStyle name="Note 3 5 4" xfId="2025" xr:uid="{00000000-0005-0000-0000-0000DE0D0000}"/>
    <cellStyle name="Note 3 6" xfId="1579" xr:uid="{00000000-0005-0000-0000-0000DF0D0000}"/>
    <cellStyle name="Note 3 6 2" xfId="1693" xr:uid="{00000000-0005-0000-0000-0000E00D0000}"/>
    <cellStyle name="Note 3 6 3" xfId="1775" xr:uid="{00000000-0005-0000-0000-0000E10D0000}"/>
    <cellStyle name="Note 3 6 4" xfId="2149" xr:uid="{00000000-0005-0000-0000-0000E20D0000}"/>
    <cellStyle name="Note 3 7" xfId="1672" xr:uid="{00000000-0005-0000-0000-0000E30D0000}"/>
    <cellStyle name="Note 3 7 2" xfId="1696" xr:uid="{00000000-0005-0000-0000-0000E40D0000}"/>
    <cellStyle name="Note 3 7 3" xfId="1795" xr:uid="{00000000-0005-0000-0000-0000E50D0000}"/>
    <cellStyle name="Note 3 8" xfId="1667" xr:uid="{00000000-0005-0000-0000-0000E60D0000}"/>
    <cellStyle name="Note 3 8 2" xfId="1716" xr:uid="{00000000-0005-0000-0000-0000E70D0000}"/>
    <cellStyle name="Note 3 8 3" xfId="1905" xr:uid="{00000000-0005-0000-0000-0000E80D0000}"/>
    <cellStyle name="Note 3 9" xfId="1632" xr:uid="{00000000-0005-0000-0000-0000E90D0000}"/>
    <cellStyle name="Note 4" xfId="148" xr:uid="{00000000-0005-0000-0000-0000EA0D0000}"/>
    <cellStyle name="Note 4 2" xfId="1568" xr:uid="{00000000-0005-0000-0000-0000EB0D0000}"/>
    <cellStyle name="Note 4 2 2" xfId="1592" xr:uid="{00000000-0005-0000-0000-0000EC0D0000}"/>
    <cellStyle name="Note 4 3" xfId="1599" xr:uid="{00000000-0005-0000-0000-0000ED0D0000}"/>
    <cellStyle name="Note 4 3 2" xfId="1629" xr:uid="{00000000-0005-0000-0000-0000EE0D0000}"/>
    <cellStyle name="Note 5" xfId="121" xr:uid="{00000000-0005-0000-0000-0000EF0D0000}"/>
    <cellStyle name="Note 5 2" xfId="1625" xr:uid="{00000000-0005-0000-0000-0000F00D0000}"/>
    <cellStyle name="Note 5 3" xfId="1594" xr:uid="{00000000-0005-0000-0000-0000F10D0000}"/>
    <cellStyle name="Note 5 4" xfId="1761" xr:uid="{00000000-0005-0000-0000-0000F20D0000}"/>
    <cellStyle name="Note 5 5" xfId="1956" xr:uid="{00000000-0005-0000-0000-0000F30D0000}"/>
    <cellStyle name="Note 6" xfId="141" xr:uid="{00000000-0005-0000-0000-0000F40D0000}"/>
    <cellStyle name="Note 6 2" xfId="1598" xr:uid="{00000000-0005-0000-0000-0000F50D0000}"/>
    <cellStyle name="Note 6 3" xfId="1583" xr:uid="{00000000-0005-0000-0000-0000F60D0000}"/>
    <cellStyle name="Note 6 4" xfId="1767" xr:uid="{00000000-0005-0000-0000-0000F70D0000}"/>
    <cellStyle name="Note 6 5" xfId="1994" xr:uid="{00000000-0005-0000-0000-0000F80D0000}"/>
    <cellStyle name="Note 7" xfId="257" xr:uid="{00000000-0005-0000-0000-0000F90D0000}"/>
    <cellStyle name="Note 7 2" xfId="662" xr:uid="{00000000-0005-0000-0000-0000FA0D0000}"/>
    <cellStyle name="Note 7 2 2" xfId="1394" xr:uid="{00000000-0005-0000-0000-0000FB0D0000}"/>
    <cellStyle name="Note 7 2 3" xfId="2714" xr:uid="{00000000-0005-0000-0000-0000FC0D0000}"/>
    <cellStyle name="Note 7 2 4" xfId="3432" xr:uid="{00000000-0005-0000-0000-0000FD0D0000}"/>
    <cellStyle name="Note 7 3" xfId="997" xr:uid="{00000000-0005-0000-0000-0000FE0D0000}"/>
    <cellStyle name="Note 7 4" xfId="2032" xr:uid="{00000000-0005-0000-0000-0000FF0D0000}"/>
    <cellStyle name="Note 7 5" xfId="2315" xr:uid="{00000000-0005-0000-0000-0000000E0000}"/>
    <cellStyle name="Note 7 6" xfId="3035" xr:uid="{00000000-0005-0000-0000-0000010E0000}"/>
    <cellStyle name="Note 8" xfId="427" xr:uid="{00000000-0005-0000-0000-0000020E0000}"/>
    <cellStyle name="Note 8 2" xfId="1165" xr:uid="{00000000-0005-0000-0000-0000030E0000}"/>
    <cellStyle name="Note 8 3" xfId="1777" xr:uid="{00000000-0005-0000-0000-0000040E0000}"/>
    <cellStyle name="Note 8 4" xfId="2156" xr:uid="{00000000-0005-0000-0000-0000050E0000}"/>
    <cellStyle name="Note 8 5" xfId="2485" xr:uid="{00000000-0005-0000-0000-0000060E0000}"/>
    <cellStyle name="Note 8 6" xfId="3203" xr:uid="{00000000-0005-0000-0000-0000070E0000}"/>
    <cellStyle name="Note 9" xfId="1691" xr:uid="{00000000-0005-0000-0000-0000080E0000}"/>
    <cellStyle name="Note 9 2" xfId="1697" xr:uid="{00000000-0005-0000-0000-0000090E0000}"/>
    <cellStyle name="Note 9 3" xfId="1802" xr:uid="{00000000-0005-0000-0000-00000A0E0000}"/>
    <cellStyle name="Output" xfId="12" builtinId="21" customBuiltin="1"/>
    <cellStyle name="Percent 2" xfId="62" xr:uid="{00000000-0005-0000-0000-00000C0E0000}"/>
    <cellStyle name="Percent 3" xfId="115" xr:uid="{00000000-0005-0000-0000-00000D0E0000}"/>
    <cellStyle name="Percent 4" xfId="122" xr:uid="{00000000-0005-0000-0000-00000E0E0000}"/>
    <cellStyle name="Percent 5" xfId="865" xr:uid="{00000000-0005-0000-0000-00000F0E0000}"/>
    <cellStyle name="Title" xfId="3" builtinId="15" customBuiltin="1"/>
    <cellStyle name="Title 2" xfId="1682" xr:uid="{00000000-0005-0000-0000-0000110E0000}"/>
    <cellStyle name="Total" xfId="18" builtinId="25" customBuiltin="1"/>
    <cellStyle name="Warning Text" xfId="16" builtinId="11" customBuiltin="1"/>
  </cellStyles>
  <dxfs count="4">
    <dxf>
      <font>
        <color rgb="FF9C0006"/>
      </font>
      <fill>
        <patternFill>
          <bgColor rgb="FFFFC7CE"/>
        </patternFill>
      </fill>
    </dxf>
    <dxf>
      <fill>
        <patternFill patternType="solid">
          <fgColor rgb="FFFDE9D9"/>
          <bgColor rgb="FF000000"/>
        </patternFill>
      </fill>
    </dxf>
    <dxf>
      <fill>
        <gradientFill degree="45">
          <stop position="0">
            <color rgb="FFFFFF00"/>
          </stop>
          <stop position="1">
            <color rgb="FFFFC000"/>
          </stop>
        </gradientFill>
      </fill>
    </dxf>
    <dxf>
      <fill>
        <gradientFill degree="45">
          <stop position="0">
            <color rgb="FFFF0000"/>
          </stop>
          <stop position="1">
            <color theme="0"/>
          </stop>
        </gradient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hyperlink" Target="https://www.ksrevisor.org/statutes/chapters/ch72/072_051_0049.html" TargetMode="External"/></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85725</xdr:rowOff>
    </xdr:from>
    <xdr:to>
      <xdr:col>0</xdr:col>
      <xdr:colOff>571500</xdr:colOff>
      <xdr:row>0</xdr:row>
      <xdr:rowOff>495300</xdr:rowOff>
    </xdr:to>
    <xdr:sp macro="[0]!LMpull" textlink="">
      <xdr:nvSpPr>
        <xdr:cNvPr id="2" name="Rounded Rectangle 1">
          <a:extLst>
            <a:ext uri="{FF2B5EF4-FFF2-40B4-BE49-F238E27FC236}">
              <a16:creationId xmlns:a16="http://schemas.microsoft.com/office/drawing/2014/main" id="{00000000-0008-0000-0400-000002000000}"/>
            </a:ext>
          </a:extLst>
        </xdr:cNvPr>
        <xdr:cNvSpPr/>
      </xdr:nvSpPr>
      <xdr:spPr>
        <a:xfrm>
          <a:off x="47625" y="85725"/>
          <a:ext cx="523875" cy="409575"/>
        </a:xfrm>
        <a:prstGeom prst="roundRect">
          <a:avLst/>
        </a:prstGeom>
        <a:gradFill flip="none" rotWithShape="1">
          <a:gsLst>
            <a:gs pos="0">
              <a:srgbClr val="00B0F0">
                <a:tint val="66000"/>
                <a:satMod val="160000"/>
              </a:srgbClr>
            </a:gs>
            <a:gs pos="50000">
              <a:srgbClr val="00B0F0">
                <a:tint val="44500"/>
                <a:satMod val="160000"/>
              </a:srgbClr>
            </a:gs>
            <a:gs pos="100000">
              <a:srgbClr val="00B0F0">
                <a:tint val="23500"/>
                <a:satMod val="160000"/>
              </a:srgbClr>
            </a:gs>
          </a:gsLst>
          <a:lin ang="13500000" scaled="1"/>
          <a:tileRect/>
        </a:gradFill>
        <a:ln w="3175"/>
        <a:effectLst>
          <a:reflection blurRad="6350" stA="50000" endA="300" endPos="55000" dir="5400000" sy="-100000" algn="bl" rotWithShape="0"/>
        </a:effectLst>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800" baseline="0">
              <a:solidFill>
                <a:srgbClr val="002060"/>
              </a:solidFill>
            </a:rPr>
            <a:t>Import Data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53340</xdr:rowOff>
    </xdr:from>
    <xdr:to>
      <xdr:col>2</xdr:col>
      <xdr:colOff>923925</xdr:colOff>
      <xdr:row>5</xdr:row>
      <xdr:rowOff>293370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55B375CD-78D9-E2A9-BA52-DF1F7DC94C86}"/>
            </a:ext>
          </a:extLst>
        </xdr:cNvPr>
        <xdr:cNvSpPr txBox="1"/>
      </xdr:nvSpPr>
      <xdr:spPr>
        <a:xfrm>
          <a:off x="76200" y="53340"/>
          <a:ext cx="3867150" cy="1192530"/>
        </a:xfrm>
        <a:prstGeom prst="rect">
          <a:avLst/>
        </a:prstGeom>
        <a:solidFill>
          <a:schemeClr val="accent3">
            <a:lumMod val="20000"/>
            <a:lumOff val="80000"/>
          </a:schemeClr>
        </a:solidFill>
        <a:ln w="31750" cmpd="sng">
          <a:solidFill>
            <a:schemeClr val="lt1">
              <a:shade val="50000"/>
            </a:schemeClr>
          </a:solidFill>
        </a:ln>
        <a:effectLst>
          <a:softEdge rad="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50"/>
            <a:t>2023 House Sub for</a:t>
          </a:r>
          <a:r>
            <a:rPr lang="en-US" sz="950" baseline="0"/>
            <a:t> SB 113 (</a:t>
          </a:r>
          <a:r>
            <a:rPr lang="en-US" sz="950" u="sng" baseline="0"/>
            <a:t>KSA 72-5149</a:t>
          </a:r>
          <a:r>
            <a:rPr lang="en-US" sz="950" baseline="0"/>
            <a:t>) M</a:t>
          </a:r>
          <a:r>
            <a:rPr lang="en-US" sz="950"/>
            <a:t>odifies the low enrollment and high enrollment weightings for any school district that attaches territory of a disorganized school district or accepts students in the current year who attended in the previous year a school building in a school district that has since been closed by the district. The bill allows recipient districts to use the preceding year’s low enrollment factor for the next three years, or use the current low enrollment calculation if it is greater.</a:t>
          </a:r>
        </a:p>
      </xdr:txBody>
    </xdr:sp>
    <xdr:clientData/>
  </xdr:twoCellAnchor>
</xdr:wsDr>
</file>

<file path=xl/persons/person.xml><?xml version="1.0" encoding="utf-8"?>
<personList xmlns="http://schemas.microsoft.com/office/spreadsheetml/2018/threadedcomments" xmlns:x="http://schemas.openxmlformats.org/spreadsheetml/2006/main">
  <person displayName="RoseMary Ireland" id="{7755A0A9-8F67-4790-B099-EBE74D01E115}" userId="S::rireland@ksde.org::17e6bd5c-19b0-470d-9ef6-135a10ebee1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2" dT="2023-06-01T13:19:57.75" personId="{7755A0A9-8F67-4790-B099-EBE74D01E115}" id="{E9B90A70-0E9E-45F3-938D-280B0816AF90}">
    <text>Updated 6-1-23</text>
  </threadedComment>
  <threadedComment ref="F2" dT="2023-06-01T13:19:57.75" personId="{7755A0A9-8F67-4790-B099-EBE74D01E115}" id="{06E43D48-B038-4BB6-B8EB-A4A166924839}">
    <text>Updated 6-1-23</text>
  </threadedComment>
</ThreadedComments>
</file>

<file path=xl/threadedComments/threadedComment2.xml><?xml version="1.0" encoding="utf-8"?>
<ThreadedComments xmlns="http://schemas.microsoft.com/office/spreadsheetml/2018/threadedcomments" xmlns:x="http://schemas.openxmlformats.org/spreadsheetml/2006/main">
  <threadedComment ref="E5" dT="2023-02-02T16:46:37.21" personId="{7755A0A9-8F67-4790-B099-EBE74D01E115}" id="{0E2151B9-91A3-4035-A6A4-92294E0B2E80}">
    <text>Do not delete formula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W298"/>
  <sheetViews>
    <sheetView tabSelected="1" showOutlineSymbols="0" zoomScale="106" zoomScaleNormal="106" workbookViewId="0">
      <pane xSplit="1" ySplit="4" topLeftCell="B5" activePane="bottomRight" state="frozen"/>
      <selection pane="topRight" activeCell="B1" sqref="B1"/>
      <selection pane="bottomLeft" activeCell="A5" sqref="A5"/>
      <selection pane="bottomRight" activeCell="B2" sqref="B2"/>
    </sheetView>
  </sheetViews>
  <sheetFormatPr defaultColWidth="8.88671875" defaultRowHeight="13.8"/>
  <cols>
    <col min="1" max="1" width="6.33203125" style="54" customWidth="1"/>
    <col min="2" max="2" width="12" style="1" bestFit="1" customWidth="1"/>
    <col min="3" max="3" width="25.109375" style="1" customWidth="1"/>
    <col min="4" max="4" width="13.5546875" style="1" hidden="1" customWidth="1"/>
    <col min="5" max="5" width="11.6640625" style="1" hidden="1" customWidth="1"/>
    <col min="6" max="6" width="14.44140625" style="1" hidden="1" customWidth="1"/>
    <col min="7" max="7" width="15.44140625" style="1" customWidth="1"/>
    <col min="8" max="8" width="13.5546875" style="1" hidden="1" customWidth="1"/>
    <col min="9" max="9" width="11.44140625" style="1" hidden="1" customWidth="1"/>
    <col min="10" max="10" width="12.88671875" style="1" hidden="1" customWidth="1"/>
    <col min="11" max="11" width="15.44140625" style="1" customWidth="1"/>
    <col min="12" max="12" width="14" style="1" hidden="1" customWidth="1"/>
    <col min="13" max="13" width="11.6640625" style="1" hidden="1" customWidth="1"/>
    <col min="14" max="14" width="13.88671875" style="1" hidden="1" customWidth="1"/>
    <col min="15" max="18" width="15.44140625" style="1" customWidth="1"/>
    <col min="19" max="19" width="12.33203125" style="1" customWidth="1"/>
    <col min="20" max="20" width="12.6640625" style="1" customWidth="1"/>
    <col min="21" max="21" width="12.5546875" style="1" customWidth="1"/>
    <col min="22" max="22" width="11.6640625" style="1" customWidth="1"/>
    <col min="23" max="23" width="12.33203125" style="1" customWidth="1"/>
    <col min="24" max="27" width="11.88671875" style="1" customWidth="1"/>
    <col min="28" max="29" width="12.33203125" style="1" customWidth="1"/>
    <col min="30" max="35" width="13" style="1" customWidth="1"/>
    <col min="36" max="38" width="14.5546875" style="1" customWidth="1"/>
    <col min="39" max="39" width="12.109375" style="1" customWidth="1"/>
    <col min="40" max="40" width="11.33203125" style="1" customWidth="1"/>
    <col min="41" max="41" width="13.88671875" style="1" customWidth="1"/>
    <col min="42" max="42" width="12.6640625" style="1" customWidth="1"/>
    <col min="43" max="43" width="8.6640625" style="1" bestFit="1" customWidth="1"/>
    <col min="44" max="45" width="12.109375" style="1" customWidth="1"/>
    <col min="46" max="47" width="11.44140625" style="1" customWidth="1"/>
    <col min="48" max="48" width="12.88671875" style="1" customWidth="1"/>
    <col min="49" max="49" width="13.109375" style="1" customWidth="1"/>
    <col min="50" max="50" width="13" style="1" customWidth="1"/>
    <col min="51" max="51" width="5.33203125" style="1" customWidth="1"/>
    <col min="52" max="53" width="4.44140625" style="1" customWidth="1"/>
    <col min="54" max="56" width="15.33203125" style="1" customWidth="1"/>
    <col min="57" max="57" width="15.5546875" style="1" customWidth="1"/>
    <col min="58" max="58" width="11.44140625" style="1" customWidth="1"/>
    <col min="59" max="59" width="12.88671875" style="1" customWidth="1"/>
    <col min="60" max="60" width="11.44140625" style="24" customWidth="1"/>
    <col min="61" max="61" width="12.88671875" style="1" customWidth="1"/>
    <col min="62" max="63" width="15.5546875" style="1" customWidth="1"/>
    <col min="64" max="64" width="10.44140625" style="1" customWidth="1"/>
    <col min="65" max="67" width="15.44140625" style="1" customWidth="1"/>
    <col min="68" max="68" width="10.5546875" style="1" customWidth="1"/>
    <col min="69" max="72" width="9.33203125" style="1" bestFit="1" customWidth="1"/>
    <col min="73" max="73" width="12.44140625" style="1" customWidth="1"/>
    <col min="74" max="74" width="9.33203125" style="1" bestFit="1" customWidth="1"/>
    <col min="75" max="75" width="9.44140625" style="1" bestFit="1" customWidth="1"/>
    <col min="76" max="76" width="9.33203125" style="1" bestFit="1" customWidth="1"/>
    <col min="77" max="78" width="12.44140625" style="1" customWidth="1"/>
    <col min="79" max="79" width="12" style="1" customWidth="1"/>
    <col min="80" max="80" width="9.33203125" style="1" bestFit="1" customWidth="1"/>
    <col min="81" max="81" width="9.88671875" style="1" bestFit="1" customWidth="1"/>
    <col min="82" max="83" width="11.44140625" style="1" customWidth="1"/>
    <col min="84" max="85" width="13.33203125" style="1" customWidth="1"/>
    <col min="86" max="86" width="14.44140625" style="1" customWidth="1"/>
    <col min="87" max="87" width="12.33203125" style="1" customWidth="1"/>
    <col min="88" max="89" width="13.6640625" style="1" customWidth="1"/>
    <col min="90" max="90" width="10.109375" style="65" customWidth="1"/>
    <col min="91" max="91" width="13.33203125" style="65" customWidth="1"/>
    <col min="92" max="92" width="13.88671875" style="65" customWidth="1"/>
    <col min="93" max="93" width="10.44140625" style="77" customWidth="1"/>
    <col min="94" max="95" width="11.44140625" style="1" customWidth="1"/>
    <col min="96" max="96" width="13.5546875" style="1" customWidth="1"/>
    <col min="97" max="98" width="14.33203125" style="1" customWidth="1"/>
    <col min="99" max="99" width="14.109375" style="1" customWidth="1"/>
    <col min="100" max="100" width="12.6640625" style="1" customWidth="1"/>
    <col min="101" max="101" width="8.88671875" style="27"/>
    <col min="102" max="16384" width="8.88671875" style="1"/>
  </cols>
  <sheetData>
    <row r="1" spans="1:101" ht="15" customHeight="1">
      <c r="B1" s="54"/>
      <c r="C1" s="54"/>
      <c r="D1" s="54"/>
      <c r="G1" s="54" t="s">
        <v>154</v>
      </c>
      <c r="H1" s="54"/>
      <c r="I1" s="54"/>
      <c r="J1" s="54"/>
      <c r="K1" s="54" t="s">
        <v>155</v>
      </c>
      <c r="L1" s="54"/>
      <c r="M1" s="54"/>
      <c r="N1" s="54"/>
      <c r="O1" s="54" t="s">
        <v>156</v>
      </c>
      <c r="P1" s="54" t="s">
        <v>157</v>
      </c>
      <c r="Q1" s="54" t="s">
        <v>804</v>
      </c>
      <c r="R1" s="54" t="s">
        <v>965</v>
      </c>
      <c r="S1" s="54" t="s">
        <v>158</v>
      </c>
      <c r="T1" s="54" t="s">
        <v>159</v>
      </c>
      <c r="U1" s="54" t="s">
        <v>160</v>
      </c>
      <c r="V1" s="54" t="s">
        <v>161</v>
      </c>
      <c r="W1" s="54" t="s">
        <v>162</v>
      </c>
      <c r="X1" s="54" t="s">
        <v>967</v>
      </c>
      <c r="Y1" s="54" t="s">
        <v>163</v>
      </c>
      <c r="Z1" s="54" t="s">
        <v>164</v>
      </c>
      <c r="AA1" s="54" t="s">
        <v>165</v>
      </c>
      <c r="AB1" s="54" t="s">
        <v>166</v>
      </c>
      <c r="AC1" s="54" t="s">
        <v>167</v>
      </c>
      <c r="AD1" s="54" t="s">
        <v>168</v>
      </c>
      <c r="AE1" s="54" t="s">
        <v>187</v>
      </c>
      <c r="AF1" s="54" t="s">
        <v>968</v>
      </c>
      <c r="AG1" s="54" t="s">
        <v>169</v>
      </c>
      <c r="AH1" s="54" t="s">
        <v>966</v>
      </c>
      <c r="AI1" s="54" t="s">
        <v>969</v>
      </c>
      <c r="AJ1" s="54" t="s">
        <v>970</v>
      </c>
      <c r="AK1" s="54" t="s">
        <v>971</v>
      </c>
      <c r="AL1" s="54" t="s">
        <v>806</v>
      </c>
      <c r="AM1" s="54" t="s">
        <v>809</v>
      </c>
      <c r="AN1" s="54" t="s">
        <v>811</v>
      </c>
      <c r="AO1" s="54" t="s">
        <v>824</v>
      </c>
      <c r="AP1" s="54" t="s">
        <v>825</v>
      </c>
      <c r="AQ1" s="54" t="s">
        <v>826</v>
      </c>
      <c r="AR1" s="54" t="s">
        <v>827</v>
      </c>
      <c r="AS1" s="54" t="s">
        <v>832</v>
      </c>
      <c r="AT1" s="54" t="s">
        <v>828</v>
      </c>
      <c r="AU1" s="54" t="s">
        <v>964</v>
      </c>
      <c r="AV1" s="54" t="s">
        <v>829</v>
      </c>
      <c r="AW1" s="54" t="s">
        <v>830</v>
      </c>
      <c r="AX1" s="54" t="s">
        <v>837</v>
      </c>
      <c r="AY1" s="54"/>
      <c r="AZ1" s="54"/>
      <c r="BA1" s="59"/>
      <c r="BB1" s="59" t="s">
        <v>836</v>
      </c>
      <c r="BC1" s="59" t="s">
        <v>838</v>
      </c>
      <c r="BD1" s="59" t="s">
        <v>839</v>
      </c>
      <c r="BE1" s="59" t="s">
        <v>843</v>
      </c>
      <c r="BF1" s="59" t="s">
        <v>844</v>
      </c>
      <c r="BG1" s="59" t="s">
        <v>1008</v>
      </c>
      <c r="BH1" s="59" t="s">
        <v>972</v>
      </c>
      <c r="BI1" s="59" t="s">
        <v>973</v>
      </c>
      <c r="BJ1" s="59" t="s">
        <v>974</v>
      </c>
      <c r="BK1" s="59" t="s">
        <v>975</v>
      </c>
      <c r="BL1" s="59" t="s">
        <v>976</v>
      </c>
      <c r="BM1" s="59" t="s">
        <v>977</v>
      </c>
      <c r="BN1" s="59" t="s">
        <v>978</v>
      </c>
      <c r="BO1" s="54" t="s">
        <v>979</v>
      </c>
      <c r="BP1" s="54" t="s">
        <v>980</v>
      </c>
      <c r="BQ1" s="54" t="s">
        <v>981</v>
      </c>
      <c r="BR1" s="54" t="s">
        <v>982</v>
      </c>
      <c r="BS1" s="54" t="s">
        <v>983</v>
      </c>
      <c r="BT1" s="54" t="s">
        <v>984</v>
      </c>
      <c r="BU1" s="54" t="s">
        <v>985</v>
      </c>
      <c r="BV1" s="54" t="s">
        <v>986</v>
      </c>
      <c r="BW1" s="54" t="s">
        <v>987</v>
      </c>
      <c r="BX1" s="54" t="s">
        <v>988</v>
      </c>
      <c r="BY1" s="54" t="s">
        <v>989</v>
      </c>
      <c r="BZ1" s="86" t="s">
        <v>990</v>
      </c>
      <c r="CA1" s="86" t="s">
        <v>991</v>
      </c>
      <c r="CB1" s="86" t="s">
        <v>1009</v>
      </c>
      <c r="CC1" s="86" t="s">
        <v>992</v>
      </c>
      <c r="CD1" s="86" t="s">
        <v>993</v>
      </c>
      <c r="CE1" s="86" t="s">
        <v>994</v>
      </c>
      <c r="CF1" s="86" t="s">
        <v>995</v>
      </c>
      <c r="CG1" s="86" t="s">
        <v>996</v>
      </c>
      <c r="CH1" s="54" t="s">
        <v>1031</v>
      </c>
      <c r="CI1" s="54" t="s">
        <v>997</v>
      </c>
      <c r="CJ1" s="86" t="s">
        <v>998</v>
      </c>
      <c r="CK1" s="258" t="s">
        <v>999</v>
      </c>
      <c r="CL1" s="86" t="s">
        <v>1000</v>
      </c>
      <c r="CM1" s="275" t="s">
        <v>1032</v>
      </c>
      <c r="CN1" s="275" t="s">
        <v>1001</v>
      </c>
      <c r="CO1" s="275" t="s">
        <v>1002</v>
      </c>
      <c r="CP1" s="54" t="s">
        <v>1003</v>
      </c>
      <c r="CQ1" s="54" t="s">
        <v>1004</v>
      </c>
      <c r="CR1" s="54" t="s">
        <v>1005</v>
      </c>
      <c r="CS1" s="54" t="s">
        <v>1006</v>
      </c>
      <c r="CT1" s="54" t="s">
        <v>1007</v>
      </c>
      <c r="CU1" s="54" t="s">
        <v>1010</v>
      </c>
      <c r="CV1" s="54" t="s">
        <v>1033</v>
      </c>
    </row>
    <row r="2" spans="1:101" ht="15" customHeight="1">
      <c r="A2" s="54" t="s">
        <v>1</v>
      </c>
      <c r="B2" s="62">
        <v>45470</v>
      </c>
      <c r="C2" s="54"/>
      <c r="D2" s="126" t="s">
        <v>1023</v>
      </c>
      <c r="E2" s="86" t="s">
        <v>885</v>
      </c>
      <c r="F2" s="126" t="s">
        <v>1023</v>
      </c>
      <c r="G2" s="86"/>
      <c r="H2" s="86"/>
      <c r="I2" s="86"/>
      <c r="J2" s="86"/>
      <c r="K2" s="86"/>
      <c r="L2" s="86"/>
      <c r="M2" s="86"/>
      <c r="N2" s="86"/>
      <c r="O2" s="86"/>
      <c r="P2" s="101" t="s">
        <v>831</v>
      </c>
      <c r="Q2" s="101" t="s">
        <v>831</v>
      </c>
      <c r="R2" s="101" t="s">
        <v>831</v>
      </c>
      <c r="S2" s="54"/>
      <c r="T2" s="54"/>
      <c r="U2" s="54"/>
      <c r="V2" s="54"/>
      <c r="W2" s="86"/>
      <c r="X2" s="86"/>
      <c r="Y2" s="86"/>
      <c r="Z2" s="86"/>
      <c r="AA2" s="86"/>
      <c r="AB2" s="54"/>
      <c r="AC2" s="54"/>
      <c r="AD2" s="54"/>
      <c r="AE2" s="54"/>
      <c r="AF2" s="54"/>
      <c r="AG2" s="54"/>
      <c r="AH2" s="54"/>
      <c r="AI2" s="54"/>
      <c r="AJ2" s="54"/>
      <c r="AK2" s="86"/>
      <c r="AL2" s="54"/>
      <c r="AM2" s="56"/>
      <c r="AN2" s="56"/>
      <c r="AO2" s="54"/>
      <c r="AP2" s="56"/>
      <c r="AQ2" s="54"/>
      <c r="AR2" s="101" t="s">
        <v>831</v>
      </c>
      <c r="AS2" s="101" t="s">
        <v>831</v>
      </c>
      <c r="AT2" s="54"/>
      <c r="AU2" s="54"/>
      <c r="AV2" s="54"/>
      <c r="AW2" s="54"/>
      <c r="AX2" s="54"/>
      <c r="AY2" s="63"/>
      <c r="AZ2" s="63"/>
      <c r="BA2" s="63"/>
      <c r="BB2" s="101" t="s">
        <v>831</v>
      </c>
      <c r="BC2" s="79"/>
      <c r="BD2" s="59"/>
      <c r="BE2" s="59"/>
      <c r="BF2" s="59"/>
      <c r="BG2" s="59"/>
      <c r="BH2" s="103"/>
      <c r="BI2" s="79"/>
      <c r="BJ2" s="79"/>
      <c r="BK2" s="59"/>
      <c r="BL2" s="59"/>
      <c r="BM2" s="59"/>
      <c r="BN2" s="54"/>
      <c r="BO2" s="54"/>
      <c r="BP2" s="104"/>
      <c r="BQ2" s="324" t="s">
        <v>845</v>
      </c>
      <c r="BR2" s="325"/>
      <c r="BS2" s="325"/>
      <c r="BT2" s="325"/>
      <c r="BU2" s="325"/>
      <c r="BV2" s="325"/>
      <c r="BW2" s="325"/>
      <c r="BX2" s="325"/>
      <c r="BY2" s="325"/>
      <c r="BZ2" s="326"/>
      <c r="CA2" s="333" t="s">
        <v>846</v>
      </c>
      <c r="CB2" s="334"/>
      <c r="CC2" s="334"/>
      <c r="CD2" s="334"/>
      <c r="CE2" s="334"/>
      <c r="CF2" s="334"/>
      <c r="CG2" s="334"/>
      <c r="CH2" s="334"/>
      <c r="CI2" s="335"/>
      <c r="CJ2" s="327" t="s">
        <v>847</v>
      </c>
      <c r="CK2" s="328"/>
      <c r="CL2" s="328"/>
      <c r="CM2" s="328"/>
      <c r="CN2" s="329"/>
      <c r="CO2" s="330" t="s">
        <v>176</v>
      </c>
      <c r="CP2" s="331"/>
      <c r="CQ2" s="332"/>
      <c r="CS2" s="322" t="s">
        <v>908</v>
      </c>
      <c r="CT2" s="323"/>
    </row>
    <row r="3" spans="1:101" ht="92.25" customHeight="1">
      <c r="A3" s="52"/>
      <c r="B3" s="52" t="s">
        <v>171</v>
      </c>
      <c r="C3" s="52" t="s">
        <v>172</v>
      </c>
      <c r="D3" s="70" t="s">
        <v>3591</v>
      </c>
      <c r="E3" s="70" t="s">
        <v>3595</v>
      </c>
      <c r="F3" s="70" t="s">
        <v>3590</v>
      </c>
      <c r="G3" s="70" t="s">
        <v>3667</v>
      </c>
      <c r="H3" s="70" t="s">
        <v>3592</v>
      </c>
      <c r="I3" s="70" t="s">
        <v>3596</v>
      </c>
      <c r="J3" s="70" t="s">
        <v>3593</v>
      </c>
      <c r="K3" s="70" t="s">
        <v>3668</v>
      </c>
      <c r="L3" s="70" t="s">
        <v>3594</v>
      </c>
      <c r="M3" s="70" t="s">
        <v>3597</v>
      </c>
      <c r="N3" s="70" t="s">
        <v>3598</v>
      </c>
      <c r="O3" s="70" t="s">
        <v>3669</v>
      </c>
      <c r="P3" s="70" t="s">
        <v>3569</v>
      </c>
      <c r="Q3" s="70" t="s">
        <v>3570</v>
      </c>
      <c r="R3" s="70" t="s">
        <v>3670</v>
      </c>
      <c r="S3" s="70" t="s">
        <v>814</v>
      </c>
      <c r="T3" s="70" t="s">
        <v>3564</v>
      </c>
      <c r="U3" s="81" t="s">
        <v>3613</v>
      </c>
      <c r="V3" s="81" t="s">
        <v>876</v>
      </c>
      <c r="W3" s="70" t="s">
        <v>1022</v>
      </c>
      <c r="X3" s="70" t="s">
        <v>815</v>
      </c>
      <c r="Y3" s="70" t="s">
        <v>1021</v>
      </c>
      <c r="Z3" s="70" t="s">
        <v>818</v>
      </c>
      <c r="AA3" s="81" t="s">
        <v>875</v>
      </c>
      <c r="AB3" s="70" t="s">
        <v>3568</v>
      </c>
      <c r="AC3" s="81" t="s">
        <v>3565</v>
      </c>
      <c r="AD3" s="70" t="s">
        <v>3587</v>
      </c>
      <c r="AE3" s="70" t="s">
        <v>3566</v>
      </c>
      <c r="AF3" s="81" t="s">
        <v>3567</v>
      </c>
      <c r="AG3" s="70" t="s">
        <v>3571</v>
      </c>
      <c r="AH3" s="70" t="s">
        <v>3572</v>
      </c>
      <c r="AI3" s="81" t="s">
        <v>3573</v>
      </c>
      <c r="AJ3" s="70" t="s">
        <v>3574</v>
      </c>
      <c r="AK3" s="70" t="s">
        <v>3614</v>
      </c>
      <c r="AL3" s="81" t="s">
        <v>3575</v>
      </c>
      <c r="AM3" s="81" t="s">
        <v>3576</v>
      </c>
      <c r="AN3" s="81" t="s">
        <v>3577</v>
      </c>
      <c r="AO3" s="70" t="s">
        <v>3578</v>
      </c>
      <c r="AP3" s="81" t="s">
        <v>3579</v>
      </c>
      <c r="AQ3" s="81" t="s">
        <v>180</v>
      </c>
      <c r="AR3" s="70" t="s">
        <v>3580</v>
      </c>
      <c r="AS3" s="70" t="s">
        <v>3581</v>
      </c>
      <c r="AT3" s="70" t="s">
        <v>3582</v>
      </c>
      <c r="AU3" s="70" t="s">
        <v>3583</v>
      </c>
      <c r="AV3" s="70" t="s">
        <v>3584</v>
      </c>
      <c r="AW3" s="70" t="s">
        <v>3585</v>
      </c>
      <c r="AX3" s="81" t="s">
        <v>3586</v>
      </c>
      <c r="AY3" s="57" t="s">
        <v>177</v>
      </c>
      <c r="AZ3" s="57" t="s">
        <v>178</v>
      </c>
      <c r="BA3" s="57" t="s">
        <v>179</v>
      </c>
      <c r="BB3" s="70" t="s">
        <v>3601</v>
      </c>
      <c r="BC3" s="70" t="s">
        <v>3602</v>
      </c>
      <c r="BD3" s="70" t="s">
        <v>3588</v>
      </c>
      <c r="BE3" s="70" t="s">
        <v>3589</v>
      </c>
      <c r="BF3" s="70" t="s">
        <v>840</v>
      </c>
      <c r="BG3" s="70" t="s">
        <v>3599</v>
      </c>
      <c r="BH3" s="70" t="s">
        <v>841</v>
      </c>
      <c r="BI3" s="70" t="s">
        <v>842</v>
      </c>
      <c r="BJ3" s="84" t="s">
        <v>1044</v>
      </c>
      <c r="BK3" s="70" t="s">
        <v>3600</v>
      </c>
      <c r="BL3" s="70" t="s">
        <v>1045</v>
      </c>
      <c r="BM3" s="70" t="s">
        <v>3603</v>
      </c>
      <c r="BN3" s="70" t="s">
        <v>3604</v>
      </c>
      <c r="BO3" s="85" t="s">
        <v>3605</v>
      </c>
      <c r="BP3" s="88" t="s">
        <v>3606</v>
      </c>
      <c r="BQ3" s="90" t="s">
        <v>2</v>
      </c>
      <c r="BR3" s="83"/>
      <c r="BS3" s="83"/>
      <c r="BT3" s="83"/>
      <c r="BU3" s="83" t="s">
        <v>3</v>
      </c>
      <c r="BV3" s="91"/>
      <c r="BW3" s="83"/>
      <c r="BX3" s="83"/>
      <c r="BY3" s="83" t="s">
        <v>133</v>
      </c>
      <c r="BZ3" s="92" t="s">
        <v>173</v>
      </c>
      <c r="CA3" s="93" t="s">
        <v>3623</v>
      </c>
      <c r="CB3" s="93" t="s">
        <v>887</v>
      </c>
      <c r="CC3" s="93" t="s">
        <v>886</v>
      </c>
      <c r="CD3" s="93" t="s">
        <v>890</v>
      </c>
      <c r="CE3" s="93" t="s">
        <v>3622</v>
      </c>
      <c r="CF3" s="93" t="s">
        <v>3620</v>
      </c>
      <c r="CG3" s="93" t="s">
        <v>3621</v>
      </c>
      <c r="CH3" s="93" t="s">
        <v>914</v>
      </c>
      <c r="CI3" s="93" t="s">
        <v>3619</v>
      </c>
      <c r="CJ3" s="94" t="s">
        <v>3618</v>
      </c>
      <c r="CK3" s="95" t="s">
        <v>3617</v>
      </c>
      <c r="CL3" s="81" t="s">
        <v>174</v>
      </c>
      <c r="CM3" s="81" t="s">
        <v>3607</v>
      </c>
      <c r="CN3" s="96" t="s">
        <v>175</v>
      </c>
      <c r="CO3" s="97" t="s">
        <v>1013</v>
      </c>
      <c r="CP3" s="97" t="s">
        <v>3615</v>
      </c>
      <c r="CQ3" s="98" t="s">
        <v>3616</v>
      </c>
      <c r="CR3" s="236" t="s">
        <v>3608</v>
      </c>
      <c r="CS3" s="107" t="s">
        <v>3609</v>
      </c>
      <c r="CT3" s="108" t="s">
        <v>3610</v>
      </c>
      <c r="CU3" s="235" t="s">
        <v>3611</v>
      </c>
      <c r="CV3" s="237" t="s">
        <v>3612</v>
      </c>
    </row>
    <row r="4" spans="1:101" s="63" customFormat="1" ht="15" customHeight="1">
      <c r="A4" s="53" t="s">
        <v>189</v>
      </c>
      <c r="B4" s="53"/>
      <c r="C4" s="53" t="s">
        <v>796</v>
      </c>
      <c r="D4" s="99">
        <f>SUM(D5:D290)</f>
        <v>446279.5</v>
      </c>
      <c r="E4" s="99">
        <f>SUM(E5:E290)</f>
        <v>205.2</v>
      </c>
      <c r="F4" s="99">
        <f>SUM(F5:F290)</f>
        <v>580.4</v>
      </c>
      <c r="G4" s="269">
        <f t="shared" ref="G4:AJ4" si="0">SUM(G5:G290)</f>
        <v>446654.7</v>
      </c>
      <c r="H4" s="269">
        <f>SUM(H5:H290)</f>
        <v>447667.9</v>
      </c>
      <c r="I4" s="269">
        <f>SUM(I5:I290)</f>
        <v>330</v>
      </c>
      <c r="J4" s="269">
        <f>SUM(J5:J290)</f>
        <v>470.9</v>
      </c>
      <c r="K4" s="269">
        <f t="shared" si="0"/>
        <v>447808.8</v>
      </c>
      <c r="L4" s="269">
        <f>SUM(L5:L290)</f>
        <v>448950.2</v>
      </c>
      <c r="M4" s="269">
        <f>SUM(M5:M290)</f>
        <v>0</v>
      </c>
      <c r="N4" s="269">
        <f>SUM(N5:N290)</f>
        <v>436</v>
      </c>
      <c r="O4" s="269">
        <f t="shared" si="0"/>
        <v>449386.2</v>
      </c>
      <c r="P4" s="269">
        <f t="shared" si="0"/>
        <v>444594.1</v>
      </c>
      <c r="Q4" s="269">
        <f t="shared" si="0"/>
        <v>422.6</v>
      </c>
      <c r="R4" s="269">
        <f t="shared" si="0"/>
        <v>445016.7</v>
      </c>
      <c r="S4" s="269">
        <f t="shared" si="0"/>
        <v>451745.1</v>
      </c>
      <c r="T4" s="269">
        <f t="shared" si="0"/>
        <v>5883.9</v>
      </c>
      <c r="U4" s="269">
        <f t="shared" si="0"/>
        <v>457629</v>
      </c>
      <c r="V4" s="269">
        <f t="shared" si="0"/>
        <v>54147.8</v>
      </c>
      <c r="W4" s="269">
        <f t="shared" si="0"/>
        <v>118649.4</v>
      </c>
      <c r="X4" s="269">
        <f t="shared" si="0"/>
        <v>7810.5</v>
      </c>
      <c r="Y4" s="269">
        <f t="shared" si="0"/>
        <v>45051</v>
      </c>
      <c r="Z4" s="269">
        <f t="shared" si="0"/>
        <v>8335</v>
      </c>
      <c r="AA4" s="269">
        <f t="shared" si="0"/>
        <v>9085.1</v>
      </c>
      <c r="AB4" s="269">
        <f t="shared" si="0"/>
        <v>118611.7</v>
      </c>
      <c r="AC4" s="269">
        <f t="shared" si="0"/>
        <v>9884.7999999999993</v>
      </c>
      <c r="AD4" s="270">
        <f t="shared" si="0"/>
        <v>462660</v>
      </c>
      <c r="AE4" s="270">
        <f t="shared" si="0"/>
        <v>198232</v>
      </c>
      <c r="AF4" s="269">
        <f t="shared" si="0"/>
        <v>95944.2</v>
      </c>
      <c r="AG4" s="269">
        <f t="shared" si="0"/>
        <v>13359.9</v>
      </c>
      <c r="AH4" s="269">
        <f t="shared" si="0"/>
        <v>14219.3</v>
      </c>
      <c r="AI4" s="269">
        <f t="shared" si="0"/>
        <v>14766.6</v>
      </c>
      <c r="AJ4" s="269">
        <f t="shared" si="0"/>
        <v>130213.4</v>
      </c>
      <c r="AK4" s="270">
        <f t="shared" ref="AK4:AX4" si="1">SUM(AK5:AK290)</f>
        <v>112316612</v>
      </c>
      <c r="AL4" s="269">
        <f t="shared" si="1"/>
        <v>22073.9</v>
      </c>
      <c r="AM4" s="269">
        <f t="shared" si="1"/>
        <v>3672.7</v>
      </c>
      <c r="AN4" s="269">
        <f t="shared" si="1"/>
        <v>8809.5</v>
      </c>
      <c r="AO4" s="270">
        <f t="shared" si="1"/>
        <v>515471951</v>
      </c>
      <c r="AP4" s="269">
        <f t="shared" si="1"/>
        <v>101311.2</v>
      </c>
      <c r="AQ4" s="269">
        <f t="shared" si="1"/>
        <v>30</v>
      </c>
      <c r="AR4" s="269">
        <f t="shared" si="1"/>
        <v>768545.3</v>
      </c>
      <c r="AS4" s="269">
        <f t="shared" si="1"/>
        <v>676043.6</v>
      </c>
      <c r="AT4" s="269">
        <f t="shared" si="1"/>
        <v>8440</v>
      </c>
      <c r="AU4" s="269">
        <f t="shared" si="1"/>
        <v>1519.5</v>
      </c>
      <c r="AV4" s="271">
        <f t="shared" si="1"/>
        <v>5900.5</v>
      </c>
      <c r="AW4" s="271">
        <f t="shared" si="1"/>
        <v>344.75</v>
      </c>
      <c r="AX4" s="270">
        <f t="shared" si="1"/>
        <v>55946494</v>
      </c>
      <c r="AY4" s="269"/>
      <c r="AZ4" s="269"/>
      <c r="BA4" s="269"/>
      <c r="BB4" s="270">
        <f t="shared" ref="BB4:BO4" si="2">SUM(BB5:BB290)</f>
        <v>3495656326</v>
      </c>
      <c r="BC4" s="270">
        <f t="shared" si="2"/>
        <v>4011127709</v>
      </c>
      <c r="BD4" s="270">
        <f t="shared" si="2"/>
        <v>4108771802</v>
      </c>
      <c r="BE4" s="270">
        <f t="shared" si="2"/>
        <v>4011127201</v>
      </c>
      <c r="BF4" s="270">
        <f t="shared" si="2"/>
        <v>0</v>
      </c>
      <c r="BG4" s="270">
        <f t="shared" si="2"/>
        <v>-1602010</v>
      </c>
      <c r="BH4" s="270">
        <f t="shared" si="2"/>
        <v>-1389591</v>
      </c>
      <c r="BI4" s="270">
        <f t="shared" si="2"/>
        <v>-2991601</v>
      </c>
      <c r="BJ4" s="270">
        <f t="shared" si="2"/>
        <v>4008135600</v>
      </c>
      <c r="BK4" s="270">
        <f t="shared" si="2"/>
        <v>4017238956</v>
      </c>
      <c r="BL4" s="267">
        <f>SUM(BL5:BL290)/286</f>
        <v>0.3236</v>
      </c>
      <c r="BM4" s="270">
        <f t="shared" si="2"/>
        <v>1310731562</v>
      </c>
      <c r="BN4" s="270">
        <f t="shared" si="2"/>
        <v>1324113839</v>
      </c>
      <c r="BO4" s="270">
        <f t="shared" si="2"/>
        <v>1301876866</v>
      </c>
      <c r="BP4" s="268">
        <f>SUM(BP5:BP290)/286</f>
        <v>0.32050000000000001</v>
      </c>
      <c r="BQ4" s="269">
        <f>SUM(BQ5:BQ290)</f>
        <v>748.8</v>
      </c>
      <c r="BR4" s="269"/>
      <c r="BS4" s="269"/>
      <c r="BT4" s="269"/>
      <c r="BU4" s="269">
        <f>SUM(BU5:BU290)</f>
        <v>9110.4</v>
      </c>
      <c r="BV4" s="269"/>
      <c r="BW4" s="269"/>
      <c r="BX4" s="269"/>
      <c r="BY4" s="269">
        <f t="shared" ref="BY4:CL4" si="3">SUM(BY5:BY290)</f>
        <v>32345.4</v>
      </c>
      <c r="BZ4" s="269">
        <f t="shared" si="3"/>
        <v>11890.2</v>
      </c>
      <c r="CA4" s="269">
        <f t="shared" si="3"/>
        <v>82019.7</v>
      </c>
      <c r="CB4" s="271">
        <f t="shared" si="3"/>
        <v>1378.9</v>
      </c>
      <c r="CC4" s="270">
        <f t="shared" si="3"/>
        <v>7634</v>
      </c>
      <c r="CD4" s="270">
        <f>SUM(CD5:CD290)</f>
        <v>302070</v>
      </c>
      <c r="CE4" s="272">
        <f>SUM(CE5:CE290)</f>
        <v>349.37759999999997</v>
      </c>
      <c r="CF4" s="270">
        <f>SUM(CF5:CF290)</f>
        <v>91942210</v>
      </c>
      <c r="CG4" s="270">
        <f>SUM(CG5:CG290)</f>
        <v>91942210</v>
      </c>
      <c r="CH4" s="270">
        <f>SUM(CH5:CH290)</f>
        <v>112316612</v>
      </c>
      <c r="CI4" s="269">
        <f t="shared" si="3"/>
        <v>22073.9</v>
      </c>
      <c r="CJ4" s="270">
        <f t="shared" si="3"/>
        <v>18686430</v>
      </c>
      <c r="CK4" s="270">
        <f t="shared" si="3"/>
        <v>46354776</v>
      </c>
      <c r="CL4" s="267">
        <f t="shared" si="3"/>
        <v>0.8236</v>
      </c>
      <c r="CM4" s="270">
        <f>SUM(CM5:CM290)</f>
        <v>56768350</v>
      </c>
      <c r="CN4" s="270">
        <f>SUM(CN5:CN290)</f>
        <v>44823280</v>
      </c>
      <c r="CO4" s="267">
        <f t="shared" ref="CO4:CO67" si="4">AE4/AD4</f>
        <v>0.42849999999999999</v>
      </c>
      <c r="CP4" s="269">
        <f>SUM(CP5:CP290)</f>
        <v>11064.5</v>
      </c>
      <c r="CQ4" s="269">
        <f>SUM(CQ5:CQ290)</f>
        <v>2295.4</v>
      </c>
      <c r="CR4" s="273">
        <f>SUM(CR5:CR290)</f>
        <v>777354.8</v>
      </c>
      <c r="CS4" s="274">
        <f>SUM(CS5:CS290)</f>
        <v>161907941</v>
      </c>
      <c r="CT4" s="274">
        <f>SUM(CT5:CT290)</f>
        <v>15395123</v>
      </c>
      <c r="CU4" s="274">
        <f t="shared" ref="CU4:CV4" si="5">SUM(CU5:CU290)</f>
        <v>563296545</v>
      </c>
      <c r="CV4" s="273">
        <f t="shared" si="5"/>
        <v>461901.6</v>
      </c>
      <c r="CW4" s="238"/>
    </row>
    <row r="5" spans="1:101" ht="15" customHeight="1">
      <c r="A5" s="54">
        <v>101</v>
      </c>
      <c r="B5" s="1" t="s">
        <v>4</v>
      </c>
      <c r="C5" s="1" t="s">
        <v>511</v>
      </c>
      <c r="D5" s="58">
        <v>422.5</v>
      </c>
      <c r="E5" s="58"/>
      <c r="F5" s="58">
        <v>0</v>
      </c>
      <c r="G5" s="58">
        <f>SUM(D5-E5+F5)</f>
        <v>422.5</v>
      </c>
      <c r="H5" s="58">
        <v>419</v>
      </c>
      <c r="I5" s="58"/>
      <c r="J5" s="58">
        <v>0</v>
      </c>
      <c r="K5" s="58">
        <f>SUM(H5-I5+J5)</f>
        <v>419</v>
      </c>
      <c r="L5" s="1">
        <v>395.5</v>
      </c>
      <c r="N5" s="1">
        <v>0</v>
      </c>
      <c r="O5" s="58">
        <f>SUM(L5-M5+N5)</f>
        <v>395.5</v>
      </c>
      <c r="P5" s="58">
        <f>IF(ISNA(VLOOKUP($CW5,'Audit Values'!$A:$BZ,2,FALSE)),'Preliminary SO66'!C4,VLOOKUP($CW5,'Audit Values'!$A:$BZ,76,FALSE))</f>
        <v>418</v>
      </c>
      <c r="Q5" s="58">
        <f>IF(ISNA(VLOOKUP($CW5,'Audit Values'!$A:$BZ,2,FALSE)),'Preliminary SO66'!F4,VLOOKUP($CW5,'Audit Values'!$A:$BZ,4,FALSE))</f>
        <v>0</v>
      </c>
      <c r="R5" s="58">
        <f>SUM(P5+Q5)</f>
        <v>418</v>
      </c>
      <c r="S5" s="58">
        <f>IF('Military Provision'!I5="YES", MAX('2024 Legal Max'!O5,'2024 Legal Max'!K5,AVERAGE('2024 Legal Max'!G5,'2024 Legal Max'!K5,'2024 Legal Max'!O5)), MAX(O5, K5))</f>
        <v>419</v>
      </c>
      <c r="T5" s="58">
        <f>IF(ISNA(VLOOKUP($CW5,'Audit Values'!$A:$BX,2,FALSE)),'Preliminary SO66'!AL4,VLOOKUP($CW5,'Audit Values'!$A:$BX,59,FALSE))</f>
        <v>9.5</v>
      </c>
      <c r="U5" s="58">
        <f>S5+T5</f>
        <v>428.5</v>
      </c>
      <c r="V5" s="58">
        <f>'Low-High ENRL- 2023 HSubSB 113'!N8</f>
        <v>188.8</v>
      </c>
      <c r="W5" s="58">
        <f>IF(ISNA(VLOOKUP($CW5,'Audit Values'!$A:$BZ,2,FALSE)),'Preliminary SO66'!AM4,VLOOKUP($CW5,'Audit Values'!$A:$BZ,63,FALSE))</f>
        <v>0.7</v>
      </c>
      <c r="X5" s="58">
        <f>(W5/6)*'Weighting Factors'!$O$7</f>
        <v>0</v>
      </c>
      <c r="Y5" s="61">
        <f>IF(ISNA(VLOOKUP($CW5,'Audit Values'!$A:$BZ,2,FALSE)),'Preliminary SO66'!AN4,VLOOKUP($CW5,'Audit Values'!$A:$BZ,62,FALSE))</f>
        <v>4</v>
      </c>
      <c r="Z5" s="58">
        <f>Y5*'Weighting Factors'!$O$8</f>
        <v>0.7</v>
      </c>
      <c r="AA5" s="58">
        <f t="shared" ref="AA5:AA23" si="6">MAX(X5,Z5)</f>
        <v>0.7</v>
      </c>
      <c r="AB5" s="106">
        <f>IF(ISNA(VLOOKUP($CW5,'Audit Values'!$A:$BZ,2,FALSE)),'Preliminary SO66'!AO4,VLOOKUP($CW5,'Audit Values'!$A:$BZ,61,FALSE))</f>
        <v>132.69999999999999</v>
      </c>
      <c r="AC5" s="58">
        <f>AB5/6*'Weighting Factors'!$O$6</f>
        <v>11.1</v>
      </c>
      <c r="AD5" s="24">
        <f>IF(ISNA(VLOOKUP($CW5,'Audit Values'!$A:$BX,2,FALSE)),'Preliminary SO66'!AS4,VLOOKUP($CW5,'Audit Values'!$A:$BX,64,FALSE))</f>
        <v>439</v>
      </c>
      <c r="AE5" s="24">
        <f>IF(ISNA(VLOOKUP($CW5,'Audit Values'!$A:$BX,2,FALSE)),'Preliminary SO66'!AP4,VLOOKUP($CW5,'Audit Values'!$A:$BX,65,FALSE))</f>
        <v>234</v>
      </c>
      <c r="AF5" s="58">
        <f>IF(A5=207, AE5,(AE5))*'Weighting Factors'!$O$9</f>
        <v>113.3</v>
      </c>
      <c r="AG5" s="58">
        <f t="shared" ref="AG5:AG11" si="7">MAX(CP5,CQ5)</f>
        <v>24.6</v>
      </c>
      <c r="AH5" s="58">
        <f>IF(ISNA(VLOOKUP($CW5,'Audit Values'!$A:$BZ,2,FALSE)),'Preliminary SO66'!AG4,VLOOKUP($CW5,'Audit Values'!$A:$BZ,71,FALSE))</f>
        <v>22</v>
      </c>
      <c r="AI5" s="58">
        <f t="shared" ref="AI5:AI11" si="8">MAX(AG5, AH5)</f>
        <v>24.6</v>
      </c>
      <c r="AJ5" s="58">
        <f>IF(ISNA(VLOOKUP($CW5,'Audit Values'!$A:$BX,2,FALSE)),'Preliminary SO66'!AR4,VLOOKUP($CW5,'Audit Values'!$A:$BX,66,FALSE))</f>
        <v>181.5</v>
      </c>
      <c r="AK5" s="24">
        <f t="shared" ref="AK5:AK11" si="9">CH5</f>
        <v>237241</v>
      </c>
      <c r="AL5" s="58">
        <f>AK5/'Weighting Factors'!$O$5</f>
        <v>46.6</v>
      </c>
      <c r="AM5" s="58">
        <f>CJ5/'Weighting Factors'!$O$5</f>
        <v>0</v>
      </c>
      <c r="AN5" s="58">
        <f>CN5/'Weighting Factors'!$O$5</f>
        <v>0</v>
      </c>
      <c r="AO5" s="24">
        <v>484836</v>
      </c>
      <c r="AP5" s="58">
        <f>AO5/'Weighting Factors'!$O$5</f>
        <v>95.3</v>
      </c>
      <c r="AQ5" s="58">
        <f>IF(ISNA(VLOOKUP($CW5,'Audit Values'!$A:$BX,2,FALSE)),'Preliminary SO66'!X4,VLOOKUP($CW5,'Audit Values'!$A:$BX,48,FALSE))</f>
        <v>0</v>
      </c>
      <c r="AR5" s="58">
        <f>SUM(U5+V5+AA5+AC5+AF5+AI5+AL5+AM5+AP5+AQ5)</f>
        <v>908.9</v>
      </c>
      <c r="AS5" s="58">
        <f>SUM(U5+V5+AA5+AC5+AF5+AI5+AL5+AM5+AN5+AQ5)</f>
        <v>813.6</v>
      </c>
      <c r="AT5" s="58">
        <f>IF(ISNA(VLOOKUP($CW5,'Audit Values'!$A$2:$BX$410,2,FALSE)),'Preliminary SO66'!AA4,VLOOKUP($CW5,'Audit Values'!$A$2:$BX$410,41,FALSE))</f>
        <v>6</v>
      </c>
      <c r="AU5" s="58">
        <f>IF(ISNA(VLOOKUP($CW5,'Audit Values'!$A$2:$BX$410,2,FALSE)),'Preliminary SO66'!AB4,VLOOKUP($CW5,'Audit Values'!$A$2:$BX$410,42,FALSE))</f>
        <v>0</v>
      </c>
      <c r="AV5" s="73">
        <v>0</v>
      </c>
      <c r="AW5" s="73">
        <v>0</v>
      </c>
      <c r="AX5" s="24">
        <f>SUM(AT5*'Weighting Factors'!$R$10)+('2024 Legal Max'!AU5*'Weighting Factors'!$R$11)+('2024 Legal Max'!AV5*'Weighting Factors'!$R$12)+('2024 Legal Max'!AW5*'Weighting Factors'!$R$12)</f>
        <v>33600</v>
      </c>
      <c r="AY5" s="54">
        <f>IF(ISNA(VLOOKUP($CW5,'Audit Values'!$A$2:$BX$429,2,FALSE)),"",IF(AND('Weighting Factors'!G5&gt;0,VLOOKUP($CW5,'Audit Values'!$A$2:$BX$429,51,FALSE)&lt;'Weighting Factors'!G5),'Weighting Factors'!G5,VLOOKUP($CW5,'Audit Values'!$A$2:$BX$429,51,FALSE)))</f>
        <v>19</v>
      </c>
      <c r="AZ5" s="54" t="str">
        <f>IF(ISNA(VLOOKUP($CW5,'Audit Values'!$A:$BY,2,FALSE)),"",VLOOKUP($CW5,'Audit Values'!$A:$BY,52,FALSE))</f>
        <v>A</v>
      </c>
      <c r="BA5" s="54" t="str">
        <f>IF('Weighting Factors'!F5="","",IF('Weighting Factors'!H5="Pending","PX","R"))</f>
        <v>R</v>
      </c>
      <c r="BB5" s="60">
        <f>SUM((U5+V5+AA5+AC5+AF5+AI5+AL5+AM5+AQ5+AN5)*'Weighting Factors'!$O$5)+'2024 Legal Max'!AX5</f>
        <v>4173197</v>
      </c>
      <c r="BC5" s="24">
        <f>SUM((AR5+AN5)*'Weighting Factors'!$O$5)+AX5</f>
        <v>4658083</v>
      </c>
      <c r="BD5" s="67">
        <f>IF('Weighting Factors'!F5&gt;0,'Weighting Factors'!F5,'Preliminary SO66'!AV4)</f>
        <v>4743053</v>
      </c>
      <c r="BE5" s="24">
        <f>MIN(BC5,BD5)</f>
        <v>4658083</v>
      </c>
      <c r="BF5" s="71">
        <f>'Weighting Factors'!E5</f>
        <v>0</v>
      </c>
      <c r="BG5" s="71">
        <f>Transportation!G5</f>
        <v>0</v>
      </c>
      <c r="BH5" s="24">
        <f>IF(ISNA(VLOOKUP($CW5,'Audit Values'!$A:$BW,2,FALSE)), 0, VLOOKUP($CW5,'Audit Values'!$A:$BW,75,FALSE))</f>
        <v>-3545</v>
      </c>
      <c r="BI5" s="24">
        <f t="shared" ref="BI5:BI23" si="10">SUM(BF5:BH5)</f>
        <v>-3545</v>
      </c>
      <c r="BJ5" s="24">
        <f t="shared" ref="BJ5:BJ11" si="11">BE5+BI5</f>
        <v>4654538</v>
      </c>
      <c r="BK5" s="24">
        <f>SUM((U5+V5+AA5+AC5+AF5+AI5+AL5+AM5+AN5)*'Weighting Factors'!O$12)+(MAX(AO5,'Weighting Factors'!B5))</f>
        <v>4927716</v>
      </c>
      <c r="BL5" s="78">
        <f>'LOB%'!F3</f>
        <v>0.31</v>
      </c>
      <c r="BM5" s="24">
        <f t="shared" ref="BM5:BM68" si="12">BK5*BL5</f>
        <v>1527592</v>
      </c>
      <c r="BN5" s="67">
        <v>1518158</v>
      </c>
      <c r="BO5" s="24">
        <f>MIN(BM5,BN5)</f>
        <v>1518158</v>
      </c>
      <c r="BP5" s="89">
        <f t="shared" ref="BP5:BP68" si="13">BO5/BK5</f>
        <v>0.30809999999999998</v>
      </c>
      <c r="BQ5" s="58">
        <f t="shared" ref="BQ5:BQ68" si="14">ROUND(IF(U5&lt;=99.9,(U5*1.014331),0),1)</f>
        <v>0</v>
      </c>
      <c r="BR5" s="1" t="b">
        <f t="shared" ref="BR5:BR68" si="15">AND(U5&gt;99.9,U5&lt;=299.9)</f>
        <v>0</v>
      </c>
      <c r="BS5" s="76">
        <f t="shared" ref="BS5:BS68" si="16">IF(BR5=TRUE,ROUND((U5-100)*9.655,3),0)</f>
        <v>0</v>
      </c>
      <c r="BT5" s="75">
        <f t="shared" ref="BT5:BT23" si="17">IF(BR5=TRUE,ROUND(((7337-BS5)/3642.4)-1,6),0)</f>
        <v>0</v>
      </c>
      <c r="BU5" s="58">
        <f t="shared" ref="BU5:BU68" si="18">ROUND(BT5*U5,1)</f>
        <v>0</v>
      </c>
      <c r="BV5" s="1" t="b">
        <f t="shared" ref="BV5:BV68" si="19">AND(U5&gt;299.9,U5&lt;=1621.9)</f>
        <v>1</v>
      </c>
      <c r="BW5" s="1">
        <f t="shared" ref="BW5:BW68" si="20">IF(BV5=TRUE,ROUND((U5-300)*1.2375,4),0)</f>
        <v>159.0188</v>
      </c>
      <c r="BX5" s="75">
        <f t="shared" ref="BX5:BX23" si="21">IF(BV5=TRUE,ROUND(((5406-BW5)/3642.4)-1,6),0)</f>
        <v>0.440529</v>
      </c>
      <c r="BY5" s="58">
        <f t="shared" ref="BY5:BY68" si="22">ROUND(BX5*U5,1)</f>
        <v>188.8</v>
      </c>
      <c r="BZ5" s="58">
        <f t="shared" ref="BZ5:BZ68" si="23">ROUND(IF(U5&gt;=1622,(U5*0.03504),0),1)</f>
        <v>0</v>
      </c>
      <c r="CA5" s="61">
        <v>325</v>
      </c>
      <c r="CB5" s="102">
        <f t="shared" ref="CB5:CB68" si="24">AJ5/CA5</f>
        <v>0.55800000000000005</v>
      </c>
      <c r="CC5" s="105">
        <f>IF(CB5&lt;0.06,1,IF(CB5&gt;=18.29,52,MATCH(CB5-0.001,'Weighting Factors'!$W$5:$W$156)+1))</f>
        <v>26</v>
      </c>
      <c r="CD5" s="24">
        <f>VLOOKUP(CC5, 'Weighting Factors'!$U$5:$X$56,4)</f>
        <v>1070</v>
      </c>
      <c r="CE5" s="109">
        <f>('Weighting Factors'!$O$5/'Weighting Factors'!$O$14)</f>
        <v>1.2216</v>
      </c>
      <c r="CF5" s="100">
        <f t="shared" ref="CF5:CF68" si="25">AJ5*CD5</f>
        <v>194205</v>
      </c>
      <c r="CG5" s="100">
        <f>CF5*'Weighting Factors'!$Q$7</f>
        <v>194205</v>
      </c>
      <c r="CH5" s="100">
        <f t="shared" ref="CH5:CH11" si="26">CG5*CE5</f>
        <v>237241</v>
      </c>
      <c r="CI5" s="58">
        <f>AK5/'Weighting Factors'!$O$5</f>
        <v>46.6</v>
      </c>
      <c r="CJ5" s="67">
        <v>0</v>
      </c>
      <c r="CK5" s="80">
        <v>0</v>
      </c>
      <c r="CL5" s="110">
        <v>0</v>
      </c>
      <c r="CM5" s="24">
        <f>SUM((AR5*'Weighting Factors'!$O$5)+'2024 Legal Max'!AX5)*CL5</f>
        <v>0</v>
      </c>
      <c r="CN5" s="24">
        <f t="shared" ref="CN5:CN11" si="27">IF(CK5&gt;CM5,CM5,CK5)</f>
        <v>0</v>
      </c>
      <c r="CO5" s="65">
        <f t="shared" si="4"/>
        <v>0.53300000000000003</v>
      </c>
      <c r="CP5" s="58">
        <f t="shared" ref="CP5:CP68" si="28">IF(CO5&gt;=50%,AE5*10.5%,0)</f>
        <v>24.6</v>
      </c>
      <c r="CQ5" s="58">
        <f t="shared" ref="CQ5:CQ68" si="29">IF(AND(CO5&gt;35%,CO5&lt;50%),AE5*(CO5-35%)*0.7,0)</f>
        <v>0</v>
      </c>
      <c r="CR5" s="58">
        <f t="shared" ref="CR5:CR68" si="30">AS5+AP5</f>
        <v>908.9</v>
      </c>
      <c r="CS5" s="24">
        <f>'Required Transfers'!L5</f>
        <v>191288</v>
      </c>
      <c r="CT5" s="24">
        <f>'Required Transfers'!O5</f>
        <v>1215</v>
      </c>
      <c r="CU5" s="24">
        <f>'Required Transfers'!H5</f>
        <v>701635</v>
      </c>
      <c r="CV5" s="58">
        <f t="shared" ref="CV5:CV68" si="31">SUM(R5+T5+AT5+AU5+AV5/6+AW5/6)</f>
        <v>433.5</v>
      </c>
      <c r="CW5" s="27" t="s">
        <v>190</v>
      </c>
    </row>
    <row r="6" spans="1:101" ht="15" customHeight="1">
      <c r="A6" s="54">
        <v>102</v>
      </c>
      <c r="B6" s="1" t="s">
        <v>5</v>
      </c>
      <c r="C6" s="1" t="s">
        <v>1019</v>
      </c>
      <c r="D6" s="58">
        <v>633</v>
      </c>
      <c r="E6" s="58"/>
      <c r="F6" s="58">
        <v>0</v>
      </c>
      <c r="G6" s="58">
        <f t="shared" ref="G6:G69" si="32">SUM(D6-E6+F6)</f>
        <v>633</v>
      </c>
      <c r="H6" s="58">
        <v>626.5</v>
      </c>
      <c r="I6" s="58"/>
      <c r="J6" s="58">
        <v>0</v>
      </c>
      <c r="K6" s="58">
        <f t="shared" ref="K6:K69" si="33">SUM(H6-I6+J6)</f>
        <v>626.5</v>
      </c>
      <c r="L6" s="1">
        <v>590.1</v>
      </c>
      <c r="N6" s="1">
        <v>0</v>
      </c>
      <c r="O6" s="58">
        <f t="shared" ref="O6:O69" si="34">SUM(L6-M6+N6)</f>
        <v>590.1</v>
      </c>
      <c r="P6" s="58">
        <f>IF(ISNA(VLOOKUP($CW6,'Audit Values'!$A:$BZ,2,FALSE)),'Preliminary SO66'!C5,VLOOKUP($CW6,'Audit Values'!$A:$BZ,76,FALSE))</f>
        <v>579.6</v>
      </c>
      <c r="Q6" s="58">
        <f>IF(ISNA(VLOOKUP($CW6,'Audit Values'!$A:$BZ,2,FALSE)),'Preliminary SO66'!F5,VLOOKUP($CW6,'Audit Values'!$A:$BZ,4,FALSE))</f>
        <v>0</v>
      </c>
      <c r="R6" s="58">
        <f t="shared" ref="R6:R23" si="35">SUM(P6+Q6)</f>
        <v>579.6</v>
      </c>
      <c r="S6" s="58">
        <f>IF('Military Provision'!I6="YES", MAX('2024 Legal Max'!O6,'2024 Legal Max'!K6,AVERAGE('2024 Legal Max'!G6,'2024 Legal Max'!K6,'2024 Legal Max'!O6)), MAX(O6, K6))</f>
        <v>626.5</v>
      </c>
      <c r="T6" s="58">
        <f>IF(ISNA(VLOOKUP($CW6,'Audit Values'!$A:$BX,2,FALSE)),'Preliminary SO66'!AL5,VLOOKUP($CW6,'Audit Values'!$A:$BX,59,FALSE))</f>
        <v>8</v>
      </c>
      <c r="U6" s="58">
        <f t="shared" ref="U6:U23" si="36">S6+T6</f>
        <v>634.5</v>
      </c>
      <c r="V6" s="58">
        <f>'Low-High ENRL- 2023 HSubSB 113'!N9</f>
        <v>235.1</v>
      </c>
      <c r="W6" s="58">
        <f>IF(ISNA(VLOOKUP($CW6,'Audit Values'!$A:$BZ,2,FALSE)),'Preliminary SO66'!AM5,VLOOKUP($CW6,'Audit Values'!$A:$BZ,63,FALSE))</f>
        <v>542.9</v>
      </c>
      <c r="X6" s="58">
        <f>(W6/6)*'Weighting Factors'!$O$7</f>
        <v>35.700000000000003</v>
      </c>
      <c r="Y6" s="61">
        <f>IF(ISNA(VLOOKUP($CW6,'Audit Values'!$A:$BZ,2,FALSE)),'Preliminary SO66'!AN5,VLOOKUP($CW6,'Audit Values'!$A:$BZ,62,FALSE))</f>
        <v>121</v>
      </c>
      <c r="Z6" s="58">
        <f>Y6*'Weighting Factors'!$O$8</f>
        <v>22.4</v>
      </c>
      <c r="AA6" s="58">
        <f t="shared" si="6"/>
        <v>35.700000000000003</v>
      </c>
      <c r="AB6" s="106">
        <f>IF(ISNA(VLOOKUP($CW6,'Audit Values'!$A:$BZ,2,FALSE)),'Preliminary SO66'!AO5,VLOOKUP($CW6,'Audit Values'!$A:$BZ,61,FALSE))</f>
        <v>163.4</v>
      </c>
      <c r="AC6" s="58">
        <f>AB6/6*'Weighting Factors'!$O$6</f>
        <v>13.6</v>
      </c>
      <c r="AD6" s="24">
        <f>IF(ISNA(VLOOKUP($CW6,'Audit Values'!$A:$BX,2,FALSE)),'Preliminary SO66'!AS5,VLOOKUP($CW6,'Audit Values'!$A:$BX,64,FALSE))</f>
        <v>601</v>
      </c>
      <c r="AE6" s="24">
        <f>IF(ISNA(VLOOKUP($CW6,'Audit Values'!$A:$BX,2,FALSE)),'Preliminary SO66'!AP5,VLOOKUP($CW6,'Audit Values'!$A:$BX,65,FALSE))</f>
        <v>194</v>
      </c>
      <c r="AF6" s="58">
        <f>IF(A6=207, AE6,(AE6))*'Weighting Factors'!$O$9</f>
        <v>93.9</v>
      </c>
      <c r="AG6" s="58">
        <f t="shared" si="7"/>
        <v>0</v>
      </c>
      <c r="AH6" s="58">
        <f>IF(ISNA(VLOOKUP($CW6,'Audit Values'!$A:$BZ,2,FALSE)),'Preliminary SO66'!AG5,VLOOKUP($CW6,'Audit Values'!$A:$BZ,71,FALSE))</f>
        <v>0</v>
      </c>
      <c r="AI6" s="58">
        <f t="shared" si="8"/>
        <v>0</v>
      </c>
      <c r="AJ6" s="58">
        <f>IF(ISNA(VLOOKUP($CW6,'Audit Values'!$A:$BX,2,FALSE)),'Preliminary SO66'!AR5,VLOOKUP($CW6,'Audit Values'!$A:$BX,66,FALSE))</f>
        <v>73</v>
      </c>
      <c r="AK6" s="24">
        <f t="shared" si="9"/>
        <v>123956</v>
      </c>
      <c r="AL6" s="58">
        <f>AK6/'Weighting Factors'!$O$5</f>
        <v>24.4</v>
      </c>
      <c r="AM6" s="58">
        <f>CJ6/'Weighting Factors'!$O$5</f>
        <v>0</v>
      </c>
      <c r="AN6" s="58">
        <f>CN6/'Weighting Factors'!$O$5</f>
        <v>0</v>
      </c>
      <c r="AO6" s="24">
        <v>512639</v>
      </c>
      <c r="AP6" s="58">
        <f>AO6/'Weighting Factors'!$O$5</f>
        <v>100.8</v>
      </c>
      <c r="AQ6" s="58">
        <f>IF(ISNA(VLOOKUP($CW6,'Audit Values'!$A:$BX,2,FALSE)),'Preliminary SO66'!X5,VLOOKUP($CW6,'Audit Values'!$A:$BX,48,FALSE))</f>
        <v>0</v>
      </c>
      <c r="AR6" s="58">
        <f t="shared" ref="AR6:AR69" si="37">SUM(U6+V6+AA6+AC6+AF6+AI6+AL6+AM6+AP6+AQ6)</f>
        <v>1138</v>
      </c>
      <c r="AS6" s="58">
        <f t="shared" ref="AS6:AS69" si="38">SUM(U6+V6+AA6+AC6+AF6+AI6+AL6+AM6+AN6+AQ6)</f>
        <v>1037.2</v>
      </c>
      <c r="AT6" s="58">
        <f>IF(ISNA(VLOOKUP($CW6,'Audit Values'!$A$2:$BX$410,2,FALSE)),'Preliminary SO66'!AA5,VLOOKUP($CW6,'Audit Values'!$A$2:$BX$410,41,FALSE))</f>
        <v>0</v>
      </c>
      <c r="AU6" s="58">
        <f>IF(ISNA(VLOOKUP($CW6,'Audit Values'!$A$2:$BX$410,2,FALSE)),'Preliminary SO66'!AB5,VLOOKUP($CW6,'Audit Values'!$A$2:$BX$410,42,FALSE))</f>
        <v>0</v>
      </c>
      <c r="AV6" s="73">
        <v>0</v>
      </c>
      <c r="AW6" s="73">
        <v>0</v>
      </c>
      <c r="AX6" s="24">
        <f>SUM(AT6*'Weighting Factors'!$R$10)+('2024 Legal Max'!AU6*'Weighting Factors'!$R$11)+('2024 Legal Max'!AV6*'Weighting Factors'!$R$12)+('2024 Legal Max'!AW6*'Weighting Factors'!$R$12)</f>
        <v>0</v>
      </c>
      <c r="AY6" s="54">
        <f>IF(ISNA(VLOOKUP($CW6,'Audit Values'!$A$2:$BX$429,2,FALSE)),"",IF(AND('Weighting Factors'!G6&gt;0,VLOOKUP($CW6,'Audit Values'!$A$2:$BX$429,51,FALSE)&lt;'Weighting Factors'!G6),'Weighting Factors'!G6,VLOOKUP($CW6,'Audit Values'!$A$2:$BX$429,51,FALSE)))</f>
        <v>16</v>
      </c>
      <c r="AZ6" s="54" t="str">
        <f>IF(ISNA(VLOOKUP($CW6,'Audit Values'!$A:$BY,2,FALSE)),"",VLOOKUP($CW6,'Audit Values'!$A:$BY,52,FALSE))</f>
        <v>A</v>
      </c>
      <c r="BA6" s="54" t="str">
        <f>IF('Weighting Factors'!F6="","",IF('Weighting Factors'!H6="Pending","PX","R"))</f>
        <v/>
      </c>
      <c r="BB6" s="60">
        <f>SUM((U6+V6+AA6+AC6+AF6+AI6+AL6+AM6+AQ6+AN6)*'Weighting Factors'!$O$5)+'2024 Legal Max'!AX6</f>
        <v>5277274</v>
      </c>
      <c r="BC6" s="24">
        <f>SUM((AR6+AN6)*'Weighting Factors'!$O$5)+AX6</f>
        <v>5790144</v>
      </c>
      <c r="BD6" s="67">
        <f>IF('Weighting Factors'!F6&gt;0,'Weighting Factors'!F6,'Preliminary SO66'!AV5)</f>
        <v>5880710</v>
      </c>
      <c r="BE6" s="24">
        <f t="shared" ref="BE6:BE23" si="39">MIN(BC6,BD6)</f>
        <v>5790144</v>
      </c>
      <c r="BF6" s="71">
        <f>'Weighting Factors'!E6</f>
        <v>0</v>
      </c>
      <c r="BG6" s="71">
        <f>Transportation!G6</f>
        <v>0</v>
      </c>
      <c r="BH6" s="24">
        <f>IF(ISNA(VLOOKUP($CW6,'Audit Values'!$A:$BW,2,FALSE)), 0, VLOOKUP($CW6,'Audit Values'!$A:$BW,75,FALSE))</f>
        <v>0</v>
      </c>
      <c r="BI6" s="24">
        <f t="shared" si="10"/>
        <v>0</v>
      </c>
      <c r="BJ6" s="24">
        <f t="shared" si="11"/>
        <v>5790144</v>
      </c>
      <c r="BK6" s="24">
        <f>SUM((U6+V6+AA6+AC6+AF6+AI6+AL6+AM6+AN6)*'Weighting Factors'!O$12)+(MAX(AO6,'Weighting Factors'!B6))</f>
        <v>5888261</v>
      </c>
      <c r="BL6" s="78">
        <f>'LOB%'!F4</f>
        <v>0.316</v>
      </c>
      <c r="BM6" s="24">
        <f t="shared" si="12"/>
        <v>1860690</v>
      </c>
      <c r="BN6" s="67">
        <v>1814200</v>
      </c>
      <c r="BO6" s="24">
        <f t="shared" ref="BO6:BO23" si="40">MIN(BM6,BN6)</f>
        <v>1814200</v>
      </c>
      <c r="BP6" s="89">
        <f t="shared" si="13"/>
        <v>0.30809999999999998</v>
      </c>
      <c r="BQ6" s="58">
        <f t="shared" si="14"/>
        <v>0</v>
      </c>
      <c r="BR6" s="1" t="b">
        <f t="shared" si="15"/>
        <v>0</v>
      </c>
      <c r="BS6" s="76">
        <f t="shared" si="16"/>
        <v>0</v>
      </c>
      <c r="BT6" s="75">
        <f t="shared" si="17"/>
        <v>0</v>
      </c>
      <c r="BU6" s="58">
        <f t="shared" si="18"/>
        <v>0</v>
      </c>
      <c r="BV6" s="1" t="b">
        <f t="shared" si="19"/>
        <v>1</v>
      </c>
      <c r="BW6" s="1">
        <f t="shared" si="20"/>
        <v>413.94380000000001</v>
      </c>
      <c r="BX6" s="75">
        <f t="shared" si="21"/>
        <v>0.37053999999999998</v>
      </c>
      <c r="BY6" s="58">
        <f t="shared" si="22"/>
        <v>235.1</v>
      </c>
      <c r="BZ6" s="58">
        <f t="shared" si="23"/>
        <v>0</v>
      </c>
      <c r="CA6" s="61">
        <v>538</v>
      </c>
      <c r="CB6" s="102">
        <f t="shared" si="24"/>
        <v>0.13600000000000001</v>
      </c>
      <c r="CC6" s="105">
        <f>IF(CB6&lt;0.06,1,IF(CB6&gt;=18.29,52,MATCH(CB6-0.001,'Weighting Factors'!$W$5:$W$156)+1))</f>
        <v>9</v>
      </c>
      <c r="CD6" s="24">
        <f>VLOOKUP(CC6, 'Weighting Factors'!$U$5:$X$56,4)</f>
        <v>1390</v>
      </c>
      <c r="CE6" s="109">
        <f>('Weighting Factors'!$O$5/'Weighting Factors'!$O$14)</f>
        <v>1.2216</v>
      </c>
      <c r="CF6" s="100">
        <f t="shared" si="25"/>
        <v>101470</v>
      </c>
      <c r="CG6" s="100">
        <f>CF6*'Weighting Factors'!$Q$7</f>
        <v>101470</v>
      </c>
      <c r="CH6" s="100">
        <f t="shared" si="26"/>
        <v>123956</v>
      </c>
      <c r="CI6" s="58">
        <f>AK6/'Weighting Factors'!$O$5</f>
        <v>24.4</v>
      </c>
      <c r="CJ6" s="67">
        <v>0</v>
      </c>
      <c r="CK6" s="80">
        <v>0</v>
      </c>
      <c r="CL6" s="110">
        <v>0</v>
      </c>
      <c r="CM6" s="24">
        <f>SUM((AR6*'Weighting Factors'!$O$5)+'2024 Legal Max'!AX6)*CL6</f>
        <v>0</v>
      </c>
      <c r="CN6" s="24">
        <f t="shared" si="27"/>
        <v>0</v>
      </c>
      <c r="CO6" s="65">
        <f t="shared" si="4"/>
        <v>0.32279999999999998</v>
      </c>
      <c r="CP6" s="58">
        <f t="shared" si="28"/>
        <v>0</v>
      </c>
      <c r="CQ6" s="58">
        <f t="shared" si="29"/>
        <v>0</v>
      </c>
      <c r="CR6" s="58">
        <f t="shared" si="30"/>
        <v>1138</v>
      </c>
      <c r="CS6" s="24">
        <f>'Required Transfers'!L6</f>
        <v>150760</v>
      </c>
      <c r="CT6" s="24">
        <f>'Required Transfers'!O6</f>
        <v>57329</v>
      </c>
      <c r="CU6" s="24">
        <f>'Required Transfers'!H6</f>
        <v>477763</v>
      </c>
      <c r="CV6" s="58">
        <f t="shared" si="31"/>
        <v>587.6</v>
      </c>
      <c r="CW6" s="27" t="s">
        <v>191</v>
      </c>
    </row>
    <row r="7" spans="1:101" ht="15" customHeight="1">
      <c r="A7" s="54">
        <v>103</v>
      </c>
      <c r="B7" s="1" t="s">
        <v>6</v>
      </c>
      <c r="C7" s="1" t="s">
        <v>512</v>
      </c>
      <c r="D7" s="58">
        <v>144</v>
      </c>
      <c r="E7" s="58"/>
      <c r="F7" s="58">
        <v>0</v>
      </c>
      <c r="G7" s="58">
        <f t="shared" si="32"/>
        <v>144</v>
      </c>
      <c r="H7" s="58">
        <v>144.80000000000001</v>
      </c>
      <c r="I7" s="58"/>
      <c r="J7" s="58">
        <v>0</v>
      </c>
      <c r="K7" s="58">
        <f t="shared" si="33"/>
        <v>144.80000000000001</v>
      </c>
      <c r="L7" s="1">
        <v>147</v>
      </c>
      <c r="N7" s="1">
        <v>0</v>
      </c>
      <c r="O7" s="58">
        <f t="shared" si="34"/>
        <v>147</v>
      </c>
      <c r="P7" s="58">
        <f>IF(ISNA(VLOOKUP($CW7,'Audit Values'!$A:$BZ,2,FALSE)),'Preliminary SO66'!C6,VLOOKUP($CW7,'Audit Values'!$A:$BZ,76,FALSE))</f>
        <v>149.5</v>
      </c>
      <c r="Q7" s="58">
        <f>IF(ISNA(VLOOKUP($CW7,'Audit Values'!$A:$BZ,2,FALSE)),'Preliminary SO66'!F6,VLOOKUP($CW7,'Audit Values'!$A:$BZ,4,FALSE))</f>
        <v>0</v>
      </c>
      <c r="R7" s="58">
        <f t="shared" si="35"/>
        <v>149.5</v>
      </c>
      <c r="S7" s="58">
        <f>IF('Military Provision'!I7="YES", MAX('2024 Legal Max'!O7,'2024 Legal Max'!K7,AVERAGE('2024 Legal Max'!G7,'2024 Legal Max'!K7,'2024 Legal Max'!O7)), MAX(O7, K7))</f>
        <v>147</v>
      </c>
      <c r="T7" s="58">
        <f>IF(ISNA(VLOOKUP($CW7,'Audit Values'!$A:$BX,2,FALSE)),'Preliminary SO66'!AL6,VLOOKUP($CW7,'Audit Values'!$A:$BX,59,FALSE))</f>
        <v>0</v>
      </c>
      <c r="U7" s="58">
        <f t="shared" si="36"/>
        <v>147</v>
      </c>
      <c r="V7" s="58">
        <f>'Low-High ENRL- 2023 HSubSB 113'!N10</f>
        <v>130.80000000000001</v>
      </c>
      <c r="W7" s="58">
        <f>IF(ISNA(VLOOKUP($CW7,'Audit Values'!$A:$BZ,2,FALSE)),'Preliminary SO66'!AM6,VLOOKUP($CW7,'Audit Values'!$A:$BZ,63,FALSE))</f>
        <v>80.5</v>
      </c>
      <c r="X7" s="58">
        <f>(W7/6)*'Weighting Factors'!$O$7</f>
        <v>5.3</v>
      </c>
      <c r="Y7" s="61">
        <f>IF(ISNA(VLOOKUP($CW7,'Audit Values'!$A:$BZ,2,FALSE)),'Preliminary SO66'!AN6,VLOOKUP($CW7,'Audit Values'!$A:$BZ,62,FALSE))</f>
        <v>20</v>
      </c>
      <c r="Z7" s="58">
        <f>Y7*'Weighting Factors'!$O$8</f>
        <v>3.7</v>
      </c>
      <c r="AA7" s="58">
        <f t="shared" si="6"/>
        <v>5.3</v>
      </c>
      <c r="AB7" s="106">
        <f>IF(ISNA(VLOOKUP($CW7,'Audit Values'!$A:$BZ,2,FALSE)),'Preliminary SO66'!AO6,VLOOKUP($CW7,'Audit Values'!$A:$BZ,61,FALSE))</f>
        <v>73.8</v>
      </c>
      <c r="AC7" s="58">
        <f>AB7/6*'Weighting Factors'!$O$6</f>
        <v>6.2</v>
      </c>
      <c r="AD7" s="24">
        <f>IF(ISNA(VLOOKUP($CW7,'Audit Values'!$A:$BX,2,FALSE)),'Preliminary SO66'!AS6,VLOOKUP($CW7,'Audit Values'!$A:$BX,64,FALSE))</f>
        <v>151</v>
      </c>
      <c r="AE7" s="24">
        <f>IF(ISNA(VLOOKUP($CW7,'Audit Values'!$A:$BX,2,FALSE)),'Preliminary SO66'!AP6,VLOOKUP($CW7,'Audit Values'!$A:$BX,65,FALSE))</f>
        <v>65</v>
      </c>
      <c r="AF7" s="58">
        <f>IF(A7=207, AE7,(AE7))*'Weighting Factors'!$O$9</f>
        <v>31.5</v>
      </c>
      <c r="AG7" s="58">
        <f t="shared" si="7"/>
        <v>3.7</v>
      </c>
      <c r="AH7" s="58">
        <f>IF(ISNA(VLOOKUP($CW7,'Audit Values'!$A:$BZ,2,FALSE)),'Preliminary SO66'!AG6,VLOOKUP($CW7,'Audit Values'!$A:$BZ,71,FALSE))</f>
        <v>4.5999999999999996</v>
      </c>
      <c r="AI7" s="58">
        <f t="shared" si="8"/>
        <v>4.5999999999999996</v>
      </c>
      <c r="AJ7" s="58">
        <f>IF(ISNA(VLOOKUP($CW7,'Audit Values'!$A:$BX,2,FALSE)),'Preliminary SO66'!AR6,VLOOKUP($CW7,'Audit Values'!$A:$BX,66,FALSE))</f>
        <v>44</v>
      </c>
      <c r="AK7" s="24">
        <f t="shared" si="9"/>
        <v>84926</v>
      </c>
      <c r="AL7" s="58">
        <f>AK7/'Weighting Factors'!$O$5</f>
        <v>16.7</v>
      </c>
      <c r="AM7" s="58">
        <f>CJ7/'Weighting Factors'!$O$5</f>
        <v>0</v>
      </c>
      <c r="AN7" s="58">
        <f>CN7/'Weighting Factors'!$O$5</f>
        <v>0</v>
      </c>
      <c r="AO7" s="24">
        <v>104255</v>
      </c>
      <c r="AP7" s="58">
        <f>AO7/'Weighting Factors'!$O$5</f>
        <v>20.5</v>
      </c>
      <c r="AQ7" s="58">
        <f>IF(ISNA(VLOOKUP($CW7,'Audit Values'!$A:$BX,2,FALSE)),'Preliminary SO66'!X6,VLOOKUP($CW7,'Audit Values'!$A:$BX,48,FALSE))</f>
        <v>0</v>
      </c>
      <c r="AR7" s="58">
        <f t="shared" si="37"/>
        <v>362.6</v>
      </c>
      <c r="AS7" s="58">
        <f t="shared" si="38"/>
        <v>342.1</v>
      </c>
      <c r="AT7" s="58">
        <f>IF(ISNA(VLOOKUP($CW7,'Audit Values'!$A$2:$BX$410,2,FALSE)),'Preliminary SO66'!AA6,VLOOKUP($CW7,'Audit Values'!$A$2:$BX$410,41,FALSE))</f>
        <v>0</v>
      </c>
      <c r="AU7" s="58">
        <f>IF(ISNA(VLOOKUP($CW7,'Audit Values'!$A$2:$BX$410,2,FALSE)),'Preliminary SO66'!AB6,VLOOKUP($CW7,'Audit Values'!$A$2:$BX$410,42,FALSE))</f>
        <v>0</v>
      </c>
      <c r="AV7" s="73">
        <v>0</v>
      </c>
      <c r="AW7" s="73">
        <v>0</v>
      </c>
      <c r="AX7" s="24">
        <f>SUM(AT7*'Weighting Factors'!$R$10)+('2024 Legal Max'!AU7*'Weighting Factors'!$R$11)+('2024 Legal Max'!AV7*'Weighting Factors'!$R$12)+('2024 Legal Max'!AW7*'Weighting Factors'!$R$12)</f>
        <v>0</v>
      </c>
      <c r="AY7" s="54">
        <f>IF(ISNA(VLOOKUP($CW7,'Audit Values'!$A$2:$BX$429,2,FALSE)),"",IF(AND('Weighting Factors'!G7&gt;0,VLOOKUP($CW7,'Audit Values'!$A$2:$BX$429,51,FALSE)&lt;'Weighting Factors'!G7),'Weighting Factors'!G7,VLOOKUP($CW7,'Audit Values'!$A$2:$BX$429,51,FALSE)))</f>
        <v>16</v>
      </c>
      <c r="AZ7" s="54" t="str">
        <f>IF(ISNA(VLOOKUP($CW7,'Audit Values'!$A:$BY,2,FALSE)),"",VLOOKUP($CW7,'Audit Values'!$A:$BY,52,FALSE))</f>
        <v>A</v>
      </c>
      <c r="BA7" s="54" t="str">
        <f>IF('Weighting Factors'!F7="","",IF('Weighting Factors'!H7="Pending","PX","R"))</f>
        <v/>
      </c>
      <c r="BB7" s="60">
        <f>SUM((U7+V7+AA7+AC7+AF7+AI7+AL7+AM7+AQ7+AN7)*'Weighting Factors'!$O$5)+'2024 Legal Max'!AX7</f>
        <v>1740605</v>
      </c>
      <c r="BC7" s="24">
        <f>SUM((AR7+AN7)*'Weighting Factors'!$O$5)+AX7</f>
        <v>1844909</v>
      </c>
      <c r="BD7" s="67">
        <f>IF('Weighting Factors'!F7&gt;0,'Weighting Factors'!F7,'Preliminary SO66'!AV6)</f>
        <v>1909526</v>
      </c>
      <c r="BE7" s="24">
        <f t="shared" si="39"/>
        <v>1844909</v>
      </c>
      <c r="BF7" s="71">
        <f>'Weighting Factors'!E7</f>
        <v>0</v>
      </c>
      <c r="BG7" s="71">
        <f>Transportation!G7</f>
        <v>0</v>
      </c>
      <c r="BH7" s="24">
        <f>IF(ISNA(VLOOKUP($CW7,'Audit Values'!$A:$BW,2,FALSE)), 0, VLOOKUP($CW7,'Audit Values'!$A:$BW,75,FALSE))</f>
        <v>0</v>
      </c>
      <c r="BI7" s="24">
        <f t="shared" si="10"/>
        <v>0</v>
      </c>
      <c r="BJ7" s="24">
        <f t="shared" si="11"/>
        <v>1844909</v>
      </c>
      <c r="BK7" s="24">
        <f>SUM((U7+V7+AA7+AC7+AF7+AI7+AL7+AM7+AN7)*'Weighting Factors'!O$12)+(MAX(AO7,'Weighting Factors'!B7))</f>
        <v>1954807</v>
      </c>
      <c r="BL7" s="78">
        <f>'LOB%'!F5</f>
        <v>0.316</v>
      </c>
      <c r="BM7" s="24">
        <f t="shared" si="12"/>
        <v>617719</v>
      </c>
      <c r="BN7" s="67">
        <v>617575</v>
      </c>
      <c r="BO7" s="24">
        <f t="shared" si="40"/>
        <v>617575</v>
      </c>
      <c r="BP7" s="89">
        <f t="shared" si="13"/>
        <v>0.31590000000000001</v>
      </c>
      <c r="BQ7" s="58">
        <f t="shared" si="14"/>
        <v>0</v>
      </c>
      <c r="BR7" s="1" t="b">
        <f t="shared" si="15"/>
        <v>1</v>
      </c>
      <c r="BS7" s="76">
        <f t="shared" si="16"/>
        <v>453.78500000000003</v>
      </c>
      <c r="BT7" s="75">
        <f t="shared" si="17"/>
        <v>0.88974699999999995</v>
      </c>
      <c r="BU7" s="58">
        <f t="shared" si="18"/>
        <v>130.80000000000001</v>
      </c>
      <c r="BV7" s="1" t="b">
        <f t="shared" si="19"/>
        <v>0</v>
      </c>
      <c r="BW7" s="1">
        <f t="shared" si="20"/>
        <v>0</v>
      </c>
      <c r="BX7" s="75">
        <f t="shared" si="21"/>
        <v>0</v>
      </c>
      <c r="BY7" s="58">
        <f t="shared" si="22"/>
        <v>0</v>
      </c>
      <c r="BZ7" s="58">
        <f t="shared" si="23"/>
        <v>0</v>
      </c>
      <c r="CA7" s="61">
        <v>688</v>
      </c>
      <c r="CB7" s="102">
        <f t="shared" si="24"/>
        <v>6.4000000000000001E-2</v>
      </c>
      <c r="CC7" s="105">
        <f>IF(CB7&lt;0.06,1,IF(CB7&gt;=18.29,52,MATCH(CB7-0.001,'Weighting Factors'!$W$5:$W$156)+1))</f>
        <v>2</v>
      </c>
      <c r="CD7" s="24">
        <f>VLOOKUP(CC7, 'Weighting Factors'!$U$5:$X$56,4)</f>
        <v>1580</v>
      </c>
      <c r="CE7" s="109">
        <f>('Weighting Factors'!$O$5/'Weighting Factors'!$O$14)</f>
        <v>1.2216</v>
      </c>
      <c r="CF7" s="100">
        <f t="shared" si="25"/>
        <v>69520</v>
      </c>
      <c r="CG7" s="100">
        <f>CF7*'Weighting Factors'!$Q$7</f>
        <v>69520</v>
      </c>
      <c r="CH7" s="100">
        <f t="shared" si="26"/>
        <v>84926</v>
      </c>
      <c r="CI7" s="58">
        <f>AK7/'Weighting Factors'!$O$5</f>
        <v>16.7</v>
      </c>
      <c r="CJ7" s="67">
        <v>0</v>
      </c>
      <c r="CK7" s="80">
        <v>0</v>
      </c>
      <c r="CL7" s="110">
        <v>0</v>
      </c>
      <c r="CM7" s="24">
        <f>SUM((AR7*'Weighting Factors'!$O$5)+'2024 Legal Max'!AX7)*CL7</f>
        <v>0</v>
      </c>
      <c r="CN7" s="24">
        <f t="shared" si="27"/>
        <v>0</v>
      </c>
      <c r="CO7" s="65">
        <f t="shared" si="4"/>
        <v>0.43049999999999999</v>
      </c>
      <c r="CP7" s="58">
        <f t="shared" si="28"/>
        <v>0</v>
      </c>
      <c r="CQ7" s="58">
        <f t="shared" si="29"/>
        <v>3.7</v>
      </c>
      <c r="CR7" s="58">
        <f t="shared" si="30"/>
        <v>362.6</v>
      </c>
      <c r="CS7" s="24">
        <f>'Required Transfers'!L7</f>
        <v>53667</v>
      </c>
      <c r="CT7" s="24">
        <f>'Required Transfers'!O7</f>
        <v>9017</v>
      </c>
      <c r="CU7" s="24">
        <f>'Required Transfers'!H7</f>
        <v>183677</v>
      </c>
      <c r="CV7" s="58">
        <f t="shared" si="31"/>
        <v>149.5</v>
      </c>
      <c r="CW7" s="27" t="s">
        <v>192</v>
      </c>
    </row>
    <row r="8" spans="1:101" ht="15" customHeight="1">
      <c r="A8" s="54">
        <v>105</v>
      </c>
      <c r="B8" s="1" t="s">
        <v>51</v>
      </c>
      <c r="C8" s="1" t="s">
        <v>513</v>
      </c>
      <c r="D8" s="58">
        <v>341</v>
      </c>
      <c r="E8" s="58"/>
      <c r="F8" s="58">
        <v>0</v>
      </c>
      <c r="G8" s="58">
        <f t="shared" si="32"/>
        <v>341</v>
      </c>
      <c r="H8" s="58">
        <v>360.9</v>
      </c>
      <c r="I8" s="58"/>
      <c r="J8" s="58">
        <v>0</v>
      </c>
      <c r="K8" s="58">
        <f t="shared" si="33"/>
        <v>360.9</v>
      </c>
      <c r="L8" s="1">
        <v>374.5</v>
      </c>
      <c r="N8" s="1">
        <v>0</v>
      </c>
      <c r="O8" s="58">
        <f t="shared" si="34"/>
        <v>374.5</v>
      </c>
      <c r="P8" s="58">
        <f>IF(ISNA(VLOOKUP($CW8,'Audit Values'!$A:$BZ,2,FALSE)),'Preliminary SO66'!C7,VLOOKUP($CW8,'Audit Values'!$A:$BZ,76,FALSE))</f>
        <v>359.5</v>
      </c>
      <c r="Q8" s="58">
        <f>IF(ISNA(VLOOKUP($CW8,'Audit Values'!$A:$BZ,2,FALSE)),'Preliminary SO66'!F7,VLOOKUP($CW8,'Audit Values'!$A:$BZ,4,FALSE))</f>
        <v>0</v>
      </c>
      <c r="R8" s="58">
        <f t="shared" si="35"/>
        <v>359.5</v>
      </c>
      <c r="S8" s="58">
        <f>IF('Military Provision'!I8="YES", MAX('2024 Legal Max'!O8,'2024 Legal Max'!K8,AVERAGE('2024 Legal Max'!G8,'2024 Legal Max'!K8,'2024 Legal Max'!O8)), MAX(O8, K8))</f>
        <v>374.5</v>
      </c>
      <c r="T8" s="58">
        <f>IF(ISNA(VLOOKUP($CW8,'Audit Values'!$A:$BX,2,FALSE)),'Preliminary SO66'!AL7,VLOOKUP($CW8,'Audit Values'!$A:$BX,59,FALSE))</f>
        <v>0</v>
      </c>
      <c r="U8" s="58">
        <f t="shared" si="36"/>
        <v>374.5</v>
      </c>
      <c r="V8" s="58">
        <f>'Low-High ENRL- 2023 HSubSB 113'!N11</f>
        <v>171.8</v>
      </c>
      <c r="W8" s="58">
        <f>IF(ISNA(VLOOKUP($CW8,'Audit Values'!$A:$BZ,2,FALSE)),'Preliminary SO66'!AM7,VLOOKUP($CW8,'Audit Values'!$A:$BZ,63,FALSE))</f>
        <v>38.4</v>
      </c>
      <c r="X8" s="58">
        <f>(W8/6)*'Weighting Factors'!$O$7</f>
        <v>2.5</v>
      </c>
      <c r="Y8" s="61">
        <f>IF(ISNA(VLOOKUP($CW8,'Audit Values'!$A:$BZ,2,FALSE)),'Preliminary SO66'!AN7,VLOOKUP($CW8,'Audit Values'!$A:$BZ,62,FALSE))</f>
        <v>24</v>
      </c>
      <c r="Z8" s="58">
        <f>Y8*'Weighting Factors'!$O$8</f>
        <v>4.4000000000000004</v>
      </c>
      <c r="AA8" s="58">
        <f t="shared" si="6"/>
        <v>4.4000000000000004</v>
      </c>
      <c r="AB8" s="106">
        <f>IF(ISNA(VLOOKUP($CW8,'Audit Values'!$A:$BZ,2,FALSE)),'Preliminary SO66'!AO7,VLOOKUP($CW8,'Audit Values'!$A:$BZ,61,FALSE))</f>
        <v>114.8</v>
      </c>
      <c r="AC8" s="58">
        <f>AB8/6*'Weighting Factors'!$O$6</f>
        <v>9.6</v>
      </c>
      <c r="AD8" s="24">
        <f>IF(ISNA(VLOOKUP($CW8,'Audit Values'!$A:$BX,2,FALSE)),'Preliminary SO66'!AS7,VLOOKUP($CW8,'Audit Values'!$A:$BX,64,FALSE))</f>
        <v>361</v>
      </c>
      <c r="AE8" s="24">
        <f>IF(ISNA(VLOOKUP($CW8,'Audit Values'!$A:$BX,2,FALSE)),'Preliminary SO66'!AP7,VLOOKUP($CW8,'Audit Values'!$A:$BX,65,FALSE))</f>
        <v>118</v>
      </c>
      <c r="AF8" s="58">
        <f>IF(A8=207, AE8,(AE8))*'Weighting Factors'!$O$9</f>
        <v>57.1</v>
      </c>
      <c r="AG8" s="58">
        <f t="shared" si="7"/>
        <v>0</v>
      </c>
      <c r="AH8" s="58">
        <f>IF(ISNA(VLOOKUP($CW8,'Audit Values'!$A:$BZ,2,FALSE)),'Preliminary SO66'!AG7,VLOOKUP($CW8,'Audit Values'!$A:$BZ,71,FALSE))</f>
        <v>1.1000000000000001</v>
      </c>
      <c r="AI8" s="58">
        <f t="shared" si="8"/>
        <v>1.1000000000000001</v>
      </c>
      <c r="AJ8" s="58">
        <f>IF(ISNA(VLOOKUP($CW8,'Audit Values'!$A:$BX,2,FALSE)),'Preliminary SO66'!AR7,VLOOKUP($CW8,'Audit Values'!$A:$BX,66,FALSE))</f>
        <v>133.5</v>
      </c>
      <c r="AK8" s="24">
        <f t="shared" si="9"/>
        <v>212009</v>
      </c>
      <c r="AL8" s="58">
        <f>AK8/'Weighting Factors'!$O$5</f>
        <v>41.7</v>
      </c>
      <c r="AM8" s="58">
        <f>CJ8/'Weighting Factors'!$O$5</f>
        <v>0</v>
      </c>
      <c r="AN8" s="58">
        <f>CN8/'Weighting Factors'!$O$5</f>
        <v>0</v>
      </c>
      <c r="AO8" s="24">
        <v>280739</v>
      </c>
      <c r="AP8" s="58">
        <f>AO8/'Weighting Factors'!$O$5</f>
        <v>55.2</v>
      </c>
      <c r="AQ8" s="58">
        <f>IF(ISNA(VLOOKUP($CW8,'Audit Values'!$A:$BX,2,FALSE)),'Preliminary SO66'!X7,VLOOKUP($CW8,'Audit Values'!$A:$BX,48,FALSE))</f>
        <v>1</v>
      </c>
      <c r="AR8" s="58">
        <f t="shared" si="37"/>
        <v>716.4</v>
      </c>
      <c r="AS8" s="58">
        <f t="shared" si="38"/>
        <v>661.2</v>
      </c>
      <c r="AT8" s="58">
        <f>IF(ISNA(VLOOKUP($CW8,'Audit Values'!$A$2:$BX$410,2,FALSE)),'Preliminary SO66'!AA7,VLOOKUP($CW8,'Audit Values'!$A$2:$BX$410,41,FALSE))</f>
        <v>0</v>
      </c>
      <c r="AU8" s="58">
        <f>IF(ISNA(VLOOKUP($CW8,'Audit Values'!$A$2:$BX$410,2,FALSE)),'Preliminary SO66'!AB7,VLOOKUP($CW8,'Audit Values'!$A$2:$BX$410,42,FALSE))</f>
        <v>0</v>
      </c>
      <c r="AV8" s="73">
        <v>0</v>
      </c>
      <c r="AW8" s="73">
        <v>0</v>
      </c>
      <c r="AX8" s="24">
        <f>SUM(AT8*'Weighting Factors'!$R$10)+('2024 Legal Max'!AU8*'Weighting Factors'!$R$11)+('2024 Legal Max'!AV8*'Weighting Factors'!$R$12)+('2024 Legal Max'!AW8*'Weighting Factors'!$R$12)</f>
        <v>0</v>
      </c>
      <c r="AY8" s="54">
        <f>IF(ISNA(VLOOKUP($CW8,'Audit Values'!$A$2:$BX$429,2,FALSE)),"",IF(AND('Weighting Factors'!G8&gt;0,VLOOKUP($CW8,'Audit Values'!$A$2:$BX$429,51,FALSE)&lt;'Weighting Factors'!G8),'Weighting Factors'!G8,VLOOKUP($CW8,'Audit Values'!$A$2:$BX$429,51,FALSE)))</f>
        <v>16</v>
      </c>
      <c r="AZ8" s="54" t="str">
        <f>IF(ISNA(VLOOKUP($CW8,'Audit Values'!$A:$BY,2,FALSE)),"",VLOOKUP($CW8,'Audit Values'!$A:$BY,52,FALSE))</f>
        <v>A</v>
      </c>
      <c r="BA8" s="54" t="str">
        <f>IF('Weighting Factors'!F8="","",IF('Weighting Factors'!H8="Pending","PX","R"))</f>
        <v/>
      </c>
      <c r="BB8" s="60">
        <f>SUM((U8+V8+AA8+AC8+AF8+AI8+AL8+AM8+AQ8+AN8)*'Weighting Factors'!$O$5)+'2024 Legal Max'!AX8</f>
        <v>3364186</v>
      </c>
      <c r="BC8" s="24">
        <f>SUM((AR8+AN8)*'Weighting Factors'!$O$5)+AX8</f>
        <v>3645043</v>
      </c>
      <c r="BD8" s="67">
        <f>IF('Weighting Factors'!F8&gt;0,'Weighting Factors'!F8,'Preliminary SO66'!AV7)</f>
        <v>3803280</v>
      </c>
      <c r="BE8" s="24">
        <f t="shared" si="39"/>
        <v>3645043</v>
      </c>
      <c r="BF8" s="71">
        <f>'Weighting Factors'!E8</f>
        <v>0</v>
      </c>
      <c r="BG8" s="71">
        <f>Transportation!G8</f>
        <v>0</v>
      </c>
      <c r="BH8" s="24">
        <f>IF(ISNA(VLOOKUP($CW8,'Audit Values'!$A:$BW,2,FALSE)), 0, VLOOKUP($CW8,'Audit Values'!$A:$BW,75,FALSE))</f>
        <v>0</v>
      </c>
      <c r="BI8" s="24">
        <f t="shared" si="10"/>
        <v>0</v>
      </c>
      <c r="BJ8" s="24">
        <f t="shared" si="11"/>
        <v>3645043</v>
      </c>
      <c r="BK8" s="24">
        <f>SUM((U8+V8+AA8+AC8+AF8+AI8+AL8+AM8+AN8)*'Weighting Factors'!O$12)+(MAX(AO8,'Weighting Factors'!B8))</f>
        <v>3738915</v>
      </c>
      <c r="BL8" s="78">
        <f>'LOB%'!F6</f>
        <v>0.33</v>
      </c>
      <c r="BM8" s="24">
        <f t="shared" si="12"/>
        <v>1233842</v>
      </c>
      <c r="BN8" s="67">
        <v>1273842</v>
      </c>
      <c r="BO8" s="24">
        <f t="shared" si="40"/>
        <v>1233842</v>
      </c>
      <c r="BP8" s="89">
        <f t="shared" si="13"/>
        <v>0.33</v>
      </c>
      <c r="BQ8" s="58">
        <f t="shared" si="14"/>
        <v>0</v>
      </c>
      <c r="BR8" s="1" t="b">
        <f t="shared" si="15"/>
        <v>0</v>
      </c>
      <c r="BS8" s="76">
        <f t="shared" si="16"/>
        <v>0</v>
      </c>
      <c r="BT8" s="75">
        <f t="shared" si="17"/>
        <v>0</v>
      </c>
      <c r="BU8" s="58">
        <f t="shared" si="18"/>
        <v>0</v>
      </c>
      <c r="BV8" s="1" t="b">
        <f t="shared" si="19"/>
        <v>1</v>
      </c>
      <c r="BW8" s="1">
        <f t="shared" si="20"/>
        <v>92.193799999999996</v>
      </c>
      <c r="BX8" s="75">
        <f t="shared" si="21"/>
        <v>0.45887499999999998</v>
      </c>
      <c r="BY8" s="58">
        <f t="shared" si="22"/>
        <v>171.8</v>
      </c>
      <c r="BZ8" s="58">
        <f t="shared" si="23"/>
        <v>0</v>
      </c>
      <c r="CA8" s="61">
        <v>740.1</v>
      </c>
      <c r="CB8" s="102">
        <f t="shared" si="24"/>
        <v>0.18</v>
      </c>
      <c r="CC8" s="105">
        <f>IF(CB8&lt;0.06,1,IF(CB8&gt;=18.29,52,MATCH(CB8-0.001,'Weighting Factors'!$W$5:$W$156)+1))</f>
        <v>14</v>
      </c>
      <c r="CD8" s="24">
        <f>VLOOKUP(CC8, 'Weighting Factors'!$U$5:$X$56,4)</f>
        <v>1300</v>
      </c>
      <c r="CE8" s="109">
        <f>('Weighting Factors'!$O$5/'Weighting Factors'!$O$14)</f>
        <v>1.2216</v>
      </c>
      <c r="CF8" s="100">
        <f t="shared" si="25"/>
        <v>173550</v>
      </c>
      <c r="CG8" s="100">
        <f>CF8*'Weighting Factors'!$Q$7</f>
        <v>173550</v>
      </c>
      <c r="CH8" s="100">
        <f t="shared" si="26"/>
        <v>212009</v>
      </c>
      <c r="CI8" s="58">
        <f>AK8/'Weighting Factors'!$O$5</f>
        <v>41.7</v>
      </c>
      <c r="CJ8" s="67">
        <v>0</v>
      </c>
      <c r="CK8" s="80">
        <v>0</v>
      </c>
      <c r="CL8" s="110">
        <v>0</v>
      </c>
      <c r="CM8" s="24">
        <f>SUM((AR8*'Weighting Factors'!$O$5)+'2024 Legal Max'!AX8)*CL8</f>
        <v>0</v>
      </c>
      <c r="CN8" s="24">
        <f t="shared" si="27"/>
        <v>0</v>
      </c>
      <c r="CO8" s="65">
        <f t="shared" si="4"/>
        <v>0.32690000000000002</v>
      </c>
      <c r="CP8" s="58">
        <f t="shared" si="28"/>
        <v>0</v>
      </c>
      <c r="CQ8" s="58">
        <f t="shared" si="29"/>
        <v>0</v>
      </c>
      <c r="CR8" s="58">
        <f t="shared" si="30"/>
        <v>716.4</v>
      </c>
      <c r="CS8" s="24">
        <f>'Required Transfers'!L8</f>
        <v>98461</v>
      </c>
      <c r="CT8" s="24">
        <f>'Required Transfers'!O8</f>
        <v>7650</v>
      </c>
      <c r="CU8" s="24">
        <f>'Required Transfers'!H8</f>
        <v>296122</v>
      </c>
      <c r="CV8" s="58">
        <f t="shared" si="31"/>
        <v>359.5</v>
      </c>
      <c r="CW8" s="27" t="s">
        <v>193</v>
      </c>
    </row>
    <row r="9" spans="1:101" ht="15" customHeight="1">
      <c r="A9" s="54">
        <v>106</v>
      </c>
      <c r="B9" s="1" t="s">
        <v>47</v>
      </c>
      <c r="C9" s="1" t="s">
        <v>514</v>
      </c>
      <c r="D9" s="58">
        <v>104.5</v>
      </c>
      <c r="E9" s="58"/>
      <c r="F9" s="58">
        <v>0</v>
      </c>
      <c r="G9" s="58">
        <f t="shared" si="32"/>
        <v>104.5</v>
      </c>
      <c r="H9" s="58">
        <v>107.5</v>
      </c>
      <c r="I9" s="58"/>
      <c r="J9" s="58">
        <v>0</v>
      </c>
      <c r="K9" s="58">
        <f t="shared" si="33"/>
        <v>107.5</v>
      </c>
      <c r="L9" s="1">
        <v>106.5</v>
      </c>
      <c r="N9" s="1">
        <v>0</v>
      </c>
      <c r="O9" s="58">
        <f t="shared" si="34"/>
        <v>106.5</v>
      </c>
      <c r="P9" s="58">
        <f>IF(ISNA(VLOOKUP($CW9,'Audit Values'!$A:$BZ,2,FALSE)),'Preliminary SO66'!C8,VLOOKUP($CW9,'Audit Values'!$A:$BZ,76,FALSE))</f>
        <v>110</v>
      </c>
      <c r="Q9" s="58">
        <f>IF(ISNA(VLOOKUP($CW9,'Audit Values'!$A:$BZ,2,FALSE)),'Preliminary SO66'!F8,VLOOKUP($CW9,'Audit Values'!$A:$BZ,4,FALSE))</f>
        <v>0</v>
      </c>
      <c r="R9" s="58">
        <f t="shared" si="35"/>
        <v>110</v>
      </c>
      <c r="S9" s="58">
        <f>IF('Military Provision'!I9="YES", MAX('2024 Legal Max'!O9,'2024 Legal Max'!K9,AVERAGE('2024 Legal Max'!G9,'2024 Legal Max'!K9,'2024 Legal Max'!O9)), MAX(O9, K9))</f>
        <v>107.5</v>
      </c>
      <c r="T9" s="58">
        <f>IF(ISNA(VLOOKUP($CW9,'Audit Values'!$A:$BX,2,FALSE)),'Preliminary SO66'!AL8,VLOOKUP($CW9,'Audit Values'!$A:$BX,59,FALSE))</f>
        <v>6.5</v>
      </c>
      <c r="U9" s="58">
        <f t="shared" si="36"/>
        <v>114</v>
      </c>
      <c r="V9" s="58">
        <f>'Low-High ENRL- 2023 HSubSB 113'!N12</f>
        <v>111.4</v>
      </c>
      <c r="W9" s="58">
        <f>IF(ISNA(VLOOKUP($CW9,'Audit Values'!$A:$BZ,2,FALSE)),'Preliminary SO66'!AM8,VLOOKUP($CW9,'Audit Values'!$A:$BZ,63,FALSE))</f>
        <v>75.5</v>
      </c>
      <c r="X9" s="58">
        <f>(W9/6)*'Weighting Factors'!$O$7</f>
        <v>5</v>
      </c>
      <c r="Y9" s="61">
        <f>IF(ISNA(VLOOKUP($CW9,'Audit Values'!$A:$BZ,2,FALSE)),'Preliminary SO66'!AN8,VLOOKUP($CW9,'Audit Values'!$A:$BZ,62,FALSE))</f>
        <v>18</v>
      </c>
      <c r="Z9" s="58">
        <f>Y9*'Weighting Factors'!$O$8</f>
        <v>3.3</v>
      </c>
      <c r="AA9" s="58">
        <f t="shared" si="6"/>
        <v>5</v>
      </c>
      <c r="AB9" s="106">
        <f>IF(ISNA(VLOOKUP($CW9,'Audit Values'!$A:$BZ,2,FALSE)),'Preliminary SO66'!AO8,VLOOKUP($CW9,'Audit Values'!$A:$BZ,61,FALSE))</f>
        <v>48.8</v>
      </c>
      <c r="AC9" s="58">
        <f>AB9/6*'Weighting Factors'!$O$6</f>
        <v>4.0999999999999996</v>
      </c>
      <c r="AD9" s="24">
        <f>IF(ISNA(VLOOKUP($CW9,'Audit Values'!$A:$BX,2,FALSE)),'Preliminary SO66'!AS8,VLOOKUP($CW9,'Audit Values'!$A:$BX,64,FALSE))</f>
        <v>123</v>
      </c>
      <c r="AE9" s="24">
        <f>IF(ISNA(VLOOKUP($CW9,'Audit Values'!$A:$BX,2,FALSE)),'Preliminary SO66'!AP8,VLOOKUP($CW9,'Audit Values'!$A:$BX,65,FALSE))</f>
        <v>79</v>
      </c>
      <c r="AF9" s="58">
        <f>IF(A9=207, AE9,(AE9))*'Weighting Factors'!$O$9</f>
        <v>38.200000000000003</v>
      </c>
      <c r="AG9" s="58">
        <f t="shared" si="7"/>
        <v>8.3000000000000007</v>
      </c>
      <c r="AH9" s="58">
        <f>IF(ISNA(VLOOKUP($CW9,'Audit Values'!$A:$BZ,2,FALSE)),'Preliminary SO66'!AG8,VLOOKUP($CW9,'Audit Values'!$A:$BZ,71,FALSE))</f>
        <v>8.3000000000000007</v>
      </c>
      <c r="AI9" s="58">
        <f t="shared" si="8"/>
        <v>8.3000000000000007</v>
      </c>
      <c r="AJ9" s="58">
        <f>IF(ISNA(VLOOKUP($CW9,'Audit Values'!$A:$BX,2,FALSE)),'Preliminary SO66'!AR8,VLOOKUP($CW9,'Audit Values'!$A:$BX,66,FALSE))</f>
        <v>25</v>
      </c>
      <c r="AK9" s="24">
        <f t="shared" si="9"/>
        <v>49475</v>
      </c>
      <c r="AL9" s="58">
        <f>AK9/'Weighting Factors'!$O$5</f>
        <v>9.6999999999999993</v>
      </c>
      <c r="AM9" s="58">
        <f>CJ9/'Weighting Factors'!$O$5</f>
        <v>0</v>
      </c>
      <c r="AN9" s="58">
        <f>CN9/'Weighting Factors'!$O$5</f>
        <v>0</v>
      </c>
      <c r="AO9" s="24">
        <v>93572</v>
      </c>
      <c r="AP9" s="58">
        <f>AO9/'Weighting Factors'!$O$5</f>
        <v>18.399999999999999</v>
      </c>
      <c r="AQ9" s="58">
        <f>IF(ISNA(VLOOKUP($CW9,'Audit Values'!$A:$BX,2,FALSE)),'Preliminary SO66'!X8,VLOOKUP($CW9,'Audit Values'!$A:$BX,48,FALSE))</f>
        <v>0</v>
      </c>
      <c r="AR9" s="58">
        <f t="shared" si="37"/>
        <v>309.10000000000002</v>
      </c>
      <c r="AS9" s="58">
        <f t="shared" si="38"/>
        <v>290.7</v>
      </c>
      <c r="AT9" s="58">
        <f>IF(ISNA(VLOOKUP($CW9,'Audit Values'!$A$2:$BX$410,2,FALSE)),'Preliminary SO66'!AA8,VLOOKUP($CW9,'Audit Values'!$A$2:$BX$410,41,FALSE))</f>
        <v>0</v>
      </c>
      <c r="AU9" s="58">
        <f>IF(ISNA(VLOOKUP($CW9,'Audit Values'!$A$2:$BX$410,2,FALSE)),'Preliminary SO66'!AB8,VLOOKUP($CW9,'Audit Values'!$A$2:$BX$410,42,FALSE))</f>
        <v>0</v>
      </c>
      <c r="AV9" s="73">
        <v>0</v>
      </c>
      <c r="AW9" s="73">
        <v>0</v>
      </c>
      <c r="AX9" s="24">
        <f>SUM(AT9*'Weighting Factors'!$R$10)+('2024 Legal Max'!AU9*'Weighting Factors'!$R$11)+('2024 Legal Max'!AV9*'Weighting Factors'!$R$12)+('2024 Legal Max'!AW9*'Weighting Factors'!$R$12)</f>
        <v>0</v>
      </c>
      <c r="AY9" s="54">
        <f>IF(ISNA(VLOOKUP($CW9,'Audit Values'!$A$2:$BX$429,2,FALSE)),"",IF(AND('Weighting Factors'!G9&gt;0,VLOOKUP($CW9,'Audit Values'!$A$2:$BX$429,51,FALSE)&lt;'Weighting Factors'!G9),'Weighting Factors'!G9,VLOOKUP($CW9,'Audit Values'!$A$2:$BX$429,51,FALSE)))</f>
        <v>6</v>
      </c>
      <c r="AZ9" s="54" t="str">
        <f>IF(ISNA(VLOOKUP($CW9,'Audit Values'!$A:$BY,2,FALSE)),"",VLOOKUP($CW9,'Audit Values'!$A:$BY,52,FALSE))</f>
        <v>A</v>
      </c>
      <c r="BA9" s="54" t="str">
        <f>IF('Weighting Factors'!F9="","",IF('Weighting Factors'!H9="Pending","PX","R"))</f>
        <v/>
      </c>
      <c r="BB9" s="60">
        <f>SUM((U9+V9+AA9+AC9+AF9+AI9+AL9+AM9+AQ9+AN9)*'Weighting Factors'!$O$5)+'2024 Legal Max'!AX9</f>
        <v>1479082</v>
      </c>
      <c r="BC9" s="24">
        <f>SUM((AR9+AN9)*'Weighting Factors'!$O$5)+AX9</f>
        <v>1572701</v>
      </c>
      <c r="BD9" s="67">
        <f>IF('Weighting Factors'!F9&gt;0,'Weighting Factors'!F9,'Preliminary SO66'!AV8)</f>
        <v>1608826</v>
      </c>
      <c r="BE9" s="24">
        <f t="shared" si="39"/>
        <v>1572701</v>
      </c>
      <c r="BF9" s="71">
        <f>'Weighting Factors'!E9</f>
        <v>0</v>
      </c>
      <c r="BG9" s="71">
        <f>Transportation!G9</f>
        <v>0</v>
      </c>
      <c r="BH9" s="24">
        <f>IF(ISNA(VLOOKUP($CW9,'Audit Values'!$A:$BW,2,FALSE)), 0, VLOOKUP($CW9,'Audit Values'!$A:$BW,75,FALSE))</f>
        <v>0</v>
      </c>
      <c r="BI9" s="24">
        <f t="shared" si="10"/>
        <v>0</v>
      </c>
      <c r="BJ9" s="24">
        <f t="shared" si="11"/>
        <v>1572701</v>
      </c>
      <c r="BK9" s="24">
        <f>SUM((U9+V9+AA9+AC9+AF9+AI9+AL9+AM9+AN9)*'Weighting Factors'!O$12)+(MAX(AO9,'Weighting Factors'!B9))</f>
        <v>1650773</v>
      </c>
      <c r="BL9" s="78">
        <f>'LOB%'!F7</f>
        <v>0.33</v>
      </c>
      <c r="BM9" s="24">
        <f t="shared" si="12"/>
        <v>544755</v>
      </c>
      <c r="BN9" s="67">
        <v>546117</v>
      </c>
      <c r="BO9" s="24">
        <f t="shared" si="40"/>
        <v>544755</v>
      </c>
      <c r="BP9" s="89">
        <f t="shared" si="13"/>
        <v>0.33</v>
      </c>
      <c r="BQ9" s="58">
        <f t="shared" si="14"/>
        <v>0</v>
      </c>
      <c r="BR9" s="1" t="b">
        <f t="shared" si="15"/>
        <v>1</v>
      </c>
      <c r="BS9" s="76">
        <f t="shared" si="16"/>
        <v>135.16999999999999</v>
      </c>
      <c r="BT9" s="75">
        <f t="shared" si="17"/>
        <v>0.97722100000000001</v>
      </c>
      <c r="BU9" s="58">
        <f t="shared" si="18"/>
        <v>111.4</v>
      </c>
      <c r="BV9" s="1" t="b">
        <f t="shared" si="19"/>
        <v>0</v>
      </c>
      <c r="BW9" s="1">
        <f t="shared" si="20"/>
        <v>0</v>
      </c>
      <c r="BX9" s="75">
        <f t="shared" si="21"/>
        <v>0</v>
      </c>
      <c r="BY9" s="58">
        <f t="shared" si="22"/>
        <v>0</v>
      </c>
      <c r="BZ9" s="58">
        <f t="shared" si="23"/>
        <v>0</v>
      </c>
      <c r="CA9" s="61">
        <v>601.20000000000005</v>
      </c>
      <c r="CB9" s="102">
        <f t="shared" si="24"/>
        <v>4.2000000000000003E-2</v>
      </c>
      <c r="CC9" s="105">
        <f>IF(CB9&lt;0.06,1,IF(CB9&gt;=18.29,52,MATCH(CB9-0.001,'Weighting Factors'!$W$5:$W$156)+1))</f>
        <v>1</v>
      </c>
      <c r="CD9" s="24">
        <f>VLOOKUP(CC9, 'Weighting Factors'!$U$5:$X$56,4)</f>
        <v>1620</v>
      </c>
      <c r="CE9" s="109">
        <f>('Weighting Factors'!$O$5/'Weighting Factors'!$O$14)</f>
        <v>1.2216</v>
      </c>
      <c r="CF9" s="100">
        <f t="shared" si="25"/>
        <v>40500</v>
      </c>
      <c r="CG9" s="100">
        <f>CF9*'Weighting Factors'!$Q$7</f>
        <v>40500</v>
      </c>
      <c r="CH9" s="100">
        <f t="shared" si="26"/>
        <v>49475</v>
      </c>
      <c r="CI9" s="58">
        <f>AK9/'Weighting Factors'!$O$5</f>
        <v>9.6999999999999993</v>
      </c>
      <c r="CJ9" s="67">
        <v>0</v>
      </c>
      <c r="CK9" s="80">
        <v>0</v>
      </c>
      <c r="CL9" s="110">
        <v>0</v>
      </c>
      <c r="CM9" s="24">
        <f>SUM((AR9*'Weighting Factors'!$O$5)+'2024 Legal Max'!AX9)*CL9</f>
        <v>0</v>
      </c>
      <c r="CN9" s="24">
        <f t="shared" si="27"/>
        <v>0</v>
      </c>
      <c r="CO9" s="65">
        <f t="shared" si="4"/>
        <v>0.64229999999999998</v>
      </c>
      <c r="CP9" s="58">
        <f t="shared" si="28"/>
        <v>8.3000000000000007</v>
      </c>
      <c r="CQ9" s="58">
        <f t="shared" si="29"/>
        <v>0</v>
      </c>
      <c r="CR9" s="58">
        <f t="shared" si="30"/>
        <v>309.10000000000002</v>
      </c>
      <c r="CS9" s="24">
        <f>'Required Transfers'!L9</f>
        <v>68748</v>
      </c>
      <c r="CT9" s="24">
        <f>'Required Transfers'!O9</f>
        <v>8988</v>
      </c>
      <c r="CU9" s="24">
        <f>'Required Transfers'!H9</f>
        <v>236592</v>
      </c>
      <c r="CV9" s="58">
        <f t="shared" si="31"/>
        <v>116.5</v>
      </c>
      <c r="CW9" s="27" t="s">
        <v>194</v>
      </c>
    </row>
    <row r="10" spans="1:101" ht="15" customHeight="1">
      <c r="A10" s="54">
        <v>107</v>
      </c>
      <c r="B10" s="1" t="s">
        <v>7</v>
      </c>
      <c r="C10" s="1" t="s">
        <v>515</v>
      </c>
      <c r="D10" s="58">
        <v>328.2</v>
      </c>
      <c r="E10" s="58"/>
      <c r="F10" s="58">
        <v>0</v>
      </c>
      <c r="G10" s="58">
        <f t="shared" si="32"/>
        <v>328.2</v>
      </c>
      <c r="H10" s="58">
        <v>374</v>
      </c>
      <c r="I10" s="58"/>
      <c r="J10" s="58">
        <v>0</v>
      </c>
      <c r="K10" s="58">
        <f t="shared" si="33"/>
        <v>374</v>
      </c>
      <c r="L10" s="1">
        <v>355.5</v>
      </c>
      <c r="N10" s="1">
        <v>0</v>
      </c>
      <c r="O10" s="58">
        <f t="shared" si="34"/>
        <v>355.5</v>
      </c>
      <c r="P10" s="58">
        <f>IF(ISNA(VLOOKUP($CW10,'Audit Values'!$A:$BZ,2,FALSE)),'Preliminary SO66'!C9,VLOOKUP($CW10,'Audit Values'!$A:$BZ,76,FALSE))</f>
        <v>348</v>
      </c>
      <c r="Q10" s="58">
        <f>IF(ISNA(VLOOKUP($CW10,'Audit Values'!$A:$BZ,2,FALSE)),'Preliminary SO66'!F9,VLOOKUP($CW10,'Audit Values'!$A:$BZ,4,FALSE))</f>
        <v>0</v>
      </c>
      <c r="R10" s="58">
        <f t="shared" si="35"/>
        <v>348</v>
      </c>
      <c r="S10" s="58">
        <f>IF('Military Provision'!I10="YES", MAX('2024 Legal Max'!O10,'2024 Legal Max'!K10,AVERAGE('2024 Legal Max'!G10,'2024 Legal Max'!K10,'2024 Legal Max'!O10)), MAX(O10, K10))</f>
        <v>374</v>
      </c>
      <c r="T10" s="58">
        <f>IF(ISNA(VLOOKUP($CW10,'Audit Values'!$A:$BX,2,FALSE)),'Preliminary SO66'!AL9,VLOOKUP($CW10,'Audit Values'!$A:$BX,59,FALSE))</f>
        <v>9</v>
      </c>
      <c r="U10" s="58">
        <f t="shared" si="36"/>
        <v>383</v>
      </c>
      <c r="V10" s="58">
        <f>'Low-High ENRL- 2023 HSubSB 113'!N13</f>
        <v>174.6</v>
      </c>
      <c r="W10" s="58">
        <f>IF(ISNA(VLOOKUP($CW10,'Audit Values'!$A:$BZ,2,FALSE)),'Preliminary SO66'!AM9,VLOOKUP($CW10,'Audit Values'!$A:$BZ,63,FALSE))</f>
        <v>0</v>
      </c>
      <c r="X10" s="58">
        <f>(W10/6)*'Weighting Factors'!$O$7</f>
        <v>0</v>
      </c>
      <c r="Y10" s="61">
        <f>IF(ISNA(VLOOKUP($CW10,'Audit Values'!$A:$BZ,2,FALSE)),'Preliminary SO66'!AN9,VLOOKUP($CW10,'Audit Values'!$A:$BZ,62,FALSE))</f>
        <v>2</v>
      </c>
      <c r="Z10" s="58">
        <f>Y10*'Weighting Factors'!$O$8</f>
        <v>0.4</v>
      </c>
      <c r="AA10" s="58">
        <f t="shared" si="6"/>
        <v>0.4</v>
      </c>
      <c r="AB10" s="106">
        <f>IF(ISNA(VLOOKUP($CW10,'Audit Values'!$A:$BZ,2,FALSE)),'Preliminary SO66'!AO9,VLOOKUP($CW10,'Audit Values'!$A:$BZ,61,FALSE))</f>
        <v>136.5</v>
      </c>
      <c r="AC10" s="58">
        <f>AB10/6*'Weighting Factors'!$O$6</f>
        <v>11.4</v>
      </c>
      <c r="AD10" s="24">
        <f>IF(ISNA(VLOOKUP($CW10,'Audit Values'!$A:$BX,2,FALSE)),'Preliminary SO66'!AS9,VLOOKUP($CW10,'Audit Values'!$A:$BX,64,FALSE))</f>
        <v>369</v>
      </c>
      <c r="AE10" s="24">
        <f>IF(ISNA(VLOOKUP($CW10,'Audit Values'!$A:$BX,2,FALSE)),'Preliminary SO66'!AP9,VLOOKUP($CW10,'Audit Values'!$A:$BX,65,FALSE))</f>
        <v>163</v>
      </c>
      <c r="AF10" s="58">
        <f>IF(A10=207, AE10,(AE10))*'Weighting Factors'!$O$9</f>
        <v>78.900000000000006</v>
      </c>
      <c r="AG10" s="58">
        <f t="shared" si="7"/>
        <v>10.5</v>
      </c>
      <c r="AH10" s="58">
        <f>IF(ISNA(VLOOKUP($CW10,'Audit Values'!$A:$BZ,2,FALSE)),'Preliminary SO66'!AG9,VLOOKUP($CW10,'Audit Values'!$A:$BZ,71,FALSE))</f>
        <v>11</v>
      </c>
      <c r="AI10" s="58">
        <f t="shared" si="8"/>
        <v>11</v>
      </c>
      <c r="AJ10" s="58">
        <f>IF(ISNA(VLOOKUP($CW10,'Audit Values'!$A:$BX,2,FALSE)),'Preliminary SO66'!AR9,VLOOKUP($CW10,'Audit Values'!$A:$BX,66,FALSE))</f>
        <v>162</v>
      </c>
      <c r="AK10" s="24">
        <f t="shared" si="9"/>
        <v>251332</v>
      </c>
      <c r="AL10" s="58">
        <f>AK10/'Weighting Factors'!$O$5</f>
        <v>49.4</v>
      </c>
      <c r="AM10" s="58">
        <f>CJ10/'Weighting Factors'!$O$5</f>
        <v>0</v>
      </c>
      <c r="AN10" s="58">
        <f>CN10/'Weighting Factors'!$O$5</f>
        <v>0</v>
      </c>
      <c r="AO10" s="24">
        <v>376463</v>
      </c>
      <c r="AP10" s="58">
        <f>AO10/'Weighting Factors'!$O$5</f>
        <v>74</v>
      </c>
      <c r="AQ10" s="58">
        <f>IF(ISNA(VLOOKUP($CW10,'Audit Values'!$A:$BX,2,FALSE)),'Preliminary SO66'!X9,VLOOKUP($CW10,'Audit Values'!$A:$BX,48,FALSE))</f>
        <v>1</v>
      </c>
      <c r="AR10" s="58">
        <f t="shared" si="37"/>
        <v>783.7</v>
      </c>
      <c r="AS10" s="58">
        <f t="shared" si="38"/>
        <v>709.7</v>
      </c>
      <c r="AT10" s="58">
        <f>IF(ISNA(VLOOKUP($CW10,'Audit Values'!$A$2:$BX$410,2,FALSE)),'Preliminary SO66'!AA9,VLOOKUP($CW10,'Audit Values'!$A$2:$BX$410,41,FALSE))</f>
        <v>0</v>
      </c>
      <c r="AU10" s="58">
        <f>IF(ISNA(VLOOKUP($CW10,'Audit Values'!$A$2:$BX$410,2,FALSE)),'Preliminary SO66'!AB9,VLOOKUP($CW10,'Audit Values'!$A$2:$BX$410,42,FALSE))</f>
        <v>0</v>
      </c>
      <c r="AV10" s="73">
        <v>0</v>
      </c>
      <c r="AW10" s="73">
        <v>0</v>
      </c>
      <c r="AX10" s="24">
        <f>SUM(AT10*'Weighting Factors'!$R$10)+('2024 Legal Max'!AU10*'Weighting Factors'!$R$11)+('2024 Legal Max'!AV10*'Weighting Factors'!$R$12)+('2024 Legal Max'!AW10*'Weighting Factors'!$R$12)</f>
        <v>0</v>
      </c>
      <c r="AY10" s="54">
        <f>IF(ISNA(VLOOKUP($CW10,'Audit Values'!$A$2:$BX$429,2,FALSE)),"",IF(AND('Weighting Factors'!G10&gt;0,VLOOKUP($CW10,'Audit Values'!$A$2:$BX$429,51,FALSE)&lt;'Weighting Factors'!G10),'Weighting Factors'!G10,VLOOKUP($CW10,'Audit Values'!$A$2:$BX$429,51,FALSE)))</f>
        <v>15</v>
      </c>
      <c r="AZ10" s="54" t="str">
        <f>IF(ISNA(VLOOKUP($CW10,'Audit Values'!$A:$BY,2,FALSE)),"",VLOOKUP($CW10,'Audit Values'!$A:$BY,52,FALSE))</f>
        <v>A</v>
      </c>
      <c r="BA10" s="54" t="str">
        <f>IF('Weighting Factors'!F10="","",IF('Weighting Factors'!H10="Pending","PX","R"))</f>
        <v/>
      </c>
      <c r="BB10" s="60">
        <f>SUM((U10+V10+AA10+AC10+AF10+AI10+AL10+AM10+AQ10+AN10)*'Weighting Factors'!$O$5)+'2024 Legal Max'!AX10</f>
        <v>3610954</v>
      </c>
      <c r="BC10" s="24">
        <f>SUM((AR10+AN10)*'Weighting Factors'!$O$5)+AX10</f>
        <v>3987466</v>
      </c>
      <c r="BD10" s="67">
        <f>IF('Weighting Factors'!F10&gt;0,'Weighting Factors'!F10,'Preliminary SO66'!AV9)</f>
        <v>4098384</v>
      </c>
      <c r="BE10" s="24">
        <f t="shared" si="39"/>
        <v>3987466</v>
      </c>
      <c r="BF10" s="71">
        <f>'Weighting Factors'!E10</f>
        <v>0</v>
      </c>
      <c r="BG10" s="71">
        <f>Transportation!G10</f>
        <v>0</v>
      </c>
      <c r="BH10" s="24">
        <f>IF(ISNA(VLOOKUP($CW10,'Audit Values'!$A:$BW,2,FALSE)), 0, VLOOKUP($CW10,'Audit Values'!$A:$BW,75,FALSE))</f>
        <v>0</v>
      </c>
      <c r="BI10" s="24">
        <f t="shared" si="10"/>
        <v>0</v>
      </c>
      <c r="BJ10" s="24">
        <f t="shared" si="11"/>
        <v>3987466</v>
      </c>
      <c r="BK10" s="24">
        <f>SUM((U10+V10+AA10+AC10+AF10+AI10+AL10+AM10+AN10)*'Weighting Factors'!O$12)+(MAX(AO10,'Weighting Factors'!B10))</f>
        <v>4031938</v>
      </c>
      <c r="BL10" s="78">
        <f>'LOB%'!F8</f>
        <v>0.316</v>
      </c>
      <c r="BM10" s="24">
        <f t="shared" si="12"/>
        <v>1274092</v>
      </c>
      <c r="BN10" s="67">
        <v>1309055</v>
      </c>
      <c r="BO10" s="24">
        <f t="shared" si="40"/>
        <v>1274092</v>
      </c>
      <c r="BP10" s="89">
        <f t="shared" si="13"/>
        <v>0.316</v>
      </c>
      <c r="BQ10" s="58">
        <f t="shared" si="14"/>
        <v>0</v>
      </c>
      <c r="BR10" s="1" t="b">
        <f t="shared" si="15"/>
        <v>0</v>
      </c>
      <c r="BS10" s="76">
        <f t="shared" si="16"/>
        <v>0</v>
      </c>
      <c r="BT10" s="75">
        <f t="shared" si="17"/>
        <v>0</v>
      </c>
      <c r="BU10" s="58">
        <f t="shared" si="18"/>
        <v>0</v>
      </c>
      <c r="BV10" s="1" t="b">
        <f t="shared" si="19"/>
        <v>1</v>
      </c>
      <c r="BW10" s="1">
        <f t="shared" si="20"/>
        <v>102.71250000000001</v>
      </c>
      <c r="BX10" s="75">
        <f t="shared" si="21"/>
        <v>0.45598699999999998</v>
      </c>
      <c r="BY10" s="58">
        <f t="shared" si="22"/>
        <v>174.6</v>
      </c>
      <c r="BZ10" s="58">
        <f t="shared" si="23"/>
        <v>0</v>
      </c>
      <c r="CA10" s="61">
        <v>762</v>
      </c>
      <c r="CB10" s="102">
        <f t="shared" si="24"/>
        <v>0.21299999999999999</v>
      </c>
      <c r="CC10" s="105">
        <f>IF(CB10&lt;0.06,1,IF(CB10&gt;=18.29,52,MATCH(CB10-0.001,'Weighting Factors'!$W$5:$W$156)+1))</f>
        <v>16</v>
      </c>
      <c r="CD10" s="24">
        <f>VLOOKUP(CC10, 'Weighting Factors'!$U$5:$X$56,4)</f>
        <v>1270</v>
      </c>
      <c r="CE10" s="109">
        <f>('Weighting Factors'!$O$5/'Weighting Factors'!$O$14)</f>
        <v>1.2216</v>
      </c>
      <c r="CF10" s="100">
        <f t="shared" si="25"/>
        <v>205740</v>
      </c>
      <c r="CG10" s="100">
        <f>CF10*'Weighting Factors'!$Q$7</f>
        <v>205740</v>
      </c>
      <c r="CH10" s="100">
        <f t="shared" si="26"/>
        <v>251332</v>
      </c>
      <c r="CI10" s="58">
        <f>AK10/'Weighting Factors'!$O$5</f>
        <v>49.4</v>
      </c>
      <c r="CJ10" s="67">
        <v>0</v>
      </c>
      <c r="CK10" s="80">
        <v>0</v>
      </c>
      <c r="CL10" s="110">
        <v>0</v>
      </c>
      <c r="CM10" s="24">
        <f>SUM((AR10*'Weighting Factors'!$O$5)+'2024 Legal Max'!AX10)*CL10</f>
        <v>0</v>
      </c>
      <c r="CN10" s="24">
        <f t="shared" si="27"/>
        <v>0</v>
      </c>
      <c r="CO10" s="65">
        <f t="shared" si="4"/>
        <v>0.44169999999999998</v>
      </c>
      <c r="CP10" s="58">
        <f t="shared" si="28"/>
        <v>0</v>
      </c>
      <c r="CQ10" s="58">
        <f t="shared" si="29"/>
        <v>10.5</v>
      </c>
      <c r="CR10" s="58">
        <f t="shared" si="30"/>
        <v>783.7</v>
      </c>
      <c r="CS10" s="24">
        <f>'Required Transfers'!L10</f>
        <v>129957</v>
      </c>
      <c r="CT10" s="24">
        <f>'Required Transfers'!O10</f>
        <v>637</v>
      </c>
      <c r="CU10" s="24">
        <f>'Required Transfers'!H10</f>
        <v>457411</v>
      </c>
      <c r="CV10" s="58">
        <f t="shared" si="31"/>
        <v>357</v>
      </c>
      <c r="CW10" s="27" t="s">
        <v>195</v>
      </c>
    </row>
    <row r="11" spans="1:101" ht="15" customHeight="1">
      <c r="A11" s="54">
        <v>108</v>
      </c>
      <c r="B11" s="1" t="s">
        <v>19</v>
      </c>
      <c r="C11" s="1" t="s">
        <v>516</v>
      </c>
      <c r="D11" s="58">
        <v>365.1</v>
      </c>
      <c r="E11" s="58"/>
      <c r="F11" s="58">
        <v>0</v>
      </c>
      <c r="G11" s="58">
        <f t="shared" si="32"/>
        <v>365.1</v>
      </c>
      <c r="H11" s="58">
        <v>347</v>
      </c>
      <c r="I11" s="58"/>
      <c r="J11" s="58">
        <v>0</v>
      </c>
      <c r="K11" s="58">
        <f t="shared" si="33"/>
        <v>347</v>
      </c>
      <c r="L11" s="1">
        <v>347.5</v>
      </c>
      <c r="N11" s="1">
        <v>0</v>
      </c>
      <c r="O11" s="58">
        <f t="shared" si="34"/>
        <v>347.5</v>
      </c>
      <c r="P11" s="58">
        <f>IF(ISNA(VLOOKUP($CW11,'Audit Values'!$A:$BZ,2,FALSE)),'Preliminary SO66'!C10,VLOOKUP($CW11,'Audit Values'!$A:$BZ,76,FALSE))</f>
        <v>351.4</v>
      </c>
      <c r="Q11" s="58">
        <f>IF(ISNA(VLOOKUP($CW11,'Audit Values'!$A:$BZ,2,FALSE)),'Preliminary SO66'!F10,VLOOKUP($CW11,'Audit Values'!$A:$BZ,4,FALSE))</f>
        <v>0</v>
      </c>
      <c r="R11" s="58">
        <f t="shared" si="35"/>
        <v>351.4</v>
      </c>
      <c r="S11" s="58">
        <f>IF('Military Provision'!I11="YES", MAX('2024 Legal Max'!O11,'2024 Legal Max'!K11,AVERAGE('2024 Legal Max'!G11,'2024 Legal Max'!K11,'2024 Legal Max'!O11)), MAX(O11, K11))</f>
        <v>347.5</v>
      </c>
      <c r="T11" s="58">
        <f>IF(ISNA(VLOOKUP($CW11,'Audit Values'!$A:$BX,2,FALSE)),'Preliminary SO66'!AL10,VLOOKUP($CW11,'Audit Values'!$A:$BX,59,FALSE))</f>
        <v>1.5</v>
      </c>
      <c r="U11" s="58">
        <f t="shared" si="36"/>
        <v>349</v>
      </c>
      <c r="V11" s="58">
        <f>'Low-High ENRL- 2023 HSubSB 113'!N14</f>
        <v>163.19999999999999</v>
      </c>
      <c r="W11" s="58">
        <f>IF(ISNA(VLOOKUP($CW11,'Audit Values'!$A:$BZ,2,FALSE)),'Preliminary SO66'!AM10,VLOOKUP($CW11,'Audit Values'!$A:$BZ,63,FALSE))</f>
        <v>19.3</v>
      </c>
      <c r="X11" s="58">
        <f>(W11/6)*'Weighting Factors'!$O$7</f>
        <v>1.3</v>
      </c>
      <c r="Y11" s="61">
        <f>IF(ISNA(VLOOKUP($CW11,'Audit Values'!$A:$BZ,2,FALSE)),'Preliminary SO66'!AN10,VLOOKUP($CW11,'Audit Values'!$A:$BZ,62,FALSE))</f>
        <v>19</v>
      </c>
      <c r="Z11" s="58">
        <f>Y11*'Weighting Factors'!$O$8</f>
        <v>3.5</v>
      </c>
      <c r="AA11" s="58">
        <f t="shared" si="6"/>
        <v>3.5</v>
      </c>
      <c r="AB11" s="106">
        <f>IF(ISNA(VLOOKUP($CW11,'Audit Values'!$A:$BZ,2,FALSE)),'Preliminary SO66'!AO10,VLOOKUP($CW11,'Audit Values'!$A:$BZ,61,FALSE))</f>
        <v>124.9</v>
      </c>
      <c r="AC11" s="58">
        <f>AB11/6*'Weighting Factors'!$O$6</f>
        <v>10.4</v>
      </c>
      <c r="AD11" s="24">
        <f>IF(ISNA(VLOOKUP($CW11,'Audit Values'!$A:$BX,2,FALSE)),'Preliminary SO66'!AS10,VLOOKUP($CW11,'Audit Values'!$A:$BX,64,FALSE))</f>
        <v>356</v>
      </c>
      <c r="AE11" s="24">
        <f>IF(ISNA(VLOOKUP($CW11,'Audit Values'!$A:$BX,2,FALSE)),'Preliminary SO66'!AP10,VLOOKUP($CW11,'Audit Values'!$A:$BX,65,FALSE))</f>
        <v>149</v>
      </c>
      <c r="AF11" s="58">
        <f>IF(A11=207, AE11,(AE11))*'Weighting Factors'!$O$9</f>
        <v>72.099999999999994</v>
      </c>
      <c r="AG11" s="58">
        <f t="shared" si="7"/>
        <v>7.1</v>
      </c>
      <c r="AH11" s="58">
        <f>IF(ISNA(VLOOKUP($CW11,'Audit Values'!$A:$BZ,2,FALSE)),'Preliminary SO66'!AG10,VLOOKUP($CW11,'Audit Values'!$A:$BZ,71,FALSE))</f>
        <v>7.1</v>
      </c>
      <c r="AI11" s="58">
        <f t="shared" si="8"/>
        <v>7.1</v>
      </c>
      <c r="AJ11" s="58">
        <f>IF(ISNA(VLOOKUP($CW11,'Audit Values'!$A:$BX,2,FALSE)),'Preliminary SO66'!AR10,VLOOKUP($CW11,'Audit Values'!$A:$BX,66,FALSE))</f>
        <v>157</v>
      </c>
      <c r="AK11" s="24">
        <f t="shared" si="9"/>
        <v>216724</v>
      </c>
      <c r="AL11" s="58">
        <f>AK11/'Weighting Factors'!$O$5</f>
        <v>42.6</v>
      </c>
      <c r="AM11" s="58">
        <f>CJ11/'Weighting Factors'!$O$5</f>
        <v>0</v>
      </c>
      <c r="AN11" s="58">
        <f>CN11/'Weighting Factors'!$O$5</f>
        <v>0</v>
      </c>
      <c r="AO11" s="24">
        <v>370954</v>
      </c>
      <c r="AP11" s="58">
        <f>AO11/'Weighting Factors'!$O$5</f>
        <v>72.900000000000006</v>
      </c>
      <c r="AQ11" s="58">
        <f>IF(ISNA(VLOOKUP($CW11,'Audit Values'!$A:$BX,2,FALSE)),'Preliminary SO66'!X10,VLOOKUP($CW11,'Audit Values'!$A:$BX,48,FALSE))</f>
        <v>0</v>
      </c>
      <c r="AR11" s="58">
        <f t="shared" si="37"/>
        <v>720.8</v>
      </c>
      <c r="AS11" s="58">
        <f t="shared" si="38"/>
        <v>647.9</v>
      </c>
      <c r="AT11" s="58">
        <f>IF(ISNA(VLOOKUP($CW11,'Audit Values'!$A$2:$BX$410,2,FALSE)),'Preliminary SO66'!AA10,VLOOKUP($CW11,'Audit Values'!$A$2:$BX$410,41,FALSE))</f>
        <v>0</v>
      </c>
      <c r="AU11" s="58">
        <f>IF(ISNA(VLOOKUP($CW11,'Audit Values'!$A$2:$BX$410,2,FALSE)),'Preliminary SO66'!AB10,VLOOKUP($CW11,'Audit Values'!$A$2:$BX$410,42,FALSE))</f>
        <v>0</v>
      </c>
      <c r="AV11" s="73">
        <v>0</v>
      </c>
      <c r="AW11" s="73">
        <v>0</v>
      </c>
      <c r="AX11" s="24">
        <f>SUM(AT11*'Weighting Factors'!$R$10)+('2024 Legal Max'!AU11*'Weighting Factors'!$R$11)+('2024 Legal Max'!AV11*'Weighting Factors'!$R$12)+('2024 Legal Max'!AW11*'Weighting Factors'!$R$12)</f>
        <v>0</v>
      </c>
      <c r="AY11" s="54">
        <f>IF(ISNA(VLOOKUP($CW11,'Audit Values'!$A$2:$BX$429,2,FALSE)),"",IF(AND('Weighting Factors'!G11&gt;0,VLOOKUP($CW11,'Audit Values'!$A$2:$BX$429,51,FALSE)&lt;'Weighting Factors'!G11),'Weighting Factors'!G11,VLOOKUP($CW11,'Audit Values'!$A$2:$BX$429,51,FALSE)))</f>
        <v>25</v>
      </c>
      <c r="AZ11" s="54" t="str">
        <f>IF(ISNA(VLOOKUP($CW11,'Audit Values'!$A:$BY,2,FALSE)),"",VLOOKUP($CW11,'Audit Values'!$A:$BY,52,FALSE))</f>
        <v>A</v>
      </c>
      <c r="BA11" s="54" t="str">
        <f>IF('Weighting Factors'!F11="","",IF('Weighting Factors'!H11="Pending","PX","R"))</f>
        <v>R</v>
      </c>
      <c r="BB11" s="60">
        <f>SUM((U11+V11+AA11+AC11+AF11+AI11+AL11+AM11+AQ11+AN11)*'Weighting Factors'!$O$5)+'2024 Legal Max'!AX11</f>
        <v>3296515</v>
      </c>
      <c r="BC11" s="24">
        <f>SUM((AR11+AN11)*'Weighting Factors'!$O$5)+AX11</f>
        <v>3667430</v>
      </c>
      <c r="BD11" s="67">
        <f>IF('Weighting Factors'!F11&gt;0,'Weighting Factors'!F11,'Preliminary SO66'!AV10)</f>
        <v>3667430</v>
      </c>
      <c r="BE11" s="24">
        <f t="shared" si="39"/>
        <v>3667430</v>
      </c>
      <c r="BF11" s="71">
        <f>'Weighting Factors'!E11</f>
        <v>0</v>
      </c>
      <c r="BG11" s="71">
        <f>Transportation!G11</f>
        <v>0</v>
      </c>
      <c r="BH11" s="24">
        <f>IF(ISNA(VLOOKUP($CW11,'Audit Values'!$A:$BW,2,FALSE)), 0, VLOOKUP($CW11,'Audit Values'!$A:$BW,75,FALSE))</f>
        <v>0</v>
      </c>
      <c r="BI11" s="24">
        <f t="shared" si="10"/>
        <v>0</v>
      </c>
      <c r="BJ11" s="24">
        <f t="shared" si="11"/>
        <v>3667430</v>
      </c>
      <c r="BK11" s="24">
        <f>SUM((U11+V11+AA11+AC11+AF11+AI11+AL11+AM11+AN11)*'Weighting Factors'!O$12)+(MAX(AO11,'Weighting Factors'!B11))</f>
        <v>3890199</v>
      </c>
      <c r="BL11" s="78">
        <f>'LOB%'!F9</f>
        <v>0.33</v>
      </c>
      <c r="BM11" s="24">
        <f t="shared" si="12"/>
        <v>1283766</v>
      </c>
      <c r="BN11" s="67">
        <v>1272531</v>
      </c>
      <c r="BO11" s="24">
        <f t="shared" si="40"/>
        <v>1272531</v>
      </c>
      <c r="BP11" s="89">
        <f t="shared" si="13"/>
        <v>0.3271</v>
      </c>
      <c r="BQ11" s="58">
        <f t="shared" si="14"/>
        <v>0</v>
      </c>
      <c r="BR11" s="1" t="b">
        <f t="shared" si="15"/>
        <v>0</v>
      </c>
      <c r="BS11" s="76">
        <f t="shared" si="16"/>
        <v>0</v>
      </c>
      <c r="BT11" s="75">
        <f t="shared" si="17"/>
        <v>0</v>
      </c>
      <c r="BU11" s="58">
        <f t="shared" si="18"/>
        <v>0</v>
      </c>
      <c r="BV11" s="1" t="b">
        <f t="shared" si="19"/>
        <v>1</v>
      </c>
      <c r="BW11" s="1">
        <f t="shared" si="20"/>
        <v>60.637500000000003</v>
      </c>
      <c r="BX11" s="75">
        <f t="shared" si="21"/>
        <v>0.46753899999999998</v>
      </c>
      <c r="BY11" s="58">
        <f t="shared" si="22"/>
        <v>163.19999999999999</v>
      </c>
      <c r="BZ11" s="58">
        <f t="shared" si="23"/>
        <v>0</v>
      </c>
      <c r="CA11" s="61">
        <v>389</v>
      </c>
      <c r="CB11" s="102">
        <f t="shared" si="24"/>
        <v>0.40400000000000003</v>
      </c>
      <c r="CC11" s="105">
        <f>IF(CB11&lt;0.06,1,IF(CB11&gt;=18.29,52,MATCH(CB11-0.001,'Weighting Factors'!$W$5:$W$156)+1))</f>
        <v>23</v>
      </c>
      <c r="CD11" s="24">
        <f>VLOOKUP(CC11, 'Weighting Factors'!$U$5:$X$56,4)</f>
        <v>1130</v>
      </c>
      <c r="CE11" s="109">
        <f>('Weighting Factors'!$O$5/'Weighting Factors'!$O$14)</f>
        <v>1.2216</v>
      </c>
      <c r="CF11" s="100">
        <f t="shared" si="25"/>
        <v>177410</v>
      </c>
      <c r="CG11" s="100">
        <f>CF11*'Weighting Factors'!$Q$7</f>
        <v>177410</v>
      </c>
      <c r="CH11" s="100">
        <f t="shared" si="26"/>
        <v>216724</v>
      </c>
      <c r="CI11" s="58">
        <f>AK11/'Weighting Factors'!$O$5</f>
        <v>42.6</v>
      </c>
      <c r="CJ11" s="67">
        <v>0</v>
      </c>
      <c r="CK11" s="80">
        <v>0</v>
      </c>
      <c r="CL11" s="110">
        <v>0</v>
      </c>
      <c r="CM11" s="24">
        <f>SUM((AR11*'Weighting Factors'!$O$5)+'2024 Legal Max'!AX11)*CL11</f>
        <v>0</v>
      </c>
      <c r="CN11" s="24">
        <f t="shared" si="27"/>
        <v>0</v>
      </c>
      <c r="CO11" s="65">
        <f t="shared" si="4"/>
        <v>0.41849999999999998</v>
      </c>
      <c r="CP11" s="58">
        <f t="shared" si="28"/>
        <v>0</v>
      </c>
      <c r="CQ11" s="58">
        <f t="shared" si="29"/>
        <v>7.1</v>
      </c>
      <c r="CR11" s="58">
        <f t="shared" si="30"/>
        <v>720.8</v>
      </c>
      <c r="CS11" s="24">
        <f>'Required Transfers'!L11</f>
        <v>127508</v>
      </c>
      <c r="CT11" s="24">
        <f>'Required Transfers'!O11</f>
        <v>6235</v>
      </c>
      <c r="CU11" s="24">
        <f>'Required Transfers'!H11</f>
        <v>402970</v>
      </c>
      <c r="CV11" s="58">
        <f t="shared" si="31"/>
        <v>352.9</v>
      </c>
      <c r="CW11" s="27" t="s">
        <v>196</v>
      </c>
    </row>
    <row r="12" spans="1:101" ht="15" customHeight="1">
      <c r="A12" s="54">
        <v>109</v>
      </c>
      <c r="B12" s="1" t="s">
        <v>98</v>
      </c>
      <c r="C12" s="1" t="s">
        <v>517</v>
      </c>
      <c r="D12" s="58">
        <v>477.4</v>
      </c>
      <c r="E12" s="58"/>
      <c r="F12" s="58">
        <v>0</v>
      </c>
      <c r="G12" s="58">
        <f t="shared" si="32"/>
        <v>477.4</v>
      </c>
      <c r="H12" s="58">
        <v>498.8</v>
      </c>
      <c r="I12" s="58"/>
      <c r="J12" s="58">
        <v>0</v>
      </c>
      <c r="K12" s="58">
        <f t="shared" si="33"/>
        <v>498.8</v>
      </c>
      <c r="L12" s="1">
        <v>496.3</v>
      </c>
      <c r="N12" s="1">
        <v>0</v>
      </c>
      <c r="O12" s="58">
        <f t="shared" si="34"/>
        <v>496.3</v>
      </c>
      <c r="P12" s="58">
        <f>IF(ISNA(VLOOKUP($CW12,'Audit Values'!$A:$BZ,2,FALSE)),'Preliminary SO66'!C11,VLOOKUP($CW12,'Audit Values'!$A:$BZ,76,FALSE))</f>
        <v>504.8</v>
      </c>
      <c r="Q12" s="58">
        <f>IF(ISNA(VLOOKUP($CW12,'Audit Values'!$A:$BZ,2,FALSE)),'Preliminary SO66'!F11,VLOOKUP($CW12,'Audit Values'!$A:$BZ,4,FALSE))</f>
        <v>0</v>
      </c>
      <c r="R12" s="58">
        <f t="shared" si="35"/>
        <v>504.8</v>
      </c>
      <c r="S12" s="58">
        <f>IF('Military Provision'!I12="YES", MAX('2024 Legal Max'!O12,'2024 Legal Max'!K12,AVERAGE('2024 Legal Max'!G12,'2024 Legal Max'!K12,'2024 Legal Max'!O12)), MAX(O12, K12))</f>
        <v>498.8</v>
      </c>
      <c r="T12" s="58">
        <f>IF(ISNA(VLOOKUP($CW12,'Audit Values'!$A:$BX,2,FALSE)),'Preliminary SO66'!AL11,VLOOKUP($CW12,'Audit Values'!$A:$BX,59,FALSE))</f>
        <v>4</v>
      </c>
      <c r="U12" s="58">
        <f t="shared" si="36"/>
        <v>502.8</v>
      </c>
      <c r="V12" s="58">
        <f>'Low-High ENRL- 2023 HSubSB 113'!N15</f>
        <v>208.8</v>
      </c>
      <c r="W12" s="58">
        <f>IF(ISNA(VLOOKUP($CW12,'Audit Values'!$A:$BZ,2,FALSE)),'Preliminary SO66'!AM11,VLOOKUP($CW12,'Audit Values'!$A:$BZ,63,FALSE))</f>
        <v>0</v>
      </c>
      <c r="X12" s="58">
        <f>(W12/6)*'Weighting Factors'!$O$7</f>
        <v>0</v>
      </c>
      <c r="Y12" s="61">
        <f>IF(ISNA(VLOOKUP($CW12,'Audit Values'!$A:$BZ,2,FALSE)),'Preliminary SO66'!AN11,VLOOKUP($CW12,'Audit Values'!$A:$BZ,62,FALSE))</f>
        <v>2</v>
      </c>
      <c r="Z12" s="58">
        <f>Y12*'Weighting Factors'!$O$8</f>
        <v>0.4</v>
      </c>
      <c r="AA12" s="58">
        <f t="shared" si="6"/>
        <v>0.4</v>
      </c>
      <c r="AB12" s="106">
        <f>IF(ISNA(VLOOKUP($CW12,'Audit Values'!$A:$BZ,2,FALSE)),'Preliminary SO66'!AO11,VLOOKUP($CW12,'Audit Values'!$A:$BZ,61,FALSE))</f>
        <v>126.6</v>
      </c>
      <c r="AC12" s="58">
        <f>AB12/6*'Weighting Factors'!$O$6</f>
        <v>10.6</v>
      </c>
      <c r="AD12" s="24">
        <f>IF(ISNA(VLOOKUP($CW12,'Audit Values'!$A:$BX,2,FALSE)),'Preliminary SO66'!AS11,VLOOKUP($CW12,'Audit Values'!$A:$BX,64,FALSE))</f>
        <v>515</v>
      </c>
      <c r="AE12" s="24">
        <f>IF(ISNA(VLOOKUP($CW12,'Audit Values'!$A:$BX,2,FALSE)),'Preliminary SO66'!AP11,VLOOKUP($CW12,'Audit Values'!$A:$BX,65,FALSE))</f>
        <v>231</v>
      </c>
      <c r="AF12" s="58">
        <f>IF(A12=207, AE12,(AE12))*'Weighting Factors'!$O$9</f>
        <v>111.8</v>
      </c>
      <c r="AG12" s="58">
        <f t="shared" ref="AG12:AG23" si="41">MAX(CP12,CQ12)</f>
        <v>15.9</v>
      </c>
      <c r="AH12" s="58">
        <f>IF(ISNA(VLOOKUP($CW12,'Audit Values'!$A:$BZ,2,FALSE)),'Preliminary SO66'!AG11,VLOOKUP($CW12,'Audit Values'!$A:$BZ,71,FALSE))</f>
        <v>16.100000000000001</v>
      </c>
      <c r="AI12" s="58">
        <f t="shared" ref="AI12:AI23" si="42">MAX(AG12, AH12)</f>
        <v>16.100000000000001</v>
      </c>
      <c r="AJ12" s="58">
        <f>IF(ISNA(VLOOKUP($CW12,'Audit Values'!$A:$BX,2,FALSE)),'Preliminary SO66'!AR11,VLOOKUP($CW12,'Audit Values'!$A:$BX,66,FALSE))</f>
        <v>164</v>
      </c>
      <c r="AK12" s="24">
        <f t="shared" ref="AK12:AK23" si="43">CH12</f>
        <v>238407</v>
      </c>
      <c r="AL12" s="58">
        <f>AK12/'Weighting Factors'!$O$5</f>
        <v>46.9</v>
      </c>
      <c r="AM12" s="58">
        <f>CJ12/'Weighting Factors'!$O$5</f>
        <v>0</v>
      </c>
      <c r="AN12" s="58">
        <f>CN12/'Weighting Factors'!$O$5</f>
        <v>0</v>
      </c>
      <c r="AO12" s="24">
        <v>511297</v>
      </c>
      <c r="AP12" s="58">
        <f>AO12/'Weighting Factors'!$O$5</f>
        <v>100.5</v>
      </c>
      <c r="AQ12" s="58">
        <f>IF(ISNA(VLOOKUP($CW12,'Audit Values'!$A:$BX,2,FALSE)),'Preliminary SO66'!X11,VLOOKUP($CW12,'Audit Values'!$A:$BX,48,FALSE))</f>
        <v>0</v>
      </c>
      <c r="AR12" s="58">
        <f t="shared" si="37"/>
        <v>997.9</v>
      </c>
      <c r="AS12" s="58">
        <f t="shared" si="38"/>
        <v>897.4</v>
      </c>
      <c r="AT12" s="58">
        <f>IF(ISNA(VLOOKUP($CW12,'Audit Values'!$A$2:$BX$410,2,FALSE)),'Preliminary SO66'!AA11,VLOOKUP($CW12,'Audit Values'!$A$2:$BX$410,41,FALSE))</f>
        <v>0</v>
      </c>
      <c r="AU12" s="58">
        <f>IF(ISNA(VLOOKUP($CW12,'Audit Values'!$A$2:$BX$410,2,FALSE)),'Preliminary SO66'!AB11,VLOOKUP($CW12,'Audit Values'!$A$2:$BX$410,42,FALSE))</f>
        <v>0</v>
      </c>
      <c r="AV12" s="73">
        <v>0</v>
      </c>
      <c r="AW12" s="73">
        <v>0</v>
      </c>
      <c r="AX12" s="24">
        <f>SUM(AT12*'Weighting Factors'!$R$10)+('2024 Legal Max'!AU12*'Weighting Factors'!$R$11)+('2024 Legal Max'!AV12*'Weighting Factors'!$R$12)+('2024 Legal Max'!AW12*'Weighting Factors'!$R$12)</f>
        <v>0</v>
      </c>
      <c r="AY12" s="54">
        <f>IF(ISNA(VLOOKUP($CW12,'Audit Values'!$A$2:$BX$429,2,FALSE)),"",IF(AND('Weighting Factors'!G12&gt;0,VLOOKUP($CW12,'Audit Values'!$A$2:$BX$429,51,FALSE)&lt;'Weighting Factors'!G12),'Weighting Factors'!G12,VLOOKUP($CW12,'Audit Values'!$A$2:$BX$429,51,FALSE)))</f>
        <v>19</v>
      </c>
      <c r="AZ12" s="54" t="str">
        <f>IF(ISNA(VLOOKUP($CW12,'Audit Values'!$A:$BY,2,FALSE)),"",VLOOKUP($CW12,'Audit Values'!$A:$BY,52,FALSE))</f>
        <v>A</v>
      </c>
      <c r="BA12" s="54" t="str">
        <f>IF('Weighting Factors'!F12="","",IF('Weighting Factors'!H12="Pending","PX","R"))</f>
        <v>R</v>
      </c>
      <c r="BB12" s="60">
        <f>SUM((U12+V12+AA12+AC12+AF12+AI12+AL12+AM12+AQ12+AN12)*'Weighting Factors'!$O$5)+'2024 Legal Max'!AX12</f>
        <v>4565971</v>
      </c>
      <c r="BC12" s="24">
        <f>SUM((AR12+AN12)*'Weighting Factors'!$O$5)+AX12</f>
        <v>5077315</v>
      </c>
      <c r="BD12" s="67">
        <f>IF('Weighting Factors'!F12&gt;0,'Weighting Factors'!F12,'Preliminary SO66'!AV11)</f>
        <v>5100720</v>
      </c>
      <c r="BE12" s="24">
        <f t="shared" si="39"/>
        <v>5077315</v>
      </c>
      <c r="BF12" s="71">
        <f>'Weighting Factors'!E12</f>
        <v>0</v>
      </c>
      <c r="BG12" s="71">
        <f>Transportation!G12</f>
        <v>0</v>
      </c>
      <c r="BH12" s="24">
        <f>IF(ISNA(VLOOKUP($CW12,'Audit Values'!$A:$BW,2,FALSE)), 0, VLOOKUP($CW12,'Audit Values'!$A:$BW,75,FALSE))</f>
        <v>0</v>
      </c>
      <c r="BI12" s="24">
        <f t="shared" si="10"/>
        <v>0</v>
      </c>
      <c r="BJ12" s="24">
        <f t="shared" ref="BJ12:BJ23" si="44">BE12+BI12</f>
        <v>5077315</v>
      </c>
      <c r="BK12" s="24">
        <f>SUM((U12+V12+AA12+AC12+AF12+AI12+AL12+AM12+AN12)*'Weighting Factors'!O$12)+(MAX(AO12,'Weighting Factors'!B12))</f>
        <v>5244049</v>
      </c>
      <c r="BL12" s="78">
        <f>'LOB%'!F10</f>
        <v>0.316</v>
      </c>
      <c r="BM12" s="24">
        <f t="shared" si="12"/>
        <v>1657119</v>
      </c>
      <c r="BN12" s="67">
        <v>1645058</v>
      </c>
      <c r="BO12" s="24">
        <f t="shared" si="40"/>
        <v>1645058</v>
      </c>
      <c r="BP12" s="89">
        <f t="shared" si="13"/>
        <v>0.31369999999999998</v>
      </c>
      <c r="BQ12" s="58">
        <f t="shared" si="14"/>
        <v>0</v>
      </c>
      <c r="BR12" s="1" t="b">
        <f t="shared" si="15"/>
        <v>0</v>
      </c>
      <c r="BS12" s="76">
        <f t="shared" si="16"/>
        <v>0</v>
      </c>
      <c r="BT12" s="75">
        <f t="shared" si="17"/>
        <v>0</v>
      </c>
      <c r="BU12" s="58">
        <f t="shared" si="18"/>
        <v>0</v>
      </c>
      <c r="BV12" s="1" t="b">
        <f t="shared" si="19"/>
        <v>1</v>
      </c>
      <c r="BW12" s="1">
        <f t="shared" si="20"/>
        <v>250.965</v>
      </c>
      <c r="BX12" s="75">
        <f t="shared" si="21"/>
        <v>0.41528500000000002</v>
      </c>
      <c r="BY12" s="58">
        <f t="shared" si="22"/>
        <v>208.8</v>
      </c>
      <c r="BZ12" s="58">
        <f t="shared" si="23"/>
        <v>0</v>
      </c>
      <c r="CA12" s="61">
        <v>560</v>
      </c>
      <c r="CB12" s="102">
        <f t="shared" si="24"/>
        <v>0.29299999999999998</v>
      </c>
      <c r="CC12" s="105">
        <f>IF(CB12&lt;0.06,1,IF(CB12&gt;=18.29,52,MATCH(CB12-0.001,'Weighting Factors'!$W$5:$W$156)+1))</f>
        <v>20</v>
      </c>
      <c r="CD12" s="24">
        <f>VLOOKUP(CC12, 'Weighting Factors'!$U$5:$X$56,4)</f>
        <v>1190</v>
      </c>
      <c r="CE12" s="109">
        <f>('Weighting Factors'!$O$5/'Weighting Factors'!$O$14)</f>
        <v>1.2216</v>
      </c>
      <c r="CF12" s="100">
        <f t="shared" si="25"/>
        <v>195160</v>
      </c>
      <c r="CG12" s="100">
        <f>CF12*'Weighting Factors'!$Q$7</f>
        <v>195160</v>
      </c>
      <c r="CH12" s="100">
        <f t="shared" ref="CH12:CH23" si="45">CG12*CE12</f>
        <v>238407</v>
      </c>
      <c r="CI12" s="58">
        <f>AK12/'Weighting Factors'!$O$5</f>
        <v>46.9</v>
      </c>
      <c r="CJ12" s="67">
        <v>0</v>
      </c>
      <c r="CK12" s="80">
        <v>0</v>
      </c>
      <c r="CL12" s="110">
        <v>0</v>
      </c>
      <c r="CM12" s="24">
        <f>SUM((AR12*'Weighting Factors'!$O$5)+'2024 Legal Max'!AX12)*CL12</f>
        <v>0</v>
      </c>
      <c r="CN12" s="24">
        <f t="shared" ref="CN12:CN23" si="46">IF(CK12&gt;CM12,CM12,CK12)</f>
        <v>0</v>
      </c>
      <c r="CO12" s="65">
        <f t="shared" si="4"/>
        <v>0.44850000000000001</v>
      </c>
      <c r="CP12" s="58">
        <f t="shared" si="28"/>
        <v>0</v>
      </c>
      <c r="CQ12" s="58">
        <f t="shared" si="29"/>
        <v>15.9</v>
      </c>
      <c r="CR12" s="58">
        <f t="shared" si="30"/>
        <v>997.9</v>
      </c>
      <c r="CS12" s="24">
        <f>'Required Transfers'!L12</f>
        <v>185069</v>
      </c>
      <c r="CT12" s="24">
        <f>'Required Transfers'!O12</f>
        <v>658</v>
      </c>
      <c r="CU12" s="24">
        <f>'Required Transfers'!H12</f>
        <v>650755</v>
      </c>
      <c r="CV12" s="58">
        <f t="shared" si="31"/>
        <v>508.8</v>
      </c>
      <c r="CW12" s="27" t="s">
        <v>197</v>
      </c>
    </row>
    <row r="13" spans="1:101" ht="15" customHeight="1">
      <c r="A13" s="54">
        <v>110</v>
      </c>
      <c r="B13" s="1" t="s">
        <v>53</v>
      </c>
      <c r="C13" s="1" t="s">
        <v>518</v>
      </c>
      <c r="D13" s="58">
        <v>178</v>
      </c>
      <c r="E13" s="58"/>
      <c r="F13" s="58">
        <v>0</v>
      </c>
      <c r="G13" s="58">
        <f t="shared" si="32"/>
        <v>178</v>
      </c>
      <c r="H13" s="58">
        <v>176</v>
      </c>
      <c r="I13" s="58"/>
      <c r="J13" s="58">
        <v>0</v>
      </c>
      <c r="K13" s="58">
        <f t="shared" si="33"/>
        <v>176</v>
      </c>
      <c r="L13" s="1">
        <v>169.5</v>
      </c>
      <c r="N13" s="1">
        <v>0</v>
      </c>
      <c r="O13" s="58">
        <f t="shared" si="34"/>
        <v>169.5</v>
      </c>
      <c r="P13" s="58">
        <f>IF(ISNA(VLOOKUP($CW13,'Audit Values'!$A:$BZ,2,FALSE)),'Preliminary SO66'!C12,VLOOKUP($CW13,'Audit Values'!$A:$BZ,76,FALSE))</f>
        <v>172.5</v>
      </c>
      <c r="Q13" s="58">
        <f>IF(ISNA(VLOOKUP($CW13,'Audit Values'!$A:$BZ,2,FALSE)),'Preliminary SO66'!F12,VLOOKUP($CW13,'Audit Values'!$A:$BZ,4,FALSE))</f>
        <v>0</v>
      </c>
      <c r="R13" s="58">
        <f t="shared" si="35"/>
        <v>172.5</v>
      </c>
      <c r="S13" s="58">
        <f>IF('Military Provision'!I13="YES", MAX('2024 Legal Max'!O13,'2024 Legal Max'!K13,AVERAGE('2024 Legal Max'!G13,'2024 Legal Max'!K13,'2024 Legal Max'!O13)), MAX(O13, K13))</f>
        <v>176</v>
      </c>
      <c r="T13" s="58">
        <f>IF(ISNA(VLOOKUP($CW13,'Audit Values'!$A:$BX,2,FALSE)),'Preliminary SO66'!AL12,VLOOKUP($CW13,'Audit Values'!$A:$BX,59,FALSE))</f>
        <v>2</v>
      </c>
      <c r="U13" s="58">
        <f t="shared" si="36"/>
        <v>178</v>
      </c>
      <c r="V13" s="58">
        <f>'Low-High ENRL- 2023 HSubSB 113'!N16</f>
        <v>143.69999999999999</v>
      </c>
      <c r="W13" s="58">
        <f>IF(ISNA(VLOOKUP($CW13,'Audit Values'!$A:$BZ,2,FALSE)),'Preliminary SO66'!AM12,VLOOKUP($CW13,'Audit Values'!$A:$BZ,63,FALSE))</f>
        <v>0</v>
      </c>
      <c r="X13" s="58">
        <f>(W13/6)*'Weighting Factors'!$O$7</f>
        <v>0</v>
      </c>
      <c r="Y13" s="61">
        <f>IF(ISNA(VLOOKUP($CW13,'Audit Values'!$A:$BZ,2,FALSE)),'Preliminary SO66'!AN12,VLOOKUP($CW13,'Audit Values'!$A:$BZ,62,FALSE))</f>
        <v>0</v>
      </c>
      <c r="Z13" s="58">
        <f>Y13*'Weighting Factors'!$O$8</f>
        <v>0</v>
      </c>
      <c r="AA13" s="58">
        <f t="shared" si="6"/>
        <v>0</v>
      </c>
      <c r="AB13" s="106">
        <f>IF(ISNA(VLOOKUP($CW13,'Audit Values'!$A:$BZ,2,FALSE)),'Preliminary SO66'!AO12,VLOOKUP($CW13,'Audit Values'!$A:$BZ,61,FALSE))</f>
        <v>56.3</v>
      </c>
      <c r="AC13" s="58">
        <f>AB13/6*'Weighting Factors'!$O$6</f>
        <v>4.7</v>
      </c>
      <c r="AD13" s="24">
        <f>IF(ISNA(VLOOKUP($CW13,'Audit Values'!$A:$BX,2,FALSE)),'Preliminary SO66'!AS12,VLOOKUP($CW13,'Audit Values'!$A:$BX,64,FALSE))</f>
        <v>179</v>
      </c>
      <c r="AE13" s="24">
        <f>IF(ISNA(VLOOKUP($CW13,'Audit Values'!$A:$BX,2,FALSE)),'Preliminary SO66'!AP12,VLOOKUP($CW13,'Audit Values'!$A:$BX,65,FALSE))</f>
        <v>55</v>
      </c>
      <c r="AF13" s="58">
        <f>IF(A13=207, AE13,(AE13))*'Weighting Factors'!$O$9</f>
        <v>26.6</v>
      </c>
      <c r="AG13" s="58">
        <f t="shared" si="41"/>
        <v>0</v>
      </c>
      <c r="AH13" s="58">
        <f>IF(ISNA(VLOOKUP($CW13,'Audit Values'!$A:$BZ,2,FALSE)),'Preliminary SO66'!AG12,VLOOKUP($CW13,'Audit Values'!$A:$BZ,71,FALSE))</f>
        <v>0.3</v>
      </c>
      <c r="AI13" s="58">
        <f t="shared" si="42"/>
        <v>0.3</v>
      </c>
      <c r="AJ13" s="58">
        <f>IF(ISNA(VLOOKUP($CW13,'Audit Values'!$A:$BX,2,FALSE)),'Preliminary SO66'!AR12,VLOOKUP($CW13,'Audit Values'!$A:$BX,66,FALSE))</f>
        <v>111</v>
      </c>
      <c r="AK13" s="24">
        <f t="shared" si="43"/>
        <v>169497</v>
      </c>
      <c r="AL13" s="58">
        <f>AK13/'Weighting Factors'!$O$5</f>
        <v>33.299999999999997</v>
      </c>
      <c r="AM13" s="58">
        <f>CJ13/'Weighting Factors'!$O$5</f>
        <v>0</v>
      </c>
      <c r="AN13" s="58">
        <f>CN13/'Weighting Factors'!$O$5</f>
        <v>0</v>
      </c>
      <c r="AO13" s="24">
        <v>211450</v>
      </c>
      <c r="AP13" s="58">
        <f>AO13/'Weighting Factors'!$O$5</f>
        <v>41.6</v>
      </c>
      <c r="AQ13" s="58">
        <f>IF(ISNA(VLOOKUP($CW13,'Audit Values'!$A:$BX,2,FALSE)),'Preliminary SO66'!X12,VLOOKUP($CW13,'Audit Values'!$A:$BX,48,FALSE))</f>
        <v>0</v>
      </c>
      <c r="AR13" s="58">
        <f t="shared" si="37"/>
        <v>428.2</v>
      </c>
      <c r="AS13" s="58">
        <f t="shared" si="38"/>
        <v>386.6</v>
      </c>
      <c r="AT13" s="58">
        <f>IF(ISNA(VLOOKUP($CW13,'Audit Values'!$A$2:$BX$410,2,FALSE)),'Preliminary SO66'!AA12,VLOOKUP($CW13,'Audit Values'!$A$2:$BX$410,41,FALSE))</f>
        <v>0</v>
      </c>
      <c r="AU13" s="58">
        <f>IF(ISNA(VLOOKUP($CW13,'Audit Values'!$A$2:$BX$410,2,FALSE)),'Preliminary SO66'!AB12,VLOOKUP($CW13,'Audit Values'!$A$2:$BX$410,42,FALSE))</f>
        <v>0</v>
      </c>
      <c r="AV13" s="73">
        <v>0</v>
      </c>
      <c r="AW13" s="73">
        <v>0</v>
      </c>
      <c r="AX13" s="24">
        <f>SUM(AT13*'Weighting Factors'!$R$10)+('2024 Legal Max'!AU13*'Weighting Factors'!$R$11)+('2024 Legal Max'!AV13*'Weighting Factors'!$R$12)+('2024 Legal Max'!AW13*'Weighting Factors'!$R$12)</f>
        <v>0</v>
      </c>
      <c r="AY13" s="54">
        <f>IF(ISNA(VLOOKUP($CW13,'Audit Values'!$A$2:$BX$429,2,FALSE)),"",IF(AND('Weighting Factors'!G13&gt;0,VLOOKUP($CW13,'Audit Values'!$A$2:$BX$429,51,FALSE)&lt;'Weighting Factors'!G13),'Weighting Factors'!G13,VLOOKUP($CW13,'Audit Values'!$A$2:$BX$429,51,FALSE)))</f>
        <v>7</v>
      </c>
      <c r="AZ13" s="54" t="str">
        <f>IF(ISNA(VLOOKUP($CW13,'Audit Values'!$A:$BY,2,FALSE)),"",VLOOKUP($CW13,'Audit Values'!$A:$BY,52,FALSE))</f>
        <v>A</v>
      </c>
      <c r="BA13" s="54" t="str">
        <f>IF('Weighting Factors'!F13="","",IF('Weighting Factors'!H13="Pending","PX","R"))</f>
        <v/>
      </c>
      <c r="BB13" s="60">
        <f>SUM((U13+V13+AA13+AC13+AF13+AI13+AL13+AM13+AQ13+AN13)*'Weighting Factors'!$O$5)+'2024 Legal Max'!AX13</f>
        <v>1967021</v>
      </c>
      <c r="BC13" s="24">
        <f>SUM((AR13+AN13)*'Weighting Factors'!$O$5)+AX13</f>
        <v>2178682</v>
      </c>
      <c r="BD13" s="67">
        <f>IF('Weighting Factors'!F13&gt;0,'Weighting Factors'!F13,'Preliminary SO66'!AV12)</f>
        <v>2316058</v>
      </c>
      <c r="BE13" s="24">
        <f t="shared" si="39"/>
        <v>2178682</v>
      </c>
      <c r="BF13" s="71">
        <f>'Weighting Factors'!E13</f>
        <v>0</v>
      </c>
      <c r="BG13" s="71">
        <f>Transportation!G13</f>
        <v>0</v>
      </c>
      <c r="BH13" s="24">
        <f>IF(ISNA(VLOOKUP($CW13,'Audit Values'!$A:$BW,2,FALSE)), 0, VLOOKUP($CW13,'Audit Values'!$A:$BW,75,FALSE))</f>
        <v>0</v>
      </c>
      <c r="BI13" s="24">
        <f t="shared" si="10"/>
        <v>0</v>
      </c>
      <c r="BJ13" s="24">
        <f t="shared" si="44"/>
        <v>2178682</v>
      </c>
      <c r="BK13" s="24">
        <f>SUM((U13+V13+AA13+AC13+AF13+AI13+AL13+AM13+AN13)*'Weighting Factors'!O$12)+(MAX(AO13,'Weighting Factors'!B13))</f>
        <v>2328014</v>
      </c>
      <c r="BL13" s="78">
        <f>'LOB%'!F11</f>
        <v>0.316</v>
      </c>
      <c r="BM13" s="24">
        <f t="shared" si="12"/>
        <v>735652</v>
      </c>
      <c r="BN13" s="67">
        <v>773793</v>
      </c>
      <c r="BO13" s="24">
        <f t="shared" si="40"/>
        <v>735652</v>
      </c>
      <c r="BP13" s="89">
        <f t="shared" si="13"/>
        <v>0.316</v>
      </c>
      <c r="BQ13" s="58">
        <f t="shared" si="14"/>
        <v>0</v>
      </c>
      <c r="BR13" s="1" t="b">
        <f t="shared" si="15"/>
        <v>1</v>
      </c>
      <c r="BS13" s="76">
        <f t="shared" si="16"/>
        <v>753.09</v>
      </c>
      <c r="BT13" s="75">
        <f t="shared" si="17"/>
        <v>0.80757500000000004</v>
      </c>
      <c r="BU13" s="58">
        <f t="shared" si="18"/>
        <v>143.69999999999999</v>
      </c>
      <c r="BV13" s="1" t="b">
        <f t="shared" si="19"/>
        <v>0</v>
      </c>
      <c r="BW13" s="1">
        <f t="shared" si="20"/>
        <v>0</v>
      </c>
      <c r="BX13" s="75">
        <f t="shared" si="21"/>
        <v>0</v>
      </c>
      <c r="BY13" s="58">
        <f t="shared" si="22"/>
        <v>0</v>
      </c>
      <c r="BZ13" s="58">
        <f t="shared" si="23"/>
        <v>0</v>
      </c>
      <c r="CA13" s="61">
        <v>491</v>
      </c>
      <c r="CB13" s="102">
        <f t="shared" si="24"/>
        <v>0.22600000000000001</v>
      </c>
      <c r="CC13" s="105">
        <f>IF(CB13&lt;0.06,1,IF(CB13&gt;=18.29,52,MATCH(CB13-0.001,'Weighting Factors'!$W$5:$W$156)+1))</f>
        <v>17</v>
      </c>
      <c r="CD13" s="24">
        <f>VLOOKUP(CC13, 'Weighting Factors'!$U$5:$X$56,4)</f>
        <v>1250</v>
      </c>
      <c r="CE13" s="109">
        <f>('Weighting Factors'!$O$5/'Weighting Factors'!$O$14)</f>
        <v>1.2216</v>
      </c>
      <c r="CF13" s="100">
        <f t="shared" si="25"/>
        <v>138750</v>
      </c>
      <c r="CG13" s="100">
        <f>CF13*'Weighting Factors'!$Q$7</f>
        <v>138750</v>
      </c>
      <c r="CH13" s="100">
        <f t="shared" si="45"/>
        <v>169497</v>
      </c>
      <c r="CI13" s="58">
        <f>AK13/'Weighting Factors'!$O$5</f>
        <v>33.299999999999997</v>
      </c>
      <c r="CJ13" s="67">
        <v>0</v>
      </c>
      <c r="CK13" s="80">
        <v>0</v>
      </c>
      <c r="CL13" s="110">
        <v>0</v>
      </c>
      <c r="CM13" s="24">
        <f>SUM((AR13*'Weighting Factors'!$O$5)+'2024 Legal Max'!AX13)*CL13</f>
        <v>0</v>
      </c>
      <c r="CN13" s="24">
        <f t="shared" si="46"/>
        <v>0</v>
      </c>
      <c r="CO13" s="65">
        <f t="shared" si="4"/>
        <v>0.30730000000000002</v>
      </c>
      <c r="CP13" s="58">
        <f t="shared" si="28"/>
        <v>0</v>
      </c>
      <c r="CQ13" s="58">
        <f t="shared" si="29"/>
        <v>0</v>
      </c>
      <c r="CR13" s="58">
        <f t="shared" si="30"/>
        <v>428.2</v>
      </c>
      <c r="CS13" s="24">
        <f>'Required Transfers'!L13</f>
        <v>45905</v>
      </c>
      <c r="CT13" s="24">
        <f>'Required Transfers'!O13</f>
        <v>0</v>
      </c>
      <c r="CU13" s="24">
        <f>'Required Transfers'!H13</f>
        <v>136867</v>
      </c>
      <c r="CV13" s="58">
        <f t="shared" si="31"/>
        <v>174.5</v>
      </c>
      <c r="CW13" s="27" t="s">
        <v>198</v>
      </c>
    </row>
    <row r="14" spans="1:101" ht="15" customHeight="1">
      <c r="A14" s="54">
        <v>111</v>
      </c>
      <c r="B14" s="1" t="s">
        <v>92</v>
      </c>
      <c r="C14" s="1" t="s">
        <v>519</v>
      </c>
      <c r="D14" s="58">
        <v>290.5</v>
      </c>
      <c r="E14" s="58"/>
      <c r="F14" s="58">
        <v>0</v>
      </c>
      <c r="G14" s="58">
        <f t="shared" si="32"/>
        <v>290.5</v>
      </c>
      <c r="H14" s="58">
        <v>333.9</v>
      </c>
      <c r="I14" s="58"/>
      <c r="J14" s="58">
        <v>0</v>
      </c>
      <c r="K14" s="58">
        <f t="shared" si="33"/>
        <v>333.9</v>
      </c>
      <c r="L14" s="1">
        <v>354.2</v>
      </c>
      <c r="N14" s="1">
        <v>0</v>
      </c>
      <c r="O14" s="58">
        <f t="shared" si="34"/>
        <v>354.2</v>
      </c>
      <c r="P14" s="58">
        <f>IF(ISNA(VLOOKUP($CW14,'Audit Values'!$A:$BZ,2,FALSE)),'Preliminary SO66'!C13,VLOOKUP($CW14,'Audit Values'!$A:$BZ,76,FALSE))</f>
        <v>369.8</v>
      </c>
      <c r="Q14" s="58">
        <f>IF(ISNA(VLOOKUP($CW14,'Audit Values'!$A:$BZ,2,FALSE)),'Preliminary SO66'!F13,VLOOKUP($CW14,'Audit Values'!$A:$BZ,4,FALSE))</f>
        <v>0</v>
      </c>
      <c r="R14" s="58">
        <f t="shared" si="35"/>
        <v>369.8</v>
      </c>
      <c r="S14" s="58">
        <f>IF('Military Provision'!I14="YES", MAX('2024 Legal Max'!O14,'2024 Legal Max'!K14,AVERAGE('2024 Legal Max'!G14,'2024 Legal Max'!K14,'2024 Legal Max'!O14)), MAX(O14, K14))</f>
        <v>354.2</v>
      </c>
      <c r="T14" s="58">
        <f>IF(ISNA(VLOOKUP($CW14,'Audit Values'!$A:$BX,2,FALSE)),'Preliminary SO66'!AL13,VLOOKUP($CW14,'Audit Values'!$A:$BX,59,FALSE))</f>
        <v>5</v>
      </c>
      <c r="U14" s="58">
        <f t="shared" si="36"/>
        <v>359.2</v>
      </c>
      <c r="V14" s="58">
        <f>'Low-High ENRL- 2023 HSubSB 113'!N17</f>
        <v>166.7</v>
      </c>
      <c r="W14" s="58">
        <f>IF(ISNA(VLOOKUP($CW14,'Audit Values'!$A:$BZ,2,FALSE)),'Preliminary SO66'!AM13,VLOOKUP($CW14,'Audit Values'!$A:$BZ,63,FALSE))</f>
        <v>0</v>
      </c>
      <c r="X14" s="58">
        <f>(W14/6)*'Weighting Factors'!$O$7</f>
        <v>0</v>
      </c>
      <c r="Y14" s="61">
        <f>IF(ISNA(VLOOKUP($CW14,'Audit Values'!$A:$BZ,2,FALSE)),'Preliminary SO66'!AN13,VLOOKUP($CW14,'Audit Values'!$A:$BZ,62,FALSE))</f>
        <v>0</v>
      </c>
      <c r="Z14" s="58">
        <f>Y14*'Weighting Factors'!$O$8</f>
        <v>0</v>
      </c>
      <c r="AA14" s="58">
        <f t="shared" si="6"/>
        <v>0</v>
      </c>
      <c r="AB14" s="106">
        <f>IF(ISNA(VLOOKUP($CW14,'Audit Values'!$A:$BZ,2,FALSE)),'Preliminary SO66'!AO13,VLOOKUP($CW14,'Audit Values'!$A:$BZ,61,FALSE))</f>
        <v>74.099999999999994</v>
      </c>
      <c r="AC14" s="58">
        <f>AB14/6*'Weighting Factors'!$O$6</f>
        <v>6.2</v>
      </c>
      <c r="AD14" s="24">
        <f>IF(ISNA(VLOOKUP($CW14,'Audit Values'!$A:$BX,2,FALSE)),'Preliminary SO66'!AS13,VLOOKUP($CW14,'Audit Values'!$A:$BX,64,FALSE))</f>
        <v>383</v>
      </c>
      <c r="AE14" s="24">
        <f>IF(ISNA(VLOOKUP($CW14,'Audit Values'!$A:$BX,2,FALSE)),'Preliminary SO66'!AP13,VLOOKUP($CW14,'Audit Values'!$A:$BX,65,FALSE))</f>
        <v>135</v>
      </c>
      <c r="AF14" s="58">
        <f>IF(A14=207, AE14,(AE14))*'Weighting Factors'!$O$9</f>
        <v>65.3</v>
      </c>
      <c r="AG14" s="58">
        <f t="shared" si="41"/>
        <v>0.2</v>
      </c>
      <c r="AH14" s="58">
        <f>IF(ISNA(VLOOKUP($CW14,'Audit Values'!$A:$BZ,2,FALSE)),'Preliminary SO66'!AG13,VLOOKUP($CW14,'Audit Values'!$A:$BZ,71,FALSE))</f>
        <v>1.4</v>
      </c>
      <c r="AI14" s="58">
        <f t="shared" si="42"/>
        <v>1.4</v>
      </c>
      <c r="AJ14" s="58">
        <f>IF(ISNA(VLOOKUP($CW14,'Audit Values'!$A:$BX,2,FALSE)),'Preliminary SO66'!AR13,VLOOKUP($CW14,'Audit Values'!$A:$BX,66,FALSE))</f>
        <v>220</v>
      </c>
      <c r="AK14" s="24">
        <f t="shared" si="43"/>
        <v>260689</v>
      </c>
      <c r="AL14" s="58">
        <f>AK14/'Weighting Factors'!$O$5</f>
        <v>51.2</v>
      </c>
      <c r="AM14" s="58">
        <f>CJ14/'Weighting Factors'!$O$5</f>
        <v>0</v>
      </c>
      <c r="AN14" s="58">
        <f>CN14/'Weighting Factors'!$O$5</f>
        <v>0</v>
      </c>
      <c r="AO14" s="24">
        <v>436669</v>
      </c>
      <c r="AP14" s="58">
        <f>AO14/'Weighting Factors'!$O$5</f>
        <v>85.8</v>
      </c>
      <c r="AQ14" s="58">
        <f>IF(ISNA(VLOOKUP($CW14,'Audit Values'!$A:$BX,2,FALSE)),'Preliminary SO66'!X13,VLOOKUP($CW14,'Audit Values'!$A:$BX,48,FALSE))</f>
        <v>0</v>
      </c>
      <c r="AR14" s="58">
        <f t="shared" si="37"/>
        <v>735.8</v>
      </c>
      <c r="AS14" s="58">
        <f t="shared" si="38"/>
        <v>650</v>
      </c>
      <c r="AT14" s="58">
        <f>IF(ISNA(VLOOKUP($CW14,'Audit Values'!$A$2:$BX$410,2,FALSE)),'Preliminary SO66'!AA13,VLOOKUP($CW14,'Audit Values'!$A$2:$BX$410,41,FALSE))</f>
        <v>0</v>
      </c>
      <c r="AU14" s="58">
        <f>IF(ISNA(VLOOKUP($CW14,'Audit Values'!$A$2:$BX$410,2,FALSE)),'Preliminary SO66'!AB13,VLOOKUP($CW14,'Audit Values'!$A$2:$BX$410,42,FALSE))</f>
        <v>0</v>
      </c>
      <c r="AV14" s="73">
        <v>0</v>
      </c>
      <c r="AW14" s="73">
        <v>0</v>
      </c>
      <c r="AX14" s="24">
        <f>SUM(AT14*'Weighting Factors'!$R$10)+('2024 Legal Max'!AU14*'Weighting Factors'!$R$11)+('2024 Legal Max'!AV14*'Weighting Factors'!$R$12)+('2024 Legal Max'!AW14*'Weighting Factors'!$R$12)</f>
        <v>0</v>
      </c>
      <c r="AY14" s="54">
        <f>IF(ISNA(VLOOKUP($CW14,'Audit Values'!$A$2:$BX$429,2,FALSE)),"",IF(AND('Weighting Factors'!G14&gt;0,VLOOKUP($CW14,'Audit Values'!$A$2:$BX$429,51,FALSE)&lt;'Weighting Factors'!G14),'Weighting Factors'!G14,VLOOKUP($CW14,'Audit Values'!$A$2:$BX$429,51,FALSE)))</f>
        <v>6</v>
      </c>
      <c r="AZ14" s="54" t="str">
        <f>IF(ISNA(VLOOKUP($CW14,'Audit Values'!$A:$BY,2,FALSE)),"",VLOOKUP($CW14,'Audit Values'!$A:$BY,52,FALSE))</f>
        <v>A</v>
      </c>
      <c r="BA14" s="54" t="str">
        <f>IF('Weighting Factors'!F14="","",IF('Weighting Factors'!H14="Pending","PX","R"))</f>
        <v/>
      </c>
      <c r="BB14" s="60">
        <f>SUM((U14+V14+AA14+AC14+AF14+AI14+AL14+AM14+AQ14+AN14)*'Weighting Factors'!$O$5)+'2024 Legal Max'!AX14</f>
        <v>3307200</v>
      </c>
      <c r="BC14" s="24">
        <f>SUM((AR14+AN14)*'Weighting Factors'!$O$5)+AX14</f>
        <v>3743750</v>
      </c>
      <c r="BD14" s="67">
        <f>IF('Weighting Factors'!F14&gt;0,'Weighting Factors'!F14,'Preliminary SO66'!AV13)</f>
        <v>3995606</v>
      </c>
      <c r="BE14" s="24">
        <f t="shared" si="39"/>
        <v>3743750</v>
      </c>
      <c r="BF14" s="71">
        <f>'Weighting Factors'!E14</f>
        <v>0</v>
      </c>
      <c r="BG14" s="71">
        <f>Transportation!G14</f>
        <v>0</v>
      </c>
      <c r="BH14" s="24">
        <f>IF(ISNA(VLOOKUP($CW14,'Audit Values'!$A:$BW,2,FALSE)), 0, VLOOKUP($CW14,'Audit Values'!$A:$BW,75,FALSE))</f>
        <v>0</v>
      </c>
      <c r="BI14" s="24">
        <f t="shared" si="10"/>
        <v>0</v>
      </c>
      <c r="BJ14" s="24">
        <f t="shared" si="44"/>
        <v>3743750</v>
      </c>
      <c r="BK14" s="24">
        <f>SUM((U14+V14+AA14+AC14+AF14+AI14+AL14+AM14+AN14)*'Weighting Factors'!O$12)+(MAX(AO14,'Weighting Factors'!B14))</f>
        <v>3907921</v>
      </c>
      <c r="BL14" s="78">
        <f>'LOB%'!F12</f>
        <v>0.316</v>
      </c>
      <c r="BM14" s="24">
        <f t="shared" si="12"/>
        <v>1234903</v>
      </c>
      <c r="BN14" s="67">
        <v>1299611</v>
      </c>
      <c r="BO14" s="24">
        <f t="shared" si="40"/>
        <v>1234903</v>
      </c>
      <c r="BP14" s="89">
        <f t="shared" si="13"/>
        <v>0.316</v>
      </c>
      <c r="BQ14" s="58">
        <f t="shared" si="14"/>
        <v>0</v>
      </c>
      <c r="BR14" s="1" t="b">
        <f t="shared" si="15"/>
        <v>0</v>
      </c>
      <c r="BS14" s="76">
        <f t="shared" si="16"/>
        <v>0</v>
      </c>
      <c r="BT14" s="75">
        <f t="shared" si="17"/>
        <v>0</v>
      </c>
      <c r="BU14" s="58">
        <f t="shared" si="18"/>
        <v>0</v>
      </c>
      <c r="BV14" s="1" t="b">
        <f t="shared" si="19"/>
        <v>1</v>
      </c>
      <c r="BW14" s="1">
        <f t="shared" si="20"/>
        <v>73.260000000000005</v>
      </c>
      <c r="BX14" s="75">
        <f t="shared" si="21"/>
        <v>0.46407300000000001</v>
      </c>
      <c r="BY14" s="58">
        <f t="shared" si="22"/>
        <v>166.7</v>
      </c>
      <c r="BZ14" s="58">
        <f t="shared" si="23"/>
        <v>0</v>
      </c>
      <c r="CA14" s="61">
        <v>229</v>
      </c>
      <c r="CB14" s="102">
        <f t="shared" si="24"/>
        <v>0.96099999999999997</v>
      </c>
      <c r="CC14" s="105">
        <f>IF(CB14&lt;0.06,1,IF(CB14&gt;=18.29,52,MATCH(CB14-0.001,'Weighting Factors'!$W$5:$W$156)+1))</f>
        <v>31</v>
      </c>
      <c r="CD14" s="24">
        <f>VLOOKUP(CC14, 'Weighting Factors'!$U$5:$X$56,4)</f>
        <v>970</v>
      </c>
      <c r="CE14" s="109">
        <f>('Weighting Factors'!$O$5/'Weighting Factors'!$O$14)</f>
        <v>1.2216</v>
      </c>
      <c r="CF14" s="100">
        <f t="shared" si="25"/>
        <v>213400</v>
      </c>
      <c r="CG14" s="100">
        <f>CF14*'Weighting Factors'!$Q$7</f>
        <v>213400</v>
      </c>
      <c r="CH14" s="100">
        <f t="shared" si="45"/>
        <v>260689</v>
      </c>
      <c r="CI14" s="58">
        <f>AK14/'Weighting Factors'!$O$5</f>
        <v>51.2</v>
      </c>
      <c r="CJ14" s="67">
        <v>0</v>
      </c>
      <c r="CK14" s="80">
        <v>0</v>
      </c>
      <c r="CL14" s="110">
        <v>0</v>
      </c>
      <c r="CM14" s="24">
        <f>SUM((AR14*'Weighting Factors'!$O$5)+'2024 Legal Max'!AX14)*CL14</f>
        <v>0</v>
      </c>
      <c r="CN14" s="24">
        <f t="shared" si="46"/>
        <v>0</v>
      </c>
      <c r="CO14" s="65">
        <f t="shared" si="4"/>
        <v>0.35249999999999998</v>
      </c>
      <c r="CP14" s="58">
        <f t="shared" si="28"/>
        <v>0</v>
      </c>
      <c r="CQ14" s="58">
        <f t="shared" si="29"/>
        <v>0.2</v>
      </c>
      <c r="CR14" s="58">
        <f t="shared" si="30"/>
        <v>735.8</v>
      </c>
      <c r="CS14" s="24">
        <f>'Required Transfers'!L14</f>
        <v>110400</v>
      </c>
      <c r="CT14" s="24">
        <f>'Required Transfers'!O14</f>
        <v>0</v>
      </c>
      <c r="CU14" s="24">
        <f>'Required Transfers'!H14</f>
        <v>339370</v>
      </c>
      <c r="CV14" s="58">
        <f t="shared" si="31"/>
        <v>374.8</v>
      </c>
      <c r="CW14" s="27" t="s">
        <v>199</v>
      </c>
    </row>
    <row r="15" spans="1:101" ht="15" customHeight="1">
      <c r="A15" s="54">
        <v>112</v>
      </c>
      <c r="B15" s="1" t="s">
        <v>54</v>
      </c>
      <c r="C15" s="1" t="s">
        <v>520</v>
      </c>
      <c r="D15" s="58">
        <v>433.5</v>
      </c>
      <c r="E15" s="58"/>
      <c r="F15" s="58">
        <v>0</v>
      </c>
      <c r="G15" s="58">
        <f t="shared" si="32"/>
        <v>433.5</v>
      </c>
      <c r="H15" s="58">
        <v>444.7</v>
      </c>
      <c r="I15" s="58"/>
      <c r="J15" s="58">
        <v>0</v>
      </c>
      <c r="K15" s="58">
        <f t="shared" si="33"/>
        <v>444.7</v>
      </c>
      <c r="L15" s="1">
        <v>476</v>
      </c>
      <c r="N15" s="1">
        <v>0</v>
      </c>
      <c r="O15" s="58">
        <f t="shared" si="34"/>
        <v>476</v>
      </c>
      <c r="P15" s="58">
        <f>IF(ISNA(VLOOKUP($CW15,'Audit Values'!$A:$BZ,2,FALSE)),'Preliminary SO66'!C14,VLOOKUP($CW15,'Audit Values'!$A:$BZ,76,FALSE))</f>
        <v>403</v>
      </c>
      <c r="Q15" s="58">
        <f>IF(ISNA(VLOOKUP($CW15,'Audit Values'!$A:$BZ,2,FALSE)),'Preliminary SO66'!F14,VLOOKUP($CW15,'Audit Values'!$A:$BZ,4,FALSE))</f>
        <v>0</v>
      </c>
      <c r="R15" s="58">
        <f t="shared" si="35"/>
        <v>403</v>
      </c>
      <c r="S15" s="58">
        <f>IF('Military Provision'!I15="YES", MAX('2024 Legal Max'!O15,'2024 Legal Max'!K15,AVERAGE('2024 Legal Max'!G15,'2024 Legal Max'!K15,'2024 Legal Max'!O15)), MAX(O15, K15))</f>
        <v>476</v>
      </c>
      <c r="T15" s="58">
        <f>IF(ISNA(VLOOKUP($CW15,'Audit Values'!$A:$BX,2,FALSE)),'Preliminary SO66'!AL14,VLOOKUP($CW15,'Audit Values'!$A:$BX,59,FALSE))</f>
        <v>9.5</v>
      </c>
      <c r="U15" s="58">
        <f t="shared" si="36"/>
        <v>485.5</v>
      </c>
      <c r="V15" s="58">
        <f>'Low-High ENRL- 2023 HSubSB 113'!N18</f>
        <v>204.5</v>
      </c>
      <c r="W15" s="58">
        <f>IF(ISNA(VLOOKUP($CW15,'Audit Values'!$A:$BZ,2,FALSE)),'Preliminary SO66'!AM14,VLOOKUP($CW15,'Audit Values'!$A:$BZ,63,FALSE))</f>
        <v>0</v>
      </c>
      <c r="X15" s="58">
        <f>(W15/6)*'Weighting Factors'!$O$7</f>
        <v>0</v>
      </c>
      <c r="Y15" s="61">
        <f>IF(ISNA(VLOOKUP($CW15,'Audit Values'!$A:$BZ,2,FALSE)),'Preliminary SO66'!AN14,VLOOKUP($CW15,'Audit Values'!$A:$BZ,62,FALSE))</f>
        <v>0</v>
      </c>
      <c r="Z15" s="58">
        <f>Y15*'Weighting Factors'!$O$8</f>
        <v>0</v>
      </c>
      <c r="AA15" s="58">
        <f t="shared" si="6"/>
        <v>0</v>
      </c>
      <c r="AB15" s="106">
        <f>IF(ISNA(VLOOKUP($CW15,'Audit Values'!$A:$BZ,2,FALSE)),'Preliminary SO66'!AO14,VLOOKUP($CW15,'Audit Values'!$A:$BZ,61,FALSE))</f>
        <v>88.6</v>
      </c>
      <c r="AC15" s="58">
        <f>AB15/6*'Weighting Factors'!$O$6</f>
        <v>7.4</v>
      </c>
      <c r="AD15" s="24">
        <f>IF(ISNA(VLOOKUP($CW15,'Audit Values'!$A:$BX,2,FALSE)),'Preliminary SO66'!AS14,VLOOKUP($CW15,'Audit Values'!$A:$BX,64,FALSE))</f>
        <v>426</v>
      </c>
      <c r="AE15" s="24">
        <f>IF(ISNA(VLOOKUP($CW15,'Audit Values'!$A:$BX,2,FALSE)),'Preliminary SO66'!AP14,VLOOKUP($CW15,'Audit Values'!$A:$BX,65,FALSE))</f>
        <v>169</v>
      </c>
      <c r="AF15" s="58">
        <f>IF(A15=207, AE15,(AE15))*'Weighting Factors'!$O$9</f>
        <v>81.8</v>
      </c>
      <c r="AG15" s="58">
        <f t="shared" si="41"/>
        <v>5.5</v>
      </c>
      <c r="AH15" s="58">
        <f>IF(ISNA(VLOOKUP($CW15,'Audit Values'!$A:$BZ,2,FALSE)),'Preliminary SO66'!AG14,VLOOKUP($CW15,'Audit Values'!$A:$BZ,71,FALSE))</f>
        <v>6.7</v>
      </c>
      <c r="AI15" s="58">
        <f t="shared" si="42"/>
        <v>6.7</v>
      </c>
      <c r="AJ15" s="58">
        <f>IF(ISNA(VLOOKUP($CW15,'Audit Values'!$A:$BX,2,FALSE)),'Preliminary SO66'!AR14,VLOOKUP($CW15,'Audit Values'!$A:$BX,66,FALSE))</f>
        <v>248</v>
      </c>
      <c r="AK15" s="24">
        <f t="shared" si="43"/>
        <v>342341</v>
      </c>
      <c r="AL15" s="58">
        <f>AK15/'Weighting Factors'!$O$5</f>
        <v>67.3</v>
      </c>
      <c r="AM15" s="58">
        <f>CJ15/'Weighting Factors'!$O$5</f>
        <v>0</v>
      </c>
      <c r="AN15" s="58">
        <f>CN15/'Weighting Factors'!$O$5</f>
        <v>0</v>
      </c>
      <c r="AO15" s="24">
        <v>542764</v>
      </c>
      <c r="AP15" s="58">
        <f>AO15/'Weighting Factors'!$O$5</f>
        <v>106.7</v>
      </c>
      <c r="AQ15" s="58">
        <f>IF(ISNA(VLOOKUP($CW15,'Audit Values'!$A:$BX,2,FALSE)),'Preliminary SO66'!X14,VLOOKUP($CW15,'Audit Values'!$A:$BX,48,FALSE))</f>
        <v>1</v>
      </c>
      <c r="AR15" s="58">
        <f t="shared" si="37"/>
        <v>960.9</v>
      </c>
      <c r="AS15" s="58">
        <f t="shared" si="38"/>
        <v>854.2</v>
      </c>
      <c r="AT15" s="58">
        <f>IF(ISNA(VLOOKUP($CW15,'Audit Values'!$A$2:$BX$410,2,FALSE)),'Preliminary SO66'!AA14,VLOOKUP($CW15,'Audit Values'!$A$2:$BX$410,41,FALSE))</f>
        <v>12</v>
      </c>
      <c r="AU15" s="58">
        <f>IF(ISNA(VLOOKUP($CW15,'Audit Values'!$A$2:$BX$410,2,FALSE)),'Preliminary SO66'!AB14,VLOOKUP($CW15,'Audit Values'!$A$2:$BX$410,42,FALSE))</f>
        <v>0</v>
      </c>
      <c r="AV15" s="73">
        <v>2800</v>
      </c>
      <c r="AW15" s="73">
        <v>0</v>
      </c>
      <c r="AX15" s="24">
        <f>SUM(AT15*'Weighting Factors'!$R$10)+('2024 Legal Max'!AU15*'Weighting Factors'!$R$11)+('2024 Legal Max'!AV15*'Weighting Factors'!$R$12)+('2024 Legal Max'!AW15*'Weighting Factors'!$R$12)</f>
        <v>2052400</v>
      </c>
      <c r="AY15" s="54">
        <f>IF(ISNA(VLOOKUP($CW15,'Audit Values'!$A$2:$BX$429,2,FALSE)),"",IF(AND('Weighting Factors'!G15&gt;0,VLOOKUP($CW15,'Audit Values'!$A$2:$BX$429,51,FALSE)&lt;'Weighting Factors'!G15),'Weighting Factors'!G15,VLOOKUP($CW15,'Audit Values'!$A$2:$BX$429,51,FALSE)))</f>
        <v>5</v>
      </c>
      <c r="AZ15" s="54" t="str">
        <f>IF(ISNA(VLOOKUP($CW15,'Audit Values'!$A:$BY,2,FALSE)),"",VLOOKUP($CW15,'Audit Values'!$A:$BY,52,FALSE))</f>
        <v>A</v>
      </c>
      <c r="BA15" s="54" t="str">
        <f>IF('Weighting Factors'!F15="","",IF('Weighting Factors'!H15="Pending","PX","R"))</f>
        <v/>
      </c>
      <c r="BB15" s="60">
        <f>SUM((U15+V15+AA15+AC15+AF15+AI15+AL15+AM15+AQ15+AN15)*'Weighting Factors'!$O$5)+'2024 Legal Max'!AX15</f>
        <v>6398570</v>
      </c>
      <c r="BC15" s="24">
        <f>SUM((AR15+AN15)*'Weighting Factors'!$O$5)+AX15</f>
        <v>6941459</v>
      </c>
      <c r="BD15" s="67">
        <f>IF('Weighting Factors'!F15&gt;0,'Weighting Factors'!F15,'Preliminary SO66'!AV14)</f>
        <v>7258442</v>
      </c>
      <c r="BE15" s="24">
        <f t="shared" si="39"/>
        <v>6941459</v>
      </c>
      <c r="BF15" s="71">
        <f>'Weighting Factors'!E15</f>
        <v>0</v>
      </c>
      <c r="BG15" s="71">
        <f>Transportation!G15</f>
        <v>0</v>
      </c>
      <c r="BH15" s="24">
        <f>IF(ISNA(VLOOKUP($CW15,'Audit Values'!$A:$BW,2,FALSE)), 0, VLOOKUP($CW15,'Audit Values'!$A:$BW,75,FALSE))</f>
        <v>-124430</v>
      </c>
      <c r="BI15" s="24">
        <f t="shared" si="10"/>
        <v>-124430</v>
      </c>
      <c r="BJ15" s="24">
        <f t="shared" si="44"/>
        <v>6817029</v>
      </c>
      <c r="BK15" s="24">
        <f>SUM((U15+V15+AA15+AC15+AF15+AI15+AL15+AM15+AN15)*'Weighting Factors'!O$12)+(MAX(AO15,'Weighting Factors'!B15))</f>
        <v>5086782</v>
      </c>
      <c r="BL15" s="78">
        <f>'LOB%'!F13</f>
        <v>0.33</v>
      </c>
      <c r="BM15" s="24">
        <f t="shared" si="12"/>
        <v>1678638</v>
      </c>
      <c r="BN15" s="67">
        <v>1771234</v>
      </c>
      <c r="BO15" s="24">
        <f t="shared" si="40"/>
        <v>1678638</v>
      </c>
      <c r="BP15" s="89">
        <f t="shared" si="13"/>
        <v>0.33</v>
      </c>
      <c r="BQ15" s="58">
        <f t="shared" si="14"/>
        <v>0</v>
      </c>
      <c r="BR15" s="1" t="b">
        <f t="shared" si="15"/>
        <v>0</v>
      </c>
      <c r="BS15" s="76">
        <f t="shared" si="16"/>
        <v>0</v>
      </c>
      <c r="BT15" s="75">
        <f t="shared" si="17"/>
        <v>0</v>
      </c>
      <c r="BU15" s="58">
        <f t="shared" si="18"/>
        <v>0</v>
      </c>
      <c r="BV15" s="1" t="b">
        <f t="shared" si="19"/>
        <v>1</v>
      </c>
      <c r="BW15" s="1">
        <f t="shared" si="20"/>
        <v>229.55629999999999</v>
      </c>
      <c r="BX15" s="75">
        <f t="shared" si="21"/>
        <v>0.42116300000000001</v>
      </c>
      <c r="BY15" s="58">
        <f t="shared" si="22"/>
        <v>204.5</v>
      </c>
      <c r="BZ15" s="58">
        <f t="shared" si="23"/>
        <v>0</v>
      </c>
      <c r="CA15" s="61">
        <v>582.79999999999995</v>
      </c>
      <c r="CB15" s="102">
        <f t="shared" si="24"/>
        <v>0.42599999999999999</v>
      </c>
      <c r="CC15" s="105">
        <f>IF(CB15&lt;0.06,1,IF(CB15&gt;=18.29,52,MATCH(CB15-0.001,'Weighting Factors'!$W$5:$W$156)+1))</f>
        <v>23</v>
      </c>
      <c r="CD15" s="24">
        <f>VLOOKUP(CC15, 'Weighting Factors'!$U$5:$X$56,4)</f>
        <v>1130</v>
      </c>
      <c r="CE15" s="109">
        <f>('Weighting Factors'!$O$5/'Weighting Factors'!$O$14)</f>
        <v>1.2216</v>
      </c>
      <c r="CF15" s="100">
        <f t="shared" si="25"/>
        <v>280240</v>
      </c>
      <c r="CG15" s="100">
        <f>CF15*'Weighting Factors'!$Q$7</f>
        <v>280240</v>
      </c>
      <c r="CH15" s="100">
        <f t="shared" si="45"/>
        <v>342341</v>
      </c>
      <c r="CI15" s="58">
        <f>AK15/'Weighting Factors'!$O$5</f>
        <v>67.3</v>
      </c>
      <c r="CJ15" s="67">
        <v>0</v>
      </c>
      <c r="CK15" s="80">
        <v>0</v>
      </c>
      <c r="CL15" s="110">
        <v>0</v>
      </c>
      <c r="CM15" s="24">
        <f>SUM((AR15*'Weighting Factors'!$O$5)+'2024 Legal Max'!AX15)*CL15</f>
        <v>0</v>
      </c>
      <c r="CN15" s="24">
        <f t="shared" si="46"/>
        <v>0</v>
      </c>
      <c r="CO15" s="65">
        <f t="shared" si="4"/>
        <v>0.3967</v>
      </c>
      <c r="CP15" s="58">
        <f t="shared" si="28"/>
        <v>0</v>
      </c>
      <c r="CQ15" s="58">
        <f t="shared" si="29"/>
        <v>5.5</v>
      </c>
      <c r="CR15" s="58">
        <f t="shared" si="30"/>
        <v>960.9</v>
      </c>
      <c r="CS15" s="24">
        <f>'Required Transfers'!L15</f>
        <v>144531</v>
      </c>
      <c r="CT15" s="24">
        <f>'Required Transfers'!O15</f>
        <v>0</v>
      </c>
      <c r="CU15" s="24">
        <f>'Required Transfers'!H15</f>
        <v>450288</v>
      </c>
      <c r="CV15" s="58">
        <f t="shared" si="31"/>
        <v>891.2</v>
      </c>
      <c r="CW15" s="27" t="s">
        <v>200</v>
      </c>
    </row>
    <row r="16" spans="1:101" ht="15" customHeight="1">
      <c r="A16" s="54">
        <v>113</v>
      </c>
      <c r="B16" s="1" t="s">
        <v>100</v>
      </c>
      <c r="C16" s="1" t="s">
        <v>521</v>
      </c>
      <c r="D16" s="58">
        <v>1044.2</v>
      </c>
      <c r="E16" s="58"/>
      <c r="F16" s="58">
        <v>0</v>
      </c>
      <c r="G16" s="58">
        <f t="shared" si="32"/>
        <v>1044.2</v>
      </c>
      <c r="H16" s="58">
        <v>1027.2</v>
      </c>
      <c r="I16" s="58"/>
      <c r="J16" s="58">
        <v>0</v>
      </c>
      <c r="K16" s="58">
        <f t="shared" si="33"/>
        <v>1027.2</v>
      </c>
      <c r="L16" s="1">
        <v>1033.0999999999999</v>
      </c>
      <c r="N16" s="1">
        <v>0</v>
      </c>
      <c r="O16" s="58">
        <f t="shared" si="34"/>
        <v>1033.0999999999999</v>
      </c>
      <c r="P16" s="58">
        <f>IF(ISNA(VLOOKUP($CW16,'Audit Values'!$A:$BZ,2,FALSE)),'Preliminary SO66'!C15,VLOOKUP($CW16,'Audit Values'!$A:$BZ,76,FALSE))</f>
        <v>898.5</v>
      </c>
      <c r="Q16" s="58">
        <f>IF(ISNA(VLOOKUP($CW16,'Audit Values'!$A:$BZ,2,FALSE)),'Preliminary SO66'!F15,VLOOKUP($CW16,'Audit Values'!$A:$BZ,4,FALSE))</f>
        <v>0</v>
      </c>
      <c r="R16" s="58">
        <f t="shared" si="35"/>
        <v>898.5</v>
      </c>
      <c r="S16" s="58">
        <f>IF('Military Provision'!I16="YES", MAX('2024 Legal Max'!O16,'2024 Legal Max'!K16,AVERAGE('2024 Legal Max'!G16,'2024 Legal Max'!K16,'2024 Legal Max'!O16)), MAX(O16, K16))</f>
        <v>1033.0999999999999</v>
      </c>
      <c r="T16" s="58">
        <f>IF(ISNA(VLOOKUP($CW16,'Audit Values'!$A:$BX,2,FALSE)),'Preliminary SO66'!AL15,VLOOKUP($CW16,'Audit Values'!$A:$BX,59,FALSE))</f>
        <v>10</v>
      </c>
      <c r="U16" s="58">
        <f t="shared" si="36"/>
        <v>1043.0999999999999</v>
      </c>
      <c r="V16" s="58">
        <f>'Low-High ENRL- 2023 HSubSB 113'!N19</f>
        <v>241.7</v>
      </c>
      <c r="W16" s="58">
        <f>IF(ISNA(VLOOKUP($CW16,'Audit Values'!$A:$BZ,2,FALSE)),'Preliminary SO66'!AM15,VLOOKUP($CW16,'Audit Values'!$A:$BZ,63,FALSE))</f>
        <v>0</v>
      </c>
      <c r="X16" s="58">
        <f>(W16/6)*'Weighting Factors'!$O$7</f>
        <v>0</v>
      </c>
      <c r="Y16" s="61">
        <f>IF(ISNA(VLOOKUP($CW16,'Audit Values'!$A:$BZ,2,FALSE)),'Preliminary SO66'!AN15,VLOOKUP($CW16,'Audit Values'!$A:$BZ,62,FALSE))</f>
        <v>0</v>
      </c>
      <c r="Z16" s="58">
        <f>Y16*'Weighting Factors'!$O$8</f>
        <v>0</v>
      </c>
      <c r="AA16" s="58">
        <f t="shared" si="6"/>
        <v>0</v>
      </c>
      <c r="AB16" s="106">
        <f>IF(ISNA(VLOOKUP($CW16,'Audit Values'!$A:$BZ,2,FALSE)),'Preliminary SO66'!AO15,VLOOKUP($CW16,'Audit Values'!$A:$BZ,61,FALSE))</f>
        <v>208.1</v>
      </c>
      <c r="AC16" s="58">
        <f>AB16/6*'Weighting Factors'!$O$6</f>
        <v>17.3</v>
      </c>
      <c r="AD16" s="24">
        <f>IF(ISNA(VLOOKUP($CW16,'Audit Values'!$A:$BX,2,FALSE)),'Preliminary SO66'!AS15,VLOOKUP($CW16,'Audit Values'!$A:$BX,64,FALSE))</f>
        <v>921</v>
      </c>
      <c r="AE16" s="24">
        <f>IF(ISNA(VLOOKUP($CW16,'Audit Values'!$A:$BX,2,FALSE)),'Preliminary SO66'!AP15,VLOOKUP($CW16,'Audit Values'!$A:$BX,65,FALSE))</f>
        <v>243</v>
      </c>
      <c r="AF16" s="58">
        <f>IF(A16=207, AE16,(AE16))*'Weighting Factors'!$O$9</f>
        <v>117.6</v>
      </c>
      <c r="AG16" s="58">
        <f t="shared" si="41"/>
        <v>0</v>
      </c>
      <c r="AH16" s="58">
        <f>IF(ISNA(VLOOKUP($CW16,'Audit Values'!$A:$BZ,2,FALSE)),'Preliminary SO66'!AG15,VLOOKUP($CW16,'Audit Values'!$A:$BZ,71,FALSE))</f>
        <v>0</v>
      </c>
      <c r="AI16" s="58">
        <f t="shared" si="42"/>
        <v>0</v>
      </c>
      <c r="AJ16" s="58">
        <f>IF(ISNA(VLOOKUP($CW16,'Audit Values'!$A:$BX,2,FALSE)),'Preliminary SO66'!AR15,VLOOKUP($CW16,'Audit Values'!$A:$BX,66,FALSE))</f>
        <v>306</v>
      </c>
      <c r="AK16" s="24">
        <f t="shared" si="43"/>
        <v>399976</v>
      </c>
      <c r="AL16" s="58">
        <f>AK16/'Weighting Factors'!$O$5</f>
        <v>78.599999999999994</v>
      </c>
      <c r="AM16" s="58">
        <f>CJ16/'Weighting Factors'!$O$5</f>
        <v>0</v>
      </c>
      <c r="AN16" s="58">
        <f>CN16/'Weighting Factors'!$O$5</f>
        <v>0</v>
      </c>
      <c r="AO16" s="24">
        <v>621912</v>
      </c>
      <c r="AP16" s="58">
        <f>AO16/'Weighting Factors'!$O$5</f>
        <v>122.2</v>
      </c>
      <c r="AQ16" s="58">
        <f>IF(ISNA(VLOOKUP($CW16,'Audit Values'!$A:$BX,2,FALSE)),'Preliminary SO66'!X15,VLOOKUP($CW16,'Audit Values'!$A:$BX,48,FALSE))</f>
        <v>0</v>
      </c>
      <c r="AR16" s="58">
        <f t="shared" si="37"/>
        <v>1620.5</v>
      </c>
      <c r="AS16" s="58">
        <f t="shared" si="38"/>
        <v>1498.3</v>
      </c>
      <c r="AT16" s="58">
        <f>IF(ISNA(VLOOKUP($CW16,'Audit Values'!$A$2:$BX$410,2,FALSE)),'Preliminary SO66'!AA15,VLOOKUP($CW16,'Audit Values'!$A$2:$BX$410,41,FALSE))</f>
        <v>0</v>
      </c>
      <c r="AU16" s="58">
        <f>IF(ISNA(VLOOKUP($CW16,'Audit Values'!$A$2:$BX$410,2,FALSE)),'Preliminary SO66'!AB15,VLOOKUP($CW16,'Audit Values'!$A$2:$BX$410,42,FALSE))</f>
        <v>0</v>
      </c>
      <c r="AV16" s="73">
        <v>0</v>
      </c>
      <c r="AW16" s="73">
        <v>0</v>
      </c>
      <c r="AX16" s="24">
        <f>SUM(AT16*'Weighting Factors'!$R$10)+('2024 Legal Max'!AU16*'Weighting Factors'!$R$11)+('2024 Legal Max'!AV16*'Weighting Factors'!$R$12)+('2024 Legal Max'!AW16*'Weighting Factors'!$R$12)</f>
        <v>0</v>
      </c>
      <c r="AY16" s="54">
        <f>IF(ISNA(VLOOKUP($CW16,'Audit Values'!$A$2:$BX$429,2,FALSE)),"",IF(AND('Weighting Factors'!G16&gt;0,VLOOKUP($CW16,'Audit Values'!$A$2:$BX$429,51,FALSE)&lt;'Weighting Factors'!G16),'Weighting Factors'!G16,VLOOKUP($CW16,'Audit Values'!$A$2:$BX$429,51,FALSE)))</f>
        <v>15</v>
      </c>
      <c r="AZ16" s="54" t="str">
        <f>IF(ISNA(VLOOKUP($CW16,'Audit Values'!$A:$BY,2,FALSE)),"",VLOOKUP($CW16,'Audit Values'!$A:$BY,52,FALSE))</f>
        <v>A</v>
      </c>
      <c r="BA16" s="54" t="str">
        <f>IF('Weighting Factors'!F16="","",IF('Weighting Factors'!H16="Pending","PX","R"))</f>
        <v/>
      </c>
      <c r="BB16" s="60">
        <f>SUM((U16+V16+AA16+AC16+AF16+AI16+AL16+AM16+AQ16+AN16)*'Weighting Factors'!$O$5)+'2024 Legal Max'!AX16</f>
        <v>7623350</v>
      </c>
      <c r="BC16" s="24">
        <f>SUM((AR16+AN16)*'Weighting Factors'!$O$5)+AX16</f>
        <v>8245104</v>
      </c>
      <c r="BD16" s="67">
        <f>IF('Weighting Factors'!F16&gt;0,'Weighting Factors'!F16,'Preliminary SO66'!AV15)</f>
        <v>8443473</v>
      </c>
      <c r="BE16" s="24">
        <f t="shared" si="39"/>
        <v>8245104</v>
      </c>
      <c r="BF16" s="71">
        <f>'Weighting Factors'!E16</f>
        <v>0</v>
      </c>
      <c r="BG16" s="71">
        <f>Transportation!G16</f>
        <v>0</v>
      </c>
      <c r="BH16" s="24">
        <f>IF(ISNA(VLOOKUP($CW16,'Audit Values'!$A:$BW,2,FALSE)), 0, VLOOKUP($CW16,'Audit Values'!$A:$BW,75,FALSE))</f>
        <v>-3545</v>
      </c>
      <c r="BI16" s="24">
        <f t="shared" si="10"/>
        <v>-3545</v>
      </c>
      <c r="BJ16" s="24">
        <f t="shared" si="44"/>
        <v>8241559</v>
      </c>
      <c r="BK16" s="24">
        <f>SUM((U16+V16+AA16+AC16+AF16+AI16+AL16+AM16+AN16)*'Weighting Factors'!O$12)+(MAX(AO16,'Weighting Factors'!B16))</f>
        <v>8829024</v>
      </c>
      <c r="BL16" s="78">
        <f>'LOB%'!F14</f>
        <v>0.33</v>
      </c>
      <c r="BM16" s="24">
        <f t="shared" si="12"/>
        <v>2913578</v>
      </c>
      <c r="BN16" s="67">
        <v>2770990</v>
      </c>
      <c r="BO16" s="24">
        <f t="shared" si="40"/>
        <v>2770990</v>
      </c>
      <c r="BP16" s="89">
        <f t="shared" si="13"/>
        <v>0.31390000000000001</v>
      </c>
      <c r="BQ16" s="58">
        <f t="shared" si="14"/>
        <v>0</v>
      </c>
      <c r="BR16" s="1" t="b">
        <f t="shared" si="15"/>
        <v>0</v>
      </c>
      <c r="BS16" s="76">
        <f t="shared" si="16"/>
        <v>0</v>
      </c>
      <c r="BT16" s="75">
        <f t="shared" si="17"/>
        <v>0</v>
      </c>
      <c r="BU16" s="58">
        <f t="shared" si="18"/>
        <v>0</v>
      </c>
      <c r="BV16" s="1" t="b">
        <f t="shared" si="19"/>
        <v>1</v>
      </c>
      <c r="BW16" s="1">
        <f t="shared" si="20"/>
        <v>919.58630000000005</v>
      </c>
      <c r="BX16" s="75">
        <f t="shared" si="21"/>
        <v>0.23171900000000001</v>
      </c>
      <c r="BY16" s="58">
        <f t="shared" si="22"/>
        <v>241.7</v>
      </c>
      <c r="BZ16" s="58">
        <f t="shared" si="23"/>
        <v>0</v>
      </c>
      <c r="CA16" s="61">
        <v>543</v>
      </c>
      <c r="CB16" s="102">
        <f t="shared" si="24"/>
        <v>0.56399999999999995</v>
      </c>
      <c r="CC16" s="105">
        <f>IF(CB16&lt;0.06,1,IF(CB16&gt;=18.29,52,MATCH(CB16-0.001,'Weighting Factors'!$W$5:$W$156)+1))</f>
        <v>26</v>
      </c>
      <c r="CD16" s="24">
        <f>VLOOKUP(CC16, 'Weighting Factors'!$U$5:$X$56,4)</f>
        <v>1070</v>
      </c>
      <c r="CE16" s="109">
        <f>('Weighting Factors'!$O$5/'Weighting Factors'!$O$14)</f>
        <v>1.2216</v>
      </c>
      <c r="CF16" s="100">
        <f t="shared" si="25"/>
        <v>327420</v>
      </c>
      <c r="CG16" s="100">
        <f>CF16*'Weighting Factors'!$Q$7</f>
        <v>327420</v>
      </c>
      <c r="CH16" s="100">
        <f t="shared" si="45"/>
        <v>399976</v>
      </c>
      <c r="CI16" s="58">
        <f>AK16/'Weighting Factors'!$O$5</f>
        <v>78.599999999999994</v>
      </c>
      <c r="CJ16" s="67">
        <v>0</v>
      </c>
      <c r="CK16" s="80">
        <v>0</v>
      </c>
      <c r="CL16" s="110">
        <v>0</v>
      </c>
      <c r="CM16" s="24">
        <f>SUM((AR16*'Weighting Factors'!$O$5)+'2024 Legal Max'!AX16)*CL16</f>
        <v>0</v>
      </c>
      <c r="CN16" s="24">
        <f t="shared" si="46"/>
        <v>0</v>
      </c>
      <c r="CO16" s="65">
        <f t="shared" si="4"/>
        <v>0.26379999999999998</v>
      </c>
      <c r="CP16" s="58">
        <f t="shared" si="28"/>
        <v>0</v>
      </c>
      <c r="CQ16" s="58">
        <f t="shared" si="29"/>
        <v>0</v>
      </c>
      <c r="CR16" s="58">
        <f t="shared" si="30"/>
        <v>1620.5</v>
      </c>
      <c r="CS16" s="24">
        <f>'Required Transfers'!L16</f>
        <v>202282</v>
      </c>
      <c r="CT16" s="24">
        <f>'Required Transfers'!O16</f>
        <v>0</v>
      </c>
      <c r="CU16" s="24">
        <f>'Required Transfers'!H16</f>
        <v>598349</v>
      </c>
      <c r="CV16" s="58">
        <f t="shared" si="31"/>
        <v>908.5</v>
      </c>
      <c r="CW16" s="27" t="s">
        <v>201</v>
      </c>
    </row>
    <row r="17" spans="1:101" ht="15" customHeight="1">
      <c r="A17" s="54">
        <v>114</v>
      </c>
      <c r="B17" s="1" t="s">
        <v>92</v>
      </c>
      <c r="C17" s="1" t="s">
        <v>522</v>
      </c>
      <c r="D17" s="58">
        <v>577.29999999999995</v>
      </c>
      <c r="E17" s="58"/>
      <c r="F17" s="58">
        <v>0</v>
      </c>
      <c r="G17" s="58">
        <f t="shared" si="32"/>
        <v>577.29999999999995</v>
      </c>
      <c r="H17" s="58">
        <v>580.5</v>
      </c>
      <c r="I17" s="58"/>
      <c r="J17" s="58">
        <v>0</v>
      </c>
      <c r="K17" s="58">
        <f t="shared" si="33"/>
        <v>580.5</v>
      </c>
      <c r="L17" s="1">
        <v>594.70000000000005</v>
      </c>
      <c r="N17" s="1">
        <v>0</v>
      </c>
      <c r="O17" s="58">
        <f t="shared" si="34"/>
        <v>594.70000000000005</v>
      </c>
      <c r="P17" s="58">
        <f>IF(ISNA(VLOOKUP($CW17,'Audit Values'!$A:$BZ,2,FALSE)),'Preliminary SO66'!C16,VLOOKUP($CW17,'Audit Values'!$A:$BZ,76,FALSE))</f>
        <v>605.20000000000005</v>
      </c>
      <c r="Q17" s="58">
        <f>IF(ISNA(VLOOKUP($CW17,'Audit Values'!$A:$BZ,2,FALSE)),'Preliminary SO66'!F16,VLOOKUP($CW17,'Audit Values'!$A:$BZ,4,FALSE))</f>
        <v>0</v>
      </c>
      <c r="R17" s="58">
        <f t="shared" si="35"/>
        <v>605.20000000000005</v>
      </c>
      <c r="S17" s="58">
        <f>IF('Military Provision'!I17="YES", MAX('2024 Legal Max'!O17,'2024 Legal Max'!K17,AVERAGE('2024 Legal Max'!G17,'2024 Legal Max'!K17,'2024 Legal Max'!O17)), MAX(O17, K17))</f>
        <v>594.70000000000005</v>
      </c>
      <c r="T17" s="58">
        <f>IF(ISNA(VLOOKUP($CW17,'Audit Values'!$A:$BX,2,FALSE)),'Preliminary SO66'!AL16,VLOOKUP($CW17,'Audit Values'!$A:$BX,59,FALSE))</f>
        <v>9</v>
      </c>
      <c r="U17" s="58">
        <f t="shared" si="36"/>
        <v>603.70000000000005</v>
      </c>
      <c r="V17" s="58">
        <f>'Low-High ENRL- 2023 HSubSB 113'!N20</f>
        <v>230</v>
      </c>
      <c r="W17" s="58">
        <f>IF(ISNA(VLOOKUP($CW17,'Audit Values'!$A:$BZ,2,FALSE)),'Preliminary SO66'!AM16,VLOOKUP($CW17,'Audit Values'!$A:$BZ,63,FALSE))</f>
        <v>0</v>
      </c>
      <c r="X17" s="58">
        <f>(W17/6)*'Weighting Factors'!$O$7</f>
        <v>0</v>
      </c>
      <c r="Y17" s="61">
        <f>IF(ISNA(VLOOKUP($CW17,'Audit Values'!$A:$BZ,2,FALSE)),'Preliminary SO66'!AN16,VLOOKUP($CW17,'Audit Values'!$A:$BZ,62,FALSE))</f>
        <v>0</v>
      </c>
      <c r="Z17" s="58">
        <f>Y17*'Weighting Factors'!$O$8</f>
        <v>0</v>
      </c>
      <c r="AA17" s="58">
        <f t="shared" si="6"/>
        <v>0</v>
      </c>
      <c r="AB17" s="106">
        <f>IF(ISNA(VLOOKUP($CW17,'Audit Values'!$A:$BZ,2,FALSE)),'Preliminary SO66'!AO16,VLOOKUP($CW17,'Audit Values'!$A:$BZ,61,FALSE))</f>
        <v>203.3</v>
      </c>
      <c r="AC17" s="58">
        <f>AB17/6*'Weighting Factors'!$O$6</f>
        <v>16.899999999999999</v>
      </c>
      <c r="AD17" s="24">
        <f>IF(ISNA(VLOOKUP($CW17,'Audit Values'!$A:$BX,2,FALSE)),'Preliminary SO66'!AS16,VLOOKUP($CW17,'Audit Values'!$A:$BX,64,FALSE))</f>
        <v>632</v>
      </c>
      <c r="AE17" s="24">
        <f>IF(ISNA(VLOOKUP($CW17,'Audit Values'!$A:$BX,2,FALSE)),'Preliminary SO66'!AP16,VLOOKUP($CW17,'Audit Values'!$A:$BX,65,FALSE))</f>
        <v>280</v>
      </c>
      <c r="AF17" s="58">
        <f>IF(A17=207, AE17,(AE17))*'Weighting Factors'!$O$9</f>
        <v>135.5</v>
      </c>
      <c r="AG17" s="58">
        <f t="shared" si="41"/>
        <v>18.2</v>
      </c>
      <c r="AH17" s="58">
        <f>IF(ISNA(VLOOKUP($CW17,'Audit Values'!$A:$BZ,2,FALSE)),'Preliminary SO66'!AG16,VLOOKUP($CW17,'Audit Values'!$A:$BZ,71,FALSE))</f>
        <v>19</v>
      </c>
      <c r="AI17" s="58">
        <f t="shared" si="42"/>
        <v>19</v>
      </c>
      <c r="AJ17" s="58">
        <f>IF(ISNA(VLOOKUP($CW17,'Audit Values'!$A:$BX,2,FALSE)),'Preliminary SO66'!AR16,VLOOKUP($CW17,'Audit Values'!$A:$BX,66,FALSE))</f>
        <v>316</v>
      </c>
      <c r="AK17" s="24">
        <f t="shared" si="43"/>
        <v>289519</v>
      </c>
      <c r="AL17" s="58">
        <f>AK17/'Weighting Factors'!$O$5</f>
        <v>56.9</v>
      </c>
      <c r="AM17" s="58">
        <f>CJ17/'Weighting Factors'!$O$5</f>
        <v>0</v>
      </c>
      <c r="AN17" s="58">
        <f>CN17/'Weighting Factors'!$O$5</f>
        <v>0</v>
      </c>
      <c r="AO17" s="24">
        <v>645059</v>
      </c>
      <c r="AP17" s="58">
        <f>AO17/'Weighting Factors'!$O$5</f>
        <v>126.8</v>
      </c>
      <c r="AQ17" s="58">
        <f>IF(ISNA(VLOOKUP($CW17,'Audit Values'!$A:$BX,2,FALSE)),'Preliminary SO66'!X16,VLOOKUP($CW17,'Audit Values'!$A:$BX,48,FALSE))</f>
        <v>0</v>
      </c>
      <c r="AR17" s="58">
        <f t="shared" si="37"/>
        <v>1188.8</v>
      </c>
      <c r="AS17" s="58">
        <f t="shared" si="38"/>
        <v>1062</v>
      </c>
      <c r="AT17" s="58">
        <f>IF(ISNA(VLOOKUP($CW17,'Audit Values'!$A$2:$BX$410,2,FALSE)),'Preliminary SO66'!AA16,VLOOKUP($CW17,'Audit Values'!$A$2:$BX$410,41,FALSE))</f>
        <v>1</v>
      </c>
      <c r="AU17" s="58">
        <f>IF(ISNA(VLOOKUP($CW17,'Audit Values'!$A$2:$BX$410,2,FALSE)),'Preliminary SO66'!AB16,VLOOKUP($CW17,'Audit Values'!$A$2:$BX$410,42,FALSE))</f>
        <v>2.6</v>
      </c>
      <c r="AV17" s="73">
        <v>0</v>
      </c>
      <c r="AW17" s="73">
        <v>0</v>
      </c>
      <c r="AX17" s="24">
        <f>SUM(AT17*'Weighting Factors'!$R$10)+('2024 Legal Max'!AU17*'Weighting Factors'!$R$11)+('2024 Legal Max'!AV17*'Weighting Factors'!$R$12)+('2024 Legal Max'!AW17*'Weighting Factors'!$R$12)</f>
        <v>12880</v>
      </c>
      <c r="AY17" s="54">
        <f>IF(ISNA(VLOOKUP($CW17,'Audit Values'!$A$2:$BX$429,2,FALSE)),"",IF(AND('Weighting Factors'!G17&gt;0,VLOOKUP($CW17,'Audit Values'!$A$2:$BX$429,51,FALSE)&lt;'Weighting Factors'!G17),'Weighting Factors'!G17,VLOOKUP($CW17,'Audit Values'!$A$2:$BX$429,51,FALSE)))</f>
        <v>13</v>
      </c>
      <c r="AZ17" s="54" t="str">
        <f>IF(ISNA(VLOOKUP($CW17,'Audit Values'!$A:$BY,2,FALSE)),"",VLOOKUP($CW17,'Audit Values'!$A:$BY,52,FALSE))</f>
        <v>A</v>
      </c>
      <c r="BA17" s="54" t="str">
        <f>IF('Weighting Factors'!F17="","",IF('Weighting Factors'!H17="Pending","PX","R"))</f>
        <v/>
      </c>
      <c r="BB17" s="60">
        <f>SUM((U17+V17+AA17+AC17+AF17+AI17+AL17+AM17+AQ17+AN17)*'Weighting Factors'!$O$5)+'2024 Legal Max'!AX17</f>
        <v>5416336</v>
      </c>
      <c r="BC17" s="24">
        <f>SUM((AR17+AN17)*'Weighting Factors'!$O$5)+AX17</f>
        <v>6061494</v>
      </c>
      <c r="BD17" s="67">
        <f>IF('Weighting Factors'!F17&gt;0,'Weighting Factors'!F17,'Preliminary SO66'!AV16)</f>
        <v>6371238</v>
      </c>
      <c r="BE17" s="24">
        <f t="shared" si="39"/>
        <v>6061494</v>
      </c>
      <c r="BF17" s="71">
        <f>'Weighting Factors'!E17</f>
        <v>0</v>
      </c>
      <c r="BG17" s="71">
        <f>Transportation!G17</f>
        <v>-81043</v>
      </c>
      <c r="BH17" s="24">
        <f>IF(ISNA(VLOOKUP($CW17,'Audit Values'!$A:$BW,2,FALSE)), 0, VLOOKUP($CW17,'Audit Values'!$A:$BW,75,FALSE))</f>
        <v>-7090</v>
      </c>
      <c r="BI17" s="24">
        <f t="shared" si="10"/>
        <v>-88133</v>
      </c>
      <c r="BJ17" s="24">
        <f t="shared" si="44"/>
        <v>5973361</v>
      </c>
      <c r="BK17" s="24">
        <f>SUM((U17+V17+AA17+AC17+AF17+AI17+AL17+AM17+AN17)*'Weighting Factors'!O$12)+(MAX(AO17,'Weighting Factors'!B17))</f>
        <v>6122855</v>
      </c>
      <c r="BL17" s="78">
        <f>'LOB%'!F15</f>
        <v>0.316</v>
      </c>
      <c r="BM17" s="24">
        <f t="shared" si="12"/>
        <v>1934822</v>
      </c>
      <c r="BN17" s="67">
        <v>2011523</v>
      </c>
      <c r="BO17" s="24">
        <f t="shared" si="40"/>
        <v>1934822</v>
      </c>
      <c r="BP17" s="89">
        <f t="shared" si="13"/>
        <v>0.316</v>
      </c>
      <c r="BQ17" s="58">
        <f t="shared" si="14"/>
        <v>0</v>
      </c>
      <c r="BR17" s="1" t="b">
        <f t="shared" si="15"/>
        <v>0</v>
      </c>
      <c r="BS17" s="76">
        <f t="shared" si="16"/>
        <v>0</v>
      </c>
      <c r="BT17" s="75">
        <f t="shared" si="17"/>
        <v>0</v>
      </c>
      <c r="BU17" s="58">
        <f t="shared" si="18"/>
        <v>0</v>
      </c>
      <c r="BV17" s="1" t="b">
        <f t="shared" si="19"/>
        <v>1</v>
      </c>
      <c r="BW17" s="1">
        <f t="shared" si="20"/>
        <v>375.8288</v>
      </c>
      <c r="BX17" s="75">
        <f t="shared" si="21"/>
        <v>0.38100499999999998</v>
      </c>
      <c r="BY17" s="58">
        <f t="shared" si="22"/>
        <v>230</v>
      </c>
      <c r="BZ17" s="58">
        <f t="shared" si="23"/>
        <v>0</v>
      </c>
      <c r="CA17" s="61">
        <v>88</v>
      </c>
      <c r="CB17" s="102">
        <f t="shared" si="24"/>
        <v>3.5910000000000002</v>
      </c>
      <c r="CC17" s="105">
        <f>IF(CB17&lt;0.06,1,IF(CB17&gt;=18.29,52,MATCH(CB17-0.001,'Weighting Factors'!$W$5:$W$156)+1))</f>
        <v>42</v>
      </c>
      <c r="CD17" s="24">
        <f>VLOOKUP(CC17, 'Weighting Factors'!$U$5:$X$56,4)</f>
        <v>750</v>
      </c>
      <c r="CE17" s="109">
        <f>('Weighting Factors'!$O$5/'Weighting Factors'!$O$14)</f>
        <v>1.2216</v>
      </c>
      <c r="CF17" s="100">
        <f t="shared" si="25"/>
        <v>237000</v>
      </c>
      <c r="CG17" s="100">
        <f>CF17*'Weighting Factors'!$Q$7</f>
        <v>237000</v>
      </c>
      <c r="CH17" s="100">
        <f t="shared" si="45"/>
        <v>289519</v>
      </c>
      <c r="CI17" s="58">
        <f>AK17/'Weighting Factors'!$O$5</f>
        <v>56.9</v>
      </c>
      <c r="CJ17" s="67">
        <v>0</v>
      </c>
      <c r="CK17" s="80">
        <v>0</v>
      </c>
      <c r="CL17" s="110">
        <v>0</v>
      </c>
      <c r="CM17" s="24">
        <f>SUM((AR17*'Weighting Factors'!$O$5)+'2024 Legal Max'!AX17)*CL17</f>
        <v>0</v>
      </c>
      <c r="CN17" s="24">
        <f t="shared" si="46"/>
        <v>0</v>
      </c>
      <c r="CO17" s="65">
        <f t="shared" si="4"/>
        <v>0.443</v>
      </c>
      <c r="CP17" s="58">
        <f t="shared" si="28"/>
        <v>0</v>
      </c>
      <c r="CQ17" s="58">
        <f t="shared" si="29"/>
        <v>18.2</v>
      </c>
      <c r="CR17" s="58">
        <f t="shared" si="30"/>
        <v>1188.8</v>
      </c>
      <c r="CS17" s="24">
        <f>'Required Transfers'!L17</f>
        <v>222118</v>
      </c>
      <c r="CT17" s="24">
        <f>'Required Transfers'!O17</f>
        <v>0</v>
      </c>
      <c r="CU17" s="24">
        <f>'Required Transfers'!H17</f>
        <v>786096</v>
      </c>
      <c r="CV17" s="58">
        <f t="shared" si="31"/>
        <v>617.79999999999995</v>
      </c>
      <c r="CW17" s="27" t="s">
        <v>202</v>
      </c>
    </row>
    <row r="18" spans="1:101" ht="15" customHeight="1">
      <c r="A18" s="54">
        <v>115</v>
      </c>
      <c r="B18" s="1" t="s">
        <v>100</v>
      </c>
      <c r="C18" s="1" t="s">
        <v>523</v>
      </c>
      <c r="D18" s="58">
        <v>591.6</v>
      </c>
      <c r="E18" s="58"/>
      <c r="F18" s="58">
        <v>0</v>
      </c>
      <c r="G18" s="58">
        <f t="shared" si="32"/>
        <v>591.6</v>
      </c>
      <c r="H18" s="58">
        <v>637</v>
      </c>
      <c r="I18" s="58"/>
      <c r="J18" s="58">
        <v>0</v>
      </c>
      <c r="K18" s="58">
        <f t="shared" si="33"/>
        <v>637</v>
      </c>
      <c r="L18" s="1">
        <v>692</v>
      </c>
      <c r="N18" s="1">
        <v>0</v>
      </c>
      <c r="O18" s="58">
        <f t="shared" si="34"/>
        <v>692</v>
      </c>
      <c r="P18" s="58">
        <f>IF(ISNA(VLOOKUP($CW18,'Audit Values'!$A:$BZ,2,FALSE)),'Preliminary SO66'!C17,VLOOKUP($CW18,'Audit Values'!$A:$BZ,76,FALSE))</f>
        <v>662.8</v>
      </c>
      <c r="Q18" s="58">
        <f>IF(ISNA(VLOOKUP($CW18,'Audit Values'!$A:$BZ,2,FALSE)),'Preliminary SO66'!F17,VLOOKUP($CW18,'Audit Values'!$A:$BZ,4,FALSE))</f>
        <v>0</v>
      </c>
      <c r="R18" s="58">
        <f t="shared" si="35"/>
        <v>662.8</v>
      </c>
      <c r="S18" s="58">
        <f>IF('Military Provision'!I18="YES", MAX('2024 Legal Max'!O18,'2024 Legal Max'!K18,AVERAGE('2024 Legal Max'!G18,'2024 Legal Max'!K18,'2024 Legal Max'!O18)), MAX(O18, K18))</f>
        <v>692</v>
      </c>
      <c r="T18" s="58">
        <f>IF(ISNA(VLOOKUP($CW18,'Audit Values'!$A:$BX,2,FALSE)),'Preliminary SO66'!AL17,VLOOKUP($CW18,'Audit Values'!$A:$BX,59,FALSE))</f>
        <v>19</v>
      </c>
      <c r="U18" s="58">
        <f t="shared" si="36"/>
        <v>711</v>
      </c>
      <c r="V18" s="58">
        <f>'Low-High ENRL- 2023 HSubSB 113'!N21</f>
        <v>258.10000000000002</v>
      </c>
      <c r="W18" s="58">
        <f>IF(ISNA(VLOOKUP($CW18,'Audit Values'!$A:$BZ,2,FALSE)),'Preliminary SO66'!AM17,VLOOKUP($CW18,'Audit Values'!$A:$BZ,63,FALSE))</f>
        <v>9.5</v>
      </c>
      <c r="X18" s="58">
        <f>(W18/6)*'Weighting Factors'!$O$7</f>
        <v>0.6</v>
      </c>
      <c r="Y18" s="61">
        <f>IF(ISNA(VLOOKUP($CW18,'Audit Values'!$A:$BZ,2,FALSE)),'Preliminary SO66'!AN17,VLOOKUP($CW18,'Audit Values'!$A:$BZ,62,FALSE))</f>
        <v>11</v>
      </c>
      <c r="Z18" s="58">
        <f>Y18*'Weighting Factors'!$O$8</f>
        <v>2</v>
      </c>
      <c r="AA18" s="58">
        <f t="shared" si="6"/>
        <v>2</v>
      </c>
      <c r="AB18" s="106">
        <f>IF(ISNA(VLOOKUP($CW18,'Audit Values'!$A:$BZ,2,FALSE)),'Preliminary SO66'!AO17,VLOOKUP($CW18,'Audit Values'!$A:$BZ,61,FALSE))</f>
        <v>215.3</v>
      </c>
      <c r="AC18" s="58">
        <f>AB18/6*'Weighting Factors'!$O$6</f>
        <v>17.899999999999999</v>
      </c>
      <c r="AD18" s="24">
        <f>IF(ISNA(VLOOKUP($CW18,'Audit Values'!$A:$BX,2,FALSE)),'Preliminary SO66'!AS17,VLOOKUP($CW18,'Audit Values'!$A:$BX,64,FALSE))</f>
        <v>756</v>
      </c>
      <c r="AE18" s="24">
        <f>IF(ISNA(VLOOKUP($CW18,'Audit Values'!$A:$BX,2,FALSE)),'Preliminary SO66'!AP17,VLOOKUP($CW18,'Audit Values'!$A:$BX,65,FALSE))</f>
        <v>172</v>
      </c>
      <c r="AF18" s="58">
        <f>IF(A18=207, AE18,(AE18))*'Weighting Factors'!$O$9</f>
        <v>83.2</v>
      </c>
      <c r="AG18" s="58">
        <f t="shared" si="41"/>
        <v>0</v>
      </c>
      <c r="AH18" s="58">
        <f>IF(ISNA(VLOOKUP($CW18,'Audit Values'!$A:$BZ,2,FALSE)),'Preliminary SO66'!AG17,VLOOKUP($CW18,'Audit Values'!$A:$BZ,71,FALSE))</f>
        <v>0</v>
      </c>
      <c r="AI18" s="58">
        <f t="shared" si="42"/>
        <v>0</v>
      </c>
      <c r="AJ18" s="58">
        <f>IF(ISNA(VLOOKUP($CW18,'Audit Values'!$A:$BX,2,FALSE)),'Preliminary SO66'!AR17,VLOOKUP($CW18,'Audit Values'!$A:$BX,66,FALSE))</f>
        <v>203.5</v>
      </c>
      <c r="AK18" s="24">
        <f t="shared" si="43"/>
        <v>241138</v>
      </c>
      <c r="AL18" s="58">
        <f>AK18/'Weighting Factors'!$O$5</f>
        <v>47.4</v>
      </c>
      <c r="AM18" s="58">
        <f>CJ18/'Weighting Factors'!$O$5</f>
        <v>0</v>
      </c>
      <c r="AN18" s="58">
        <f>CN18/'Weighting Factors'!$O$5</f>
        <v>0</v>
      </c>
      <c r="AO18" s="24">
        <v>598593</v>
      </c>
      <c r="AP18" s="58">
        <f>AO18/'Weighting Factors'!$O$5</f>
        <v>117.6</v>
      </c>
      <c r="AQ18" s="58">
        <f>IF(ISNA(VLOOKUP($CW18,'Audit Values'!$A:$BX,2,FALSE)),'Preliminary SO66'!X17,VLOOKUP($CW18,'Audit Values'!$A:$BX,48,FALSE))</f>
        <v>0</v>
      </c>
      <c r="AR18" s="58">
        <f t="shared" si="37"/>
        <v>1237.2</v>
      </c>
      <c r="AS18" s="58">
        <f t="shared" si="38"/>
        <v>1119.5999999999999</v>
      </c>
      <c r="AT18" s="58">
        <f>IF(ISNA(VLOOKUP($CW18,'Audit Values'!$A$2:$BX$410,2,FALSE)),'Preliminary SO66'!AA17,VLOOKUP($CW18,'Audit Values'!$A$2:$BX$410,41,FALSE))</f>
        <v>0</v>
      </c>
      <c r="AU18" s="58">
        <f>IF(ISNA(VLOOKUP($CW18,'Audit Values'!$A$2:$BX$410,2,FALSE)),'Preliminary SO66'!AB17,VLOOKUP($CW18,'Audit Values'!$A$2:$BX$410,42,FALSE))</f>
        <v>0</v>
      </c>
      <c r="AV18" s="73">
        <v>0</v>
      </c>
      <c r="AW18" s="73">
        <v>0</v>
      </c>
      <c r="AX18" s="24">
        <f>SUM(AT18*'Weighting Factors'!$R$10)+('2024 Legal Max'!AU18*'Weighting Factors'!$R$11)+('2024 Legal Max'!AV18*'Weighting Factors'!$R$12)+('2024 Legal Max'!AW18*'Weighting Factors'!$R$12)</f>
        <v>0</v>
      </c>
      <c r="AY18" s="54">
        <f>IF(ISNA(VLOOKUP($CW18,'Audit Values'!$A$2:$BX$429,2,FALSE)),"",IF(AND('Weighting Factors'!G18&gt;0,VLOOKUP($CW18,'Audit Values'!$A$2:$BX$429,51,FALSE)&lt;'Weighting Factors'!G18),'Weighting Factors'!G18,VLOOKUP($CW18,'Audit Values'!$A$2:$BX$429,51,FALSE)))</f>
        <v>16</v>
      </c>
      <c r="AZ18" s="54" t="str">
        <f>IF(ISNA(VLOOKUP($CW18,'Audit Values'!$A:$BY,2,FALSE)),"",VLOOKUP($CW18,'Audit Values'!$A:$BY,52,FALSE))</f>
        <v>A</v>
      </c>
      <c r="BA18" s="54" t="str">
        <f>IF('Weighting Factors'!F18="","",IF('Weighting Factors'!H18="Pending","PX","R"))</f>
        <v/>
      </c>
      <c r="BB18" s="60">
        <f>SUM((U18+V18+AA18+AC18+AF18+AI18+AL18+AM18+AQ18+AN18)*'Weighting Factors'!$O$5)+'2024 Legal Max'!AX18</f>
        <v>5696525</v>
      </c>
      <c r="BC18" s="24">
        <f>SUM((AR18+AN18)*'Weighting Factors'!$O$5)+AX18</f>
        <v>6294874</v>
      </c>
      <c r="BD18" s="67">
        <f>IF('Weighting Factors'!F18&gt;0,'Weighting Factors'!F18,'Preliminary SO66'!AV17)</f>
        <v>6478550</v>
      </c>
      <c r="BE18" s="24">
        <f t="shared" si="39"/>
        <v>6294874</v>
      </c>
      <c r="BF18" s="71">
        <f>'Weighting Factors'!E18</f>
        <v>0</v>
      </c>
      <c r="BG18" s="71">
        <f>Transportation!G18</f>
        <v>0</v>
      </c>
      <c r="BH18" s="24">
        <f>IF(ISNA(VLOOKUP($CW18,'Audit Values'!$A:$BW,2,FALSE)), 0, VLOOKUP($CW18,'Audit Values'!$A:$BW,75,FALSE))</f>
        <v>0</v>
      </c>
      <c r="BI18" s="24">
        <f t="shared" si="10"/>
        <v>0</v>
      </c>
      <c r="BJ18" s="24">
        <f t="shared" si="44"/>
        <v>6294874</v>
      </c>
      <c r="BK18" s="24">
        <f>SUM((U18+V18+AA18+AC18+AF18+AI18+AL18+AM18+AN18)*'Weighting Factors'!O$12)+(MAX(AO18,'Weighting Factors'!B18))</f>
        <v>6373490</v>
      </c>
      <c r="BL18" s="78">
        <f>'LOB%'!F16</f>
        <v>0.33</v>
      </c>
      <c r="BM18" s="24">
        <f t="shared" si="12"/>
        <v>2103252</v>
      </c>
      <c r="BN18" s="67">
        <v>2163978</v>
      </c>
      <c r="BO18" s="24">
        <f t="shared" si="40"/>
        <v>2103252</v>
      </c>
      <c r="BP18" s="89">
        <f t="shared" si="13"/>
        <v>0.33</v>
      </c>
      <c r="BQ18" s="58">
        <f t="shared" si="14"/>
        <v>0</v>
      </c>
      <c r="BR18" s="1" t="b">
        <f t="shared" si="15"/>
        <v>0</v>
      </c>
      <c r="BS18" s="76">
        <f t="shared" si="16"/>
        <v>0</v>
      </c>
      <c r="BT18" s="75">
        <f t="shared" si="17"/>
        <v>0</v>
      </c>
      <c r="BU18" s="58">
        <f t="shared" si="18"/>
        <v>0</v>
      </c>
      <c r="BV18" s="1" t="b">
        <f t="shared" si="19"/>
        <v>1</v>
      </c>
      <c r="BW18" s="1">
        <f t="shared" si="20"/>
        <v>508.61250000000001</v>
      </c>
      <c r="BX18" s="75">
        <f t="shared" si="21"/>
        <v>0.34455000000000002</v>
      </c>
      <c r="BY18" s="58">
        <f t="shared" si="22"/>
        <v>245</v>
      </c>
      <c r="BZ18" s="58">
        <f t="shared" si="23"/>
        <v>0</v>
      </c>
      <c r="CA18" s="61">
        <v>222</v>
      </c>
      <c r="CB18" s="102">
        <f t="shared" si="24"/>
        <v>0.91700000000000004</v>
      </c>
      <c r="CC18" s="105">
        <f>IF(CB18&lt;0.06,1,IF(CB18&gt;=18.29,52,MATCH(CB18-0.001,'Weighting Factors'!$W$5:$W$156)+1))</f>
        <v>31</v>
      </c>
      <c r="CD18" s="24">
        <f>VLOOKUP(CC18, 'Weighting Factors'!$U$5:$X$56,4)</f>
        <v>970</v>
      </c>
      <c r="CE18" s="109">
        <f>('Weighting Factors'!$O$5/'Weighting Factors'!$O$14)</f>
        <v>1.2216</v>
      </c>
      <c r="CF18" s="100">
        <f t="shared" si="25"/>
        <v>197395</v>
      </c>
      <c r="CG18" s="100">
        <f>CF18*'Weighting Factors'!$Q$7</f>
        <v>197395</v>
      </c>
      <c r="CH18" s="100">
        <f t="shared" si="45"/>
        <v>241138</v>
      </c>
      <c r="CI18" s="58">
        <f>AK18/'Weighting Factors'!$O$5</f>
        <v>47.4</v>
      </c>
      <c r="CJ18" s="67">
        <v>0</v>
      </c>
      <c r="CK18" s="80">
        <v>0</v>
      </c>
      <c r="CL18" s="110">
        <v>0</v>
      </c>
      <c r="CM18" s="24">
        <f>SUM((AR18*'Weighting Factors'!$O$5)+'2024 Legal Max'!AX18)*CL18</f>
        <v>0</v>
      </c>
      <c r="CN18" s="24">
        <f t="shared" si="46"/>
        <v>0</v>
      </c>
      <c r="CO18" s="65">
        <f t="shared" si="4"/>
        <v>0.22750000000000001</v>
      </c>
      <c r="CP18" s="58">
        <f t="shared" si="28"/>
        <v>0</v>
      </c>
      <c r="CQ18" s="58">
        <f t="shared" si="29"/>
        <v>0</v>
      </c>
      <c r="CR18" s="58">
        <f t="shared" si="30"/>
        <v>1237.2</v>
      </c>
      <c r="CS18" s="24">
        <f>'Required Transfers'!L18</f>
        <v>143652</v>
      </c>
      <c r="CT18" s="24">
        <f>'Required Transfers'!O18</f>
        <v>3365</v>
      </c>
      <c r="CU18" s="24">
        <f>'Required Transfers'!H18</f>
        <v>423322</v>
      </c>
      <c r="CV18" s="58">
        <f t="shared" si="31"/>
        <v>681.8</v>
      </c>
      <c r="CW18" s="27" t="s">
        <v>203</v>
      </c>
    </row>
    <row r="19" spans="1:101" ht="15" customHeight="1">
      <c r="A19" s="54">
        <v>200</v>
      </c>
      <c r="B19" s="1" t="s">
        <v>8</v>
      </c>
      <c r="C19" s="1" t="s">
        <v>524</v>
      </c>
      <c r="D19" s="58">
        <v>234.6</v>
      </c>
      <c r="E19" s="58"/>
      <c r="F19" s="58">
        <v>0</v>
      </c>
      <c r="G19" s="58">
        <f t="shared" si="32"/>
        <v>234.6</v>
      </c>
      <c r="H19" s="58">
        <v>236.5</v>
      </c>
      <c r="I19" s="58"/>
      <c r="J19" s="58">
        <v>0</v>
      </c>
      <c r="K19" s="58">
        <f t="shared" si="33"/>
        <v>236.5</v>
      </c>
      <c r="L19" s="1">
        <v>224</v>
      </c>
      <c r="N19" s="1">
        <v>0</v>
      </c>
      <c r="O19" s="58">
        <f t="shared" si="34"/>
        <v>224</v>
      </c>
      <c r="P19" s="58">
        <f>IF(ISNA(VLOOKUP($CW19,'Audit Values'!$A:$BZ,2,FALSE)),'Preliminary SO66'!C18,VLOOKUP($CW19,'Audit Values'!$A:$BZ,76,FALSE))</f>
        <v>223.4</v>
      </c>
      <c r="Q19" s="58">
        <f>IF(ISNA(VLOOKUP($CW19,'Audit Values'!$A:$BZ,2,FALSE)),'Preliminary SO66'!F18,VLOOKUP($CW19,'Audit Values'!$A:$BZ,4,FALSE))</f>
        <v>0</v>
      </c>
      <c r="R19" s="58">
        <f t="shared" si="35"/>
        <v>223.4</v>
      </c>
      <c r="S19" s="58">
        <f>IF('Military Provision'!I19="YES", MAX('2024 Legal Max'!O19,'2024 Legal Max'!K19,AVERAGE('2024 Legal Max'!G19,'2024 Legal Max'!K19,'2024 Legal Max'!O19)), MAX(O19, K19))</f>
        <v>236.5</v>
      </c>
      <c r="T19" s="58">
        <f>IF(ISNA(VLOOKUP($CW19,'Audit Values'!$A:$BX,2,FALSE)),'Preliminary SO66'!AL18,VLOOKUP($CW19,'Audit Values'!$A:$BX,59,FALSE))</f>
        <v>2.5</v>
      </c>
      <c r="U19" s="58">
        <f t="shared" si="36"/>
        <v>239</v>
      </c>
      <c r="V19" s="58">
        <f>'Low-High ENRL- 2023 HSubSB 113'!N22</f>
        <v>154.4</v>
      </c>
      <c r="W19" s="58">
        <f>IF(ISNA(VLOOKUP($CW19,'Audit Values'!$A:$BZ,2,FALSE)),'Preliminary SO66'!AM18,VLOOKUP($CW19,'Audit Values'!$A:$BZ,63,FALSE))</f>
        <v>93.7</v>
      </c>
      <c r="X19" s="58">
        <f>(W19/6)*'Weighting Factors'!$O$7</f>
        <v>6.2</v>
      </c>
      <c r="Y19" s="61">
        <f>IF(ISNA(VLOOKUP($CW19,'Audit Values'!$A:$BZ,2,FALSE)),'Preliminary SO66'!AN18,VLOOKUP($CW19,'Audit Values'!$A:$BZ,62,FALSE))</f>
        <v>46</v>
      </c>
      <c r="Z19" s="58">
        <f>Y19*'Weighting Factors'!$O$8</f>
        <v>8.5</v>
      </c>
      <c r="AA19" s="58">
        <f t="shared" si="6"/>
        <v>8.5</v>
      </c>
      <c r="AB19" s="106">
        <f>IF(ISNA(VLOOKUP($CW19,'Audit Values'!$A:$BZ,2,FALSE)),'Preliminary SO66'!AO18,VLOOKUP($CW19,'Audit Values'!$A:$BZ,61,FALSE))</f>
        <v>96.6</v>
      </c>
      <c r="AC19" s="58">
        <f>AB19/6*'Weighting Factors'!$O$6</f>
        <v>8.1</v>
      </c>
      <c r="AD19" s="24">
        <f>IF(ISNA(VLOOKUP($CW19,'Audit Values'!$A:$BX,2,FALSE)),'Preliminary SO66'!AS18,VLOOKUP($CW19,'Audit Values'!$A:$BX,64,FALSE))</f>
        <v>233</v>
      </c>
      <c r="AE19" s="24">
        <f>IF(ISNA(VLOOKUP($CW19,'Audit Values'!$A:$BX,2,FALSE)),'Preliminary SO66'!AP18,VLOOKUP($CW19,'Audit Values'!$A:$BX,65,FALSE))</f>
        <v>79</v>
      </c>
      <c r="AF19" s="58">
        <f>IF(A19=207, AE19,(AE19))*'Weighting Factors'!$O$9</f>
        <v>38.200000000000003</v>
      </c>
      <c r="AG19" s="58">
        <f t="shared" si="41"/>
        <v>0</v>
      </c>
      <c r="AH19" s="58">
        <f>IF(ISNA(VLOOKUP($CW19,'Audit Values'!$A:$BZ,2,FALSE)),'Preliminary SO66'!AG18,VLOOKUP($CW19,'Audit Values'!$A:$BZ,71,FALSE))</f>
        <v>0</v>
      </c>
      <c r="AI19" s="58">
        <f t="shared" si="42"/>
        <v>0</v>
      </c>
      <c r="AJ19" s="58">
        <f>IF(ISNA(VLOOKUP($CW19,'Audit Values'!$A:$BX,2,FALSE)),'Preliminary SO66'!AR18,VLOOKUP($CW19,'Audit Values'!$A:$BX,66,FALSE))</f>
        <v>53</v>
      </c>
      <c r="AK19" s="24">
        <f t="shared" si="43"/>
        <v>102297</v>
      </c>
      <c r="AL19" s="58">
        <f>AK19/'Weighting Factors'!$O$5</f>
        <v>20.100000000000001</v>
      </c>
      <c r="AM19" s="58">
        <f>CJ19/'Weighting Factors'!$O$5</f>
        <v>0</v>
      </c>
      <c r="AN19" s="58">
        <f>CN19/'Weighting Factors'!$O$5</f>
        <v>0</v>
      </c>
      <c r="AO19" s="24">
        <v>159676</v>
      </c>
      <c r="AP19" s="58">
        <f>AO19/'Weighting Factors'!$O$5</f>
        <v>31.4</v>
      </c>
      <c r="AQ19" s="58">
        <f>IF(ISNA(VLOOKUP($CW19,'Audit Values'!$A:$BX,2,FALSE)),'Preliminary SO66'!X18,VLOOKUP($CW19,'Audit Values'!$A:$BX,48,FALSE))</f>
        <v>0</v>
      </c>
      <c r="AR19" s="58">
        <f t="shared" si="37"/>
        <v>499.7</v>
      </c>
      <c r="AS19" s="58">
        <f t="shared" si="38"/>
        <v>468.3</v>
      </c>
      <c r="AT19" s="58">
        <f>IF(ISNA(VLOOKUP($CW19,'Audit Values'!$A$2:$BX$410,2,FALSE)),'Preliminary SO66'!AA18,VLOOKUP($CW19,'Audit Values'!$A$2:$BX$410,41,FALSE))</f>
        <v>0</v>
      </c>
      <c r="AU19" s="58">
        <f>IF(ISNA(VLOOKUP($CW19,'Audit Values'!$A$2:$BX$410,2,FALSE)),'Preliminary SO66'!AB18,VLOOKUP($CW19,'Audit Values'!$A$2:$BX$410,42,FALSE))</f>
        <v>0</v>
      </c>
      <c r="AV19" s="73">
        <v>0</v>
      </c>
      <c r="AW19" s="73">
        <v>0</v>
      </c>
      <c r="AX19" s="24">
        <f>SUM(AT19*'Weighting Factors'!$R$10)+('2024 Legal Max'!AU19*'Weighting Factors'!$R$11)+('2024 Legal Max'!AV19*'Weighting Factors'!$R$12)+('2024 Legal Max'!AW19*'Weighting Factors'!$R$12)</f>
        <v>0</v>
      </c>
      <c r="AY19" s="54">
        <f>IF(ISNA(VLOOKUP($CW19,'Audit Values'!$A$2:$BX$429,2,FALSE)),"",IF(AND('Weighting Factors'!G19&gt;0,VLOOKUP($CW19,'Audit Values'!$A$2:$BX$429,51,FALSE)&lt;'Weighting Factors'!G19),'Weighting Factors'!G19,VLOOKUP($CW19,'Audit Values'!$A$2:$BX$429,51,FALSE)))</f>
        <v>6</v>
      </c>
      <c r="AZ19" s="54" t="str">
        <f>IF(ISNA(VLOOKUP($CW19,'Audit Values'!$A:$BY,2,FALSE)),"",VLOOKUP($CW19,'Audit Values'!$A:$BY,52,FALSE))</f>
        <v>A</v>
      </c>
      <c r="BA19" s="54" t="str">
        <f>IF('Weighting Factors'!F19="","",IF('Weighting Factors'!H19="Pending","PX","R"))</f>
        <v/>
      </c>
      <c r="BB19" s="60">
        <f>SUM((U19+V19+AA19+AC19+AF19+AI19+AL19+AM19+AQ19+AN19)*'Weighting Factors'!$O$5)+'2024 Legal Max'!AX19</f>
        <v>2382710</v>
      </c>
      <c r="BC19" s="24">
        <f>SUM((AR19+AN19)*'Weighting Factors'!$O$5)+AX19</f>
        <v>2542474</v>
      </c>
      <c r="BD19" s="67">
        <f>IF('Weighting Factors'!F19&gt;0,'Weighting Factors'!F19,'Preliminary SO66'!AV18)</f>
        <v>2694605</v>
      </c>
      <c r="BE19" s="24">
        <f t="shared" si="39"/>
        <v>2542474</v>
      </c>
      <c r="BF19" s="71">
        <f>'Weighting Factors'!E19</f>
        <v>0</v>
      </c>
      <c r="BG19" s="71">
        <f>Transportation!G19</f>
        <v>0</v>
      </c>
      <c r="BH19" s="24">
        <f>IF(ISNA(VLOOKUP($CW19,'Audit Values'!$A:$BW,2,FALSE)), 0, VLOOKUP($CW19,'Audit Values'!$A:$BW,75,FALSE))</f>
        <v>0</v>
      </c>
      <c r="BI19" s="24">
        <f t="shared" si="10"/>
        <v>0</v>
      </c>
      <c r="BJ19" s="24">
        <f t="shared" si="44"/>
        <v>2542474</v>
      </c>
      <c r="BK19" s="24">
        <f>SUM((U19+V19+AA19+AC19+AF19+AI19+AL19+AM19+AN19)*'Weighting Factors'!O$12)+(MAX(AO19,'Weighting Factors'!B19))</f>
        <v>2581342</v>
      </c>
      <c r="BL19" s="78">
        <f>'LOB%'!F17</f>
        <v>0.316</v>
      </c>
      <c r="BM19" s="24">
        <f t="shared" si="12"/>
        <v>815704</v>
      </c>
      <c r="BN19" s="67">
        <v>818745</v>
      </c>
      <c r="BO19" s="24">
        <f t="shared" si="40"/>
        <v>815704</v>
      </c>
      <c r="BP19" s="89">
        <f t="shared" si="13"/>
        <v>0.316</v>
      </c>
      <c r="BQ19" s="58">
        <f t="shared" si="14"/>
        <v>0</v>
      </c>
      <c r="BR19" s="1" t="b">
        <f t="shared" si="15"/>
        <v>1</v>
      </c>
      <c r="BS19" s="76">
        <f t="shared" si="16"/>
        <v>1342.0450000000001</v>
      </c>
      <c r="BT19" s="75">
        <f t="shared" si="17"/>
        <v>0.64588000000000001</v>
      </c>
      <c r="BU19" s="58">
        <f t="shared" si="18"/>
        <v>154.4</v>
      </c>
      <c r="BV19" s="1" t="b">
        <f t="shared" si="19"/>
        <v>0</v>
      </c>
      <c r="BW19" s="1">
        <f t="shared" si="20"/>
        <v>0</v>
      </c>
      <c r="BX19" s="75">
        <f t="shared" si="21"/>
        <v>0</v>
      </c>
      <c r="BY19" s="58">
        <f t="shared" si="22"/>
        <v>0</v>
      </c>
      <c r="BZ19" s="58">
        <f t="shared" si="23"/>
        <v>0</v>
      </c>
      <c r="CA19" s="61">
        <v>780</v>
      </c>
      <c r="CB19" s="102">
        <f t="shared" si="24"/>
        <v>6.8000000000000005E-2</v>
      </c>
      <c r="CC19" s="105">
        <f>IF(CB19&lt;0.06,1,IF(CB19&gt;=18.29,52,MATCH(CB19-0.001,'Weighting Factors'!$W$5:$W$156)+1))</f>
        <v>2</v>
      </c>
      <c r="CD19" s="24">
        <f>VLOOKUP(CC19, 'Weighting Factors'!$U$5:$X$56,4)</f>
        <v>1580</v>
      </c>
      <c r="CE19" s="109">
        <f>('Weighting Factors'!$O$5/'Weighting Factors'!$O$14)</f>
        <v>1.2216</v>
      </c>
      <c r="CF19" s="100">
        <f t="shared" si="25"/>
        <v>83740</v>
      </c>
      <c r="CG19" s="100">
        <f>CF19*'Weighting Factors'!$Q$7</f>
        <v>83740</v>
      </c>
      <c r="CH19" s="100">
        <f t="shared" si="45"/>
        <v>102297</v>
      </c>
      <c r="CI19" s="58">
        <f>AK19/'Weighting Factors'!$O$5</f>
        <v>20.100000000000001</v>
      </c>
      <c r="CJ19" s="67">
        <v>0</v>
      </c>
      <c r="CK19" s="80">
        <v>0</v>
      </c>
      <c r="CL19" s="110">
        <v>0</v>
      </c>
      <c r="CM19" s="24">
        <f>SUM((AR19*'Weighting Factors'!$O$5)+'2024 Legal Max'!AX19)*CL19</f>
        <v>0</v>
      </c>
      <c r="CN19" s="24">
        <f t="shared" si="46"/>
        <v>0</v>
      </c>
      <c r="CO19" s="65">
        <f t="shared" si="4"/>
        <v>0.33910000000000001</v>
      </c>
      <c r="CP19" s="58">
        <f t="shared" si="28"/>
        <v>0</v>
      </c>
      <c r="CQ19" s="58">
        <f t="shared" si="29"/>
        <v>0</v>
      </c>
      <c r="CR19" s="58">
        <f t="shared" si="30"/>
        <v>499.7</v>
      </c>
      <c r="CS19" s="24">
        <f>'Required Transfers'!L19</f>
        <v>62646</v>
      </c>
      <c r="CT19" s="24">
        <f>'Required Transfers'!O19</f>
        <v>13949</v>
      </c>
      <c r="CU19" s="24">
        <f>'Required Transfers'!H19</f>
        <v>194362</v>
      </c>
      <c r="CV19" s="58">
        <f t="shared" si="31"/>
        <v>225.9</v>
      </c>
      <c r="CW19" s="27" t="s">
        <v>204</v>
      </c>
    </row>
    <row r="20" spans="1:101" ht="15" customHeight="1">
      <c r="A20" s="54">
        <v>202</v>
      </c>
      <c r="B20" s="1" t="s">
        <v>9</v>
      </c>
      <c r="C20" s="1" t="s">
        <v>525</v>
      </c>
      <c r="D20" s="58">
        <v>3681.8</v>
      </c>
      <c r="E20" s="58"/>
      <c r="F20" s="58">
        <v>0</v>
      </c>
      <c r="G20" s="58">
        <f t="shared" si="32"/>
        <v>3681.8</v>
      </c>
      <c r="H20" s="58">
        <v>3698.6</v>
      </c>
      <c r="I20" s="58">
        <v>6</v>
      </c>
      <c r="J20" s="58">
        <v>0</v>
      </c>
      <c r="K20" s="58">
        <f t="shared" si="33"/>
        <v>3692.6</v>
      </c>
      <c r="L20" s="1">
        <v>3617.6</v>
      </c>
      <c r="N20" s="1">
        <v>0</v>
      </c>
      <c r="O20" s="58">
        <f t="shared" si="34"/>
        <v>3617.6</v>
      </c>
      <c r="P20" s="58">
        <f>IF(ISNA(VLOOKUP($CW20,'Audit Values'!$A:$BZ,2,FALSE)),'Preliminary SO66'!C19,VLOOKUP($CW20,'Audit Values'!$A:$BZ,76,FALSE))</f>
        <v>3616.5</v>
      </c>
      <c r="Q20" s="58">
        <f>IF(ISNA(VLOOKUP($CW20,'Audit Values'!$A:$BZ,2,FALSE)),'Preliminary SO66'!F19,VLOOKUP($CW20,'Audit Values'!$A:$BZ,4,FALSE))</f>
        <v>0</v>
      </c>
      <c r="R20" s="58">
        <f>SUM(P20+Q20)</f>
        <v>3616.5</v>
      </c>
      <c r="S20" s="58">
        <f>IF('Military Provision'!I20="YES", MAX('2024 Legal Max'!O20,'2024 Legal Max'!K20,AVERAGE('2024 Legal Max'!G20,'2024 Legal Max'!K20,'2024 Legal Max'!O20)), MAX(O20, K20))</f>
        <v>3692.6</v>
      </c>
      <c r="T20" s="58">
        <f>IF(ISNA(VLOOKUP($CW20,'Audit Values'!$A:$BX,2,FALSE)),'Preliminary SO66'!AL19,VLOOKUP($CW20,'Audit Values'!$A:$BX,59,FALSE))</f>
        <v>78.5</v>
      </c>
      <c r="U20" s="58">
        <f t="shared" si="36"/>
        <v>3771.1</v>
      </c>
      <c r="V20" s="58">
        <f>'Low-High ENRL- 2023 HSubSB 113'!N23</f>
        <v>132.1</v>
      </c>
      <c r="W20" s="58">
        <f>IF(ISNA(VLOOKUP($CW20,'Audit Values'!$A:$BZ,2,FALSE)),'Preliminary SO66'!AM19,VLOOKUP($CW20,'Audit Values'!$A:$BZ,63,FALSE))</f>
        <v>1916.1</v>
      </c>
      <c r="X20" s="58">
        <f>(W20/6)*'Weighting Factors'!$O$7</f>
        <v>126.1</v>
      </c>
      <c r="Y20" s="61">
        <f>IF(ISNA(VLOOKUP($CW20,'Audit Values'!$A:$BZ,2,FALSE)),'Preliminary SO66'!AN19,VLOOKUP($CW20,'Audit Values'!$A:$BZ,62,FALSE))</f>
        <v>691</v>
      </c>
      <c r="Z20" s="58">
        <f>Y20*'Weighting Factors'!$O$8</f>
        <v>127.8</v>
      </c>
      <c r="AA20" s="58">
        <f t="shared" si="6"/>
        <v>127.8</v>
      </c>
      <c r="AB20" s="106">
        <f>IF(ISNA(VLOOKUP($CW20,'Audit Values'!$A:$BZ,2,FALSE)),'Preliminary SO66'!AO19,VLOOKUP($CW20,'Audit Values'!$A:$BZ,61,FALSE))</f>
        <v>1154.2</v>
      </c>
      <c r="AC20" s="58">
        <f>AB20/6*'Weighting Factors'!$O$6</f>
        <v>96.2</v>
      </c>
      <c r="AD20" s="24">
        <f>IF(ISNA(VLOOKUP($CW20,'Audit Values'!$A:$BX,2,FALSE)),'Preliminary SO66'!AS19,VLOOKUP($CW20,'Audit Values'!$A:$BX,64,FALSE))</f>
        <v>3791</v>
      </c>
      <c r="AE20" s="24">
        <f>IF(ISNA(VLOOKUP($CW20,'Audit Values'!$A:$BX,2,FALSE)),'Preliminary SO66'!AP19,VLOOKUP($CW20,'Audit Values'!$A:$BX,65,FALSE))</f>
        <v>2683</v>
      </c>
      <c r="AF20" s="58">
        <f>IF(A20=207, AE20,(AE20))*'Weighting Factors'!$O$9</f>
        <v>1298.5999999999999</v>
      </c>
      <c r="AG20" s="58">
        <f t="shared" si="41"/>
        <v>281.7</v>
      </c>
      <c r="AH20" s="58">
        <f>IF(ISNA(VLOOKUP($CW20,'Audit Values'!$A:$BZ,2,FALSE)),'Preliminary SO66'!AG19,VLOOKUP($CW20,'Audit Values'!$A:$BZ,71,FALSE))</f>
        <v>281.7</v>
      </c>
      <c r="AI20" s="58">
        <f t="shared" si="42"/>
        <v>281.7</v>
      </c>
      <c r="AJ20" s="58">
        <f>IF(ISNA(VLOOKUP($CW20,'Audit Values'!$A:$BX,2,FALSE)),'Preliminary SO66'!AR19,VLOOKUP($CW20,'Audit Values'!$A:$BX,66,FALSE))</f>
        <v>1226</v>
      </c>
      <c r="AK20" s="24">
        <f t="shared" si="43"/>
        <v>823725</v>
      </c>
      <c r="AL20" s="58">
        <f>AK20/'Weighting Factors'!$O$5</f>
        <v>161.9</v>
      </c>
      <c r="AM20" s="58">
        <f>CJ20/'Weighting Factors'!$O$5</f>
        <v>0</v>
      </c>
      <c r="AN20" s="58">
        <f>CN20/'Weighting Factors'!$O$5</f>
        <v>0</v>
      </c>
      <c r="AO20" s="24">
        <v>3251883</v>
      </c>
      <c r="AP20" s="58">
        <f>AO20/'Weighting Factors'!$O$5</f>
        <v>639.1</v>
      </c>
      <c r="AQ20" s="58">
        <f>IF(ISNA(VLOOKUP($CW20,'Audit Values'!$A:$BX,2,FALSE)),'Preliminary SO66'!X19,VLOOKUP($CW20,'Audit Values'!$A:$BX,48,FALSE))</f>
        <v>1</v>
      </c>
      <c r="AR20" s="58">
        <f t="shared" si="37"/>
        <v>6509.5</v>
      </c>
      <c r="AS20" s="58">
        <f t="shared" si="38"/>
        <v>5870.4</v>
      </c>
      <c r="AT20" s="58">
        <f>IF(ISNA(VLOOKUP($CW20,'Audit Values'!$A$2:$BX$410,2,FALSE)),'Preliminary SO66'!AA19,VLOOKUP($CW20,'Audit Values'!$A$2:$BX$410,41,FALSE))</f>
        <v>14</v>
      </c>
      <c r="AU20" s="58">
        <f>IF(ISNA(VLOOKUP($CW20,'Audit Values'!$A$2:$BX$410,2,FALSE)),'Preliminary SO66'!AB19,VLOOKUP($CW20,'Audit Values'!$A$2:$BX$410,42,FALSE))</f>
        <v>2</v>
      </c>
      <c r="AV20" s="73">
        <v>54.5</v>
      </c>
      <c r="AW20" s="73">
        <v>0</v>
      </c>
      <c r="AX20" s="24">
        <f>SUM(AT20*'Weighting Factors'!$R$10)+('2024 Legal Max'!AU20*'Weighting Factors'!$R$11)+('2024 Legal Max'!AV20*'Weighting Factors'!$R$12)+('2024 Legal Max'!AW20*'Weighting Factors'!$R$12)</f>
        <v>122641</v>
      </c>
      <c r="AY20" s="54">
        <f>IF(ISNA(VLOOKUP($CW20,'Audit Values'!$A$2:$BX$429,2,FALSE)),"",IF(AND('Weighting Factors'!G20&gt;0,VLOOKUP($CW20,'Audit Values'!$A$2:$BX$429,51,FALSE)&lt;'Weighting Factors'!G20),'Weighting Factors'!G20,VLOOKUP($CW20,'Audit Values'!$A$2:$BX$429,51,FALSE)))</f>
        <v>25</v>
      </c>
      <c r="AZ20" s="54" t="str">
        <f>IF(ISNA(VLOOKUP($CW20,'Audit Values'!$A:$BY,2,FALSE)),"",VLOOKUP($CW20,'Audit Values'!$A:$BY,52,FALSE))</f>
        <v>A</v>
      </c>
      <c r="BA20" s="54" t="str">
        <f>IF('Weighting Factors'!F20="","",IF('Weighting Factors'!H20="Pending","PX","R"))</f>
        <v/>
      </c>
      <c r="BB20" s="60">
        <f>SUM((U20+V20+AA20+AC20+AF20+AI20+AL20+AM20+AQ20+AN20)*'Weighting Factors'!$O$5)+'2024 Legal Max'!AX20</f>
        <v>29991236</v>
      </c>
      <c r="BC20" s="24">
        <f>SUM((AR20+AN20)*'Weighting Factors'!$O$5)+AX20</f>
        <v>33242977</v>
      </c>
      <c r="BD20" s="67">
        <f>IF('Weighting Factors'!F20&gt;0,'Weighting Factors'!F20,'Preliminary SO66'!AV19)</f>
        <v>33379249</v>
      </c>
      <c r="BE20" s="24">
        <f t="shared" si="39"/>
        <v>33242977</v>
      </c>
      <c r="BF20" s="71">
        <f>'Weighting Factors'!E20</f>
        <v>0</v>
      </c>
      <c r="BG20" s="71">
        <f>Transportation!G20</f>
        <v>0</v>
      </c>
      <c r="BH20" s="24">
        <f>IF(ISNA(VLOOKUP($CW20,'Audit Values'!$A:$BW,2,FALSE)), 0, VLOOKUP($CW20,'Audit Values'!$A:$BW,75,FALSE))</f>
        <v>-1120</v>
      </c>
      <c r="BI20" s="24">
        <f t="shared" si="10"/>
        <v>-1120</v>
      </c>
      <c r="BJ20" s="24">
        <f t="shared" si="44"/>
        <v>33241857</v>
      </c>
      <c r="BK20" s="24">
        <f>SUM((U20+V20+AA20+AC20+AF20+AI20+AL20+AM20+AN20)*'Weighting Factors'!O$12)+(MAX(AO20,'Weighting Factors'!B20))</f>
        <v>33526248</v>
      </c>
      <c r="BL20" s="78">
        <f>'LOB%'!F18</f>
        <v>0.316</v>
      </c>
      <c r="BM20" s="24">
        <f t="shared" si="12"/>
        <v>10594294</v>
      </c>
      <c r="BN20" s="67">
        <v>10430113</v>
      </c>
      <c r="BO20" s="24">
        <f t="shared" si="40"/>
        <v>10430113</v>
      </c>
      <c r="BP20" s="89">
        <f t="shared" si="13"/>
        <v>0.31109999999999999</v>
      </c>
      <c r="BQ20" s="58">
        <f t="shared" si="14"/>
        <v>0</v>
      </c>
      <c r="BR20" s="1" t="b">
        <f t="shared" si="15"/>
        <v>0</v>
      </c>
      <c r="BS20" s="76">
        <f t="shared" si="16"/>
        <v>0</v>
      </c>
      <c r="BT20" s="75">
        <f t="shared" si="17"/>
        <v>0</v>
      </c>
      <c r="BU20" s="58">
        <f t="shared" si="18"/>
        <v>0</v>
      </c>
      <c r="BV20" s="1" t="b">
        <f t="shared" si="19"/>
        <v>0</v>
      </c>
      <c r="BW20" s="1">
        <f t="shared" si="20"/>
        <v>0</v>
      </c>
      <c r="BX20" s="75">
        <f t="shared" si="21"/>
        <v>0</v>
      </c>
      <c r="BY20" s="58">
        <f t="shared" si="22"/>
        <v>0</v>
      </c>
      <c r="BZ20" s="58">
        <f t="shared" si="23"/>
        <v>132.1</v>
      </c>
      <c r="CA20" s="61">
        <v>17</v>
      </c>
      <c r="CB20" s="102">
        <f t="shared" si="24"/>
        <v>72.117999999999995</v>
      </c>
      <c r="CC20" s="105">
        <f>IF(CB20&lt;0.06,1,IF(CB20&gt;=18.29,52,MATCH(CB20-0.001,'Weighting Factors'!$W$5:$W$156)+1))</f>
        <v>52</v>
      </c>
      <c r="CD20" s="24">
        <f>VLOOKUP(CC20, 'Weighting Factors'!$U$5:$X$56,4)</f>
        <v>550</v>
      </c>
      <c r="CE20" s="109">
        <f>('Weighting Factors'!$O$5/'Weighting Factors'!$O$14)</f>
        <v>1.2216</v>
      </c>
      <c r="CF20" s="100">
        <f t="shared" si="25"/>
        <v>674300</v>
      </c>
      <c r="CG20" s="100">
        <f>CF20*'Weighting Factors'!$Q$7</f>
        <v>674300</v>
      </c>
      <c r="CH20" s="100">
        <f t="shared" si="45"/>
        <v>823725</v>
      </c>
      <c r="CI20" s="58">
        <f>AK20/'Weighting Factors'!$O$5</f>
        <v>161.9</v>
      </c>
      <c r="CJ20" s="67">
        <v>0</v>
      </c>
      <c r="CK20" s="80">
        <v>0</v>
      </c>
      <c r="CL20" s="110">
        <v>0</v>
      </c>
      <c r="CM20" s="24">
        <f>SUM((AR20*'Weighting Factors'!$O$5)+'2024 Legal Max'!AX20)*CL20</f>
        <v>0</v>
      </c>
      <c r="CN20" s="24">
        <f t="shared" si="46"/>
        <v>0</v>
      </c>
      <c r="CO20" s="65">
        <f t="shared" si="4"/>
        <v>0.7077</v>
      </c>
      <c r="CP20" s="58">
        <f t="shared" si="28"/>
        <v>281.7</v>
      </c>
      <c r="CQ20" s="58">
        <f t="shared" si="29"/>
        <v>0</v>
      </c>
      <c r="CR20" s="58">
        <f t="shared" si="30"/>
        <v>6509.5</v>
      </c>
      <c r="CS20" s="24">
        <f>'Required Transfers'!L20</f>
        <v>2106883</v>
      </c>
      <c r="CT20" s="24">
        <f>'Required Transfers'!O20</f>
        <v>207559</v>
      </c>
      <c r="CU20" s="24">
        <f>'Required Transfers'!H20</f>
        <v>8040566</v>
      </c>
      <c r="CV20" s="58">
        <f t="shared" si="31"/>
        <v>3720.1</v>
      </c>
      <c r="CW20" s="27" t="s">
        <v>205</v>
      </c>
    </row>
    <row r="21" spans="1:101" ht="15" customHeight="1">
      <c r="A21" s="54">
        <v>203</v>
      </c>
      <c r="B21" s="1" t="s">
        <v>9</v>
      </c>
      <c r="C21" s="1" t="s">
        <v>526</v>
      </c>
      <c r="D21" s="58">
        <v>2465.1999999999998</v>
      </c>
      <c r="E21" s="58"/>
      <c r="F21" s="58">
        <v>0</v>
      </c>
      <c r="G21" s="58">
        <f t="shared" si="32"/>
        <v>2465.1999999999998</v>
      </c>
      <c r="H21" s="58">
        <v>2498.5</v>
      </c>
      <c r="I21" s="58">
        <v>4</v>
      </c>
      <c r="J21" s="58">
        <v>0</v>
      </c>
      <c r="K21" s="58">
        <f t="shared" si="33"/>
        <v>2494.5</v>
      </c>
      <c r="L21" s="1">
        <v>2638</v>
      </c>
      <c r="N21" s="1">
        <v>0</v>
      </c>
      <c r="O21" s="58">
        <f t="shared" si="34"/>
        <v>2638</v>
      </c>
      <c r="P21" s="58">
        <f>IF(ISNA(VLOOKUP($CW21,'Audit Values'!$A:$BZ,2,FALSE)),'Preliminary SO66'!C20,VLOOKUP($CW21,'Audit Values'!$A:$BZ,76,FALSE))</f>
        <v>2651.9</v>
      </c>
      <c r="Q21" s="58">
        <f>IF(ISNA(VLOOKUP($CW21,'Audit Values'!$A:$BZ,2,FALSE)),'Preliminary SO66'!F20,VLOOKUP($CW21,'Audit Values'!$A:$BZ,4,FALSE))</f>
        <v>0</v>
      </c>
      <c r="R21" s="58">
        <f t="shared" si="35"/>
        <v>2651.9</v>
      </c>
      <c r="S21" s="58">
        <f>IF('Military Provision'!I21="YES", MAX('2024 Legal Max'!O21,'2024 Legal Max'!K21,AVERAGE('2024 Legal Max'!G21,'2024 Legal Max'!K21,'2024 Legal Max'!O21)), MAX(O21, K21))</f>
        <v>2638</v>
      </c>
      <c r="T21" s="58">
        <f>IF(ISNA(VLOOKUP($CW21,'Audit Values'!$A:$BX,2,FALSE)),'Preliminary SO66'!AL20,VLOOKUP($CW21,'Audit Values'!$A:$BX,59,FALSE))</f>
        <v>20.5</v>
      </c>
      <c r="U21" s="58">
        <f t="shared" si="36"/>
        <v>2658.5</v>
      </c>
      <c r="V21" s="58">
        <f>'Low-High ENRL- 2023 HSubSB 113'!N24</f>
        <v>93.2</v>
      </c>
      <c r="W21" s="58">
        <f>IF(ISNA(VLOOKUP($CW21,'Audit Values'!$A:$BZ,2,FALSE)),'Preliminary SO66'!AM20,VLOOKUP($CW21,'Audit Values'!$A:$BZ,63,FALSE))</f>
        <v>584.29999999999995</v>
      </c>
      <c r="X21" s="58">
        <f>(W21/6)*'Weighting Factors'!$O$7</f>
        <v>38.5</v>
      </c>
      <c r="Y21" s="61">
        <f>IF(ISNA(VLOOKUP($CW21,'Audit Values'!$A:$BZ,2,FALSE)),'Preliminary SO66'!AN20,VLOOKUP($CW21,'Audit Values'!$A:$BZ,62,FALSE))</f>
        <v>208</v>
      </c>
      <c r="Z21" s="58">
        <f>Y21*'Weighting Factors'!$O$8</f>
        <v>38.5</v>
      </c>
      <c r="AA21" s="58">
        <f t="shared" si="6"/>
        <v>38.5</v>
      </c>
      <c r="AB21" s="106">
        <f>IF(ISNA(VLOOKUP($CW21,'Audit Values'!$A:$BZ,2,FALSE)),'Preliminary SO66'!AO20,VLOOKUP($CW21,'Audit Values'!$A:$BZ,61,FALSE))</f>
        <v>801.8</v>
      </c>
      <c r="AC21" s="58">
        <f>AB21/6*'Weighting Factors'!$O$6</f>
        <v>66.8</v>
      </c>
      <c r="AD21" s="24">
        <f>IF(ISNA(VLOOKUP($CW21,'Audit Values'!$A:$BX,2,FALSE)),'Preliminary SO66'!AS20,VLOOKUP($CW21,'Audit Values'!$A:$BX,64,FALSE))</f>
        <v>2705</v>
      </c>
      <c r="AE21" s="24">
        <f>IF(ISNA(VLOOKUP($CW21,'Audit Values'!$A:$BX,2,FALSE)),'Preliminary SO66'!AP20,VLOOKUP($CW21,'Audit Values'!$A:$BX,65,FALSE))</f>
        <v>598</v>
      </c>
      <c r="AF21" s="58">
        <f>IF(A21=207, AE21,(AE21))*'Weighting Factors'!$O$9</f>
        <v>289.39999999999998</v>
      </c>
      <c r="AG21" s="58">
        <f t="shared" si="41"/>
        <v>0</v>
      </c>
      <c r="AH21" s="58">
        <f>IF(ISNA(VLOOKUP($CW21,'Audit Values'!$A:$BZ,2,FALSE)),'Preliminary SO66'!AG20,VLOOKUP($CW21,'Audit Values'!$A:$BZ,71,FALSE))</f>
        <v>0</v>
      </c>
      <c r="AI21" s="58">
        <f t="shared" si="42"/>
        <v>0</v>
      </c>
      <c r="AJ21" s="58">
        <f>IF(ISNA(VLOOKUP($CW21,'Audit Values'!$A:$BX,2,FALSE)),'Preliminary SO66'!AR20,VLOOKUP($CW21,'Audit Values'!$A:$BX,66,FALSE))</f>
        <v>1283</v>
      </c>
      <c r="AK21" s="24">
        <f t="shared" si="43"/>
        <v>862022</v>
      </c>
      <c r="AL21" s="58">
        <f>AK21/'Weighting Factors'!$O$5</f>
        <v>169.4</v>
      </c>
      <c r="AM21" s="58">
        <f>CJ21/'Weighting Factors'!$O$5</f>
        <v>0</v>
      </c>
      <c r="AN21" s="58">
        <f>CN21/'Weighting Factors'!$O$5</f>
        <v>125.7</v>
      </c>
      <c r="AO21" s="24">
        <v>3395297</v>
      </c>
      <c r="AP21" s="58">
        <f>AO21/'Weighting Factors'!$O$5</f>
        <v>667.3</v>
      </c>
      <c r="AQ21" s="58">
        <f>IF(ISNA(VLOOKUP($CW21,'Audit Values'!$A:$BX,2,FALSE)),'Preliminary SO66'!X20,VLOOKUP($CW21,'Audit Values'!$A:$BX,48,FALSE))</f>
        <v>0</v>
      </c>
      <c r="AR21" s="58">
        <f t="shared" si="37"/>
        <v>3983.1</v>
      </c>
      <c r="AS21" s="58">
        <f t="shared" si="38"/>
        <v>3441.5</v>
      </c>
      <c r="AT21" s="58">
        <f>IF(ISNA(VLOOKUP($CW21,'Audit Values'!$A$2:$BX$410,2,FALSE)),'Preliminary SO66'!AA20,VLOOKUP($CW21,'Audit Values'!$A$2:$BX$410,41,FALSE))</f>
        <v>13</v>
      </c>
      <c r="AU21" s="58">
        <f>IF(ISNA(VLOOKUP($CW21,'Audit Values'!$A$2:$BX$410,2,FALSE)),'Preliminary SO66'!AB20,VLOOKUP($CW21,'Audit Values'!$A$2:$BX$410,42,FALSE))</f>
        <v>0</v>
      </c>
      <c r="AV21" s="73">
        <v>0</v>
      </c>
      <c r="AW21" s="73">
        <v>0.5</v>
      </c>
      <c r="AX21" s="24">
        <f>SUM(AT21*'Weighting Factors'!$R$10)+('2024 Legal Max'!AU21*'Weighting Factors'!$R$11)+('2024 Legal Max'!AV21*'Weighting Factors'!$R$12)+('2024 Legal Max'!AW21*'Weighting Factors'!$R$12)</f>
        <v>73155</v>
      </c>
      <c r="AY21" s="54">
        <f>IF(ISNA(VLOOKUP($CW21,'Audit Values'!$A$2:$BX$429,2,FALSE)),"",IF(AND('Weighting Factors'!G21&gt;0,VLOOKUP($CW21,'Audit Values'!$A$2:$BX$429,51,FALSE)&lt;'Weighting Factors'!G21),'Weighting Factors'!G21,VLOOKUP($CW21,'Audit Values'!$A$2:$BX$429,51,FALSE)))</f>
        <v>8</v>
      </c>
      <c r="AZ21" s="54" t="str">
        <f>IF(ISNA(VLOOKUP($CW21,'Audit Values'!$A:$BY,2,FALSE)),"",VLOOKUP($CW21,'Audit Values'!$A:$BY,52,FALSE))</f>
        <v>A</v>
      </c>
      <c r="BA21" s="54" t="str">
        <f>IF('Weighting Factors'!F21="","",IF('Weighting Factors'!H21="Pending","PX","R"))</f>
        <v/>
      </c>
      <c r="BB21" s="60">
        <f>SUM((U21+V21+AA21+AC21+AF21+AI21+AL21+AM21+AQ21+AN21)*'Weighting Factors'!$O$5)+'2024 Legal Max'!AX21</f>
        <v>17583507</v>
      </c>
      <c r="BC21" s="24">
        <f>SUM((AR21+AN21)*'Weighting Factors'!$O$5)+AX21</f>
        <v>20978729</v>
      </c>
      <c r="BD21" s="67">
        <f>IF('Weighting Factors'!F21&gt;0,'Weighting Factors'!F21,'Preliminary SO66'!AV20)</f>
        <v>21858623</v>
      </c>
      <c r="BE21" s="24">
        <f t="shared" si="39"/>
        <v>20978729</v>
      </c>
      <c r="BF21" s="71">
        <f>'Weighting Factors'!E21</f>
        <v>0</v>
      </c>
      <c r="BG21" s="71">
        <f>Transportation!G21</f>
        <v>0</v>
      </c>
      <c r="BH21" s="24">
        <f>IF(ISNA(VLOOKUP($CW21,'Audit Values'!$A:$BW,2,FALSE)), 0, VLOOKUP($CW21,'Audit Values'!$A:$BW,75,FALSE))</f>
        <v>-16091</v>
      </c>
      <c r="BI21" s="24">
        <f t="shared" si="10"/>
        <v>-16091</v>
      </c>
      <c r="BJ21" s="24">
        <f t="shared" si="44"/>
        <v>20962638</v>
      </c>
      <c r="BK21" s="24">
        <f>SUM((U21+V21+AA21+AC21+AF21+AI21+AL21+AM21+AN21)*'Weighting Factors'!O$12)+(MAX(AO21,'Weighting Factors'!B21))</f>
        <v>21146554</v>
      </c>
      <c r="BL21" s="78">
        <f>'LOB%'!F19</f>
        <v>0.33</v>
      </c>
      <c r="BM21" s="24">
        <f t="shared" si="12"/>
        <v>6978363</v>
      </c>
      <c r="BN21" s="67">
        <v>7234017</v>
      </c>
      <c r="BO21" s="24">
        <f t="shared" si="40"/>
        <v>6978363</v>
      </c>
      <c r="BP21" s="89">
        <f t="shared" si="13"/>
        <v>0.33</v>
      </c>
      <c r="BQ21" s="58">
        <f t="shared" si="14"/>
        <v>0</v>
      </c>
      <c r="BR21" s="1" t="b">
        <f t="shared" si="15"/>
        <v>0</v>
      </c>
      <c r="BS21" s="76">
        <f t="shared" si="16"/>
        <v>0</v>
      </c>
      <c r="BT21" s="75">
        <f t="shared" si="17"/>
        <v>0</v>
      </c>
      <c r="BU21" s="58">
        <f t="shared" si="18"/>
        <v>0</v>
      </c>
      <c r="BV21" s="1" t="b">
        <f t="shared" si="19"/>
        <v>0</v>
      </c>
      <c r="BW21" s="1">
        <f t="shared" si="20"/>
        <v>0</v>
      </c>
      <c r="BX21" s="75">
        <f t="shared" si="21"/>
        <v>0</v>
      </c>
      <c r="BY21" s="58">
        <f t="shared" si="22"/>
        <v>0</v>
      </c>
      <c r="BZ21" s="58">
        <f t="shared" si="23"/>
        <v>93.2</v>
      </c>
      <c r="CA21" s="61">
        <v>31.4</v>
      </c>
      <c r="CB21" s="102">
        <f t="shared" si="24"/>
        <v>40.86</v>
      </c>
      <c r="CC21" s="105">
        <f>IF(CB21&lt;0.06,1,IF(CB21&gt;=18.29,52,MATCH(CB21-0.001,'Weighting Factors'!$W$5:$W$156)+1))</f>
        <v>52</v>
      </c>
      <c r="CD21" s="24">
        <f>VLOOKUP(CC21, 'Weighting Factors'!$U$5:$X$56,4)</f>
        <v>550</v>
      </c>
      <c r="CE21" s="109">
        <f>('Weighting Factors'!$O$5/'Weighting Factors'!$O$14)</f>
        <v>1.2216</v>
      </c>
      <c r="CF21" s="100">
        <f t="shared" si="25"/>
        <v>705650</v>
      </c>
      <c r="CG21" s="100">
        <f>CF21*'Weighting Factors'!$Q$7</f>
        <v>705650</v>
      </c>
      <c r="CH21" s="100">
        <f t="shared" si="45"/>
        <v>862022</v>
      </c>
      <c r="CI21" s="58">
        <f>AK21/'Weighting Factors'!$O$5</f>
        <v>169.4</v>
      </c>
      <c r="CJ21" s="67">
        <v>0</v>
      </c>
      <c r="CK21" s="80">
        <v>639500</v>
      </c>
      <c r="CL21" s="110">
        <v>4.5900000000000003E-2</v>
      </c>
      <c r="CM21" s="24">
        <f>SUM((AR21*'Weighting Factors'!$O$5)+'2024 Legal Max'!AX21)*CL21</f>
        <v>933568</v>
      </c>
      <c r="CN21" s="24">
        <f t="shared" si="46"/>
        <v>639500</v>
      </c>
      <c r="CO21" s="65">
        <f t="shared" si="4"/>
        <v>0.22109999999999999</v>
      </c>
      <c r="CP21" s="58">
        <f t="shared" si="28"/>
        <v>0</v>
      </c>
      <c r="CQ21" s="58">
        <f t="shared" si="29"/>
        <v>0</v>
      </c>
      <c r="CR21" s="58">
        <f t="shared" si="30"/>
        <v>4108.8</v>
      </c>
      <c r="CS21" s="24">
        <f>'Required Transfers'!L21</f>
        <v>494068</v>
      </c>
      <c r="CT21" s="24">
        <f>'Required Transfers'!O21</f>
        <v>65597</v>
      </c>
      <c r="CU21" s="24">
        <f>'Required Transfers'!H21</f>
        <v>1472467</v>
      </c>
      <c r="CV21" s="58">
        <f t="shared" si="31"/>
        <v>2685.5</v>
      </c>
      <c r="CW21" s="27" t="s">
        <v>206</v>
      </c>
    </row>
    <row r="22" spans="1:101" ht="15" customHeight="1">
      <c r="A22" s="54">
        <v>204</v>
      </c>
      <c r="B22" s="1" t="s">
        <v>9</v>
      </c>
      <c r="C22" s="1" t="s">
        <v>527</v>
      </c>
      <c r="D22" s="58">
        <v>2515.9</v>
      </c>
      <c r="E22" s="58"/>
      <c r="F22" s="58">
        <v>0</v>
      </c>
      <c r="G22" s="58">
        <f t="shared" si="32"/>
        <v>2515.9</v>
      </c>
      <c r="H22" s="58">
        <v>2406</v>
      </c>
      <c r="I22" s="58"/>
      <c r="J22" s="58">
        <v>0</v>
      </c>
      <c r="K22" s="58">
        <f t="shared" si="33"/>
        <v>2406</v>
      </c>
      <c r="L22" s="1">
        <v>2346</v>
      </c>
      <c r="N22" s="1">
        <v>0</v>
      </c>
      <c r="O22" s="58">
        <f t="shared" si="34"/>
        <v>2346</v>
      </c>
      <c r="P22" s="58">
        <f>IF(ISNA(VLOOKUP($CW22,'Audit Values'!$A:$BZ,2,FALSE)),'Preliminary SO66'!C21,VLOOKUP($CW22,'Audit Values'!$A:$BZ,76,FALSE))</f>
        <v>2383.4</v>
      </c>
      <c r="Q22" s="58">
        <f>IF(ISNA(VLOOKUP($CW22,'Audit Values'!$A:$BZ,2,FALSE)),'Preliminary SO66'!F21,VLOOKUP($CW22,'Audit Values'!$A:$BZ,4,FALSE))</f>
        <v>0</v>
      </c>
      <c r="R22" s="58">
        <f t="shared" si="35"/>
        <v>2383.4</v>
      </c>
      <c r="S22" s="58">
        <f>IF('Military Provision'!I22="YES", MAX('2024 Legal Max'!O22,'2024 Legal Max'!K22,AVERAGE('2024 Legal Max'!G22,'2024 Legal Max'!K22,'2024 Legal Max'!O22)), MAX(O22, K22))</f>
        <v>2406</v>
      </c>
      <c r="T22" s="58">
        <f>IF(ISNA(VLOOKUP($CW22,'Audit Values'!$A:$BX,2,FALSE)),'Preliminary SO66'!AL21,VLOOKUP($CW22,'Audit Values'!$A:$BX,59,FALSE))</f>
        <v>15.5</v>
      </c>
      <c r="U22" s="58">
        <f t="shared" si="36"/>
        <v>2421.5</v>
      </c>
      <c r="V22" s="58">
        <f>'Low-High ENRL- 2023 HSubSB 113'!N25</f>
        <v>84.8</v>
      </c>
      <c r="W22" s="58">
        <f>IF(ISNA(VLOOKUP($CW22,'Audit Values'!$A:$BZ,2,FALSE)),'Preliminary SO66'!AM21,VLOOKUP($CW22,'Audit Values'!$A:$BZ,63,FALSE))</f>
        <v>311.7</v>
      </c>
      <c r="X22" s="58">
        <f>(W22/6)*'Weighting Factors'!$O$7</f>
        <v>20.5</v>
      </c>
      <c r="Y22" s="61">
        <f>IF(ISNA(VLOOKUP($CW22,'Audit Values'!$A:$BZ,2,FALSE)),'Preliminary SO66'!AN21,VLOOKUP($CW22,'Audit Values'!$A:$BZ,62,FALSE))</f>
        <v>154</v>
      </c>
      <c r="Z22" s="58">
        <f>Y22*'Weighting Factors'!$O$8</f>
        <v>28.5</v>
      </c>
      <c r="AA22" s="58">
        <f t="shared" si="6"/>
        <v>28.5</v>
      </c>
      <c r="AB22" s="106">
        <f>IF(ISNA(VLOOKUP($CW22,'Audit Values'!$A:$BZ,2,FALSE)),'Preliminary SO66'!AO21,VLOOKUP($CW22,'Audit Values'!$A:$BZ,61,FALSE))</f>
        <v>794.3</v>
      </c>
      <c r="AC22" s="58">
        <f>AB22/6*'Weighting Factors'!$O$6</f>
        <v>66.2</v>
      </c>
      <c r="AD22" s="24">
        <f>IF(ISNA(VLOOKUP($CW22,'Audit Values'!$A:$BX,2,FALSE)),'Preliminary SO66'!AS21,VLOOKUP($CW22,'Audit Values'!$A:$BX,64,FALSE))</f>
        <v>2432</v>
      </c>
      <c r="AE22" s="24">
        <f>IF(ISNA(VLOOKUP($CW22,'Audit Values'!$A:$BX,2,FALSE)),'Preliminary SO66'!AP21,VLOOKUP($CW22,'Audit Values'!$A:$BX,65,FALSE))</f>
        <v>1190</v>
      </c>
      <c r="AF22" s="58">
        <f>IF(A22=207, AE22,(AE22))*'Weighting Factors'!$O$9</f>
        <v>576</v>
      </c>
      <c r="AG22" s="58">
        <f t="shared" si="41"/>
        <v>116</v>
      </c>
      <c r="AH22" s="58">
        <f>IF(ISNA(VLOOKUP($CW22,'Audit Values'!$A:$BZ,2,FALSE)),'Preliminary SO66'!AG21,VLOOKUP($CW22,'Audit Values'!$A:$BZ,71,FALSE))</f>
        <v>102.5</v>
      </c>
      <c r="AI22" s="58">
        <f t="shared" si="42"/>
        <v>116</v>
      </c>
      <c r="AJ22" s="58">
        <f>IF(ISNA(VLOOKUP($CW22,'Audit Values'!$A:$BX,2,FALSE)),'Preliminary SO66'!AR21,VLOOKUP($CW22,'Audit Values'!$A:$BX,66,FALSE))</f>
        <v>540</v>
      </c>
      <c r="AK22" s="24">
        <f t="shared" si="43"/>
        <v>389202</v>
      </c>
      <c r="AL22" s="58">
        <f>AK22/'Weighting Factors'!$O$5</f>
        <v>76.5</v>
      </c>
      <c r="AM22" s="58">
        <f>CJ22/'Weighting Factors'!$O$5</f>
        <v>0</v>
      </c>
      <c r="AN22" s="58">
        <f>CN22/'Weighting Factors'!$O$5</f>
        <v>0</v>
      </c>
      <c r="AO22" s="24">
        <v>3163684</v>
      </c>
      <c r="AP22" s="58">
        <f>AO22/'Weighting Factors'!$O$5</f>
        <v>621.79999999999995</v>
      </c>
      <c r="AQ22" s="58">
        <f>IF(ISNA(VLOOKUP($CW22,'Audit Values'!$A:$BX,2,FALSE)),'Preliminary SO66'!X21,VLOOKUP($CW22,'Audit Values'!$A:$BX,48,FALSE))</f>
        <v>0</v>
      </c>
      <c r="AR22" s="58">
        <f t="shared" si="37"/>
        <v>3991.3</v>
      </c>
      <c r="AS22" s="58">
        <f t="shared" si="38"/>
        <v>3369.5</v>
      </c>
      <c r="AT22" s="58">
        <f>IF(ISNA(VLOOKUP($CW22,'Audit Values'!$A$2:$BX$410,2,FALSE)),'Preliminary SO66'!AA21,VLOOKUP($CW22,'Audit Values'!$A$2:$BX$410,41,FALSE))</f>
        <v>43</v>
      </c>
      <c r="AU22" s="58">
        <f>IF(ISNA(VLOOKUP($CW22,'Audit Values'!$A$2:$BX$410,2,FALSE)),'Preliminary SO66'!AB21,VLOOKUP($CW22,'Audit Values'!$A$2:$BX$410,42,FALSE))</f>
        <v>5.8</v>
      </c>
      <c r="AV22" s="73">
        <v>12</v>
      </c>
      <c r="AW22" s="73">
        <v>0</v>
      </c>
      <c r="AX22" s="24">
        <f>SUM(AT22*'Weighting Factors'!$R$10)+('2024 Legal Max'!AU22*'Weighting Factors'!$R$11)+('2024 Legal Max'!AV22*'Weighting Factors'!$R$12)+('2024 Legal Max'!AW22*'Weighting Factors'!$R$12)</f>
        <v>265548</v>
      </c>
      <c r="AY22" s="54">
        <f>IF(ISNA(VLOOKUP($CW22,'Audit Values'!$A$2:$BX$429,2,FALSE)),"",IF(AND('Weighting Factors'!G22&gt;0,VLOOKUP($CW22,'Audit Values'!$A$2:$BX$429,51,FALSE)&lt;'Weighting Factors'!G22),'Weighting Factors'!G22,VLOOKUP($CW22,'Audit Values'!$A$2:$BX$429,51,FALSE)))</f>
        <v>14</v>
      </c>
      <c r="AZ22" s="54" t="str">
        <f>IF(ISNA(VLOOKUP($CW22,'Audit Values'!$A:$BY,2,FALSE)),"",VLOOKUP($CW22,'Audit Values'!$A:$BY,52,FALSE))</f>
        <v>A</v>
      </c>
      <c r="BA22" s="54" t="str">
        <f>IF('Weighting Factors'!F22="","",IF('Weighting Factors'!H22="Pending","PX","R"))</f>
        <v>R</v>
      </c>
      <c r="BB22" s="60">
        <f>SUM((U22+V22+AA22+AC22+AF22+AI22+AL22+AM22+AQ22+AN22)*'Weighting Factors'!$O$5)+'2024 Legal Max'!AX22</f>
        <v>17409564</v>
      </c>
      <c r="BC22" s="24">
        <f>SUM((AR22+AN22)*'Weighting Factors'!$O$5)+AX22</f>
        <v>20573282</v>
      </c>
      <c r="BD22" s="67">
        <f>IF('Weighting Factors'!F22&gt;0,'Weighting Factors'!F22,'Preliminary SO66'!AV21)</f>
        <v>21117079</v>
      </c>
      <c r="BE22" s="24">
        <f t="shared" si="39"/>
        <v>20573282</v>
      </c>
      <c r="BF22" s="71">
        <f>'Weighting Factors'!E22</f>
        <v>0</v>
      </c>
      <c r="BG22" s="71">
        <f>Transportation!G22</f>
        <v>0</v>
      </c>
      <c r="BH22" s="24">
        <f>IF(ISNA(VLOOKUP($CW22,'Audit Values'!$A:$BW,2,FALSE)), 0, VLOOKUP($CW22,'Audit Values'!$A:$BW,75,FALSE))</f>
        <v>-8082</v>
      </c>
      <c r="BI22" s="24">
        <f t="shared" si="10"/>
        <v>-8082</v>
      </c>
      <c r="BJ22" s="24">
        <f t="shared" si="44"/>
        <v>20565200</v>
      </c>
      <c r="BK22" s="24">
        <f>SUM((U22+V22+AA22+AC22+AF22+AI22+AL22+AM22+AN22)*'Weighting Factors'!O$12)+(MAX(AO22,'Weighting Factors'!B22))</f>
        <v>20543565</v>
      </c>
      <c r="BL22" s="78">
        <f>'LOB%'!F20</f>
        <v>0.33</v>
      </c>
      <c r="BM22" s="24">
        <f t="shared" si="12"/>
        <v>6779376</v>
      </c>
      <c r="BN22" s="67">
        <v>6757530</v>
      </c>
      <c r="BO22" s="24">
        <f t="shared" si="40"/>
        <v>6757530</v>
      </c>
      <c r="BP22" s="89">
        <f t="shared" si="13"/>
        <v>0.32890000000000003</v>
      </c>
      <c r="BQ22" s="58">
        <f t="shared" si="14"/>
        <v>0</v>
      </c>
      <c r="BR22" s="1" t="b">
        <f t="shared" si="15"/>
        <v>0</v>
      </c>
      <c r="BS22" s="76">
        <f t="shared" si="16"/>
        <v>0</v>
      </c>
      <c r="BT22" s="75">
        <f t="shared" si="17"/>
        <v>0</v>
      </c>
      <c r="BU22" s="58">
        <f t="shared" si="18"/>
        <v>0</v>
      </c>
      <c r="BV22" s="1" t="b">
        <f t="shared" si="19"/>
        <v>0</v>
      </c>
      <c r="BW22" s="1">
        <f t="shared" si="20"/>
        <v>0</v>
      </c>
      <c r="BX22" s="75">
        <f t="shared" si="21"/>
        <v>0</v>
      </c>
      <c r="BY22" s="58">
        <f t="shared" si="22"/>
        <v>0</v>
      </c>
      <c r="BZ22" s="58">
        <f t="shared" si="23"/>
        <v>84.8</v>
      </c>
      <c r="CA22" s="61">
        <v>38</v>
      </c>
      <c r="CB22" s="102">
        <f t="shared" si="24"/>
        <v>14.211</v>
      </c>
      <c r="CC22" s="105">
        <f>IF(CB22&lt;0.06,1,IF(CB22&gt;=18.29,52,MATCH(CB22-0.001,'Weighting Factors'!$W$5:$W$156)+1))</f>
        <v>50</v>
      </c>
      <c r="CD22" s="24">
        <f>VLOOKUP(CC22, 'Weighting Factors'!$U$5:$X$56,4)</f>
        <v>590</v>
      </c>
      <c r="CE22" s="109">
        <f>('Weighting Factors'!$O$5/'Weighting Factors'!$O$14)</f>
        <v>1.2216</v>
      </c>
      <c r="CF22" s="100">
        <f t="shared" si="25"/>
        <v>318600</v>
      </c>
      <c r="CG22" s="100">
        <f>CF22*'Weighting Factors'!$Q$7</f>
        <v>318600</v>
      </c>
      <c r="CH22" s="100">
        <f t="shared" si="45"/>
        <v>389202</v>
      </c>
      <c r="CI22" s="58">
        <f>AK22/'Weighting Factors'!$O$5</f>
        <v>76.5</v>
      </c>
      <c r="CJ22" s="67">
        <v>0</v>
      </c>
      <c r="CK22" s="80">
        <v>0</v>
      </c>
      <c r="CL22" s="110">
        <v>4.8999999999999998E-3</v>
      </c>
      <c r="CM22" s="24">
        <f>SUM((AR22*'Weighting Factors'!$O$5)+'2024 Legal Max'!AX22)*CL22</f>
        <v>100809</v>
      </c>
      <c r="CN22" s="24">
        <f t="shared" si="46"/>
        <v>0</v>
      </c>
      <c r="CO22" s="65">
        <f t="shared" si="4"/>
        <v>0.48930000000000001</v>
      </c>
      <c r="CP22" s="58">
        <f t="shared" si="28"/>
        <v>0</v>
      </c>
      <c r="CQ22" s="58">
        <f t="shared" si="29"/>
        <v>116</v>
      </c>
      <c r="CR22" s="58">
        <f t="shared" si="30"/>
        <v>3991.3</v>
      </c>
      <c r="CS22" s="24">
        <f>'Required Transfers'!L22</f>
        <v>979166</v>
      </c>
      <c r="CT22" s="24">
        <f>'Required Transfers'!O22</f>
        <v>48654</v>
      </c>
      <c r="CU22" s="24">
        <f>'Required Transfers'!H22</f>
        <v>3520896</v>
      </c>
      <c r="CV22" s="58">
        <f t="shared" si="31"/>
        <v>2449.6999999999998</v>
      </c>
      <c r="CW22" s="27" t="s">
        <v>207</v>
      </c>
    </row>
    <row r="23" spans="1:101" ht="15" customHeight="1">
      <c r="A23" s="54">
        <v>205</v>
      </c>
      <c r="B23" s="1" t="s">
        <v>10</v>
      </c>
      <c r="C23" s="1" t="s">
        <v>528</v>
      </c>
      <c r="D23" s="58">
        <v>476.6</v>
      </c>
      <c r="E23" s="58"/>
      <c r="F23" s="58">
        <v>0</v>
      </c>
      <c r="G23" s="58">
        <f t="shared" si="32"/>
        <v>476.6</v>
      </c>
      <c r="H23" s="58">
        <v>505</v>
      </c>
      <c r="I23" s="58"/>
      <c r="J23" s="58">
        <v>0</v>
      </c>
      <c r="K23" s="58">
        <f t="shared" si="33"/>
        <v>505</v>
      </c>
      <c r="L23" s="1">
        <v>500.6</v>
      </c>
      <c r="N23" s="1">
        <v>0</v>
      </c>
      <c r="O23" s="58">
        <f t="shared" si="34"/>
        <v>500.6</v>
      </c>
      <c r="P23" s="58">
        <f>IF(ISNA(VLOOKUP($CW23,'Audit Values'!$A:$BZ,2,FALSE)),'Preliminary SO66'!C22,VLOOKUP($CW23,'Audit Values'!$A:$BZ,76,FALSE))</f>
        <v>492.9</v>
      </c>
      <c r="Q23" s="58">
        <f>IF(ISNA(VLOOKUP($CW23,'Audit Values'!$A:$BZ,2,FALSE)),'Preliminary SO66'!F22,VLOOKUP($CW23,'Audit Values'!$A:$BZ,4,FALSE))</f>
        <v>0</v>
      </c>
      <c r="R23" s="58">
        <f t="shared" si="35"/>
        <v>492.9</v>
      </c>
      <c r="S23" s="58">
        <f>IF('Military Provision'!I23="YES", MAX('2024 Legal Max'!O23,'2024 Legal Max'!K23,AVERAGE('2024 Legal Max'!G23,'2024 Legal Max'!K23,'2024 Legal Max'!O23)), MAX(O23, K23))</f>
        <v>505</v>
      </c>
      <c r="T23" s="58">
        <f>IF(ISNA(VLOOKUP($CW23,'Audit Values'!$A:$BX,2,FALSE)),'Preliminary SO66'!AL22,VLOOKUP($CW23,'Audit Values'!$A:$BX,59,FALSE))</f>
        <v>9.5</v>
      </c>
      <c r="U23" s="58">
        <f t="shared" si="36"/>
        <v>514.5</v>
      </c>
      <c r="V23" s="58">
        <f>'Low-High ENRL- 2023 HSubSB 113'!N26</f>
        <v>211.6</v>
      </c>
      <c r="W23" s="58">
        <f>IF(ISNA(VLOOKUP($CW23,'Audit Values'!$A:$BZ,2,FALSE)),'Preliminary SO66'!AM22,VLOOKUP($CW23,'Audit Values'!$A:$BZ,63,FALSE))</f>
        <v>8</v>
      </c>
      <c r="X23" s="58">
        <f>(W23/6)*'Weighting Factors'!$O$7</f>
        <v>0.5</v>
      </c>
      <c r="Y23" s="61">
        <f>IF(ISNA(VLOOKUP($CW23,'Audit Values'!$A:$BZ,2,FALSE)),'Preliminary SO66'!AN22,VLOOKUP($CW23,'Audit Values'!$A:$BZ,62,FALSE))</f>
        <v>4</v>
      </c>
      <c r="Z23" s="58">
        <f>Y23*'Weighting Factors'!$O$8</f>
        <v>0.7</v>
      </c>
      <c r="AA23" s="58">
        <f t="shared" si="6"/>
        <v>0.7</v>
      </c>
      <c r="AB23" s="106">
        <f>IF(ISNA(VLOOKUP($CW23,'Audit Values'!$A:$BZ,2,FALSE)),'Preliminary SO66'!AO22,VLOOKUP($CW23,'Audit Values'!$A:$BZ,61,FALSE))</f>
        <v>266</v>
      </c>
      <c r="AC23" s="58">
        <f>AB23/6*'Weighting Factors'!$O$6</f>
        <v>22.2</v>
      </c>
      <c r="AD23" s="24">
        <f>IF(ISNA(VLOOKUP($CW23,'Audit Values'!$A:$BX,2,FALSE)),'Preliminary SO66'!AS22,VLOOKUP($CW23,'Audit Values'!$A:$BX,64,FALSE))</f>
        <v>520</v>
      </c>
      <c r="AE23" s="24">
        <f>IF(ISNA(VLOOKUP($CW23,'Audit Values'!$A:$BX,2,FALSE)),'Preliminary SO66'!AP22,VLOOKUP($CW23,'Audit Values'!$A:$BX,65,FALSE))</f>
        <v>181</v>
      </c>
      <c r="AF23" s="58">
        <f>IF(A23=207, AE23,(AE23))*'Weighting Factors'!$O$9</f>
        <v>87.6</v>
      </c>
      <c r="AG23" s="58">
        <f t="shared" si="41"/>
        <v>0</v>
      </c>
      <c r="AH23" s="58">
        <f>IF(ISNA(VLOOKUP($CW23,'Audit Values'!$A:$BZ,2,FALSE)),'Preliminary SO66'!AG22,VLOOKUP($CW23,'Audit Values'!$A:$BZ,71,FALSE))</f>
        <v>0.9</v>
      </c>
      <c r="AI23" s="58">
        <f t="shared" si="42"/>
        <v>0.9</v>
      </c>
      <c r="AJ23" s="58">
        <f>IF(ISNA(VLOOKUP($CW23,'Audit Values'!$A:$BX,2,FALSE)),'Preliminary SO66'!AR22,VLOOKUP($CW23,'Audit Values'!$A:$BX,66,FALSE))</f>
        <v>290</v>
      </c>
      <c r="AK23" s="24">
        <f t="shared" si="43"/>
        <v>350721</v>
      </c>
      <c r="AL23" s="58">
        <f>AK23/'Weighting Factors'!$O$5</f>
        <v>68.900000000000006</v>
      </c>
      <c r="AM23" s="58">
        <f>CJ23/'Weighting Factors'!$O$5</f>
        <v>0</v>
      </c>
      <c r="AN23" s="58">
        <f>CN23/'Weighting Factors'!$O$5</f>
        <v>0</v>
      </c>
      <c r="AO23" s="24">
        <v>559437</v>
      </c>
      <c r="AP23" s="58">
        <f>AO23/'Weighting Factors'!$O$5</f>
        <v>110</v>
      </c>
      <c r="AQ23" s="58">
        <f>IF(ISNA(VLOOKUP($CW23,'Audit Values'!$A:$BX,2,FALSE)),'Preliminary SO66'!X22,VLOOKUP($CW23,'Audit Values'!$A:$BX,48,FALSE))</f>
        <v>0</v>
      </c>
      <c r="AR23" s="58">
        <f t="shared" si="37"/>
        <v>1016.4</v>
      </c>
      <c r="AS23" s="58">
        <f t="shared" si="38"/>
        <v>906.4</v>
      </c>
      <c r="AT23" s="58">
        <f>IF(ISNA(VLOOKUP($CW23,'Audit Values'!$A$2:$BX$410,2,FALSE)),'Preliminary SO66'!AA22,VLOOKUP($CW23,'Audit Values'!$A$2:$BX$410,41,FALSE))</f>
        <v>0</v>
      </c>
      <c r="AU23" s="58">
        <f>IF(ISNA(VLOOKUP($CW23,'Audit Values'!$A$2:$BX$410,2,FALSE)),'Preliminary SO66'!AB22,VLOOKUP($CW23,'Audit Values'!$A$2:$BX$410,42,FALSE))</f>
        <v>0</v>
      </c>
      <c r="AV23" s="73">
        <v>0</v>
      </c>
      <c r="AW23" s="73">
        <v>0</v>
      </c>
      <c r="AX23" s="24">
        <f>SUM(AT23*'Weighting Factors'!$R$10)+('2024 Legal Max'!AU23*'Weighting Factors'!$R$11)+('2024 Legal Max'!AV23*'Weighting Factors'!$R$12)+('2024 Legal Max'!AW23*'Weighting Factors'!$R$12)</f>
        <v>0</v>
      </c>
      <c r="AY23" s="54">
        <f>IF(ISNA(VLOOKUP($CW23,'Audit Values'!$A$2:$BX$429,2,FALSE)),"",IF(AND('Weighting Factors'!G23&gt;0,VLOOKUP($CW23,'Audit Values'!$A$2:$BX$429,51,FALSE)&lt;'Weighting Factors'!G23),'Weighting Factors'!G23,VLOOKUP($CW23,'Audit Values'!$A$2:$BX$429,51,FALSE)))</f>
        <v>18</v>
      </c>
      <c r="AZ23" s="54" t="str">
        <f>IF(ISNA(VLOOKUP($CW23,'Audit Values'!$A:$BY,2,FALSE)),"",VLOOKUP($CW23,'Audit Values'!$A:$BY,52,FALSE))</f>
        <v>A</v>
      </c>
      <c r="BA23" s="54" t="str">
        <f>IF('Weighting Factors'!F23="","",IF('Weighting Factors'!H23="Pending","PX","R"))</f>
        <v/>
      </c>
      <c r="BB23" s="60">
        <f>SUM((U23+V23+AA23+AC23+AF23+AI23+AL23+AM23+AQ23+AN23)*'Weighting Factors'!$O$5)+'2024 Legal Max'!AX23</f>
        <v>4611763</v>
      </c>
      <c r="BC23" s="24">
        <f>SUM((AR23+AN23)*'Weighting Factors'!$O$5)+AX23</f>
        <v>5171443</v>
      </c>
      <c r="BD23" s="67">
        <f>IF('Weighting Factors'!F23&gt;0,'Weighting Factors'!F23,'Preliminary SO66'!AV22)</f>
        <v>5360208</v>
      </c>
      <c r="BE23" s="24">
        <f t="shared" si="39"/>
        <v>5171443</v>
      </c>
      <c r="BF23" s="71">
        <f>'Weighting Factors'!E23</f>
        <v>0</v>
      </c>
      <c r="BG23" s="71">
        <f>Transportation!G23</f>
        <v>0</v>
      </c>
      <c r="BH23" s="24">
        <f>IF(ISNA(VLOOKUP($CW23,'Audit Values'!$A:$BW,2,FALSE)), 0, VLOOKUP($CW23,'Audit Values'!$A:$BW,75,FALSE))</f>
        <v>0</v>
      </c>
      <c r="BI23" s="24">
        <f t="shared" si="10"/>
        <v>0</v>
      </c>
      <c r="BJ23" s="24">
        <f t="shared" si="44"/>
        <v>5171443</v>
      </c>
      <c r="BK23" s="24">
        <f>SUM((U23+V23+AA23+AC23+AF23+AI23+AL23+AM23+AN23)*'Weighting Factors'!O$12)+(MAX(AO23,'Weighting Factors'!B23))</f>
        <v>5281685</v>
      </c>
      <c r="BL23" s="78">
        <f>'LOB%'!F21</f>
        <v>0.33</v>
      </c>
      <c r="BM23" s="24">
        <f t="shared" si="12"/>
        <v>1742956</v>
      </c>
      <c r="BN23" s="67">
        <v>1793850</v>
      </c>
      <c r="BO23" s="24">
        <f t="shared" si="40"/>
        <v>1742956</v>
      </c>
      <c r="BP23" s="89">
        <f t="shared" si="13"/>
        <v>0.33</v>
      </c>
      <c r="BQ23" s="58">
        <f t="shared" si="14"/>
        <v>0</v>
      </c>
      <c r="BR23" s="1" t="b">
        <f t="shared" si="15"/>
        <v>0</v>
      </c>
      <c r="BS23" s="76">
        <f t="shared" si="16"/>
        <v>0</v>
      </c>
      <c r="BT23" s="75">
        <f t="shared" si="17"/>
        <v>0</v>
      </c>
      <c r="BU23" s="58">
        <f t="shared" si="18"/>
        <v>0</v>
      </c>
      <c r="BV23" s="1" t="b">
        <f t="shared" si="19"/>
        <v>1</v>
      </c>
      <c r="BW23" s="1">
        <f t="shared" si="20"/>
        <v>265.44380000000001</v>
      </c>
      <c r="BX23" s="75">
        <f t="shared" si="21"/>
        <v>0.41131000000000001</v>
      </c>
      <c r="BY23" s="58">
        <f t="shared" si="22"/>
        <v>211.6</v>
      </c>
      <c r="BZ23" s="58">
        <f t="shared" si="23"/>
        <v>0</v>
      </c>
      <c r="CA23" s="61">
        <v>348.6</v>
      </c>
      <c r="CB23" s="102">
        <f t="shared" si="24"/>
        <v>0.83199999999999996</v>
      </c>
      <c r="CC23" s="105">
        <f>IF(CB23&lt;0.06,1,IF(CB23&gt;=18.29,52,MATCH(CB23-0.001,'Weighting Factors'!$W$5:$W$156)+1))</f>
        <v>30</v>
      </c>
      <c r="CD23" s="24">
        <f>VLOOKUP(CC23, 'Weighting Factors'!$U$5:$X$56,4)</f>
        <v>990</v>
      </c>
      <c r="CE23" s="109">
        <f>('Weighting Factors'!$O$5/'Weighting Factors'!$O$14)</f>
        <v>1.2216</v>
      </c>
      <c r="CF23" s="100">
        <f t="shared" si="25"/>
        <v>287100</v>
      </c>
      <c r="CG23" s="100">
        <f>CF23*'Weighting Factors'!$Q$7</f>
        <v>287100</v>
      </c>
      <c r="CH23" s="100">
        <f t="shared" si="45"/>
        <v>350721</v>
      </c>
      <c r="CI23" s="58">
        <f>AK23/'Weighting Factors'!$O$5</f>
        <v>68.900000000000006</v>
      </c>
      <c r="CJ23" s="67">
        <v>0</v>
      </c>
      <c r="CK23" s="80">
        <v>0</v>
      </c>
      <c r="CL23" s="110">
        <v>0</v>
      </c>
      <c r="CM23" s="24">
        <f>SUM((AR23*'Weighting Factors'!$O$5)+'2024 Legal Max'!AX23)*CL23</f>
        <v>0</v>
      </c>
      <c r="CN23" s="24">
        <f t="shared" si="46"/>
        <v>0</v>
      </c>
      <c r="CO23" s="65">
        <f t="shared" si="4"/>
        <v>0.34810000000000002</v>
      </c>
      <c r="CP23" s="58">
        <f t="shared" si="28"/>
        <v>0</v>
      </c>
      <c r="CQ23" s="58">
        <f t="shared" si="29"/>
        <v>0</v>
      </c>
      <c r="CR23" s="58">
        <f t="shared" si="30"/>
        <v>1016.4</v>
      </c>
      <c r="CS23" s="24">
        <f>'Required Transfers'!L23</f>
        <v>151637</v>
      </c>
      <c r="CT23" s="24">
        <f>'Required Transfers'!O23</f>
        <v>1220</v>
      </c>
      <c r="CU23" s="24">
        <f>'Required Transfers'!H23</f>
        <v>450288</v>
      </c>
      <c r="CV23" s="58">
        <f t="shared" si="31"/>
        <v>502.4</v>
      </c>
      <c r="CW23" s="27" t="s">
        <v>208</v>
      </c>
    </row>
    <row r="24" spans="1:101" ht="15" customHeight="1">
      <c r="A24" s="54">
        <v>206</v>
      </c>
      <c r="B24" s="1" t="s">
        <v>10</v>
      </c>
      <c r="C24" s="1" t="s">
        <v>529</v>
      </c>
      <c r="D24" s="58">
        <v>454</v>
      </c>
      <c r="E24" s="58"/>
      <c r="F24" s="58">
        <v>0</v>
      </c>
      <c r="G24" s="58">
        <f t="shared" si="32"/>
        <v>454</v>
      </c>
      <c r="H24" s="58">
        <v>464.5</v>
      </c>
      <c r="I24" s="58"/>
      <c r="J24" s="58">
        <v>0</v>
      </c>
      <c r="K24" s="58">
        <f t="shared" si="33"/>
        <v>464.5</v>
      </c>
      <c r="L24" s="1">
        <v>457.5</v>
      </c>
      <c r="N24" s="1">
        <v>0</v>
      </c>
      <c r="O24" s="58">
        <f t="shared" si="34"/>
        <v>457.5</v>
      </c>
      <c r="P24" s="58">
        <f>IF(ISNA(VLOOKUP($CW24,'Audit Values'!$A:$BZ,2,FALSE)),'Preliminary SO66'!C23,VLOOKUP($CW24,'Audit Values'!$A:$BZ,76,FALSE))</f>
        <v>482.6</v>
      </c>
      <c r="Q24" s="58">
        <f>IF(ISNA(VLOOKUP($CW24,'Audit Values'!$A:$BZ,2,FALSE)),'Preliminary SO66'!F23,VLOOKUP($CW24,'Audit Values'!$A:$BZ,4,FALSE))</f>
        <v>0</v>
      </c>
      <c r="R24" s="58">
        <f t="shared" ref="R24:R30" si="47">SUM(P24+Q24)</f>
        <v>482.6</v>
      </c>
      <c r="S24" s="58">
        <f>IF('Military Provision'!I24="YES", MAX('2024 Legal Max'!O24,'2024 Legal Max'!K24,AVERAGE('2024 Legal Max'!G24,'2024 Legal Max'!K24,'2024 Legal Max'!O24)), MAX(O24, K24))</f>
        <v>464.5</v>
      </c>
      <c r="T24" s="58">
        <f>IF(ISNA(VLOOKUP($CW24,'Audit Values'!$A:$BX,2,FALSE)),'Preliminary SO66'!AL23,VLOOKUP($CW24,'Audit Values'!$A:$BX,59,FALSE))</f>
        <v>5.5</v>
      </c>
      <c r="U24" s="58">
        <f t="shared" ref="U24:U30" si="48">S24+T24</f>
        <v>470</v>
      </c>
      <c r="V24" s="58">
        <f>'Low-High ENRL- 2023 HSubSB 113'!N27</f>
        <v>200.4</v>
      </c>
      <c r="W24" s="58">
        <f>IF(ISNA(VLOOKUP($CW24,'Audit Values'!$A:$BZ,2,FALSE)),'Preliminary SO66'!AM23,VLOOKUP($CW24,'Audit Values'!$A:$BZ,63,FALSE))</f>
        <v>24.5</v>
      </c>
      <c r="X24" s="58">
        <f>(W24/6)*'Weighting Factors'!$O$7</f>
        <v>1.6</v>
      </c>
      <c r="Y24" s="61">
        <f>IF(ISNA(VLOOKUP($CW24,'Audit Values'!$A:$BZ,2,FALSE)),'Preliminary SO66'!AN23,VLOOKUP($CW24,'Audit Values'!$A:$BZ,62,FALSE))</f>
        <v>10</v>
      </c>
      <c r="Z24" s="58">
        <f>Y24*'Weighting Factors'!$O$8</f>
        <v>1.9</v>
      </c>
      <c r="AA24" s="58">
        <f t="shared" ref="AA24:AA30" si="49">MAX(X24,Z24)</f>
        <v>1.9</v>
      </c>
      <c r="AB24" s="106">
        <f>IF(ISNA(VLOOKUP($CW24,'Audit Values'!$A:$BZ,2,FALSE)),'Preliminary SO66'!AO23,VLOOKUP($CW24,'Audit Values'!$A:$BZ,61,FALSE))</f>
        <v>246</v>
      </c>
      <c r="AC24" s="58">
        <f>AB24/6*'Weighting Factors'!$O$6</f>
        <v>20.5</v>
      </c>
      <c r="AD24" s="24">
        <f>IF(ISNA(VLOOKUP($CW24,'Audit Values'!$A:$BX,2,FALSE)),'Preliminary SO66'!AS23,VLOOKUP($CW24,'Audit Values'!$A:$BX,64,FALSE))</f>
        <v>496</v>
      </c>
      <c r="AE24" s="24">
        <f>IF(ISNA(VLOOKUP($CW24,'Audit Values'!$A:$BX,2,FALSE)),'Preliminary SO66'!AP23,VLOOKUP($CW24,'Audit Values'!$A:$BX,65,FALSE))</f>
        <v>175</v>
      </c>
      <c r="AF24" s="58">
        <f>IF(A24=207, AE24,(AE24))*'Weighting Factors'!$O$9</f>
        <v>84.7</v>
      </c>
      <c r="AG24" s="58">
        <f t="shared" ref="AG24:AG87" si="50">MAX(CP24,CQ24)</f>
        <v>0.3</v>
      </c>
      <c r="AH24" s="58">
        <f>IF(ISNA(VLOOKUP($CW24,'Audit Values'!$A:$BZ,2,FALSE)),'Preliminary SO66'!AG23,VLOOKUP($CW24,'Audit Values'!$A:$BZ,71,FALSE))</f>
        <v>3.3</v>
      </c>
      <c r="AI24" s="58">
        <f t="shared" ref="AI24:AI30" si="51">MAX(AG24, AH24)</f>
        <v>3.3</v>
      </c>
      <c r="AJ24" s="58">
        <f>IF(ISNA(VLOOKUP($CW24,'Audit Values'!$A:$BX,2,FALSE)),'Preliminary SO66'!AR23,VLOOKUP($CW24,'Audit Values'!$A:$BX,66,FALSE))</f>
        <v>237</v>
      </c>
      <c r="AK24" s="24">
        <f t="shared" ref="AK24:AK30" si="52">CH24</f>
        <v>280834</v>
      </c>
      <c r="AL24" s="58">
        <f>AK24/'Weighting Factors'!$O$5</f>
        <v>55.2</v>
      </c>
      <c r="AM24" s="58">
        <f>CJ24/'Weighting Factors'!$O$5</f>
        <v>0</v>
      </c>
      <c r="AN24" s="58">
        <f>CN24/'Weighting Factors'!$O$5</f>
        <v>0</v>
      </c>
      <c r="AO24" s="24">
        <v>510538</v>
      </c>
      <c r="AP24" s="58">
        <f>AO24/'Weighting Factors'!$O$5</f>
        <v>100.3</v>
      </c>
      <c r="AQ24" s="58">
        <f>IF(ISNA(VLOOKUP($CW24,'Audit Values'!$A:$BX,2,FALSE)),'Preliminary SO66'!X23,VLOOKUP($CW24,'Audit Values'!$A:$BX,48,FALSE))</f>
        <v>0</v>
      </c>
      <c r="AR24" s="58">
        <f t="shared" si="37"/>
        <v>936.3</v>
      </c>
      <c r="AS24" s="58">
        <f t="shared" si="38"/>
        <v>836</v>
      </c>
      <c r="AT24" s="58">
        <f>IF(ISNA(VLOOKUP($CW24,'Audit Values'!$A$2:$BX$410,2,FALSE)),'Preliminary SO66'!AA23,VLOOKUP($CW24,'Audit Values'!$A$2:$BX$410,41,FALSE))</f>
        <v>0</v>
      </c>
      <c r="AU24" s="58">
        <f>IF(ISNA(VLOOKUP($CW24,'Audit Values'!$A$2:$BX$410,2,FALSE)),'Preliminary SO66'!AB23,VLOOKUP($CW24,'Audit Values'!$A$2:$BX$410,42,FALSE))</f>
        <v>0</v>
      </c>
      <c r="AV24" s="73">
        <v>0</v>
      </c>
      <c r="AW24" s="73">
        <v>0</v>
      </c>
      <c r="AX24" s="24">
        <f>SUM(AT24*'Weighting Factors'!$R$10)+('2024 Legal Max'!AU24*'Weighting Factors'!$R$11)+('2024 Legal Max'!AV24*'Weighting Factors'!$R$12)+('2024 Legal Max'!AW24*'Weighting Factors'!$R$12)</f>
        <v>0</v>
      </c>
      <c r="AY24" s="54">
        <f>IF(ISNA(VLOOKUP($CW24,'Audit Values'!$A$2:$BX$429,2,FALSE)),"",IF(AND('Weighting Factors'!G24&gt;0,VLOOKUP($CW24,'Audit Values'!$A$2:$BX$429,51,FALSE)&lt;'Weighting Factors'!G24),'Weighting Factors'!G24,VLOOKUP($CW24,'Audit Values'!$A$2:$BX$429,51,FALSE)))</f>
        <v>15</v>
      </c>
      <c r="AZ24" s="54" t="str">
        <f>IF(ISNA(VLOOKUP($CW24,'Audit Values'!$A:$BY,2,FALSE)),"",VLOOKUP($CW24,'Audit Values'!$A:$BY,52,FALSE))</f>
        <v>A</v>
      </c>
      <c r="BA24" s="54" t="str">
        <f>IF('Weighting Factors'!F24="","",IF('Weighting Factors'!H24="Pending","PX","R"))</f>
        <v/>
      </c>
      <c r="BB24" s="60">
        <f>SUM((U24+V24+AA24+AC24+AF24+AI24+AL24+AM24+AQ24+AN24)*'Weighting Factors'!$O$5)+'2024 Legal Max'!AX24</f>
        <v>4253568</v>
      </c>
      <c r="BC24" s="24">
        <f>SUM((AR24+AN24)*'Weighting Factors'!$O$5)+AX24</f>
        <v>4763894</v>
      </c>
      <c r="BD24" s="67">
        <f>IF('Weighting Factors'!F24&gt;0,'Weighting Factors'!F24,'Preliminary SO66'!AV23)</f>
        <v>4852934</v>
      </c>
      <c r="BE24" s="24">
        <f t="shared" ref="BE24:BE30" si="53">MIN(BC24,BD24)</f>
        <v>4763894</v>
      </c>
      <c r="BF24" s="71">
        <f>'Weighting Factors'!E24</f>
        <v>0</v>
      </c>
      <c r="BG24" s="71">
        <f>Transportation!G24</f>
        <v>0</v>
      </c>
      <c r="BH24" s="24">
        <f>IF(ISNA(VLOOKUP($CW24,'Audit Values'!$A:$BW,2,FALSE)), 0, VLOOKUP($CW24,'Audit Values'!$A:$BW,75,FALSE))</f>
        <v>0</v>
      </c>
      <c r="BI24" s="24">
        <f t="shared" ref="BI24:BI30" si="54">SUM(BF24:BH24)</f>
        <v>0</v>
      </c>
      <c r="BJ24" s="24">
        <f t="shared" ref="BJ24:BJ30" si="55">BE24+BI24</f>
        <v>4763894</v>
      </c>
      <c r="BK24" s="24">
        <f>SUM((U24+V24+AA24+AC24+AF24+AI24+AL24+AM24+AN24)*'Weighting Factors'!O$12)+(MAX(AO24,'Weighting Factors'!B24))</f>
        <v>4843796</v>
      </c>
      <c r="BL24" s="78">
        <f>'LOB%'!F22</f>
        <v>0.33</v>
      </c>
      <c r="BM24" s="24">
        <f t="shared" si="12"/>
        <v>1598453</v>
      </c>
      <c r="BN24" s="67">
        <v>1620677</v>
      </c>
      <c r="BO24" s="24">
        <f t="shared" ref="BO24:BO30" si="56">MIN(BM24,BN24)</f>
        <v>1598453</v>
      </c>
      <c r="BP24" s="89">
        <f t="shared" si="13"/>
        <v>0.33</v>
      </c>
      <c r="BQ24" s="58">
        <f t="shared" si="14"/>
        <v>0</v>
      </c>
      <c r="BR24" s="1" t="b">
        <f t="shared" si="15"/>
        <v>0</v>
      </c>
      <c r="BS24" s="76">
        <f t="shared" si="16"/>
        <v>0</v>
      </c>
      <c r="BT24" s="75">
        <f t="shared" ref="BT24:BT30" si="57">IF(BR24=TRUE,ROUND(((7337-BS24)/3642.4)-1,6),0)</f>
        <v>0</v>
      </c>
      <c r="BU24" s="58">
        <f t="shared" si="18"/>
        <v>0</v>
      </c>
      <c r="BV24" s="1" t="b">
        <f t="shared" si="19"/>
        <v>1</v>
      </c>
      <c r="BW24" s="1">
        <f t="shared" si="20"/>
        <v>210.375</v>
      </c>
      <c r="BX24" s="75">
        <f t="shared" ref="BX24:BX30" si="58">IF(BV24=TRUE,ROUND(((5406-BW24)/3642.4)-1,6),0)</f>
        <v>0.426429</v>
      </c>
      <c r="BY24" s="58">
        <f t="shared" si="22"/>
        <v>200.4</v>
      </c>
      <c r="BZ24" s="58">
        <f t="shared" si="23"/>
        <v>0</v>
      </c>
      <c r="CA24" s="61">
        <v>253</v>
      </c>
      <c r="CB24" s="102">
        <f t="shared" si="24"/>
        <v>0.93700000000000006</v>
      </c>
      <c r="CC24" s="105">
        <f>IF(CB24&lt;0.06,1,IF(CB24&gt;=18.29,52,MATCH(CB24-0.001,'Weighting Factors'!$W$5:$W$156)+1))</f>
        <v>31</v>
      </c>
      <c r="CD24" s="24">
        <f>VLOOKUP(CC24, 'Weighting Factors'!$U$5:$X$56,4)</f>
        <v>970</v>
      </c>
      <c r="CE24" s="109">
        <f>('Weighting Factors'!$O$5/'Weighting Factors'!$O$14)</f>
        <v>1.2216</v>
      </c>
      <c r="CF24" s="100">
        <f t="shared" si="25"/>
        <v>229890</v>
      </c>
      <c r="CG24" s="100">
        <f>CF24*'Weighting Factors'!$Q$7</f>
        <v>229890</v>
      </c>
      <c r="CH24" s="100">
        <f t="shared" ref="CH24:CH30" si="59">CG24*CE24</f>
        <v>280834</v>
      </c>
      <c r="CI24" s="58">
        <f>AK24/'Weighting Factors'!$O$5</f>
        <v>55.2</v>
      </c>
      <c r="CJ24" s="67">
        <v>0</v>
      </c>
      <c r="CK24" s="80">
        <v>0</v>
      </c>
      <c r="CL24" s="110">
        <v>0</v>
      </c>
      <c r="CM24" s="24">
        <f>SUM((AR24*'Weighting Factors'!$O$5)+'2024 Legal Max'!AX24)*CL24</f>
        <v>0</v>
      </c>
      <c r="CN24" s="24">
        <f t="shared" ref="CN24:CN30" si="60">IF(CK24&gt;CM24,CM24,CK24)</f>
        <v>0</v>
      </c>
      <c r="CO24" s="65">
        <f t="shared" si="4"/>
        <v>0.3528</v>
      </c>
      <c r="CP24" s="58">
        <f t="shared" si="28"/>
        <v>0</v>
      </c>
      <c r="CQ24" s="58">
        <f t="shared" si="29"/>
        <v>0.3</v>
      </c>
      <c r="CR24" s="58">
        <f t="shared" si="30"/>
        <v>936.3</v>
      </c>
      <c r="CS24" s="24">
        <f>'Required Transfers'!L24</f>
        <v>145459</v>
      </c>
      <c r="CT24" s="24">
        <f>'Required Transfers'!O24</f>
        <v>3197</v>
      </c>
      <c r="CU24" s="24">
        <f>'Required Transfers'!H24</f>
        <v>447744</v>
      </c>
      <c r="CV24" s="58">
        <f t="shared" si="31"/>
        <v>488.1</v>
      </c>
      <c r="CW24" s="27" t="s">
        <v>209</v>
      </c>
    </row>
    <row r="25" spans="1:101" ht="15" customHeight="1">
      <c r="A25" s="54">
        <v>207</v>
      </c>
      <c r="B25" s="1" t="s">
        <v>11</v>
      </c>
      <c r="C25" s="1" t="s">
        <v>1020</v>
      </c>
      <c r="D25" s="58">
        <v>1350.8</v>
      </c>
      <c r="E25" s="58"/>
      <c r="F25" s="58">
        <v>78.5</v>
      </c>
      <c r="G25" s="58">
        <f t="shared" si="32"/>
        <v>1429.3</v>
      </c>
      <c r="H25" s="58">
        <v>1434.6</v>
      </c>
      <c r="I25" s="58"/>
      <c r="J25" s="58">
        <v>19.100000000000001</v>
      </c>
      <c r="K25" s="58">
        <f t="shared" si="33"/>
        <v>1453.7</v>
      </c>
      <c r="L25" s="1">
        <v>1519.1</v>
      </c>
      <c r="N25" s="1">
        <v>56.5</v>
      </c>
      <c r="O25" s="58">
        <f t="shared" si="34"/>
        <v>1575.6</v>
      </c>
      <c r="P25" s="58">
        <f>IF(ISNA(VLOOKUP($CW25,'Audit Values'!$A:$BZ,2,FALSE)),'Preliminary SO66'!C24,VLOOKUP($CW25,'Audit Values'!$A:$BZ,76,FALSE))</f>
        <v>1449</v>
      </c>
      <c r="Q25" s="58">
        <f>IF(ISNA(VLOOKUP($CW25,'Audit Values'!$A:$BZ,2,FALSE)),'Preliminary SO66'!F24,VLOOKUP($CW25,'Audit Values'!$A:$BZ,4,FALSE))</f>
        <v>42</v>
      </c>
      <c r="R25" s="58">
        <f t="shared" si="47"/>
        <v>1491</v>
      </c>
      <c r="S25" s="58">
        <f>IF('Military Provision'!I25="YES", MAX('2024 Legal Max'!O25,'2024 Legal Max'!K25,AVERAGE('2024 Legal Max'!G25,'2024 Legal Max'!K25,'2024 Legal Max'!O25)), MAX(O25, K25))</f>
        <v>1575.6</v>
      </c>
      <c r="T25" s="58">
        <f>IF(ISNA(VLOOKUP($CW25,'Audit Values'!$A:$BX,2,FALSE)),'Preliminary SO66'!AL24,VLOOKUP($CW25,'Audit Values'!$A:$BX,59,FALSE))</f>
        <v>0</v>
      </c>
      <c r="U25" s="58">
        <f t="shared" si="48"/>
        <v>1575.6</v>
      </c>
      <c r="V25" s="58">
        <f>'Low-High ENRL- 2023 HSubSB 113'!N28</f>
        <v>80</v>
      </c>
      <c r="W25" s="58">
        <f>IF(ISNA(VLOOKUP($CW25,'Audit Values'!$A:$BZ,2,FALSE)),'Preliminary SO66'!AM24,VLOOKUP($CW25,'Audit Values'!$A:$BZ,63,FALSE))</f>
        <v>31.6</v>
      </c>
      <c r="X25" s="58">
        <f>(W25/6)*'Weighting Factors'!$O$7</f>
        <v>2.1</v>
      </c>
      <c r="Y25" s="61">
        <f>IF(ISNA(VLOOKUP($CW25,'Audit Values'!$A:$BZ,2,FALSE)),'Preliminary SO66'!AN24,VLOOKUP($CW25,'Audit Values'!$A:$BZ,62,FALSE))</f>
        <v>88</v>
      </c>
      <c r="Z25" s="58">
        <f>Y25*'Weighting Factors'!$O$8</f>
        <v>16.3</v>
      </c>
      <c r="AA25" s="58">
        <f t="shared" si="49"/>
        <v>16.3</v>
      </c>
      <c r="AB25" s="106">
        <f>IF(ISNA(VLOOKUP($CW25,'Audit Values'!$A:$BZ,2,FALSE)),'Preliminary SO66'!AO24,VLOOKUP($CW25,'Audit Values'!$A:$BZ,61,FALSE))</f>
        <v>0</v>
      </c>
      <c r="AC25" s="58">
        <f>AB25/6*'Weighting Factors'!$O$6</f>
        <v>0</v>
      </c>
      <c r="AD25" s="24">
        <f>IF(ISNA(VLOOKUP($CW25,'Audit Values'!$A:$BX,2,FALSE)),'Preliminary SO66'!AS24,VLOOKUP($CW25,'Audit Values'!$A:$BX,64,FALSE))</f>
        <v>1510</v>
      </c>
      <c r="AE25" s="24">
        <f>IF(ISNA(VLOOKUP($CW25,'Audit Values'!$A:$BX,2,FALSE)),'Preliminary SO66'!AP24,VLOOKUP($CW25,'Audit Values'!$A:$BX,65,FALSE))</f>
        <v>60</v>
      </c>
      <c r="AF25" s="58">
        <f>IF(A25=207, AE25,(AE25))*'Weighting Factors'!$O$9</f>
        <v>29</v>
      </c>
      <c r="AG25" s="58">
        <f t="shared" si="50"/>
        <v>0</v>
      </c>
      <c r="AH25" s="58">
        <f>IF(ISNA(VLOOKUP($CW25,'Audit Values'!$A:$BZ,2,FALSE)),'Preliminary SO66'!AG24,VLOOKUP($CW25,'Audit Values'!$A:$BZ,71,FALSE))</f>
        <v>0</v>
      </c>
      <c r="AI25" s="58">
        <f t="shared" si="51"/>
        <v>0</v>
      </c>
      <c r="AJ25" s="58">
        <f>IF(ISNA(VLOOKUP($CW25,'Audit Values'!$A:$BX,2,FALSE)),'Preliminary SO66'!AR24,VLOOKUP($CW25,'Audit Values'!$A:$BX,66,FALSE))</f>
        <v>185</v>
      </c>
      <c r="AK25" s="24">
        <f t="shared" si="52"/>
        <v>124298</v>
      </c>
      <c r="AL25" s="58">
        <f>AK25/'Weighting Factors'!$O$5</f>
        <v>24.4</v>
      </c>
      <c r="AM25" s="58">
        <f>CJ25/'Weighting Factors'!$O$5</f>
        <v>0</v>
      </c>
      <c r="AN25" s="58">
        <f>CN25/'Weighting Factors'!$O$5</f>
        <v>0</v>
      </c>
      <c r="AO25" s="24">
        <v>1247083</v>
      </c>
      <c r="AP25" s="58">
        <f>AO25/'Weighting Factors'!$O$5</f>
        <v>245.1</v>
      </c>
      <c r="AQ25" s="58">
        <f>IF(ISNA(VLOOKUP($CW25,'Audit Values'!$A:$BX,2,FALSE)),'Preliminary SO66'!X24,VLOOKUP($CW25,'Audit Values'!$A:$BX,48,FALSE))</f>
        <v>0</v>
      </c>
      <c r="AR25" s="58">
        <f t="shared" si="37"/>
        <v>1970.4</v>
      </c>
      <c r="AS25" s="58">
        <f t="shared" si="38"/>
        <v>1725.3</v>
      </c>
      <c r="AT25" s="58">
        <f>IF(ISNA(VLOOKUP($CW25,'Audit Values'!$A$2:$BX$410,2,FALSE)),'Preliminary SO66'!AA24,VLOOKUP($CW25,'Audit Values'!$A$2:$BX$410,41,FALSE))</f>
        <v>0</v>
      </c>
      <c r="AU25" s="58">
        <f>IF(ISNA(VLOOKUP($CW25,'Audit Values'!$A$2:$BX$410,2,FALSE)),'Preliminary SO66'!AB24,VLOOKUP($CW25,'Audit Values'!$A$2:$BX$410,42,FALSE))</f>
        <v>0</v>
      </c>
      <c r="AV25" s="73">
        <v>0</v>
      </c>
      <c r="AW25" s="73">
        <v>0</v>
      </c>
      <c r="AX25" s="24">
        <f>SUM(AT25*'Weighting Factors'!$R$10)+('2024 Legal Max'!AU25*'Weighting Factors'!$R$11)+('2024 Legal Max'!AV25*'Weighting Factors'!$R$12)+('2024 Legal Max'!AW25*'Weighting Factors'!$R$12)</f>
        <v>0</v>
      </c>
      <c r="AY25" s="54">
        <f>IF(ISNA(VLOOKUP($CW25,'Audit Values'!$A$2:$BX$429,2,FALSE)),"",IF(AND('Weighting Factors'!G25&gt;0,VLOOKUP($CW25,'Audit Values'!$A$2:$BX$429,51,FALSE)&lt;'Weighting Factors'!G25),'Weighting Factors'!G25,VLOOKUP($CW25,'Audit Values'!$A$2:$BX$429,51,FALSE)))</f>
        <v>14</v>
      </c>
      <c r="AZ25" s="54" t="str">
        <f>IF(ISNA(VLOOKUP($CW25,'Audit Values'!$A:$BY,2,FALSE)),"",VLOOKUP($CW25,'Audit Values'!$A:$BY,52,FALSE))</f>
        <v>A</v>
      </c>
      <c r="BA25" s="54" t="str">
        <f>IF('Weighting Factors'!F25="","",IF('Weighting Factors'!H25="Pending","PX","R"))</f>
        <v/>
      </c>
      <c r="BB25" s="60">
        <f>SUM((U25+V25+AA25+AC25+AF25+AI25+AL25+AM25+AQ25+AN25)*'Weighting Factors'!$O$5)+'2024 Legal Max'!AX25</f>
        <v>8778326</v>
      </c>
      <c r="BC25" s="24">
        <f>SUM((AR25+AN25)*'Weighting Factors'!$O$5)+AX25</f>
        <v>10025395</v>
      </c>
      <c r="BD25" s="67">
        <f>IF('Weighting Factors'!F25&gt;0,'Weighting Factors'!F25,'Preliminary SO66'!AV24)</f>
        <v>10372672</v>
      </c>
      <c r="BE25" s="24">
        <f t="shared" si="53"/>
        <v>10025395</v>
      </c>
      <c r="BF25" s="71">
        <f>'Weighting Factors'!E25</f>
        <v>0</v>
      </c>
      <c r="BG25" s="71">
        <f>Transportation!G25</f>
        <v>0</v>
      </c>
      <c r="BH25" s="24">
        <f>IF(ISNA(VLOOKUP($CW25,'Audit Values'!$A:$BW,2,FALSE)), 0, VLOOKUP($CW25,'Audit Values'!$A:$BW,75,FALSE))</f>
        <v>0</v>
      </c>
      <c r="BI25" s="24">
        <f t="shared" si="54"/>
        <v>0</v>
      </c>
      <c r="BJ25" s="24">
        <f t="shared" si="55"/>
        <v>10025395</v>
      </c>
      <c r="BK25" s="24">
        <f>SUM((U25+V25+AA25+AC25+AF25+AI25+AL25+AM25+AN25)*'Weighting Factors'!O$12)+(MAX(AO25,'Weighting Factors'!B25))</f>
        <v>10146180</v>
      </c>
      <c r="BL25" s="78">
        <f>'LOB%'!F23</f>
        <v>0.33</v>
      </c>
      <c r="BM25" s="24">
        <f t="shared" si="12"/>
        <v>3348239</v>
      </c>
      <c r="BN25" s="87">
        <v>3450905</v>
      </c>
      <c r="BO25" s="24">
        <f t="shared" si="56"/>
        <v>3348239</v>
      </c>
      <c r="BP25" s="89">
        <f t="shared" si="13"/>
        <v>0.33</v>
      </c>
      <c r="BQ25" s="58">
        <f t="shared" si="14"/>
        <v>0</v>
      </c>
      <c r="BR25" s="1" t="b">
        <f t="shared" si="15"/>
        <v>0</v>
      </c>
      <c r="BS25" s="76">
        <f t="shared" si="16"/>
        <v>0</v>
      </c>
      <c r="BT25" s="75">
        <f t="shared" si="57"/>
        <v>0</v>
      </c>
      <c r="BU25" s="58">
        <f t="shared" si="18"/>
        <v>0</v>
      </c>
      <c r="BV25" s="1" t="b">
        <f t="shared" si="19"/>
        <v>1</v>
      </c>
      <c r="BW25" s="1">
        <f t="shared" si="20"/>
        <v>1578.5550000000001</v>
      </c>
      <c r="BX25" s="75">
        <f t="shared" si="58"/>
        <v>5.0803000000000001E-2</v>
      </c>
      <c r="BY25" s="58">
        <f t="shared" si="22"/>
        <v>80</v>
      </c>
      <c r="BZ25" s="58">
        <f t="shared" si="23"/>
        <v>0</v>
      </c>
      <c r="CA25" s="61">
        <v>8.5</v>
      </c>
      <c r="CB25" s="102">
        <f t="shared" si="24"/>
        <v>21.765000000000001</v>
      </c>
      <c r="CC25" s="105">
        <f>IF(CB25&lt;0.06,1,IF(CB25&gt;=18.29,52,MATCH(CB25-0.001,'Weighting Factors'!$W$5:$W$156)+1))</f>
        <v>52</v>
      </c>
      <c r="CD25" s="24">
        <f>VLOOKUP(CC25, 'Weighting Factors'!$U$5:$X$56,4)</f>
        <v>550</v>
      </c>
      <c r="CE25" s="109">
        <f>('Weighting Factors'!$O$5/'Weighting Factors'!$O$14)</f>
        <v>1.2216</v>
      </c>
      <c r="CF25" s="100">
        <f t="shared" si="25"/>
        <v>101750</v>
      </c>
      <c r="CG25" s="100">
        <f>CF25*'Weighting Factors'!$Q$7</f>
        <v>101750</v>
      </c>
      <c r="CH25" s="100">
        <f t="shared" si="59"/>
        <v>124298</v>
      </c>
      <c r="CI25" s="58">
        <f>AK25/'Weighting Factors'!$O$5</f>
        <v>24.4</v>
      </c>
      <c r="CJ25" s="87">
        <v>0</v>
      </c>
      <c r="CK25" s="80">
        <v>0</v>
      </c>
      <c r="CL25" s="110">
        <v>0</v>
      </c>
      <c r="CM25" s="24">
        <f>SUM((AR25*'Weighting Factors'!$O$5)+'2024 Legal Max'!AX25)*CL25</f>
        <v>0</v>
      </c>
      <c r="CN25" s="24">
        <f t="shared" si="60"/>
        <v>0</v>
      </c>
      <c r="CO25" s="65">
        <f t="shared" si="4"/>
        <v>3.9699999999999999E-2</v>
      </c>
      <c r="CP25" s="58">
        <f t="shared" si="28"/>
        <v>0</v>
      </c>
      <c r="CQ25" s="58">
        <f t="shared" si="29"/>
        <v>0</v>
      </c>
      <c r="CR25" s="58">
        <f t="shared" si="30"/>
        <v>1970.4</v>
      </c>
      <c r="CS25" s="24">
        <f>'Required Transfers'!L25</f>
        <v>49219</v>
      </c>
      <c r="CT25" s="24">
        <f>'Required Transfers'!O25</f>
        <v>27790</v>
      </c>
      <c r="CU25" s="24">
        <f>'Required Transfers'!H25</f>
        <v>147552</v>
      </c>
      <c r="CV25" s="58">
        <f t="shared" si="31"/>
        <v>1491</v>
      </c>
      <c r="CW25" s="27" t="s">
        <v>210</v>
      </c>
    </row>
    <row r="26" spans="1:101" ht="15" customHeight="1">
      <c r="A26" s="54">
        <v>208</v>
      </c>
      <c r="B26" s="1" t="s">
        <v>12</v>
      </c>
      <c r="C26" s="1" t="s">
        <v>531</v>
      </c>
      <c r="D26" s="58">
        <v>355.1</v>
      </c>
      <c r="E26" s="58"/>
      <c r="F26" s="58">
        <v>0</v>
      </c>
      <c r="G26" s="58">
        <f t="shared" si="32"/>
        <v>355.1</v>
      </c>
      <c r="H26" s="58">
        <v>366.8</v>
      </c>
      <c r="I26" s="58"/>
      <c r="J26" s="58">
        <v>0</v>
      </c>
      <c r="K26" s="58">
        <f t="shared" si="33"/>
        <v>366.8</v>
      </c>
      <c r="L26" s="1">
        <v>365.8</v>
      </c>
      <c r="N26" s="1">
        <v>0</v>
      </c>
      <c r="O26" s="58">
        <f t="shared" si="34"/>
        <v>365.8</v>
      </c>
      <c r="P26" s="58">
        <f>IF(ISNA(VLOOKUP($CW26,'Audit Values'!$A:$BZ,2,FALSE)),'Preliminary SO66'!C25,VLOOKUP($CW26,'Audit Values'!$A:$BZ,76,FALSE))</f>
        <v>365.7</v>
      </c>
      <c r="Q26" s="58">
        <f>IF(ISNA(VLOOKUP($CW26,'Audit Values'!$A:$BZ,2,FALSE)),'Preliminary SO66'!F25,VLOOKUP($CW26,'Audit Values'!$A:$BZ,4,FALSE))</f>
        <v>0</v>
      </c>
      <c r="R26" s="58">
        <f t="shared" si="47"/>
        <v>365.7</v>
      </c>
      <c r="S26" s="58">
        <f>IF('Military Provision'!I26="YES", MAX('2024 Legal Max'!O26,'2024 Legal Max'!K26,AVERAGE('2024 Legal Max'!G26,'2024 Legal Max'!K26,'2024 Legal Max'!O26)), MAX(O26, K26))</f>
        <v>366.8</v>
      </c>
      <c r="T26" s="58">
        <f>IF(ISNA(VLOOKUP($CW26,'Audit Values'!$A:$BX,2,FALSE)),'Preliminary SO66'!AL25,VLOOKUP($CW26,'Audit Values'!$A:$BX,59,FALSE))</f>
        <v>4.5</v>
      </c>
      <c r="U26" s="58">
        <f t="shared" si="48"/>
        <v>371.3</v>
      </c>
      <c r="V26" s="58">
        <f>'Low-High ENRL- 2023 HSubSB 113'!N29</f>
        <v>170.8</v>
      </c>
      <c r="W26" s="58">
        <f>IF(ISNA(VLOOKUP($CW26,'Audit Values'!$A:$BZ,2,FALSE)),'Preliminary SO66'!AM25,VLOOKUP($CW26,'Audit Values'!$A:$BZ,63,FALSE))</f>
        <v>0</v>
      </c>
      <c r="X26" s="58">
        <f>(W26/6)*'Weighting Factors'!$O$7</f>
        <v>0</v>
      </c>
      <c r="Y26" s="61">
        <f>IF(ISNA(VLOOKUP($CW26,'Audit Values'!$A:$BZ,2,FALSE)),'Preliminary SO66'!AN25,VLOOKUP($CW26,'Audit Values'!$A:$BZ,62,FALSE))</f>
        <v>0</v>
      </c>
      <c r="Z26" s="58">
        <f>Y26*'Weighting Factors'!$O$8</f>
        <v>0</v>
      </c>
      <c r="AA26" s="58">
        <f t="shared" si="49"/>
        <v>0</v>
      </c>
      <c r="AB26" s="106">
        <f>IF(ISNA(VLOOKUP($CW26,'Audit Values'!$A:$BZ,2,FALSE)),'Preliminary SO66'!AO25,VLOOKUP($CW26,'Audit Values'!$A:$BZ,61,FALSE))</f>
        <v>168.7</v>
      </c>
      <c r="AC26" s="58">
        <f>AB26/6*'Weighting Factors'!$O$6</f>
        <v>14.1</v>
      </c>
      <c r="AD26" s="24">
        <f>IF(ISNA(VLOOKUP($CW26,'Audit Values'!$A:$BX,2,FALSE)),'Preliminary SO66'!AS25,VLOOKUP($CW26,'Audit Values'!$A:$BX,64,FALSE))</f>
        <v>379</v>
      </c>
      <c r="AE26" s="24">
        <f>IF(ISNA(VLOOKUP($CW26,'Audit Values'!$A:$BX,2,FALSE)),'Preliminary SO66'!AP25,VLOOKUP($CW26,'Audit Values'!$A:$BX,65,FALSE))</f>
        <v>140</v>
      </c>
      <c r="AF26" s="58">
        <f>IF(A26=207, AE26,(AE26))*'Weighting Factors'!$O$9</f>
        <v>67.8</v>
      </c>
      <c r="AG26" s="58">
        <f t="shared" si="50"/>
        <v>1.9</v>
      </c>
      <c r="AH26" s="58">
        <f>IF(ISNA(VLOOKUP($CW26,'Audit Values'!$A:$BZ,2,FALSE)),'Preliminary SO66'!AG25,VLOOKUP($CW26,'Audit Values'!$A:$BZ,71,FALSE))</f>
        <v>2</v>
      </c>
      <c r="AI26" s="58">
        <f t="shared" si="51"/>
        <v>2</v>
      </c>
      <c r="AJ26" s="58">
        <f>IF(ISNA(VLOOKUP($CW26,'Audit Values'!$A:$BX,2,FALSE)),'Preliminary SO66'!AR25,VLOOKUP($CW26,'Audit Values'!$A:$BX,66,FALSE))</f>
        <v>73.5</v>
      </c>
      <c r="AK26" s="24">
        <f t="shared" si="52"/>
        <v>130192</v>
      </c>
      <c r="AL26" s="58">
        <f>AK26/'Weighting Factors'!$O$5</f>
        <v>25.6</v>
      </c>
      <c r="AM26" s="58">
        <f>CJ26/'Weighting Factors'!$O$5</f>
        <v>0</v>
      </c>
      <c r="AN26" s="58">
        <f>CN26/'Weighting Factors'!$O$5</f>
        <v>0</v>
      </c>
      <c r="AO26" s="24">
        <v>422850</v>
      </c>
      <c r="AP26" s="58">
        <f>AO26/'Weighting Factors'!$O$5</f>
        <v>83.1</v>
      </c>
      <c r="AQ26" s="58">
        <f>IF(ISNA(VLOOKUP($CW26,'Audit Values'!$A:$BX,2,FALSE)),'Preliminary SO66'!X25,VLOOKUP($CW26,'Audit Values'!$A:$BX,48,FALSE))</f>
        <v>0</v>
      </c>
      <c r="AR26" s="58">
        <f t="shared" si="37"/>
        <v>734.7</v>
      </c>
      <c r="AS26" s="58">
        <f t="shared" si="38"/>
        <v>651.6</v>
      </c>
      <c r="AT26" s="58">
        <f>IF(ISNA(VLOOKUP($CW26,'Audit Values'!$A$2:$BX$410,2,FALSE)),'Preliminary SO66'!AA25,VLOOKUP($CW26,'Audit Values'!$A$2:$BX$410,41,FALSE))</f>
        <v>0</v>
      </c>
      <c r="AU26" s="58">
        <f>IF(ISNA(VLOOKUP($CW26,'Audit Values'!$A$2:$BX$410,2,FALSE)),'Preliminary SO66'!AB25,VLOOKUP($CW26,'Audit Values'!$A$2:$BX$410,42,FALSE))</f>
        <v>0</v>
      </c>
      <c r="AV26" s="73">
        <v>0</v>
      </c>
      <c r="AW26" s="73">
        <v>0</v>
      </c>
      <c r="AX26" s="24">
        <f>SUM(AT26*'Weighting Factors'!$R$10)+('2024 Legal Max'!AU26*'Weighting Factors'!$R$11)+('2024 Legal Max'!AV26*'Weighting Factors'!$R$12)+('2024 Legal Max'!AW26*'Weighting Factors'!$R$12)</f>
        <v>0</v>
      </c>
      <c r="AY26" s="54">
        <f>IF(ISNA(VLOOKUP($CW26,'Audit Values'!$A$2:$BX$429,2,FALSE)),"",IF(AND('Weighting Factors'!G26&gt;0,VLOOKUP($CW26,'Audit Values'!$A$2:$BX$429,51,FALSE)&lt;'Weighting Factors'!G26),'Weighting Factors'!G26,VLOOKUP($CW26,'Audit Values'!$A$2:$BX$429,51,FALSE)))</f>
        <v>3</v>
      </c>
      <c r="AZ26" s="54" t="str">
        <f>IF(ISNA(VLOOKUP($CW26,'Audit Values'!$A:$BY,2,FALSE)),"",VLOOKUP($CW26,'Audit Values'!$A:$BY,52,FALSE))</f>
        <v>A</v>
      </c>
      <c r="BA26" s="54" t="str">
        <f>IF('Weighting Factors'!F26="","",IF('Weighting Factors'!H26="Pending","PX","R"))</f>
        <v/>
      </c>
      <c r="BB26" s="60">
        <f>SUM((U26+V26+AA26+AC26+AF26+AI26+AL26+AM26+AQ26+AN26)*'Weighting Factors'!$O$5)+'2024 Legal Max'!AX26</f>
        <v>3315341</v>
      </c>
      <c r="BC26" s="24">
        <f>SUM((AR26+AN26)*'Weighting Factors'!$O$5)+AX26</f>
        <v>3738154</v>
      </c>
      <c r="BD26" s="67">
        <f>IF('Weighting Factors'!F26&gt;0,'Weighting Factors'!F26,'Preliminary SO66'!AV25)</f>
        <v>3775296</v>
      </c>
      <c r="BE26" s="24">
        <f t="shared" si="53"/>
        <v>3738154</v>
      </c>
      <c r="BF26" s="71">
        <f>'Weighting Factors'!E26</f>
        <v>0</v>
      </c>
      <c r="BG26" s="71">
        <f>Transportation!G26</f>
        <v>0</v>
      </c>
      <c r="BH26" s="24">
        <f>IF(ISNA(VLOOKUP($CW26,'Audit Values'!$A:$BW,2,FALSE)), 0, VLOOKUP($CW26,'Audit Values'!$A:$BW,75,FALSE))</f>
        <v>0</v>
      </c>
      <c r="BI26" s="24">
        <f t="shared" si="54"/>
        <v>0</v>
      </c>
      <c r="BJ26" s="24">
        <f t="shared" si="55"/>
        <v>3738154</v>
      </c>
      <c r="BK26" s="24">
        <f>SUM((U26+V26+AA26+AC26+AF26+AI26+AL26+AM26+AN26)*'Weighting Factors'!O$12)+(MAX(AO26,'Weighting Factors'!B26))</f>
        <v>3870951</v>
      </c>
      <c r="BL26" s="78">
        <f>'LOB%'!F24</f>
        <v>0.33</v>
      </c>
      <c r="BM26" s="24">
        <f t="shared" si="12"/>
        <v>1277414</v>
      </c>
      <c r="BN26" s="67">
        <v>1274010</v>
      </c>
      <c r="BO26" s="24">
        <f t="shared" si="56"/>
        <v>1274010</v>
      </c>
      <c r="BP26" s="89">
        <f t="shared" si="13"/>
        <v>0.3291</v>
      </c>
      <c r="BQ26" s="58">
        <f t="shared" si="14"/>
        <v>0</v>
      </c>
      <c r="BR26" s="1" t="b">
        <f t="shared" si="15"/>
        <v>0</v>
      </c>
      <c r="BS26" s="76">
        <f t="shared" si="16"/>
        <v>0</v>
      </c>
      <c r="BT26" s="75">
        <f t="shared" si="57"/>
        <v>0</v>
      </c>
      <c r="BU26" s="58">
        <f t="shared" si="18"/>
        <v>0</v>
      </c>
      <c r="BV26" s="1" t="b">
        <f t="shared" si="19"/>
        <v>1</v>
      </c>
      <c r="BW26" s="1">
        <f t="shared" si="20"/>
        <v>88.233800000000002</v>
      </c>
      <c r="BX26" s="75">
        <f t="shared" si="58"/>
        <v>0.45996199999999998</v>
      </c>
      <c r="BY26" s="58">
        <f t="shared" si="22"/>
        <v>170.8</v>
      </c>
      <c r="BZ26" s="58">
        <f t="shared" si="23"/>
        <v>0</v>
      </c>
      <c r="CA26" s="61">
        <v>706.7</v>
      </c>
      <c r="CB26" s="102">
        <f t="shared" si="24"/>
        <v>0.104</v>
      </c>
      <c r="CC26" s="105">
        <f>IF(CB26&lt;0.06,1,IF(CB26&gt;=18.29,52,MATCH(CB26-0.001,'Weighting Factors'!$W$5:$W$156)+1))</f>
        <v>6</v>
      </c>
      <c r="CD26" s="24">
        <f>VLOOKUP(CC26, 'Weighting Factors'!$U$5:$X$56,4)</f>
        <v>1450</v>
      </c>
      <c r="CE26" s="109">
        <f>('Weighting Factors'!$O$5/'Weighting Factors'!$O$14)</f>
        <v>1.2216</v>
      </c>
      <c r="CF26" s="100">
        <f t="shared" si="25"/>
        <v>106575</v>
      </c>
      <c r="CG26" s="100">
        <f>CF26*'Weighting Factors'!$Q$7</f>
        <v>106575</v>
      </c>
      <c r="CH26" s="100">
        <f t="shared" si="59"/>
        <v>130192</v>
      </c>
      <c r="CI26" s="58">
        <f>AK26/'Weighting Factors'!$O$5</f>
        <v>25.6</v>
      </c>
      <c r="CJ26" s="67">
        <v>0</v>
      </c>
      <c r="CK26" s="80">
        <v>0</v>
      </c>
      <c r="CL26" s="110">
        <v>0</v>
      </c>
      <c r="CM26" s="24">
        <f>SUM((AR26*'Weighting Factors'!$O$5)+'2024 Legal Max'!AX26)*CL26</f>
        <v>0</v>
      </c>
      <c r="CN26" s="24">
        <f t="shared" si="60"/>
        <v>0</v>
      </c>
      <c r="CO26" s="65">
        <f t="shared" si="4"/>
        <v>0.36940000000000001</v>
      </c>
      <c r="CP26" s="58">
        <f t="shared" si="28"/>
        <v>0</v>
      </c>
      <c r="CQ26" s="58">
        <f t="shared" si="29"/>
        <v>1.9</v>
      </c>
      <c r="CR26" s="58">
        <f t="shared" si="30"/>
        <v>734.7</v>
      </c>
      <c r="CS26" s="24">
        <f>'Required Transfers'!L26</f>
        <v>118356</v>
      </c>
      <c r="CT26" s="24">
        <f>'Required Transfers'!O26</f>
        <v>0</v>
      </c>
      <c r="CU26" s="24">
        <f>'Required Transfers'!H26</f>
        <v>355142</v>
      </c>
      <c r="CV26" s="58">
        <f t="shared" si="31"/>
        <v>370.2</v>
      </c>
      <c r="CW26" s="27" t="s">
        <v>211</v>
      </c>
    </row>
    <row r="27" spans="1:101" ht="15" customHeight="1">
      <c r="A27" s="54">
        <v>209</v>
      </c>
      <c r="B27" s="1" t="s">
        <v>13</v>
      </c>
      <c r="C27" s="1" t="s">
        <v>532</v>
      </c>
      <c r="D27" s="58">
        <v>128</v>
      </c>
      <c r="E27" s="58"/>
      <c r="F27" s="58">
        <v>0</v>
      </c>
      <c r="G27" s="58">
        <f t="shared" si="32"/>
        <v>128</v>
      </c>
      <c r="H27" s="58">
        <v>126</v>
      </c>
      <c r="I27" s="58"/>
      <c r="J27" s="58">
        <v>0</v>
      </c>
      <c r="K27" s="58">
        <f t="shared" si="33"/>
        <v>126</v>
      </c>
      <c r="L27" s="1">
        <v>131</v>
      </c>
      <c r="N27" s="1">
        <v>0</v>
      </c>
      <c r="O27" s="58">
        <f t="shared" si="34"/>
        <v>131</v>
      </c>
      <c r="P27" s="58">
        <f>IF(ISNA(VLOOKUP($CW27,'Audit Values'!$A:$BZ,2,FALSE)),'Preliminary SO66'!C26,VLOOKUP($CW27,'Audit Values'!$A:$BZ,76,FALSE))</f>
        <v>133.1</v>
      </c>
      <c r="Q27" s="58">
        <f>IF(ISNA(VLOOKUP($CW27,'Audit Values'!$A:$BZ,2,FALSE)),'Preliminary SO66'!F26,VLOOKUP($CW27,'Audit Values'!$A:$BZ,4,FALSE))</f>
        <v>0</v>
      </c>
      <c r="R27" s="58">
        <f t="shared" si="47"/>
        <v>133.1</v>
      </c>
      <c r="S27" s="58">
        <f>IF('Military Provision'!I27="YES", MAX('2024 Legal Max'!O27,'2024 Legal Max'!K27,AVERAGE('2024 Legal Max'!G27,'2024 Legal Max'!K27,'2024 Legal Max'!O27)), MAX(O27, K27))</f>
        <v>131</v>
      </c>
      <c r="T27" s="58">
        <f>IF(ISNA(VLOOKUP($CW27,'Audit Values'!$A:$BX,2,FALSE)),'Preliminary SO66'!AL26,VLOOKUP($CW27,'Audit Values'!$A:$BX,59,FALSE))</f>
        <v>3</v>
      </c>
      <c r="U27" s="58">
        <f t="shared" si="48"/>
        <v>134</v>
      </c>
      <c r="V27" s="58">
        <f>'Low-High ENRL- 2023 HSubSB 113'!N30</f>
        <v>123.8</v>
      </c>
      <c r="W27" s="58">
        <f>IF(ISNA(VLOOKUP($CW27,'Audit Values'!$A:$BZ,2,FALSE)),'Preliminary SO66'!AM26,VLOOKUP($CW27,'Audit Values'!$A:$BZ,63,FALSE))</f>
        <v>131.19999999999999</v>
      </c>
      <c r="X27" s="58">
        <f>(W27/6)*'Weighting Factors'!$O$7</f>
        <v>8.6</v>
      </c>
      <c r="Y27" s="61">
        <f>IF(ISNA(VLOOKUP($CW27,'Audit Values'!$A:$BZ,2,FALSE)),'Preliminary SO66'!AN26,VLOOKUP($CW27,'Audit Values'!$A:$BZ,62,FALSE))</f>
        <v>31</v>
      </c>
      <c r="Z27" s="58">
        <f>Y27*'Weighting Factors'!$O$8</f>
        <v>5.7</v>
      </c>
      <c r="AA27" s="58">
        <f t="shared" si="49"/>
        <v>8.6</v>
      </c>
      <c r="AB27" s="106">
        <f>IF(ISNA(VLOOKUP($CW27,'Audit Values'!$A:$BZ,2,FALSE)),'Preliminary SO66'!AO26,VLOOKUP($CW27,'Audit Values'!$A:$BZ,61,FALSE))</f>
        <v>0</v>
      </c>
      <c r="AC27" s="58">
        <f>AB27/6*'Weighting Factors'!$O$6</f>
        <v>0</v>
      </c>
      <c r="AD27" s="24">
        <f>IF(ISNA(VLOOKUP($CW27,'Audit Values'!$A:$BX,2,FALSE)),'Preliminary SO66'!AS26,VLOOKUP($CW27,'Audit Values'!$A:$BX,64,FALSE))</f>
        <v>140</v>
      </c>
      <c r="AE27" s="24">
        <f>IF(ISNA(VLOOKUP($CW27,'Audit Values'!$A:$BX,2,FALSE)),'Preliminary SO66'!AP26,VLOOKUP($CW27,'Audit Values'!$A:$BX,65,FALSE))</f>
        <v>65</v>
      </c>
      <c r="AF27" s="58">
        <f>IF(A27=207, AE27,(AE27))*'Weighting Factors'!$O$9</f>
        <v>31.5</v>
      </c>
      <c r="AG27" s="58">
        <f t="shared" si="50"/>
        <v>5.2</v>
      </c>
      <c r="AH27" s="58">
        <f>IF(ISNA(VLOOKUP($CW27,'Audit Values'!$A:$BZ,2,FALSE)),'Preliminary SO66'!AG26,VLOOKUP($CW27,'Audit Values'!$A:$BZ,71,FALSE))</f>
        <v>4.7</v>
      </c>
      <c r="AI27" s="58">
        <f t="shared" si="51"/>
        <v>5.2</v>
      </c>
      <c r="AJ27" s="58">
        <f>IF(ISNA(VLOOKUP($CW27,'Audit Values'!$A:$BX,2,FALSE)),'Preliminary SO66'!AR26,VLOOKUP($CW27,'Audit Values'!$A:$BX,66,FALSE))</f>
        <v>22</v>
      </c>
      <c r="AK27" s="24">
        <f t="shared" si="52"/>
        <v>39775</v>
      </c>
      <c r="AL27" s="58">
        <f>AK27/'Weighting Factors'!$O$5</f>
        <v>7.8</v>
      </c>
      <c r="AM27" s="58">
        <f>CJ27/'Weighting Factors'!$O$5</f>
        <v>0</v>
      </c>
      <c r="AN27" s="58">
        <f>CN27/'Weighting Factors'!$O$5</f>
        <v>0</v>
      </c>
      <c r="AO27" s="24">
        <v>90811</v>
      </c>
      <c r="AP27" s="58">
        <f>AO27/'Weighting Factors'!$O$5</f>
        <v>17.8</v>
      </c>
      <c r="AQ27" s="58">
        <f>IF(ISNA(VLOOKUP($CW27,'Audit Values'!$A:$BX,2,FALSE)),'Preliminary SO66'!X26,VLOOKUP($CW27,'Audit Values'!$A:$BX,48,FALSE))</f>
        <v>0</v>
      </c>
      <c r="AR27" s="58">
        <f t="shared" si="37"/>
        <v>328.7</v>
      </c>
      <c r="AS27" s="58">
        <f t="shared" si="38"/>
        <v>310.89999999999998</v>
      </c>
      <c r="AT27" s="58">
        <f>IF(ISNA(VLOOKUP($CW27,'Audit Values'!$A$2:$BX$410,2,FALSE)),'Preliminary SO66'!AA26,VLOOKUP($CW27,'Audit Values'!$A$2:$BX$410,41,FALSE))</f>
        <v>0</v>
      </c>
      <c r="AU27" s="58">
        <f>IF(ISNA(VLOOKUP($CW27,'Audit Values'!$A$2:$BX$410,2,FALSE)),'Preliminary SO66'!AB26,VLOOKUP($CW27,'Audit Values'!$A$2:$BX$410,42,FALSE))</f>
        <v>0</v>
      </c>
      <c r="AV27" s="73">
        <v>0</v>
      </c>
      <c r="AW27" s="73">
        <v>0</v>
      </c>
      <c r="AX27" s="24">
        <f>SUM(AT27*'Weighting Factors'!$R$10)+('2024 Legal Max'!AU27*'Weighting Factors'!$R$11)+('2024 Legal Max'!AV27*'Weighting Factors'!$R$12)+('2024 Legal Max'!AW27*'Weighting Factors'!$R$12)</f>
        <v>0</v>
      </c>
      <c r="AY27" s="54">
        <f>IF(ISNA(VLOOKUP($CW27,'Audit Values'!$A$2:$BX$429,2,FALSE)),"",IF(AND('Weighting Factors'!G27&gt;0,VLOOKUP($CW27,'Audit Values'!$A$2:$BX$429,51,FALSE)&lt;'Weighting Factors'!G27),'Weighting Factors'!G27,VLOOKUP($CW27,'Audit Values'!$A$2:$BX$429,51,FALSE)))</f>
        <v>10</v>
      </c>
      <c r="AZ27" s="54" t="str">
        <f>IF(ISNA(VLOOKUP($CW27,'Audit Values'!$A:$BY,2,FALSE)),"",VLOOKUP($CW27,'Audit Values'!$A:$BY,52,FALSE))</f>
        <v>A</v>
      </c>
      <c r="BA27" s="54" t="str">
        <f>IF('Weighting Factors'!F27="","",IF('Weighting Factors'!H27="Pending","PX","R"))</f>
        <v/>
      </c>
      <c r="BB27" s="60">
        <f>SUM((U27+V27+AA27+AC27+AF27+AI27+AL27+AM27+AQ27+AN27)*'Weighting Factors'!$O$5)+'2024 Legal Max'!AX27</f>
        <v>1581859</v>
      </c>
      <c r="BC27" s="24">
        <f>SUM((AR27+AN27)*'Weighting Factors'!$O$5)+AX27</f>
        <v>1672426</v>
      </c>
      <c r="BD27" s="67">
        <f>IF('Weighting Factors'!F27&gt;0,'Weighting Factors'!F27,'Preliminary SO66'!AV26)</f>
        <v>1778765</v>
      </c>
      <c r="BE27" s="24">
        <f t="shared" si="53"/>
        <v>1672426</v>
      </c>
      <c r="BF27" s="71">
        <f>'Weighting Factors'!E27</f>
        <v>0</v>
      </c>
      <c r="BG27" s="71">
        <f>Transportation!G27</f>
        <v>0</v>
      </c>
      <c r="BH27" s="24">
        <f>IF(ISNA(VLOOKUP($CW27,'Audit Values'!$A:$BW,2,FALSE)), 0, VLOOKUP($CW27,'Audit Values'!$A:$BW,75,FALSE))</f>
        <v>0</v>
      </c>
      <c r="BI27" s="24">
        <f t="shared" si="54"/>
        <v>0</v>
      </c>
      <c r="BJ27" s="24">
        <f t="shared" si="55"/>
        <v>1672426</v>
      </c>
      <c r="BK27" s="24">
        <f>SUM((U27+V27+AA27+AC27+AF27+AI27+AL27+AM27+AN27)*'Weighting Factors'!O$12)+(MAX(AO27,'Weighting Factors'!B27))</f>
        <v>1741783</v>
      </c>
      <c r="BL27" s="78">
        <f>'LOB%'!F25</f>
        <v>0.33</v>
      </c>
      <c r="BM27" s="24">
        <f t="shared" si="12"/>
        <v>574788</v>
      </c>
      <c r="BN27" s="67">
        <v>598108</v>
      </c>
      <c r="BO27" s="24">
        <f t="shared" si="56"/>
        <v>574788</v>
      </c>
      <c r="BP27" s="89">
        <f t="shared" si="13"/>
        <v>0.33</v>
      </c>
      <c r="BQ27" s="58">
        <f t="shared" si="14"/>
        <v>0</v>
      </c>
      <c r="BR27" s="1" t="b">
        <f t="shared" si="15"/>
        <v>1</v>
      </c>
      <c r="BS27" s="76">
        <f t="shared" si="16"/>
        <v>328.27</v>
      </c>
      <c r="BT27" s="75">
        <f t="shared" si="57"/>
        <v>0.924207</v>
      </c>
      <c r="BU27" s="58">
        <f t="shared" si="18"/>
        <v>123.8</v>
      </c>
      <c r="BV27" s="1" t="b">
        <f t="shared" si="19"/>
        <v>0</v>
      </c>
      <c r="BW27" s="1">
        <f t="shared" si="20"/>
        <v>0</v>
      </c>
      <c r="BX27" s="75">
        <f t="shared" si="58"/>
        <v>0</v>
      </c>
      <c r="BY27" s="58">
        <f t="shared" si="22"/>
        <v>0</v>
      </c>
      <c r="BZ27" s="58">
        <f t="shared" si="23"/>
        <v>0</v>
      </c>
      <c r="CA27" s="61">
        <v>223</v>
      </c>
      <c r="CB27" s="102">
        <f t="shared" si="24"/>
        <v>9.9000000000000005E-2</v>
      </c>
      <c r="CC27" s="105">
        <f>IF(CB27&lt;0.06,1,IF(CB27&gt;=18.29,52,MATCH(CB27-0.001,'Weighting Factors'!$W$5:$W$156)+1))</f>
        <v>5</v>
      </c>
      <c r="CD27" s="24">
        <f>VLOOKUP(CC27, 'Weighting Factors'!$U$5:$X$56,4)</f>
        <v>1480</v>
      </c>
      <c r="CE27" s="109">
        <f>('Weighting Factors'!$O$5/'Weighting Factors'!$O$14)</f>
        <v>1.2216</v>
      </c>
      <c r="CF27" s="100">
        <f t="shared" si="25"/>
        <v>32560</v>
      </c>
      <c r="CG27" s="100">
        <f>CF27*'Weighting Factors'!$Q$7</f>
        <v>32560</v>
      </c>
      <c r="CH27" s="100">
        <f t="shared" si="59"/>
        <v>39775</v>
      </c>
      <c r="CI27" s="58">
        <f>AK27/'Weighting Factors'!$O$5</f>
        <v>7.8</v>
      </c>
      <c r="CJ27" s="67">
        <v>0</v>
      </c>
      <c r="CK27" s="80">
        <v>0</v>
      </c>
      <c r="CL27" s="110">
        <v>0</v>
      </c>
      <c r="CM27" s="24">
        <f>SUM((AR27*'Weighting Factors'!$O$5)+'2024 Legal Max'!AX27)*CL27</f>
        <v>0</v>
      </c>
      <c r="CN27" s="24">
        <f t="shared" si="60"/>
        <v>0</v>
      </c>
      <c r="CO27" s="65">
        <f t="shared" si="4"/>
        <v>0.46429999999999999</v>
      </c>
      <c r="CP27" s="58">
        <f t="shared" si="28"/>
        <v>0</v>
      </c>
      <c r="CQ27" s="58">
        <f t="shared" si="29"/>
        <v>5.2</v>
      </c>
      <c r="CR27" s="58">
        <f t="shared" si="30"/>
        <v>328.7</v>
      </c>
      <c r="CS27" s="24">
        <f>'Required Transfers'!L27</f>
        <v>55582</v>
      </c>
      <c r="CT27" s="24">
        <f>'Required Transfers'!O27</f>
        <v>15174</v>
      </c>
      <c r="CU27" s="24">
        <f>'Required Transfers'!H27</f>
        <v>186730</v>
      </c>
      <c r="CV27" s="58">
        <f t="shared" si="31"/>
        <v>136.1</v>
      </c>
      <c r="CW27" s="27" t="s">
        <v>212</v>
      </c>
    </row>
    <row r="28" spans="1:101" ht="15" customHeight="1">
      <c r="A28" s="54">
        <v>210</v>
      </c>
      <c r="B28" s="1" t="s">
        <v>13</v>
      </c>
      <c r="C28" s="1" t="s">
        <v>533</v>
      </c>
      <c r="D28" s="58">
        <v>974.6</v>
      </c>
      <c r="E28" s="58"/>
      <c r="F28" s="58">
        <v>0</v>
      </c>
      <c r="G28" s="58">
        <f t="shared" si="32"/>
        <v>974.6</v>
      </c>
      <c r="H28" s="58">
        <v>983</v>
      </c>
      <c r="I28" s="58"/>
      <c r="J28" s="58">
        <v>0</v>
      </c>
      <c r="K28" s="58">
        <f t="shared" si="33"/>
        <v>983</v>
      </c>
      <c r="L28" s="1">
        <v>966.8</v>
      </c>
      <c r="N28" s="1">
        <v>0</v>
      </c>
      <c r="O28" s="58">
        <f t="shared" si="34"/>
        <v>966.8</v>
      </c>
      <c r="P28" s="58">
        <f>IF(ISNA(VLOOKUP($CW28,'Audit Values'!$A:$BZ,2,FALSE)),'Preliminary SO66'!C27,VLOOKUP($CW28,'Audit Values'!$A:$BZ,76,FALSE))</f>
        <v>943</v>
      </c>
      <c r="Q28" s="58">
        <f>IF(ISNA(VLOOKUP($CW28,'Audit Values'!$A:$BZ,2,FALSE)),'Preliminary SO66'!F27,VLOOKUP($CW28,'Audit Values'!$A:$BZ,4,FALSE))</f>
        <v>0</v>
      </c>
      <c r="R28" s="58">
        <f t="shared" si="47"/>
        <v>943</v>
      </c>
      <c r="S28" s="58">
        <f>IF('Military Provision'!I28="YES", MAX('2024 Legal Max'!O28,'2024 Legal Max'!K28,AVERAGE('2024 Legal Max'!G28,'2024 Legal Max'!K28,'2024 Legal Max'!O28)), MAX(O28, K28))</f>
        <v>983</v>
      </c>
      <c r="T28" s="58">
        <f>IF(ISNA(VLOOKUP($CW28,'Audit Values'!$A:$BX,2,FALSE)),'Preliminary SO66'!AL27,VLOOKUP($CW28,'Audit Values'!$A:$BX,59,FALSE))</f>
        <v>16.5</v>
      </c>
      <c r="U28" s="58">
        <f t="shared" si="48"/>
        <v>999.5</v>
      </c>
      <c r="V28" s="58">
        <f>'Low-High ENRL- 2023 HSubSB 113'!N31</f>
        <v>246.4</v>
      </c>
      <c r="W28" s="58">
        <f>IF(ISNA(VLOOKUP($CW28,'Audit Values'!$A:$BZ,2,FALSE)),'Preliminary SO66'!AM27,VLOOKUP($CW28,'Audit Values'!$A:$BZ,63,FALSE))</f>
        <v>660.3</v>
      </c>
      <c r="X28" s="58">
        <f>(W28/6)*'Weighting Factors'!$O$7</f>
        <v>43.5</v>
      </c>
      <c r="Y28" s="61">
        <f>IF(ISNA(VLOOKUP($CW28,'Audit Values'!$A:$BZ,2,FALSE)),'Preliminary SO66'!AN27,VLOOKUP($CW28,'Audit Values'!$A:$BZ,62,FALSE))</f>
        <v>209</v>
      </c>
      <c r="Z28" s="58">
        <f>Y28*'Weighting Factors'!$O$8</f>
        <v>38.700000000000003</v>
      </c>
      <c r="AA28" s="58">
        <f t="shared" si="49"/>
        <v>43.5</v>
      </c>
      <c r="AB28" s="106">
        <f>IF(ISNA(VLOOKUP($CW28,'Audit Values'!$A:$BZ,2,FALSE)),'Preliminary SO66'!AO27,VLOOKUP($CW28,'Audit Values'!$A:$BZ,61,FALSE))</f>
        <v>301.60000000000002</v>
      </c>
      <c r="AC28" s="58">
        <f>AB28/6*'Weighting Factors'!$O$6</f>
        <v>25.1</v>
      </c>
      <c r="AD28" s="24">
        <f>IF(ISNA(VLOOKUP($CW28,'Audit Values'!$A:$BX,2,FALSE)),'Preliminary SO66'!AS27,VLOOKUP($CW28,'Audit Values'!$A:$BX,64,FALSE))</f>
        <v>978</v>
      </c>
      <c r="AE28" s="24">
        <f>IF(ISNA(VLOOKUP($CW28,'Audit Values'!$A:$BX,2,FALSE)),'Preliminary SO66'!AP27,VLOOKUP($CW28,'Audit Values'!$A:$BX,65,FALSE))</f>
        <v>455</v>
      </c>
      <c r="AF28" s="58">
        <f>IF(A28=207, AE28,(AE28))*'Weighting Factors'!$O$9</f>
        <v>220.2</v>
      </c>
      <c r="AG28" s="58">
        <f t="shared" si="50"/>
        <v>36.700000000000003</v>
      </c>
      <c r="AH28" s="58">
        <f>IF(ISNA(VLOOKUP($CW28,'Audit Values'!$A:$BZ,2,FALSE)),'Preliminary SO66'!AG27,VLOOKUP($CW28,'Audit Values'!$A:$BZ,71,FALSE))</f>
        <v>36</v>
      </c>
      <c r="AI28" s="58">
        <f t="shared" si="51"/>
        <v>36.700000000000003</v>
      </c>
      <c r="AJ28" s="58">
        <f>IF(ISNA(VLOOKUP($CW28,'Audit Values'!$A:$BX,2,FALSE)),'Preliminary SO66'!AR27,VLOOKUP($CW28,'Audit Values'!$A:$BX,66,FALSE))</f>
        <v>149</v>
      </c>
      <c r="AK28" s="24">
        <f t="shared" si="52"/>
        <v>223883</v>
      </c>
      <c r="AL28" s="58">
        <f>AK28/'Weighting Factors'!$O$5</f>
        <v>44</v>
      </c>
      <c r="AM28" s="58">
        <f>CJ28/'Weighting Factors'!$O$5</f>
        <v>0</v>
      </c>
      <c r="AN28" s="58">
        <f>CN28/'Weighting Factors'!$O$5</f>
        <v>0</v>
      </c>
      <c r="AO28" s="24">
        <v>622684</v>
      </c>
      <c r="AP28" s="58">
        <f>AO28/'Weighting Factors'!$O$5</f>
        <v>122.4</v>
      </c>
      <c r="AQ28" s="58">
        <f>IF(ISNA(VLOOKUP($CW28,'Audit Values'!$A:$BX,2,FALSE)),'Preliminary SO66'!X27,VLOOKUP($CW28,'Audit Values'!$A:$BX,48,FALSE))</f>
        <v>0</v>
      </c>
      <c r="AR28" s="58">
        <f t="shared" si="37"/>
        <v>1737.8</v>
      </c>
      <c r="AS28" s="58">
        <f t="shared" si="38"/>
        <v>1615.4</v>
      </c>
      <c r="AT28" s="58">
        <f>IF(ISNA(VLOOKUP($CW28,'Audit Values'!$A$2:$BX$410,2,FALSE)),'Preliminary SO66'!AA27,VLOOKUP($CW28,'Audit Values'!$A$2:$BX$410,41,FALSE))</f>
        <v>5</v>
      </c>
      <c r="AU28" s="58">
        <f>IF(ISNA(VLOOKUP($CW28,'Audit Values'!$A$2:$BX$410,2,FALSE)),'Preliminary SO66'!AB27,VLOOKUP($CW28,'Audit Values'!$A$2:$BX$410,42,FALSE))</f>
        <v>3.5</v>
      </c>
      <c r="AV28" s="73">
        <v>4</v>
      </c>
      <c r="AW28" s="73">
        <v>0</v>
      </c>
      <c r="AX28" s="24">
        <f>SUM(AT28*'Weighting Factors'!$R$10)+('2024 Legal Max'!AU28*'Weighting Factors'!$R$11)+('2024 Legal Max'!AV28*'Weighting Factors'!$R$12)+('2024 Legal Max'!AW28*'Weighting Factors'!$R$12)</f>
        <v>40636</v>
      </c>
      <c r="AY28" s="54">
        <f>IF(ISNA(VLOOKUP($CW28,'Audit Values'!$A$2:$BX$429,2,FALSE)),"",IF(AND('Weighting Factors'!G28&gt;0,VLOOKUP($CW28,'Audit Values'!$A$2:$BX$429,51,FALSE)&lt;'Weighting Factors'!G28),'Weighting Factors'!G28,VLOOKUP($CW28,'Audit Values'!$A$2:$BX$429,51,FALSE)))</f>
        <v>8</v>
      </c>
      <c r="AZ28" s="54" t="str">
        <f>IF(ISNA(VLOOKUP($CW28,'Audit Values'!$A:$BY,2,FALSE)),"",VLOOKUP($CW28,'Audit Values'!$A:$BY,52,FALSE))</f>
        <v>A</v>
      </c>
      <c r="BA28" s="54" t="str">
        <f>IF('Weighting Factors'!F28="","",IF('Weighting Factors'!H28="Pending","PX","R"))</f>
        <v/>
      </c>
      <c r="BB28" s="60">
        <f>SUM((U28+V28+AA28+AC28+AF28+AI28+AL28+AM28+AQ28+AN28)*'Weighting Factors'!$O$5)+'2024 Legal Max'!AX28</f>
        <v>8259791</v>
      </c>
      <c r="BC28" s="24">
        <f>SUM((AR28+AN28)*'Weighting Factors'!$O$5)+AX28</f>
        <v>8882562</v>
      </c>
      <c r="BD28" s="67">
        <f>IF('Weighting Factors'!F28&gt;0,'Weighting Factors'!F28,'Preliminary SO66'!AV27)</f>
        <v>9401875</v>
      </c>
      <c r="BE28" s="24">
        <f t="shared" si="53"/>
        <v>8882562</v>
      </c>
      <c r="BF28" s="71">
        <f>'Weighting Factors'!E28</f>
        <v>0</v>
      </c>
      <c r="BG28" s="71">
        <f>Transportation!G28</f>
        <v>0</v>
      </c>
      <c r="BH28" s="24">
        <f>IF(ISNA(VLOOKUP($CW28,'Audit Values'!$A:$BW,2,FALSE)), 0, VLOOKUP($CW28,'Audit Values'!$A:$BW,75,FALSE))</f>
        <v>0</v>
      </c>
      <c r="BI28" s="24">
        <f t="shared" si="54"/>
        <v>0</v>
      </c>
      <c r="BJ28" s="24">
        <f t="shared" si="55"/>
        <v>8882562</v>
      </c>
      <c r="BK28" s="24">
        <f>SUM((U28+V28+AA28+AC28+AF28+AI28+AL28+AM28+AN28)*'Weighting Factors'!O$12)+(MAX(AO28,'Weighting Factors'!B28))</f>
        <v>8955012</v>
      </c>
      <c r="BL28" s="78">
        <f>'LOB%'!F26</f>
        <v>0.316</v>
      </c>
      <c r="BM28" s="24">
        <f t="shared" si="12"/>
        <v>2829784</v>
      </c>
      <c r="BN28" s="67">
        <v>3000778</v>
      </c>
      <c r="BO28" s="24">
        <f t="shared" si="56"/>
        <v>2829784</v>
      </c>
      <c r="BP28" s="89">
        <f t="shared" si="13"/>
        <v>0.316</v>
      </c>
      <c r="BQ28" s="58">
        <f t="shared" si="14"/>
        <v>0</v>
      </c>
      <c r="BR28" s="1" t="b">
        <f t="shared" si="15"/>
        <v>0</v>
      </c>
      <c r="BS28" s="76">
        <f t="shared" si="16"/>
        <v>0</v>
      </c>
      <c r="BT28" s="75">
        <f t="shared" si="57"/>
        <v>0</v>
      </c>
      <c r="BU28" s="58">
        <f t="shared" si="18"/>
        <v>0</v>
      </c>
      <c r="BV28" s="1" t="b">
        <f t="shared" si="19"/>
        <v>1</v>
      </c>
      <c r="BW28" s="1">
        <f t="shared" si="20"/>
        <v>865.63130000000001</v>
      </c>
      <c r="BX28" s="75">
        <f t="shared" si="58"/>
        <v>0.246532</v>
      </c>
      <c r="BY28" s="58">
        <f t="shared" si="22"/>
        <v>246.4</v>
      </c>
      <c r="BZ28" s="58">
        <f t="shared" si="23"/>
        <v>0</v>
      </c>
      <c r="CA28" s="61">
        <v>575</v>
      </c>
      <c r="CB28" s="102">
        <f t="shared" si="24"/>
        <v>0.25900000000000001</v>
      </c>
      <c r="CC28" s="105">
        <f>IF(CB28&lt;0.06,1,IF(CB28&gt;=18.29,52,MATCH(CB28-0.001,'Weighting Factors'!$W$5:$W$156)+1))</f>
        <v>18</v>
      </c>
      <c r="CD28" s="24">
        <f>VLOOKUP(CC28, 'Weighting Factors'!$U$5:$X$56,4)</f>
        <v>1230</v>
      </c>
      <c r="CE28" s="109">
        <f>('Weighting Factors'!$O$5/'Weighting Factors'!$O$14)</f>
        <v>1.2216</v>
      </c>
      <c r="CF28" s="100">
        <f t="shared" si="25"/>
        <v>183270</v>
      </c>
      <c r="CG28" s="100">
        <f>CF28*'Weighting Factors'!$Q$7</f>
        <v>183270</v>
      </c>
      <c r="CH28" s="100">
        <f t="shared" si="59"/>
        <v>223883</v>
      </c>
      <c r="CI28" s="58">
        <f>AK28/'Weighting Factors'!$O$5</f>
        <v>44</v>
      </c>
      <c r="CJ28" s="67">
        <v>0</v>
      </c>
      <c r="CK28" s="80">
        <v>0</v>
      </c>
      <c r="CL28" s="110">
        <v>0</v>
      </c>
      <c r="CM28" s="24">
        <f>SUM((AR28*'Weighting Factors'!$O$5)+'2024 Legal Max'!AX28)*CL28</f>
        <v>0</v>
      </c>
      <c r="CN28" s="24">
        <f t="shared" si="60"/>
        <v>0</v>
      </c>
      <c r="CO28" s="65">
        <f t="shared" si="4"/>
        <v>0.4652</v>
      </c>
      <c r="CP28" s="58">
        <f t="shared" si="28"/>
        <v>0</v>
      </c>
      <c r="CQ28" s="58">
        <f t="shared" si="29"/>
        <v>36.700000000000003</v>
      </c>
      <c r="CR28" s="58">
        <f t="shared" si="30"/>
        <v>1737.8</v>
      </c>
      <c r="CS28" s="24">
        <f>'Required Transfers'!L28</f>
        <v>361929</v>
      </c>
      <c r="CT28" s="24">
        <f>'Required Transfers'!O28</f>
        <v>71594</v>
      </c>
      <c r="CU28" s="24">
        <f>'Required Transfers'!H28</f>
        <v>1307107</v>
      </c>
      <c r="CV28" s="58">
        <f t="shared" si="31"/>
        <v>968.7</v>
      </c>
      <c r="CW28" s="27" t="s">
        <v>213</v>
      </c>
    </row>
    <row r="29" spans="1:101" ht="15" customHeight="1">
      <c r="A29" s="54">
        <v>211</v>
      </c>
      <c r="B29" s="1" t="s">
        <v>14</v>
      </c>
      <c r="C29" s="1" t="s">
        <v>534</v>
      </c>
      <c r="D29" s="58">
        <v>618.5</v>
      </c>
      <c r="E29" s="58"/>
      <c r="F29" s="58">
        <v>0</v>
      </c>
      <c r="G29" s="58">
        <f t="shared" si="32"/>
        <v>618.5</v>
      </c>
      <c r="H29" s="58">
        <v>645.9</v>
      </c>
      <c r="I29" s="58"/>
      <c r="J29" s="58">
        <v>0</v>
      </c>
      <c r="K29" s="58">
        <f t="shared" si="33"/>
        <v>645.9</v>
      </c>
      <c r="L29" s="1">
        <v>640.70000000000005</v>
      </c>
      <c r="N29" s="1">
        <v>0</v>
      </c>
      <c r="O29" s="58">
        <f t="shared" si="34"/>
        <v>640.70000000000005</v>
      </c>
      <c r="P29" s="58">
        <f>IF(ISNA(VLOOKUP($CW29,'Audit Values'!$A:$BZ,2,FALSE)),'Preliminary SO66'!C28,VLOOKUP($CW29,'Audit Values'!$A:$BZ,76,FALSE))</f>
        <v>650.5</v>
      </c>
      <c r="Q29" s="58">
        <f>IF(ISNA(VLOOKUP($CW29,'Audit Values'!$A:$BZ,2,FALSE)),'Preliminary SO66'!F28,VLOOKUP($CW29,'Audit Values'!$A:$BZ,4,FALSE))</f>
        <v>0</v>
      </c>
      <c r="R29" s="58">
        <f t="shared" si="47"/>
        <v>650.5</v>
      </c>
      <c r="S29" s="58">
        <f>IF('Military Provision'!I29="YES", MAX('2024 Legal Max'!O29,'2024 Legal Max'!K29,AVERAGE('2024 Legal Max'!G29,'2024 Legal Max'!K29,'2024 Legal Max'!O29)), MAX(O29, K29))</f>
        <v>645.9</v>
      </c>
      <c r="T29" s="58">
        <f>IF(ISNA(VLOOKUP($CW29,'Audit Values'!$A:$BX,2,FALSE)),'Preliminary SO66'!AL28,VLOOKUP($CW29,'Audit Values'!$A:$BX,59,FALSE))</f>
        <v>10</v>
      </c>
      <c r="U29" s="58">
        <f t="shared" si="48"/>
        <v>655.9</v>
      </c>
      <c r="V29" s="58">
        <f>'Low-High ENRL- 2023 HSubSB 113'!N32</f>
        <v>238.3</v>
      </c>
      <c r="W29" s="58">
        <f>IF(ISNA(VLOOKUP($CW29,'Audit Values'!$A:$BZ,2,FALSE)),'Preliminary SO66'!AM28,VLOOKUP($CW29,'Audit Values'!$A:$BZ,63,FALSE))</f>
        <v>0</v>
      </c>
      <c r="X29" s="58">
        <f>(W29/6)*'Weighting Factors'!$O$7</f>
        <v>0</v>
      </c>
      <c r="Y29" s="61">
        <f>IF(ISNA(VLOOKUP($CW29,'Audit Values'!$A:$BZ,2,FALSE)),'Preliminary SO66'!AN28,VLOOKUP($CW29,'Audit Values'!$A:$BZ,62,FALSE))</f>
        <v>10</v>
      </c>
      <c r="Z29" s="58">
        <f>Y29*'Weighting Factors'!$O$8</f>
        <v>1.9</v>
      </c>
      <c r="AA29" s="58">
        <f t="shared" si="49"/>
        <v>1.9</v>
      </c>
      <c r="AB29" s="106">
        <f>IF(ISNA(VLOOKUP($CW29,'Audit Values'!$A:$BZ,2,FALSE)),'Preliminary SO66'!AO28,VLOOKUP($CW29,'Audit Values'!$A:$BZ,61,FALSE))</f>
        <v>154.6</v>
      </c>
      <c r="AC29" s="58">
        <f>AB29/6*'Weighting Factors'!$O$6</f>
        <v>12.9</v>
      </c>
      <c r="AD29" s="24">
        <f>IF(ISNA(VLOOKUP($CW29,'Audit Values'!$A:$BX,2,FALSE)),'Preliminary SO66'!AS28,VLOOKUP($CW29,'Audit Values'!$A:$BX,64,FALSE))</f>
        <v>676</v>
      </c>
      <c r="AE29" s="24">
        <f>IF(ISNA(VLOOKUP($CW29,'Audit Values'!$A:$BX,2,FALSE)),'Preliminary SO66'!AP28,VLOOKUP($CW29,'Audit Values'!$A:$BX,65,FALSE))</f>
        <v>296</v>
      </c>
      <c r="AF29" s="58">
        <f>IF(A29=207, AE29,(AE29))*'Weighting Factors'!$O$9</f>
        <v>143.30000000000001</v>
      </c>
      <c r="AG29" s="58">
        <f t="shared" si="50"/>
        <v>18.2</v>
      </c>
      <c r="AH29" s="58">
        <f>IF(ISNA(VLOOKUP($CW29,'Audit Values'!$A:$BZ,2,FALSE)),'Preliminary SO66'!AG28,VLOOKUP($CW29,'Audit Values'!$A:$BZ,71,FALSE))</f>
        <v>20</v>
      </c>
      <c r="AI29" s="58">
        <f t="shared" si="51"/>
        <v>20</v>
      </c>
      <c r="AJ29" s="58">
        <f>IF(ISNA(VLOOKUP($CW29,'Audit Values'!$A:$BX,2,FALSE)),'Preliminary SO66'!AR28,VLOOKUP($CW29,'Audit Values'!$A:$BX,66,FALSE))</f>
        <v>108</v>
      </c>
      <c r="AK29" s="24">
        <f t="shared" si="52"/>
        <v>178109</v>
      </c>
      <c r="AL29" s="58">
        <f>AK29/'Weighting Factors'!$O$5</f>
        <v>35</v>
      </c>
      <c r="AM29" s="58">
        <f>CJ29/'Weighting Factors'!$O$5</f>
        <v>0</v>
      </c>
      <c r="AN29" s="58">
        <f>CN29/'Weighting Factors'!$O$5</f>
        <v>0</v>
      </c>
      <c r="AO29" s="24">
        <v>800928</v>
      </c>
      <c r="AP29" s="58">
        <f>AO29/'Weighting Factors'!$O$5</f>
        <v>157.4</v>
      </c>
      <c r="AQ29" s="58">
        <f>IF(ISNA(VLOOKUP($CW29,'Audit Values'!$A:$BX,2,FALSE)),'Preliminary SO66'!X28,VLOOKUP($CW29,'Audit Values'!$A:$BX,48,FALSE))</f>
        <v>0</v>
      </c>
      <c r="AR29" s="58">
        <f t="shared" si="37"/>
        <v>1264.7</v>
      </c>
      <c r="AS29" s="58">
        <f t="shared" si="38"/>
        <v>1107.3</v>
      </c>
      <c r="AT29" s="58">
        <f>IF(ISNA(VLOOKUP($CW29,'Audit Values'!$A$2:$BX$410,2,FALSE)),'Preliminary SO66'!AA28,VLOOKUP($CW29,'Audit Values'!$A$2:$BX$410,41,FALSE))</f>
        <v>0</v>
      </c>
      <c r="AU29" s="58">
        <f>IF(ISNA(VLOOKUP($CW29,'Audit Values'!$A$2:$BX$410,2,FALSE)),'Preliminary SO66'!AB28,VLOOKUP($CW29,'Audit Values'!$A$2:$BX$410,42,FALSE))</f>
        <v>0</v>
      </c>
      <c r="AV29" s="73">
        <v>0</v>
      </c>
      <c r="AW29" s="73">
        <v>0</v>
      </c>
      <c r="AX29" s="24">
        <f>SUM(AT29*'Weighting Factors'!$R$10)+('2024 Legal Max'!AU29*'Weighting Factors'!$R$11)+('2024 Legal Max'!AV29*'Weighting Factors'!$R$12)+('2024 Legal Max'!AW29*'Weighting Factors'!$R$12)</f>
        <v>0</v>
      </c>
      <c r="AY29" s="54">
        <f>IF(ISNA(VLOOKUP($CW29,'Audit Values'!$A$2:$BX$429,2,FALSE)),"",IF(AND('Weighting Factors'!G29&gt;0,VLOOKUP($CW29,'Audit Values'!$A$2:$BX$429,51,FALSE)&lt;'Weighting Factors'!G29),'Weighting Factors'!G29,VLOOKUP($CW29,'Audit Values'!$A$2:$BX$429,51,FALSE)))</f>
        <v>15</v>
      </c>
      <c r="AZ29" s="54" t="str">
        <f>IF(ISNA(VLOOKUP($CW29,'Audit Values'!$A:$BY,2,FALSE)),"",VLOOKUP($CW29,'Audit Values'!$A:$BY,52,FALSE))</f>
        <v>A</v>
      </c>
      <c r="BA29" s="54" t="str">
        <f>IF('Weighting Factors'!F29="","",IF('Weighting Factors'!H29="Pending","PX","R"))</f>
        <v/>
      </c>
      <c r="BB29" s="60">
        <f>SUM((U29+V29+AA29+AC29+AF29+AI29+AL29+AM29+AQ29+AN29)*'Weighting Factors'!$O$5)+'2024 Legal Max'!AX29</f>
        <v>5633942</v>
      </c>
      <c r="BC29" s="24">
        <f>SUM((AR29+AN29)*'Weighting Factors'!$O$5)+AX29</f>
        <v>6434794</v>
      </c>
      <c r="BD29" s="67">
        <f>IF('Weighting Factors'!F29&gt;0,'Weighting Factors'!F29,'Preliminary SO66'!AV28)</f>
        <v>6646963</v>
      </c>
      <c r="BE29" s="24">
        <f t="shared" si="53"/>
        <v>6434794</v>
      </c>
      <c r="BF29" s="71">
        <f>'Weighting Factors'!E29</f>
        <v>0</v>
      </c>
      <c r="BG29" s="71">
        <f>Transportation!G29</f>
        <v>0</v>
      </c>
      <c r="BH29" s="24">
        <f>IF(ISNA(VLOOKUP($CW29,'Audit Values'!$A:$BW,2,FALSE)), 0, VLOOKUP($CW29,'Audit Values'!$A:$BW,75,FALSE))</f>
        <v>0</v>
      </c>
      <c r="BI29" s="24">
        <f t="shared" si="54"/>
        <v>0</v>
      </c>
      <c r="BJ29" s="24">
        <f t="shared" si="55"/>
        <v>6434794</v>
      </c>
      <c r="BK29" s="24">
        <f>SUM((U29+V29+AA29+AC29+AF29+AI29+AL29+AM29+AN29)*'Weighting Factors'!O$12)+(MAX(AO29,'Weighting Factors'!B29))</f>
        <v>6577987</v>
      </c>
      <c r="BL29" s="78">
        <f>'LOB%'!F27</f>
        <v>0.316</v>
      </c>
      <c r="BM29" s="24">
        <f t="shared" si="12"/>
        <v>2078644</v>
      </c>
      <c r="BN29" s="67">
        <v>2137810</v>
      </c>
      <c r="BO29" s="24">
        <f t="shared" si="56"/>
        <v>2078644</v>
      </c>
      <c r="BP29" s="89">
        <f t="shared" si="13"/>
        <v>0.316</v>
      </c>
      <c r="BQ29" s="58">
        <f t="shared" si="14"/>
        <v>0</v>
      </c>
      <c r="BR29" s="1" t="b">
        <f t="shared" si="15"/>
        <v>0</v>
      </c>
      <c r="BS29" s="76">
        <f t="shared" si="16"/>
        <v>0</v>
      </c>
      <c r="BT29" s="75">
        <f t="shared" si="57"/>
        <v>0</v>
      </c>
      <c r="BU29" s="58">
        <f t="shared" si="18"/>
        <v>0</v>
      </c>
      <c r="BV29" s="1" t="b">
        <f t="shared" si="19"/>
        <v>1</v>
      </c>
      <c r="BW29" s="1">
        <f t="shared" si="20"/>
        <v>440.42630000000003</v>
      </c>
      <c r="BX29" s="75">
        <f t="shared" si="58"/>
        <v>0.36326999999999998</v>
      </c>
      <c r="BY29" s="58">
        <f t="shared" si="22"/>
        <v>238.3</v>
      </c>
      <c r="BZ29" s="58">
        <f t="shared" si="23"/>
        <v>0</v>
      </c>
      <c r="CA29" s="61">
        <v>678</v>
      </c>
      <c r="CB29" s="102">
        <f t="shared" si="24"/>
        <v>0.159</v>
      </c>
      <c r="CC29" s="105">
        <f>IF(CB29&lt;0.06,1,IF(CB29&gt;=18.29,52,MATCH(CB29-0.001,'Weighting Factors'!$W$5:$W$156)+1))</f>
        <v>11</v>
      </c>
      <c r="CD29" s="24">
        <f>VLOOKUP(CC29, 'Weighting Factors'!$U$5:$X$56,4)</f>
        <v>1350</v>
      </c>
      <c r="CE29" s="109">
        <f>('Weighting Factors'!$O$5/'Weighting Factors'!$O$14)</f>
        <v>1.2216</v>
      </c>
      <c r="CF29" s="100">
        <f t="shared" si="25"/>
        <v>145800</v>
      </c>
      <c r="CG29" s="100">
        <f>CF29*'Weighting Factors'!$Q$7</f>
        <v>145800</v>
      </c>
      <c r="CH29" s="100">
        <f t="shared" si="59"/>
        <v>178109</v>
      </c>
      <c r="CI29" s="58">
        <f>AK29/'Weighting Factors'!$O$5</f>
        <v>35</v>
      </c>
      <c r="CJ29" s="67">
        <v>0</v>
      </c>
      <c r="CK29" s="80">
        <v>0</v>
      </c>
      <c r="CL29" s="110">
        <v>0</v>
      </c>
      <c r="CM29" s="24">
        <f>SUM((AR29*'Weighting Factors'!$O$5)+'2024 Legal Max'!AX29)*CL29</f>
        <v>0</v>
      </c>
      <c r="CN29" s="24">
        <f t="shared" si="60"/>
        <v>0</v>
      </c>
      <c r="CO29" s="65">
        <f t="shared" si="4"/>
        <v>0.43790000000000001</v>
      </c>
      <c r="CP29" s="58">
        <f t="shared" si="28"/>
        <v>0</v>
      </c>
      <c r="CQ29" s="58">
        <f t="shared" si="29"/>
        <v>18.2</v>
      </c>
      <c r="CR29" s="58">
        <f t="shared" si="30"/>
        <v>1264.7</v>
      </c>
      <c r="CS29" s="24">
        <f>'Required Transfers'!L29</f>
        <v>237381</v>
      </c>
      <c r="CT29" s="24">
        <f>'Required Transfers'!O29</f>
        <v>3118</v>
      </c>
      <c r="CU29" s="24">
        <f>'Required Transfers'!H29</f>
        <v>830870</v>
      </c>
      <c r="CV29" s="58">
        <f t="shared" si="31"/>
        <v>660.5</v>
      </c>
      <c r="CW29" s="27" t="s">
        <v>214</v>
      </c>
    </row>
    <row r="30" spans="1:101" ht="15" customHeight="1">
      <c r="A30" s="54">
        <v>212</v>
      </c>
      <c r="B30" s="1" t="s">
        <v>14</v>
      </c>
      <c r="C30" s="1" t="s">
        <v>535</v>
      </c>
      <c r="D30" s="58">
        <v>122.7</v>
      </c>
      <c r="E30" s="58"/>
      <c r="F30" s="58">
        <v>0</v>
      </c>
      <c r="G30" s="58">
        <f t="shared" si="32"/>
        <v>122.7</v>
      </c>
      <c r="H30" s="58">
        <v>139.6</v>
      </c>
      <c r="I30" s="58"/>
      <c r="J30" s="58">
        <v>0</v>
      </c>
      <c r="K30" s="58">
        <f t="shared" si="33"/>
        <v>139.6</v>
      </c>
      <c r="L30" s="1">
        <v>135.5</v>
      </c>
      <c r="N30" s="1">
        <v>0</v>
      </c>
      <c r="O30" s="58">
        <f t="shared" si="34"/>
        <v>135.5</v>
      </c>
      <c r="P30" s="58">
        <f>IF(ISNA(VLOOKUP($CW30,'Audit Values'!$A:$BZ,2,FALSE)),'Preliminary SO66'!C29,VLOOKUP($CW30,'Audit Values'!$A:$BZ,76,FALSE))</f>
        <v>143.1</v>
      </c>
      <c r="Q30" s="58">
        <f>IF(ISNA(VLOOKUP($CW30,'Audit Values'!$A:$BZ,2,FALSE)),'Preliminary SO66'!F29,VLOOKUP($CW30,'Audit Values'!$A:$BZ,4,FALSE))</f>
        <v>0</v>
      </c>
      <c r="R30" s="58">
        <f t="shared" si="47"/>
        <v>143.1</v>
      </c>
      <c r="S30" s="58">
        <f>IF('Military Provision'!I30="YES", MAX('2024 Legal Max'!O30,'2024 Legal Max'!K30,AVERAGE('2024 Legal Max'!G30,'2024 Legal Max'!K30,'2024 Legal Max'!O30)), MAX(O30, K30))</f>
        <v>139.6</v>
      </c>
      <c r="T30" s="58">
        <f>IF(ISNA(VLOOKUP($CW30,'Audit Values'!$A:$BX,2,FALSE)),'Preliminary SO66'!AL29,VLOOKUP($CW30,'Audit Values'!$A:$BX,59,FALSE))</f>
        <v>3</v>
      </c>
      <c r="U30" s="58">
        <f t="shared" si="48"/>
        <v>142.6</v>
      </c>
      <c r="V30" s="58">
        <f>'Low-High ENRL- 2023 HSubSB 113'!N33</f>
        <v>128.5</v>
      </c>
      <c r="W30" s="58">
        <f>IF(ISNA(VLOOKUP($CW30,'Audit Values'!$A:$BZ,2,FALSE)),'Preliminary SO66'!AM29,VLOOKUP($CW30,'Audit Values'!$A:$BZ,63,FALSE))</f>
        <v>0</v>
      </c>
      <c r="X30" s="58">
        <f>(W30/6)*'Weighting Factors'!$O$7</f>
        <v>0</v>
      </c>
      <c r="Y30" s="61">
        <f>IF(ISNA(VLOOKUP($CW30,'Audit Values'!$A:$BZ,2,FALSE)),'Preliminary SO66'!AN29,VLOOKUP($CW30,'Audit Values'!$A:$BZ,62,FALSE))</f>
        <v>1</v>
      </c>
      <c r="Z30" s="58">
        <f>Y30*'Weighting Factors'!$O$8</f>
        <v>0.2</v>
      </c>
      <c r="AA30" s="58">
        <f t="shared" si="49"/>
        <v>0.2</v>
      </c>
      <c r="AB30" s="106">
        <f>IF(ISNA(VLOOKUP($CW30,'Audit Values'!$A:$BZ,2,FALSE)),'Preliminary SO66'!AO29,VLOOKUP($CW30,'Audit Values'!$A:$BZ,61,FALSE))</f>
        <v>65.400000000000006</v>
      </c>
      <c r="AC30" s="58">
        <f>AB30/6*'Weighting Factors'!$O$6</f>
        <v>5.5</v>
      </c>
      <c r="AD30" s="24">
        <f>IF(ISNA(VLOOKUP($CW30,'Audit Values'!$A:$BX,2,FALSE)),'Preliminary SO66'!AS29,VLOOKUP($CW30,'Audit Values'!$A:$BX,64,FALSE))</f>
        <v>153</v>
      </c>
      <c r="AE30" s="24">
        <f>IF(ISNA(VLOOKUP($CW30,'Audit Values'!$A:$BX,2,FALSE)),'Preliminary SO66'!AP29,VLOOKUP($CW30,'Audit Values'!$A:$BX,65,FALSE))</f>
        <v>79</v>
      </c>
      <c r="AF30" s="58">
        <f>IF(A30=207, AE30,(AE30))*'Weighting Factors'!$O$9</f>
        <v>38.200000000000003</v>
      </c>
      <c r="AG30" s="58">
        <f t="shared" si="50"/>
        <v>8.3000000000000007</v>
      </c>
      <c r="AH30" s="58">
        <f>IF(ISNA(VLOOKUP($CW30,'Audit Values'!$A:$BZ,2,FALSE)),'Preliminary SO66'!AG29,VLOOKUP($CW30,'Audit Values'!$A:$BZ,71,FALSE))</f>
        <v>7.2</v>
      </c>
      <c r="AI30" s="58">
        <f t="shared" si="51"/>
        <v>8.3000000000000007</v>
      </c>
      <c r="AJ30" s="58">
        <f>IF(ISNA(VLOOKUP($CW30,'Audit Values'!$A:$BX,2,FALSE)),'Preliminary SO66'!AR29,VLOOKUP($CW30,'Audit Values'!$A:$BX,66,FALSE))</f>
        <v>68</v>
      </c>
      <c r="AK30" s="24">
        <f t="shared" si="52"/>
        <v>102175</v>
      </c>
      <c r="AL30" s="58">
        <f>AK30/'Weighting Factors'!$O$5</f>
        <v>20.100000000000001</v>
      </c>
      <c r="AM30" s="58">
        <f>CJ30/'Weighting Factors'!$O$5</f>
        <v>0</v>
      </c>
      <c r="AN30" s="58">
        <f>CN30/'Weighting Factors'!$O$5</f>
        <v>0</v>
      </c>
      <c r="AO30" s="24">
        <v>168992</v>
      </c>
      <c r="AP30" s="58">
        <f>AO30/'Weighting Factors'!$O$5</f>
        <v>33.200000000000003</v>
      </c>
      <c r="AQ30" s="58">
        <f>IF(ISNA(VLOOKUP($CW30,'Audit Values'!$A:$BX,2,FALSE)),'Preliminary SO66'!X29,VLOOKUP($CW30,'Audit Values'!$A:$BX,48,FALSE))</f>
        <v>0</v>
      </c>
      <c r="AR30" s="58">
        <f t="shared" si="37"/>
        <v>376.6</v>
      </c>
      <c r="AS30" s="58">
        <f t="shared" si="38"/>
        <v>343.4</v>
      </c>
      <c r="AT30" s="58">
        <f>IF(ISNA(VLOOKUP($CW30,'Audit Values'!$A$2:$BX$410,2,FALSE)),'Preliminary SO66'!AA29,VLOOKUP($CW30,'Audit Values'!$A$2:$BX$410,41,FALSE))</f>
        <v>0</v>
      </c>
      <c r="AU30" s="58">
        <f>IF(ISNA(VLOOKUP($CW30,'Audit Values'!$A$2:$BX$410,2,FALSE)),'Preliminary SO66'!AB29,VLOOKUP($CW30,'Audit Values'!$A$2:$BX$410,42,FALSE))</f>
        <v>0</v>
      </c>
      <c r="AV30" s="73">
        <v>0</v>
      </c>
      <c r="AW30" s="73">
        <v>0</v>
      </c>
      <c r="AX30" s="24">
        <f>SUM(AT30*'Weighting Factors'!$R$10)+('2024 Legal Max'!AU30*'Weighting Factors'!$R$11)+('2024 Legal Max'!AV30*'Weighting Factors'!$R$12)+('2024 Legal Max'!AW30*'Weighting Factors'!$R$12)</f>
        <v>0</v>
      </c>
      <c r="AY30" s="54">
        <f>IF(ISNA(VLOOKUP($CW30,'Audit Values'!$A$2:$BX$429,2,FALSE)),"",IF(AND('Weighting Factors'!G30&gt;0,VLOOKUP($CW30,'Audit Values'!$A$2:$BX$429,51,FALSE)&lt;'Weighting Factors'!G30),'Weighting Factors'!G30,VLOOKUP($CW30,'Audit Values'!$A$2:$BX$429,51,FALSE)))</f>
        <v>25</v>
      </c>
      <c r="AZ30" s="54" t="str">
        <f>IF(ISNA(VLOOKUP($CW30,'Audit Values'!$A:$BY,2,FALSE)),"",VLOOKUP($CW30,'Audit Values'!$A:$BY,52,FALSE))</f>
        <v>A</v>
      </c>
      <c r="BA30" s="54" t="str">
        <f>IF('Weighting Factors'!F30="","",IF('Weighting Factors'!H30="Pending","PX","R"))</f>
        <v>R</v>
      </c>
      <c r="BB30" s="60">
        <f>SUM((U30+V30+AA30+AC30+AF30+AI30+AL30+AM30+AQ30+AN30)*'Weighting Factors'!$O$5)+'2024 Legal Max'!AX30</f>
        <v>1747219</v>
      </c>
      <c r="BC30" s="24">
        <f>SUM((AR30+AN30)*'Weighting Factors'!$O$5)+AX30</f>
        <v>1916141</v>
      </c>
      <c r="BD30" s="67">
        <f>IF('Weighting Factors'!F30&gt;0,'Weighting Factors'!F30,'Preliminary SO66'!AV29)</f>
        <v>1917667</v>
      </c>
      <c r="BE30" s="24">
        <f t="shared" si="53"/>
        <v>1916141</v>
      </c>
      <c r="BF30" s="71">
        <f>'Weighting Factors'!E30</f>
        <v>0</v>
      </c>
      <c r="BG30" s="71">
        <f>Transportation!G30</f>
        <v>0</v>
      </c>
      <c r="BH30" s="24">
        <f>IF(ISNA(VLOOKUP($CW30,'Audit Values'!$A:$BW,2,FALSE)), 0, VLOOKUP($CW30,'Audit Values'!$A:$BW,75,FALSE))</f>
        <v>0</v>
      </c>
      <c r="BI30" s="24">
        <f t="shared" si="54"/>
        <v>0</v>
      </c>
      <c r="BJ30" s="24">
        <f t="shared" si="55"/>
        <v>1916141</v>
      </c>
      <c r="BK30" s="24">
        <f>SUM((U30+V30+AA30+AC30+AF30+AI30+AL30+AM30+AN30)*'Weighting Factors'!O$12)+(MAX(AO30,'Weighting Factors'!B30))</f>
        <v>2018357</v>
      </c>
      <c r="BL30" s="78">
        <f>'LOB%'!F28</f>
        <v>0.33</v>
      </c>
      <c r="BM30" s="24">
        <f t="shared" si="12"/>
        <v>666058</v>
      </c>
      <c r="BN30" s="67">
        <v>646994</v>
      </c>
      <c r="BO30" s="24">
        <f t="shared" si="56"/>
        <v>646994</v>
      </c>
      <c r="BP30" s="89">
        <f t="shared" si="13"/>
        <v>0.3206</v>
      </c>
      <c r="BQ30" s="58">
        <f t="shared" si="14"/>
        <v>0</v>
      </c>
      <c r="BR30" s="1" t="b">
        <f t="shared" si="15"/>
        <v>1</v>
      </c>
      <c r="BS30" s="76">
        <f t="shared" si="16"/>
        <v>411.303</v>
      </c>
      <c r="BT30" s="75">
        <f t="shared" si="57"/>
        <v>0.90141000000000004</v>
      </c>
      <c r="BU30" s="58">
        <f t="shared" si="18"/>
        <v>128.5</v>
      </c>
      <c r="BV30" s="1" t="b">
        <f t="shared" si="19"/>
        <v>0</v>
      </c>
      <c r="BW30" s="1">
        <f t="shared" si="20"/>
        <v>0</v>
      </c>
      <c r="BX30" s="75">
        <f t="shared" si="58"/>
        <v>0</v>
      </c>
      <c r="BY30" s="58">
        <f t="shared" si="22"/>
        <v>0</v>
      </c>
      <c r="BZ30" s="58">
        <f t="shared" si="23"/>
        <v>0</v>
      </c>
      <c r="CA30" s="61">
        <v>263</v>
      </c>
      <c r="CB30" s="102">
        <f t="shared" si="24"/>
        <v>0.25900000000000001</v>
      </c>
      <c r="CC30" s="105">
        <f>IF(CB30&lt;0.06,1,IF(CB30&gt;=18.29,52,MATCH(CB30-0.001,'Weighting Factors'!$W$5:$W$156)+1))</f>
        <v>18</v>
      </c>
      <c r="CD30" s="24">
        <f>VLOOKUP(CC30, 'Weighting Factors'!$U$5:$X$56,4)</f>
        <v>1230</v>
      </c>
      <c r="CE30" s="109">
        <f>('Weighting Factors'!$O$5/'Weighting Factors'!$O$14)</f>
        <v>1.2216</v>
      </c>
      <c r="CF30" s="100">
        <f t="shared" si="25"/>
        <v>83640</v>
      </c>
      <c r="CG30" s="100">
        <f>CF30*'Weighting Factors'!$Q$7</f>
        <v>83640</v>
      </c>
      <c r="CH30" s="100">
        <f t="shared" si="59"/>
        <v>102175</v>
      </c>
      <c r="CI30" s="58">
        <f>AK30/'Weighting Factors'!$O$5</f>
        <v>20.100000000000001</v>
      </c>
      <c r="CJ30" s="67">
        <v>0</v>
      </c>
      <c r="CK30" s="80">
        <v>0</v>
      </c>
      <c r="CL30" s="110">
        <v>0</v>
      </c>
      <c r="CM30" s="24">
        <f>SUM((AR30*'Weighting Factors'!$O$5)+'2024 Legal Max'!AX30)*CL30</f>
        <v>0</v>
      </c>
      <c r="CN30" s="24">
        <f t="shared" si="60"/>
        <v>0</v>
      </c>
      <c r="CO30" s="65">
        <f t="shared" si="4"/>
        <v>0.51629999999999998</v>
      </c>
      <c r="CP30" s="58">
        <f t="shared" si="28"/>
        <v>8.3000000000000007</v>
      </c>
      <c r="CQ30" s="58">
        <f t="shared" si="29"/>
        <v>0</v>
      </c>
      <c r="CR30" s="58">
        <f t="shared" si="30"/>
        <v>376.6</v>
      </c>
      <c r="CS30" s="24">
        <f>'Required Transfers'!L30</f>
        <v>66123</v>
      </c>
      <c r="CT30" s="24">
        <f>'Required Transfers'!O30</f>
        <v>323</v>
      </c>
      <c r="CU30" s="24">
        <f>'Required Transfers'!H30</f>
        <v>236592</v>
      </c>
      <c r="CV30" s="58">
        <f t="shared" si="31"/>
        <v>146.1</v>
      </c>
      <c r="CW30" s="27" t="s">
        <v>215</v>
      </c>
    </row>
    <row r="31" spans="1:101" ht="15" customHeight="1">
      <c r="A31" s="54">
        <v>214</v>
      </c>
      <c r="B31" s="1" t="s">
        <v>15</v>
      </c>
      <c r="C31" s="1" t="s">
        <v>536</v>
      </c>
      <c r="D31" s="58">
        <v>1508.9</v>
      </c>
      <c r="E31" s="58"/>
      <c r="F31" s="58">
        <v>0</v>
      </c>
      <c r="G31" s="58">
        <f t="shared" si="32"/>
        <v>1508.9</v>
      </c>
      <c r="H31" s="58">
        <v>1434.5</v>
      </c>
      <c r="I31" s="58"/>
      <c r="J31" s="58">
        <v>0</v>
      </c>
      <c r="K31" s="58">
        <f t="shared" si="33"/>
        <v>1434.5</v>
      </c>
      <c r="L31" s="1">
        <v>1405</v>
      </c>
      <c r="N31" s="1">
        <v>0</v>
      </c>
      <c r="O31" s="58">
        <f t="shared" si="34"/>
        <v>1405</v>
      </c>
      <c r="P31" s="58">
        <f>IF(ISNA(VLOOKUP($CW31,'Audit Values'!$A:$BZ,2,FALSE)),'Preliminary SO66'!C30,VLOOKUP($CW31,'Audit Values'!$A:$BZ,76,FALSE))</f>
        <v>1378.4</v>
      </c>
      <c r="Q31" s="58">
        <f>IF(ISNA(VLOOKUP($CW31,'Audit Values'!$A:$BZ,2,FALSE)),'Preliminary SO66'!F30,VLOOKUP($CW31,'Audit Values'!$A:$BZ,4,FALSE))</f>
        <v>0</v>
      </c>
      <c r="R31" s="58">
        <f t="shared" ref="R31:R94" si="61">SUM(P31+Q31)</f>
        <v>1378.4</v>
      </c>
      <c r="S31" s="58">
        <f>IF('Military Provision'!I31="YES", MAX('2024 Legal Max'!O31,'2024 Legal Max'!K31,AVERAGE('2024 Legal Max'!G31,'2024 Legal Max'!K31,'2024 Legal Max'!O31)), MAX(O31, K31))</f>
        <v>1434.5</v>
      </c>
      <c r="T31" s="58">
        <f>IF(ISNA(VLOOKUP($CW31,'Audit Values'!$A:$BX,2,FALSE)),'Preliminary SO66'!AL30,VLOOKUP($CW31,'Audit Values'!$A:$BX,59,FALSE))</f>
        <v>19.5</v>
      </c>
      <c r="U31" s="58">
        <f t="shared" ref="U31:U94" si="62">S31+T31</f>
        <v>1454</v>
      </c>
      <c r="V31" s="58">
        <f>'Low-High ENRL- 2023 HSubSB 113'!N34</f>
        <v>133.9</v>
      </c>
      <c r="W31" s="58">
        <f>IF(ISNA(VLOOKUP($CW31,'Audit Values'!$A:$BZ,2,FALSE)),'Preliminary SO66'!AM30,VLOOKUP($CW31,'Audit Values'!$A:$BZ,63,FALSE))</f>
        <v>1471.4</v>
      </c>
      <c r="X31" s="58">
        <f>(W31/6)*'Weighting Factors'!$O$7</f>
        <v>96.9</v>
      </c>
      <c r="Y31" s="61">
        <f>IF(ISNA(VLOOKUP($CW31,'Audit Values'!$A:$BZ,2,FALSE)),'Preliminary SO66'!AN30,VLOOKUP($CW31,'Audit Values'!$A:$BZ,62,FALSE))</f>
        <v>380</v>
      </c>
      <c r="Z31" s="58">
        <f>Y31*'Weighting Factors'!$O$8</f>
        <v>70.3</v>
      </c>
      <c r="AA31" s="58">
        <f t="shared" ref="AA31:AA94" si="63">MAX(X31,Z31)</f>
        <v>96.9</v>
      </c>
      <c r="AB31" s="106">
        <f>IF(ISNA(VLOOKUP($CW31,'Audit Values'!$A:$BZ,2,FALSE)),'Preliminary SO66'!AO30,VLOOKUP($CW31,'Audit Values'!$A:$BZ,61,FALSE))</f>
        <v>533.29999999999995</v>
      </c>
      <c r="AC31" s="58">
        <f>AB31/6*'Weighting Factors'!$O$6</f>
        <v>44.4</v>
      </c>
      <c r="AD31" s="24">
        <f>IF(ISNA(VLOOKUP($CW31,'Audit Values'!$A:$BX,2,FALSE)),'Preliminary SO66'!AS30,VLOOKUP($CW31,'Audit Values'!$A:$BX,64,FALSE))</f>
        <v>1430</v>
      </c>
      <c r="AE31" s="24">
        <f>IF(ISNA(VLOOKUP($CW31,'Audit Values'!$A:$BX,2,FALSE)),'Preliminary SO66'!AP30,VLOOKUP($CW31,'Audit Values'!$A:$BX,65,FALSE))</f>
        <v>846</v>
      </c>
      <c r="AF31" s="58">
        <f>IF(A31=207, AE31,(AE31))*'Weighting Factors'!$O$9</f>
        <v>409.5</v>
      </c>
      <c r="AG31" s="58">
        <f t="shared" si="50"/>
        <v>88.8</v>
      </c>
      <c r="AH31" s="58">
        <f>IF(ISNA(VLOOKUP($CW31,'Audit Values'!$A:$BZ,2,FALSE)),'Preliminary SO66'!AG30,VLOOKUP($CW31,'Audit Values'!$A:$BZ,71,FALSE))</f>
        <v>86.9</v>
      </c>
      <c r="AI31" s="58">
        <f t="shared" ref="AI31:AI94" si="64">MAX(AG31, AH31)</f>
        <v>88.8</v>
      </c>
      <c r="AJ31" s="58">
        <f>IF(ISNA(VLOOKUP($CW31,'Audit Values'!$A:$BX,2,FALSE)),'Preliminary SO66'!AR30,VLOOKUP($CW31,'Audit Values'!$A:$BX,66,FALSE))</f>
        <v>205</v>
      </c>
      <c r="AK31" s="24">
        <f t="shared" ref="AK31:AK94" si="65">CH31</f>
        <v>282984</v>
      </c>
      <c r="AL31" s="58">
        <f>AK31/'Weighting Factors'!$O$5</f>
        <v>55.6</v>
      </c>
      <c r="AM31" s="58">
        <f>CJ31/'Weighting Factors'!$O$5</f>
        <v>0</v>
      </c>
      <c r="AN31" s="58">
        <f>CN31/'Weighting Factors'!$O$5</f>
        <v>0</v>
      </c>
      <c r="AO31" s="24">
        <v>920013</v>
      </c>
      <c r="AP31" s="58">
        <f>AO31/'Weighting Factors'!$O$5</f>
        <v>180.8</v>
      </c>
      <c r="AQ31" s="58">
        <f>IF(ISNA(VLOOKUP($CW31,'Audit Values'!$A:$BX,2,FALSE)),'Preliminary SO66'!X30,VLOOKUP($CW31,'Audit Values'!$A:$BX,48,FALSE))</f>
        <v>0</v>
      </c>
      <c r="AR31" s="58">
        <f t="shared" si="37"/>
        <v>2463.9</v>
      </c>
      <c r="AS31" s="58">
        <f t="shared" si="38"/>
        <v>2283.1</v>
      </c>
      <c r="AT31" s="58">
        <f>IF(ISNA(VLOOKUP($CW31,'Audit Values'!$A$2:$BX$410,2,FALSE)),'Preliminary SO66'!AA30,VLOOKUP($CW31,'Audit Values'!$A$2:$BX$410,41,FALSE))</f>
        <v>34</v>
      </c>
      <c r="AU31" s="58">
        <f>IF(ISNA(VLOOKUP($CW31,'Audit Values'!$A$2:$BX$410,2,FALSE)),'Preliminary SO66'!AB30,VLOOKUP($CW31,'Audit Values'!$A$2:$BX$410,42,FALSE))</f>
        <v>13</v>
      </c>
      <c r="AV31" s="73">
        <v>68</v>
      </c>
      <c r="AW31" s="73">
        <v>20.5</v>
      </c>
      <c r="AX31" s="24">
        <f>SUM(AT31*'Weighting Factors'!$R$10)+('2024 Legal Max'!AU31*'Weighting Factors'!$R$11)+('2024 Legal Max'!AV31*'Weighting Factors'!$R$12)+('2024 Legal Max'!AW31*'Weighting Factors'!$R$12)</f>
        <v>289547</v>
      </c>
      <c r="AY31" s="54">
        <f>IF(ISNA(VLOOKUP($CW31,'Audit Values'!$A$2:$BX$429,2,FALSE)),"",IF(AND('Weighting Factors'!G31&gt;0,VLOOKUP($CW31,'Audit Values'!$A$2:$BX$429,51,FALSE)&lt;'Weighting Factors'!G31),'Weighting Factors'!G31,VLOOKUP($CW31,'Audit Values'!$A$2:$BX$429,51,FALSE)))</f>
        <v>18</v>
      </c>
      <c r="AZ31" s="54" t="str">
        <f>IF(ISNA(VLOOKUP($CW31,'Audit Values'!$A:$BY,2,FALSE)),"",VLOOKUP($CW31,'Audit Values'!$A:$BY,52,FALSE))</f>
        <v>A</v>
      </c>
      <c r="BA31" s="54" t="str">
        <f>IF('Weighting Factors'!F31="","",IF('Weighting Factors'!H31="Pending","PX","R"))</f>
        <v/>
      </c>
      <c r="BB31" s="60">
        <f>SUM((U31+V31+AA31+AC31+AF31+AI31+AL31+AM31+AQ31+AN31)*'Weighting Factors'!$O$5)+'2024 Legal Max'!AX31</f>
        <v>11905960</v>
      </c>
      <c r="BC31" s="24">
        <f>SUM((AR31+AN31)*'Weighting Factors'!$O$5)+AX31</f>
        <v>12825870</v>
      </c>
      <c r="BD31" s="67">
        <f>IF('Weighting Factors'!F31&gt;0,'Weighting Factors'!F31,'Preliminary SO66'!AV30)</f>
        <v>13007191</v>
      </c>
      <c r="BE31" s="24">
        <f t="shared" ref="BE31:BE94" si="66">MIN(BC31,BD31)</f>
        <v>12825870</v>
      </c>
      <c r="BF31" s="71">
        <f>'Weighting Factors'!E31</f>
        <v>0</v>
      </c>
      <c r="BG31" s="71">
        <f>Transportation!G31</f>
        <v>0</v>
      </c>
      <c r="BH31" s="24">
        <f>IF(ISNA(VLOOKUP($CW31,'Audit Values'!$A:$BW,2,FALSE)), 0, VLOOKUP($CW31,'Audit Values'!$A:$BW,75,FALSE))</f>
        <v>-12762</v>
      </c>
      <c r="BI31" s="24">
        <f t="shared" ref="BI31:BI94" si="67">SUM(BF31:BH31)</f>
        <v>-12762</v>
      </c>
      <c r="BJ31" s="24">
        <f t="shared" ref="BJ31:BJ94" si="68">BE31+BI31</f>
        <v>12813108</v>
      </c>
      <c r="BK31" s="24">
        <f>SUM((U31+V31+AA31+AC31+AF31+AI31+AL31+AM31+AN31)*'Weighting Factors'!O$12)+(MAX(AO31,'Weighting Factors'!B31))</f>
        <v>12770460</v>
      </c>
      <c r="BL31" s="78">
        <f>'LOB%'!F29</f>
        <v>0.316</v>
      </c>
      <c r="BM31" s="24">
        <f t="shared" si="12"/>
        <v>4035465</v>
      </c>
      <c r="BN31" s="67">
        <v>4124970</v>
      </c>
      <c r="BO31" s="24">
        <f t="shared" ref="BO31:BO94" si="69">MIN(BM31,BN31)</f>
        <v>4035465</v>
      </c>
      <c r="BP31" s="89">
        <f t="shared" si="13"/>
        <v>0.316</v>
      </c>
      <c r="BQ31" s="58">
        <f t="shared" si="14"/>
        <v>0</v>
      </c>
      <c r="BR31" s="1" t="b">
        <f t="shared" si="15"/>
        <v>0</v>
      </c>
      <c r="BS31" s="76">
        <f t="shared" si="16"/>
        <v>0</v>
      </c>
      <c r="BT31" s="75">
        <f t="shared" ref="BT31:BT94" si="70">IF(BR31=TRUE,ROUND(((7337-BS31)/3642.4)-1,6),0)</f>
        <v>0</v>
      </c>
      <c r="BU31" s="58">
        <f t="shared" si="18"/>
        <v>0</v>
      </c>
      <c r="BV31" s="1" t="b">
        <f t="shared" si="19"/>
        <v>1</v>
      </c>
      <c r="BW31" s="1">
        <f t="shared" si="20"/>
        <v>1428.075</v>
      </c>
      <c r="BX31" s="75">
        <f t="shared" ref="BX31:BX94" si="71">IF(BV31=TRUE,ROUND(((5406-BW31)/3642.4)-1,6),0)</f>
        <v>9.2116000000000003E-2</v>
      </c>
      <c r="BY31" s="58">
        <f t="shared" si="22"/>
        <v>133.9</v>
      </c>
      <c r="BZ31" s="58">
        <f t="shared" si="23"/>
        <v>0</v>
      </c>
      <c r="CA31" s="61">
        <v>517</v>
      </c>
      <c r="CB31" s="102">
        <f t="shared" si="24"/>
        <v>0.39700000000000002</v>
      </c>
      <c r="CC31" s="105">
        <f>IF(CB31&lt;0.06,1,IF(CB31&gt;=18.29,52,MATCH(CB31-0.001,'Weighting Factors'!$W$5:$W$156)+1))</f>
        <v>23</v>
      </c>
      <c r="CD31" s="24">
        <f>VLOOKUP(CC31, 'Weighting Factors'!$U$5:$X$56,4)</f>
        <v>1130</v>
      </c>
      <c r="CE31" s="109">
        <f>('Weighting Factors'!$O$5/'Weighting Factors'!$O$14)</f>
        <v>1.2216</v>
      </c>
      <c r="CF31" s="100">
        <f t="shared" si="25"/>
        <v>231650</v>
      </c>
      <c r="CG31" s="100">
        <f>CF31*'Weighting Factors'!$Q$7</f>
        <v>231650</v>
      </c>
      <c r="CH31" s="100">
        <f t="shared" ref="CH31:CH94" si="72">CG31*CE31</f>
        <v>282984</v>
      </c>
      <c r="CI31" s="58">
        <f>AK31/'Weighting Factors'!$O$5</f>
        <v>55.6</v>
      </c>
      <c r="CJ31" s="67">
        <v>0</v>
      </c>
      <c r="CK31" s="80">
        <v>0</v>
      </c>
      <c r="CL31" s="110">
        <v>0</v>
      </c>
      <c r="CM31" s="24">
        <f>SUM((AR31*'Weighting Factors'!$O$5)+'2024 Legal Max'!AX31)*CL31</f>
        <v>0</v>
      </c>
      <c r="CN31" s="24">
        <f t="shared" ref="CN31:CN94" si="73">IF(CK31&gt;CM31,CM31,CK31)</f>
        <v>0</v>
      </c>
      <c r="CO31" s="65">
        <f t="shared" si="4"/>
        <v>0.59160000000000001</v>
      </c>
      <c r="CP31" s="58">
        <f t="shared" si="28"/>
        <v>88.8</v>
      </c>
      <c r="CQ31" s="58">
        <f t="shared" si="29"/>
        <v>0</v>
      </c>
      <c r="CR31" s="58">
        <f t="shared" si="30"/>
        <v>2463.9</v>
      </c>
      <c r="CS31" s="24">
        <f>'Required Transfers'!L31</f>
        <v>675940</v>
      </c>
      <c r="CT31" s="24">
        <f>'Required Transfers'!O31</f>
        <v>159804</v>
      </c>
      <c r="CU31" s="24">
        <f>'Required Transfers'!H31</f>
        <v>2535350</v>
      </c>
      <c r="CV31" s="58">
        <f t="shared" si="31"/>
        <v>1459.7</v>
      </c>
      <c r="CW31" s="27" t="s">
        <v>216</v>
      </c>
    </row>
    <row r="32" spans="1:101" ht="15" customHeight="1">
      <c r="A32" s="54">
        <v>215</v>
      </c>
      <c r="B32" s="1" t="s">
        <v>16</v>
      </c>
      <c r="C32" s="1" t="s">
        <v>537</v>
      </c>
      <c r="D32" s="58">
        <v>615</v>
      </c>
      <c r="E32" s="58"/>
      <c r="F32" s="58">
        <v>0</v>
      </c>
      <c r="G32" s="58">
        <f t="shared" si="32"/>
        <v>615</v>
      </c>
      <c r="H32" s="58">
        <v>602</v>
      </c>
      <c r="I32" s="58"/>
      <c r="J32" s="58">
        <v>0</v>
      </c>
      <c r="K32" s="58">
        <f t="shared" si="33"/>
        <v>602</v>
      </c>
      <c r="L32" s="1">
        <v>621.9</v>
      </c>
      <c r="N32" s="1">
        <v>0</v>
      </c>
      <c r="O32" s="58">
        <f t="shared" si="34"/>
        <v>621.9</v>
      </c>
      <c r="P32" s="58">
        <f>IF(ISNA(VLOOKUP($CW32,'Audit Values'!$A:$BZ,2,FALSE)),'Preliminary SO66'!C31,VLOOKUP($CW32,'Audit Values'!$A:$BZ,76,FALSE))</f>
        <v>604.1</v>
      </c>
      <c r="Q32" s="58">
        <f>IF(ISNA(VLOOKUP($CW32,'Audit Values'!$A:$BZ,2,FALSE)),'Preliminary SO66'!F31,VLOOKUP($CW32,'Audit Values'!$A:$BZ,4,FALSE))</f>
        <v>0</v>
      </c>
      <c r="R32" s="58">
        <f t="shared" si="61"/>
        <v>604.1</v>
      </c>
      <c r="S32" s="58">
        <f>IF('Military Provision'!I32="YES", MAX('2024 Legal Max'!O32,'2024 Legal Max'!K32,AVERAGE('2024 Legal Max'!G32,'2024 Legal Max'!K32,'2024 Legal Max'!O32)), MAX(O32, K32))</f>
        <v>621.9</v>
      </c>
      <c r="T32" s="58">
        <f>IF(ISNA(VLOOKUP($CW32,'Audit Values'!$A:$BX,2,FALSE)),'Preliminary SO66'!AL31,VLOOKUP($CW32,'Audit Values'!$A:$BX,59,FALSE))</f>
        <v>5</v>
      </c>
      <c r="U32" s="58">
        <f t="shared" si="62"/>
        <v>626.9</v>
      </c>
      <c r="V32" s="58">
        <f>'Low-High ENRL- 2023 HSubSB 113'!N35</f>
        <v>233.9</v>
      </c>
      <c r="W32" s="58">
        <f>IF(ISNA(VLOOKUP($CW32,'Audit Values'!$A:$BZ,2,FALSE)),'Preliminary SO66'!AM31,VLOOKUP($CW32,'Audit Values'!$A:$BZ,63,FALSE))</f>
        <v>332.3</v>
      </c>
      <c r="X32" s="58">
        <f>(W32/6)*'Weighting Factors'!$O$7</f>
        <v>21.9</v>
      </c>
      <c r="Y32" s="61">
        <f>IF(ISNA(VLOOKUP($CW32,'Audit Values'!$A:$BZ,2,FALSE)),'Preliminary SO66'!AN31,VLOOKUP($CW32,'Audit Values'!$A:$BZ,62,FALSE))</f>
        <v>111</v>
      </c>
      <c r="Z32" s="58">
        <f>Y32*'Weighting Factors'!$O$8</f>
        <v>20.5</v>
      </c>
      <c r="AA32" s="58">
        <f t="shared" si="63"/>
        <v>21.9</v>
      </c>
      <c r="AB32" s="106">
        <f>IF(ISNA(VLOOKUP($CW32,'Audit Values'!$A:$BZ,2,FALSE)),'Preliminary SO66'!AO31,VLOOKUP($CW32,'Audit Values'!$A:$BZ,61,FALSE))</f>
        <v>252.9</v>
      </c>
      <c r="AC32" s="58">
        <f>AB32/6*'Weighting Factors'!$O$6</f>
        <v>21.1</v>
      </c>
      <c r="AD32" s="24">
        <f>IF(ISNA(VLOOKUP($CW32,'Audit Values'!$A:$BX,2,FALSE)),'Preliminary SO66'!AS31,VLOOKUP($CW32,'Audit Values'!$A:$BX,64,FALSE))</f>
        <v>615</v>
      </c>
      <c r="AE32" s="24">
        <f>IF(ISNA(VLOOKUP($CW32,'Audit Values'!$A:$BX,2,FALSE)),'Preliminary SO66'!AP31,VLOOKUP($CW32,'Audit Values'!$A:$BX,65,FALSE))</f>
        <v>313</v>
      </c>
      <c r="AF32" s="58">
        <f>IF(A32=207, AE32,(AE32))*'Weighting Factors'!$O$9</f>
        <v>151.5</v>
      </c>
      <c r="AG32" s="58">
        <f t="shared" si="50"/>
        <v>32.9</v>
      </c>
      <c r="AH32" s="58">
        <f>IF(ISNA(VLOOKUP($CW32,'Audit Values'!$A:$BZ,2,FALSE)),'Preliminary SO66'!AG31,VLOOKUP($CW32,'Audit Values'!$A:$BZ,71,FALSE))</f>
        <v>32.200000000000003</v>
      </c>
      <c r="AI32" s="58">
        <f t="shared" si="64"/>
        <v>32.9</v>
      </c>
      <c r="AJ32" s="58">
        <f>IF(ISNA(VLOOKUP($CW32,'Audit Values'!$A:$BX,2,FALSE)),'Preliminary SO66'!AR31,VLOOKUP($CW32,'Audit Values'!$A:$BX,66,FALSE))</f>
        <v>39</v>
      </c>
      <c r="AK32" s="24">
        <f t="shared" si="65"/>
        <v>75275</v>
      </c>
      <c r="AL32" s="58">
        <f>AK32/'Weighting Factors'!$O$5</f>
        <v>14.8</v>
      </c>
      <c r="AM32" s="58">
        <f>CJ32/'Weighting Factors'!$O$5</f>
        <v>0</v>
      </c>
      <c r="AN32" s="58">
        <f>CN32/'Weighting Factors'!$O$5</f>
        <v>0</v>
      </c>
      <c r="AO32" s="24">
        <v>381510</v>
      </c>
      <c r="AP32" s="58">
        <f>AO32/'Weighting Factors'!$O$5</f>
        <v>75</v>
      </c>
      <c r="AQ32" s="58">
        <f>IF(ISNA(VLOOKUP($CW32,'Audit Values'!$A:$BX,2,FALSE)),'Preliminary SO66'!X31,VLOOKUP($CW32,'Audit Values'!$A:$BX,48,FALSE))</f>
        <v>0</v>
      </c>
      <c r="AR32" s="58">
        <f t="shared" si="37"/>
        <v>1178</v>
      </c>
      <c r="AS32" s="58">
        <f t="shared" si="38"/>
        <v>1103</v>
      </c>
      <c r="AT32" s="58">
        <f>IF(ISNA(VLOOKUP($CW32,'Audit Values'!$A$2:$BX$410,2,FALSE)),'Preliminary SO66'!AA31,VLOOKUP($CW32,'Audit Values'!$A$2:$BX$410,41,FALSE))</f>
        <v>0</v>
      </c>
      <c r="AU32" s="58">
        <f>IF(ISNA(VLOOKUP($CW32,'Audit Values'!$A$2:$BX$410,2,FALSE)),'Preliminary SO66'!AB31,VLOOKUP($CW32,'Audit Values'!$A$2:$BX$410,42,FALSE))</f>
        <v>0</v>
      </c>
      <c r="AV32" s="73">
        <v>0</v>
      </c>
      <c r="AW32" s="73">
        <v>0</v>
      </c>
      <c r="AX32" s="24">
        <f>SUM(AT32*'Weighting Factors'!$R$10)+('2024 Legal Max'!AU32*'Weighting Factors'!$R$11)+('2024 Legal Max'!AV32*'Weighting Factors'!$R$12)+('2024 Legal Max'!AW32*'Weighting Factors'!$R$12)</f>
        <v>0</v>
      </c>
      <c r="AY32" s="54">
        <f>IF(ISNA(VLOOKUP($CW32,'Audit Values'!$A$2:$BX$429,2,FALSE)),"",IF(AND('Weighting Factors'!G32&gt;0,VLOOKUP($CW32,'Audit Values'!$A$2:$BX$429,51,FALSE)&lt;'Weighting Factors'!G32),'Weighting Factors'!G32,VLOOKUP($CW32,'Audit Values'!$A$2:$BX$429,51,FALSE)))</f>
        <v>24</v>
      </c>
      <c r="AZ32" s="54" t="str">
        <f>IF(ISNA(VLOOKUP($CW32,'Audit Values'!$A:$BY,2,FALSE)),"",VLOOKUP($CW32,'Audit Values'!$A:$BY,52,FALSE))</f>
        <v>A</v>
      </c>
      <c r="BA32" s="54" t="str">
        <f>IF('Weighting Factors'!F32="","",IF('Weighting Factors'!H32="Pending","PX","R"))</f>
        <v>R</v>
      </c>
      <c r="BB32" s="60">
        <f>SUM((U32+V32+AA32+AC32+AF32+AI32+AL32+AM32+AQ32+AN32)*'Weighting Factors'!$O$5)+'2024 Legal Max'!AX32</f>
        <v>5612064</v>
      </c>
      <c r="BC32" s="24">
        <f>SUM((AR32+AN32)*'Weighting Factors'!$O$5)+AX32</f>
        <v>5993664</v>
      </c>
      <c r="BD32" s="67">
        <f>IF('Weighting Factors'!F32&gt;0,'Weighting Factors'!F32,'Preliminary SO66'!AV31)</f>
        <v>6023174</v>
      </c>
      <c r="BE32" s="24">
        <f t="shared" si="66"/>
        <v>5993664</v>
      </c>
      <c r="BF32" s="71">
        <f>'Weighting Factors'!E32</f>
        <v>0</v>
      </c>
      <c r="BG32" s="71">
        <f>Transportation!G32</f>
        <v>0</v>
      </c>
      <c r="BH32" s="24">
        <f>IF(ISNA(VLOOKUP($CW32,'Audit Values'!$A:$BW,2,FALSE)), 0, VLOOKUP($CW32,'Audit Values'!$A:$BW,75,FALSE))</f>
        <v>0</v>
      </c>
      <c r="BI32" s="24">
        <f t="shared" si="67"/>
        <v>0</v>
      </c>
      <c r="BJ32" s="24">
        <f t="shared" si="68"/>
        <v>5993664</v>
      </c>
      <c r="BK32" s="24">
        <f>SUM((U32+V32+AA32+AC32+AF32+AI32+AL32+AM32+AN32)*'Weighting Factors'!O$12)+(MAX(AO32,'Weighting Factors'!B32))</f>
        <v>6085825</v>
      </c>
      <c r="BL32" s="78">
        <f>'LOB%'!F30</f>
        <v>0.316</v>
      </c>
      <c r="BM32" s="24">
        <f t="shared" si="12"/>
        <v>1923121</v>
      </c>
      <c r="BN32" s="67">
        <v>1915891</v>
      </c>
      <c r="BO32" s="24">
        <f t="shared" si="69"/>
        <v>1915891</v>
      </c>
      <c r="BP32" s="89">
        <f t="shared" si="13"/>
        <v>0.31480000000000002</v>
      </c>
      <c r="BQ32" s="58">
        <f t="shared" si="14"/>
        <v>0</v>
      </c>
      <c r="BR32" s="1" t="b">
        <f t="shared" si="15"/>
        <v>0</v>
      </c>
      <c r="BS32" s="76">
        <f t="shared" si="16"/>
        <v>0</v>
      </c>
      <c r="BT32" s="75">
        <f t="shared" si="70"/>
        <v>0</v>
      </c>
      <c r="BU32" s="58">
        <f t="shared" si="18"/>
        <v>0</v>
      </c>
      <c r="BV32" s="1" t="b">
        <f t="shared" si="19"/>
        <v>1</v>
      </c>
      <c r="BW32" s="1">
        <f t="shared" si="20"/>
        <v>404.53879999999998</v>
      </c>
      <c r="BX32" s="75">
        <f t="shared" si="71"/>
        <v>0.37312200000000001</v>
      </c>
      <c r="BY32" s="58">
        <f t="shared" si="22"/>
        <v>233.9</v>
      </c>
      <c r="BZ32" s="58">
        <f t="shared" si="23"/>
        <v>0</v>
      </c>
      <c r="CA32" s="61">
        <v>646</v>
      </c>
      <c r="CB32" s="102">
        <f t="shared" si="24"/>
        <v>0.06</v>
      </c>
      <c r="CC32" s="105">
        <f>IF(CB32&lt;0.06,1,IF(CB32&gt;=18.29,52,MATCH(CB32-0.001,'Weighting Factors'!$W$5:$W$156)+1))</f>
        <v>2</v>
      </c>
      <c r="CD32" s="24">
        <f>VLOOKUP(CC32, 'Weighting Factors'!$U$5:$X$56,4)</f>
        <v>1580</v>
      </c>
      <c r="CE32" s="109">
        <f>('Weighting Factors'!$O$5/'Weighting Factors'!$O$14)</f>
        <v>1.2216</v>
      </c>
      <c r="CF32" s="100">
        <f t="shared" si="25"/>
        <v>61620</v>
      </c>
      <c r="CG32" s="100">
        <f>CF32*'Weighting Factors'!$Q$7</f>
        <v>61620</v>
      </c>
      <c r="CH32" s="100">
        <f t="shared" si="72"/>
        <v>75275</v>
      </c>
      <c r="CI32" s="58">
        <f>AK32/'Weighting Factors'!$O$5</f>
        <v>14.8</v>
      </c>
      <c r="CJ32" s="67">
        <v>0</v>
      </c>
      <c r="CK32" s="80">
        <v>0</v>
      </c>
      <c r="CL32" s="110">
        <v>0</v>
      </c>
      <c r="CM32" s="24">
        <f>SUM((AR32*'Weighting Factors'!$O$5)+'2024 Legal Max'!AX32)*CL32</f>
        <v>0</v>
      </c>
      <c r="CN32" s="24">
        <f t="shared" si="73"/>
        <v>0</v>
      </c>
      <c r="CO32" s="65">
        <f t="shared" si="4"/>
        <v>0.50890000000000002</v>
      </c>
      <c r="CP32" s="58">
        <f t="shared" si="28"/>
        <v>32.9</v>
      </c>
      <c r="CQ32" s="58">
        <f t="shared" si="29"/>
        <v>0</v>
      </c>
      <c r="CR32" s="58">
        <f t="shared" si="30"/>
        <v>1178</v>
      </c>
      <c r="CS32" s="24">
        <f>'Required Transfers'!L32</f>
        <v>247533</v>
      </c>
      <c r="CT32" s="24">
        <f>'Required Transfers'!O32</f>
        <v>35827</v>
      </c>
      <c r="CU32" s="24">
        <f>'Required Transfers'!H32</f>
        <v>938227</v>
      </c>
      <c r="CV32" s="58">
        <f t="shared" si="31"/>
        <v>609.1</v>
      </c>
      <c r="CW32" s="27" t="s">
        <v>217</v>
      </c>
    </row>
    <row r="33" spans="1:101" ht="15" customHeight="1">
      <c r="A33" s="54">
        <v>216</v>
      </c>
      <c r="B33" s="1" t="s">
        <v>16</v>
      </c>
      <c r="C33" s="1" t="s">
        <v>538</v>
      </c>
      <c r="D33" s="58">
        <v>179.5</v>
      </c>
      <c r="E33" s="58"/>
      <c r="F33" s="58">
        <v>0</v>
      </c>
      <c r="G33" s="58">
        <f t="shared" si="32"/>
        <v>179.5</v>
      </c>
      <c r="H33" s="58">
        <v>210.5</v>
      </c>
      <c r="I33" s="58"/>
      <c r="J33" s="58">
        <v>0</v>
      </c>
      <c r="K33" s="58">
        <f t="shared" si="33"/>
        <v>210.5</v>
      </c>
      <c r="L33" s="1">
        <v>216.5</v>
      </c>
      <c r="N33" s="1">
        <v>0</v>
      </c>
      <c r="O33" s="58">
        <f t="shared" si="34"/>
        <v>216.5</v>
      </c>
      <c r="P33" s="58">
        <f>IF(ISNA(VLOOKUP($CW33,'Audit Values'!$A:$BZ,2,FALSE)),'Preliminary SO66'!C32,VLOOKUP($CW33,'Audit Values'!$A:$BZ,76,FALSE))</f>
        <v>228</v>
      </c>
      <c r="Q33" s="58">
        <f>IF(ISNA(VLOOKUP($CW33,'Audit Values'!$A:$BZ,2,FALSE)),'Preliminary SO66'!F32,VLOOKUP($CW33,'Audit Values'!$A:$BZ,4,FALSE))</f>
        <v>0</v>
      </c>
      <c r="R33" s="58">
        <f t="shared" si="61"/>
        <v>228</v>
      </c>
      <c r="S33" s="58">
        <f>IF('Military Provision'!I33="YES", MAX('2024 Legal Max'!O33,'2024 Legal Max'!K33,AVERAGE('2024 Legal Max'!G33,'2024 Legal Max'!K33,'2024 Legal Max'!O33)), MAX(O33, K33))</f>
        <v>216.5</v>
      </c>
      <c r="T33" s="58">
        <f>IF(ISNA(VLOOKUP($CW33,'Audit Values'!$A:$BX,2,FALSE)),'Preliminary SO66'!AL32,VLOOKUP($CW33,'Audit Values'!$A:$BX,59,FALSE))</f>
        <v>7.5</v>
      </c>
      <c r="U33" s="58">
        <f t="shared" si="62"/>
        <v>224</v>
      </c>
      <c r="V33" s="58">
        <f>'Low-High ENRL- 2023 HSubSB 113'!N36</f>
        <v>153.6</v>
      </c>
      <c r="W33" s="58">
        <f>IF(ISNA(VLOOKUP($CW33,'Audit Values'!$A:$BZ,2,FALSE)),'Preliminary SO66'!AM32,VLOOKUP($CW33,'Audit Values'!$A:$BZ,63,FALSE))</f>
        <v>338</v>
      </c>
      <c r="X33" s="58">
        <f>(W33/6)*'Weighting Factors'!$O$7</f>
        <v>22.3</v>
      </c>
      <c r="Y33" s="61">
        <f>IF(ISNA(VLOOKUP($CW33,'Audit Values'!$A:$BZ,2,FALSE)),'Preliminary SO66'!AN32,VLOOKUP($CW33,'Audit Values'!$A:$BZ,62,FALSE))</f>
        <v>84</v>
      </c>
      <c r="Z33" s="58">
        <f>Y33*'Weighting Factors'!$O$8</f>
        <v>15.5</v>
      </c>
      <c r="AA33" s="58">
        <f t="shared" si="63"/>
        <v>22.3</v>
      </c>
      <c r="AB33" s="106">
        <f>IF(ISNA(VLOOKUP($CW33,'Audit Values'!$A:$BZ,2,FALSE)),'Preliminary SO66'!AO32,VLOOKUP($CW33,'Audit Values'!$A:$BZ,61,FALSE))</f>
        <v>58.5</v>
      </c>
      <c r="AC33" s="58">
        <f>AB33/6*'Weighting Factors'!$O$6</f>
        <v>4.9000000000000004</v>
      </c>
      <c r="AD33" s="24">
        <f>IF(ISNA(VLOOKUP($CW33,'Audit Values'!$A:$BX,2,FALSE)),'Preliminary SO66'!AS32,VLOOKUP($CW33,'Audit Values'!$A:$BX,64,FALSE))</f>
        <v>245</v>
      </c>
      <c r="AE33" s="24">
        <f>IF(ISNA(VLOOKUP($CW33,'Audit Values'!$A:$BX,2,FALSE)),'Preliminary SO66'!AP32,VLOOKUP($CW33,'Audit Values'!$A:$BX,65,FALSE))</f>
        <v>145</v>
      </c>
      <c r="AF33" s="58">
        <f>IF(A33=207, AE33,(AE33))*'Weighting Factors'!$O$9</f>
        <v>70.2</v>
      </c>
      <c r="AG33" s="58">
        <f t="shared" si="50"/>
        <v>15.2</v>
      </c>
      <c r="AH33" s="58">
        <f>IF(ISNA(VLOOKUP($CW33,'Audit Values'!$A:$BZ,2,FALSE)),'Preliminary SO66'!AG32,VLOOKUP($CW33,'Audit Values'!$A:$BZ,71,FALSE))</f>
        <v>15.3</v>
      </c>
      <c r="AI33" s="58">
        <f t="shared" si="64"/>
        <v>15.3</v>
      </c>
      <c r="AJ33" s="58">
        <f>IF(ISNA(VLOOKUP($CW33,'Audit Values'!$A:$BX,2,FALSE)),'Preliminary SO66'!AR32,VLOOKUP($CW33,'Audit Values'!$A:$BX,66,FALSE))</f>
        <v>11</v>
      </c>
      <c r="AK33" s="24">
        <f t="shared" si="65"/>
        <v>21769</v>
      </c>
      <c r="AL33" s="58">
        <f>AK33/'Weighting Factors'!$O$5</f>
        <v>4.3</v>
      </c>
      <c r="AM33" s="58">
        <f>CJ33/'Weighting Factors'!$O$5</f>
        <v>0</v>
      </c>
      <c r="AN33" s="58">
        <f>CN33/'Weighting Factors'!$O$5</f>
        <v>0</v>
      </c>
      <c r="AO33" s="24">
        <v>148924</v>
      </c>
      <c r="AP33" s="58">
        <f>AO33/'Weighting Factors'!$O$5</f>
        <v>29.3</v>
      </c>
      <c r="AQ33" s="58">
        <f>IF(ISNA(VLOOKUP($CW33,'Audit Values'!$A:$BX,2,FALSE)),'Preliminary SO66'!X32,VLOOKUP($CW33,'Audit Values'!$A:$BX,48,FALSE))</f>
        <v>0</v>
      </c>
      <c r="AR33" s="58">
        <f t="shared" si="37"/>
        <v>523.9</v>
      </c>
      <c r="AS33" s="58">
        <f t="shared" si="38"/>
        <v>494.6</v>
      </c>
      <c r="AT33" s="58">
        <f>IF(ISNA(VLOOKUP($CW33,'Audit Values'!$A$2:$BX$410,2,FALSE)),'Preliminary SO66'!AA32,VLOOKUP($CW33,'Audit Values'!$A$2:$BX$410,41,FALSE))</f>
        <v>0</v>
      </c>
      <c r="AU33" s="58">
        <f>IF(ISNA(VLOOKUP($CW33,'Audit Values'!$A$2:$BX$410,2,FALSE)),'Preliminary SO66'!AB32,VLOOKUP($CW33,'Audit Values'!$A$2:$BX$410,42,FALSE))</f>
        <v>0</v>
      </c>
      <c r="AV33" s="73">
        <v>0</v>
      </c>
      <c r="AW33" s="73">
        <v>0</v>
      </c>
      <c r="AX33" s="24">
        <f>SUM(AT33*'Weighting Factors'!$R$10)+('2024 Legal Max'!AU33*'Weighting Factors'!$R$11)+('2024 Legal Max'!AV33*'Weighting Factors'!$R$12)+('2024 Legal Max'!AW33*'Weighting Factors'!$R$12)</f>
        <v>0</v>
      </c>
      <c r="AY33" s="54">
        <f>IF(ISNA(VLOOKUP($CW33,'Audit Values'!$A$2:$BX$429,2,FALSE)),"",IF(AND('Weighting Factors'!G33&gt;0,VLOOKUP($CW33,'Audit Values'!$A$2:$BX$429,51,FALSE)&lt;'Weighting Factors'!G33),'Weighting Factors'!G33,VLOOKUP($CW33,'Audit Values'!$A$2:$BX$429,51,FALSE)))</f>
        <v>17</v>
      </c>
      <c r="AZ33" s="54" t="str">
        <f>IF(ISNA(VLOOKUP($CW33,'Audit Values'!$A:$BY,2,FALSE)),"",VLOOKUP($CW33,'Audit Values'!$A:$BY,52,FALSE))</f>
        <v>A</v>
      </c>
      <c r="BA33" s="54" t="str">
        <f>IF('Weighting Factors'!F33="","",IF('Weighting Factors'!H33="Pending","PX","R"))</f>
        <v/>
      </c>
      <c r="BB33" s="60">
        <f>SUM((U33+V33+AA33+AC33+AF33+AI33+AL33+AM33+AQ33+AN33)*'Weighting Factors'!$O$5)+'2024 Legal Max'!AX33</f>
        <v>2516525</v>
      </c>
      <c r="BC33" s="24">
        <f>SUM((AR33+AN33)*'Weighting Factors'!$O$5)+AX33</f>
        <v>2665603</v>
      </c>
      <c r="BD33" s="67">
        <f>IF('Weighting Factors'!F33&gt;0,'Weighting Factors'!F33,'Preliminary SO66'!AV32)</f>
        <v>2688499</v>
      </c>
      <c r="BE33" s="24">
        <f t="shared" si="66"/>
        <v>2665603</v>
      </c>
      <c r="BF33" s="71">
        <f>'Weighting Factors'!E33</f>
        <v>0</v>
      </c>
      <c r="BG33" s="71">
        <f>Transportation!G33</f>
        <v>0</v>
      </c>
      <c r="BH33" s="24">
        <f>IF(ISNA(VLOOKUP($CW33,'Audit Values'!$A:$BW,2,FALSE)), 0, VLOOKUP($CW33,'Audit Values'!$A:$BW,75,FALSE))</f>
        <v>0</v>
      </c>
      <c r="BI33" s="24">
        <f t="shared" si="67"/>
        <v>0</v>
      </c>
      <c r="BJ33" s="24">
        <f t="shared" si="68"/>
        <v>2665603</v>
      </c>
      <c r="BK33" s="24">
        <f>SUM((U33+V33+AA33+AC33+AF33+AI33+AL33+AM33+AN33)*'Weighting Factors'!O$12)+(MAX(AO33,'Weighting Factors'!B33))</f>
        <v>2757036</v>
      </c>
      <c r="BL33" s="78">
        <f>'LOB%'!F31</f>
        <v>0.33</v>
      </c>
      <c r="BM33" s="24">
        <f t="shared" si="12"/>
        <v>909822</v>
      </c>
      <c r="BN33" s="67">
        <v>914417</v>
      </c>
      <c r="BO33" s="24">
        <f t="shared" si="69"/>
        <v>909822</v>
      </c>
      <c r="BP33" s="89">
        <f t="shared" si="13"/>
        <v>0.33</v>
      </c>
      <c r="BQ33" s="58">
        <f t="shared" si="14"/>
        <v>0</v>
      </c>
      <c r="BR33" s="1" t="b">
        <f t="shared" si="15"/>
        <v>1</v>
      </c>
      <c r="BS33" s="76">
        <f t="shared" si="16"/>
        <v>1197.22</v>
      </c>
      <c r="BT33" s="75">
        <f t="shared" si="70"/>
        <v>0.68564099999999994</v>
      </c>
      <c r="BU33" s="58">
        <f t="shared" si="18"/>
        <v>153.6</v>
      </c>
      <c r="BV33" s="1" t="b">
        <f t="shared" si="19"/>
        <v>0</v>
      </c>
      <c r="BW33" s="1">
        <f t="shared" si="20"/>
        <v>0</v>
      </c>
      <c r="BX33" s="75">
        <f t="shared" si="71"/>
        <v>0</v>
      </c>
      <c r="BY33" s="58">
        <f t="shared" si="22"/>
        <v>0</v>
      </c>
      <c r="BZ33" s="58">
        <f t="shared" si="23"/>
        <v>0</v>
      </c>
      <c r="CA33" s="61">
        <v>216</v>
      </c>
      <c r="CB33" s="102">
        <f t="shared" si="24"/>
        <v>5.0999999999999997E-2</v>
      </c>
      <c r="CC33" s="105">
        <f>IF(CB33&lt;0.06,1,IF(CB33&gt;=18.29,52,MATCH(CB33-0.001,'Weighting Factors'!$W$5:$W$156)+1))</f>
        <v>1</v>
      </c>
      <c r="CD33" s="24">
        <f>VLOOKUP(CC33, 'Weighting Factors'!$U$5:$X$56,4)</f>
        <v>1620</v>
      </c>
      <c r="CE33" s="109">
        <f>('Weighting Factors'!$O$5/'Weighting Factors'!$O$14)</f>
        <v>1.2216</v>
      </c>
      <c r="CF33" s="100">
        <f t="shared" si="25"/>
        <v>17820</v>
      </c>
      <c r="CG33" s="100">
        <f>CF33*'Weighting Factors'!$Q$7</f>
        <v>17820</v>
      </c>
      <c r="CH33" s="100">
        <f t="shared" si="72"/>
        <v>21769</v>
      </c>
      <c r="CI33" s="58">
        <f>AK33/'Weighting Factors'!$O$5</f>
        <v>4.3</v>
      </c>
      <c r="CJ33" s="67">
        <v>0</v>
      </c>
      <c r="CK33" s="80">
        <v>0</v>
      </c>
      <c r="CL33" s="110">
        <v>0</v>
      </c>
      <c r="CM33" s="24">
        <f>SUM((AR33*'Weighting Factors'!$O$5)+'2024 Legal Max'!AX33)*CL33</f>
        <v>0</v>
      </c>
      <c r="CN33" s="24">
        <f t="shared" si="73"/>
        <v>0</v>
      </c>
      <c r="CO33" s="65">
        <f t="shared" si="4"/>
        <v>0.59179999999999999</v>
      </c>
      <c r="CP33" s="58">
        <f t="shared" si="28"/>
        <v>15.2</v>
      </c>
      <c r="CQ33" s="58">
        <f t="shared" si="29"/>
        <v>0</v>
      </c>
      <c r="CR33" s="58">
        <f t="shared" si="30"/>
        <v>523.9</v>
      </c>
      <c r="CS33" s="24">
        <f>'Required Transfers'!L33</f>
        <v>123645</v>
      </c>
      <c r="CT33" s="24">
        <f>'Required Transfers'!O33</f>
        <v>39304</v>
      </c>
      <c r="CU33" s="24">
        <f>'Required Transfers'!H33</f>
        <v>435024</v>
      </c>
      <c r="CV33" s="58">
        <f t="shared" si="31"/>
        <v>235.5</v>
      </c>
      <c r="CW33" s="27" t="s">
        <v>218</v>
      </c>
    </row>
    <row r="34" spans="1:101" ht="15" customHeight="1">
      <c r="A34" s="54">
        <v>217</v>
      </c>
      <c r="B34" s="1" t="s">
        <v>17</v>
      </c>
      <c r="C34" s="1" t="s">
        <v>539</v>
      </c>
      <c r="D34" s="58">
        <v>108</v>
      </c>
      <c r="E34" s="58"/>
      <c r="F34" s="58">
        <v>0</v>
      </c>
      <c r="G34" s="58">
        <f t="shared" si="32"/>
        <v>108</v>
      </c>
      <c r="H34" s="58">
        <v>95.5</v>
      </c>
      <c r="I34" s="58"/>
      <c r="J34" s="58">
        <v>0</v>
      </c>
      <c r="K34" s="58">
        <f t="shared" si="33"/>
        <v>95.5</v>
      </c>
      <c r="L34" s="1">
        <v>94</v>
      </c>
      <c r="N34" s="1">
        <v>0</v>
      </c>
      <c r="O34" s="58">
        <f t="shared" si="34"/>
        <v>94</v>
      </c>
      <c r="P34" s="58">
        <f>IF(ISNA(VLOOKUP($CW34,'Audit Values'!$A:$BZ,2,FALSE)),'Preliminary SO66'!C33,VLOOKUP($CW34,'Audit Values'!$A:$BZ,76,FALSE))</f>
        <v>89.5</v>
      </c>
      <c r="Q34" s="58">
        <f>IF(ISNA(VLOOKUP($CW34,'Audit Values'!$A:$BZ,2,FALSE)),'Preliminary SO66'!F33,VLOOKUP($CW34,'Audit Values'!$A:$BZ,4,FALSE))</f>
        <v>0</v>
      </c>
      <c r="R34" s="58">
        <f t="shared" si="61"/>
        <v>89.5</v>
      </c>
      <c r="S34" s="58">
        <f>IF('Military Provision'!I34="YES", MAX('2024 Legal Max'!O34,'2024 Legal Max'!K34,AVERAGE('2024 Legal Max'!G34,'2024 Legal Max'!K34,'2024 Legal Max'!O34)), MAX(O34, K34))</f>
        <v>95.5</v>
      </c>
      <c r="T34" s="58">
        <f>IF(ISNA(VLOOKUP($CW34,'Audit Values'!$A:$BX,2,FALSE)),'Preliminary SO66'!AL33,VLOOKUP($CW34,'Audit Values'!$A:$BX,59,FALSE))</f>
        <v>0</v>
      </c>
      <c r="U34" s="58">
        <f t="shared" si="62"/>
        <v>95.5</v>
      </c>
      <c r="V34" s="58">
        <f>'Low-High ENRL- 2023 HSubSB 113'!N37</f>
        <v>96.9</v>
      </c>
      <c r="W34" s="58">
        <f>IF(ISNA(VLOOKUP($CW34,'Audit Values'!$A:$BZ,2,FALSE)),'Preliminary SO66'!AM33,VLOOKUP($CW34,'Audit Values'!$A:$BZ,63,FALSE))</f>
        <v>75</v>
      </c>
      <c r="X34" s="58">
        <f>(W34/6)*'Weighting Factors'!$O$7</f>
        <v>4.9000000000000004</v>
      </c>
      <c r="Y34" s="61">
        <f>IF(ISNA(VLOOKUP($CW34,'Audit Values'!$A:$BZ,2,FALSE)),'Preliminary SO66'!AN33,VLOOKUP($CW34,'Audit Values'!$A:$BZ,62,FALSE))</f>
        <v>13</v>
      </c>
      <c r="Z34" s="58">
        <f>Y34*'Weighting Factors'!$O$8</f>
        <v>2.4</v>
      </c>
      <c r="AA34" s="58">
        <f t="shared" si="63"/>
        <v>4.9000000000000004</v>
      </c>
      <c r="AB34" s="106">
        <f>IF(ISNA(VLOOKUP($CW34,'Audit Values'!$A:$BZ,2,FALSE)),'Preliminary SO66'!AO33,VLOOKUP($CW34,'Audit Values'!$A:$BZ,61,FALSE))</f>
        <v>34.9</v>
      </c>
      <c r="AC34" s="58">
        <f>AB34/6*'Weighting Factors'!$O$6</f>
        <v>2.9</v>
      </c>
      <c r="AD34" s="24">
        <f>IF(ISNA(VLOOKUP($CW34,'Audit Values'!$A:$BX,2,FALSE)),'Preliminary SO66'!AS33,VLOOKUP($CW34,'Audit Values'!$A:$BX,64,FALSE))</f>
        <v>90</v>
      </c>
      <c r="AE34" s="24">
        <f>IF(ISNA(VLOOKUP($CW34,'Audit Values'!$A:$BX,2,FALSE)),'Preliminary SO66'!AP33,VLOOKUP($CW34,'Audit Values'!$A:$BX,65,FALSE))</f>
        <v>57</v>
      </c>
      <c r="AF34" s="58">
        <f>IF(A34=207, AE34,(AE34))*'Weighting Factors'!$O$9</f>
        <v>27.6</v>
      </c>
      <c r="AG34" s="58">
        <f t="shared" si="50"/>
        <v>6</v>
      </c>
      <c r="AH34" s="58">
        <f>IF(ISNA(VLOOKUP($CW34,'Audit Values'!$A:$BZ,2,FALSE)),'Preliminary SO66'!AG33,VLOOKUP($CW34,'Audit Values'!$A:$BZ,71,FALSE))</f>
        <v>6</v>
      </c>
      <c r="AI34" s="58">
        <f t="shared" si="64"/>
        <v>6</v>
      </c>
      <c r="AJ34" s="58">
        <f>IF(ISNA(VLOOKUP($CW34,'Audit Values'!$A:$BX,2,FALSE)),'Preliminary SO66'!AR33,VLOOKUP($CW34,'Audit Values'!$A:$BX,66,FALSE))</f>
        <v>28</v>
      </c>
      <c r="AK34" s="24">
        <f t="shared" si="65"/>
        <v>48913</v>
      </c>
      <c r="AL34" s="58">
        <f>AK34/'Weighting Factors'!$O$5</f>
        <v>9.6</v>
      </c>
      <c r="AM34" s="58">
        <f>CJ34/'Weighting Factors'!$O$5</f>
        <v>0</v>
      </c>
      <c r="AN34" s="58">
        <f>CN34/'Weighting Factors'!$O$5</f>
        <v>0</v>
      </c>
      <c r="AO34" s="24">
        <v>72766</v>
      </c>
      <c r="AP34" s="58">
        <f>AO34/'Weighting Factors'!$O$5</f>
        <v>14.3</v>
      </c>
      <c r="AQ34" s="58">
        <f>IF(ISNA(VLOOKUP($CW34,'Audit Values'!$A:$BX,2,FALSE)),'Preliminary SO66'!X33,VLOOKUP($CW34,'Audit Values'!$A:$BX,48,FALSE))</f>
        <v>0</v>
      </c>
      <c r="AR34" s="58">
        <f t="shared" si="37"/>
        <v>257.7</v>
      </c>
      <c r="AS34" s="58">
        <f t="shared" si="38"/>
        <v>243.4</v>
      </c>
      <c r="AT34" s="58">
        <f>IF(ISNA(VLOOKUP($CW34,'Audit Values'!$A$2:$BX$410,2,FALSE)),'Preliminary SO66'!AA33,VLOOKUP($CW34,'Audit Values'!$A$2:$BX$410,41,FALSE))</f>
        <v>0</v>
      </c>
      <c r="AU34" s="58">
        <f>IF(ISNA(VLOOKUP($CW34,'Audit Values'!$A$2:$BX$410,2,FALSE)),'Preliminary SO66'!AB33,VLOOKUP($CW34,'Audit Values'!$A$2:$BX$410,42,FALSE))</f>
        <v>0</v>
      </c>
      <c r="AV34" s="73">
        <v>0</v>
      </c>
      <c r="AW34" s="73">
        <v>0</v>
      </c>
      <c r="AX34" s="24">
        <f>SUM(AT34*'Weighting Factors'!$R$10)+('2024 Legal Max'!AU34*'Weighting Factors'!$R$11)+('2024 Legal Max'!AV34*'Weighting Factors'!$R$12)+('2024 Legal Max'!AW34*'Weighting Factors'!$R$12)</f>
        <v>0</v>
      </c>
      <c r="AY34" s="54">
        <f>IF(ISNA(VLOOKUP($CW34,'Audit Values'!$A$2:$BX$429,2,FALSE)),"",IF(AND('Weighting Factors'!G34&gt;0,VLOOKUP($CW34,'Audit Values'!$A$2:$BX$429,51,FALSE)&lt;'Weighting Factors'!G34),'Weighting Factors'!G34,VLOOKUP($CW34,'Audit Values'!$A$2:$BX$429,51,FALSE)))</f>
        <v>6</v>
      </c>
      <c r="AZ34" s="54" t="str">
        <f>IF(ISNA(VLOOKUP($CW34,'Audit Values'!$A:$BY,2,FALSE)),"",VLOOKUP($CW34,'Audit Values'!$A:$BY,52,FALSE))</f>
        <v>A</v>
      </c>
      <c r="BA34" s="54" t="str">
        <f>IF('Weighting Factors'!F34="","",IF('Weighting Factors'!H34="Pending","PX","R"))</f>
        <v/>
      </c>
      <c r="BB34" s="60">
        <f>SUM((U34+V34+AA34+AC34+AF34+AI34+AL34+AM34+AQ34+AN34)*'Weighting Factors'!$O$5)+'2024 Legal Max'!AX34</f>
        <v>1238419</v>
      </c>
      <c r="BC34" s="24">
        <f>SUM((AR34+AN34)*'Weighting Factors'!$O$5)+AX34</f>
        <v>1311178</v>
      </c>
      <c r="BD34" s="67">
        <f>IF('Weighting Factors'!F34&gt;0,'Weighting Factors'!F34,'Preliminary SO66'!AV33)</f>
        <v>1354426</v>
      </c>
      <c r="BE34" s="24">
        <f t="shared" si="66"/>
        <v>1311178</v>
      </c>
      <c r="BF34" s="71">
        <f>'Weighting Factors'!E34</f>
        <v>0</v>
      </c>
      <c r="BG34" s="71">
        <f>Transportation!G34</f>
        <v>0</v>
      </c>
      <c r="BH34" s="24">
        <f>IF(ISNA(VLOOKUP($CW34,'Audit Values'!$A:$BW,2,FALSE)), 0, VLOOKUP($CW34,'Audit Values'!$A:$BW,75,FALSE))</f>
        <v>0</v>
      </c>
      <c r="BI34" s="24">
        <f t="shared" si="67"/>
        <v>0</v>
      </c>
      <c r="BJ34" s="24">
        <f t="shared" si="68"/>
        <v>1311178</v>
      </c>
      <c r="BK34" s="24">
        <f>SUM((U34+V34+AA34+AC34+AF34+AI34+AL34+AM34+AN34)*'Weighting Factors'!O$12)+(MAX(AO34,'Weighting Factors'!B34))</f>
        <v>1401797</v>
      </c>
      <c r="BL34" s="78">
        <f>'LOB%'!F32</f>
        <v>0.33</v>
      </c>
      <c r="BM34" s="24">
        <f t="shared" si="12"/>
        <v>462593</v>
      </c>
      <c r="BN34" s="67">
        <v>471955</v>
      </c>
      <c r="BO34" s="24">
        <f t="shared" si="69"/>
        <v>462593</v>
      </c>
      <c r="BP34" s="89">
        <f t="shared" si="13"/>
        <v>0.33</v>
      </c>
      <c r="BQ34" s="58">
        <f t="shared" si="14"/>
        <v>96.9</v>
      </c>
      <c r="BR34" s="1" t="b">
        <f t="shared" si="15"/>
        <v>0</v>
      </c>
      <c r="BS34" s="76">
        <f t="shared" si="16"/>
        <v>0</v>
      </c>
      <c r="BT34" s="75">
        <f t="shared" si="70"/>
        <v>0</v>
      </c>
      <c r="BU34" s="58">
        <f t="shared" si="18"/>
        <v>0</v>
      </c>
      <c r="BV34" s="1" t="b">
        <f t="shared" si="19"/>
        <v>0</v>
      </c>
      <c r="BW34" s="1">
        <f t="shared" si="20"/>
        <v>0</v>
      </c>
      <c r="BX34" s="75">
        <f t="shared" si="71"/>
        <v>0</v>
      </c>
      <c r="BY34" s="58">
        <f t="shared" si="22"/>
        <v>0</v>
      </c>
      <c r="BZ34" s="58">
        <f t="shared" si="23"/>
        <v>0</v>
      </c>
      <c r="CA34" s="61">
        <v>252</v>
      </c>
      <c r="CB34" s="102">
        <f t="shared" si="24"/>
        <v>0.111</v>
      </c>
      <c r="CC34" s="105">
        <f>IF(CB34&lt;0.06,1,IF(CB34&gt;=18.29,52,MATCH(CB34-0.001,'Weighting Factors'!$W$5:$W$156)+1))</f>
        <v>7</v>
      </c>
      <c r="CD34" s="24">
        <f>VLOOKUP(CC34, 'Weighting Factors'!$U$5:$X$56,4)</f>
        <v>1430</v>
      </c>
      <c r="CE34" s="109">
        <f>('Weighting Factors'!$O$5/'Weighting Factors'!$O$14)</f>
        <v>1.2216</v>
      </c>
      <c r="CF34" s="100">
        <f t="shared" si="25"/>
        <v>40040</v>
      </c>
      <c r="CG34" s="100">
        <f>CF34*'Weighting Factors'!$Q$7</f>
        <v>40040</v>
      </c>
      <c r="CH34" s="100">
        <f t="shared" si="72"/>
        <v>48913</v>
      </c>
      <c r="CI34" s="58">
        <f>AK34/'Weighting Factors'!$O$5</f>
        <v>9.6</v>
      </c>
      <c r="CJ34" s="67">
        <v>0</v>
      </c>
      <c r="CK34" s="80">
        <v>0</v>
      </c>
      <c r="CL34" s="110">
        <v>0</v>
      </c>
      <c r="CM34" s="24">
        <f>SUM((AR34*'Weighting Factors'!$O$5)+'2024 Legal Max'!AX34)*CL34</f>
        <v>0</v>
      </c>
      <c r="CN34" s="24">
        <f t="shared" si="73"/>
        <v>0</v>
      </c>
      <c r="CO34" s="65">
        <f t="shared" si="4"/>
        <v>0.63329999999999997</v>
      </c>
      <c r="CP34" s="58">
        <f t="shared" si="28"/>
        <v>6</v>
      </c>
      <c r="CQ34" s="58">
        <f t="shared" si="29"/>
        <v>0</v>
      </c>
      <c r="CR34" s="58">
        <f t="shared" si="30"/>
        <v>257.7</v>
      </c>
      <c r="CS34" s="24">
        <f>'Required Transfers'!L34</f>
        <v>49544</v>
      </c>
      <c r="CT34" s="24">
        <f>'Required Transfers'!O34</f>
        <v>8789</v>
      </c>
      <c r="CU34" s="24">
        <f>'Required Transfers'!H34</f>
        <v>170957</v>
      </c>
      <c r="CV34" s="58">
        <f t="shared" si="31"/>
        <v>89.5</v>
      </c>
      <c r="CW34" s="27" t="s">
        <v>219</v>
      </c>
    </row>
    <row r="35" spans="1:101" ht="15" customHeight="1">
      <c r="A35" s="54">
        <v>218</v>
      </c>
      <c r="B35" s="1" t="s">
        <v>17</v>
      </c>
      <c r="C35" s="1" t="s">
        <v>540</v>
      </c>
      <c r="D35" s="58">
        <v>389.5</v>
      </c>
      <c r="E35" s="58"/>
      <c r="F35" s="58">
        <v>0</v>
      </c>
      <c r="G35" s="58">
        <f t="shared" si="32"/>
        <v>389.5</v>
      </c>
      <c r="H35" s="58">
        <v>394.5</v>
      </c>
      <c r="I35" s="58"/>
      <c r="J35" s="58">
        <v>0</v>
      </c>
      <c r="K35" s="58">
        <f t="shared" si="33"/>
        <v>394.5</v>
      </c>
      <c r="L35" s="1">
        <v>372</v>
      </c>
      <c r="N35" s="1">
        <v>0</v>
      </c>
      <c r="O35" s="58">
        <f t="shared" si="34"/>
        <v>372</v>
      </c>
      <c r="P35" s="58">
        <f>IF(ISNA(VLOOKUP($CW35,'Audit Values'!$A:$BZ,2,FALSE)),'Preliminary SO66'!C34,VLOOKUP($CW35,'Audit Values'!$A:$BZ,76,FALSE))</f>
        <v>344.4</v>
      </c>
      <c r="Q35" s="58">
        <f>IF(ISNA(VLOOKUP($CW35,'Audit Values'!$A:$BZ,2,FALSE)),'Preliminary SO66'!F34,VLOOKUP($CW35,'Audit Values'!$A:$BZ,4,FALSE))</f>
        <v>0</v>
      </c>
      <c r="R35" s="58">
        <f t="shared" si="61"/>
        <v>344.4</v>
      </c>
      <c r="S35" s="58">
        <f>IF('Military Provision'!I35="YES", MAX('2024 Legal Max'!O35,'2024 Legal Max'!K35,AVERAGE('2024 Legal Max'!G35,'2024 Legal Max'!K35,'2024 Legal Max'!O35)), MAX(O35, K35))</f>
        <v>394.5</v>
      </c>
      <c r="T35" s="58">
        <f>IF(ISNA(VLOOKUP($CW35,'Audit Values'!$A:$BX,2,FALSE)),'Preliminary SO66'!AL34,VLOOKUP($CW35,'Audit Values'!$A:$BX,59,FALSE))</f>
        <v>17.899999999999999</v>
      </c>
      <c r="U35" s="58">
        <f t="shared" si="62"/>
        <v>412.4</v>
      </c>
      <c r="V35" s="58">
        <f>'Low-High ENRL- 2023 HSubSB 113'!N38</f>
        <v>183.9</v>
      </c>
      <c r="W35" s="58">
        <f>IF(ISNA(VLOOKUP($CW35,'Audit Values'!$A:$BZ,2,FALSE)),'Preliminary SO66'!AM34,VLOOKUP($CW35,'Audit Values'!$A:$BZ,63,FALSE))</f>
        <v>243</v>
      </c>
      <c r="X35" s="58">
        <f>(W35/6)*'Weighting Factors'!$O$7</f>
        <v>16</v>
      </c>
      <c r="Y35" s="61">
        <f>IF(ISNA(VLOOKUP($CW35,'Audit Values'!$A:$BZ,2,FALSE)),'Preliminary SO66'!AN34,VLOOKUP($CW35,'Audit Values'!$A:$BZ,62,FALSE))</f>
        <v>68</v>
      </c>
      <c r="Z35" s="58">
        <f>Y35*'Weighting Factors'!$O$8</f>
        <v>12.6</v>
      </c>
      <c r="AA35" s="58">
        <f t="shared" si="63"/>
        <v>16</v>
      </c>
      <c r="AB35" s="106">
        <f>IF(ISNA(VLOOKUP($CW35,'Audit Values'!$A:$BZ,2,FALSE)),'Preliminary SO66'!AO34,VLOOKUP($CW35,'Audit Values'!$A:$BZ,61,FALSE))</f>
        <v>118.3</v>
      </c>
      <c r="AC35" s="58">
        <f>AB35/6*'Weighting Factors'!$O$6</f>
        <v>9.9</v>
      </c>
      <c r="AD35" s="24">
        <f>IF(ISNA(VLOOKUP($CW35,'Audit Values'!$A:$BX,2,FALSE)),'Preliminary SO66'!AS34,VLOOKUP($CW35,'Audit Values'!$A:$BX,64,FALSE))</f>
        <v>394</v>
      </c>
      <c r="AE35" s="24">
        <f>IF(ISNA(VLOOKUP($CW35,'Audit Values'!$A:$BX,2,FALSE)),'Preliminary SO66'!AP34,VLOOKUP($CW35,'Audit Values'!$A:$BX,65,FALSE))</f>
        <v>192</v>
      </c>
      <c r="AF35" s="58">
        <f>IF(A35=207, AE35,(AE35))*'Weighting Factors'!$O$9</f>
        <v>92.9</v>
      </c>
      <c r="AG35" s="58">
        <f t="shared" si="50"/>
        <v>18.5</v>
      </c>
      <c r="AH35" s="58">
        <f>IF(ISNA(VLOOKUP($CW35,'Audit Values'!$A:$BZ,2,FALSE)),'Preliminary SO66'!AG34,VLOOKUP($CW35,'Audit Values'!$A:$BZ,71,FALSE))</f>
        <v>15.9</v>
      </c>
      <c r="AI35" s="58">
        <f t="shared" si="64"/>
        <v>18.5</v>
      </c>
      <c r="AJ35" s="58">
        <f>IF(ISNA(VLOOKUP($CW35,'Audit Values'!$A:$BX,2,FALSE)),'Preliminary SO66'!AR34,VLOOKUP($CW35,'Audit Values'!$A:$BX,66,FALSE))</f>
        <v>19</v>
      </c>
      <c r="AK35" s="24">
        <f t="shared" si="65"/>
        <v>37601</v>
      </c>
      <c r="AL35" s="58">
        <f>AK35/'Weighting Factors'!$O$5</f>
        <v>7.4</v>
      </c>
      <c r="AM35" s="58">
        <f>CJ35/'Weighting Factors'!$O$5</f>
        <v>0</v>
      </c>
      <c r="AN35" s="58">
        <f>CN35/'Weighting Factors'!$O$5</f>
        <v>0</v>
      </c>
      <c r="AO35" s="24">
        <v>258059</v>
      </c>
      <c r="AP35" s="58">
        <f>AO35/'Weighting Factors'!$O$5</f>
        <v>50.7</v>
      </c>
      <c r="AQ35" s="58">
        <f>IF(ISNA(VLOOKUP($CW35,'Audit Values'!$A:$BX,2,FALSE)),'Preliminary SO66'!X34,VLOOKUP($CW35,'Audit Values'!$A:$BX,48,FALSE))</f>
        <v>0</v>
      </c>
      <c r="AR35" s="58">
        <f t="shared" si="37"/>
        <v>791.7</v>
      </c>
      <c r="AS35" s="58">
        <f t="shared" si="38"/>
        <v>741</v>
      </c>
      <c r="AT35" s="58">
        <f>IF(ISNA(VLOOKUP($CW35,'Audit Values'!$A$2:$BX$410,2,FALSE)),'Preliminary SO66'!AA34,VLOOKUP($CW35,'Audit Values'!$A$2:$BX$410,41,FALSE))</f>
        <v>999</v>
      </c>
      <c r="AU35" s="58">
        <f>IF(ISNA(VLOOKUP($CW35,'Audit Values'!$A$2:$BX$410,2,FALSE)),'Preliminary SO66'!AB34,VLOOKUP($CW35,'Audit Values'!$A$2:$BX$410,42,FALSE))</f>
        <v>146.30000000000001</v>
      </c>
      <c r="AV35" s="73">
        <v>0</v>
      </c>
      <c r="AW35" s="73">
        <v>0</v>
      </c>
      <c r="AX35" s="24">
        <f>SUM(AT35*'Weighting Factors'!$R$10)+('2024 Legal Max'!AU35*'Weighting Factors'!$R$11)+('2024 Legal Max'!AV35*'Weighting Factors'!$R$12)+('2024 Legal Max'!AW35*'Weighting Factors'!$R$12)</f>
        <v>6004040</v>
      </c>
      <c r="AY35" s="54">
        <f>IF(ISNA(VLOOKUP($CW35,'Audit Values'!$A$2:$BX$429,2,FALSE)),"",IF(AND('Weighting Factors'!G35&gt;0,VLOOKUP($CW35,'Audit Values'!$A$2:$BX$429,51,FALSE)&lt;'Weighting Factors'!G35),'Weighting Factors'!G35,VLOOKUP($CW35,'Audit Values'!$A$2:$BX$429,51,FALSE)))</f>
        <v>28</v>
      </c>
      <c r="AZ35" s="54" t="str">
        <f>IF(ISNA(VLOOKUP($CW35,'Audit Values'!$A:$BY,2,FALSE)),"",VLOOKUP($CW35,'Audit Values'!$A:$BY,52,FALSE))</f>
        <v>A</v>
      </c>
      <c r="BA35" s="54" t="str">
        <f>IF('Weighting Factors'!F35="","",IF('Weighting Factors'!H35="Pending","PX","R"))</f>
        <v/>
      </c>
      <c r="BB35" s="60">
        <f>SUM((U35+V35+AA35+AC35+AF35+AI35+AL35+AM35+AQ35+AN35)*'Weighting Factors'!$O$5)+'2024 Legal Max'!AX35</f>
        <v>9774248</v>
      </c>
      <c r="BC35" s="24">
        <f>SUM((AR35+AN35)*'Weighting Factors'!$O$5)+AX35</f>
        <v>10032210</v>
      </c>
      <c r="BD35" s="67">
        <f>IF('Weighting Factors'!F35&gt;0,'Weighting Factors'!F35,'Preliminary SO66'!AV34)</f>
        <v>11373376</v>
      </c>
      <c r="BE35" s="24">
        <f t="shared" si="66"/>
        <v>10032210</v>
      </c>
      <c r="BF35" s="71">
        <f>'Weighting Factors'!E35</f>
        <v>0</v>
      </c>
      <c r="BG35" s="71">
        <f>Transportation!G35</f>
        <v>0</v>
      </c>
      <c r="BH35" s="24">
        <f>IF(ISNA(VLOOKUP($CW35,'Audit Values'!$A:$BW,2,FALSE)), 0, VLOOKUP($CW35,'Audit Values'!$A:$BW,75,FALSE))</f>
        <v>-23240</v>
      </c>
      <c r="BI35" s="24">
        <f t="shared" si="67"/>
        <v>-23240</v>
      </c>
      <c r="BJ35" s="24">
        <f t="shared" si="68"/>
        <v>10008970</v>
      </c>
      <c r="BK35" s="24">
        <f>SUM((U35+V35+AA35+AC35+AF35+AI35+AL35+AM35+AN35)*'Weighting Factors'!O$12)+(MAX(AO35,'Weighting Factors'!B35))</f>
        <v>4212867</v>
      </c>
      <c r="BL35" s="78">
        <f>'LOB%'!F33</f>
        <v>0.33</v>
      </c>
      <c r="BM35" s="24">
        <f t="shared" si="12"/>
        <v>1390246</v>
      </c>
      <c r="BN35" s="67">
        <v>1356033</v>
      </c>
      <c r="BO35" s="24">
        <f t="shared" si="69"/>
        <v>1356033</v>
      </c>
      <c r="BP35" s="89">
        <f t="shared" si="13"/>
        <v>0.32190000000000002</v>
      </c>
      <c r="BQ35" s="58">
        <f t="shared" si="14"/>
        <v>0</v>
      </c>
      <c r="BR35" s="1" t="b">
        <f t="shared" si="15"/>
        <v>0</v>
      </c>
      <c r="BS35" s="76">
        <f t="shared" si="16"/>
        <v>0</v>
      </c>
      <c r="BT35" s="75">
        <f t="shared" si="70"/>
        <v>0</v>
      </c>
      <c r="BU35" s="58">
        <f t="shared" si="18"/>
        <v>0</v>
      </c>
      <c r="BV35" s="1" t="b">
        <f t="shared" si="19"/>
        <v>1</v>
      </c>
      <c r="BW35" s="1">
        <f t="shared" si="20"/>
        <v>139.095</v>
      </c>
      <c r="BX35" s="75">
        <f t="shared" si="71"/>
        <v>0.44599899999999998</v>
      </c>
      <c r="BY35" s="58">
        <f t="shared" si="22"/>
        <v>183.9</v>
      </c>
      <c r="BZ35" s="58">
        <f t="shared" si="23"/>
        <v>0</v>
      </c>
      <c r="CA35" s="61">
        <v>376</v>
      </c>
      <c r="CB35" s="102">
        <f t="shared" si="24"/>
        <v>5.0999999999999997E-2</v>
      </c>
      <c r="CC35" s="105">
        <f>IF(CB35&lt;0.06,1,IF(CB35&gt;=18.29,52,MATCH(CB35-0.001,'Weighting Factors'!$W$5:$W$156)+1))</f>
        <v>1</v>
      </c>
      <c r="CD35" s="24">
        <f>VLOOKUP(CC35, 'Weighting Factors'!$U$5:$X$56,4)</f>
        <v>1620</v>
      </c>
      <c r="CE35" s="109">
        <f>('Weighting Factors'!$O$5/'Weighting Factors'!$O$14)</f>
        <v>1.2216</v>
      </c>
      <c r="CF35" s="100">
        <f t="shared" si="25"/>
        <v>30780</v>
      </c>
      <c r="CG35" s="100">
        <f>CF35*'Weighting Factors'!$Q$7</f>
        <v>30780</v>
      </c>
      <c r="CH35" s="100">
        <f t="shared" si="72"/>
        <v>37601</v>
      </c>
      <c r="CI35" s="58">
        <f>AK35/'Weighting Factors'!$O$5</f>
        <v>7.4</v>
      </c>
      <c r="CJ35" s="67">
        <v>0</v>
      </c>
      <c r="CK35" s="80">
        <v>0</v>
      </c>
      <c r="CL35" s="110">
        <v>0</v>
      </c>
      <c r="CM35" s="24">
        <f>SUM((AR35*'Weighting Factors'!$O$5)+'2024 Legal Max'!AX35)*CL35</f>
        <v>0</v>
      </c>
      <c r="CN35" s="24">
        <f t="shared" si="73"/>
        <v>0</v>
      </c>
      <c r="CO35" s="65">
        <f t="shared" si="4"/>
        <v>0.48730000000000001</v>
      </c>
      <c r="CP35" s="58">
        <f t="shared" si="28"/>
        <v>0</v>
      </c>
      <c r="CQ35" s="58">
        <f t="shared" si="29"/>
        <v>18.5</v>
      </c>
      <c r="CR35" s="58">
        <f t="shared" si="30"/>
        <v>791.7</v>
      </c>
      <c r="CS35" s="24">
        <f>'Required Transfers'!L35</f>
        <v>162860</v>
      </c>
      <c r="CT35" s="24">
        <f>'Required Transfers'!O35</f>
        <v>28070</v>
      </c>
      <c r="CU35" s="24">
        <f>'Required Transfers'!H35</f>
        <v>566803</v>
      </c>
      <c r="CV35" s="58">
        <f t="shared" si="31"/>
        <v>1507.6</v>
      </c>
      <c r="CW35" s="27" t="s">
        <v>220</v>
      </c>
    </row>
    <row r="36" spans="1:101" ht="15" customHeight="1">
      <c r="A36" s="54">
        <v>219</v>
      </c>
      <c r="B36" s="1" t="s">
        <v>18</v>
      </c>
      <c r="C36" s="1" t="s">
        <v>541</v>
      </c>
      <c r="D36" s="58">
        <v>247.7</v>
      </c>
      <c r="E36" s="58"/>
      <c r="F36" s="58">
        <v>0</v>
      </c>
      <c r="G36" s="58">
        <f t="shared" si="32"/>
        <v>247.7</v>
      </c>
      <c r="H36" s="58">
        <v>225</v>
      </c>
      <c r="I36" s="58"/>
      <c r="J36" s="58">
        <v>0</v>
      </c>
      <c r="K36" s="58">
        <f t="shared" si="33"/>
        <v>225</v>
      </c>
      <c r="L36" s="1">
        <v>245.5</v>
      </c>
      <c r="N36" s="1">
        <v>0</v>
      </c>
      <c r="O36" s="58">
        <f t="shared" si="34"/>
        <v>245.5</v>
      </c>
      <c r="P36" s="58">
        <f>IF(ISNA(VLOOKUP($CW36,'Audit Values'!$A:$BZ,2,FALSE)),'Preliminary SO66'!C35,VLOOKUP($CW36,'Audit Values'!$A:$BZ,76,FALSE))</f>
        <v>234.5</v>
      </c>
      <c r="Q36" s="58">
        <f>IF(ISNA(VLOOKUP($CW36,'Audit Values'!$A:$BZ,2,FALSE)),'Preliminary SO66'!F35,VLOOKUP($CW36,'Audit Values'!$A:$BZ,4,FALSE))</f>
        <v>0</v>
      </c>
      <c r="R36" s="58">
        <f t="shared" si="61"/>
        <v>234.5</v>
      </c>
      <c r="S36" s="58">
        <f>IF('Military Provision'!I36="YES", MAX('2024 Legal Max'!O36,'2024 Legal Max'!K36,AVERAGE('2024 Legal Max'!G36,'2024 Legal Max'!K36,'2024 Legal Max'!O36)), MAX(O36, K36))</f>
        <v>245.5</v>
      </c>
      <c r="T36" s="58">
        <f>IF(ISNA(VLOOKUP($CW36,'Audit Values'!$A:$BX,2,FALSE)),'Preliminary SO66'!AL35,VLOOKUP($CW36,'Audit Values'!$A:$BX,59,FALSE))</f>
        <v>2</v>
      </c>
      <c r="U36" s="58">
        <f t="shared" si="62"/>
        <v>247.5</v>
      </c>
      <c r="V36" s="58">
        <f>'Low-High ENRL- 2023 HSubSB 113'!N39</f>
        <v>154.30000000000001</v>
      </c>
      <c r="W36" s="58">
        <f>IF(ISNA(VLOOKUP($CW36,'Audit Values'!$A:$BZ,2,FALSE)),'Preliminary SO66'!AM35,VLOOKUP($CW36,'Audit Values'!$A:$BZ,63,FALSE))</f>
        <v>3.7</v>
      </c>
      <c r="X36" s="58">
        <f>(W36/6)*'Weighting Factors'!$O$7</f>
        <v>0.2</v>
      </c>
      <c r="Y36" s="61">
        <f>IF(ISNA(VLOOKUP($CW36,'Audit Values'!$A:$BZ,2,FALSE)),'Preliminary SO66'!AN35,VLOOKUP($CW36,'Audit Values'!$A:$BZ,62,FALSE))</f>
        <v>5</v>
      </c>
      <c r="Z36" s="58">
        <f>Y36*'Weighting Factors'!$O$8</f>
        <v>0.9</v>
      </c>
      <c r="AA36" s="58">
        <f t="shared" si="63"/>
        <v>0.9</v>
      </c>
      <c r="AB36" s="106">
        <f>IF(ISNA(VLOOKUP($CW36,'Audit Values'!$A:$BZ,2,FALSE)),'Preliminary SO66'!AO35,VLOOKUP($CW36,'Audit Values'!$A:$BZ,61,FALSE))</f>
        <v>0</v>
      </c>
      <c r="AC36" s="58">
        <f>AB36/6*'Weighting Factors'!$O$6</f>
        <v>0</v>
      </c>
      <c r="AD36" s="24">
        <f>IF(ISNA(VLOOKUP($CW36,'Audit Values'!$A:$BX,2,FALSE)),'Preliminary SO66'!AS35,VLOOKUP($CW36,'Audit Values'!$A:$BX,64,FALSE))</f>
        <v>239</v>
      </c>
      <c r="AE36" s="24">
        <f>IF(ISNA(VLOOKUP($CW36,'Audit Values'!$A:$BX,2,FALSE)),'Preliminary SO66'!AP35,VLOOKUP($CW36,'Audit Values'!$A:$BX,65,FALSE))</f>
        <v>114</v>
      </c>
      <c r="AF36" s="58">
        <f>IF(A36=207, AE36,(AE36))*'Weighting Factors'!$O$9</f>
        <v>55.2</v>
      </c>
      <c r="AG36" s="58">
        <f t="shared" si="50"/>
        <v>10.1</v>
      </c>
      <c r="AH36" s="58">
        <f>IF(ISNA(VLOOKUP($CW36,'Audit Values'!$A:$BZ,2,FALSE)),'Preliminary SO66'!AG35,VLOOKUP($CW36,'Audit Values'!$A:$BZ,71,FALSE))</f>
        <v>10</v>
      </c>
      <c r="AI36" s="58">
        <f t="shared" si="64"/>
        <v>10.1</v>
      </c>
      <c r="AJ36" s="58">
        <f>IF(ISNA(VLOOKUP($CW36,'Audit Values'!$A:$BX,2,FALSE)),'Preliminary SO66'!AR35,VLOOKUP($CW36,'Audit Values'!$A:$BX,66,FALSE))</f>
        <v>48</v>
      </c>
      <c r="AK36" s="24">
        <f t="shared" si="65"/>
        <v>78573</v>
      </c>
      <c r="AL36" s="58">
        <f>AK36/'Weighting Factors'!$O$5</f>
        <v>15.4</v>
      </c>
      <c r="AM36" s="58">
        <f>CJ36/'Weighting Factors'!$O$5</f>
        <v>0</v>
      </c>
      <c r="AN36" s="58">
        <f>CN36/'Weighting Factors'!$O$5</f>
        <v>0</v>
      </c>
      <c r="AO36" s="24">
        <v>196872</v>
      </c>
      <c r="AP36" s="58">
        <f>AO36/'Weighting Factors'!$O$5</f>
        <v>38.700000000000003</v>
      </c>
      <c r="AQ36" s="58">
        <f>IF(ISNA(VLOOKUP($CW36,'Audit Values'!$A:$BX,2,FALSE)),'Preliminary SO66'!X35,VLOOKUP($CW36,'Audit Values'!$A:$BX,48,FALSE))</f>
        <v>0</v>
      </c>
      <c r="AR36" s="58">
        <f t="shared" si="37"/>
        <v>522.1</v>
      </c>
      <c r="AS36" s="58">
        <f t="shared" si="38"/>
        <v>483.4</v>
      </c>
      <c r="AT36" s="58">
        <f>IF(ISNA(VLOOKUP($CW36,'Audit Values'!$A$2:$BX$410,2,FALSE)),'Preliminary SO66'!AA35,VLOOKUP($CW36,'Audit Values'!$A$2:$BX$410,41,FALSE))</f>
        <v>0</v>
      </c>
      <c r="AU36" s="58">
        <f>IF(ISNA(VLOOKUP($CW36,'Audit Values'!$A$2:$BX$410,2,FALSE)),'Preliminary SO66'!AB35,VLOOKUP($CW36,'Audit Values'!$A$2:$BX$410,42,FALSE))</f>
        <v>0</v>
      </c>
      <c r="AV36" s="73">
        <v>0</v>
      </c>
      <c r="AW36" s="73">
        <v>0</v>
      </c>
      <c r="AX36" s="24">
        <f>SUM(AT36*'Weighting Factors'!$R$10)+('2024 Legal Max'!AU36*'Weighting Factors'!$R$11)+('2024 Legal Max'!AV36*'Weighting Factors'!$R$12)+('2024 Legal Max'!AW36*'Weighting Factors'!$R$12)</f>
        <v>0</v>
      </c>
      <c r="AY36" s="54">
        <f>IF(ISNA(VLOOKUP($CW36,'Audit Values'!$A$2:$BX$429,2,FALSE)),"",IF(AND('Weighting Factors'!G36&gt;0,VLOOKUP($CW36,'Audit Values'!$A$2:$BX$429,51,FALSE)&lt;'Weighting Factors'!G36),'Weighting Factors'!G36,VLOOKUP($CW36,'Audit Values'!$A$2:$BX$429,51,FALSE)))</f>
        <v>14</v>
      </c>
      <c r="AZ36" s="54" t="str">
        <f>IF(ISNA(VLOOKUP($CW36,'Audit Values'!$A:$BY,2,FALSE)),"",VLOOKUP($CW36,'Audit Values'!$A:$BY,52,FALSE))</f>
        <v>A</v>
      </c>
      <c r="BA36" s="54" t="str">
        <f>IF('Weighting Factors'!F36="","",IF('Weighting Factors'!H36="Pending","PX","R"))</f>
        <v/>
      </c>
      <c r="BB36" s="60">
        <f>SUM((U36+V36+AA36+AC36+AF36+AI36+AL36+AM36+AQ36+AN36)*'Weighting Factors'!$O$5)+'2024 Legal Max'!AX36</f>
        <v>2459539</v>
      </c>
      <c r="BC36" s="24">
        <f>SUM((AR36+AN36)*'Weighting Factors'!$O$5)+AX36</f>
        <v>2656445</v>
      </c>
      <c r="BD36" s="67">
        <f>IF('Weighting Factors'!F36&gt;0,'Weighting Factors'!F36,'Preliminary SO66'!AV35)</f>
        <v>2813664</v>
      </c>
      <c r="BE36" s="24">
        <f t="shared" si="66"/>
        <v>2656445</v>
      </c>
      <c r="BF36" s="71">
        <f>'Weighting Factors'!E36</f>
        <v>0</v>
      </c>
      <c r="BG36" s="71">
        <f>Transportation!G36</f>
        <v>0</v>
      </c>
      <c r="BH36" s="24">
        <f>IF(ISNA(VLOOKUP($CW36,'Audit Values'!$A:$BW,2,FALSE)), 0, VLOOKUP($CW36,'Audit Values'!$A:$BW,75,FALSE))</f>
        <v>0</v>
      </c>
      <c r="BI36" s="24">
        <f t="shared" si="67"/>
        <v>0</v>
      </c>
      <c r="BJ36" s="24">
        <f t="shared" si="68"/>
        <v>2656445</v>
      </c>
      <c r="BK36" s="24">
        <f>SUM((U36+V36+AA36+AC36+AF36+AI36+AL36+AM36+AN36)*'Weighting Factors'!O$12)+(MAX(AO36,'Weighting Factors'!B36))</f>
        <v>2741200</v>
      </c>
      <c r="BL36" s="78">
        <f>'LOB%'!F34</f>
        <v>0.316</v>
      </c>
      <c r="BM36" s="24">
        <f t="shared" si="12"/>
        <v>866219</v>
      </c>
      <c r="BN36" s="67">
        <v>871678</v>
      </c>
      <c r="BO36" s="24">
        <f t="shared" si="69"/>
        <v>866219</v>
      </c>
      <c r="BP36" s="89">
        <f t="shared" si="13"/>
        <v>0.316</v>
      </c>
      <c r="BQ36" s="58">
        <f t="shared" si="14"/>
        <v>0</v>
      </c>
      <c r="BR36" s="1" t="b">
        <f t="shared" si="15"/>
        <v>1</v>
      </c>
      <c r="BS36" s="76">
        <f t="shared" si="16"/>
        <v>1424.1130000000001</v>
      </c>
      <c r="BT36" s="75">
        <f t="shared" si="70"/>
        <v>0.62334900000000004</v>
      </c>
      <c r="BU36" s="58">
        <f t="shared" si="18"/>
        <v>154.30000000000001</v>
      </c>
      <c r="BV36" s="1" t="b">
        <f t="shared" si="19"/>
        <v>0</v>
      </c>
      <c r="BW36" s="1">
        <f t="shared" si="20"/>
        <v>0</v>
      </c>
      <c r="BX36" s="75">
        <f t="shared" si="71"/>
        <v>0</v>
      </c>
      <c r="BY36" s="58">
        <f t="shared" si="22"/>
        <v>0</v>
      </c>
      <c r="BZ36" s="58">
        <f t="shared" si="23"/>
        <v>0</v>
      </c>
      <c r="CA36" s="61">
        <v>292</v>
      </c>
      <c r="CB36" s="102">
        <f t="shared" si="24"/>
        <v>0.16400000000000001</v>
      </c>
      <c r="CC36" s="105">
        <f>IF(CB36&lt;0.06,1,IF(CB36&gt;=18.29,52,MATCH(CB36-0.001,'Weighting Factors'!$W$5:$W$156)+1))</f>
        <v>12</v>
      </c>
      <c r="CD36" s="24">
        <f>VLOOKUP(CC36, 'Weighting Factors'!$U$5:$X$56,4)</f>
        <v>1340</v>
      </c>
      <c r="CE36" s="109">
        <f>('Weighting Factors'!$O$5/'Weighting Factors'!$O$14)</f>
        <v>1.2216</v>
      </c>
      <c r="CF36" s="100">
        <f t="shared" si="25"/>
        <v>64320</v>
      </c>
      <c r="CG36" s="100">
        <f>CF36*'Weighting Factors'!$Q$7</f>
        <v>64320</v>
      </c>
      <c r="CH36" s="100">
        <f t="shared" si="72"/>
        <v>78573</v>
      </c>
      <c r="CI36" s="58">
        <f>AK36/'Weighting Factors'!$O$5</f>
        <v>15.4</v>
      </c>
      <c r="CJ36" s="67">
        <v>0</v>
      </c>
      <c r="CK36" s="80">
        <v>0</v>
      </c>
      <c r="CL36" s="110">
        <v>0</v>
      </c>
      <c r="CM36" s="24">
        <f>SUM((AR36*'Weighting Factors'!$O$5)+'2024 Legal Max'!AX36)*CL36</f>
        <v>0</v>
      </c>
      <c r="CN36" s="24">
        <f t="shared" si="73"/>
        <v>0</v>
      </c>
      <c r="CO36" s="65">
        <f t="shared" si="4"/>
        <v>0.47699999999999998</v>
      </c>
      <c r="CP36" s="58">
        <f t="shared" si="28"/>
        <v>0</v>
      </c>
      <c r="CQ36" s="58">
        <f t="shared" si="29"/>
        <v>10.1</v>
      </c>
      <c r="CR36" s="58">
        <f t="shared" si="30"/>
        <v>522.1</v>
      </c>
      <c r="CS36" s="24">
        <f>'Required Transfers'!L36</f>
        <v>91906</v>
      </c>
      <c r="CT36" s="24">
        <f>'Required Transfers'!O36</f>
        <v>1473</v>
      </c>
      <c r="CU36" s="24">
        <f>'Required Transfers'!H36</f>
        <v>332246</v>
      </c>
      <c r="CV36" s="58">
        <f t="shared" si="31"/>
        <v>236.5</v>
      </c>
      <c r="CW36" s="27" t="s">
        <v>221</v>
      </c>
    </row>
    <row r="37" spans="1:101" ht="15" customHeight="1">
      <c r="A37" s="54">
        <v>220</v>
      </c>
      <c r="B37" s="1" t="s">
        <v>18</v>
      </c>
      <c r="C37" s="1" t="s">
        <v>542</v>
      </c>
      <c r="D37" s="58">
        <v>186.1</v>
      </c>
      <c r="E37" s="58"/>
      <c r="F37" s="58">
        <v>0</v>
      </c>
      <c r="G37" s="58">
        <f t="shared" si="32"/>
        <v>186.1</v>
      </c>
      <c r="H37" s="58">
        <v>196.8</v>
      </c>
      <c r="I37" s="58"/>
      <c r="J37" s="58">
        <v>0</v>
      </c>
      <c r="K37" s="58">
        <f t="shared" si="33"/>
        <v>196.8</v>
      </c>
      <c r="L37" s="1">
        <v>186.5</v>
      </c>
      <c r="N37" s="1">
        <v>0</v>
      </c>
      <c r="O37" s="58">
        <f t="shared" si="34"/>
        <v>186.5</v>
      </c>
      <c r="P37" s="58">
        <f>IF(ISNA(VLOOKUP($CW37,'Audit Values'!$A:$BZ,2,FALSE)),'Preliminary SO66'!C36,VLOOKUP($CW37,'Audit Values'!$A:$BZ,76,FALSE))</f>
        <v>192.3</v>
      </c>
      <c r="Q37" s="58">
        <f>IF(ISNA(VLOOKUP($CW37,'Audit Values'!$A:$BZ,2,FALSE)),'Preliminary SO66'!F36,VLOOKUP($CW37,'Audit Values'!$A:$BZ,4,FALSE))</f>
        <v>0</v>
      </c>
      <c r="R37" s="58">
        <f t="shared" si="61"/>
        <v>192.3</v>
      </c>
      <c r="S37" s="58">
        <f>IF('Military Provision'!I37="YES", MAX('2024 Legal Max'!O37,'2024 Legal Max'!K37,AVERAGE('2024 Legal Max'!G37,'2024 Legal Max'!K37,'2024 Legal Max'!O37)), MAX(O37, K37))</f>
        <v>196.8</v>
      </c>
      <c r="T37" s="58">
        <f>IF(ISNA(VLOOKUP($CW37,'Audit Values'!$A:$BX,2,FALSE)),'Preliminary SO66'!AL36,VLOOKUP($CW37,'Audit Values'!$A:$BX,59,FALSE))</f>
        <v>2</v>
      </c>
      <c r="U37" s="58">
        <f t="shared" si="62"/>
        <v>198.8</v>
      </c>
      <c r="V37" s="58">
        <f>'Low-High ENRL- 2023 HSubSB 113'!N40</f>
        <v>149.6</v>
      </c>
      <c r="W37" s="58">
        <f>IF(ISNA(VLOOKUP($CW37,'Audit Values'!$A:$BZ,2,FALSE)),'Preliminary SO66'!AM36,VLOOKUP($CW37,'Audit Values'!$A:$BZ,63,FALSE))</f>
        <v>24.5</v>
      </c>
      <c r="X37" s="58">
        <f>(W37/6)*'Weighting Factors'!$O$7</f>
        <v>1.6</v>
      </c>
      <c r="Y37" s="61">
        <f>IF(ISNA(VLOOKUP($CW37,'Audit Values'!$A:$BZ,2,FALSE)),'Preliminary SO66'!AN36,VLOOKUP($CW37,'Audit Values'!$A:$BZ,62,FALSE))</f>
        <v>15</v>
      </c>
      <c r="Z37" s="58">
        <f>Y37*'Weighting Factors'!$O$8</f>
        <v>2.8</v>
      </c>
      <c r="AA37" s="58">
        <f t="shared" si="63"/>
        <v>2.8</v>
      </c>
      <c r="AB37" s="106">
        <f>IF(ISNA(VLOOKUP($CW37,'Audit Values'!$A:$BZ,2,FALSE)),'Preliminary SO66'!AO36,VLOOKUP($CW37,'Audit Values'!$A:$BZ,61,FALSE))</f>
        <v>56.2</v>
      </c>
      <c r="AC37" s="58">
        <f>AB37/6*'Weighting Factors'!$O$6</f>
        <v>4.7</v>
      </c>
      <c r="AD37" s="24">
        <f>IF(ISNA(VLOOKUP($CW37,'Audit Values'!$A:$BX,2,FALSE)),'Preliminary SO66'!AS36,VLOOKUP($CW37,'Audit Values'!$A:$BX,64,FALSE))</f>
        <v>199</v>
      </c>
      <c r="AE37" s="24">
        <f>IF(ISNA(VLOOKUP($CW37,'Audit Values'!$A:$BX,2,FALSE)),'Preliminary SO66'!AP36,VLOOKUP($CW37,'Audit Values'!$A:$BX,65,FALSE))</f>
        <v>77</v>
      </c>
      <c r="AF37" s="58">
        <f>IF(A37=207, AE37,(AE37))*'Weighting Factors'!$O$9</f>
        <v>37.299999999999997</v>
      </c>
      <c r="AG37" s="58">
        <f t="shared" si="50"/>
        <v>2</v>
      </c>
      <c r="AH37" s="58">
        <f>IF(ISNA(VLOOKUP($CW37,'Audit Values'!$A:$BZ,2,FALSE)),'Preliminary SO66'!AG36,VLOOKUP($CW37,'Audit Values'!$A:$BZ,71,FALSE))</f>
        <v>3.3</v>
      </c>
      <c r="AI37" s="58">
        <f t="shared" si="64"/>
        <v>3.3</v>
      </c>
      <c r="AJ37" s="58">
        <f>IF(ISNA(VLOOKUP($CW37,'Audit Values'!$A:$BX,2,FALSE)),'Preliminary SO66'!AR36,VLOOKUP($CW37,'Audit Values'!$A:$BX,66,FALSE))</f>
        <v>26.5</v>
      </c>
      <c r="AK37" s="24">
        <f t="shared" si="65"/>
        <v>52443</v>
      </c>
      <c r="AL37" s="58">
        <f>AK37/'Weighting Factors'!$O$5</f>
        <v>10.3</v>
      </c>
      <c r="AM37" s="58">
        <f>CJ37/'Weighting Factors'!$O$5</f>
        <v>0</v>
      </c>
      <c r="AN37" s="58">
        <f>CN37/'Weighting Factors'!$O$5</f>
        <v>0</v>
      </c>
      <c r="AO37" s="24">
        <v>157078</v>
      </c>
      <c r="AP37" s="58">
        <f>AO37/'Weighting Factors'!$O$5</f>
        <v>30.9</v>
      </c>
      <c r="AQ37" s="58">
        <f>IF(ISNA(VLOOKUP($CW37,'Audit Values'!$A:$BX,2,FALSE)),'Preliminary SO66'!X36,VLOOKUP($CW37,'Audit Values'!$A:$BX,48,FALSE))</f>
        <v>0</v>
      </c>
      <c r="AR37" s="58">
        <f t="shared" si="37"/>
        <v>437.7</v>
      </c>
      <c r="AS37" s="58">
        <f t="shared" si="38"/>
        <v>406.8</v>
      </c>
      <c r="AT37" s="58">
        <f>IF(ISNA(VLOOKUP($CW37,'Audit Values'!$A$2:$BX$410,2,FALSE)),'Preliminary SO66'!AA36,VLOOKUP($CW37,'Audit Values'!$A$2:$BX$410,41,FALSE))</f>
        <v>0</v>
      </c>
      <c r="AU37" s="58">
        <f>IF(ISNA(VLOOKUP($CW37,'Audit Values'!$A$2:$BX$410,2,FALSE)),'Preliminary SO66'!AB36,VLOOKUP($CW37,'Audit Values'!$A$2:$BX$410,42,FALSE))</f>
        <v>0</v>
      </c>
      <c r="AV37" s="73">
        <v>0</v>
      </c>
      <c r="AW37" s="73">
        <v>0</v>
      </c>
      <c r="AX37" s="24">
        <f>SUM(AT37*'Weighting Factors'!$R$10)+('2024 Legal Max'!AU37*'Weighting Factors'!$R$11)+('2024 Legal Max'!AV37*'Weighting Factors'!$R$12)+('2024 Legal Max'!AW37*'Weighting Factors'!$R$12)</f>
        <v>0</v>
      </c>
      <c r="AY37" s="54">
        <f>IF(ISNA(VLOOKUP($CW37,'Audit Values'!$A$2:$BX$429,2,FALSE)),"",IF(AND('Weighting Factors'!G37&gt;0,VLOOKUP($CW37,'Audit Values'!$A$2:$BX$429,51,FALSE)&lt;'Weighting Factors'!G37),'Weighting Factors'!G37,VLOOKUP($CW37,'Audit Values'!$A$2:$BX$429,51,FALSE)))</f>
        <v>11</v>
      </c>
      <c r="AZ37" s="54" t="str">
        <f>IF(ISNA(VLOOKUP($CW37,'Audit Values'!$A:$BY,2,FALSE)),"",VLOOKUP($CW37,'Audit Values'!$A:$BY,52,FALSE))</f>
        <v>A</v>
      </c>
      <c r="BA37" s="54" t="str">
        <f>IF('Weighting Factors'!F37="","",IF('Weighting Factors'!H37="Pending","PX","R"))</f>
        <v/>
      </c>
      <c r="BB37" s="60">
        <f>SUM((U37+V37+AA37+AC37+AF37+AI37+AL37+AM37+AQ37+AN37)*'Weighting Factors'!$O$5)+'2024 Legal Max'!AX37</f>
        <v>2069798</v>
      </c>
      <c r="BC37" s="24">
        <f>SUM((AR37+AN37)*'Weighting Factors'!$O$5)+AX37</f>
        <v>2227018</v>
      </c>
      <c r="BD37" s="67">
        <f>IF('Weighting Factors'!F37&gt;0,'Weighting Factors'!F37,'Preliminary SO66'!AV36)</f>
        <v>2318602</v>
      </c>
      <c r="BE37" s="24">
        <f t="shared" si="66"/>
        <v>2227018</v>
      </c>
      <c r="BF37" s="71">
        <f>'Weighting Factors'!E37</f>
        <v>0</v>
      </c>
      <c r="BG37" s="71">
        <f>Transportation!G37</f>
        <v>0</v>
      </c>
      <c r="BH37" s="24">
        <f>IF(ISNA(VLOOKUP($CW37,'Audit Values'!$A:$BW,2,FALSE)), 0, VLOOKUP($CW37,'Audit Values'!$A:$BW,75,FALSE))</f>
        <v>0</v>
      </c>
      <c r="BI37" s="24">
        <f t="shared" si="67"/>
        <v>0</v>
      </c>
      <c r="BJ37" s="24">
        <f t="shared" si="68"/>
        <v>2227018</v>
      </c>
      <c r="BK37" s="24">
        <f>SUM((U37+V37+AA37+AC37+AF37+AI37+AL37+AM37+AN37)*'Weighting Factors'!O$12)+(MAX(AO37,'Weighting Factors'!B37))</f>
        <v>2296955</v>
      </c>
      <c r="BL37" s="78">
        <f>'LOB%'!F35</f>
        <v>0.316</v>
      </c>
      <c r="BM37" s="24">
        <f t="shared" si="12"/>
        <v>725838</v>
      </c>
      <c r="BN37" s="67">
        <v>742463</v>
      </c>
      <c r="BO37" s="24">
        <f t="shared" si="69"/>
        <v>725838</v>
      </c>
      <c r="BP37" s="89">
        <f t="shared" si="13"/>
        <v>0.316</v>
      </c>
      <c r="BQ37" s="58">
        <f t="shared" si="14"/>
        <v>0</v>
      </c>
      <c r="BR37" s="1" t="b">
        <f t="shared" si="15"/>
        <v>1</v>
      </c>
      <c r="BS37" s="76">
        <f t="shared" si="16"/>
        <v>953.91399999999999</v>
      </c>
      <c r="BT37" s="75">
        <f t="shared" si="70"/>
        <v>0.75244</v>
      </c>
      <c r="BU37" s="58">
        <f t="shared" si="18"/>
        <v>149.6</v>
      </c>
      <c r="BV37" s="1" t="b">
        <f t="shared" si="19"/>
        <v>0</v>
      </c>
      <c r="BW37" s="1">
        <f t="shared" si="20"/>
        <v>0</v>
      </c>
      <c r="BX37" s="75">
        <f t="shared" si="71"/>
        <v>0</v>
      </c>
      <c r="BY37" s="58">
        <f t="shared" si="22"/>
        <v>0</v>
      </c>
      <c r="BZ37" s="58">
        <f t="shared" si="23"/>
        <v>0</v>
      </c>
      <c r="CA37" s="61">
        <v>660</v>
      </c>
      <c r="CB37" s="102">
        <f t="shared" si="24"/>
        <v>0.04</v>
      </c>
      <c r="CC37" s="105">
        <f>IF(CB37&lt;0.06,1,IF(CB37&gt;=18.29,52,MATCH(CB37-0.001,'Weighting Factors'!$W$5:$W$156)+1))</f>
        <v>1</v>
      </c>
      <c r="CD37" s="24">
        <f>VLOOKUP(CC37, 'Weighting Factors'!$U$5:$X$56,4)</f>
        <v>1620</v>
      </c>
      <c r="CE37" s="109">
        <f>('Weighting Factors'!$O$5/'Weighting Factors'!$O$14)</f>
        <v>1.2216</v>
      </c>
      <c r="CF37" s="100">
        <f t="shared" si="25"/>
        <v>42930</v>
      </c>
      <c r="CG37" s="100">
        <f>CF37*'Weighting Factors'!$Q$7</f>
        <v>42930</v>
      </c>
      <c r="CH37" s="100">
        <f t="shared" si="72"/>
        <v>52443</v>
      </c>
      <c r="CI37" s="58">
        <f>AK37/'Weighting Factors'!$O$5</f>
        <v>10.3</v>
      </c>
      <c r="CJ37" s="67">
        <v>0</v>
      </c>
      <c r="CK37" s="80">
        <v>0</v>
      </c>
      <c r="CL37" s="110">
        <v>0</v>
      </c>
      <c r="CM37" s="24">
        <f>SUM((AR37*'Weighting Factors'!$O$5)+'2024 Legal Max'!AX37)*CL37</f>
        <v>0</v>
      </c>
      <c r="CN37" s="24">
        <f t="shared" si="73"/>
        <v>0</v>
      </c>
      <c r="CO37" s="65">
        <f t="shared" si="4"/>
        <v>0.38690000000000002</v>
      </c>
      <c r="CP37" s="58">
        <f t="shared" si="28"/>
        <v>0</v>
      </c>
      <c r="CQ37" s="58">
        <f t="shared" si="29"/>
        <v>2</v>
      </c>
      <c r="CR37" s="58">
        <f t="shared" si="30"/>
        <v>437.7</v>
      </c>
      <c r="CS37" s="24">
        <f>'Required Transfers'!L37</f>
        <v>62132</v>
      </c>
      <c r="CT37" s="24">
        <f>'Required Transfers'!O37</f>
        <v>4645</v>
      </c>
      <c r="CU37" s="24">
        <f>'Required Transfers'!H37</f>
        <v>206573</v>
      </c>
      <c r="CV37" s="58">
        <f t="shared" si="31"/>
        <v>194.3</v>
      </c>
      <c r="CW37" s="27" t="s">
        <v>222</v>
      </c>
    </row>
    <row r="38" spans="1:101" ht="15" customHeight="1">
      <c r="A38" s="54">
        <v>223</v>
      </c>
      <c r="B38" s="1" t="s">
        <v>19</v>
      </c>
      <c r="C38" s="1" t="s">
        <v>543</v>
      </c>
      <c r="D38" s="58">
        <v>361.1</v>
      </c>
      <c r="E38" s="58">
        <v>2</v>
      </c>
      <c r="F38" s="58">
        <v>0</v>
      </c>
      <c r="G38" s="58">
        <f t="shared" si="32"/>
        <v>359.1</v>
      </c>
      <c r="H38" s="58">
        <v>336.8</v>
      </c>
      <c r="I38" s="58">
        <v>1</v>
      </c>
      <c r="J38" s="58">
        <v>0</v>
      </c>
      <c r="K38" s="58">
        <f t="shared" si="33"/>
        <v>335.8</v>
      </c>
      <c r="L38" s="1">
        <v>357.5</v>
      </c>
      <c r="N38" s="1">
        <v>0</v>
      </c>
      <c r="O38" s="58">
        <f t="shared" si="34"/>
        <v>357.5</v>
      </c>
      <c r="P38" s="58">
        <f>IF(ISNA(VLOOKUP($CW38,'Audit Values'!$A:$BZ,2,FALSE)),'Preliminary SO66'!C37,VLOOKUP($CW38,'Audit Values'!$A:$BZ,76,FALSE))</f>
        <v>366.7</v>
      </c>
      <c r="Q38" s="58">
        <f>IF(ISNA(VLOOKUP($CW38,'Audit Values'!$A:$BZ,2,FALSE)),'Preliminary SO66'!F37,VLOOKUP($CW38,'Audit Values'!$A:$BZ,4,FALSE))</f>
        <v>0</v>
      </c>
      <c r="R38" s="58">
        <f t="shared" si="61"/>
        <v>366.7</v>
      </c>
      <c r="S38" s="58">
        <f>IF('Military Provision'!I38="YES", MAX('2024 Legal Max'!O38,'2024 Legal Max'!K38,AVERAGE('2024 Legal Max'!G38,'2024 Legal Max'!K38,'2024 Legal Max'!O38)), MAX(O38, K38))</f>
        <v>357.5</v>
      </c>
      <c r="T38" s="58">
        <f>IF(ISNA(VLOOKUP($CW38,'Audit Values'!$A:$BX,2,FALSE)),'Preliminary SO66'!AL37,VLOOKUP($CW38,'Audit Values'!$A:$BX,59,FALSE))</f>
        <v>16</v>
      </c>
      <c r="U38" s="58">
        <f t="shared" si="62"/>
        <v>373.5</v>
      </c>
      <c r="V38" s="58">
        <f>'Low-High ENRL- 2023 HSubSB 113'!N41</f>
        <v>171.5</v>
      </c>
      <c r="W38" s="58">
        <f>IF(ISNA(VLOOKUP($CW38,'Audit Values'!$A:$BZ,2,FALSE)),'Preliminary SO66'!AM37,VLOOKUP($CW38,'Audit Values'!$A:$BZ,63,FALSE))</f>
        <v>42.8</v>
      </c>
      <c r="X38" s="58">
        <f>(W38/6)*'Weighting Factors'!$O$7</f>
        <v>2.8</v>
      </c>
      <c r="Y38" s="61">
        <f>IF(ISNA(VLOOKUP($CW38,'Audit Values'!$A:$BZ,2,FALSE)),'Preliminary SO66'!AN37,VLOOKUP($CW38,'Audit Values'!$A:$BZ,62,FALSE))</f>
        <v>26</v>
      </c>
      <c r="Z38" s="58">
        <f>Y38*'Weighting Factors'!$O$8</f>
        <v>4.8</v>
      </c>
      <c r="AA38" s="58">
        <f t="shared" si="63"/>
        <v>4.8</v>
      </c>
      <c r="AB38" s="106">
        <f>IF(ISNA(VLOOKUP($CW38,'Audit Values'!$A:$BZ,2,FALSE)),'Preliminary SO66'!AO37,VLOOKUP($CW38,'Audit Values'!$A:$BZ,61,FALSE))</f>
        <v>144</v>
      </c>
      <c r="AC38" s="58">
        <f>AB38/6*'Weighting Factors'!$O$6</f>
        <v>12</v>
      </c>
      <c r="AD38" s="24">
        <f>IF(ISNA(VLOOKUP($CW38,'Audit Values'!$A:$BX,2,FALSE)),'Preliminary SO66'!AS37,VLOOKUP($CW38,'Audit Values'!$A:$BX,64,FALSE))</f>
        <v>504</v>
      </c>
      <c r="AE38" s="24">
        <f>IF(ISNA(VLOOKUP($CW38,'Audit Values'!$A:$BX,2,FALSE)),'Preliminary SO66'!AP37,VLOOKUP($CW38,'Audit Values'!$A:$BX,65,FALSE))</f>
        <v>110</v>
      </c>
      <c r="AF38" s="58">
        <f>IF(A38=207, AE38,(AE38))*'Weighting Factors'!$O$9</f>
        <v>53.2</v>
      </c>
      <c r="AG38" s="58">
        <f t="shared" si="50"/>
        <v>0</v>
      </c>
      <c r="AH38" s="58">
        <f>IF(ISNA(VLOOKUP($CW38,'Audit Values'!$A:$BZ,2,FALSE)),'Preliminary SO66'!AG37,VLOOKUP($CW38,'Audit Values'!$A:$BZ,71,FALSE))</f>
        <v>0</v>
      </c>
      <c r="AI38" s="58">
        <f t="shared" si="64"/>
        <v>0</v>
      </c>
      <c r="AJ38" s="58">
        <f>IF(ISNA(VLOOKUP($CW38,'Audit Values'!$A:$BX,2,FALSE)),'Preliminary SO66'!AR37,VLOOKUP($CW38,'Audit Values'!$A:$BX,66,FALSE))</f>
        <v>122.3</v>
      </c>
      <c r="AK38" s="24">
        <f t="shared" si="65"/>
        <v>174800</v>
      </c>
      <c r="AL38" s="58">
        <f>AK38/'Weighting Factors'!$O$5</f>
        <v>34.4</v>
      </c>
      <c r="AM38" s="58">
        <f>CJ38/'Weighting Factors'!$O$5</f>
        <v>0</v>
      </c>
      <c r="AN38" s="58">
        <f>CN38/'Weighting Factors'!$O$5</f>
        <v>0</v>
      </c>
      <c r="AO38" s="24">
        <v>420094</v>
      </c>
      <c r="AP38" s="58">
        <f>AO38/'Weighting Factors'!$O$5</f>
        <v>82.6</v>
      </c>
      <c r="AQ38" s="58">
        <f>IF(ISNA(VLOOKUP($CW38,'Audit Values'!$A:$BX,2,FALSE)),'Preliminary SO66'!X37,VLOOKUP($CW38,'Audit Values'!$A:$BX,48,FALSE))</f>
        <v>0</v>
      </c>
      <c r="AR38" s="58">
        <f t="shared" si="37"/>
        <v>732</v>
      </c>
      <c r="AS38" s="58">
        <f t="shared" si="38"/>
        <v>649.4</v>
      </c>
      <c r="AT38" s="58">
        <f>IF(ISNA(VLOOKUP($CW38,'Audit Values'!$A$2:$BX$410,2,FALSE)),'Preliminary SO66'!AA37,VLOOKUP($CW38,'Audit Values'!$A$2:$BX$410,41,FALSE))</f>
        <v>0</v>
      </c>
      <c r="AU38" s="58">
        <f>IF(ISNA(VLOOKUP($CW38,'Audit Values'!$A$2:$BX$410,2,FALSE)),'Preliminary SO66'!AB37,VLOOKUP($CW38,'Audit Values'!$A$2:$BX$410,42,FALSE))</f>
        <v>0</v>
      </c>
      <c r="AV38" s="73">
        <v>0</v>
      </c>
      <c r="AW38" s="73">
        <v>0</v>
      </c>
      <c r="AX38" s="24">
        <f>SUM(AT38*'Weighting Factors'!$R$10)+('2024 Legal Max'!AU38*'Weighting Factors'!$R$11)+('2024 Legal Max'!AV38*'Weighting Factors'!$R$12)+('2024 Legal Max'!AW38*'Weighting Factors'!$R$12)</f>
        <v>0</v>
      </c>
      <c r="AY38" s="54">
        <f>IF(ISNA(VLOOKUP($CW38,'Audit Values'!$A$2:$BX$429,2,FALSE)),"",IF(AND('Weighting Factors'!G38&gt;0,VLOOKUP($CW38,'Audit Values'!$A$2:$BX$429,51,FALSE)&lt;'Weighting Factors'!G38),'Weighting Factors'!G38,VLOOKUP($CW38,'Audit Values'!$A$2:$BX$429,51,FALSE)))</f>
        <v>16</v>
      </c>
      <c r="AZ38" s="54" t="str">
        <f>IF(ISNA(VLOOKUP($CW38,'Audit Values'!$A:$BY,2,FALSE)),"",VLOOKUP($CW38,'Audit Values'!$A:$BY,52,FALSE))</f>
        <v>A</v>
      </c>
      <c r="BA38" s="54" t="str">
        <f>IF('Weighting Factors'!F38="","",IF('Weighting Factors'!H38="Pending","PX","R"))</f>
        <v/>
      </c>
      <c r="BB38" s="60">
        <f>SUM((U38+V38+AA38+AC38+AF38+AI38+AL38+AM38+AQ38+AN38)*'Weighting Factors'!$O$5)+'2024 Legal Max'!AX38</f>
        <v>3304147</v>
      </c>
      <c r="BC38" s="24">
        <f>SUM((AR38+AN38)*'Weighting Factors'!$O$5)+AX38</f>
        <v>3724416</v>
      </c>
      <c r="BD38" s="67">
        <f>IF('Weighting Factors'!F38&gt;0,'Weighting Factors'!F38,'Preliminary SO66'!AV37)</f>
        <v>3807350</v>
      </c>
      <c r="BE38" s="24">
        <f t="shared" si="66"/>
        <v>3724416</v>
      </c>
      <c r="BF38" s="71">
        <f>'Weighting Factors'!E38</f>
        <v>0</v>
      </c>
      <c r="BG38" s="71">
        <f>Transportation!G38</f>
        <v>0</v>
      </c>
      <c r="BH38" s="24">
        <f>IF(ISNA(VLOOKUP($CW38,'Audit Values'!$A:$BW,2,FALSE)), 0, VLOOKUP($CW38,'Audit Values'!$A:$BW,75,FALSE))</f>
        <v>0</v>
      </c>
      <c r="BI38" s="24">
        <f t="shared" si="67"/>
        <v>0</v>
      </c>
      <c r="BJ38" s="24">
        <f t="shared" si="68"/>
        <v>3724416</v>
      </c>
      <c r="BK38" s="24">
        <f>SUM((U38+V38+AA38+AC38+AF38+AI38+AL38+AM38+AN38)*'Weighting Factors'!O$12)+(MAX(AO38,'Weighting Factors'!B38))</f>
        <v>3776764</v>
      </c>
      <c r="BL38" s="78">
        <f>'LOB%'!F36</f>
        <v>0.33</v>
      </c>
      <c r="BM38" s="24">
        <f t="shared" si="12"/>
        <v>1246332</v>
      </c>
      <c r="BN38" s="67">
        <v>1271449</v>
      </c>
      <c r="BO38" s="24">
        <f t="shared" si="69"/>
        <v>1246332</v>
      </c>
      <c r="BP38" s="89">
        <f t="shared" si="13"/>
        <v>0.33</v>
      </c>
      <c r="BQ38" s="58">
        <f t="shared" si="14"/>
        <v>0</v>
      </c>
      <c r="BR38" s="1" t="b">
        <f t="shared" si="15"/>
        <v>0</v>
      </c>
      <c r="BS38" s="76">
        <f t="shared" si="16"/>
        <v>0</v>
      </c>
      <c r="BT38" s="75">
        <f t="shared" si="70"/>
        <v>0</v>
      </c>
      <c r="BU38" s="58">
        <f t="shared" si="18"/>
        <v>0</v>
      </c>
      <c r="BV38" s="1" t="b">
        <f t="shared" si="19"/>
        <v>1</v>
      </c>
      <c r="BW38" s="1">
        <f t="shared" si="20"/>
        <v>90.956299999999999</v>
      </c>
      <c r="BX38" s="75">
        <f t="shared" si="71"/>
        <v>0.45921499999999998</v>
      </c>
      <c r="BY38" s="58">
        <f t="shared" si="22"/>
        <v>171.5</v>
      </c>
      <c r="BZ38" s="58">
        <f t="shared" si="23"/>
        <v>0</v>
      </c>
      <c r="CA38" s="61">
        <v>378</v>
      </c>
      <c r="CB38" s="102">
        <f t="shared" si="24"/>
        <v>0.32400000000000001</v>
      </c>
      <c r="CC38" s="105">
        <f>IF(CB38&lt;0.06,1,IF(CB38&gt;=18.29,52,MATCH(CB38-0.001,'Weighting Factors'!$W$5:$W$156)+1))</f>
        <v>21</v>
      </c>
      <c r="CD38" s="24">
        <f>VLOOKUP(CC38, 'Weighting Factors'!$U$5:$X$56,4)</f>
        <v>1170</v>
      </c>
      <c r="CE38" s="109">
        <f>('Weighting Factors'!$O$5/'Weighting Factors'!$O$14)</f>
        <v>1.2216</v>
      </c>
      <c r="CF38" s="100">
        <f t="shared" si="25"/>
        <v>143091</v>
      </c>
      <c r="CG38" s="100">
        <f>CF38*'Weighting Factors'!$Q$7</f>
        <v>143091</v>
      </c>
      <c r="CH38" s="100">
        <f t="shared" si="72"/>
        <v>174800</v>
      </c>
      <c r="CI38" s="58">
        <f>AK38/'Weighting Factors'!$O$5</f>
        <v>34.4</v>
      </c>
      <c r="CJ38" s="67">
        <v>0</v>
      </c>
      <c r="CK38" s="80">
        <v>0</v>
      </c>
      <c r="CL38" s="110">
        <v>0</v>
      </c>
      <c r="CM38" s="24">
        <f>SUM((AR38*'Weighting Factors'!$O$5)+'2024 Legal Max'!AX38)*CL38</f>
        <v>0</v>
      </c>
      <c r="CN38" s="24">
        <f t="shared" si="73"/>
        <v>0</v>
      </c>
      <c r="CO38" s="65">
        <f t="shared" si="4"/>
        <v>0.21829999999999999</v>
      </c>
      <c r="CP38" s="58">
        <f t="shared" si="28"/>
        <v>0</v>
      </c>
      <c r="CQ38" s="58">
        <f t="shared" si="29"/>
        <v>0</v>
      </c>
      <c r="CR38" s="58">
        <f t="shared" si="30"/>
        <v>732</v>
      </c>
      <c r="CS38" s="24">
        <f>'Required Transfers'!L38</f>
        <v>92602</v>
      </c>
      <c r="CT38" s="24">
        <f>'Required Transfers'!O38</f>
        <v>8350</v>
      </c>
      <c r="CU38" s="24">
        <f>'Required Transfers'!H38</f>
        <v>270682</v>
      </c>
      <c r="CV38" s="58">
        <f t="shared" si="31"/>
        <v>382.7</v>
      </c>
      <c r="CW38" s="27" t="s">
        <v>223</v>
      </c>
    </row>
    <row r="39" spans="1:101" ht="15" customHeight="1">
      <c r="A39" s="54">
        <v>224</v>
      </c>
      <c r="B39" s="1" t="s">
        <v>19</v>
      </c>
      <c r="C39" s="1" t="s">
        <v>544</v>
      </c>
      <c r="D39" s="58">
        <v>289.8</v>
      </c>
      <c r="E39" s="58"/>
      <c r="F39" s="58">
        <v>0</v>
      </c>
      <c r="G39" s="58">
        <f t="shared" si="32"/>
        <v>289.8</v>
      </c>
      <c r="H39" s="58">
        <v>281</v>
      </c>
      <c r="I39" s="58"/>
      <c r="J39" s="58">
        <v>0</v>
      </c>
      <c r="K39" s="58">
        <f t="shared" si="33"/>
        <v>281</v>
      </c>
      <c r="L39" s="1">
        <v>292.2</v>
      </c>
      <c r="N39" s="1">
        <v>0</v>
      </c>
      <c r="O39" s="58">
        <f t="shared" si="34"/>
        <v>292.2</v>
      </c>
      <c r="P39" s="58">
        <f>IF(ISNA(VLOOKUP($CW39,'Audit Values'!$A:$BZ,2,FALSE)),'Preliminary SO66'!C38,VLOOKUP($CW39,'Audit Values'!$A:$BZ,76,FALSE))</f>
        <v>293.10000000000002</v>
      </c>
      <c r="Q39" s="58">
        <f>IF(ISNA(VLOOKUP($CW39,'Audit Values'!$A:$BZ,2,FALSE)),'Preliminary SO66'!F38,VLOOKUP($CW39,'Audit Values'!$A:$BZ,4,FALSE))</f>
        <v>0</v>
      </c>
      <c r="R39" s="58">
        <f t="shared" si="61"/>
        <v>293.10000000000002</v>
      </c>
      <c r="S39" s="58">
        <f>IF('Military Provision'!I39="YES", MAX('2024 Legal Max'!O39,'2024 Legal Max'!K39,AVERAGE('2024 Legal Max'!G39,'2024 Legal Max'!K39,'2024 Legal Max'!O39)), MAX(O39, K39))</f>
        <v>292.2</v>
      </c>
      <c r="T39" s="58">
        <f>IF(ISNA(VLOOKUP($CW39,'Audit Values'!$A:$BX,2,FALSE)),'Preliminary SO66'!AL38,VLOOKUP($CW39,'Audit Values'!$A:$BX,59,FALSE))</f>
        <v>3</v>
      </c>
      <c r="U39" s="58">
        <f t="shared" si="62"/>
        <v>295.2</v>
      </c>
      <c r="V39" s="58">
        <f>'Low-High ENRL- 2023 HSubSB 113'!N42</f>
        <v>146.69999999999999</v>
      </c>
      <c r="W39" s="58">
        <f>IF(ISNA(VLOOKUP($CW39,'Audit Values'!$A:$BZ,2,FALSE)),'Preliminary SO66'!AM38,VLOOKUP($CW39,'Audit Values'!$A:$BZ,63,FALSE))</f>
        <v>4.5</v>
      </c>
      <c r="X39" s="58">
        <f>(W39/6)*'Weighting Factors'!$O$7</f>
        <v>0.3</v>
      </c>
      <c r="Y39" s="61">
        <f>IF(ISNA(VLOOKUP($CW39,'Audit Values'!$A:$BZ,2,FALSE)),'Preliminary SO66'!AN38,VLOOKUP($CW39,'Audit Values'!$A:$BZ,62,FALSE))</f>
        <v>5</v>
      </c>
      <c r="Z39" s="58">
        <f>Y39*'Weighting Factors'!$O$8</f>
        <v>0.9</v>
      </c>
      <c r="AA39" s="58">
        <f t="shared" si="63"/>
        <v>0.9</v>
      </c>
      <c r="AB39" s="106">
        <f>IF(ISNA(VLOOKUP($CW39,'Audit Values'!$A:$BZ,2,FALSE)),'Preliminary SO66'!AO38,VLOOKUP($CW39,'Audit Values'!$A:$BZ,61,FALSE))</f>
        <v>144.69999999999999</v>
      </c>
      <c r="AC39" s="58">
        <f>AB39/6*'Weighting Factors'!$O$6</f>
        <v>12.1</v>
      </c>
      <c r="AD39" s="24">
        <f>IF(ISNA(VLOOKUP($CW39,'Audit Values'!$A:$BX,2,FALSE)),'Preliminary SO66'!AS38,VLOOKUP($CW39,'Audit Values'!$A:$BX,64,FALSE))</f>
        <v>302</v>
      </c>
      <c r="AE39" s="24">
        <f>IF(ISNA(VLOOKUP($CW39,'Audit Values'!$A:$BX,2,FALSE)),'Preliminary SO66'!AP38,VLOOKUP($CW39,'Audit Values'!$A:$BX,65,FALSE))</f>
        <v>86</v>
      </c>
      <c r="AF39" s="58">
        <f>IF(A39=207, AE39,(AE39))*'Weighting Factors'!$O$9</f>
        <v>41.6</v>
      </c>
      <c r="AG39" s="58">
        <f t="shared" si="50"/>
        <v>0</v>
      </c>
      <c r="AH39" s="58">
        <f>IF(ISNA(VLOOKUP($CW39,'Audit Values'!$A:$BZ,2,FALSE)),'Preliminary SO66'!AG38,VLOOKUP($CW39,'Audit Values'!$A:$BZ,71,FALSE))</f>
        <v>0</v>
      </c>
      <c r="AI39" s="58">
        <f t="shared" si="64"/>
        <v>0</v>
      </c>
      <c r="AJ39" s="58">
        <f>IF(ISNA(VLOOKUP($CW39,'Audit Values'!$A:$BX,2,FALSE)),'Preliminary SO66'!AR38,VLOOKUP($CW39,'Audit Values'!$A:$BX,66,FALSE))</f>
        <v>160</v>
      </c>
      <c r="AK39" s="24">
        <f t="shared" si="65"/>
        <v>205229</v>
      </c>
      <c r="AL39" s="58">
        <f>AK39/'Weighting Factors'!$O$5</f>
        <v>40.299999999999997</v>
      </c>
      <c r="AM39" s="58">
        <f>CJ39/'Weighting Factors'!$O$5</f>
        <v>0</v>
      </c>
      <c r="AN39" s="58">
        <f>CN39/'Weighting Factors'!$O$5</f>
        <v>0</v>
      </c>
      <c r="AO39" s="24">
        <v>306632</v>
      </c>
      <c r="AP39" s="58">
        <f>AO39/'Weighting Factors'!$O$5</f>
        <v>60.3</v>
      </c>
      <c r="AQ39" s="58">
        <f>IF(ISNA(VLOOKUP($CW39,'Audit Values'!$A:$BX,2,FALSE)),'Preliminary SO66'!X38,VLOOKUP($CW39,'Audit Values'!$A:$BX,48,FALSE))</f>
        <v>0</v>
      </c>
      <c r="AR39" s="58">
        <f t="shared" si="37"/>
        <v>597.1</v>
      </c>
      <c r="AS39" s="58">
        <f t="shared" si="38"/>
        <v>536.79999999999995</v>
      </c>
      <c r="AT39" s="58">
        <f>IF(ISNA(VLOOKUP($CW39,'Audit Values'!$A$2:$BX$410,2,FALSE)),'Preliminary SO66'!AA38,VLOOKUP($CW39,'Audit Values'!$A$2:$BX$410,41,FALSE))</f>
        <v>0</v>
      </c>
      <c r="AU39" s="58">
        <f>IF(ISNA(VLOOKUP($CW39,'Audit Values'!$A$2:$BX$410,2,FALSE)),'Preliminary SO66'!AB38,VLOOKUP($CW39,'Audit Values'!$A$2:$BX$410,42,FALSE))</f>
        <v>0</v>
      </c>
      <c r="AV39" s="73">
        <v>0</v>
      </c>
      <c r="AW39" s="73">
        <v>0</v>
      </c>
      <c r="AX39" s="24">
        <f>SUM(AT39*'Weighting Factors'!$R$10)+('2024 Legal Max'!AU39*'Weighting Factors'!$R$11)+('2024 Legal Max'!AV39*'Weighting Factors'!$R$12)+('2024 Legal Max'!AW39*'Weighting Factors'!$R$12)</f>
        <v>0</v>
      </c>
      <c r="AY39" s="54">
        <f>IF(ISNA(VLOOKUP($CW39,'Audit Values'!$A$2:$BX$429,2,FALSE)),"",IF(AND('Weighting Factors'!G39&gt;0,VLOOKUP($CW39,'Audit Values'!$A$2:$BX$429,51,FALSE)&lt;'Weighting Factors'!G39),'Weighting Factors'!G39,VLOOKUP($CW39,'Audit Values'!$A$2:$BX$429,51,FALSE)))</f>
        <v>17</v>
      </c>
      <c r="AZ39" s="54" t="str">
        <f>IF(ISNA(VLOOKUP($CW39,'Audit Values'!$A:$BY,2,FALSE)),"",VLOOKUP($CW39,'Audit Values'!$A:$BY,52,FALSE))</f>
        <v>A</v>
      </c>
      <c r="BA39" s="54" t="str">
        <f>IF('Weighting Factors'!F39="","",IF('Weighting Factors'!H39="Pending","PX","R"))</f>
        <v>R</v>
      </c>
      <c r="BB39" s="60">
        <f>SUM((U39+V39+AA39+AC39+AF39+AI39+AL39+AM39+AQ39+AN39)*'Weighting Factors'!$O$5)+'2024 Legal Max'!AX39</f>
        <v>2731238</v>
      </c>
      <c r="BC39" s="24">
        <f>SUM((AR39+AN39)*'Weighting Factors'!$O$5)+AX39</f>
        <v>3038045</v>
      </c>
      <c r="BD39" s="67">
        <f>IF('Weighting Factors'!F39&gt;0,'Weighting Factors'!F39,'Preliminary SO66'!AV38)</f>
        <v>3074170</v>
      </c>
      <c r="BE39" s="24">
        <f t="shared" si="66"/>
        <v>3038045</v>
      </c>
      <c r="BF39" s="71">
        <f>'Weighting Factors'!E39</f>
        <v>0</v>
      </c>
      <c r="BG39" s="71">
        <f>Transportation!G39</f>
        <v>0</v>
      </c>
      <c r="BH39" s="24">
        <f>IF(ISNA(VLOOKUP($CW39,'Audit Values'!$A:$BW,2,FALSE)), 0, VLOOKUP($CW39,'Audit Values'!$A:$BW,75,FALSE))</f>
        <v>0</v>
      </c>
      <c r="BI39" s="24">
        <f t="shared" si="67"/>
        <v>0</v>
      </c>
      <c r="BJ39" s="24">
        <f t="shared" si="68"/>
        <v>3038045</v>
      </c>
      <c r="BK39" s="24">
        <f>SUM((U39+V39+AA39+AC39+AF39+AI39+AL39+AM39+AN39)*'Weighting Factors'!O$12)+(MAX(AO39,'Weighting Factors'!B39))</f>
        <v>3116672</v>
      </c>
      <c r="BL39" s="78">
        <f>'LOB%'!F37</f>
        <v>0.316</v>
      </c>
      <c r="BM39" s="24">
        <f t="shared" si="12"/>
        <v>984868</v>
      </c>
      <c r="BN39" s="67">
        <v>979001</v>
      </c>
      <c r="BO39" s="24">
        <f t="shared" si="69"/>
        <v>979001</v>
      </c>
      <c r="BP39" s="89">
        <f t="shared" si="13"/>
        <v>0.31409999999999999</v>
      </c>
      <c r="BQ39" s="58">
        <f t="shared" si="14"/>
        <v>0</v>
      </c>
      <c r="BR39" s="1" t="b">
        <f t="shared" si="15"/>
        <v>1</v>
      </c>
      <c r="BS39" s="76">
        <f t="shared" si="16"/>
        <v>1884.6559999999999</v>
      </c>
      <c r="BT39" s="75">
        <f t="shared" si="70"/>
        <v>0.49691000000000002</v>
      </c>
      <c r="BU39" s="58">
        <f t="shared" si="18"/>
        <v>146.69999999999999</v>
      </c>
      <c r="BV39" s="1" t="b">
        <f t="shared" si="19"/>
        <v>0</v>
      </c>
      <c r="BW39" s="1">
        <f t="shared" si="20"/>
        <v>0</v>
      </c>
      <c r="BX39" s="75">
        <f t="shared" si="71"/>
        <v>0</v>
      </c>
      <c r="BY39" s="58">
        <f t="shared" si="22"/>
        <v>0</v>
      </c>
      <c r="BZ39" s="58">
        <f t="shared" si="23"/>
        <v>0</v>
      </c>
      <c r="CA39" s="61">
        <v>255</v>
      </c>
      <c r="CB39" s="102">
        <f t="shared" si="24"/>
        <v>0.627</v>
      </c>
      <c r="CC39" s="105">
        <f>IF(CB39&lt;0.06,1,IF(CB39&gt;=18.29,52,MATCH(CB39-0.001,'Weighting Factors'!$W$5:$W$156)+1))</f>
        <v>27</v>
      </c>
      <c r="CD39" s="24">
        <f>VLOOKUP(CC39, 'Weighting Factors'!$U$5:$X$56,4)</f>
        <v>1050</v>
      </c>
      <c r="CE39" s="109">
        <f>('Weighting Factors'!$O$5/'Weighting Factors'!$O$14)</f>
        <v>1.2216</v>
      </c>
      <c r="CF39" s="100">
        <f t="shared" si="25"/>
        <v>168000</v>
      </c>
      <c r="CG39" s="100">
        <f>CF39*'Weighting Factors'!$Q$7</f>
        <v>168000</v>
      </c>
      <c r="CH39" s="100">
        <f t="shared" si="72"/>
        <v>205229</v>
      </c>
      <c r="CI39" s="58">
        <f>AK39/'Weighting Factors'!$O$5</f>
        <v>40.299999999999997</v>
      </c>
      <c r="CJ39" s="67">
        <v>0</v>
      </c>
      <c r="CK39" s="80">
        <v>0</v>
      </c>
      <c r="CL39" s="110">
        <v>0</v>
      </c>
      <c r="CM39" s="24">
        <f>SUM((AR39*'Weighting Factors'!$O$5)+'2024 Legal Max'!AX39)*CL39</f>
        <v>0</v>
      </c>
      <c r="CN39" s="24">
        <f t="shared" si="73"/>
        <v>0</v>
      </c>
      <c r="CO39" s="65">
        <f t="shared" si="4"/>
        <v>0.2848</v>
      </c>
      <c r="CP39" s="58">
        <f t="shared" si="28"/>
        <v>0</v>
      </c>
      <c r="CQ39" s="58">
        <f t="shared" si="29"/>
        <v>0</v>
      </c>
      <c r="CR39" s="58">
        <f t="shared" si="30"/>
        <v>597.1</v>
      </c>
      <c r="CS39" s="24">
        <f>'Required Transfers'!L39</f>
        <v>68530</v>
      </c>
      <c r="CT39" s="24">
        <f>'Required Transfers'!O39</f>
        <v>1469</v>
      </c>
      <c r="CU39" s="24">
        <f>'Required Transfers'!H39</f>
        <v>211661</v>
      </c>
      <c r="CV39" s="58">
        <f t="shared" si="31"/>
        <v>296.10000000000002</v>
      </c>
      <c r="CW39" s="27" t="s">
        <v>224</v>
      </c>
    </row>
    <row r="40" spans="1:101" ht="15" customHeight="1">
      <c r="A40" s="54">
        <v>225</v>
      </c>
      <c r="B40" s="1" t="s">
        <v>20</v>
      </c>
      <c r="C40" s="1" t="s">
        <v>545</v>
      </c>
      <c r="D40" s="58">
        <v>117</v>
      </c>
      <c r="E40" s="58"/>
      <c r="F40" s="58">
        <v>0</v>
      </c>
      <c r="G40" s="58">
        <f t="shared" si="32"/>
        <v>117</v>
      </c>
      <c r="H40" s="58">
        <v>96</v>
      </c>
      <c r="I40" s="58"/>
      <c r="J40" s="58">
        <v>0</v>
      </c>
      <c r="K40" s="58">
        <f t="shared" si="33"/>
        <v>96</v>
      </c>
      <c r="L40" s="1">
        <v>66</v>
      </c>
      <c r="N40" s="1">
        <v>0</v>
      </c>
      <c r="O40" s="58">
        <f t="shared" si="34"/>
        <v>66</v>
      </c>
      <c r="P40" s="58">
        <f>IF(ISNA(VLOOKUP($CW40,'Audit Values'!$A:$BZ,2,FALSE)),'Preliminary SO66'!C39,VLOOKUP($CW40,'Audit Values'!$A:$BZ,76,FALSE))</f>
        <v>69.7</v>
      </c>
      <c r="Q40" s="58">
        <f>IF(ISNA(VLOOKUP($CW40,'Audit Values'!$A:$BZ,2,FALSE)),'Preliminary SO66'!F39,VLOOKUP($CW40,'Audit Values'!$A:$BZ,4,FALSE))</f>
        <v>0</v>
      </c>
      <c r="R40" s="58">
        <f t="shared" si="61"/>
        <v>69.7</v>
      </c>
      <c r="S40" s="58">
        <f>IF('Military Provision'!I40="YES", MAX('2024 Legal Max'!O40,'2024 Legal Max'!K40,AVERAGE('2024 Legal Max'!G40,'2024 Legal Max'!K40,'2024 Legal Max'!O40)), MAX(O40, K40))</f>
        <v>96</v>
      </c>
      <c r="T40" s="58">
        <f>IF(ISNA(VLOOKUP($CW40,'Audit Values'!$A:$BX,2,FALSE)),'Preliminary SO66'!AL39,VLOOKUP($CW40,'Audit Values'!$A:$BX,59,FALSE))</f>
        <v>1</v>
      </c>
      <c r="U40" s="58">
        <f t="shared" si="62"/>
        <v>97</v>
      </c>
      <c r="V40" s="58">
        <f>'Low-High ENRL- 2023 HSubSB 113'!N43</f>
        <v>98.4</v>
      </c>
      <c r="W40" s="58">
        <f>IF(ISNA(VLOOKUP($CW40,'Audit Values'!$A:$BZ,2,FALSE)),'Preliminary SO66'!AM39,VLOOKUP($CW40,'Audit Values'!$A:$BZ,63,FALSE))</f>
        <v>14.8</v>
      </c>
      <c r="X40" s="58">
        <f>(W40/6)*'Weighting Factors'!$O$7</f>
        <v>1</v>
      </c>
      <c r="Y40" s="61">
        <f>IF(ISNA(VLOOKUP($CW40,'Audit Values'!$A:$BZ,2,FALSE)),'Preliminary SO66'!AN39,VLOOKUP($CW40,'Audit Values'!$A:$BZ,62,FALSE))</f>
        <v>5</v>
      </c>
      <c r="Z40" s="58">
        <f>Y40*'Weighting Factors'!$O$8</f>
        <v>0.9</v>
      </c>
      <c r="AA40" s="58">
        <f t="shared" si="63"/>
        <v>1</v>
      </c>
      <c r="AB40" s="106">
        <f>IF(ISNA(VLOOKUP($CW40,'Audit Values'!$A:$BZ,2,FALSE)),'Preliminary SO66'!AO39,VLOOKUP($CW40,'Audit Values'!$A:$BZ,61,FALSE))</f>
        <v>8.6</v>
      </c>
      <c r="AC40" s="58">
        <f>AB40/6*'Weighting Factors'!$O$6</f>
        <v>0.7</v>
      </c>
      <c r="AD40" s="24">
        <f>IF(ISNA(VLOOKUP($CW40,'Audit Values'!$A:$BX,2,FALSE)),'Preliminary SO66'!AS39,VLOOKUP($CW40,'Audit Values'!$A:$BX,64,FALSE))</f>
        <v>72</v>
      </c>
      <c r="AE40" s="24">
        <f>IF(ISNA(VLOOKUP($CW40,'Audit Values'!$A:$BX,2,FALSE)),'Preliminary SO66'!AP39,VLOOKUP($CW40,'Audit Values'!$A:$BX,65,FALSE))</f>
        <v>35</v>
      </c>
      <c r="AF40" s="58">
        <f>IF(A40=207, AE40,(AE40))*'Weighting Factors'!$O$9</f>
        <v>16.899999999999999</v>
      </c>
      <c r="AG40" s="58">
        <f t="shared" si="50"/>
        <v>3.3</v>
      </c>
      <c r="AH40" s="58">
        <f>IF(ISNA(VLOOKUP($CW40,'Audit Values'!$A:$BZ,2,FALSE)),'Preliminary SO66'!AG39,VLOOKUP($CW40,'Audit Values'!$A:$BZ,71,FALSE))</f>
        <v>2.9</v>
      </c>
      <c r="AI40" s="58">
        <f t="shared" si="64"/>
        <v>3.3</v>
      </c>
      <c r="AJ40" s="58">
        <f>IF(ISNA(VLOOKUP($CW40,'Audit Values'!$A:$BX,2,FALSE)),'Preliminary SO66'!AR39,VLOOKUP($CW40,'Audit Values'!$A:$BX,66,FALSE))</f>
        <v>1</v>
      </c>
      <c r="AK40" s="24">
        <f t="shared" si="65"/>
        <v>1979</v>
      </c>
      <c r="AL40" s="58">
        <f>AK40/'Weighting Factors'!$O$5</f>
        <v>0.4</v>
      </c>
      <c r="AM40" s="58">
        <f>CJ40/'Weighting Factors'!$O$5</f>
        <v>0</v>
      </c>
      <c r="AN40" s="58">
        <f>CN40/'Weighting Factors'!$O$5</f>
        <v>0</v>
      </c>
      <c r="AO40" s="24">
        <v>94889</v>
      </c>
      <c r="AP40" s="58">
        <f>AO40/'Weighting Factors'!$O$5</f>
        <v>18.600000000000001</v>
      </c>
      <c r="AQ40" s="58">
        <f>IF(ISNA(VLOOKUP($CW40,'Audit Values'!$A:$BX,2,FALSE)),'Preliminary SO66'!X39,VLOOKUP($CW40,'Audit Values'!$A:$BX,48,FALSE))</f>
        <v>0</v>
      </c>
      <c r="AR40" s="58">
        <f t="shared" si="37"/>
        <v>236.3</v>
      </c>
      <c r="AS40" s="58">
        <f t="shared" si="38"/>
        <v>217.7</v>
      </c>
      <c r="AT40" s="58">
        <f>IF(ISNA(VLOOKUP($CW40,'Audit Values'!$A$2:$BX$410,2,FALSE)),'Preliminary SO66'!AA39,VLOOKUP($CW40,'Audit Values'!$A$2:$BX$410,41,FALSE))</f>
        <v>0</v>
      </c>
      <c r="AU40" s="58">
        <f>IF(ISNA(VLOOKUP($CW40,'Audit Values'!$A$2:$BX$410,2,FALSE)),'Preliminary SO66'!AB39,VLOOKUP($CW40,'Audit Values'!$A$2:$BX$410,42,FALSE))</f>
        <v>0</v>
      </c>
      <c r="AV40" s="73">
        <v>0</v>
      </c>
      <c r="AW40" s="73">
        <v>0</v>
      </c>
      <c r="AX40" s="24">
        <f>SUM(AT40*'Weighting Factors'!$R$10)+('2024 Legal Max'!AU40*'Weighting Factors'!$R$11)+('2024 Legal Max'!AV40*'Weighting Factors'!$R$12)+('2024 Legal Max'!AW40*'Weighting Factors'!$R$12)</f>
        <v>0</v>
      </c>
      <c r="AY40" s="54">
        <f>IF(ISNA(VLOOKUP($CW40,'Audit Values'!$A$2:$BX$429,2,FALSE)),"",IF(AND('Weighting Factors'!G40&gt;0,VLOOKUP($CW40,'Audit Values'!$A$2:$BX$429,51,FALSE)&lt;'Weighting Factors'!G40),'Weighting Factors'!G40,VLOOKUP($CW40,'Audit Values'!$A$2:$BX$429,51,FALSE)))</f>
        <v>6</v>
      </c>
      <c r="AZ40" s="54" t="str">
        <f>IF(ISNA(VLOOKUP($CW40,'Audit Values'!$A:$BY,2,FALSE)),"",VLOOKUP($CW40,'Audit Values'!$A:$BY,52,FALSE))</f>
        <v>A</v>
      </c>
      <c r="BA40" s="54" t="str">
        <f>IF('Weighting Factors'!F40="","",IF('Weighting Factors'!H40="Pending","PX","R"))</f>
        <v/>
      </c>
      <c r="BB40" s="60">
        <f>SUM((U40+V40+AA40+AC40+AF40+AI40+AL40+AM40+AQ40+AN40)*'Weighting Factors'!$O$5)+'2024 Legal Max'!AX40</f>
        <v>1107658</v>
      </c>
      <c r="BC40" s="24">
        <f>SUM((AR40+AN40)*'Weighting Factors'!$O$5)+AX40</f>
        <v>1202294</v>
      </c>
      <c r="BD40" s="67">
        <f>IF('Weighting Factors'!F40&gt;0,'Weighting Factors'!F40,'Preliminary SO66'!AV39)</f>
        <v>1255210</v>
      </c>
      <c r="BE40" s="24">
        <f t="shared" si="66"/>
        <v>1202294</v>
      </c>
      <c r="BF40" s="71">
        <f>'Weighting Factors'!E40</f>
        <v>0</v>
      </c>
      <c r="BG40" s="71">
        <f>Transportation!G40</f>
        <v>0</v>
      </c>
      <c r="BH40" s="24">
        <f>IF(ISNA(VLOOKUP($CW40,'Audit Values'!$A:$BW,2,FALSE)), 0, VLOOKUP($CW40,'Audit Values'!$A:$BW,75,FALSE))</f>
        <v>0</v>
      </c>
      <c r="BI40" s="24">
        <f t="shared" si="67"/>
        <v>0</v>
      </c>
      <c r="BJ40" s="24">
        <f t="shared" si="68"/>
        <v>1202294</v>
      </c>
      <c r="BK40" s="24">
        <f>SUM((U40+V40+AA40+AC40+AF40+AI40+AL40+AM40+AN40)*'Weighting Factors'!O$12)+(MAX(AO40,'Weighting Factors'!B40))</f>
        <v>1275684</v>
      </c>
      <c r="BL40" s="78">
        <f>'LOB%'!F38</f>
        <v>0.33</v>
      </c>
      <c r="BM40" s="24">
        <f t="shared" si="12"/>
        <v>420976</v>
      </c>
      <c r="BN40" s="67">
        <v>438337</v>
      </c>
      <c r="BO40" s="24">
        <f t="shared" si="69"/>
        <v>420976</v>
      </c>
      <c r="BP40" s="89">
        <f t="shared" si="13"/>
        <v>0.33</v>
      </c>
      <c r="BQ40" s="58">
        <f t="shared" si="14"/>
        <v>98.4</v>
      </c>
      <c r="BR40" s="1" t="b">
        <f t="shared" si="15"/>
        <v>0</v>
      </c>
      <c r="BS40" s="76">
        <f t="shared" si="16"/>
        <v>0</v>
      </c>
      <c r="BT40" s="75">
        <f t="shared" si="70"/>
        <v>0</v>
      </c>
      <c r="BU40" s="58">
        <f t="shared" si="18"/>
        <v>0</v>
      </c>
      <c r="BV40" s="1" t="b">
        <f t="shared" si="19"/>
        <v>0</v>
      </c>
      <c r="BW40" s="1">
        <f t="shared" si="20"/>
        <v>0</v>
      </c>
      <c r="BX40" s="75">
        <f t="shared" si="71"/>
        <v>0</v>
      </c>
      <c r="BY40" s="58">
        <f t="shared" si="22"/>
        <v>0</v>
      </c>
      <c r="BZ40" s="58">
        <f t="shared" si="23"/>
        <v>0</v>
      </c>
      <c r="CA40" s="61">
        <v>281</v>
      </c>
      <c r="CB40" s="102">
        <f t="shared" si="24"/>
        <v>4.0000000000000001E-3</v>
      </c>
      <c r="CC40" s="105">
        <f>IF(CB40&lt;0.06,1,IF(CB40&gt;=18.29,52,MATCH(CB40-0.001,'Weighting Factors'!$W$5:$W$156)+1))</f>
        <v>1</v>
      </c>
      <c r="CD40" s="24">
        <f>VLOOKUP(CC40, 'Weighting Factors'!$U$5:$X$56,4)</f>
        <v>1620</v>
      </c>
      <c r="CE40" s="109">
        <f>('Weighting Factors'!$O$5/'Weighting Factors'!$O$14)</f>
        <v>1.2216</v>
      </c>
      <c r="CF40" s="100">
        <f t="shared" si="25"/>
        <v>1620</v>
      </c>
      <c r="CG40" s="100">
        <f>CF40*'Weighting Factors'!$Q$7</f>
        <v>1620</v>
      </c>
      <c r="CH40" s="100">
        <f t="shared" si="72"/>
        <v>1979</v>
      </c>
      <c r="CI40" s="58">
        <f>AK40/'Weighting Factors'!$O$5</f>
        <v>0.4</v>
      </c>
      <c r="CJ40" s="67">
        <v>0</v>
      </c>
      <c r="CK40" s="80">
        <v>0</v>
      </c>
      <c r="CL40" s="110">
        <v>0</v>
      </c>
      <c r="CM40" s="24">
        <f>SUM((AR40*'Weighting Factors'!$O$5)+'2024 Legal Max'!AX40)*CL40</f>
        <v>0</v>
      </c>
      <c r="CN40" s="24">
        <f t="shared" si="73"/>
        <v>0</v>
      </c>
      <c r="CO40" s="65">
        <f t="shared" si="4"/>
        <v>0.48609999999999998</v>
      </c>
      <c r="CP40" s="58">
        <f t="shared" si="28"/>
        <v>0</v>
      </c>
      <c r="CQ40" s="58">
        <f t="shared" si="29"/>
        <v>3.3</v>
      </c>
      <c r="CR40" s="58">
        <f t="shared" si="30"/>
        <v>236.3</v>
      </c>
      <c r="CS40" s="24">
        <f>'Required Transfers'!L40</f>
        <v>30226</v>
      </c>
      <c r="CT40" s="24">
        <f>'Required Transfers'!O40</f>
        <v>1768</v>
      </c>
      <c r="CU40" s="24">
        <f>'Required Transfers'!H40</f>
        <v>102778</v>
      </c>
      <c r="CV40" s="58">
        <f t="shared" si="31"/>
        <v>70.7</v>
      </c>
      <c r="CW40" s="27" t="s">
        <v>225</v>
      </c>
    </row>
    <row r="41" spans="1:101" ht="15" customHeight="1">
      <c r="A41" s="54">
        <v>226</v>
      </c>
      <c r="B41" s="1" t="s">
        <v>20</v>
      </c>
      <c r="C41" s="1" t="s">
        <v>546</v>
      </c>
      <c r="D41" s="58">
        <v>332</v>
      </c>
      <c r="E41" s="58"/>
      <c r="F41" s="58">
        <v>0</v>
      </c>
      <c r="G41" s="58">
        <f t="shared" si="32"/>
        <v>332</v>
      </c>
      <c r="H41" s="58">
        <v>360.5</v>
      </c>
      <c r="I41" s="58"/>
      <c r="J41" s="58">
        <v>0</v>
      </c>
      <c r="K41" s="58">
        <f t="shared" si="33"/>
        <v>360.5</v>
      </c>
      <c r="L41" s="1">
        <v>340</v>
      </c>
      <c r="N41" s="1">
        <v>0</v>
      </c>
      <c r="O41" s="58">
        <f t="shared" si="34"/>
        <v>340</v>
      </c>
      <c r="P41" s="58">
        <f>IF(ISNA(VLOOKUP($CW41,'Audit Values'!$A:$BZ,2,FALSE)),'Preliminary SO66'!C40,VLOOKUP($CW41,'Audit Values'!$A:$BZ,76,FALSE))</f>
        <v>328.9</v>
      </c>
      <c r="Q41" s="58">
        <f>IF(ISNA(VLOOKUP($CW41,'Audit Values'!$A:$BZ,2,FALSE)),'Preliminary SO66'!F40,VLOOKUP($CW41,'Audit Values'!$A:$BZ,4,FALSE))</f>
        <v>0</v>
      </c>
      <c r="R41" s="58">
        <f t="shared" si="61"/>
        <v>328.9</v>
      </c>
      <c r="S41" s="58">
        <f>IF('Military Provision'!I41="YES", MAX('2024 Legal Max'!O41,'2024 Legal Max'!K41,AVERAGE('2024 Legal Max'!G41,'2024 Legal Max'!K41,'2024 Legal Max'!O41)), MAX(O41, K41))</f>
        <v>360.5</v>
      </c>
      <c r="T41" s="58">
        <f>IF(ISNA(VLOOKUP($CW41,'Audit Values'!$A:$BX,2,FALSE)),'Preliminary SO66'!AL40,VLOOKUP($CW41,'Audit Values'!$A:$BX,59,FALSE))</f>
        <v>10</v>
      </c>
      <c r="U41" s="58">
        <f t="shared" si="62"/>
        <v>370.5</v>
      </c>
      <c r="V41" s="58">
        <f>'Low-High ENRL- 2023 HSubSB 113'!N44</f>
        <v>170.5</v>
      </c>
      <c r="W41" s="58">
        <f>IF(ISNA(VLOOKUP($CW41,'Audit Values'!$A:$BZ,2,FALSE)),'Preliminary SO66'!AM40,VLOOKUP($CW41,'Audit Values'!$A:$BZ,63,FALSE))</f>
        <v>13.1</v>
      </c>
      <c r="X41" s="58">
        <f>(W41/6)*'Weighting Factors'!$O$7</f>
        <v>0.9</v>
      </c>
      <c r="Y41" s="61">
        <f>IF(ISNA(VLOOKUP($CW41,'Audit Values'!$A:$BZ,2,FALSE)),'Preliminary SO66'!AN40,VLOOKUP($CW41,'Audit Values'!$A:$BZ,62,FALSE))</f>
        <v>5</v>
      </c>
      <c r="Z41" s="58">
        <f>Y41*'Weighting Factors'!$O$8</f>
        <v>0.9</v>
      </c>
      <c r="AA41" s="58">
        <f t="shared" si="63"/>
        <v>0.9</v>
      </c>
      <c r="AB41" s="106">
        <f>IF(ISNA(VLOOKUP($CW41,'Audit Values'!$A:$BZ,2,FALSE)),'Preliminary SO66'!AO40,VLOOKUP($CW41,'Audit Values'!$A:$BZ,61,FALSE))</f>
        <v>53.4</v>
      </c>
      <c r="AC41" s="58">
        <f>AB41/6*'Weighting Factors'!$O$6</f>
        <v>4.5</v>
      </c>
      <c r="AD41" s="24">
        <f>IF(ISNA(VLOOKUP($CW41,'Audit Values'!$A:$BX,2,FALSE)),'Preliminary SO66'!AS40,VLOOKUP($CW41,'Audit Values'!$A:$BX,64,FALSE))</f>
        <v>353</v>
      </c>
      <c r="AE41" s="24">
        <f>IF(ISNA(VLOOKUP($CW41,'Audit Values'!$A:$BX,2,FALSE)),'Preliminary SO66'!AP40,VLOOKUP($CW41,'Audit Values'!$A:$BX,65,FALSE))</f>
        <v>124</v>
      </c>
      <c r="AF41" s="58">
        <f>IF(A41=207, AE41,(AE41))*'Weighting Factors'!$O$9</f>
        <v>60</v>
      </c>
      <c r="AG41" s="58">
        <f t="shared" si="50"/>
        <v>0.1</v>
      </c>
      <c r="AH41" s="58">
        <f>IF(ISNA(VLOOKUP($CW41,'Audit Values'!$A:$BZ,2,FALSE)),'Preliminary SO66'!AG40,VLOOKUP($CW41,'Audit Values'!$A:$BZ,71,FALSE))</f>
        <v>1.9</v>
      </c>
      <c r="AI41" s="58">
        <f t="shared" si="64"/>
        <v>1.9</v>
      </c>
      <c r="AJ41" s="58">
        <f>IF(ISNA(VLOOKUP($CW41,'Audit Values'!$A:$BX,2,FALSE)),'Preliminary SO66'!AR40,VLOOKUP($CW41,'Audit Values'!$A:$BX,66,FALSE))</f>
        <v>42</v>
      </c>
      <c r="AK41" s="24">
        <f t="shared" si="65"/>
        <v>75935</v>
      </c>
      <c r="AL41" s="58">
        <f>AK41/'Weighting Factors'!$O$5</f>
        <v>14.9</v>
      </c>
      <c r="AM41" s="58">
        <f>CJ41/'Weighting Factors'!$O$5</f>
        <v>0</v>
      </c>
      <c r="AN41" s="58">
        <f>CN41/'Weighting Factors'!$O$5</f>
        <v>0</v>
      </c>
      <c r="AO41" s="24">
        <v>295683</v>
      </c>
      <c r="AP41" s="58">
        <f>AO41/'Weighting Factors'!$O$5</f>
        <v>58.1</v>
      </c>
      <c r="AQ41" s="58">
        <f>IF(ISNA(VLOOKUP($CW41,'Audit Values'!$A:$BX,2,FALSE)),'Preliminary SO66'!X40,VLOOKUP($CW41,'Audit Values'!$A:$BX,48,FALSE))</f>
        <v>0</v>
      </c>
      <c r="AR41" s="58">
        <f t="shared" si="37"/>
        <v>681.3</v>
      </c>
      <c r="AS41" s="58">
        <f t="shared" si="38"/>
        <v>623.20000000000005</v>
      </c>
      <c r="AT41" s="58">
        <f>IF(ISNA(VLOOKUP($CW41,'Audit Values'!$A$2:$BX$410,2,FALSE)),'Preliminary SO66'!AA40,VLOOKUP($CW41,'Audit Values'!$A$2:$BX$410,41,FALSE))</f>
        <v>0</v>
      </c>
      <c r="AU41" s="58">
        <f>IF(ISNA(VLOOKUP($CW41,'Audit Values'!$A$2:$BX$410,2,FALSE)),'Preliminary SO66'!AB40,VLOOKUP($CW41,'Audit Values'!$A$2:$BX$410,42,FALSE))</f>
        <v>0</v>
      </c>
      <c r="AV41" s="73">
        <v>0</v>
      </c>
      <c r="AW41" s="73">
        <v>0</v>
      </c>
      <c r="AX41" s="24">
        <f>SUM(AT41*'Weighting Factors'!$R$10)+('2024 Legal Max'!AU41*'Weighting Factors'!$R$11)+('2024 Legal Max'!AV41*'Weighting Factors'!$R$12)+('2024 Legal Max'!AW41*'Weighting Factors'!$R$12)</f>
        <v>0</v>
      </c>
      <c r="AY41" s="54">
        <f>IF(ISNA(VLOOKUP($CW41,'Audit Values'!$A$2:$BX$429,2,FALSE)),"",IF(AND('Weighting Factors'!G41&gt;0,VLOOKUP($CW41,'Audit Values'!$A$2:$BX$429,51,FALSE)&lt;'Weighting Factors'!G41),'Weighting Factors'!G41,VLOOKUP($CW41,'Audit Values'!$A$2:$BX$429,51,FALSE)))</f>
        <v>5</v>
      </c>
      <c r="AZ41" s="54" t="str">
        <f>IF(ISNA(VLOOKUP($CW41,'Audit Values'!$A:$BY,2,FALSE)),"",VLOOKUP($CW41,'Audit Values'!$A:$BY,52,FALSE))</f>
        <v>A</v>
      </c>
      <c r="BA41" s="54" t="str">
        <f>IF('Weighting Factors'!F41="","",IF('Weighting Factors'!H41="Pending","PX","R"))</f>
        <v/>
      </c>
      <c r="BB41" s="60">
        <f>SUM((U41+V41+AA41+AC41+AF41+AI41+AL41+AM41+AQ41+AN41)*'Weighting Factors'!$O$5)+'2024 Legal Max'!AX41</f>
        <v>3170842</v>
      </c>
      <c r="BC41" s="24">
        <f>SUM((AR41+AN41)*'Weighting Factors'!$O$5)+AX41</f>
        <v>3466454</v>
      </c>
      <c r="BD41" s="67">
        <f>IF('Weighting Factors'!F41&gt;0,'Weighting Factors'!F41,'Preliminary SO66'!AV40)</f>
        <v>3607392</v>
      </c>
      <c r="BE41" s="24">
        <f t="shared" si="66"/>
        <v>3466454</v>
      </c>
      <c r="BF41" s="71">
        <f>'Weighting Factors'!E41</f>
        <v>0</v>
      </c>
      <c r="BG41" s="71">
        <f>Transportation!G41</f>
        <v>0</v>
      </c>
      <c r="BH41" s="24">
        <f>IF(ISNA(VLOOKUP($CW41,'Audit Values'!$A:$BW,2,FALSE)), 0, VLOOKUP($CW41,'Audit Values'!$A:$BW,75,FALSE))</f>
        <v>0</v>
      </c>
      <c r="BI41" s="24">
        <f t="shared" si="67"/>
        <v>0</v>
      </c>
      <c r="BJ41" s="24">
        <f t="shared" si="68"/>
        <v>3466454</v>
      </c>
      <c r="BK41" s="24">
        <f>SUM((U41+V41+AA41+AC41+AF41+AI41+AL41+AM41+AN41)*'Weighting Factors'!O$12)+(MAX(AO41,'Weighting Factors'!B41))</f>
        <v>3608060</v>
      </c>
      <c r="BL41" s="78">
        <f>'LOB%'!F39</f>
        <v>0.33</v>
      </c>
      <c r="BM41" s="24">
        <f t="shared" si="12"/>
        <v>1190660</v>
      </c>
      <c r="BN41" s="67">
        <v>1098384</v>
      </c>
      <c r="BO41" s="24">
        <f t="shared" si="69"/>
        <v>1098384</v>
      </c>
      <c r="BP41" s="89">
        <f t="shared" si="13"/>
        <v>0.3044</v>
      </c>
      <c r="BQ41" s="58">
        <f t="shared" si="14"/>
        <v>0</v>
      </c>
      <c r="BR41" s="1" t="b">
        <f t="shared" si="15"/>
        <v>0</v>
      </c>
      <c r="BS41" s="76">
        <f t="shared" si="16"/>
        <v>0</v>
      </c>
      <c r="BT41" s="75">
        <f t="shared" si="70"/>
        <v>0</v>
      </c>
      <c r="BU41" s="58">
        <f t="shared" si="18"/>
        <v>0</v>
      </c>
      <c r="BV41" s="1" t="b">
        <f t="shared" si="19"/>
        <v>1</v>
      </c>
      <c r="BW41" s="1">
        <f t="shared" si="20"/>
        <v>87.243799999999993</v>
      </c>
      <c r="BX41" s="75">
        <f t="shared" si="71"/>
        <v>0.46023399999999998</v>
      </c>
      <c r="BY41" s="58">
        <f t="shared" si="22"/>
        <v>170.5</v>
      </c>
      <c r="BZ41" s="58">
        <f t="shared" si="23"/>
        <v>0</v>
      </c>
      <c r="CA41" s="61">
        <v>440</v>
      </c>
      <c r="CB41" s="102">
        <f t="shared" si="24"/>
        <v>9.5000000000000001E-2</v>
      </c>
      <c r="CC41" s="105">
        <f>IF(CB41&lt;0.06,1,IF(CB41&gt;=18.29,52,MATCH(CB41-0.001,'Weighting Factors'!$W$5:$W$156)+1))</f>
        <v>5</v>
      </c>
      <c r="CD41" s="24">
        <f>VLOOKUP(CC41, 'Weighting Factors'!$U$5:$X$56,4)</f>
        <v>1480</v>
      </c>
      <c r="CE41" s="109">
        <f>('Weighting Factors'!$O$5/'Weighting Factors'!$O$14)</f>
        <v>1.2216</v>
      </c>
      <c r="CF41" s="100">
        <f t="shared" si="25"/>
        <v>62160</v>
      </c>
      <c r="CG41" s="100">
        <f>CF41*'Weighting Factors'!$Q$7</f>
        <v>62160</v>
      </c>
      <c r="CH41" s="100">
        <f t="shared" si="72"/>
        <v>75935</v>
      </c>
      <c r="CI41" s="58">
        <f>AK41/'Weighting Factors'!$O$5</f>
        <v>14.9</v>
      </c>
      <c r="CJ41" s="67">
        <v>0</v>
      </c>
      <c r="CK41" s="80">
        <v>0</v>
      </c>
      <c r="CL41" s="110">
        <v>0</v>
      </c>
      <c r="CM41" s="24">
        <f>SUM((AR41*'Weighting Factors'!$O$5)+'2024 Legal Max'!AX41)*CL41</f>
        <v>0</v>
      </c>
      <c r="CN41" s="24">
        <f t="shared" si="73"/>
        <v>0</v>
      </c>
      <c r="CO41" s="65">
        <f t="shared" si="4"/>
        <v>0.3513</v>
      </c>
      <c r="CP41" s="58">
        <f t="shared" si="28"/>
        <v>0</v>
      </c>
      <c r="CQ41" s="58">
        <f t="shared" si="29"/>
        <v>0.1</v>
      </c>
      <c r="CR41" s="58">
        <f t="shared" si="30"/>
        <v>681.3</v>
      </c>
      <c r="CS41" s="24">
        <f>'Required Transfers'!L41</f>
        <v>98196</v>
      </c>
      <c r="CT41" s="24">
        <f>'Required Transfers'!O41</f>
        <v>1428</v>
      </c>
      <c r="CU41" s="24">
        <f>'Required Transfers'!H41</f>
        <v>314947</v>
      </c>
      <c r="CV41" s="58">
        <f t="shared" si="31"/>
        <v>338.9</v>
      </c>
      <c r="CW41" s="27" t="s">
        <v>226</v>
      </c>
    </row>
    <row r="42" spans="1:101" ht="15" customHeight="1">
      <c r="A42" s="54">
        <v>227</v>
      </c>
      <c r="B42" s="1" t="s">
        <v>21</v>
      </c>
      <c r="C42" s="1" t="s">
        <v>547</v>
      </c>
      <c r="D42" s="58">
        <v>293.5</v>
      </c>
      <c r="E42" s="58"/>
      <c r="F42" s="58">
        <v>0</v>
      </c>
      <c r="G42" s="58">
        <f t="shared" si="32"/>
        <v>293.5</v>
      </c>
      <c r="H42" s="58">
        <v>287</v>
      </c>
      <c r="I42" s="58"/>
      <c r="J42" s="58">
        <v>0</v>
      </c>
      <c r="K42" s="58">
        <f t="shared" si="33"/>
        <v>287</v>
      </c>
      <c r="L42" s="1">
        <v>284</v>
      </c>
      <c r="N42" s="1">
        <v>0</v>
      </c>
      <c r="O42" s="58">
        <f t="shared" si="34"/>
        <v>284</v>
      </c>
      <c r="P42" s="58">
        <f>IF(ISNA(VLOOKUP($CW42,'Audit Values'!$A:$BZ,2,FALSE)),'Preliminary SO66'!C41,VLOOKUP($CW42,'Audit Values'!$A:$BZ,76,FALSE))</f>
        <v>268</v>
      </c>
      <c r="Q42" s="58">
        <f>IF(ISNA(VLOOKUP($CW42,'Audit Values'!$A:$BZ,2,FALSE)),'Preliminary SO66'!F41,VLOOKUP($CW42,'Audit Values'!$A:$BZ,4,FALSE))</f>
        <v>0</v>
      </c>
      <c r="R42" s="58">
        <f t="shared" si="61"/>
        <v>268</v>
      </c>
      <c r="S42" s="58">
        <f>IF('Military Provision'!I42="YES", MAX('2024 Legal Max'!O42,'2024 Legal Max'!K42,AVERAGE('2024 Legal Max'!G42,'2024 Legal Max'!K42,'2024 Legal Max'!O42)), MAX(O42, K42))</f>
        <v>287</v>
      </c>
      <c r="T42" s="58">
        <f>IF(ISNA(VLOOKUP($CW42,'Audit Values'!$A:$BX,2,FALSE)),'Preliminary SO66'!AL41,VLOOKUP($CW42,'Audit Values'!$A:$BX,59,FALSE))</f>
        <v>0</v>
      </c>
      <c r="U42" s="58">
        <f t="shared" si="62"/>
        <v>287</v>
      </c>
      <c r="V42" s="58">
        <f>'Low-High ENRL- 2023 HSubSB 113'!N45</f>
        <v>148.9</v>
      </c>
      <c r="W42" s="58">
        <f>IF(ISNA(VLOOKUP($CW42,'Audit Values'!$A:$BZ,2,FALSE)),'Preliminary SO66'!AM41,VLOOKUP($CW42,'Audit Values'!$A:$BZ,63,FALSE))</f>
        <v>1.3</v>
      </c>
      <c r="X42" s="58">
        <f>(W42/6)*'Weighting Factors'!$O$7</f>
        <v>0.1</v>
      </c>
      <c r="Y42" s="61">
        <f>IF(ISNA(VLOOKUP($CW42,'Audit Values'!$A:$BZ,2,FALSE)),'Preliminary SO66'!AN41,VLOOKUP($CW42,'Audit Values'!$A:$BZ,62,FALSE))</f>
        <v>3</v>
      </c>
      <c r="Z42" s="58">
        <f>Y42*'Weighting Factors'!$O$8</f>
        <v>0.6</v>
      </c>
      <c r="AA42" s="58">
        <f t="shared" si="63"/>
        <v>0.6</v>
      </c>
      <c r="AB42" s="106">
        <f>IF(ISNA(VLOOKUP($CW42,'Audit Values'!$A:$BZ,2,FALSE)),'Preliminary SO66'!AO41,VLOOKUP($CW42,'Audit Values'!$A:$BZ,61,FALSE))</f>
        <v>28</v>
      </c>
      <c r="AC42" s="58">
        <f>AB42/6*'Weighting Factors'!$O$6</f>
        <v>2.2999999999999998</v>
      </c>
      <c r="AD42" s="24">
        <f>IF(ISNA(VLOOKUP($CW42,'Audit Values'!$A:$BX,2,FALSE)),'Preliminary SO66'!AS41,VLOOKUP($CW42,'Audit Values'!$A:$BX,64,FALSE))</f>
        <v>273</v>
      </c>
      <c r="AE42" s="24">
        <f>IF(ISNA(VLOOKUP($CW42,'Audit Values'!$A:$BX,2,FALSE)),'Preliminary SO66'!AP41,VLOOKUP($CW42,'Audit Values'!$A:$BX,65,FALSE))</f>
        <v>76</v>
      </c>
      <c r="AF42" s="58">
        <f>IF(A42=207, AE42,(AE42))*'Weighting Factors'!$O$9</f>
        <v>36.799999999999997</v>
      </c>
      <c r="AG42" s="58">
        <f t="shared" si="50"/>
        <v>0</v>
      </c>
      <c r="AH42" s="58">
        <f>IF(ISNA(VLOOKUP($CW42,'Audit Values'!$A:$BZ,2,FALSE)),'Preliminary SO66'!AG41,VLOOKUP($CW42,'Audit Values'!$A:$BZ,71,FALSE))</f>
        <v>0</v>
      </c>
      <c r="AI42" s="58">
        <f t="shared" si="64"/>
        <v>0</v>
      </c>
      <c r="AJ42" s="58">
        <f>IF(ISNA(VLOOKUP($CW42,'Audit Values'!$A:$BX,2,FALSE)),'Preliminary SO66'!AR41,VLOOKUP($CW42,'Audit Values'!$A:$BX,66,FALSE))</f>
        <v>130</v>
      </c>
      <c r="AK42" s="24">
        <f t="shared" si="65"/>
        <v>212803</v>
      </c>
      <c r="AL42" s="58">
        <f>AK42/'Weighting Factors'!$O$5</f>
        <v>41.8</v>
      </c>
      <c r="AM42" s="58">
        <f>CJ42/'Weighting Factors'!$O$5</f>
        <v>0</v>
      </c>
      <c r="AN42" s="58">
        <f>CN42/'Weighting Factors'!$O$5</f>
        <v>0</v>
      </c>
      <c r="AO42" s="24">
        <v>232228</v>
      </c>
      <c r="AP42" s="58">
        <f>AO42/'Weighting Factors'!$O$5</f>
        <v>45.6</v>
      </c>
      <c r="AQ42" s="58">
        <f>IF(ISNA(VLOOKUP($CW42,'Audit Values'!$A:$BX,2,FALSE)),'Preliminary SO66'!X41,VLOOKUP($CW42,'Audit Values'!$A:$BX,48,FALSE))</f>
        <v>0</v>
      </c>
      <c r="AR42" s="58">
        <f t="shared" si="37"/>
        <v>563</v>
      </c>
      <c r="AS42" s="58">
        <f t="shared" si="38"/>
        <v>517.4</v>
      </c>
      <c r="AT42" s="58">
        <f>IF(ISNA(VLOOKUP($CW42,'Audit Values'!$A$2:$BX$410,2,FALSE)),'Preliminary SO66'!AA41,VLOOKUP($CW42,'Audit Values'!$A$2:$BX$410,41,FALSE))</f>
        <v>0</v>
      </c>
      <c r="AU42" s="58">
        <f>IF(ISNA(VLOOKUP($CW42,'Audit Values'!$A$2:$BX$410,2,FALSE)),'Preliminary SO66'!AB41,VLOOKUP($CW42,'Audit Values'!$A$2:$BX$410,42,FALSE))</f>
        <v>0</v>
      </c>
      <c r="AV42" s="73">
        <v>0</v>
      </c>
      <c r="AW42" s="73">
        <v>0</v>
      </c>
      <c r="AX42" s="24">
        <f>SUM(AT42*'Weighting Factors'!$R$10)+('2024 Legal Max'!AU42*'Weighting Factors'!$R$11)+('2024 Legal Max'!AV42*'Weighting Factors'!$R$12)+('2024 Legal Max'!AW42*'Weighting Factors'!$R$12)</f>
        <v>0</v>
      </c>
      <c r="AY42" s="54">
        <f>IF(ISNA(VLOOKUP($CW42,'Audit Values'!$A$2:$BX$429,2,FALSE)),"",IF(AND('Weighting Factors'!G42&gt;0,VLOOKUP($CW42,'Audit Values'!$A$2:$BX$429,51,FALSE)&lt;'Weighting Factors'!G42),'Weighting Factors'!G42,VLOOKUP($CW42,'Audit Values'!$A$2:$BX$429,51,FALSE)))</f>
        <v>7</v>
      </c>
      <c r="AZ42" s="54" t="str">
        <f>IF(ISNA(VLOOKUP($CW42,'Audit Values'!$A:$BY,2,FALSE)),"",VLOOKUP($CW42,'Audit Values'!$A:$BY,52,FALSE))</f>
        <v>A</v>
      </c>
      <c r="BA42" s="54" t="str">
        <f>IF('Weighting Factors'!F42="","",IF('Weighting Factors'!H42="Pending","PX","R"))</f>
        <v/>
      </c>
      <c r="BB42" s="60">
        <f>SUM((U42+V42+AA42+AC42+AF42+AI42+AL42+AM42+AQ42+AN42)*'Weighting Factors'!$O$5)+'2024 Legal Max'!AX42</f>
        <v>2632531</v>
      </c>
      <c r="BC42" s="24">
        <f>SUM((AR42+AN42)*'Weighting Factors'!$O$5)+AX42</f>
        <v>2864544</v>
      </c>
      <c r="BD42" s="67">
        <f>IF('Weighting Factors'!F42&gt;0,'Weighting Factors'!F42,'Preliminary SO66'!AV41)</f>
        <v>3004464</v>
      </c>
      <c r="BE42" s="24">
        <f t="shared" si="66"/>
        <v>2864544</v>
      </c>
      <c r="BF42" s="71">
        <f>'Weighting Factors'!E42</f>
        <v>0</v>
      </c>
      <c r="BG42" s="71">
        <f>Transportation!G42</f>
        <v>0</v>
      </c>
      <c r="BH42" s="24">
        <f>IF(ISNA(VLOOKUP($CW42,'Audit Values'!$A:$BW,2,FALSE)), 0, VLOOKUP($CW42,'Audit Values'!$A:$BW,75,FALSE))</f>
        <v>0</v>
      </c>
      <c r="BI42" s="24">
        <f t="shared" si="67"/>
        <v>0</v>
      </c>
      <c r="BJ42" s="24">
        <f t="shared" si="68"/>
        <v>2864544</v>
      </c>
      <c r="BK42" s="24">
        <f>SUM((U42+V42+AA42+AC42+AF42+AI42+AL42+AM42+AN42)*'Weighting Factors'!O$12)+(MAX(AO42,'Weighting Factors'!B42))</f>
        <v>2989401</v>
      </c>
      <c r="BL42" s="78">
        <f>'LOB%'!F40</f>
        <v>0.316</v>
      </c>
      <c r="BM42" s="24">
        <f t="shared" si="12"/>
        <v>944651</v>
      </c>
      <c r="BN42" s="67">
        <v>972523</v>
      </c>
      <c r="BO42" s="24">
        <f t="shared" si="69"/>
        <v>944651</v>
      </c>
      <c r="BP42" s="89">
        <f t="shared" si="13"/>
        <v>0.316</v>
      </c>
      <c r="BQ42" s="58">
        <f t="shared" si="14"/>
        <v>0</v>
      </c>
      <c r="BR42" s="1" t="b">
        <f t="shared" si="15"/>
        <v>1</v>
      </c>
      <c r="BS42" s="76">
        <f t="shared" si="16"/>
        <v>1805.4849999999999</v>
      </c>
      <c r="BT42" s="75">
        <f t="shared" si="70"/>
        <v>0.51864600000000005</v>
      </c>
      <c r="BU42" s="58">
        <f t="shared" si="18"/>
        <v>148.9</v>
      </c>
      <c r="BV42" s="1" t="b">
        <f t="shared" si="19"/>
        <v>0</v>
      </c>
      <c r="BW42" s="1">
        <f t="shared" si="20"/>
        <v>0</v>
      </c>
      <c r="BX42" s="75">
        <f t="shared" si="71"/>
        <v>0</v>
      </c>
      <c r="BY42" s="58">
        <f t="shared" si="22"/>
        <v>0</v>
      </c>
      <c r="BZ42" s="58">
        <f t="shared" si="23"/>
        <v>0</v>
      </c>
      <c r="CA42" s="61">
        <v>807.5</v>
      </c>
      <c r="CB42" s="102">
        <f t="shared" si="24"/>
        <v>0.161</v>
      </c>
      <c r="CC42" s="105">
        <f>IF(CB42&lt;0.06,1,IF(CB42&gt;=18.29,52,MATCH(CB42-0.001,'Weighting Factors'!$W$5:$W$156)+1))</f>
        <v>12</v>
      </c>
      <c r="CD42" s="24">
        <f>VLOOKUP(CC42, 'Weighting Factors'!$U$5:$X$56,4)</f>
        <v>1340</v>
      </c>
      <c r="CE42" s="109">
        <f>('Weighting Factors'!$O$5/'Weighting Factors'!$O$14)</f>
        <v>1.2216</v>
      </c>
      <c r="CF42" s="100">
        <f t="shared" si="25"/>
        <v>174200</v>
      </c>
      <c r="CG42" s="100">
        <f>CF42*'Weighting Factors'!$Q$7</f>
        <v>174200</v>
      </c>
      <c r="CH42" s="100">
        <f t="shared" si="72"/>
        <v>212803</v>
      </c>
      <c r="CI42" s="58">
        <f>AK42/'Weighting Factors'!$O$5</f>
        <v>41.8</v>
      </c>
      <c r="CJ42" s="67">
        <v>0</v>
      </c>
      <c r="CK42" s="80">
        <v>0</v>
      </c>
      <c r="CL42" s="110">
        <v>0</v>
      </c>
      <c r="CM42" s="24">
        <f>SUM((AR42*'Weighting Factors'!$O$5)+'2024 Legal Max'!AX42)*CL42</f>
        <v>0</v>
      </c>
      <c r="CN42" s="24">
        <f t="shared" si="73"/>
        <v>0</v>
      </c>
      <c r="CO42" s="65">
        <f t="shared" si="4"/>
        <v>0.27839999999999998</v>
      </c>
      <c r="CP42" s="58">
        <f t="shared" si="28"/>
        <v>0</v>
      </c>
      <c r="CQ42" s="58">
        <f t="shared" si="29"/>
        <v>0</v>
      </c>
      <c r="CR42" s="58">
        <f t="shared" si="30"/>
        <v>563</v>
      </c>
      <c r="CS42" s="24">
        <f>'Required Transfers'!L42</f>
        <v>61780</v>
      </c>
      <c r="CT42" s="24">
        <f>'Required Transfers'!O42</f>
        <v>1039</v>
      </c>
      <c r="CU42" s="24">
        <f>'Required Transfers'!H42</f>
        <v>187238</v>
      </c>
      <c r="CV42" s="58">
        <f t="shared" si="31"/>
        <v>268</v>
      </c>
      <c r="CW42" s="27" t="s">
        <v>227</v>
      </c>
    </row>
    <row r="43" spans="1:101" ht="15" customHeight="1">
      <c r="A43" s="54">
        <v>229</v>
      </c>
      <c r="B43" s="1" t="s">
        <v>22</v>
      </c>
      <c r="C43" s="1" t="s">
        <v>548</v>
      </c>
      <c r="D43" s="58">
        <v>21753.200000000001</v>
      </c>
      <c r="E43" s="58"/>
      <c r="F43" s="58">
        <v>0</v>
      </c>
      <c r="G43" s="58">
        <f t="shared" si="32"/>
        <v>21753.200000000001</v>
      </c>
      <c r="H43" s="58">
        <v>21823.200000000001</v>
      </c>
      <c r="I43" s="58"/>
      <c r="J43" s="58">
        <v>0</v>
      </c>
      <c r="K43" s="58">
        <f t="shared" si="33"/>
        <v>21823.200000000001</v>
      </c>
      <c r="L43" s="1">
        <v>21810.2</v>
      </c>
      <c r="N43" s="1">
        <v>0</v>
      </c>
      <c r="O43" s="58">
        <f t="shared" si="34"/>
        <v>21810.2</v>
      </c>
      <c r="P43" s="58">
        <f>IF(ISNA(VLOOKUP($CW43,'Audit Values'!$A:$BZ,2,FALSE)),'Preliminary SO66'!C42,VLOOKUP($CW43,'Audit Values'!$A:$BZ,76,FALSE))</f>
        <v>21853.8</v>
      </c>
      <c r="Q43" s="58">
        <f>IF(ISNA(VLOOKUP($CW43,'Audit Values'!$A:$BZ,2,FALSE)),'Preliminary SO66'!F42,VLOOKUP($CW43,'Audit Values'!$A:$BZ,4,FALSE))</f>
        <v>0</v>
      </c>
      <c r="R43" s="58">
        <f t="shared" si="61"/>
        <v>21853.8</v>
      </c>
      <c r="S43" s="58">
        <f>IF('Military Provision'!I43="YES", MAX('2024 Legal Max'!O43,'2024 Legal Max'!K43,AVERAGE('2024 Legal Max'!G43,'2024 Legal Max'!K43,'2024 Legal Max'!O43)), MAX(O43, K43))</f>
        <v>21823.200000000001</v>
      </c>
      <c r="T43" s="58">
        <f>IF(ISNA(VLOOKUP($CW43,'Audit Values'!$A:$BX,2,FALSE)),'Preliminary SO66'!AL42,VLOOKUP($CW43,'Audit Values'!$A:$BX,59,FALSE))</f>
        <v>0</v>
      </c>
      <c r="U43" s="58">
        <f t="shared" si="62"/>
        <v>21823.200000000001</v>
      </c>
      <c r="V43" s="58">
        <f>'Low-High ENRL- 2023 HSubSB 113'!N46</f>
        <v>764.7</v>
      </c>
      <c r="W43" s="58">
        <f>IF(ISNA(VLOOKUP($CW43,'Audit Values'!$A:$BZ,2,FALSE)),'Preliminary SO66'!AM42,VLOOKUP($CW43,'Audit Values'!$A:$BZ,63,FALSE))</f>
        <v>935.6</v>
      </c>
      <c r="X43" s="58">
        <f>(W43/6)*'Weighting Factors'!$O$7</f>
        <v>61.6</v>
      </c>
      <c r="Y43" s="61">
        <f>IF(ISNA(VLOOKUP($CW43,'Audit Values'!$A:$BZ,2,FALSE)),'Preliminary SO66'!AN42,VLOOKUP($CW43,'Audit Values'!$A:$BZ,62,FALSE))</f>
        <v>685</v>
      </c>
      <c r="Z43" s="58">
        <f>Y43*'Weighting Factors'!$O$8</f>
        <v>126.7</v>
      </c>
      <c r="AA43" s="58">
        <f t="shared" si="63"/>
        <v>126.7</v>
      </c>
      <c r="AB43" s="106">
        <f>IF(ISNA(VLOOKUP($CW43,'Audit Values'!$A:$BZ,2,FALSE)),'Preliminary SO66'!AO42,VLOOKUP($CW43,'Audit Values'!$A:$BZ,61,FALSE))</f>
        <v>5032.6000000000004</v>
      </c>
      <c r="AC43" s="58">
        <f>AB43/6*'Weighting Factors'!$O$6</f>
        <v>419.4</v>
      </c>
      <c r="AD43" s="24">
        <f>IF(ISNA(VLOOKUP($CW43,'Audit Values'!$A:$BX,2,FALSE)),'Preliminary SO66'!AS42,VLOOKUP($CW43,'Audit Values'!$A:$BX,64,FALSE))</f>
        <v>22144</v>
      </c>
      <c r="AE43" s="24">
        <f>IF(ISNA(VLOOKUP($CW43,'Audit Values'!$A:$BX,2,FALSE)),'Preliminary SO66'!AP42,VLOOKUP($CW43,'Audit Values'!$A:$BX,65,FALSE))</f>
        <v>1975</v>
      </c>
      <c r="AF43" s="58">
        <f>IF(A43=207, AE43,(AE43))*'Weighting Factors'!$O$9</f>
        <v>955.9</v>
      </c>
      <c r="AG43" s="58">
        <f t="shared" si="50"/>
        <v>0</v>
      </c>
      <c r="AH43" s="58">
        <f>IF(ISNA(VLOOKUP($CW43,'Audit Values'!$A:$BZ,2,FALSE)),'Preliminary SO66'!AG42,VLOOKUP($CW43,'Audit Values'!$A:$BZ,71,FALSE))</f>
        <v>0</v>
      </c>
      <c r="AI43" s="58">
        <f t="shared" si="64"/>
        <v>0</v>
      </c>
      <c r="AJ43" s="58">
        <f>IF(ISNA(VLOOKUP($CW43,'Audit Values'!$A:$BX,2,FALSE)),'Preliminary SO66'!AR42,VLOOKUP($CW43,'Audit Values'!$A:$BX,66,FALSE))</f>
        <v>3926</v>
      </c>
      <c r="AK43" s="24">
        <f t="shared" si="65"/>
        <v>2637801</v>
      </c>
      <c r="AL43" s="58">
        <f>AK43/'Weighting Factors'!$O$5</f>
        <v>518.4</v>
      </c>
      <c r="AM43" s="58">
        <f>CJ43/'Weighting Factors'!$O$5</f>
        <v>858.3</v>
      </c>
      <c r="AN43" s="58">
        <f>CN43/'Weighting Factors'!$O$5</f>
        <v>2171</v>
      </c>
      <c r="AO43" s="24">
        <v>28149347</v>
      </c>
      <c r="AP43" s="58">
        <f>AO43/'Weighting Factors'!$O$5</f>
        <v>5532.5</v>
      </c>
      <c r="AQ43" s="58">
        <f>IF(ISNA(VLOOKUP($CW43,'Audit Values'!$A:$BX,2,FALSE)),'Preliminary SO66'!X42,VLOOKUP($CW43,'Audit Values'!$A:$BX,48,FALSE))</f>
        <v>0</v>
      </c>
      <c r="AR43" s="58">
        <f t="shared" si="37"/>
        <v>30999.1</v>
      </c>
      <c r="AS43" s="58">
        <f>SUM(U43+V43+AA43+AC43+AF43+AI43+AL43+AM43+AN43+AQ43)</f>
        <v>27637.599999999999</v>
      </c>
      <c r="AT43" s="58">
        <f>IF(ISNA(VLOOKUP($CW43,'Audit Values'!$A$2:$BX$410,2,FALSE)),'Preliminary SO66'!AA42,VLOOKUP($CW43,'Audit Values'!$A$2:$BX$410,41,FALSE))</f>
        <v>20</v>
      </c>
      <c r="AU43" s="58">
        <f>IF(ISNA(VLOOKUP($CW43,'Audit Values'!$A$2:$BX$410,2,FALSE)),'Preliminary SO66'!AB42,VLOOKUP($CW43,'Audit Values'!$A$2:$BX$410,42,FALSE))</f>
        <v>39.6</v>
      </c>
      <c r="AV43" s="73">
        <v>0</v>
      </c>
      <c r="AW43" s="73">
        <v>0</v>
      </c>
      <c r="AX43" s="24">
        <f>SUM(AT43*'Weighting Factors'!$R$10)+('2024 Legal Max'!AU43*'Weighting Factors'!$R$11)+('2024 Legal Max'!AV43*'Weighting Factors'!$R$12)+('2024 Legal Max'!AW43*'Weighting Factors'!$R$12)</f>
        <v>222880</v>
      </c>
      <c r="AY43" s="54">
        <f>IF(ISNA(VLOOKUP($CW43,'Audit Values'!$A$2:$BX$429,2,FALSE)),"",IF(AND('Weighting Factors'!G43&gt;0,VLOOKUP($CW43,'Audit Values'!$A$2:$BX$429,51,FALSE)&lt;'Weighting Factors'!G43),'Weighting Factors'!G43,VLOOKUP($CW43,'Audit Values'!$A$2:$BX$429,51,FALSE)))</f>
        <v>25</v>
      </c>
      <c r="AZ43" s="54" t="str">
        <f>IF(ISNA(VLOOKUP($CW43,'Audit Values'!$A:$BY,2,FALSE)),"",VLOOKUP($CW43,'Audit Values'!$A:$BY,52,FALSE))</f>
        <v>A</v>
      </c>
      <c r="BA43" s="54" t="str">
        <f>IF('Weighting Factors'!F43="","",IF('Weighting Factors'!H43="Pending","PX","R"))</f>
        <v>R</v>
      </c>
      <c r="BB43" s="60">
        <f>SUM((U43+V43+AA43+AC43+AF43+AI43+AL43+AM43+AQ43+AN43)*'Weighting Factors'!$O$5)+'2024 Legal Max'!AX43</f>
        <v>140842989</v>
      </c>
      <c r="BC43" s="24">
        <f>SUM((AR43+AN43)*'Weighting Factors'!$O$5)+AX43</f>
        <v>168992349</v>
      </c>
      <c r="BD43" s="67">
        <f>IF('Weighting Factors'!F43&gt;0,'Weighting Factors'!F43,'Preliminary SO66'!AV42)</f>
        <v>169166867</v>
      </c>
      <c r="BE43" s="24">
        <f t="shared" si="66"/>
        <v>168992349</v>
      </c>
      <c r="BF43" s="71">
        <f>'Weighting Factors'!E43</f>
        <v>0</v>
      </c>
      <c r="BG43" s="71">
        <f>Transportation!G43</f>
        <v>0</v>
      </c>
      <c r="BH43" s="24">
        <f>IF(ISNA(VLOOKUP($CW43,'Audit Values'!$A:$BW,2,FALSE)), 0, VLOOKUP($CW43,'Audit Values'!$A:$BW,75,FALSE))</f>
        <v>0</v>
      </c>
      <c r="BI43" s="24">
        <f t="shared" si="67"/>
        <v>0</v>
      </c>
      <c r="BJ43" s="24">
        <f t="shared" si="68"/>
        <v>168992349</v>
      </c>
      <c r="BK43" s="24">
        <f>SUM((U43+V43+AA43+AC43+AF43+AI43+AL43+AM43+AN43)*'Weighting Factors'!O$12)+(MAX(AO43,'Weighting Factors'!B43))</f>
        <v>170704088</v>
      </c>
      <c r="BL43" s="78">
        <f>'LOB%'!F41</f>
        <v>0.33</v>
      </c>
      <c r="BM43" s="24">
        <f t="shared" si="12"/>
        <v>56332349</v>
      </c>
      <c r="BN43" s="67">
        <v>56213261</v>
      </c>
      <c r="BO43" s="24">
        <f t="shared" si="69"/>
        <v>56213261</v>
      </c>
      <c r="BP43" s="89">
        <f t="shared" si="13"/>
        <v>0.32929999999999998</v>
      </c>
      <c r="BQ43" s="58">
        <f t="shared" si="14"/>
        <v>0</v>
      </c>
      <c r="BR43" s="1" t="b">
        <f t="shared" si="15"/>
        <v>0</v>
      </c>
      <c r="BS43" s="76">
        <f t="shared" si="16"/>
        <v>0</v>
      </c>
      <c r="BT43" s="75">
        <f t="shared" si="70"/>
        <v>0</v>
      </c>
      <c r="BU43" s="58">
        <f t="shared" si="18"/>
        <v>0</v>
      </c>
      <c r="BV43" s="1" t="b">
        <f t="shared" si="19"/>
        <v>0</v>
      </c>
      <c r="BW43" s="1">
        <f t="shared" si="20"/>
        <v>0</v>
      </c>
      <c r="BX43" s="75">
        <f t="shared" si="71"/>
        <v>0</v>
      </c>
      <c r="BY43" s="58">
        <f t="shared" si="22"/>
        <v>0</v>
      </c>
      <c r="BZ43" s="58">
        <f t="shared" si="23"/>
        <v>764.7</v>
      </c>
      <c r="CA43" s="61">
        <v>91</v>
      </c>
      <c r="CB43" s="102">
        <f t="shared" si="24"/>
        <v>43.143000000000001</v>
      </c>
      <c r="CC43" s="105">
        <f>IF(CB43&lt;0.06,1,IF(CB43&gt;=18.29,52,MATCH(CB43-0.001,'Weighting Factors'!$W$5:$W$156)+1))</f>
        <v>52</v>
      </c>
      <c r="CD43" s="24">
        <f>VLOOKUP(CC43, 'Weighting Factors'!$U$5:$X$56,4)</f>
        <v>550</v>
      </c>
      <c r="CE43" s="109">
        <f>('Weighting Factors'!$O$5/'Weighting Factors'!$O$14)</f>
        <v>1.2216</v>
      </c>
      <c r="CF43" s="100">
        <f t="shared" si="25"/>
        <v>2159300</v>
      </c>
      <c r="CG43" s="100">
        <f>CF43*'Weighting Factors'!$Q$7</f>
        <v>2159300</v>
      </c>
      <c r="CH43" s="100">
        <f t="shared" si="72"/>
        <v>2637801</v>
      </c>
      <c r="CI43" s="58">
        <f>AK43/'Weighting Factors'!$O$5</f>
        <v>518.4</v>
      </c>
      <c r="CJ43" s="67">
        <v>4367003</v>
      </c>
      <c r="CK43" s="80">
        <v>11046249</v>
      </c>
      <c r="CL43" s="110">
        <v>7.0000000000000007E-2</v>
      </c>
      <c r="CM43" s="24">
        <f>SUM((AR43*'Weighting Factors'!$O$5)+'2024 Legal Max'!AX43)*CL43</f>
        <v>11056241</v>
      </c>
      <c r="CN43" s="24">
        <f t="shared" si="73"/>
        <v>11046249</v>
      </c>
      <c r="CO43" s="65">
        <f t="shared" si="4"/>
        <v>8.9200000000000002E-2</v>
      </c>
      <c r="CP43" s="58">
        <f t="shared" si="28"/>
        <v>0</v>
      </c>
      <c r="CQ43" s="58">
        <f t="shared" si="29"/>
        <v>0</v>
      </c>
      <c r="CR43" s="58">
        <f t="shared" si="30"/>
        <v>33170.1</v>
      </c>
      <c r="CS43" s="24">
        <f>'Required Transfers'!L43</f>
        <v>1618942</v>
      </c>
      <c r="CT43" s="24">
        <f>'Required Transfers'!O43</f>
        <v>213610</v>
      </c>
      <c r="CU43" s="24">
        <f>'Required Transfers'!H43</f>
        <v>4863619</v>
      </c>
      <c r="CV43" s="58">
        <f t="shared" si="31"/>
        <v>21913.4</v>
      </c>
      <c r="CW43" s="27" t="s">
        <v>228</v>
      </c>
    </row>
    <row r="44" spans="1:101" ht="15" customHeight="1">
      <c r="A44" s="54">
        <v>230</v>
      </c>
      <c r="B44" s="1" t="s">
        <v>22</v>
      </c>
      <c r="C44" s="1" t="s">
        <v>549</v>
      </c>
      <c r="D44" s="58">
        <v>3307.5</v>
      </c>
      <c r="E44" s="58">
        <v>2</v>
      </c>
      <c r="F44" s="58">
        <v>0</v>
      </c>
      <c r="G44" s="58">
        <f t="shared" si="32"/>
        <v>3305.5</v>
      </c>
      <c r="H44" s="58">
        <v>3572.7</v>
      </c>
      <c r="I44" s="58"/>
      <c r="J44" s="58">
        <v>0</v>
      </c>
      <c r="K44" s="58">
        <f t="shared" si="33"/>
        <v>3572.7</v>
      </c>
      <c r="L44" s="1">
        <v>3654</v>
      </c>
      <c r="N44" s="1">
        <v>0</v>
      </c>
      <c r="O44" s="58">
        <f t="shared" si="34"/>
        <v>3654</v>
      </c>
      <c r="P44" s="58">
        <f>IF(ISNA(VLOOKUP($CW44,'Audit Values'!$A:$BZ,2,FALSE)),'Preliminary SO66'!C43,VLOOKUP($CW44,'Audit Values'!$A:$BZ,76,FALSE))</f>
        <v>3840.4</v>
      </c>
      <c r="Q44" s="58">
        <f>IF(ISNA(VLOOKUP($CW44,'Audit Values'!$A:$BZ,2,FALSE)),'Preliminary SO66'!F43,VLOOKUP($CW44,'Audit Values'!$A:$BZ,4,FALSE))</f>
        <v>0</v>
      </c>
      <c r="R44" s="58">
        <f t="shared" si="61"/>
        <v>3840.4</v>
      </c>
      <c r="S44" s="58">
        <f>IF('Military Provision'!I44="YES", MAX('2024 Legal Max'!O44,'2024 Legal Max'!K44,AVERAGE('2024 Legal Max'!G44,'2024 Legal Max'!K44,'2024 Legal Max'!O44)), MAX(O44, K44))</f>
        <v>3654</v>
      </c>
      <c r="T44" s="58">
        <f>IF(ISNA(VLOOKUP($CW44,'Audit Values'!$A:$BX,2,FALSE)),'Preliminary SO66'!AL43,VLOOKUP($CW44,'Audit Values'!$A:$BX,59,FALSE))</f>
        <v>18.5</v>
      </c>
      <c r="U44" s="58">
        <f t="shared" si="62"/>
        <v>3672.5</v>
      </c>
      <c r="V44" s="58">
        <f>'Low-High ENRL- 2023 HSubSB 113'!N47</f>
        <v>128.69999999999999</v>
      </c>
      <c r="W44" s="58">
        <f>IF(ISNA(VLOOKUP($CW44,'Audit Values'!$A:$BZ,2,FALSE)),'Preliminary SO66'!AM43,VLOOKUP($CW44,'Audit Values'!$A:$BZ,63,FALSE))</f>
        <v>34.5</v>
      </c>
      <c r="X44" s="58">
        <f>(W44/6)*'Weighting Factors'!$O$7</f>
        <v>2.2999999999999998</v>
      </c>
      <c r="Y44" s="61">
        <f>IF(ISNA(VLOOKUP($CW44,'Audit Values'!$A:$BZ,2,FALSE)),'Preliminary SO66'!AN43,VLOOKUP($CW44,'Audit Values'!$A:$BZ,62,FALSE))</f>
        <v>72</v>
      </c>
      <c r="Z44" s="58">
        <f>Y44*'Weighting Factors'!$O$8</f>
        <v>13.3</v>
      </c>
      <c r="AA44" s="58">
        <f t="shared" si="63"/>
        <v>13.3</v>
      </c>
      <c r="AB44" s="106">
        <f>IF(ISNA(VLOOKUP($CW44,'Audit Values'!$A:$BZ,2,FALSE)),'Preliminary SO66'!AO43,VLOOKUP($CW44,'Audit Values'!$A:$BZ,61,FALSE))</f>
        <v>716.6</v>
      </c>
      <c r="AC44" s="58">
        <f>AB44/6*'Weighting Factors'!$O$6</f>
        <v>59.7</v>
      </c>
      <c r="AD44" s="24">
        <f>IF(ISNA(VLOOKUP($CW44,'Audit Values'!$A:$BX,2,FALSE)),'Preliminary SO66'!AS43,VLOOKUP($CW44,'Audit Values'!$A:$BX,64,FALSE))</f>
        <v>3903</v>
      </c>
      <c r="AE44" s="24">
        <f>IF(ISNA(VLOOKUP($CW44,'Audit Values'!$A:$BX,2,FALSE)),'Preliminary SO66'!AP43,VLOOKUP($CW44,'Audit Values'!$A:$BX,65,FALSE))</f>
        <v>539</v>
      </c>
      <c r="AF44" s="58">
        <f>IF(A44=207, AE44,(AE44))*'Weighting Factors'!$O$9</f>
        <v>260.89999999999998</v>
      </c>
      <c r="AG44" s="58">
        <f t="shared" si="50"/>
        <v>0</v>
      </c>
      <c r="AH44" s="58">
        <f>IF(ISNA(VLOOKUP($CW44,'Audit Values'!$A:$BZ,2,FALSE)),'Preliminary SO66'!AG43,VLOOKUP($CW44,'Audit Values'!$A:$BZ,71,FALSE))</f>
        <v>0</v>
      </c>
      <c r="AI44" s="58">
        <f t="shared" si="64"/>
        <v>0</v>
      </c>
      <c r="AJ44" s="58">
        <f>IF(ISNA(VLOOKUP($CW44,'Audit Values'!$A:$BX,2,FALSE)),'Preliminary SO66'!AR43,VLOOKUP($CW44,'Audit Values'!$A:$BX,66,FALSE))</f>
        <v>1443</v>
      </c>
      <c r="AK44" s="24">
        <f t="shared" si="65"/>
        <v>969523</v>
      </c>
      <c r="AL44" s="58">
        <f>AK44/'Weighting Factors'!$O$5</f>
        <v>190.6</v>
      </c>
      <c r="AM44" s="58">
        <f>CJ44/'Weighting Factors'!$O$5</f>
        <v>711.5</v>
      </c>
      <c r="AN44" s="58">
        <f>CN44/'Weighting Factors'!$O$5</f>
        <v>236.5</v>
      </c>
      <c r="AO44" s="24">
        <v>4138323</v>
      </c>
      <c r="AP44" s="58">
        <f>AO44/'Weighting Factors'!$O$5</f>
        <v>813.3</v>
      </c>
      <c r="AQ44" s="58">
        <f>IF(ISNA(VLOOKUP($CW44,'Audit Values'!$A:$BX,2,FALSE)),'Preliminary SO66'!X43,VLOOKUP($CW44,'Audit Values'!$A:$BX,48,FALSE))</f>
        <v>0</v>
      </c>
      <c r="AR44" s="58">
        <f t="shared" si="37"/>
        <v>5850.5</v>
      </c>
      <c r="AS44" s="58">
        <f t="shared" si="38"/>
        <v>5273.7</v>
      </c>
      <c r="AT44" s="58">
        <f>IF(ISNA(VLOOKUP($CW44,'Audit Values'!$A$2:$BX$410,2,FALSE)),'Preliminary SO66'!AA43,VLOOKUP($CW44,'Audit Values'!$A$2:$BX$410,41,FALSE))</f>
        <v>1632</v>
      </c>
      <c r="AU44" s="58">
        <f>IF(ISNA(VLOOKUP($CW44,'Audit Values'!$A$2:$BX$410,2,FALSE)),'Preliminary SO66'!AB43,VLOOKUP($CW44,'Audit Values'!$A$2:$BX$410,42,FALSE))</f>
        <v>9</v>
      </c>
      <c r="AV44" s="73">
        <v>110</v>
      </c>
      <c r="AW44" s="73">
        <v>0</v>
      </c>
      <c r="AX44" s="24">
        <f>SUM(AT44*'Weighting Factors'!$R$10)+('2024 Legal Max'!AU44*'Weighting Factors'!$R$11)+('2024 Legal Max'!AV44*'Weighting Factors'!$R$12)+('2024 Legal Max'!AW44*'Weighting Factors'!$R$12)</f>
        <v>9242390</v>
      </c>
      <c r="AY44" s="54">
        <f>IF(ISNA(VLOOKUP($CW44,'Audit Values'!$A$2:$BX$429,2,FALSE)),"",IF(AND('Weighting Factors'!G44&gt;0,VLOOKUP($CW44,'Audit Values'!$A$2:$BX$429,51,FALSE)&lt;'Weighting Factors'!G44),'Weighting Factors'!G44,VLOOKUP($CW44,'Audit Values'!$A$2:$BX$429,51,FALSE)))</f>
        <v>15</v>
      </c>
      <c r="AZ44" s="54" t="str">
        <f>IF(ISNA(VLOOKUP($CW44,'Audit Values'!$A:$BY,2,FALSE)),"",VLOOKUP($CW44,'Audit Values'!$A:$BY,52,FALSE))</f>
        <v>A</v>
      </c>
      <c r="BA44" s="54" t="str">
        <f>IF('Weighting Factors'!F44="","",IF('Weighting Factors'!H44="Pending","PX","R"))</f>
        <v/>
      </c>
      <c r="BB44" s="60">
        <f>SUM((U44+V44+AA44+AC44+AF44+AI44+AL44+AM44+AQ44+AN44)*'Weighting Factors'!$O$5)+'2024 Legal Max'!AX44</f>
        <v>36074976</v>
      </c>
      <c r="BC44" s="24">
        <f>SUM((AR44+AN44)*'Weighting Factors'!$O$5)+AX44</f>
        <v>40213046</v>
      </c>
      <c r="BD44" s="67">
        <f>IF('Weighting Factors'!F44&gt;0,'Weighting Factors'!F44,'Preliminary SO66'!AV43)</f>
        <v>41321190</v>
      </c>
      <c r="BE44" s="24">
        <f t="shared" si="66"/>
        <v>40213046</v>
      </c>
      <c r="BF44" s="71">
        <f>'Weighting Factors'!E44</f>
        <v>0</v>
      </c>
      <c r="BG44" s="71">
        <f>Transportation!G44</f>
        <v>0</v>
      </c>
      <c r="BH44" s="24">
        <f>IF(ISNA(VLOOKUP($CW44,'Audit Values'!$A:$BW,2,FALSE)), 0, VLOOKUP($CW44,'Audit Values'!$A:$BW,75,FALSE))</f>
        <v>-19990</v>
      </c>
      <c r="BI44" s="24">
        <f t="shared" si="67"/>
        <v>-19990</v>
      </c>
      <c r="BJ44" s="24">
        <f t="shared" si="68"/>
        <v>40193056</v>
      </c>
      <c r="BK44" s="24">
        <f>SUM((U44+V44+AA44+AC44+AF44+AI44+AL44+AM44+AN44)*'Weighting Factors'!O$12)+(MAX(AO44,'Weighting Factors'!B44))</f>
        <v>31340068</v>
      </c>
      <c r="BL44" s="78">
        <f>'LOB%'!F42</f>
        <v>0.33</v>
      </c>
      <c r="BM44" s="24">
        <f t="shared" si="12"/>
        <v>10342222</v>
      </c>
      <c r="BN44" s="67">
        <v>10683863</v>
      </c>
      <c r="BO44" s="24">
        <f t="shared" si="69"/>
        <v>10342222</v>
      </c>
      <c r="BP44" s="89">
        <f t="shared" si="13"/>
        <v>0.33</v>
      </c>
      <c r="BQ44" s="58">
        <f t="shared" si="14"/>
        <v>0</v>
      </c>
      <c r="BR44" s="1" t="b">
        <f t="shared" si="15"/>
        <v>0</v>
      </c>
      <c r="BS44" s="76">
        <f t="shared" si="16"/>
        <v>0</v>
      </c>
      <c r="BT44" s="75">
        <f t="shared" si="70"/>
        <v>0</v>
      </c>
      <c r="BU44" s="58">
        <f t="shared" si="18"/>
        <v>0</v>
      </c>
      <c r="BV44" s="1" t="b">
        <f t="shared" si="19"/>
        <v>0</v>
      </c>
      <c r="BW44" s="1">
        <f t="shared" si="20"/>
        <v>0</v>
      </c>
      <c r="BX44" s="75">
        <f t="shared" si="71"/>
        <v>0</v>
      </c>
      <c r="BY44" s="58">
        <f t="shared" si="22"/>
        <v>0</v>
      </c>
      <c r="BZ44" s="58">
        <f t="shared" si="23"/>
        <v>128.69999999999999</v>
      </c>
      <c r="CA44" s="61">
        <v>71</v>
      </c>
      <c r="CB44" s="102">
        <f t="shared" si="24"/>
        <v>20.324000000000002</v>
      </c>
      <c r="CC44" s="105">
        <f>IF(CB44&lt;0.06,1,IF(CB44&gt;=18.29,52,MATCH(CB44-0.001,'Weighting Factors'!$W$5:$W$156)+1))</f>
        <v>52</v>
      </c>
      <c r="CD44" s="24">
        <f>VLOOKUP(CC44, 'Weighting Factors'!$U$5:$X$56,4)</f>
        <v>550</v>
      </c>
      <c r="CE44" s="109">
        <f>('Weighting Factors'!$O$5/'Weighting Factors'!$O$14)</f>
        <v>1.2216</v>
      </c>
      <c r="CF44" s="100">
        <f t="shared" si="25"/>
        <v>793650</v>
      </c>
      <c r="CG44" s="100">
        <f>CF44*'Weighting Factors'!$Q$7</f>
        <v>793650</v>
      </c>
      <c r="CH44" s="100">
        <f t="shared" si="72"/>
        <v>969523</v>
      </c>
      <c r="CI44" s="58">
        <f>AK44/'Weighting Factors'!$O$5</f>
        <v>190.6</v>
      </c>
      <c r="CJ44" s="67">
        <v>3620000</v>
      </c>
      <c r="CK44" s="80">
        <v>1203536</v>
      </c>
      <c r="CL44" s="110">
        <v>6.9199999999999998E-2</v>
      </c>
      <c r="CM44" s="24">
        <f>SUM((AR44*'Weighting Factors'!$O$5)+'2024 Legal Max'!AX44)*CL44</f>
        <v>2699474</v>
      </c>
      <c r="CN44" s="24">
        <f t="shared" si="73"/>
        <v>1203536</v>
      </c>
      <c r="CO44" s="65">
        <f t="shared" si="4"/>
        <v>0.1381</v>
      </c>
      <c r="CP44" s="58">
        <f t="shared" si="28"/>
        <v>0</v>
      </c>
      <c r="CQ44" s="58">
        <f t="shared" si="29"/>
        <v>0</v>
      </c>
      <c r="CR44" s="58">
        <f t="shared" si="30"/>
        <v>6087</v>
      </c>
      <c r="CS44" s="24">
        <f>'Required Transfers'!L44</f>
        <v>444716</v>
      </c>
      <c r="CT44" s="24">
        <f>'Required Transfers'!O44</f>
        <v>22753</v>
      </c>
      <c r="CU44" s="24">
        <f>'Required Transfers'!H44</f>
        <v>1327459</v>
      </c>
      <c r="CV44" s="58">
        <f t="shared" si="31"/>
        <v>5518.2</v>
      </c>
      <c r="CW44" s="27" t="s">
        <v>229</v>
      </c>
    </row>
    <row r="45" spans="1:101" ht="15" customHeight="1">
      <c r="A45" s="54">
        <v>231</v>
      </c>
      <c r="B45" s="1" t="s">
        <v>22</v>
      </c>
      <c r="C45" s="1" t="s">
        <v>550</v>
      </c>
      <c r="D45" s="58">
        <v>5681.6</v>
      </c>
      <c r="E45" s="58"/>
      <c r="F45" s="58">
        <v>0</v>
      </c>
      <c r="G45" s="58">
        <f t="shared" si="32"/>
        <v>5681.6</v>
      </c>
      <c r="H45" s="58">
        <v>5688.7</v>
      </c>
      <c r="I45" s="58">
        <v>2</v>
      </c>
      <c r="J45" s="58">
        <v>0</v>
      </c>
      <c r="K45" s="58">
        <f t="shared" si="33"/>
        <v>5686.7</v>
      </c>
      <c r="L45" s="1">
        <v>5762.7</v>
      </c>
      <c r="N45" s="1">
        <v>0</v>
      </c>
      <c r="O45" s="58">
        <f t="shared" si="34"/>
        <v>5762.7</v>
      </c>
      <c r="P45" s="58">
        <f>IF(ISNA(VLOOKUP($CW45,'Audit Values'!$A:$BZ,2,FALSE)),'Preliminary SO66'!C44,VLOOKUP($CW45,'Audit Values'!$A:$BZ,76,FALSE))</f>
        <v>5676.4</v>
      </c>
      <c r="Q45" s="58">
        <f>IF(ISNA(VLOOKUP($CW45,'Audit Values'!$A:$BZ,2,FALSE)),'Preliminary SO66'!F44,VLOOKUP($CW45,'Audit Values'!$A:$BZ,4,FALSE))</f>
        <v>0</v>
      </c>
      <c r="R45" s="58">
        <f t="shared" si="61"/>
        <v>5676.4</v>
      </c>
      <c r="S45" s="58">
        <f>IF('Military Provision'!I45="YES", MAX('2024 Legal Max'!O45,'2024 Legal Max'!K45,AVERAGE('2024 Legal Max'!G45,'2024 Legal Max'!K45,'2024 Legal Max'!O45)), MAX(O45, K45))</f>
        <v>5762.7</v>
      </c>
      <c r="T45" s="58">
        <f>IF(ISNA(VLOOKUP($CW45,'Audit Values'!$A:$BX,2,FALSE)),'Preliminary SO66'!AL44,VLOOKUP($CW45,'Audit Values'!$A:$BX,59,FALSE))</f>
        <v>20.5</v>
      </c>
      <c r="U45" s="58">
        <f t="shared" si="62"/>
        <v>5783.2</v>
      </c>
      <c r="V45" s="58">
        <f>'Low-High ENRL- 2023 HSubSB 113'!N48</f>
        <v>202.6</v>
      </c>
      <c r="W45" s="58">
        <f>IF(ISNA(VLOOKUP($CW45,'Audit Values'!$A:$BZ,2,FALSE)),'Preliminary SO66'!AM44,VLOOKUP($CW45,'Audit Values'!$A:$BZ,63,FALSE))</f>
        <v>318.60000000000002</v>
      </c>
      <c r="X45" s="58">
        <f>(W45/6)*'Weighting Factors'!$O$7</f>
        <v>21</v>
      </c>
      <c r="Y45" s="61">
        <f>IF(ISNA(VLOOKUP($CW45,'Audit Values'!$A:$BZ,2,FALSE)),'Preliminary SO66'!AN44,VLOOKUP($CW45,'Audit Values'!$A:$BZ,62,FALSE))</f>
        <v>166</v>
      </c>
      <c r="Z45" s="58">
        <f>Y45*'Weighting Factors'!$O$8</f>
        <v>30.7</v>
      </c>
      <c r="AA45" s="58">
        <f t="shared" si="63"/>
        <v>30.7</v>
      </c>
      <c r="AB45" s="106">
        <f>IF(ISNA(VLOOKUP($CW45,'Audit Values'!$A:$BZ,2,FALSE)),'Preliminary SO66'!AO44,VLOOKUP($CW45,'Audit Values'!$A:$BZ,61,FALSE))</f>
        <v>1309.2</v>
      </c>
      <c r="AC45" s="58">
        <f>AB45/6*'Weighting Factors'!$O$6</f>
        <v>109.1</v>
      </c>
      <c r="AD45" s="24">
        <f>IF(ISNA(VLOOKUP($CW45,'Audit Values'!$A:$BX,2,FALSE)),'Preliminary SO66'!AS44,VLOOKUP($CW45,'Audit Values'!$A:$BX,64,FALSE))</f>
        <v>5780</v>
      </c>
      <c r="AE45" s="24">
        <f>IF(ISNA(VLOOKUP($CW45,'Audit Values'!$A:$BX,2,FALSE)),'Preliminary SO66'!AP44,VLOOKUP($CW45,'Audit Values'!$A:$BX,65,FALSE))</f>
        <v>1869</v>
      </c>
      <c r="AF45" s="58">
        <f>IF(A45=207, AE45,(AE45))*'Weighting Factors'!$O$9</f>
        <v>904.6</v>
      </c>
      <c r="AG45" s="58">
        <f t="shared" si="50"/>
        <v>0</v>
      </c>
      <c r="AH45" s="58">
        <f>IF(ISNA(VLOOKUP($CW45,'Audit Values'!$A:$BZ,2,FALSE)),'Preliminary SO66'!AG44,VLOOKUP($CW45,'Audit Values'!$A:$BZ,71,FALSE))</f>
        <v>34.799999999999997</v>
      </c>
      <c r="AI45" s="58">
        <f t="shared" si="64"/>
        <v>34.799999999999997</v>
      </c>
      <c r="AJ45" s="58">
        <f>IF(ISNA(VLOOKUP($CW45,'Audit Values'!$A:$BX,2,FALSE)),'Preliminary SO66'!AR44,VLOOKUP($CW45,'Audit Values'!$A:$BX,66,FALSE))</f>
        <v>1068</v>
      </c>
      <c r="AK45" s="24">
        <f t="shared" si="65"/>
        <v>821941</v>
      </c>
      <c r="AL45" s="58">
        <f>AK45/'Weighting Factors'!$O$5</f>
        <v>161.5</v>
      </c>
      <c r="AM45" s="58">
        <f>CJ45/'Weighting Factors'!$O$5</f>
        <v>90.8</v>
      </c>
      <c r="AN45" s="58">
        <f>CN45/'Weighting Factors'!$O$5</f>
        <v>241</v>
      </c>
      <c r="AO45" s="24">
        <v>8972779</v>
      </c>
      <c r="AP45" s="58">
        <f>AO45/'Weighting Factors'!$O$5</f>
        <v>1763.5</v>
      </c>
      <c r="AQ45" s="58">
        <f>IF(ISNA(VLOOKUP($CW45,'Audit Values'!$A:$BX,2,FALSE)),'Preliminary SO66'!X44,VLOOKUP($CW45,'Audit Values'!$A:$BX,48,FALSE))</f>
        <v>0</v>
      </c>
      <c r="AR45" s="58">
        <f t="shared" si="37"/>
        <v>9080.7999999999993</v>
      </c>
      <c r="AS45" s="58">
        <f t="shared" si="38"/>
        <v>7558.3</v>
      </c>
      <c r="AT45" s="58">
        <f>IF(ISNA(VLOOKUP($CW45,'Audit Values'!$A$2:$BX$410,2,FALSE)),'Preliminary SO66'!AA44,VLOOKUP($CW45,'Audit Values'!$A$2:$BX$410,41,FALSE))</f>
        <v>0</v>
      </c>
      <c r="AU45" s="58">
        <f>IF(ISNA(VLOOKUP($CW45,'Audit Values'!$A$2:$BX$410,2,FALSE)),'Preliminary SO66'!AB44,VLOOKUP($CW45,'Audit Values'!$A$2:$BX$410,42,FALSE))</f>
        <v>0</v>
      </c>
      <c r="AV45" s="73">
        <v>0</v>
      </c>
      <c r="AW45" s="73">
        <v>0</v>
      </c>
      <c r="AX45" s="24">
        <f>SUM(AT45*'Weighting Factors'!$R$10)+('2024 Legal Max'!AU45*'Weighting Factors'!$R$11)+('2024 Legal Max'!AV45*'Weighting Factors'!$R$12)+('2024 Legal Max'!AW45*'Weighting Factors'!$R$12)</f>
        <v>0</v>
      </c>
      <c r="AY45" s="54">
        <f>IF(ISNA(VLOOKUP($CW45,'Audit Values'!$A$2:$BX$429,2,FALSE)),"",IF(AND('Weighting Factors'!G45&gt;0,VLOOKUP($CW45,'Audit Values'!$A$2:$BX$429,51,FALSE)&lt;'Weighting Factors'!G45),'Weighting Factors'!G45,VLOOKUP($CW45,'Audit Values'!$A$2:$BX$429,51,FALSE)))</f>
        <v>13</v>
      </c>
      <c r="AZ45" s="54" t="str">
        <f>IF(ISNA(VLOOKUP($CW45,'Audit Values'!$A:$BY,2,FALSE)),"",VLOOKUP($CW45,'Audit Values'!$A:$BY,52,FALSE))</f>
        <v>A</v>
      </c>
      <c r="BA45" s="54" t="str">
        <f>IF('Weighting Factors'!F45="","",IF('Weighting Factors'!H45="Pending","PX","R"))</f>
        <v/>
      </c>
      <c r="BB45" s="60">
        <f>SUM((U45+V45+AA45+AC45+AF45+AI45+AL45+AM45+AQ45+AN45)*'Weighting Factors'!$O$5)+'2024 Legal Max'!AX45</f>
        <v>38456630</v>
      </c>
      <c r="BC45" s="24">
        <f>SUM((AR45+AN45)*'Weighting Factors'!$O$5)+AX45</f>
        <v>47429318</v>
      </c>
      <c r="BD45" s="67">
        <f>IF('Weighting Factors'!F45&gt;0,'Weighting Factors'!F45,'Preliminary SO66'!AV44)</f>
        <v>47846026</v>
      </c>
      <c r="BE45" s="24">
        <f t="shared" si="66"/>
        <v>47429318</v>
      </c>
      <c r="BF45" s="71">
        <f>'Weighting Factors'!E45</f>
        <v>0</v>
      </c>
      <c r="BG45" s="71">
        <f>Transportation!G45</f>
        <v>0</v>
      </c>
      <c r="BH45" s="24">
        <f>IF(ISNA(VLOOKUP($CW45,'Audit Values'!$A:$BW,2,FALSE)), 0, VLOOKUP($CW45,'Audit Values'!$A:$BW,75,FALSE))</f>
        <v>0</v>
      </c>
      <c r="BI45" s="24">
        <f t="shared" si="67"/>
        <v>0</v>
      </c>
      <c r="BJ45" s="24">
        <f t="shared" si="68"/>
        <v>47429318</v>
      </c>
      <c r="BK45" s="24">
        <f>SUM((U45+V45+AA45+AC45+AF45+AI45+AL45+AM45+AN45)*'Weighting Factors'!O$12)+(MAX(AO45,'Weighting Factors'!B45))</f>
        <v>47958490</v>
      </c>
      <c r="BL45" s="78">
        <f>'LOB%'!F43</f>
        <v>0.33</v>
      </c>
      <c r="BM45" s="24">
        <f t="shared" si="12"/>
        <v>15826302</v>
      </c>
      <c r="BN45" s="67">
        <v>15943368</v>
      </c>
      <c r="BO45" s="24">
        <f t="shared" si="69"/>
        <v>15826302</v>
      </c>
      <c r="BP45" s="89">
        <f t="shared" si="13"/>
        <v>0.33</v>
      </c>
      <c r="BQ45" s="58">
        <f t="shared" si="14"/>
        <v>0</v>
      </c>
      <c r="BR45" s="1" t="b">
        <f t="shared" si="15"/>
        <v>0</v>
      </c>
      <c r="BS45" s="76">
        <f t="shared" si="16"/>
        <v>0</v>
      </c>
      <c r="BT45" s="75">
        <f t="shared" si="70"/>
        <v>0</v>
      </c>
      <c r="BU45" s="58">
        <f t="shared" si="18"/>
        <v>0</v>
      </c>
      <c r="BV45" s="1" t="b">
        <f t="shared" si="19"/>
        <v>0</v>
      </c>
      <c r="BW45" s="1">
        <f t="shared" si="20"/>
        <v>0</v>
      </c>
      <c r="BX45" s="75">
        <f t="shared" si="71"/>
        <v>0</v>
      </c>
      <c r="BY45" s="58">
        <f t="shared" si="22"/>
        <v>0</v>
      </c>
      <c r="BZ45" s="58">
        <f t="shared" si="23"/>
        <v>202.6</v>
      </c>
      <c r="CA45" s="61">
        <v>103</v>
      </c>
      <c r="CB45" s="102">
        <f t="shared" si="24"/>
        <v>10.369</v>
      </c>
      <c r="CC45" s="105">
        <f>IF(CB45&lt;0.06,1,IF(CB45&gt;=18.29,52,MATCH(CB45-0.001,'Weighting Factors'!$W$5:$W$156)+1))</f>
        <v>48</v>
      </c>
      <c r="CD45" s="24">
        <f>VLOOKUP(CC45, 'Weighting Factors'!$U$5:$X$56,4)</f>
        <v>630</v>
      </c>
      <c r="CE45" s="109">
        <f>('Weighting Factors'!$O$5/'Weighting Factors'!$O$14)</f>
        <v>1.2216</v>
      </c>
      <c r="CF45" s="100">
        <f t="shared" si="25"/>
        <v>672840</v>
      </c>
      <c r="CG45" s="100">
        <f>CF45*'Weighting Factors'!$Q$7</f>
        <v>672840</v>
      </c>
      <c r="CH45" s="100">
        <f t="shared" si="72"/>
        <v>821941</v>
      </c>
      <c r="CI45" s="58">
        <f>AK45/'Weighting Factors'!$O$5</f>
        <v>161.5</v>
      </c>
      <c r="CJ45" s="67">
        <v>462060</v>
      </c>
      <c r="CK45" s="80">
        <v>1226101</v>
      </c>
      <c r="CL45" s="110">
        <v>2.87E-2</v>
      </c>
      <c r="CM45" s="24">
        <f>SUM((AR45*'Weighting Factors'!$O$5)+'2024 Legal Max'!AX45)*CL45</f>
        <v>1326029</v>
      </c>
      <c r="CN45" s="24">
        <f t="shared" si="73"/>
        <v>1226101</v>
      </c>
      <c r="CO45" s="65">
        <f t="shared" si="4"/>
        <v>0.32340000000000002</v>
      </c>
      <c r="CP45" s="58">
        <f t="shared" si="28"/>
        <v>0</v>
      </c>
      <c r="CQ45" s="58">
        <f t="shared" si="29"/>
        <v>0</v>
      </c>
      <c r="CR45" s="58">
        <f t="shared" si="30"/>
        <v>9321.7999999999993</v>
      </c>
      <c r="CS45" s="24">
        <f>'Required Transfers'!L45</f>
        <v>1539899</v>
      </c>
      <c r="CT45" s="24">
        <f>'Required Transfers'!O45</f>
        <v>52227</v>
      </c>
      <c r="CU45" s="24">
        <f>'Required Transfers'!H45</f>
        <v>4779667</v>
      </c>
      <c r="CV45" s="58">
        <f t="shared" si="31"/>
        <v>5696.9</v>
      </c>
      <c r="CW45" s="27" t="s">
        <v>230</v>
      </c>
    </row>
    <row r="46" spans="1:101" ht="15" customHeight="1">
      <c r="A46" s="54">
        <v>232</v>
      </c>
      <c r="B46" s="1" t="s">
        <v>22</v>
      </c>
      <c r="C46" s="1" t="s">
        <v>551</v>
      </c>
      <c r="D46" s="58">
        <v>6914.4</v>
      </c>
      <c r="E46" s="58"/>
      <c r="F46" s="58">
        <v>0</v>
      </c>
      <c r="G46" s="58">
        <f t="shared" si="32"/>
        <v>6914.4</v>
      </c>
      <c r="H46" s="58">
        <v>7236.8</v>
      </c>
      <c r="I46" s="58"/>
      <c r="J46" s="58">
        <v>0</v>
      </c>
      <c r="K46" s="58">
        <f t="shared" si="33"/>
        <v>7236.8</v>
      </c>
      <c r="L46" s="1">
        <v>7257.6</v>
      </c>
      <c r="N46" s="1">
        <v>0</v>
      </c>
      <c r="O46" s="58">
        <f t="shared" si="34"/>
        <v>7257.6</v>
      </c>
      <c r="P46" s="58">
        <f>IF(ISNA(VLOOKUP($CW46,'Audit Values'!$A:$BZ,2,FALSE)),'Preliminary SO66'!C45,VLOOKUP($CW46,'Audit Values'!$A:$BZ,76,FALSE))</f>
        <v>7160.1</v>
      </c>
      <c r="Q46" s="58">
        <f>IF(ISNA(VLOOKUP($CW46,'Audit Values'!$A:$BZ,2,FALSE)),'Preliminary SO66'!F45,VLOOKUP($CW46,'Audit Values'!$A:$BZ,4,FALSE))</f>
        <v>0</v>
      </c>
      <c r="R46" s="58">
        <f t="shared" si="61"/>
        <v>7160.1</v>
      </c>
      <c r="S46" s="58">
        <f>IF('Military Provision'!I46="YES", MAX('2024 Legal Max'!O46,'2024 Legal Max'!K46,AVERAGE('2024 Legal Max'!G46,'2024 Legal Max'!K46,'2024 Legal Max'!O46)), MAX(O46, K46))</f>
        <v>7257.6</v>
      </c>
      <c r="T46" s="58">
        <f>IF(ISNA(VLOOKUP($CW46,'Audit Values'!$A:$BX,2,FALSE)),'Preliminary SO66'!AL45,VLOOKUP($CW46,'Audit Values'!$A:$BX,59,FALSE))</f>
        <v>32</v>
      </c>
      <c r="U46" s="58">
        <f t="shared" si="62"/>
        <v>7289.6</v>
      </c>
      <c r="V46" s="58">
        <f>'Low-High ENRL- 2023 HSubSB 113'!N49</f>
        <v>255.4</v>
      </c>
      <c r="W46" s="58">
        <f>IF(ISNA(VLOOKUP($CW46,'Audit Values'!$A:$BZ,2,FALSE)),'Preliminary SO66'!AM45,VLOOKUP($CW46,'Audit Values'!$A:$BZ,63,FALSE))</f>
        <v>977.4</v>
      </c>
      <c r="X46" s="58">
        <f>(W46/6)*'Weighting Factors'!$O$7</f>
        <v>64.3</v>
      </c>
      <c r="Y46" s="61">
        <f>IF(ISNA(VLOOKUP($CW46,'Audit Values'!$A:$BZ,2,FALSE)),'Preliminary SO66'!AN45,VLOOKUP($CW46,'Audit Values'!$A:$BZ,62,FALSE))</f>
        <v>248</v>
      </c>
      <c r="Z46" s="58">
        <f>Y46*'Weighting Factors'!$O$8</f>
        <v>45.9</v>
      </c>
      <c r="AA46" s="58">
        <f t="shared" si="63"/>
        <v>64.3</v>
      </c>
      <c r="AB46" s="106">
        <f>IF(ISNA(VLOOKUP($CW46,'Audit Values'!$A:$BZ,2,FALSE)),'Preliminary SO66'!AO45,VLOOKUP($CW46,'Audit Values'!$A:$BZ,61,FALSE))</f>
        <v>2485</v>
      </c>
      <c r="AC46" s="58">
        <f>AB46/6*'Weighting Factors'!$O$6</f>
        <v>207.1</v>
      </c>
      <c r="AD46" s="24">
        <f>IF(ISNA(VLOOKUP($CW46,'Audit Values'!$A:$BX,2,FALSE)),'Preliminary SO66'!AS45,VLOOKUP($CW46,'Audit Values'!$A:$BX,64,FALSE))</f>
        <v>7294</v>
      </c>
      <c r="AE46" s="24">
        <f>IF(ISNA(VLOOKUP($CW46,'Audit Values'!$A:$BX,2,FALSE)),'Preliminary SO66'!AP45,VLOOKUP($CW46,'Audit Values'!$A:$BX,65,FALSE))</f>
        <v>920</v>
      </c>
      <c r="AF46" s="58">
        <f>IF(A46=207, AE46,(AE46))*'Weighting Factors'!$O$9</f>
        <v>445.3</v>
      </c>
      <c r="AG46" s="58">
        <f t="shared" si="50"/>
        <v>0</v>
      </c>
      <c r="AH46" s="58">
        <f>IF(ISNA(VLOOKUP($CW46,'Audit Values'!$A:$BZ,2,FALSE)),'Preliminary SO66'!AG45,VLOOKUP($CW46,'Audit Values'!$A:$BZ,71,FALSE))</f>
        <v>5.7</v>
      </c>
      <c r="AI46" s="58">
        <f t="shared" si="64"/>
        <v>5.7</v>
      </c>
      <c r="AJ46" s="58">
        <f>IF(ISNA(VLOOKUP($CW46,'Audit Values'!$A:$BX,2,FALSE)),'Preliminary SO66'!AR45,VLOOKUP($CW46,'Audit Values'!$A:$BX,66,FALSE))</f>
        <v>1811</v>
      </c>
      <c r="AK46" s="24">
        <f t="shared" si="65"/>
        <v>1261021</v>
      </c>
      <c r="AL46" s="58">
        <f>AK46/'Weighting Factors'!$O$5</f>
        <v>247.8</v>
      </c>
      <c r="AM46" s="58">
        <f>CJ46/'Weighting Factors'!$O$5</f>
        <v>0</v>
      </c>
      <c r="AN46" s="58">
        <f>CN46/'Weighting Factors'!$O$5</f>
        <v>547</v>
      </c>
      <c r="AO46" s="24">
        <v>6810872</v>
      </c>
      <c r="AP46" s="58">
        <f>AO46/'Weighting Factors'!$O$5</f>
        <v>1338.6</v>
      </c>
      <c r="AQ46" s="58">
        <f>IF(ISNA(VLOOKUP($CW46,'Audit Values'!$A:$BX,2,FALSE)),'Preliminary SO66'!X45,VLOOKUP($CW46,'Audit Values'!$A:$BX,48,FALSE))</f>
        <v>0</v>
      </c>
      <c r="AR46" s="58">
        <f t="shared" si="37"/>
        <v>9853.7999999999993</v>
      </c>
      <c r="AS46" s="58">
        <f t="shared" si="38"/>
        <v>9062.2000000000007</v>
      </c>
      <c r="AT46" s="58">
        <f>IF(ISNA(VLOOKUP($CW46,'Audit Values'!$A$2:$BX$410,2,FALSE)),'Preliminary SO66'!AA45,VLOOKUP($CW46,'Audit Values'!$A$2:$BX$410,41,FALSE))</f>
        <v>3</v>
      </c>
      <c r="AU46" s="58">
        <f>IF(ISNA(VLOOKUP($CW46,'Audit Values'!$A$2:$BX$410,2,FALSE)),'Preliminary SO66'!AB45,VLOOKUP($CW46,'Audit Values'!$A$2:$BX$410,42,FALSE))</f>
        <v>19.5</v>
      </c>
      <c r="AV46" s="73">
        <v>0</v>
      </c>
      <c r="AW46" s="73">
        <v>0</v>
      </c>
      <c r="AX46" s="24">
        <f>SUM(AT46*'Weighting Factors'!$R$10)+('2024 Legal Max'!AU46*'Weighting Factors'!$R$11)+('2024 Legal Max'!AV46*'Weighting Factors'!$R$12)+('2024 Legal Max'!AW46*'Weighting Factors'!$R$12)</f>
        <v>71400</v>
      </c>
      <c r="AY46" s="54">
        <f>IF(ISNA(VLOOKUP($CW46,'Audit Values'!$A$2:$BX$429,2,FALSE)),"",IF(AND('Weighting Factors'!G46&gt;0,VLOOKUP($CW46,'Audit Values'!$A$2:$BX$429,51,FALSE)&lt;'Weighting Factors'!G46),'Weighting Factors'!G46,VLOOKUP($CW46,'Audit Values'!$A$2:$BX$429,51,FALSE)))</f>
        <v>25</v>
      </c>
      <c r="AZ46" s="54" t="str">
        <f>IF(ISNA(VLOOKUP($CW46,'Audit Values'!$A:$BY,2,FALSE)),"",VLOOKUP($CW46,'Audit Values'!$A:$BY,52,FALSE))</f>
        <v>A</v>
      </c>
      <c r="BA46" s="54" t="str">
        <f>IF('Weighting Factors'!F46="","",IF('Weighting Factors'!H46="Pending","PX","R"))</f>
        <v>R</v>
      </c>
      <c r="BB46" s="60">
        <f>SUM((U46+V46+AA46+AC46+AF46+AI46+AL46+AM46+AQ46+AN46)*'Weighting Factors'!$O$5)+'2024 Legal Max'!AX46</f>
        <v>46179874</v>
      </c>
      <c r="BC46" s="24">
        <f>SUM((AR46+AN46)*'Weighting Factors'!$O$5)+AX46</f>
        <v>52990670</v>
      </c>
      <c r="BD46" s="67">
        <f>IF('Weighting Factors'!F46&gt;0,'Weighting Factors'!F46,'Preliminary SO66'!AV45)</f>
        <v>54442328</v>
      </c>
      <c r="BE46" s="24">
        <f t="shared" si="66"/>
        <v>52990670</v>
      </c>
      <c r="BF46" s="71">
        <f>'Weighting Factors'!E46</f>
        <v>0</v>
      </c>
      <c r="BG46" s="71">
        <f>Transportation!G46</f>
        <v>0</v>
      </c>
      <c r="BH46" s="24">
        <f>IF(ISNA(VLOOKUP($CW46,'Audit Values'!$A:$BW,2,FALSE)), 0, VLOOKUP($CW46,'Audit Values'!$A:$BW,75,FALSE))</f>
        <v>0</v>
      </c>
      <c r="BI46" s="24">
        <f t="shared" si="67"/>
        <v>0</v>
      </c>
      <c r="BJ46" s="24">
        <f t="shared" si="68"/>
        <v>52990670</v>
      </c>
      <c r="BK46" s="24">
        <f>SUM((U46+V46+AA46+AC46+AF46+AI46+AL46+AM46+AN46)*'Weighting Factors'!O$12)+(MAX(AO46,'Weighting Factors'!B46))</f>
        <v>53553700</v>
      </c>
      <c r="BL46" s="78">
        <f>'LOB%'!F44</f>
        <v>0.33</v>
      </c>
      <c r="BM46" s="24">
        <f t="shared" si="12"/>
        <v>17672721</v>
      </c>
      <c r="BN46" s="67">
        <v>18136955</v>
      </c>
      <c r="BO46" s="24">
        <f t="shared" si="69"/>
        <v>17672721</v>
      </c>
      <c r="BP46" s="89">
        <f t="shared" si="13"/>
        <v>0.33</v>
      </c>
      <c r="BQ46" s="58">
        <f t="shared" si="14"/>
        <v>0</v>
      </c>
      <c r="BR46" s="1" t="b">
        <f t="shared" si="15"/>
        <v>0</v>
      </c>
      <c r="BS46" s="76">
        <f t="shared" si="16"/>
        <v>0</v>
      </c>
      <c r="BT46" s="75">
        <f t="shared" si="70"/>
        <v>0</v>
      </c>
      <c r="BU46" s="58">
        <f t="shared" si="18"/>
        <v>0</v>
      </c>
      <c r="BV46" s="1" t="b">
        <f t="shared" si="19"/>
        <v>0</v>
      </c>
      <c r="BW46" s="1">
        <f t="shared" si="20"/>
        <v>0</v>
      </c>
      <c r="BX46" s="75">
        <f t="shared" si="71"/>
        <v>0</v>
      </c>
      <c r="BY46" s="58">
        <f t="shared" si="22"/>
        <v>0</v>
      </c>
      <c r="BZ46" s="58">
        <f t="shared" si="23"/>
        <v>255.4</v>
      </c>
      <c r="CA46" s="61">
        <v>100</v>
      </c>
      <c r="CB46" s="102">
        <f t="shared" si="24"/>
        <v>18.11</v>
      </c>
      <c r="CC46" s="105">
        <f>IF(CB46&lt;0.06,1,IF(CB46&gt;=18.29,52,MATCH(CB46-0.001,'Weighting Factors'!$W$5:$W$156)+1))</f>
        <v>51</v>
      </c>
      <c r="CD46" s="24">
        <f>VLOOKUP(CC46, 'Weighting Factors'!$U$5:$X$56,4)</f>
        <v>570</v>
      </c>
      <c r="CE46" s="109">
        <f>('Weighting Factors'!$O$5/'Weighting Factors'!$O$14)</f>
        <v>1.2216</v>
      </c>
      <c r="CF46" s="100">
        <f t="shared" si="25"/>
        <v>1032270</v>
      </c>
      <c r="CG46" s="100">
        <f>CF46*'Weighting Factors'!$Q$7</f>
        <v>1032270</v>
      </c>
      <c r="CH46" s="100">
        <f t="shared" si="72"/>
        <v>1261021</v>
      </c>
      <c r="CI46" s="58">
        <f>AK46/'Weighting Factors'!$O$5</f>
        <v>247.8</v>
      </c>
      <c r="CJ46" s="67">
        <v>0</v>
      </c>
      <c r="CK46" s="80">
        <v>2783326</v>
      </c>
      <c r="CL46" s="110">
        <v>7.0000000000000007E-2</v>
      </c>
      <c r="CM46" s="24">
        <f>SUM((AR46*'Weighting Factors'!$O$5)+'2024 Legal Max'!AX46)*CL46</f>
        <v>3514527</v>
      </c>
      <c r="CN46" s="24">
        <f t="shared" si="73"/>
        <v>2783326</v>
      </c>
      <c r="CO46" s="65">
        <f t="shared" si="4"/>
        <v>0.12609999999999999</v>
      </c>
      <c r="CP46" s="58">
        <f t="shared" si="28"/>
        <v>0</v>
      </c>
      <c r="CQ46" s="58">
        <f t="shared" si="29"/>
        <v>0</v>
      </c>
      <c r="CR46" s="58">
        <f t="shared" si="30"/>
        <v>10400.799999999999</v>
      </c>
      <c r="CS46" s="24">
        <f>'Required Transfers'!L46</f>
        <v>758160</v>
      </c>
      <c r="CT46" s="24">
        <f>'Required Transfers'!O46</f>
        <v>109571</v>
      </c>
      <c r="CU46" s="24">
        <f>'Required Transfers'!H46</f>
        <v>2294688</v>
      </c>
      <c r="CV46" s="58">
        <f t="shared" si="31"/>
        <v>7214.6</v>
      </c>
      <c r="CW46" s="27" t="s">
        <v>231</v>
      </c>
    </row>
    <row r="47" spans="1:101" ht="15" customHeight="1">
      <c r="A47" s="54">
        <v>233</v>
      </c>
      <c r="B47" s="1" t="s">
        <v>22</v>
      </c>
      <c r="C47" s="1" t="s">
        <v>552</v>
      </c>
      <c r="D47" s="58">
        <v>28385.8</v>
      </c>
      <c r="E47" s="58">
        <v>3</v>
      </c>
      <c r="F47" s="58">
        <v>0</v>
      </c>
      <c r="G47" s="58">
        <f t="shared" si="32"/>
        <v>28382.799999999999</v>
      </c>
      <c r="H47" s="58">
        <v>28066.1</v>
      </c>
      <c r="I47" s="58">
        <v>2</v>
      </c>
      <c r="J47" s="58">
        <v>0</v>
      </c>
      <c r="K47" s="58">
        <f t="shared" si="33"/>
        <v>28064.1</v>
      </c>
      <c r="L47" s="1">
        <v>28106.799999999999</v>
      </c>
      <c r="N47" s="1">
        <v>0</v>
      </c>
      <c r="O47" s="58">
        <f t="shared" si="34"/>
        <v>28106.799999999999</v>
      </c>
      <c r="P47" s="58">
        <f>IF(ISNA(VLOOKUP($CW47,'Audit Values'!$A:$BZ,2,FALSE)),'Preliminary SO66'!C46,VLOOKUP($CW47,'Audit Values'!$A:$BZ,76,FALSE))</f>
        <v>27708.7</v>
      </c>
      <c r="Q47" s="58">
        <f>IF(ISNA(VLOOKUP($CW47,'Audit Values'!$A:$BZ,2,FALSE)),'Preliminary SO66'!F46,VLOOKUP($CW47,'Audit Values'!$A:$BZ,4,FALSE))</f>
        <v>0</v>
      </c>
      <c r="R47" s="58">
        <f t="shared" si="61"/>
        <v>27708.7</v>
      </c>
      <c r="S47" s="58">
        <f>IF('Military Provision'!I47="YES", MAX('2024 Legal Max'!O47,'2024 Legal Max'!K47,AVERAGE('2024 Legal Max'!G47,'2024 Legal Max'!K47,'2024 Legal Max'!O47)), MAX(O47, K47))</f>
        <v>28106.799999999999</v>
      </c>
      <c r="T47" s="58">
        <f>IF(ISNA(VLOOKUP($CW47,'Audit Values'!$A:$BX,2,FALSE)),'Preliminary SO66'!AL46,VLOOKUP($CW47,'Audit Values'!$A:$BX,59,FALSE))</f>
        <v>56</v>
      </c>
      <c r="U47" s="58">
        <f t="shared" si="62"/>
        <v>28162.799999999999</v>
      </c>
      <c r="V47" s="58">
        <f>'Low-High ENRL- 2023 HSubSB 113'!N50</f>
        <v>986.8</v>
      </c>
      <c r="W47" s="58">
        <f>IF(ISNA(VLOOKUP($CW47,'Audit Values'!$A:$BZ,2,FALSE)),'Preliminary SO66'!AM46,VLOOKUP($CW47,'Audit Values'!$A:$BZ,63,FALSE))</f>
        <v>4523.8</v>
      </c>
      <c r="X47" s="58">
        <f>(W47/6)*'Weighting Factors'!$O$7</f>
        <v>297.8</v>
      </c>
      <c r="Y47" s="61">
        <f>IF(ISNA(VLOOKUP($CW47,'Audit Values'!$A:$BZ,2,FALSE)),'Preliminary SO66'!AN46,VLOOKUP($CW47,'Audit Values'!$A:$BZ,62,FALSE))</f>
        <v>2893</v>
      </c>
      <c r="Z47" s="58">
        <f>Y47*'Weighting Factors'!$O$8</f>
        <v>535.20000000000005</v>
      </c>
      <c r="AA47" s="58">
        <f t="shared" si="63"/>
        <v>535.20000000000005</v>
      </c>
      <c r="AB47" s="106">
        <f>IF(ISNA(VLOOKUP($CW47,'Audit Values'!$A:$BZ,2,FALSE)),'Preliminary SO66'!AO46,VLOOKUP($CW47,'Audit Values'!$A:$BZ,61,FALSE))</f>
        <v>7539.3</v>
      </c>
      <c r="AC47" s="58">
        <f>AB47/6*'Weighting Factors'!$O$6</f>
        <v>628.29999999999995</v>
      </c>
      <c r="AD47" s="24">
        <f>IF(ISNA(VLOOKUP($CW47,'Audit Values'!$A:$BX,2,FALSE)),'Preliminary SO66'!AS46,VLOOKUP($CW47,'Audit Values'!$A:$BX,64,FALSE))</f>
        <v>28106</v>
      </c>
      <c r="AE47" s="24">
        <f>IF(ISNA(VLOOKUP($CW47,'Audit Values'!$A:$BX,2,FALSE)),'Preliminary SO66'!AP46,VLOOKUP($CW47,'Audit Values'!$A:$BX,65,FALSE))</f>
        <v>7081</v>
      </c>
      <c r="AF47" s="58">
        <f>IF(A47=207, AE47,(AE47))*'Weighting Factors'!$O$9</f>
        <v>3427.2</v>
      </c>
      <c r="AG47" s="58">
        <f t="shared" si="50"/>
        <v>0</v>
      </c>
      <c r="AH47" s="58">
        <f>IF(ISNA(VLOOKUP($CW47,'Audit Values'!$A:$BZ,2,FALSE)),'Preliminary SO66'!AG46,VLOOKUP($CW47,'Audit Values'!$A:$BZ,71,FALSE))</f>
        <v>259.10000000000002</v>
      </c>
      <c r="AI47" s="58">
        <f t="shared" si="64"/>
        <v>259.10000000000002</v>
      </c>
      <c r="AJ47" s="58">
        <f>IF(ISNA(VLOOKUP($CW47,'Audit Values'!$A:$BX,2,FALSE)),'Preliminary SO66'!AR46,VLOOKUP($CW47,'Audit Values'!$A:$BX,66,FALSE))</f>
        <v>6066.5</v>
      </c>
      <c r="AK47" s="24">
        <f t="shared" si="65"/>
        <v>4075960</v>
      </c>
      <c r="AL47" s="58">
        <f>AK47/'Weighting Factors'!$O$5</f>
        <v>801.1</v>
      </c>
      <c r="AM47" s="58">
        <f>CJ47/'Weighting Factors'!$O$5</f>
        <v>2012.1</v>
      </c>
      <c r="AN47" s="58">
        <f>CN47/'Weighting Factors'!$O$5</f>
        <v>2024.4</v>
      </c>
      <c r="AO47" s="24">
        <v>35574214</v>
      </c>
      <c r="AP47" s="58">
        <f>AO47/'Weighting Factors'!$O$5</f>
        <v>6991.8</v>
      </c>
      <c r="AQ47" s="58">
        <f>IF(ISNA(VLOOKUP($CW47,'Audit Values'!$A:$BX,2,FALSE)),'Preliminary SO66'!X46,VLOOKUP($CW47,'Audit Values'!$A:$BX,48,FALSE))</f>
        <v>0</v>
      </c>
      <c r="AR47" s="58">
        <f t="shared" si="37"/>
        <v>43804.4</v>
      </c>
      <c r="AS47" s="58">
        <f t="shared" si="38"/>
        <v>38837</v>
      </c>
      <c r="AT47" s="58">
        <f>IF(ISNA(VLOOKUP($CW47,'Audit Values'!$A$2:$BX$410,2,FALSE)),'Preliminary SO66'!AA46,VLOOKUP($CW47,'Audit Values'!$A$2:$BX$410,41,FALSE))</f>
        <v>32</v>
      </c>
      <c r="AU47" s="58">
        <f>IF(ISNA(VLOOKUP($CW47,'Audit Values'!$A$2:$BX$410,2,FALSE)),'Preliminary SO66'!AB46,VLOOKUP($CW47,'Audit Values'!$A$2:$BX$410,42,FALSE))</f>
        <v>12.9</v>
      </c>
      <c r="AV47" s="73">
        <v>244</v>
      </c>
      <c r="AW47" s="73">
        <v>17.25</v>
      </c>
      <c r="AX47" s="24">
        <f>SUM(AT47*'Weighting Factors'!$R$10)+('2024 Legal Max'!AU47*'Weighting Factors'!$R$11)+('2024 Legal Max'!AV47*'Weighting Factors'!$R$12)+('2024 Legal Max'!AW47*'Weighting Factors'!$R$12)</f>
        <v>400546</v>
      </c>
      <c r="AY47" s="54">
        <f>IF(ISNA(VLOOKUP($CW47,'Audit Values'!$A$2:$BX$429,2,FALSE)),"",IF(AND('Weighting Factors'!G47&gt;0,VLOOKUP($CW47,'Audit Values'!$A$2:$BX$429,51,FALSE)&lt;'Weighting Factors'!G47),'Weighting Factors'!G47,VLOOKUP($CW47,'Audit Values'!$A$2:$BX$429,51,FALSE)))</f>
        <v>22</v>
      </c>
      <c r="AZ47" s="54" t="str">
        <f>IF(ISNA(VLOOKUP($CW47,'Audit Values'!$A:$BY,2,FALSE)),"",VLOOKUP($CW47,'Audit Values'!$A:$BY,52,FALSE))</f>
        <v>A</v>
      </c>
      <c r="BA47" s="54" t="str">
        <f>IF('Weighting Factors'!F47="","",IF('Weighting Factors'!H47="Pending","PX","R"))</f>
        <v/>
      </c>
      <c r="BB47" s="60">
        <f>SUM((U47+V47+AA47+AC47+AF47+AI47+AL47+AM47+AQ47+AN47)*'Weighting Factors'!$O$5)+'2024 Legal Max'!AX47</f>
        <v>198003202</v>
      </c>
      <c r="BC47" s="24">
        <f>SUM((AR47+AN47)*'Weighting Factors'!$O$5)+AX47</f>
        <v>233577480</v>
      </c>
      <c r="BD47" s="67">
        <f>IF('Weighting Factors'!F47&gt;0,'Weighting Factors'!F47,'Preliminary SO66'!AV46)</f>
        <v>238737750</v>
      </c>
      <c r="BE47" s="24">
        <f t="shared" si="66"/>
        <v>233577480</v>
      </c>
      <c r="BF47" s="71">
        <f>'Weighting Factors'!E47</f>
        <v>0</v>
      </c>
      <c r="BG47" s="71">
        <f>Transportation!G47</f>
        <v>0</v>
      </c>
      <c r="BH47" s="24">
        <f>IF(ISNA(VLOOKUP($CW47,'Audit Values'!$A:$BW,2,FALSE)), 0, VLOOKUP($CW47,'Audit Values'!$A:$BW,75,FALSE))</f>
        <v>-14390</v>
      </c>
      <c r="BI47" s="24">
        <f t="shared" si="67"/>
        <v>-14390</v>
      </c>
      <c r="BJ47" s="24">
        <f t="shared" si="68"/>
        <v>233563090</v>
      </c>
      <c r="BK47" s="24">
        <f>SUM((U47+V47+AA47+AC47+AF47+AI47+AL47+AM47+AN47)*'Weighting Factors'!O$12)+(MAX(AO47,'Weighting Factors'!B47))</f>
        <v>235895460</v>
      </c>
      <c r="BL47" s="78">
        <f>'LOB%'!F45</f>
        <v>0.33</v>
      </c>
      <c r="BM47" s="24">
        <f t="shared" si="12"/>
        <v>77845502</v>
      </c>
      <c r="BN47" s="67">
        <v>79555600</v>
      </c>
      <c r="BO47" s="24">
        <f t="shared" si="69"/>
        <v>77845502</v>
      </c>
      <c r="BP47" s="89">
        <f t="shared" si="13"/>
        <v>0.33</v>
      </c>
      <c r="BQ47" s="58">
        <f t="shared" si="14"/>
        <v>0</v>
      </c>
      <c r="BR47" s="1" t="b">
        <f t="shared" si="15"/>
        <v>0</v>
      </c>
      <c r="BS47" s="76">
        <f t="shared" si="16"/>
        <v>0</v>
      </c>
      <c r="BT47" s="75">
        <f t="shared" si="70"/>
        <v>0</v>
      </c>
      <c r="BU47" s="58">
        <f t="shared" si="18"/>
        <v>0</v>
      </c>
      <c r="BV47" s="1" t="b">
        <f t="shared" si="19"/>
        <v>0</v>
      </c>
      <c r="BW47" s="1">
        <f t="shared" si="20"/>
        <v>0</v>
      </c>
      <c r="BX47" s="75">
        <f t="shared" si="71"/>
        <v>0</v>
      </c>
      <c r="BY47" s="58">
        <f t="shared" si="22"/>
        <v>0</v>
      </c>
      <c r="BZ47" s="58">
        <f t="shared" si="23"/>
        <v>986.8</v>
      </c>
      <c r="CA47" s="61">
        <v>75.3</v>
      </c>
      <c r="CB47" s="102">
        <f t="shared" si="24"/>
        <v>80.563999999999993</v>
      </c>
      <c r="CC47" s="105">
        <f>IF(CB47&lt;0.06,1,IF(CB47&gt;=18.29,52,MATCH(CB47-0.001,'Weighting Factors'!$W$5:$W$156)+1))</f>
        <v>52</v>
      </c>
      <c r="CD47" s="24">
        <f>VLOOKUP(CC47, 'Weighting Factors'!$U$5:$X$56,4)</f>
        <v>550</v>
      </c>
      <c r="CE47" s="109">
        <f>('Weighting Factors'!$O$5/'Weighting Factors'!$O$14)</f>
        <v>1.2216</v>
      </c>
      <c r="CF47" s="100">
        <f t="shared" si="25"/>
        <v>3336575</v>
      </c>
      <c r="CG47" s="100">
        <f>CF47*'Weighting Factors'!$Q$7</f>
        <v>3336575</v>
      </c>
      <c r="CH47" s="100">
        <f t="shared" si="72"/>
        <v>4075960</v>
      </c>
      <c r="CI47" s="58">
        <f>AK47/'Weighting Factors'!$O$5</f>
        <v>801.1</v>
      </c>
      <c r="CJ47" s="67">
        <v>10237367</v>
      </c>
      <c r="CK47" s="80">
        <v>10300000</v>
      </c>
      <c r="CL47" s="110">
        <v>5.5599999999999997E-2</v>
      </c>
      <c r="CM47" s="24">
        <f>SUM((AR47*'Weighting Factors'!$O$5)+'2024 Legal Max'!AX47)*CL47</f>
        <v>12414220</v>
      </c>
      <c r="CN47" s="24">
        <f t="shared" si="73"/>
        <v>10300000</v>
      </c>
      <c r="CO47" s="65">
        <f t="shared" si="4"/>
        <v>0.25190000000000001</v>
      </c>
      <c r="CP47" s="58">
        <f t="shared" si="28"/>
        <v>0</v>
      </c>
      <c r="CQ47" s="58">
        <f t="shared" si="29"/>
        <v>0</v>
      </c>
      <c r="CR47" s="58">
        <f t="shared" si="30"/>
        <v>45828.800000000003</v>
      </c>
      <c r="CS47" s="24">
        <f>'Required Transfers'!L47</f>
        <v>5830628</v>
      </c>
      <c r="CT47" s="24">
        <f>'Required Transfers'!O47</f>
        <v>910792</v>
      </c>
      <c r="CU47" s="24">
        <f>'Required Transfers'!H47</f>
        <v>18755894</v>
      </c>
      <c r="CV47" s="58">
        <f t="shared" si="31"/>
        <v>27853.1</v>
      </c>
      <c r="CW47" s="27" t="s">
        <v>232</v>
      </c>
    </row>
    <row r="48" spans="1:101" ht="15" customHeight="1">
      <c r="A48" s="54">
        <v>234</v>
      </c>
      <c r="B48" s="1" t="s">
        <v>23</v>
      </c>
      <c r="C48" s="1" t="s">
        <v>553</v>
      </c>
      <c r="D48" s="58">
        <v>1726.1</v>
      </c>
      <c r="E48" s="58"/>
      <c r="F48" s="58">
        <v>0</v>
      </c>
      <c r="G48" s="58">
        <f t="shared" si="32"/>
        <v>1726.1</v>
      </c>
      <c r="H48" s="58">
        <v>1748.2</v>
      </c>
      <c r="I48" s="58"/>
      <c r="J48" s="58">
        <v>0</v>
      </c>
      <c r="K48" s="58">
        <f t="shared" si="33"/>
        <v>1748.2</v>
      </c>
      <c r="L48" s="1">
        <v>1727.8</v>
      </c>
      <c r="N48" s="1">
        <v>0</v>
      </c>
      <c r="O48" s="58">
        <f t="shared" si="34"/>
        <v>1727.8</v>
      </c>
      <c r="P48" s="58">
        <f>IF(ISNA(VLOOKUP($CW48,'Audit Values'!$A:$BZ,2,FALSE)),'Preliminary SO66'!C47,VLOOKUP($CW48,'Audit Values'!$A:$BZ,76,FALSE))</f>
        <v>1659.9</v>
      </c>
      <c r="Q48" s="58">
        <f>IF(ISNA(VLOOKUP($CW48,'Audit Values'!$A:$BZ,2,FALSE)),'Preliminary SO66'!F47,VLOOKUP($CW48,'Audit Values'!$A:$BZ,4,FALSE))</f>
        <v>0</v>
      </c>
      <c r="R48" s="58">
        <f t="shared" si="61"/>
        <v>1659.9</v>
      </c>
      <c r="S48" s="58">
        <f>IF('Military Provision'!I48="YES", MAX('2024 Legal Max'!O48,'2024 Legal Max'!K48,AVERAGE('2024 Legal Max'!G48,'2024 Legal Max'!K48,'2024 Legal Max'!O48)), MAX(O48, K48))</f>
        <v>1748.2</v>
      </c>
      <c r="T48" s="58">
        <f>IF(ISNA(VLOOKUP($CW48,'Audit Values'!$A:$BX,2,FALSE)),'Preliminary SO66'!AL47,VLOOKUP($CW48,'Audit Values'!$A:$BX,59,FALSE))</f>
        <v>22</v>
      </c>
      <c r="U48" s="58">
        <f t="shared" si="62"/>
        <v>1770.2</v>
      </c>
      <c r="V48" s="58">
        <f>'Low-High ENRL- 2023 HSubSB 113'!N51</f>
        <v>62</v>
      </c>
      <c r="W48" s="58">
        <f>IF(ISNA(VLOOKUP($CW48,'Audit Values'!$A:$BZ,2,FALSE)),'Preliminary SO66'!AM47,VLOOKUP($CW48,'Audit Values'!$A:$BZ,63,FALSE))</f>
        <v>7</v>
      </c>
      <c r="X48" s="58">
        <f>(W48/6)*'Weighting Factors'!$O$7</f>
        <v>0.5</v>
      </c>
      <c r="Y48" s="61">
        <f>IF(ISNA(VLOOKUP($CW48,'Audit Values'!$A:$BZ,2,FALSE)),'Preliminary SO66'!AN47,VLOOKUP($CW48,'Audit Values'!$A:$BZ,62,FALSE))</f>
        <v>22</v>
      </c>
      <c r="Z48" s="58">
        <f>Y48*'Weighting Factors'!$O$8</f>
        <v>4.0999999999999996</v>
      </c>
      <c r="AA48" s="58">
        <f t="shared" si="63"/>
        <v>4.0999999999999996</v>
      </c>
      <c r="AB48" s="106">
        <f>IF(ISNA(VLOOKUP($CW48,'Audit Values'!$A:$BZ,2,FALSE)),'Preliminary SO66'!AO47,VLOOKUP($CW48,'Audit Values'!$A:$BZ,61,FALSE))</f>
        <v>493.1</v>
      </c>
      <c r="AC48" s="58">
        <f>AB48/6*'Weighting Factors'!$O$6</f>
        <v>41.1</v>
      </c>
      <c r="AD48" s="24">
        <f>IF(ISNA(VLOOKUP($CW48,'Audit Values'!$A:$BX,2,FALSE)),'Preliminary SO66'!AS47,VLOOKUP($CW48,'Audit Values'!$A:$BX,64,FALSE))</f>
        <v>1735</v>
      </c>
      <c r="AE48" s="24">
        <f>IF(ISNA(VLOOKUP($CW48,'Audit Values'!$A:$BX,2,FALSE)),'Preliminary SO66'!AP47,VLOOKUP($CW48,'Audit Values'!$A:$BX,65,FALSE))</f>
        <v>960</v>
      </c>
      <c r="AF48" s="58">
        <f>IF(A48=207, AE48,(AE48))*'Weighting Factors'!$O$9</f>
        <v>464.6</v>
      </c>
      <c r="AG48" s="58">
        <f t="shared" si="50"/>
        <v>100.8</v>
      </c>
      <c r="AH48" s="58">
        <f>IF(ISNA(VLOOKUP($CW48,'Audit Values'!$A:$BZ,2,FALSE)),'Preliminary SO66'!AG47,VLOOKUP($CW48,'Audit Values'!$A:$BZ,71,FALSE))</f>
        <v>100.8</v>
      </c>
      <c r="AI48" s="58">
        <f t="shared" si="64"/>
        <v>100.8</v>
      </c>
      <c r="AJ48" s="58">
        <f>IF(ISNA(VLOOKUP($CW48,'Audit Values'!$A:$BX,2,FALSE)),'Preliminary SO66'!AR47,VLOOKUP($CW48,'Audit Values'!$A:$BX,66,FALSE))</f>
        <v>471</v>
      </c>
      <c r="AK48" s="24">
        <f t="shared" si="65"/>
        <v>512083</v>
      </c>
      <c r="AL48" s="58">
        <f>AK48/'Weighting Factors'!$O$5</f>
        <v>100.6</v>
      </c>
      <c r="AM48" s="58">
        <f>CJ48/'Weighting Factors'!$O$5</f>
        <v>0</v>
      </c>
      <c r="AN48" s="58">
        <f>CN48/'Weighting Factors'!$O$5</f>
        <v>0</v>
      </c>
      <c r="AO48" s="24">
        <v>2272832</v>
      </c>
      <c r="AP48" s="58">
        <f>AO48/'Weighting Factors'!$O$5</f>
        <v>446.7</v>
      </c>
      <c r="AQ48" s="58">
        <f>IF(ISNA(VLOOKUP($CW48,'Audit Values'!$A:$BX,2,FALSE)),'Preliminary SO66'!X47,VLOOKUP($CW48,'Audit Values'!$A:$BX,48,FALSE))</f>
        <v>0</v>
      </c>
      <c r="AR48" s="58">
        <f t="shared" si="37"/>
        <v>2990.1</v>
      </c>
      <c r="AS48" s="58">
        <f t="shared" si="38"/>
        <v>2543.4</v>
      </c>
      <c r="AT48" s="58">
        <f>IF(ISNA(VLOOKUP($CW48,'Audit Values'!$A$2:$BX$410,2,FALSE)),'Preliminary SO66'!AA47,VLOOKUP($CW48,'Audit Values'!$A$2:$BX$410,41,FALSE))</f>
        <v>14</v>
      </c>
      <c r="AU48" s="58">
        <f>IF(ISNA(VLOOKUP($CW48,'Audit Values'!$A$2:$BX$410,2,FALSE)),'Preliminary SO66'!AB47,VLOOKUP($CW48,'Audit Values'!$A$2:$BX$410,42,FALSE))</f>
        <v>0.4</v>
      </c>
      <c r="AV48" s="73">
        <v>0</v>
      </c>
      <c r="AW48" s="73">
        <v>0</v>
      </c>
      <c r="AX48" s="24">
        <f>SUM(AT48*'Weighting Factors'!$R$10)+('2024 Legal Max'!AU48*'Weighting Factors'!$R$11)+('2024 Legal Max'!AV48*'Weighting Factors'!$R$12)+('2024 Legal Max'!AW48*'Weighting Factors'!$R$12)</f>
        <v>79520</v>
      </c>
      <c r="AY48" s="54">
        <f>IF(ISNA(VLOOKUP($CW48,'Audit Values'!$A$2:$BX$429,2,FALSE)),"",IF(AND('Weighting Factors'!G48&gt;0,VLOOKUP($CW48,'Audit Values'!$A$2:$BX$429,51,FALSE)&lt;'Weighting Factors'!G48),'Weighting Factors'!G48,VLOOKUP($CW48,'Audit Values'!$A$2:$BX$429,51,FALSE)))</f>
        <v>15</v>
      </c>
      <c r="AZ48" s="54" t="str">
        <f>IF(ISNA(VLOOKUP($CW48,'Audit Values'!$A:$BY,2,FALSE)),"",VLOOKUP($CW48,'Audit Values'!$A:$BY,52,FALSE))</f>
        <v>A</v>
      </c>
      <c r="BA48" s="54" t="str">
        <f>IF('Weighting Factors'!F48="","",IF('Weighting Factors'!H48="Pending","PX","R"))</f>
        <v/>
      </c>
      <c r="BB48" s="60">
        <f>SUM((U48+V48+AA48+AC48+AF48+AI48+AL48+AM48+AQ48+AN48)*'Weighting Factors'!$O$5)+'2024 Legal Max'!AX48</f>
        <v>13020339</v>
      </c>
      <c r="BC48" s="24">
        <f>SUM((AR48+AN48)*'Weighting Factors'!$O$5)+AX48</f>
        <v>15293149</v>
      </c>
      <c r="BD48" s="67">
        <f>IF('Weighting Factors'!F48&gt;0,'Weighting Factors'!F48,'Preliminary SO66'!AV47)</f>
        <v>15499324</v>
      </c>
      <c r="BE48" s="24">
        <f t="shared" si="66"/>
        <v>15293149</v>
      </c>
      <c r="BF48" s="71">
        <f>'Weighting Factors'!E48</f>
        <v>0</v>
      </c>
      <c r="BG48" s="71">
        <f>Transportation!G48</f>
        <v>0</v>
      </c>
      <c r="BH48" s="24">
        <f>IF(ISNA(VLOOKUP($CW48,'Audit Values'!$A:$BW,2,FALSE)), 0, VLOOKUP($CW48,'Audit Values'!$A:$BW,75,FALSE))</f>
        <v>0</v>
      </c>
      <c r="BI48" s="24">
        <f t="shared" si="67"/>
        <v>0</v>
      </c>
      <c r="BJ48" s="24">
        <f t="shared" si="68"/>
        <v>15293149</v>
      </c>
      <c r="BK48" s="24">
        <f>SUM((U48+V48+AA48+AC48+AF48+AI48+AL48+AM48+AN48)*'Weighting Factors'!O$12)+(MAX(AO48,'Weighting Factors'!B48))</f>
        <v>15391689</v>
      </c>
      <c r="BL48" s="78">
        <f>'LOB%'!F46</f>
        <v>0.316</v>
      </c>
      <c r="BM48" s="24">
        <f t="shared" si="12"/>
        <v>4863774</v>
      </c>
      <c r="BN48" s="67">
        <v>4932319</v>
      </c>
      <c r="BO48" s="24">
        <f t="shared" si="69"/>
        <v>4863774</v>
      </c>
      <c r="BP48" s="89">
        <f t="shared" si="13"/>
        <v>0.316</v>
      </c>
      <c r="BQ48" s="58">
        <f t="shared" si="14"/>
        <v>0</v>
      </c>
      <c r="BR48" s="1" t="b">
        <f t="shared" si="15"/>
        <v>0</v>
      </c>
      <c r="BS48" s="76">
        <f t="shared" si="16"/>
        <v>0</v>
      </c>
      <c r="BT48" s="75">
        <f t="shared" si="70"/>
        <v>0</v>
      </c>
      <c r="BU48" s="58">
        <f t="shared" si="18"/>
        <v>0</v>
      </c>
      <c r="BV48" s="1" t="b">
        <f t="shared" si="19"/>
        <v>0</v>
      </c>
      <c r="BW48" s="1">
        <f t="shared" si="20"/>
        <v>0</v>
      </c>
      <c r="BX48" s="75">
        <f t="shared" si="71"/>
        <v>0</v>
      </c>
      <c r="BY48" s="58">
        <f t="shared" si="22"/>
        <v>0</v>
      </c>
      <c r="BZ48" s="58">
        <f t="shared" si="23"/>
        <v>62</v>
      </c>
      <c r="CA48" s="61">
        <v>300</v>
      </c>
      <c r="CB48" s="102">
        <f t="shared" si="24"/>
        <v>1.57</v>
      </c>
      <c r="CC48" s="105">
        <f>IF(CB48&lt;0.06,1,IF(CB48&gt;=18.29,52,MATCH(CB48-0.001,'Weighting Factors'!$W$5:$W$156)+1))</f>
        <v>35</v>
      </c>
      <c r="CD48" s="24">
        <f>VLOOKUP(CC48, 'Weighting Factors'!$U$5:$X$56,4)</f>
        <v>890</v>
      </c>
      <c r="CE48" s="109">
        <f>('Weighting Factors'!$O$5/'Weighting Factors'!$O$14)</f>
        <v>1.2216</v>
      </c>
      <c r="CF48" s="100">
        <f t="shared" si="25"/>
        <v>419190</v>
      </c>
      <c r="CG48" s="100">
        <f>CF48*'Weighting Factors'!$Q$7</f>
        <v>419190</v>
      </c>
      <c r="CH48" s="100">
        <f t="shared" si="72"/>
        <v>512083</v>
      </c>
      <c r="CI48" s="58">
        <f>AK48/'Weighting Factors'!$O$5</f>
        <v>100.6</v>
      </c>
      <c r="CJ48" s="67">
        <v>0</v>
      </c>
      <c r="CK48" s="80">
        <v>0</v>
      </c>
      <c r="CL48" s="110">
        <v>0</v>
      </c>
      <c r="CM48" s="24">
        <f>SUM((AR48*'Weighting Factors'!$O$5)+'2024 Legal Max'!AX48)*CL48</f>
        <v>0</v>
      </c>
      <c r="CN48" s="24">
        <f t="shared" si="73"/>
        <v>0</v>
      </c>
      <c r="CO48" s="65">
        <f t="shared" si="4"/>
        <v>0.55330000000000001</v>
      </c>
      <c r="CP48" s="58">
        <f t="shared" si="28"/>
        <v>100.8</v>
      </c>
      <c r="CQ48" s="58">
        <f t="shared" si="29"/>
        <v>0</v>
      </c>
      <c r="CR48" s="58">
        <f t="shared" si="30"/>
        <v>2990.1</v>
      </c>
      <c r="CS48" s="24">
        <f>'Required Transfers'!L48</f>
        <v>761181</v>
      </c>
      <c r="CT48" s="24">
        <f>'Required Transfers'!O48</f>
        <v>6809</v>
      </c>
      <c r="CU48" s="24">
        <f>'Required Transfers'!H48</f>
        <v>2876755</v>
      </c>
      <c r="CV48" s="58">
        <f t="shared" si="31"/>
        <v>1696.3</v>
      </c>
      <c r="CW48" s="27" t="s">
        <v>233</v>
      </c>
    </row>
    <row r="49" spans="1:101" ht="15" customHeight="1">
      <c r="A49" s="54">
        <v>235</v>
      </c>
      <c r="B49" s="1" t="s">
        <v>23</v>
      </c>
      <c r="C49" s="1" t="s">
        <v>554</v>
      </c>
      <c r="D49" s="58">
        <v>443.5</v>
      </c>
      <c r="E49" s="58"/>
      <c r="F49" s="58">
        <v>0</v>
      </c>
      <c r="G49" s="58">
        <f t="shared" si="32"/>
        <v>443.5</v>
      </c>
      <c r="H49" s="58">
        <v>453.5</v>
      </c>
      <c r="I49" s="58"/>
      <c r="J49" s="58">
        <v>0</v>
      </c>
      <c r="K49" s="58">
        <f t="shared" si="33"/>
        <v>453.5</v>
      </c>
      <c r="L49" s="1">
        <v>447</v>
      </c>
      <c r="N49" s="1">
        <v>0</v>
      </c>
      <c r="O49" s="58">
        <f t="shared" si="34"/>
        <v>447</v>
      </c>
      <c r="P49" s="58">
        <f>IF(ISNA(VLOOKUP($CW49,'Audit Values'!$A:$BZ,2,FALSE)),'Preliminary SO66'!C48,VLOOKUP($CW49,'Audit Values'!$A:$BZ,76,FALSE))</f>
        <v>436.5</v>
      </c>
      <c r="Q49" s="58">
        <f>IF(ISNA(VLOOKUP($CW49,'Audit Values'!$A:$BZ,2,FALSE)),'Preliminary SO66'!F48,VLOOKUP($CW49,'Audit Values'!$A:$BZ,4,FALSE))</f>
        <v>0</v>
      </c>
      <c r="R49" s="58">
        <f t="shared" si="61"/>
        <v>436.5</v>
      </c>
      <c r="S49" s="58">
        <f>IF('Military Provision'!I49="YES", MAX('2024 Legal Max'!O49,'2024 Legal Max'!K49,AVERAGE('2024 Legal Max'!G49,'2024 Legal Max'!K49,'2024 Legal Max'!O49)), MAX(O49, K49))</f>
        <v>453.5</v>
      </c>
      <c r="T49" s="58">
        <f>IF(ISNA(VLOOKUP($CW49,'Audit Values'!$A:$BX,2,FALSE)),'Preliminary SO66'!AL48,VLOOKUP($CW49,'Audit Values'!$A:$BX,59,FALSE))</f>
        <v>5</v>
      </c>
      <c r="U49" s="58">
        <f t="shared" si="62"/>
        <v>458.5</v>
      </c>
      <c r="V49" s="58">
        <f>'Low-High ENRL- 2023 HSubSB 113'!N52</f>
        <v>197.3</v>
      </c>
      <c r="W49" s="58">
        <f>IF(ISNA(VLOOKUP($CW49,'Audit Values'!$A:$BZ,2,FALSE)),'Preliminary SO66'!AM48,VLOOKUP($CW49,'Audit Values'!$A:$BZ,63,FALSE))</f>
        <v>0</v>
      </c>
      <c r="X49" s="58">
        <f>(W49/6)*'Weighting Factors'!$O$7</f>
        <v>0</v>
      </c>
      <c r="Y49" s="61">
        <f>IF(ISNA(VLOOKUP($CW49,'Audit Values'!$A:$BZ,2,FALSE)),'Preliminary SO66'!AN48,VLOOKUP($CW49,'Audit Values'!$A:$BZ,62,FALSE))</f>
        <v>0</v>
      </c>
      <c r="Z49" s="58">
        <f>Y49*'Weighting Factors'!$O$8</f>
        <v>0</v>
      </c>
      <c r="AA49" s="58">
        <f t="shared" si="63"/>
        <v>0</v>
      </c>
      <c r="AB49" s="106">
        <f>IF(ISNA(VLOOKUP($CW49,'Audit Values'!$A:$BZ,2,FALSE)),'Preliminary SO66'!AO48,VLOOKUP($CW49,'Audit Values'!$A:$BZ,61,FALSE))</f>
        <v>68.400000000000006</v>
      </c>
      <c r="AC49" s="58">
        <f>AB49/6*'Weighting Factors'!$O$6</f>
        <v>5.7</v>
      </c>
      <c r="AD49" s="24">
        <f>IF(ISNA(VLOOKUP($CW49,'Audit Values'!$A:$BX,2,FALSE)),'Preliminary SO66'!AS48,VLOOKUP($CW49,'Audit Values'!$A:$BX,64,FALSE))</f>
        <v>449</v>
      </c>
      <c r="AE49" s="24">
        <f>IF(ISNA(VLOOKUP($CW49,'Audit Values'!$A:$BX,2,FALSE)),'Preliminary SO66'!AP48,VLOOKUP($CW49,'Audit Values'!$A:$BX,65,FALSE))</f>
        <v>266</v>
      </c>
      <c r="AF49" s="58">
        <f>IF(A49=207, AE49,(AE49))*'Weighting Factors'!$O$9</f>
        <v>128.69999999999999</v>
      </c>
      <c r="AG49" s="58">
        <f t="shared" si="50"/>
        <v>27.9</v>
      </c>
      <c r="AH49" s="58">
        <f>IF(ISNA(VLOOKUP($CW49,'Audit Values'!$A:$BZ,2,FALSE)),'Preliminary SO66'!AG48,VLOOKUP($CW49,'Audit Values'!$A:$BZ,71,FALSE))</f>
        <v>27.9</v>
      </c>
      <c r="AI49" s="58">
        <f t="shared" si="64"/>
        <v>27.9</v>
      </c>
      <c r="AJ49" s="58">
        <f>IF(ISNA(VLOOKUP($CW49,'Audit Values'!$A:$BX,2,FALSE)),'Preliminary SO66'!AR48,VLOOKUP($CW49,'Audit Values'!$A:$BX,66,FALSE))</f>
        <v>255</v>
      </c>
      <c r="AK49" s="24">
        <f t="shared" si="65"/>
        <v>308393</v>
      </c>
      <c r="AL49" s="58">
        <f>AK49/'Weighting Factors'!$O$5</f>
        <v>60.6</v>
      </c>
      <c r="AM49" s="58">
        <f>CJ49/'Weighting Factors'!$O$5</f>
        <v>0</v>
      </c>
      <c r="AN49" s="58">
        <f>CN49/'Weighting Factors'!$O$5</f>
        <v>0</v>
      </c>
      <c r="AO49" s="24">
        <v>517998</v>
      </c>
      <c r="AP49" s="58">
        <f>AO49/'Weighting Factors'!$O$5</f>
        <v>101.8</v>
      </c>
      <c r="AQ49" s="58">
        <f>IF(ISNA(VLOOKUP($CW49,'Audit Values'!$A:$BX,2,FALSE)),'Preliminary SO66'!X48,VLOOKUP($CW49,'Audit Values'!$A:$BX,48,FALSE))</f>
        <v>0</v>
      </c>
      <c r="AR49" s="58">
        <f t="shared" si="37"/>
        <v>980.5</v>
      </c>
      <c r="AS49" s="58">
        <f t="shared" si="38"/>
        <v>878.7</v>
      </c>
      <c r="AT49" s="58">
        <f>IF(ISNA(VLOOKUP($CW49,'Audit Values'!$A$2:$BX$410,2,FALSE)),'Preliminary SO66'!AA48,VLOOKUP($CW49,'Audit Values'!$A$2:$BX$410,41,FALSE))</f>
        <v>3</v>
      </c>
      <c r="AU49" s="58">
        <f>IF(ISNA(VLOOKUP($CW49,'Audit Values'!$A$2:$BX$410,2,FALSE)),'Preliminary SO66'!AB48,VLOOKUP($CW49,'Audit Values'!$A$2:$BX$410,42,FALSE))</f>
        <v>0</v>
      </c>
      <c r="AV49" s="73">
        <v>0</v>
      </c>
      <c r="AW49" s="73">
        <v>0</v>
      </c>
      <c r="AX49" s="24">
        <f>SUM(AT49*'Weighting Factors'!$R$10)+('2024 Legal Max'!AU49*'Weighting Factors'!$R$11)+('2024 Legal Max'!AV49*'Weighting Factors'!$R$12)+('2024 Legal Max'!AW49*'Weighting Factors'!$R$12)</f>
        <v>16800</v>
      </c>
      <c r="AY49" s="54">
        <f>IF(ISNA(VLOOKUP($CW49,'Audit Values'!$A$2:$BX$429,2,FALSE)),"",IF(AND('Weighting Factors'!G49&gt;0,VLOOKUP($CW49,'Audit Values'!$A$2:$BX$429,51,FALSE)&lt;'Weighting Factors'!G49),'Weighting Factors'!G49,VLOOKUP($CW49,'Audit Values'!$A$2:$BX$429,51,FALSE)))</f>
        <v>8</v>
      </c>
      <c r="AZ49" s="54" t="str">
        <f>IF(ISNA(VLOOKUP($CW49,'Audit Values'!$A:$BY,2,FALSE)),"",VLOOKUP($CW49,'Audit Values'!$A:$BY,52,FALSE))</f>
        <v>A</v>
      </c>
      <c r="BA49" s="54" t="str">
        <f>IF('Weighting Factors'!F49="","",IF('Weighting Factors'!H49="Pending","PX","R"))</f>
        <v/>
      </c>
      <c r="BB49" s="60">
        <f>SUM((U49+V49+AA49+AC49+AF49+AI49+AL49+AM49+AQ49+AN49)*'Weighting Factors'!$O$5)+'2024 Legal Max'!AX49</f>
        <v>4487626</v>
      </c>
      <c r="BC49" s="24">
        <f>SUM((AR49+AN49)*'Weighting Factors'!$O$5)+AX49</f>
        <v>5005584</v>
      </c>
      <c r="BD49" s="67">
        <f>IF('Weighting Factors'!F49&gt;0,'Weighting Factors'!F49,'Preliminary SO66'!AV48)</f>
        <v>5089989</v>
      </c>
      <c r="BE49" s="24">
        <f t="shared" si="66"/>
        <v>5005584</v>
      </c>
      <c r="BF49" s="71">
        <f>'Weighting Factors'!E49</f>
        <v>0</v>
      </c>
      <c r="BG49" s="71">
        <f>Transportation!G49</f>
        <v>0</v>
      </c>
      <c r="BH49" s="24">
        <f>IF(ISNA(VLOOKUP($CW49,'Audit Values'!$A:$BW,2,FALSE)), 0, VLOOKUP($CW49,'Audit Values'!$A:$BW,75,FALSE))</f>
        <v>-3545</v>
      </c>
      <c r="BI49" s="24">
        <f t="shared" si="67"/>
        <v>-3545</v>
      </c>
      <c r="BJ49" s="24">
        <f t="shared" si="68"/>
        <v>5002039</v>
      </c>
      <c r="BK49" s="24">
        <f>SUM((U49+V49+AA49+AC49+AF49+AI49+AL49+AM49+AN49)*'Weighting Factors'!O$12)+(MAX(AO49,'Weighting Factors'!B49))</f>
        <v>5050333</v>
      </c>
      <c r="BL49" s="78">
        <f>'LOB%'!F47</f>
        <v>0.316</v>
      </c>
      <c r="BM49" s="24">
        <f t="shared" si="12"/>
        <v>1595905</v>
      </c>
      <c r="BN49" s="67">
        <v>1623610</v>
      </c>
      <c r="BO49" s="24">
        <f t="shared" si="69"/>
        <v>1595905</v>
      </c>
      <c r="BP49" s="89">
        <f t="shared" si="13"/>
        <v>0.316</v>
      </c>
      <c r="BQ49" s="58">
        <f t="shared" si="14"/>
        <v>0</v>
      </c>
      <c r="BR49" s="1" t="b">
        <f t="shared" si="15"/>
        <v>0</v>
      </c>
      <c r="BS49" s="76">
        <f t="shared" si="16"/>
        <v>0</v>
      </c>
      <c r="BT49" s="75">
        <f t="shared" si="70"/>
        <v>0</v>
      </c>
      <c r="BU49" s="58">
        <f t="shared" si="18"/>
        <v>0</v>
      </c>
      <c r="BV49" s="1" t="b">
        <f t="shared" si="19"/>
        <v>1</v>
      </c>
      <c r="BW49" s="1">
        <f t="shared" si="20"/>
        <v>196.1438</v>
      </c>
      <c r="BX49" s="75">
        <f t="shared" si="71"/>
        <v>0.430336</v>
      </c>
      <c r="BY49" s="58">
        <f t="shared" si="22"/>
        <v>197.3</v>
      </c>
      <c r="BZ49" s="58">
        <f t="shared" si="23"/>
        <v>0</v>
      </c>
      <c r="CA49" s="61">
        <v>309</v>
      </c>
      <c r="CB49" s="102">
        <f t="shared" si="24"/>
        <v>0.82499999999999996</v>
      </c>
      <c r="CC49" s="105">
        <f>IF(CB49&lt;0.06,1,IF(CB49&gt;=18.29,52,MATCH(CB49-0.001,'Weighting Factors'!$W$5:$W$156)+1))</f>
        <v>30</v>
      </c>
      <c r="CD49" s="24">
        <f>VLOOKUP(CC49, 'Weighting Factors'!$U$5:$X$56,4)</f>
        <v>990</v>
      </c>
      <c r="CE49" s="109">
        <f>('Weighting Factors'!$O$5/'Weighting Factors'!$O$14)</f>
        <v>1.2216</v>
      </c>
      <c r="CF49" s="100">
        <f t="shared" si="25"/>
        <v>252450</v>
      </c>
      <c r="CG49" s="100">
        <f>CF49*'Weighting Factors'!$Q$7</f>
        <v>252450</v>
      </c>
      <c r="CH49" s="100">
        <f t="shared" si="72"/>
        <v>308393</v>
      </c>
      <c r="CI49" s="58">
        <f>AK49/'Weighting Factors'!$O$5</f>
        <v>60.6</v>
      </c>
      <c r="CJ49" s="67">
        <v>0</v>
      </c>
      <c r="CK49" s="80">
        <v>0</v>
      </c>
      <c r="CL49" s="110">
        <v>0</v>
      </c>
      <c r="CM49" s="24">
        <f>SUM((AR49*'Weighting Factors'!$O$5)+'2024 Legal Max'!AX49)*CL49</f>
        <v>0</v>
      </c>
      <c r="CN49" s="24">
        <f t="shared" si="73"/>
        <v>0</v>
      </c>
      <c r="CO49" s="65">
        <f t="shared" si="4"/>
        <v>0.59240000000000004</v>
      </c>
      <c r="CP49" s="58">
        <f t="shared" si="28"/>
        <v>27.9</v>
      </c>
      <c r="CQ49" s="58">
        <f t="shared" si="29"/>
        <v>0</v>
      </c>
      <c r="CR49" s="58">
        <f t="shared" si="30"/>
        <v>980.5</v>
      </c>
      <c r="CS49" s="24">
        <f>'Required Transfers'!L49</f>
        <v>210500</v>
      </c>
      <c r="CT49" s="24">
        <f>'Required Transfers'!O49</f>
        <v>0</v>
      </c>
      <c r="CU49" s="24">
        <f>'Required Transfers'!H49</f>
        <v>796781</v>
      </c>
      <c r="CV49" s="58">
        <f t="shared" si="31"/>
        <v>444.5</v>
      </c>
      <c r="CW49" s="27" t="s">
        <v>234</v>
      </c>
    </row>
    <row r="50" spans="1:101" ht="15" customHeight="1">
      <c r="A50" s="54">
        <v>237</v>
      </c>
      <c r="B50" s="1" t="s">
        <v>24</v>
      </c>
      <c r="C50" s="1" t="s">
        <v>555</v>
      </c>
      <c r="D50" s="58">
        <v>394.9</v>
      </c>
      <c r="E50" s="58"/>
      <c r="F50" s="58">
        <v>0</v>
      </c>
      <c r="G50" s="58">
        <f t="shared" si="32"/>
        <v>394.9</v>
      </c>
      <c r="H50" s="58">
        <v>433</v>
      </c>
      <c r="I50" s="58"/>
      <c r="J50" s="58">
        <v>0</v>
      </c>
      <c r="K50" s="58">
        <f t="shared" si="33"/>
        <v>433</v>
      </c>
      <c r="L50" s="1">
        <v>424.5</v>
      </c>
      <c r="N50" s="1">
        <v>0</v>
      </c>
      <c r="O50" s="58">
        <f t="shared" si="34"/>
        <v>424.5</v>
      </c>
      <c r="P50" s="58">
        <f>IF(ISNA(VLOOKUP($CW50,'Audit Values'!$A:$BZ,2,FALSE)),'Preliminary SO66'!C49,VLOOKUP($CW50,'Audit Values'!$A:$BZ,76,FALSE))</f>
        <v>425.5</v>
      </c>
      <c r="Q50" s="58">
        <f>IF(ISNA(VLOOKUP($CW50,'Audit Values'!$A:$BZ,2,FALSE)),'Preliminary SO66'!F49,VLOOKUP($CW50,'Audit Values'!$A:$BZ,4,FALSE))</f>
        <v>0</v>
      </c>
      <c r="R50" s="58">
        <f t="shared" si="61"/>
        <v>425.5</v>
      </c>
      <c r="S50" s="58">
        <f>IF('Military Provision'!I50="YES", MAX('2024 Legal Max'!O50,'2024 Legal Max'!K50,AVERAGE('2024 Legal Max'!G50,'2024 Legal Max'!K50,'2024 Legal Max'!O50)), MAX(O50, K50))</f>
        <v>433</v>
      </c>
      <c r="T50" s="58">
        <f>IF(ISNA(VLOOKUP($CW50,'Audit Values'!$A:$BX,2,FALSE)),'Preliminary SO66'!AL49,VLOOKUP($CW50,'Audit Values'!$A:$BX,59,FALSE))</f>
        <v>11</v>
      </c>
      <c r="U50" s="58">
        <f t="shared" si="62"/>
        <v>444</v>
      </c>
      <c r="V50" s="58">
        <f>'Low-High ENRL- 2023 HSubSB 113'!N53</f>
        <v>193.3</v>
      </c>
      <c r="W50" s="58">
        <f>IF(ISNA(VLOOKUP($CW50,'Audit Values'!$A:$BZ,2,FALSE)),'Preliminary SO66'!AM49,VLOOKUP($CW50,'Audit Values'!$A:$BZ,63,FALSE))</f>
        <v>8</v>
      </c>
      <c r="X50" s="58">
        <f>(W50/6)*'Weighting Factors'!$O$7</f>
        <v>0.5</v>
      </c>
      <c r="Y50" s="61">
        <f>IF(ISNA(VLOOKUP($CW50,'Audit Values'!$A:$BZ,2,FALSE)),'Preliminary SO66'!AN49,VLOOKUP($CW50,'Audit Values'!$A:$BZ,62,FALSE))</f>
        <v>4</v>
      </c>
      <c r="Z50" s="58">
        <f>Y50*'Weighting Factors'!$O$8</f>
        <v>0.7</v>
      </c>
      <c r="AA50" s="58">
        <f t="shared" si="63"/>
        <v>0.7</v>
      </c>
      <c r="AB50" s="106">
        <f>IF(ISNA(VLOOKUP($CW50,'Audit Values'!$A:$BZ,2,FALSE)),'Preliminary SO66'!AO49,VLOOKUP($CW50,'Audit Values'!$A:$BZ,61,FALSE))</f>
        <v>172</v>
      </c>
      <c r="AC50" s="58">
        <f>AB50/6*'Weighting Factors'!$O$6</f>
        <v>14.3</v>
      </c>
      <c r="AD50" s="24">
        <f>IF(ISNA(VLOOKUP($CW50,'Audit Values'!$A:$BX,2,FALSE)),'Preliminary SO66'!AS49,VLOOKUP($CW50,'Audit Values'!$A:$BX,64,FALSE))</f>
        <v>450</v>
      </c>
      <c r="AE50" s="24">
        <f>IF(ISNA(VLOOKUP($CW50,'Audit Values'!$A:$BX,2,FALSE)),'Preliminary SO66'!AP49,VLOOKUP($CW50,'Audit Values'!$A:$BX,65,FALSE))</f>
        <v>176</v>
      </c>
      <c r="AF50" s="58">
        <f>IF(A50=207, AE50,(AE50))*'Weighting Factors'!$O$9</f>
        <v>85.2</v>
      </c>
      <c r="AG50" s="58">
        <f t="shared" si="50"/>
        <v>5.0999999999999996</v>
      </c>
      <c r="AH50" s="58">
        <f>IF(ISNA(VLOOKUP($CW50,'Audit Values'!$A:$BZ,2,FALSE)),'Preliminary SO66'!AG49,VLOOKUP($CW50,'Audit Values'!$A:$BZ,71,FALSE))</f>
        <v>5.0999999999999996</v>
      </c>
      <c r="AI50" s="58">
        <f t="shared" si="64"/>
        <v>5.0999999999999996</v>
      </c>
      <c r="AJ50" s="58">
        <f>IF(ISNA(VLOOKUP($CW50,'Audit Values'!$A:$BX,2,FALSE)),'Preliminary SO66'!AR49,VLOOKUP($CW50,'Audit Values'!$A:$BX,66,FALSE))</f>
        <v>131</v>
      </c>
      <c r="AK50" s="24">
        <f t="shared" si="65"/>
        <v>203238</v>
      </c>
      <c r="AL50" s="58">
        <f>AK50/'Weighting Factors'!$O$5</f>
        <v>39.9</v>
      </c>
      <c r="AM50" s="58">
        <f>CJ50/'Weighting Factors'!$O$5</f>
        <v>0</v>
      </c>
      <c r="AN50" s="58">
        <f>CN50/'Weighting Factors'!$O$5</f>
        <v>0</v>
      </c>
      <c r="AO50" s="24">
        <v>553260</v>
      </c>
      <c r="AP50" s="58">
        <f>AO50/'Weighting Factors'!$O$5</f>
        <v>108.7</v>
      </c>
      <c r="AQ50" s="58">
        <f>IF(ISNA(VLOOKUP($CW50,'Audit Values'!$A:$BX,2,FALSE)),'Preliminary SO66'!X49,VLOOKUP($CW50,'Audit Values'!$A:$BX,48,FALSE))</f>
        <v>0</v>
      </c>
      <c r="AR50" s="58">
        <f t="shared" si="37"/>
        <v>891.2</v>
      </c>
      <c r="AS50" s="58">
        <f t="shared" si="38"/>
        <v>782.5</v>
      </c>
      <c r="AT50" s="58">
        <f>IF(ISNA(VLOOKUP($CW50,'Audit Values'!$A$2:$BX$410,2,FALSE)),'Preliminary SO66'!AA49,VLOOKUP($CW50,'Audit Values'!$A$2:$BX$410,41,FALSE))</f>
        <v>0</v>
      </c>
      <c r="AU50" s="58">
        <f>IF(ISNA(VLOOKUP($CW50,'Audit Values'!$A$2:$BX$410,2,FALSE)),'Preliminary SO66'!AB49,VLOOKUP($CW50,'Audit Values'!$A$2:$BX$410,42,FALSE))</f>
        <v>0</v>
      </c>
      <c r="AV50" s="73">
        <v>0</v>
      </c>
      <c r="AW50" s="73">
        <v>0</v>
      </c>
      <c r="AX50" s="24">
        <f>SUM(AT50*'Weighting Factors'!$R$10)+('2024 Legal Max'!AU50*'Weighting Factors'!$R$11)+('2024 Legal Max'!AV50*'Weighting Factors'!$R$12)+('2024 Legal Max'!AW50*'Weighting Factors'!$R$12)</f>
        <v>0</v>
      </c>
      <c r="AY50" s="54">
        <f>IF(ISNA(VLOOKUP($CW50,'Audit Values'!$A$2:$BX$429,2,FALSE)),"",IF(AND('Weighting Factors'!G50&gt;0,VLOOKUP($CW50,'Audit Values'!$A$2:$BX$429,51,FALSE)&lt;'Weighting Factors'!G50),'Weighting Factors'!G50,VLOOKUP($CW50,'Audit Values'!$A$2:$BX$429,51,FALSE)))</f>
        <v>16</v>
      </c>
      <c r="AZ50" s="54" t="str">
        <f>IF(ISNA(VLOOKUP($CW50,'Audit Values'!$A:$BY,2,FALSE)),"",VLOOKUP($CW50,'Audit Values'!$A:$BY,52,FALSE))</f>
        <v>A</v>
      </c>
      <c r="BA50" s="54" t="str">
        <f>IF('Weighting Factors'!F50="","",IF('Weighting Factors'!H50="Pending","PX","R"))</f>
        <v/>
      </c>
      <c r="BB50" s="60">
        <f>SUM((U50+V50+AA50+AC50+AF50+AI50+AL50+AM50+AQ50+AN50)*'Weighting Factors'!$O$5)+'2024 Legal Max'!AX50</f>
        <v>3981360</v>
      </c>
      <c r="BC50" s="24">
        <f>SUM((AR50+AN50)*'Weighting Factors'!$O$5)+AX50</f>
        <v>4534426</v>
      </c>
      <c r="BD50" s="67">
        <f>IF('Weighting Factors'!F50&gt;0,'Weighting Factors'!F50,'Preliminary SO66'!AV49)</f>
        <v>4680451</v>
      </c>
      <c r="BE50" s="24">
        <f t="shared" si="66"/>
        <v>4534426</v>
      </c>
      <c r="BF50" s="71">
        <f>'Weighting Factors'!E50</f>
        <v>0</v>
      </c>
      <c r="BG50" s="71">
        <f>Transportation!G50</f>
        <v>0</v>
      </c>
      <c r="BH50" s="24">
        <f>IF(ISNA(VLOOKUP($CW50,'Audit Values'!$A:$BW,2,FALSE)), 0, VLOOKUP($CW50,'Audit Values'!$A:$BW,75,FALSE))</f>
        <v>0</v>
      </c>
      <c r="BI50" s="24">
        <f t="shared" si="67"/>
        <v>0</v>
      </c>
      <c r="BJ50" s="24">
        <f t="shared" si="68"/>
        <v>4534426</v>
      </c>
      <c r="BK50" s="24">
        <f>SUM((U50+V50+AA50+AC50+AF50+AI50+AL50+AM50+AN50)*'Weighting Factors'!O$12)+(MAX(AO50,'Weighting Factors'!B50))</f>
        <v>4622170</v>
      </c>
      <c r="BL50" s="78">
        <f>'LOB%'!F48</f>
        <v>0.33</v>
      </c>
      <c r="BM50" s="24">
        <f t="shared" si="12"/>
        <v>1525316</v>
      </c>
      <c r="BN50" s="67">
        <v>1562852</v>
      </c>
      <c r="BO50" s="24">
        <f t="shared" si="69"/>
        <v>1525316</v>
      </c>
      <c r="BP50" s="89">
        <f t="shared" si="13"/>
        <v>0.33</v>
      </c>
      <c r="BQ50" s="58">
        <f t="shared" si="14"/>
        <v>0</v>
      </c>
      <c r="BR50" s="1" t="b">
        <f t="shared" si="15"/>
        <v>0</v>
      </c>
      <c r="BS50" s="76">
        <f t="shared" si="16"/>
        <v>0</v>
      </c>
      <c r="BT50" s="75">
        <f t="shared" si="70"/>
        <v>0</v>
      </c>
      <c r="BU50" s="58">
        <f t="shared" si="18"/>
        <v>0</v>
      </c>
      <c r="BV50" s="1" t="b">
        <f t="shared" si="19"/>
        <v>1</v>
      </c>
      <c r="BW50" s="1">
        <f t="shared" si="20"/>
        <v>178.2</v>
      </c>
      <c r="BX50" s="75">
        <f t="shared" si="71"/>
        <v>0.43526199999999998</v>
      </c>
      <c r="BY50" s="58">
        <f t="shared" si="22"/>
        <v>193.3</v>
      </c>
      <c r="BZ50" s="58">
        <f t="shared" si="23"/>
        <v>0</v>
      </c>
      <c r="CA50" s="61">
        <v>599</v>
      </c>
      <c r="CB50" s="102">
        <f t="shared" si="24"/>
        <v>0.219</v>
      </c>
      <c r="CC50" s="105">
        <f>IF(CB50&lt;0.06,1,IF(CB50&gt;=18.29,52,MATCH(CB50-0.001,'Weighting Factors'!$W$5:$W$156)+1))</f>
        <v>16</v>
      </c>
      <c r="CD50" s="24">
        <f>VLOOKUP(CC50, 'Weighting Factors'!$U$5:$X$56,4)</f>
        <v>1270</v>
      </c>
      <c r="CE50" s="109">
        <f>('Weighting Factors'!$O$5/'Weighting Factors'!$O$14)</f>
        <v>1.2216</v>
      </c>
      <c r="CF50" s="100">
        <f t="shared" si="25"/>
        <v>166370</v>
      </c>
      <c r="CG50" s="100">
        <f>CF50*'Weighting Factors'!$Q$7</f>
        <v>166370</v>
      </c>
      <c r="CH50" s="100">
        <f t="shared" si="72"/>
        <v>203238</v>
      </c>
      <c r="CI50" s="58">
        <f>AK50/'Weighting Factors'!$O$5</f>
        <v>39.9</v>
      </c>
      <c r="CJ50" s="67">
        <v>0</v>
      </c>
      <c r="CK50" s="80">
        <v>0</v>
      </c>
      <c r="CL50" s="110">
        <v>0</v>
      </c>
      <c r="CM50" s="24">
        <f>SUM((AR50*'Weighting Factors'!$O$5)+'2024 Legal Max'!AX50)*CL50</f>
        <v>0</v>
      </c>
      <c r="CN50" s="24">
        <f t="shared" si="73"/>
        <v>0</v>
      </c>
      <c r="CO50" s="65">
        <f t="shared" si="4"/>
        <v>0.3911</v>
      </c>
      <c r="CP50" s="58">
        <f t="shared" si="28"/>
        <v>0</v>
      </c>
      <c r="CQ50" s="58">
        <f t="shared" si="29"/>
        <v>5.0999999999999996</v>
      </c>
      <c r="CR50" s="58">
        <f t="shared" si="30"/>
        <v>891.2</v>
      </c>
      <c r="CS50" s="24">
        <f>'Required Transfers'!L50</f>
        <v>147651</v>
      </c>
      <c r="CT50" s="24">
        <f>'Required Transfers'!O50</f>
        <v>1220</v>
      </c>
      <c r="CU50" s="24">
        <f>'Required Transfers'!H50</f>
        <v>459446</v>
      </c>
      <c r="CV50" s="58">
        <f t="shared" si="31"/>
        <v>436.5</v>
      </c>
      <c r="CW50" s="27" t="s">
        <v>235</v>
      </c>
    </row>
    <row r="51" spans="1:101" ht="15" customHeight="1">
      <c r="A51" s="54">
        <v>239</v>
      </c>
      <c r="B51" s="1" t="s">
        <v>25</v>
      </c>
      <c r="C51" s="1" t="s">
        <v>556</v>
      </c>
      <c r="D51" s="58">
        <v>595.4</v>
      </c>
      <c r="E51" s="58"/>
      <c r="F51" s="58">
        <v>0</v>
      </c>
      <c r="G51" s="58">
        <f t="shared" si="32"/>
        <v>595.4</v>
      </c>
      <c r="H51" s="58">
        <v>633.5</v>
      </c>
      <c r="I51" s="58"/>
      <c r="J51" s="58">
        <v>0</v>
      </c>
      <c r="K51" s="58">
        <f t="shared" si="33"/>
        <v>633.5</v>
      </c>
      <c r="L51" s="1">
        <v>620.4</v>
      </c>
      <c r="N51" s="1">
        <v>0</v>
      </c>
      <c r="O51" s="58">
        <f t="shared" si="34"/>
        <v>620.4</v>
      </c>
      <c r="P51" s="58">
        <f>IF(ISNA(VLOOKUP($CW51,'Audit Values'!$A:$BZ,2,FALSE)),'Preliminary SO66'!C50,VLOOKUP($CW51,'Audit Values'!$A:$BZ,76,FALSE))</f>
        <v>617.1</v>
      </c>
      <c r="Q51" s="58">
        <f>IF(ISNA(VLOOKUP($CW51,'Audit Values'!$A:$BZ,2,FALSE)),'Preliminary SO66'!F50,VLOOKUP($CW51,'Audit Values'!$A:$BZ,4,FALSE))</f>
        <v>0</v>
      </c>
      <c r="R51" s="58">
        <f t="shared" si="61"/>
        <v>617.1</v>
      </c>
      <c r="S51" s="58">
        <f>IF('Military Provision'!I51="YES", MAX('2024 Legal Max'!O51,'2024 Legal Max'!K51,AVERAGE('2024 Legal Max'!G51,'2024 Legal Max'!K51,'2024 Legal Max'!O51)), MAX(O51, K51))</f>
        <v>633.5</v>
      </c>
      <c r="T51" s="58">
        <f>IF(ISNA(VLOOKUP($CW51,'Audit Values'!$A:$BX,2,FALSE)),'Preliminary SO66'!AL50,VLOOKUP($CW51,'Audit Values'!$A:$BX,59,FALSE))</f>
        <v>0</v>
      </c>
      <c r="U51" s="58">
        <f t="shared" si="62"/>
        <v>633.5</v>
      </c>
      <c r="V51" s="58">
        <f>'Low-High ENRL- 2023 HSubSB 113'!N54</f>
        <v>235</v>
      </c>
      <c r="W51" s="58">
        <f>IF(ISNA(VLOOKUP($CW51,'Audit Values'!$A:$BZ,2,FALSE)),'Preliminary SO66'!AM50,VLOOKUP($CW51,'Audit Values'!$A:$BZ,63,FALSE))</f>
        <v>0</v>
      </c>
      <c r="X51" s="58">
        <f>(W51/6)*'Weighting Factors'!$O$7</f>
        <v>0</v>
      </c>
      <c r="Y51" s="61">
        <f>IF(ISNA(VLOOKUP($CW51,'Audit Values'!$A:$BZ,2,FALSE)),'Preliminary SO66'!AN50,VLOOKUP($CW51,'Audit Values'!$A:$BZ,62,FALSE))</f>
        <v>0</v>
      </c>
      <c r="Z51" s="58">
        <f>Y51*'Weighting Factors'!$O$8</f>
        <v>0</v>
      </c>
      <c r="AA51" s="58">
        <f t="shared" si="63"/>
        <v>0</v>
      </c>
      <c r="AB51" s="106">
        <f>IF(ISNA(VLOOKUP($CW51,'Audit Values'!$A:$BZ,2,FALSE)),'Preliminary SO66'!AO50,VLOOKUP($CW51,'Audit Values'!$A:$BZ,61,FALSE))</f>
        <v>123.8</v>
      </c>
      <c r="AC51" s="58">
        <f>AB51/6*'Weighting Factors'!$O$6</f>
        <v>10.3</v>
      </c>
      <c r="AD51" s="24">
        <f>IF(ISNA(VLOOKUP($CW51,'Audit Values'!$A:$BX,2,FALSE)),'Preliminary SO66'!AS50,VLOOKUP($CW51,'Audit Values'!$A:$BX,64,FALSE))</f>
        <v>621</v>
      </c>
      <c r="AE51" s="24">
        <f>IF(ISNA(VLOOKUP($CW51,'Audit Values'!$A:$BX,2,FALSE)),'Preliminary SO66'!AP50,VLOOKUP($CW51,'Audit Values'!$A:$BX,65,FALSE))</f>
        <v>266</v>
      </c>
      <c r="AF51" s="58">
        <f>IF(A51=207, AE51,(AE51))*'Weighting Factors'!$O$9</f>
        <v>128.69999999999999</v>
      </c>
      <c r="AG51" s="58">
        <f t="shared" si="50"/>
        <v>14.6</v>
      </c>
      <c r="AH51" s="58">
        <f>IF(ISNA(VLOOKUP($CW51,'Audit Values'!$A:$BZ,2,FALSE)),'Preliminary SO66'!AG50,VLOOKUP($CW51,'Audit Values'!$A:$BZ,71,FALSE))</f>
        <v>14.9</v>
      </c>
      <c r="AI51" s="58">
        <f t="shared" si="64"/>
        <v>14.9</v>
      </c>
      <c r="AJ51" s="58">
        <f>IF(ISNA(VLOOKUP($CW51,'Audit Values'!$A:$BX,2,FALSE)),'Preliminary SO66'!AR50,VLOOKUP($CW51,'Audit Values'!$A:$BX,66,FALSE))</f>
        <v>173</v>
      </c>
      <c r="AK51" s="24">
        <f t="shared" si="65"/>
        <v>238811</v>
      </c>
      <c r="AL51" s="58">
        <f>AK51/'Weighting Factors'!$O$5</f>
        <v>46.9</v>
      </c>
      <c r="AM51" s="58">
        <f>CJ51/'Weighting Factors'!$O$5</f>
        <v>0</v>
      </c>
      <c r="AN51" s="58">
        <f>CN51/'Weighting Factors'!$O$5</f>
        <v>0</v>
      </c>
      <c r="AO51" s="24">
        <v>733173</v>
      </c>
      <c r="AP51" s="58">
        <f>AO51/'Weighting Factors'!$O$5</f>
        <v>144.1</v>
      </c>
      <c r="AQ51" s="58">
        <f>IF(ISNA(VLOOKUP($CW51,'Audit Values'!$A:$BX,2,FALSE)),'Preliminary SO66'!X50,VLOOKUP($CW51,'Audit Values'!$A:$BX,48,FALSE))</f>
        <v>0</v>
      </c>
      <c r="AR51" s="58">
        <f t="shared" si="37"/>
        <v>1213.4000000000001</v>
      </c>
      <c r="AS51" s="58">
        <f t="shared" si="38"/>
        <v>1069.3</v>
      </c>
      <c r="AT51" s="58">
        <f>IF(ISNA(VLOOKUP($CW51,'Audit Values'!$A$2:$BX$410,2,FALSE)),'Preliminary SO66'!AA50,VLOOKUP($CW51,'Audit Values'!$A$2:$BX$410,41,FALSE))</f>
        <v>0</v>
      </c>
      <c r="AU51" s="58">
        <f>IF(ISNA(VLOOKUP($CW51,'Audit Values'!$A$2:$BX$410,2,FALSE)),'Preliminary SO66'!AB50,VLOOKUP($CW51,'Audit Values'!$A$2:$BX$410,42,FALSE))</f>
        <v>0</v>
      </c>
      <c r="AV51" s="73">
        <v>0</v>
      </c>
      <c r="AW51" s="73">
        <v>0</v>
      </c>
      <c r="AX51" s="24">
        <f>SUM(AT51*'Weighting Factors'!$R$10)+('2024 Legal Max'!AU51*'Weighting Factors'!$R$11)+('2024 Legal Max'!AV51*'Weighting Factors'!$R$12)+('2024 Legal Max'!AW51*'Weighting Factors'!$R$12)</f>
        <v>0</v>
      </c>
      <c r="AY51" s="54">
        <f>IF(ISNA(VLOOKUP($CW51,'Audit Values'!$A$2:$BX$429,2,FALSE)),"",IF(AND('Weighting Factors'!G51&gt;0,VLOOKUP($CW51,'Audit Values'!$A$2:$BX$429,51,FALSE)&lt;'Weighting Factors'!G51),'Weighting Factors'!G51,VLOOKUP($CW51,'Audit Values'!$A$2:$BX$429,51,FALSE)))</f>
        <v>4</v>
      </c>
      <c r="AZ51" s="54" t="str">
        <f>IF(ISNA(VLOOKUP($CW51,'Audit Values'!$A:$BY,2,FALSE)),"",VLOOKUP($CW51,'Audit Values'!$A:$BY,52,FALSE))</f>
        <v>A</v>
      </c>
      <c r="BA51" s="54" t="str">
        <f>IF('Weighting Factors'!F51="","",IF('Weighting Factors'!H51="Pending","PX","R"))</f>
        <v/>
      </c>
      <c r="BB51" s="60">
        <f>SUM((U51+V51+AA51+AC51+AF51+AI51+AL51+AM51+AQ51+AN51)*'Weighting Factors'!$O$5)+'2024 Legal Max'!AX51</f>
        <v>5440598</v>
      </c>
      <c r="BC51" s="24">
        <f>SUM((AR51+AN51)*'Weighting Factors'!$O$5)+AX51</f>
        <v>6173779</v>
      </c>
      <c r="BD51" s="67">
        <f>IF('Weighting Factors'!F51&gt;0,'Weighting Factors'!F51,'Preliminary SO66'!AV50)</f>
        <v>6357456</v>
      </c>
      <c r="BE51" s="24">
        <f t="shared" si="66"/>
        <v>6173779</v>
      </c>
      <c r="BF51" s="71">
        <f>'Weighting Factors'!E51</f>
        <v>0</v>
      </c>
      <c r="BG51" s="71">
        <f>Transportation!G51</f>
        <v>0</v>
      </c>
      <c r="BH51" s="24">
        <f>IF(ISNA(VLOOKUP($CW51,'Audit Values'!$A:$BW,2,FALSE)), 0, VLOOKUP($CW51,'Audit Values'!$A:$BW,75,FALSE))</f>
        <v>0</v>
      </c>
      <c r="BI51" s="24">
        <f t="shared" si="67"/>
        <v>0</v>
      </c>
      <c r="BJ51" s="24">
        <f t="shared" si="68"/>
        <v>6173779</v>
      </c>
      <c r="BK51" s="24">
        <f>SUM((U51+V51+AA51+AC51+AF51+AI51+AL51+AM51+AN51)*'Weighting Factors'!O$12)+(MAX(AO51,'Weighting Factors'!B51))</f>
        <v>6248622</v>
      </c>
      <c r="BL51" s="78">
        <f>'LOB%'!F49</f>
        <v>0.33</v>
      </c>
      <c r="BM51" s="24">
        <f t="shared" si="12"/>
        <v>2062045</v>
      </c>
      <c r="BN51" s="67">
        <v>2075000</v>
      </c>
      <c r="BO51" s="24">
        <f t="shared" si="69"/>
        <v>2062045</v>
      </c>
      <c r="BP51" s="89">
        <f t="shared" si="13"/>
        <v>0.33</v>
      </c>
      <c r="BQ51" s="58">
        <f t="shared" si="14"/>
        <v>0</v>
      </c>
      <c r="BR51" s="1" t="b">
        <f t="shared" si="15"/>
        <v>0</v>
      </c>
      <c r="BS51" s="76">
        <f t="shared" si="16"/>
        <v>0</v>
      </c>
      <c r="BT51" s="75">
        <f t="shared" si="70"/>
        <v>0</v>
      </c>
      <c r="BU51" s="58">
        <f t="shared" si="18"/>
        <v>0</v>
      </c>
      <c r="BV51" s="1" t="b">
        <f t="shared" si="19"/>
        <v>1</v>
      </c>
      <c r="BW51" s="1">
        <f t="shared" si="20"/>
        <v>412.7063</v>
      </c>
      <c r="BX51" s="75">
        <f t="shared" si="71"/>
        <v>0.37087999999999999</v>
      </c>
      <c r="BY51" s="58">
        <f t="shared" si="22"/>
        <v>235</v>
      </c>
      <c r="BZ51" s="58">
        <f t="shared" si="23"/>
        <v>0</v>
      </c>
      <c r="CA51" s="61">
        <v>418.5</v>
      </c>
      <c r="CB51" s="102">
        <f t="shared" si="24"/>
        <v>0.41299999999999998</v>
      </c>
      <c r="CC51" s="105">
        <f>IF(CB51&lt;0.06,1,IF(CB51&gt;=18.29,52,MATCH(CB51-0.001,'Weighting Factors'!$W$5:$W$156)+1))</f>
        <v>23</v>
      </c>
      <c r="CD51" s="24">
        <f>VLOOKUP(CC51, 'Weighting Factors'!$U$5:$X$56,4)</f>
        <v>1130</v>
      </c>
      <c r="CE51" s="109">
        <f>('Weighting Factors'!$O$5/'Weighting Factors'!$O$14)</f>
        <v>1.2216</v>
      </c>
      <c r="CF51" s="100">
        <f t="shared" si="25"/>
        <v>195490</v>
      </c>
      <c r="CG51" s="100">
        <f>CF51*'Weighting Factors'!$Q$7</f>
        <v>195490</v>
      </c>
      <c r="CH51" s="100">
        <f t="shared" si="72"/>
        <v>238811</v>
      </c>
      <c r="CI51" s="58">
        <f>AK51/'Weighting Factors'!$O$5</f>
        <v>46.9</v>
      </c>
      <c r="CJ51" s="67">
        <v>0</v>
      </c>
      <c r="CK51" s="80">
        <v>0</v>
      </c>
      <c r="CL51" s="110">
        <v>0</v>
      </c>
      <c r="CM51" s="24">
        <f>SUM((AR51*'Weighting Factors'!$O$5)+'2024 Legal Max'!AX51)*CL51</f>
        <v>0</v>
      </c>
      <c r="CN51" s="24">
        <f t="shared" si="73"/>
        <v>0</v>
      </c>
      <c r="CO51" s="65">
        <f t="shared" si="4"/>
        <v>0.42830000000000001</v>
      </c>
      <c r="CP51" s="58">
        <f t="shared" si="28"/>
        <v>0</v>
      </c>
      <c r="CQ51" s="58">
        <f t="shared" si="29"/>
        <v>14.6</v>
      </c>
      <c r="CR51" s="58">
        <f t="shared" si="30"/>
        <v>1213.4000000000001</v>
      </c>
      <c r="CS51" s="24">
        <f>'Required Transfers'!L51</f>
        <v>218783</v>
      </c>
      <c r="CT51" s="24">
        <f>'Required Transfers'!O51</f>
        <v>0</v>
      </c>
      <c r="CU51" s="24">
        <f>'Required Transfers'!H51</f>
        <v>730637</v>
      </c>
      <c r="CV51" s="58">
        <f t="shared" si="31"/>
        <v>617.1</v>
      </c>
      <c r="CW51" s="27" t="s">
        <v>236</v>
      </c>
    </row>
    <row r="52" spans="1:101" ht="15" customHeight="1">
      <c r="A52" s="54">
        <v>240</v>
      </c>
      <c r="B52" s="1" t="s">
        <v>25</v>
      </c>
      <c r="C52" s="1" t="s">
        <v>557</v>
      </c>
      <c r="D52" s="58">
        <v>536</v>
      </c>
      <c r="E52" s="58"/>
      <c r="F52" s="58">
        <v>0</v>
      </c>
      <c r="G52" s="58">
        <f t="shared" si="32"/>
        <v>536</v>
      </c>
      <c r="H52" s="58">
        <v>570</v>
      </c>
      <c r="I52" s="58"/>
      <c r="J52" s="58">
        <v>0</v>
      </c>
      <c r="K52" s="58">
        <f t="shared" si="33"/>
        <v>570</v>
      </c>
      <c r="L52" s="1">
        <v>559</v>
      </c>
      <c r="N52" s="1">
        <v>0</v>
      </c>
      <c r="O52" s="58">
        <f t="shared" si="34"/>
        <v>559</v>
      </c>
      <c r="P52" s="58">
        <f>IF(ISNA(VLOOKUP($CW52,'Audit Values'!$A:$BZ,2,FALSE)),'Preliminary SO66'!C51,VLOOKUP($CW52,'Audit Values'!$A:$BZ,76,FALSE))</f>
        <v>567</v>
      </c>
      <c r="Q52" s="58">
        <f>IF(ISNA(VLOOKUP($CW52,'Audit Values'!$A:$BZ,2,FALSE)),'Preliminary SO66'!F51,VLOOKUP($CW52,'Audit Values'!$A:$BZ,4,FALSE))</f>
        <v>0</v>
      </c>
      <c r="R52" s="58">
        <f t="shared" si="61"/>
        <v>567</v>
      </c>
      <c r="S52" s="58">
        <f>IF('Military Provision'!I52="YES", MAX('2024 Legal Max'!O52,'2024 Legal Max'!K52,AVERAGE('2024 Legal Max'!G52,'2024 Legal Max'!K52,'2024 Legal Max'!O52)), MAX(O52, K52))</f>
        <v>570</v>
      </c>
      <c r="T52" s="58">
        <f>IF(ISNA(VLOOKUP($CW52,'Audit Values'!$A:$BX,2,FALSE)),'Preliminary SO66'!AL51,VLOOKUP($CW52,'Audit Values'!$A:$BX,59,FALSE))</f>
        <v>21</v>
      </c>
      <c r="U52" s="58">
        <f t="shared" si="62"/>
        <v>591</v>
      </c>
      <c r="V52" s="58">
        <f>'Low-High ENRL- 2023 HSubSB 113'!N55</f>
        <v>227.7</v>
      </c>
      <c r="W52" s="58">
        <f>IF(ISNA(VLOOKUP($CW52,'Audit Values'!$A:$BZ,2,FALSE)),'Preliminary SO66'!AM51,VLOOKUP($CW52,'Audit Values'!$A:$BZ,63,FALSE))</f>
        <v>0</v>
      </c>
      <c r="X52" s="58">
        <f>(W52/6)*'Weighting Factors'!$O$7</f>
        <v>0</v>
      </c>
      <c r="Y52" s="61">
        <f>IF(ISNA(VLOOKUP($CW52,'Audit Values'!$A:$BZ,2,FALSE)),'Preliminary SO66'!AN51,VLOOKUP($CW52,'Audit Values'!$A:$BZ,62,FALSE))</f>
        <v>1</v>
      </c>
      <c r="Z52" s="58">
        <f>Y52*'Weighting Factors'!$O$8</f>
        <v>0.2</v>
      </c>
      <c r="AA52" s="58">
        <f t="shared" si="63"/>
        <v>0.2</v>
      </c>
      <c r="AB52" s="106">
        <f>IF(ISNA(VLOOKUP($CW52,'Audit Values'!$A:$BZ,2,FALSE)),'Preliminary SO66'!AO51,VLOOKUP($CW52,'Audit Values'!$A:$BZ,61,FALSE))</f>
        <v>215.6</v>
      </c>
      <c r="AC52" s="58">
        <f>AB52/6*'Weighting Factors'!$O$6</f>
        <v>18</v>
      </c>
      <c r="AD52" s="24">
        <f>IF(ISNA(VLOOKUP($CW52,'Audit Values'!$A:$BX,2,FALSE)),'Preliminary SO66'!AS51,VLOOKUP($CW52,'Audit Values'!$A:$BX,64,FALSE))</f>
        <v>613</v>
      </c>
      <c r="AE52" s="24">
        <f>IF(ISNA(VLOOKUP($CW52,'Audit Values'!$A:$BX,2,FALSE)),'Preliminary SO66'!AP51,VLOOKUP($CW52,'Audit Values'!$A:$BX,65,FALSE))</f>
        <v>260</v>
      </c>
      <c r="AF52" s="58">
        <f>IF(A52=207, AE52,(AE52))*'Weighting Factors'!$O$9</f>
        <v>125.8</v>
      </c>
      <c r="AG52" s="58">
        <f t="shared" si="50"/>
        <v>13.5</v>
      </c>
      <c r="AH52" s="58">
        <f>IF(ISNA(VLOOKUP($CW52,'Audit Values'!$A:$BZ,2,FALSE)),'Preliminary SO66'!AG51,VLOOKUP($CW52,'Audit Values'!$A:$BZ,71,FALSE))</f>
        <v>11.5</v>
      </c>
      <c r="AI52" s="58">
        <f t="shared" si="64"/>
        <v>13.5</v>
      </c>
      <c r="AJ52" s="58">
        <f>IF(ISNA(VLOOKUP($CW52,'Audit Values'!$A:$BX,2,FALSE)),'Preliminary SO66'!AR51,VLOOKUP($CW52,'Audit Values'!$A:$BX,66,FALSE))</f>
        <v>170</v>
      </c>
      <c r="AK52" s="24">
        <f t="shared" si="65"/>
        <v>218056</v>
      </c>
      <c r="AL52" s="58">
        <f>AK52/'Weighting Factors'!$O$5</f>
        <v>42.9</v>
      </c>
      <c r="AM52" s="58">
        <f>CJ52/'Weighting Factors'!$O$5</f>
        <v>0</v>
      </c>
      <c r="AN52" s="58">
        <f>CN52/'Weighting Factors'!$O$5</f>
        <v>0</v>
      </c>
      <c r="AO52" s="24">
        <v>601453</v>
      </c>
      <c r="AP52" s="58">
        <f>AO52/'Weighting Factors'!$O$5</f>
        <v>118.2</v>
      </c>
      <c r="AQ52" s="58">
        <f>IF(ISNA(VLOOKUP($CW52,'Audit Values'!$A:$BX,2,FALSE)),'Preliminary SO66'!X51,VLOOKUP($CW52,'Audit Values'!$A:$BX,48,FALSE))</f>
        <v>0</v>
      </c>
      <c r="AR52" s="58">
        <f t="shared" si="37"/>
        <v>1137.3</v>
      </c>
      <c r="AS52" s="58">
        <f t="shared" si="38"/>
        <v>1019.1</v>
      </c>
      <c r="AT52" s="58">
        <f>IF(ISNA(VLOOKUP($CW52,'Audit Values'!$A$2:$BX$410,2,FALSE)),'Preliminary SO66'!AA51,VLOOKUP($CW52,'Audit Values'!$A$2:$BX$410,41,FALSE))</f>
        <v>0</v>
      </c>
      <c r="AU52" s="58">
        <f>IF(ISNA(VLOOKUP($CW52,'Audit Values'!$A$2:$BX$410,2,FALSE)),'Preliminary SO66'!AB51,VLOOKUP($CW52,'Audit Values'!$A$2:$BX$410,42,FALSE))</f>
        <v>0</v>
      </c>
      <c r="AV52" s="73">
        <v>0</v>
      </c>
      <c r="AW52" s="73">
        <v>0</v>
      </c>
      <c r="AX52" s="24">
        <f>SUM(AT52*'Weighting Factors'!$R$10)+('2024 Legal Max'!AU52*'Weighting Factors'!$R$11)+('2024 Legal Max'!AV52*'Weighting Factors'!$R$12)+('2024 Legal Max'!AW52*'Weighting Factors'!$R$12)</f>
        <v>0</v>
      </c>
      <c r="AY52" s="54">
        <f>IF(ISNA(VLOOKUP($CW52,'Audit Values'!$A$2:$BX$429,2,FALSE)),"",IF(AND('Weighting Factors'!G52&gt;0,VLOOKUP($CW52,'Audit Values'!$A$2:$BX$429,51,FALSE)&lt;'Weighting Factors'!G52),'Weighting Factors'!G52,VLOOKUP($CW52,'Audit Values'!$A$2:$BX$429,51,FALSE)))</f>
        <v>25</v>
      </c>
      <c r="AZ52" s="54" t="str">
        <f>IF(ISNA(VLOOKUP($CW52,'Audit Values'!$A:$BY,2,FALSE)),"",VLOOKUP($CW52,'Audit Values'!$A:$BY,52,FALSE))</f>
        <v>A</v>
      </c>
      <c r="BA52" s="54" t="str">
        <f>IF('Weighting Factors'!F52="","",IF('Weighting Factors'!H52="Pending","PX","R"))</f>
        <v>R</v>
      </c>
      <c r="BB52" s="60">
        <f>SUM((U52+V52+AA52+AC52+AF52+AI52+AL52+AM52+AQ52+AN52)*'Weighting Factors'!$O$5)+'2024 Legal Max'!AX52</f>
        <v>5185181</v>
      </c>
      <c r="BC52" s="24">
        <f>SUM((AR52+AN52)*'Weighting Factors'!$O$5)+AX52</f>
        <v>5786582</v>
      </c>
      <c r="BD52" s="67">
        <f>IF('Weighting Factors'!F52&gt;0,'Weighting Factors'!F52,'Preliminary SO66'!AV51)</f>
        <v>5913782</v>
      </c>
      <c r="BE52" s="24">
        <f t="shared" si="66"/>
        <v>5786582</v>
      </c>
      <c r="BF52" s="71">
        <f>'Weighting Factors'!E52</f>
        <v>0</v>
      </c>
      <c r="BG52" s="71">
        <f>Transportation!G52</f>
        <v>0</v>
      </c>
      <c r="BH52" s="24">
        <f>IF(ISNA(VLOOKUP($CW52,'Audit Values'!$A:$BW,2,FALSE)), 0, VLOOKUP($CW52,'Audit Values'!$A:$BW,75,FALSE))</f>
        <v>0</v>
      </c>
      <c r="BI52" s="24">
        <f t="shared" si="67"/>
        <v>0</v>
      </c>
      <c r="BJ52" s="24">
        <f t="shared" si="68"/>
        <v>5786582</v>
      </c>
      <c r="BK52" s="24">
        <f>SUM((U52+V52+AA52+AC52+AF52+AI52+AL52+AM52+AN52)*'Weighting Factors'!O$12)+(MAX(AO52,'Weighting Factors'!B52))</f>
        <v>5857971</v>
      </c>
      <c r="BL52" s="78">
        <f>'LOB%'!F50</f>
        <v>0.33</v>
      </c>
      <c r="BM52" s="24">
        <f t="shared" si="12"/>
        <v>1933130</v>
      </c>
      <c r="BN52" s="67">
        <v>1945891</v>
      </c>
      <c r="BO52" s="24">
        <f t="shared" si="69"/>
        <v>1933130</v>
      </c>
      <c r="BP52" s="89">
        <f t="shared" si="13"/>
        <v>0.33</v>
      </c>
      <c r="BQ52" s="58">
        <f t="shared" si="14"/>
        <v>0</v>
      </c>
      <c r="BR52" s="1" t="b">
        <f t="shared" si="15"/>
        <v>0</v>
      </c>
      <c r="BS52" s="76">
        <f t="shared" si="16"/>
        <v>0</v>
      </c>
      <c r="BT52" s="75">
        <f t="shared" si="70"/>
        <v>0</v>
      </c>
      <c r="BU52" s="58">
        <f t="shared" si="18"/>
        <v>0</v>
      </c>
      <c r="BV52" s="1" t="b">
        <f t="shared" si="19"/>
        <v>1</v>
      </c>
      <c r="BW52" s="1">
        <f t="shared" si="20"/>
        <v>360.11250000000001</v>
      </c>
      <c r="BX52" s="75">
        <f t="shared" si="71"/>
        <v>0.38531900000000002</v>
      </c>
      <c r="BY52" s="58">
        <f t="shared" si="22"/>
        <v>227.7</v>
      </c>
      <c r="BZ52" s="58">
        <f t="shared" si="23"/>
        <v>0</v>
      </c>
      <c r="CA52" s="61">
        <v>269.3</v>
      </c>
      <c r="CB52" s="102">
        <f t="shared" si="24"/>
        <v>0.63100000000000001</v>
      </c>
      <c r="CC52" s="105">
        <f>IF(CB52&lt;0.06,1,IF(CB52&gt;=18.29,52,MATCH(CB52-0.001,'Weighting Factors'!$W$5:$W$156)+1))</f>
        <v>27</v>
      </c>
      <c r="CD52" s="24">
        <f>VLOOKUP(CC52, 'Weighting Factors'!$U$5:$X$56,4)</f>
        <v>1050</v>
      </c>
      <c r="CE52" s="109">
        <f>('Weighting Factors'!$O$5/'Weighting Factors'!$O$14)</f>
        <v>1.2216</v>
      </c>
      <c r="CF52" s="100">
        <f t="shared" si="25"/>
        <v>178500</v>
      </c>
      <c r="CG52" s="100">
        <f>CF52*'Weighting Factors'!$Q$7</f>
        <v>178500</v>
      </c>
      <c r="CH52" s="100">
        <f t="shared" si="72"/>
        <v>218056</v>
      </c>
      <c r="CI52" s="58">
        <f>AK52/'Weighting Factors'!$O$5</f>
        <v>42.9</v>
      </c>
      <c r="CJ52" s="67">
        <v>0</v>
      </c>
      <c r="CK52" s="80">
        <v>0</v>
      </c>
      <c r="CL52" s="110">
        <v>0</v>
      </c>
      <c r="CM52" s="24">
        <f>SUM((AR52*'Weighting Factors'!$O$5)+'2024 Legal Max'!AX52)*CL52</f>
        <v>0</v>
      </c>
      <c r="CN52" s="24">
        <f t="shared" si="73"/>
        <v>0</v>
      </c>
      <c r="CO52" s="65">
        <f t="shared" si="4"/>
        <v>0.42409999999999998</v>
      </c>
      <c r="CP52" s="58">
        <f t="shared" si="28"/>
        <v>0</v>
      </c>
      <c r="CQ52" s="58">
        <f t="shared" si="29"/>
        <v>13.5</v>
      </c>
      <c r="CR52" s="58">
        <f t="shared" si="30"/>
        <v>1137.3</v>
      </c>
      <c r="CS52" s="24">
        <f>'Required Transfers'!L52</f>
        <v>217864</v>
      </c>
      <c r="CT52" s="24">
        <f>'Required Transfers'!O52</f>
        <v>387</v>
      </c>
      <c r="CU52" s="24">
        <f>'Required Transfers'!H52</f>
        <v>708758</v>
      </c>
      <c r="CV52" s="58">
        <f t="shared" si="31"/>
        <v>588</v>
      </c>
      <c r="CW52" s="27" t="s">
        <v>237</v>
      </c>
    </row>
    <row r="53" spans="1:101" ht="15" customHeight="1">
      <c r="A53" s="54">
        <v>241</v>
      </c>
      <c r="B53" s="1" t="s">
        <v>26</v>
      </c>
      <c r="C53" s="1" t="s">
        <v>558</v>
      </c>
      <c r="D53" s="58">
        <v>208.5</v>
      </c>
      <c r="E53" s="58"/>
      <c r="F53" s="58">
        <v>0</v>
      </c>
      <c r="G53" s="58">
        <f t="shared" si="32"/>
        <v>208.5</v>
      </c>
      <c r="H53" s="58">
        <v>184</v>
      </c>
      <c r="I53" s="58"/>
      <c r="J53" s="58">
        <v>0</v>
      </c>
      <c r="K53" s="58">
        <f t="shared" si="33"/>
        <v>184</v>
      </c>
      <c r="L53" s="1">
        <v>183</v>
      </c>
      <c r="N53" s="1">
        <v>0</v>
      </c>
      <c r="O53" s="58">
        <f t="shared" si="34"/>
        <v>183</v>
      </c>
      <c r="P53" s="58">
        <f>IF(ISNA(VLOOKUP($CW53,'Audit Values'!$A:$BZ,2,FALSE)),'Preliminary SO66'!C52,VLOOKUP($CW53,'Audit Values'!$A:$BZ,76,FALSE))</f>
        <v>167.1</v>
      </c>
      <c r="Q53" s="58">
        <f>IF(ISNA(VLOOKUP($CW53,'Audit Values'!$A:$BZ,2,FALSE)),'Preliminary SO66'!F52,VLOOKUP($CW53,'Audit Values'!$A:$BZ,4,FALSE))</f>
        <v>0</v>
      </c>
      <c r="R53" s="58">
        <f t="shared" si="61"/>
        <v>167.1</v>
      </c>
      <c r="S53" s="58">
        <f>IF('Military Provision'!I53="YES", MAX('2024 Legal Max'!O53,'2024 Legal Max'!K53,AVERAGE('2024 Legal Max'!G53,'2024 Legal Max'!K53,'2024 Legal Max'!O53)), MAX(O53, K53))</f>
        <v>184</v>
      </c>
      <c r="T53" s="58">
        <f>IF(ISNA(VLOOKUP($CW53,'Audit Values'!$A:$BX,2,FALSE)),'Preliminary SO66'!AL52,VLOOKUP($CW53,'Audit Values'!$A:$BX,59,FALSE))</f>
        <v>0</v>
      </c>
      <c r="U53" s="58">
        <f t="shared" si="62"/>
        <v>184</v>
      </c>
      <c r="V53" s="58">
        <f>'Low-High ENRL- 2023 HSubSB 113'!N56</f>
        <v>145.69999999999999</v>
      </c>
      <c r="W53" s="58">
        <f>IF(ISNA(VLOOKUP($CW53,'Audit Values'!$A:$BZ,2,FALSE)),'Preliminary SO66'!AM52,VLOOKUP($CW53,'Audit Values'!$A:$BZ,63,FALSE))</f>
        <v>0</v>
      </c>
      <c r="X53" s="58">
        <f>(W53/6)*'Weighting Factors'!$O$7</f>
        <v>0</v>
      </c>
      <c r="Y53" s="61">
        <f>IF(ISNA(VLOOKUP($CW53,'Audit Values'!$A:$BZ,2,FALSE)),'Preliminary SO66'!AN52,VLOOKUP($CW53,'Audit Values'!$A:$BZ,62,FALSE))</f>
        <v>4</v>
      </c>
      <c r="Z53" s="58">
        <f>Y53*'Weighting Factors'!$O$8</f>
        <v>0.7</v>
      </c>
      <c r="AA53" s="58">
        <f t="shared" si="63"/>
        <v>0.7</v>
      </c>
      <c r="AB53" s="106">
        <f>IF(ISNA(VLOOKUP($CW53,'Audit Values'!$A:$BZ,2,FALSE)),'Preliminary SO66'!AO52,VLOOKUP($CW53,'Audit Values'!$A:$BZ,61,FALSE))</f>
        <v>39.9</v>
      </c>
      <c r="AC53" s="58">
        <f>AB53/6*'Weighting Factors'!$O$6</f>
        <v>3.3</v>
      </c>
      <c r="AD53" s="24">
        <f>IF(ISNA(VLOOKUP($CW53,'Audit Values'!$A:$BX,2,FALSE)),'Preliminary SO66'!AS52,VLOOKUP($CW53,'Audit Values'!$A:$BX,64,FALSE))</f>
        <v>172</v>
      </c>
      <c r="AE53" s="24">
        <f>IF(ISNA(VLOOKUP($CW53,'Audit Values'!$A:$BX,2,FALSE)),'Preliminary SO66'!AP52,VLOOKUP($CW53,'Audit Values'!$A:$BX,65,FALSE))</f>
        <v>53</v>
      </c>
      <c r="AF53" s="58">
        <f>IF(A53=207, AE53,(AE53))*'Weighting Factors'!$O$9</f>
        <v>25.7</v>
      </c>
      <c r="AG53" s="58">
        <f t="shared" si="50"/>
        <v>0</v>
      </c>
      <c r="AH53" s="58">
        <f>IF(ISNA(VLOOKUP($CW53,'Audit Values'!$A:$BZ,2,FALSE)),'Preliminary SO66'!AG52,VLOOKUP($CW53,'Audit Values'!$A:$BZ,71,FALSE))</f>
        <v>0.1</v>
      </c>
      <c r="AI53" s="58">
        <f t="shared" si="64"/>
        <v>0.1</v>
      </c>
      <c r="AJ53" s="58">
        <f>IF(ISNA(VLOOKUP($CW53,'Audit Values'!$A:$BX,2,FALSE)),'Preliminary SO66'!AR52,VLOOKUP($CW53,'Audit Values'!$A:$BX,66,FALSE))</f>
        <v>52</v>
      </c>
      <c r="AK53" s="24">
        <f t="shared" si="65"/>
        <v>97826</v>
      </c>
      <c r="AL53" s="58">
        <f>AK53/'Weighting Factors'!$O$5</f>
        <v>19.2</v>
      </c>
      <c r="AM53" s="58">
        <f>CJ53/'Weighting Factors'!$O$5</f>
        <v>0</v>
      </c>
      <c r="AN53" s="58">
        <f>CN53/'Weighting Factors'!$O$5</f>
        <v>0</v>
      </c>
      <c r="AO53" s="24">
        <v>110049</v>
      </c>
      <c r="AP53" s="58">
        <f>AO53/'Weighting Factors'!$O$5</f>
        <v>21.6</v>
      </c>
      <c r="AQ53" s="58">
        <f>IF(ISNA(VLOOKUP($CW53,'Audit Values'!$A:$BX,2,FALSE)),'Preliminary SO66'!X52,VLOOKUP($CW53,'Audit Values'!$A:$BX,48,FALSE))</f>
        <v>0</v>
      </c>
      <c r="AR53" s="58">
        <f t="shared" si="37"/>
        <v>400.3</v>
      </c>
      <c r="AS53" s="58">
        <f t="shared" si="38"/>
        <v>378.7</v>
      </c>
      <c r="AT53" s="58">
        <f>IF(ISNA(VLOOKUP($CW53,'Audit Values'!$A$2:$BX$410,2,FALSE)),'Preliminary SO66'!AA52,VLOOKUP($CW53,'Audit Values'!$A$2:$BX$410,41,FALSE))</f>
        <v>0</v>
      </c>
      <c r="AU53" s="58">
        <f>IF(ISNA(VLOOKUP($CW53,'Audit Values'!$A$2:$BX$410,2,FALSE)),'Preliminary SO66'!AB52,VLOOKUP($CW53,'Audit Values'!$A$2:$BX$410,42,FALSE))</f>
        <v>0</v>
      </c>
      <c r="AV53" s="73">
        <v>0</v>
      </c>
      <c r="AW53" s="73">
        <v>0</v>
      </c>
      <c r="AX53" s="24">
        <f>SUM(AT53*'Weighting Factors'!$R$10)+('2024 Legal Max'!AU53*'Weighting Factors'!$R$11)+('2024 Legal Max'!AV53*'Weighting Factors'!$R$12)+('2024 Legal Max'!AW53*'Weighting Factors'!$R$12)</f>
        <v>0</v>
      </c>
      <c r="AY53" s="54">
        <f>IF(ISNA(VLOOKUP($CW53,'Audit Values'!$A$2:$BX$429,2,FALSE)),"",IF(AND('Weighting Factors'!G53&gt;0,VLOOKUP($CW53,'Audit Values'!$A$2:$BX$429,51,FALSE)&lt;'Weighting Factors'!G53),'Weighting Factors'!G53,VLOOKUP($CW53,'Audit Values'!$A$2:$BX$429,51,FALSE)))</f>
        <v>25</v>
      </c>
      <c r="AZ53" s="54" t="str">
        <f>IF(ISNA(VLOOKUP($CW53,'Audit Values'!$A:$BY,2,FALSE)),"",VLOOKUP($CW53,'Audit Values'!$A:$BY,52,FALSE))</f>
        <v>A</v>
      </c>
      <c r="BA53" s="54" t="str">
        <f>IF('Weighting Factors'!F53="","",IF('Weighting Factors'!H53="Pending","PX","R"))</f>
        <v/>
      </c>
      <c r="BB53" s="60">
        <f>SUM((U53+V53+AA53+AC53+AF53+AI53+AL53+AM53+AQ53+AN53)*'Weighting Factors'!$O$5)+'2024 Legal Max'!AX53</f>
        <v>1926826</v>
      </c>
      <c r="BC53" s="24">
        <f>SUM((AR53+AN53)*'Weighting Factors'!$O$5)+AX53</f>
        <v>2036726</v>
      </c>
      <c r="BD53" s="67">
        <f>IF('Weighting Factors'!F53&gt;0,'Weighting Factors'!F53,'Preliminary SO66'!AV52)</f>
        <v>2036218</v>
      </c>
      <c r="BE53" s="24">
        <f t="shared" si="66"/>
        <v>2036218</v>
      </c>
      <c r="BF53" s="71">
        <f>'Weighting Factors'!E53</f>
        <v>0</v>
      </c>
      <c r="BG53" s="71">
        <f>Transportation!G53</f>
        <v>-4836</v>
      </c>
      <c r="BH53" s="24">
        <f>IF(ISNA(VLOOKUP($CW53,'Audit Values'!$A:$BW,2,FALSE)), 0, VLOOKUP($CW53,'Audit Values'!$A:$BW,75,FALSE))</f>
        <v>0</v>
      </c>
      <c r="BI53" s="24">
        <f t="shared" si="67"/>
        <v>-4836</v>
      </c>
      <c r="BJ53" s="24">
        <f t="shared" si="68"/>
        <v>2031382</v>
      </c>
      <c r="BK53" s="24">
        <f>SUM((U53+V53+AA53+AC53+AF53+AI53+AL53+AM53+AN53)*'Weighting Factors'!O$12)+(MAX(AO53,'Weighting Factors'!B53))</f>
        <v>2110109</v>
      </c>
      <c r="BL53" s="78">
        <f>'LOB%'!F51</f>
        <v>0.316</v>
      </c>
      <c r="BM53" s="24">
        <f t="shared" si="12"/>
        <v>666794</v>
      </c>
      <c r="BN53" s="67">
        <v>613500</v>
      </c>
      <c r="BO53" s="24">
        <f t="shared" si="69"/>
        <v>613500</v>
      </c>
      <c r="BP53" s="89">
        <f t="shared" si="13"/>
        <v>0.29070000000000001</v>
      </c>
      <c r="BQ53" s="58">
        <f t="shared" si="14"/>
        <v>0</v>
      </c>
      <c r="BR53" s="1" t="b">
        <f t="shared" si="15"/>
        <v>1</v>
      </c>
      <c r="BS53" s="76">
        <f t="shared" si="16"/>
        <v>811.02</v>
      </c>
      <c r="BT53" s="75">
        <f t="shared" si="70"/>
        <v>0.79166999999999998</v>
      </c>
      <c r="BU53" s="58">
        <f t="shared" si="18"/>
        <v>145.69999999999999</v>
      </c>
      <c r="BV53" s="1" t="b">
        <f t="shared" si="19"/>
        <v>0</v>
      </c>
      <c r="BW53" s="1">
        <f t="shared" si="20"/>
        <v>0</v>
      </c>
      <c r="BX53" s="75">
        <f t="shared" si="71"/>
        <v>0</v>
      </c>
      <c r="BY53" s="58">
        <f t="shared" si="22"/>
        <v>0</v>
      </c>
      <c r="BZ53" s="58">
        <f t="shared" si="23"/>
        <v>0</v>
      </c>
      <c r="CA53" s="61">
        <v>681.5</v>
      </c>
      <c r="CB53" s="102">
        <f t="shared" si="24"/>
        <v>7.5999999999999998E-2</v>
      </c>
      <c r="CC53" s="105">
        <f>IF(CB53&lt;0.06,1,IF(CB53&gt;=18.29,52,MATCH(CB53-0.001,'Weighting Factors'!$W$5:$W$156)+1))</f>
        <v>3</v>
      </c>
      <c r="CD53" s="24">
        <f>VLOOKUP(CC53, 'Weighting Factors'!$U$5:$X$56,4)</f>
        <v>1540</v>
      </c>
      <c r="CE53" s="109">
        <f>('Weighting Factors'!$O$5/'Weighting Factors'!$O$14)</f>
        <v>1.2216</v>
      </c>
      <c r="CF53" s="100">
        <f t="shared" si="25"/>
        <v>80080</v>
      </c>
      <c r="CG53" s="100">
        <f>CF53*'Weighting Factors'!$Q$7</f>
        <v>80080</v>
      </c>
      <c r="CH53" s="100">
        <f t="shared" si="72"/>
        <v>97826</v>
      </c>
      <c r="CI53" s="58">
        <f>AK53/'Weighting Factors'!$O$5</f>
        <v>19.2</v>
      </c>
      <c r="CJ53" s="67">
        <v>0</v>
      </c>
      <c r="CK53" s="80">
        <v>0</v>
      </c>
      <c r="CL53" s="110">
        <v>0</v>
      </c>
      <c r="CM53" s="24">
        <f>SUM((AR53*'Weighting Factors'!$O$5)+'2024 Legal Max'!AX53)*CL53</f>
        <v>0</v>
      </c>
      <c r="CN53" s="24">
        <f t="shared" si="73"/>
        <v>0</v>
      </c>
      <c r="CO53" s="65">
        <f t="shared" si="4"/>
        <v>0.30809999999999998</v>
      </c>
      <c r="CP53" s="58">
        <f t="shared" si="28"/>
        <v>0</v>
      </c>
      <c r="CQ53" s="58">
        <f t="shared" si="29"/>
        <v>0</v>
      </c>
      <c r="CR53" s="58">
        <f t="shared" si="30"/>
        <v>400.3</v>
      </c>
      <c r="CS53" s="24">
        <f>'Required Transfers'!L53</f>
        <v>39387</v>
      </c>
      <c r="CT53" s="24">
        <f>'Required Transfers'!O53</f>
        <v>1043</v>
      </c>
      <c r="CU53" s="24">
        <f>'Required Transfers'!H53</f>
        <v>131270</v>
      </c>
      <c r="CV53" s="58">
        <f t="shared" si="31"/>
        <v>167.1</v>
      </c>
      <c r="CW53" s="27" t="s">
        <v>238</v>
      </c>
    </row>
    <row r="54" spans="1:101" ht="15" customHeight="1">
      <c r="A54" s="54">
        <v>242</v>
      </c>
      <c r="B54" s="1" t="s">
        <v>26</v>
      </c>
      <c r="C54" s="1" t="s">
        <v>559</v>
      </c>
      <c r="D54" s="58">
        <v>102.5</v>
      </c>
      <c r="E54" s="58"/>
      <c r="F54" s="58">
        <v>0</v>
      </c>
      <c r="G54" s="58">
        <f t="shared" si="32"/>
        <v>102.5</v>
      </c>
      <c r="H54" s="58">
        <v>96.5</v>
      </c>
      <c r="I54" s="58"/>
      <c r="J54" s="58">
        <v>0</v>
      </c>
      <c r="K54" s="58">
        <f t="shared" si="33"/>
        <v>96.5</v>
      </c>
      <c r="L54" s="1">
        <v>105.5</v>
      </c>
      <c r="N54" s="1">
        <v>0</v>
      </c>
      <c r="O54" s="58">
        <f t="shared" si="34"/>
        <v>105.5</v>
      </c>
      <c r="P54" s="58">
        <f>IF(ISNA(VLOOKUP($CW54,'Audit Values'!$A:$BZ,2,FALSE)),'Preliminary SO66'!C53,VLOOKUP($CW54,'Audit Values'!$A:$BZ,76,FALSE))</f>
        <v>116.5</v>
      </c>
      <c r="Q54" s="58">
        <f>IF(ISNA(VLOOKUP($CW54,'Audit Values'!$A:$BZ,2,FALSE)),'Preliminary SO66'!F53,VLOOKUP($CW54,'Audit Values'!$A:$BZ,4,FALSE))</f>
        <v>0</v>
      </c>
      <c r="R54" s="58">
        <f t="shared" si="61"/>
        <v>116.5</v>
      </c>
      <c r="S54" s="58">
        <f>IF('Military Provision'!I54="YES", MAX('2024 Legal Max'!O54,'2024 Legal Max'!K54,AVERAGE('2024 Legal Max'!G54,'2024 Legal Max'!K54,'2024 Legal Max'!O54)), MAX(O54, K54))</f>
        <v>105.5</v>
      </c>
      <c r="T54" s="58">
        <f>IF(ISNA(VLOOKUP($CW54,'Audit Values'!$A:$BX,2,FALSE)),'Preliminary SO66'!AL53,VLOOKUP($CW54,'Audit Values'!$A:$BX,59,FALSE))</f>
        <v>0</v>
      </c>
      <c r="U54" s="58">
        <f t="shared" si="62"/>
        <v>105.5</v>
      </c>
      <c r="V54" s="58">
        <f>'Low-High ENRL- 2023 HSubSB 113'!N57</f>
        <v>105.5</v>
      </c>
      <c r="W54" s="58">
        <f>IF(ISNA(VLOOKUP($CW54,'Audit Values'!$A:$BZ,2,FALSE)),'Preliminary SO66'!AM53,VLOOKUP($CW54,'Audit Values'!$A:$BZ,63,FALSE))</f>
        <v>18.3</v>
      </c>
      <c r="X54" s="58">
        <f>(W54/6)*'Weighting Factors'!$O$7</f>
        <v>1.2</v>
      </c>
      <c r="Y54" s="61">
        <f>IF(ISNA(VLOOKUP($CW54,'Audit Values'!$A:$BZ,2,FALSE)),'Preliminary SO66'!AN53,VLOOKUP($CW54,'Audit Values'!$A:$BZ,62,FALSE))</f>
        <v>7</v>
      </c>
      <c r="Z54" s="58">
        <f>Y54*'Weighting Factors'!$O$8</f>
        <v>1.3</v>
      </c>
      <c r="AA54" s="58">
        <f t="shared" si="63"/>
        <v>1.3</v>
      </c>
      <c r="AB54" s="106">
        <f>IF(ISNA(VLOOKUP($CW54,'Audit Values'!$A:$BZ,2,FALSE)),'Preliminary SO66'!AO53,VLOOKUP($CW54,'Audit Values'!$A:$BZ,61,FALSE))</f>
        <v>6.3</v>
      </c>
      <c r="AC54" s="58">
        <f>AB54/6*'Weighting Factors'!$O$6</f>
        <v>0.5</v>
      </c>
      <c r="AD54" s="24">
        <f>IF(ISNA(VLOOKUP($CW54,'Audit Values'!$A:$BX,2,FALSE)),'Preliminary SO66'!AS53,VLOOKUP($CW54,'Audit Values'!$A:$BX,64,FALSE))</f>
        <v>125</v>
      </c>
      <c r="AE54" s="24">
        <f>IF(ISNA(VLOOKUP($CW54,'Audit Values'!$A:$BX,2,FALSE)),'Preliminary SO66'!AP53,VLOOKUP($CW54,'Audit Values'!$A:$BX,65,FALSE))</f>
        <v>31</v>
      </c>
      <c r="AF54" s="58">
        <f>IF(A54=207, AE54,(AE54))*'Weighting Factors'!$O$9</f>
        <v>15</v>
      </c>
      <c r="AG54" s="58">
        <f t="shared" si="50"/>
        <v>0</v>
      </c>
      <c r="AH54" s="58">
        <f>IF(ISNA(VLOOKUP($CW54,'Audit Values'!$A:$BZ,2,FALSE)),'Preliminary SO66'!AG53,VLOOKUP($CW54,'Audit Values'!$A:$BZ,71,FALSE))</f>
        <v>0</v>
      </c>
      <c r="AI54" s="58">
        <f t="shared" si="64"/>
        <v>0</v>
      </c>
      <c r="AJ54" s="58">
        <f>IF(ISNA(VLOOKUP($CW54,'Audit Values'!$A:$BX,2,FALSE)),'Preliminary SO66'!AR53,VLOOKUP($CW54,'Audit Values'!$A:$BX,66,FALSE))</f>
        <v>35</v>
      </c>
      <c r="AK54" s="24">
        <f t="shared" si="65"/>
        <v>58576</v>
      </c>
      <c r="AL54" s="58">
        <f>AK54/'Weighting Factors'!$O$5</f>
        <v>11.5</v>
      </c>
      <c r="AM54" s="58">
        <f>CJ54/'Weighting Factors'!$O$5</f>
        <v>0</v>
      </c>
      <c r="AN54" s="58">
        <f>CN54/'Weighting Factors'!$O$5</f>
        <v>0</v>
      </c>
      <c r="AO54" s="24">
        <v>98037</v>
      </c>
      <c r="AP54" s="58">
        <f>AO54/'Weighting Factors'!$O$5</f>
        <v>19.3</v>
      </c>
      <c r="AQ54" s="58">
        <f>IF(ISNA(VLOOKUP($CW54,'Audit Values'!$A:$BX,2,FALSE)),'Preliminary SO66'!X53,VLOOKUP($CW54,'Audit Values'!$A:$BX,48,FALSE))</f>
        <v>0</v>
      </c>
      <c r="AR54" s="58">
        <f t="shared" si="37"/>
        <v>258.60000000000002</v>
      </c>
      <c r="AS54" s="58">
        <f t="shared" si="38"/>
        <v>239.3</v>
      </c>
      <c r="AT54" s="58">
        <f>IF(ISNA(VLOOKUP($CW54,'Audit Values'!$A$2:$BX$410,2,FALSE)),'Preliminary SO66'!AA53,VLOOKUP($CW54,'Audit Values'!$A$2:$BX$410,41,FALSE))</f>
        <v>0</v>
      </c>
      <c r="AU54" s="58">
        <f>IF(ISNA(VLOOKUP($CW54,'Audit Values'!$A$2:$BX$410,2,FALSE)),'Preliminary SO66'!AB53,VLOOKUP($CW54,'Audit Values'!$A$2:$BX$410,42,FALSE))</f>
        <v>0</v>
      </c>
      <c r="AV54" s="73">
        <v>0</v>
      </c>
      <c r="AW54" s="73">
        <v>0</v>
      </c>
      <c r="AX54" s="24">
        <f>SUM(AT54*'Weighting Factors'!$R$10)+('2024 Legal Max'!AU54*'Weighting Factors'!$R$11)+('2024 Legal Max'!AV54*'Weighting Factors'!$R$12)+('2024 Legal Max'!AW54*'Weighting Factors'!$R$12)</f>
        <v>0</v>
      </c>
      <c r="AY54" s="54">
        <f>IF(ISNA(VLOOKUP($CW54,'Audit Values'!$A$2:$BX$429,2,FALSE)),"",IF(AND('Weighting Factors'!G54&gt;0,VLOOKUP($CW54,'Audit Values'!$A$2:$BX$429,51,FALSE)&lt;'Weighting Factors'!G54),'Weighting Factors'!G54,VLOOKUP($CW54,'Audit Values'!$A$2:$BX$429,51,FALSE)))</f>
        <v>7</v>
      </c>
      <c r="AZ54" s="54" t="str">
        <f>IF(ISNA(VLOOKUP($CW54,'Audit Values'!$A:$BY,2,FALSE)),"",VLOOKUP($CW54,'Audit Values'!$A:$BY,52,FALSE))</f>
        <v>A</v>
      </c>
      <c r="BA54" s="54" t="str">
        <f>IF('Weighting Factors'!F54="","",IF('Weighting Factors'!H54="Pending","PX","R"))</f>
        <v/>
      </c>
      <c r="BB54" s="60">
        <f>SUM((U54+V54+AA54+AC54+AF54+AI54+AL54+AM54+AQ54+AN54)*'Weighting Factors'!$O$5)+'2024 Legal Max'!AX54</f>
        <v>1217558</v>
      </c>
      <c r="BC54" s="24">
        <f>SUM((AR54+AN54)*'Weighting Factors'!$O$5)+AX54</f>
        <v>1315757</v>
      </c>
      <c r="BD54" s="67">
        <f>IF('Weighting Factors'!F54&gt;0,'Weighting Factors'!F54,'Preliminary SO66'!AV53)</f>
        <v>1367654</v>
      </c>
      <c r="BE54" s="24">
        <f t="shared" si="66"/>
        <v>1315757</v>
      </c>
      <c r="BF54" s="71">
        <f>'Weighting Factors'!E54</f>
        <v>0</v>
      </c>
      <c r="BG54" s="71">
        <f>Transportation!G54</f>
        <v>-29722</v>
      </c>
      <c r="BH54" s="24">
        <f>IF(ISNA(VLOOKUP($CW54,'Audit Values'!$A:$BW,2,FALSE)), 0, VLOOKUP($CW54,'Audit Values'!$A:$BW,75,FALSE))</f>
        <v>0</v>
      </c>
      <c r="BI54" s="24">
        <f t="shared" si="67"/>
        <v>-29722</v>
      </c>
      <c r="BJ54" s="24">
        <f t="shared" si="68"/>
        <v>1286035</v>
      </c>
      <c r="BK54" s="24">
        <f>SUM((U54+V54+AA54+AC54+AF54+AI54+AL54+AM54+AN54)*'Weighting Factors'!O$12)+(MAX(AO54,'Weighting Factors'!B54))</f>
        <v>1332566</v>
      </c>
      <c r="BL54" s="78">
        <f>'LOB%'!F52</f>
        <v>0.33</v>
      </c>
      <c r="BM54" s="24">
        <f t="shared" si="12"/>
        <v>439747</v>
      </c>
      <c r="BN54" s="67">
        <v>457060</v>
      </c>
      <c r="BO54" s="24">
        <f t="shared" si="69"/>
        <v>439747</v>
      </c>
      <c r="BP54" s="89">
        <f t="shared" si="13"/>
        <v>0.33</v>
      </c>
      <c r="BQ54" s="58">
        <f t="shared" si="14"/>
        <v>0</v>
      </c>
      <c r="BR54" s="1" t="b">
        <f t="shared" si="15"/>
        <v>1</v>
      </c>
      <c r="BS54" s="76">
        <f t="shared" si="16"/>
        <v>53.103000000000002</v>
      </c>
      <c r="BT54" s="75">
        <f t="shared" si="70"/>
        <v>0.99975199999999997</v>
      </c>
      <c r="BU54" s="58">
        <f t="shared" si="18"/>
        <v>105.5</v>
      </c>
      <c r="BV54" s="1" t="b">
        <f t="shared" si="19"/>
        <v>0</v>
      </c>
      <c r="BW54" s="1">
        <f t="shared" si="20"/>
        <v>0</v>
      </c>
      <c r="BX54" s="75">
        <f t="shared" si="71"/>
        <v>0</v>
      </c>
      <c r="BY54" s="58">
        <f t="shared" si="22"/>
        <v>0</v>
      </c>
      <c r="BZ54" s="58">
        <f t="shared" si="23"/>
        <v>0</v>
      </c>
      <c r="CA54" s="61">
        <v>243</v>
      </c>
      <c r="CB54" s="102">
        <f t="shared" si="24"/>
        <v>0.14399999999999999</v>
      </c>
      <c r="CC54" s="105">
        <f>IF(CB54&lt;0.06,1,IF(CB54&gt;=18.29,52,MATCH(CB54-0.001,'Weighting Factors'!$W$5:$W$156)+1))</f>
        <v>10</v>
      </c>
      <c r="CD54" s="24">
        <f>VLOOKUP(CC54, 'Weighting Factors'!$U$5:$X$56,4)</f>
        <v>1370</v>
      </c>
      <c r="CE54" s="109">
        <f>('Weighting Factors'!$O$5/'Weighting Factors'!$O$14)</f>
        <v>1.2216</v>
      </c>
      <c r="CF54" s="100">
        <f t="shared" si="25"/>
        <v>47950</v>
      </c>
      <c r="CG54" s="100">
        <f>CF54*'Weighting Factors'!$Q$7</f>
        <v>47950</v>
      </c>
      <c r="CH54" s="100">
        <f t="shared" si="72"/>
        <v>58576</v>
      </c>
      <c r="CI54" s="58">
        <f>AK54/'Weighting Factors'!$O$5</f>
        <v>11.5</v>
      </c>
      <c r="CJ54" s="67">
        <v>0</v>
      </c>
      <c r="CK54" s="80">
        <v>0</v>
      </c>
      <c r="CL54" s="110">
        <v>0</v>
      </c>
      <c r="CM54" s="24">
        <f>SUM((AR54*'Weighting Factors'!$O$5)+'2024 Legal Max'!AX54)*CL54</f>
        <v>0</v>
      </c>
      <c r="CN54" s="24">
        <f t="shared" si="73"/>
        <v>0</v>
      </c>
      <c r="CO54" s="65">
        <f t="shared" si="4"/>
        <v>0.248</v>
      </c>
      <c r="CP54" s="58">
        <f t="shared" si="28"/>
        <v>0</v>
      </c>
      <c r="CQ54" s="58">
        <f t="shared" si="29"/>
        <v>0</v>
      </c>
      <c r="CR54" s="58">
        <f t="shared" si="30"/>
        <v>258.60000000000002</v>
      </c>
      <c r="CS54" s="24">
        <f>'Required Transfers'!L54</f>
        <v>25505</v>
      </c>
      <c r="CT54" s="24">
        <f>'Required Transfers'!O54</f>
        <v>2199</v>
      </c>
      <c r="CU54" s="24">
        <f>'Required Transfers'!H54</f>
        <v>76320</v>
      </c>
      <c r="CV54" s="58">
        <f t="shared" si="31"/>
        <v>116.5</v>
      </c>
      <c r="CW54" s="27" t="s">
        <v>239</v>
      </c>
    </row>
    <row r="55" spans="1:101" ht="15" customHeight="1">
      <c r="A55" s="54">
        <v>243</v>
      </c>
      <c r="B55" s="1" t="s">
        <v>27</v>
      </c>
      <c r="C55" s="1" t="s">
        <v>560</v>
      </c>
      <c r="D55" s="58">
        <v>451</v>
      </c>
      <c r="E55" s="58"/>
      <c r="F55" s="58">
        <v>0</v>
      </c>
      <c r="G55" s="58">
        <f t="shared" si="32"/>
        <v>451</v>
      </c>
      <c r="H55" s="58">
        <v>447.1</v>
      </c>
      <c r="I55" s="58"/>
      <c r="J55" s="58">
        <v>0</v>
      </c>
      <c r="K55" s="58">
        <f t="shared" si="33"/>
        <v>447.1</v>
      </c>
      <c r="L55" s="1">
        <v>442.2</v>
      </c>
      <c r="N55" s="1">
        <v>0</v>
      </c>
      <c r="O55" s="58">
        <f t="shared" si="34"/>
        <v>442.2</v>
      </c>
      <c r="P55" s="58">
        <f>IF(ISNA(VLOOKUP($CW55,'Audit Values'!$A:$BZ,2,FALSE)),'Preliminary SO66'!C54,VLOOKUP($CW55,'Audit Values'!$A:$BZ,76,FALSE))</f>
        <v>435.5</v>
      </c>
      <c r="Q55" s="58">
        <f>IF(ISNA(VLOOKUP($CW55,'Audit Values'!$A:$BZ,2,FALSE)),'Preliminary SO66'!F54,VLOOKUP($CW55,'Audit Values'!$A:$BZ,4,FALSE))</f>
        <v>0</v>
      </c>
      <c r="R55" s="58">
        <f t="shared" si="61"/>
        <v>435.5</v>
      </c>
      <c r="S55" s="58">
        <f>IF('Military Provision'!I55="YES", MAX('2024 Legal Max'!O55,'2024 Legal Max'!K55,AVERAGE('2024 Legal Max'!G55,'2024 Legal Max'!K55,'2024 Legal Max'!O55)), MAX(O55, K55))</f>
        <v>447.1</v>
      </c>
      <c r="T55" s="58">
        <f>IF(ISNA(VLOOKUP($CW55,'Audit Values'!$A:$BX,2,FALSE)),'Preliminary SO66'!AL54,VLOOKUP($CW55,'Audit Values'!$A:$BX,59,FALSE))</f>
        <v>10.5</v>
      </c>
      <c r="U55" s="58">
        <f t="shared" si="62"/>
        <v>457.6</v>
      </c>
      <c r="V55" s="58">
        <f>'Low-High ENRL- 2023 HSubSB 113'!N58</f>
        <v>197.1</v>
      </c>
      <c r="W55" s="58">
        <f>IF(ISNA(VLOOKUP($CW55,'Audit Values'!$A:$BZ,2,FALSE)),'Preliminary SO66'!AM54,VLOOKUP($CW55,'Audit Values'!$A:$BZ,63,FALSE))</f>
        <v>0</v>
      </c>
      <c r="X55" s="58">
        <f>(W55/6)*'Weighting Factors'!$O$7</f>
        <v>0</v>
      </c>
      <c r="Y55" s="61">
        <f>IF(ISNA(VLOOKUP($CW55,'Audit Values'!$A:$BZ,2,FALSE)),'Preliminary SO66'!AN54,VLOOKUP($CW55,'Audit Values'!$A:$BZ,62,FALSE))</f>
        <v>0</v>
      </c>
      <c r="Z55" s="58">
        <f>Y55*'Weighting Factors'!$O$8</f>
        <v>0</v>
      </c>
      <c r="AA55" s="58">
        <f t="shared" si="63"/>
        <v>0</v>
      </c>
      <c r="AB55" s="106">
        <f>IF(ISNA(VLOOKUP($CW55,'Audit Values'!$A:$BZ,2,FALSE)),'Preliminary SO66'!AO54,VLOOKUP($CW55,'Audit Values'!$A:$BZ,61,FALSE))</f>
        <v>53.7</v>
      </c>
      <c r="AC55" s="58">
        <f>AB55/6*'Weighting Factors'!$O$6</f>
        <v>4.5</v>
      </c>
      <c r="AD55" s="24">
        <f>IF(ISNA(VLOOKUP($CW55,'Audit Values'!$A:$BX,2,FALSE)),'Preliminary SO66'!AS54,VLOOKUP($CW55,'Audit Values'!$A:$BX,64,FALSE))</f>
        <v>475</v>
      </c>
      <c r="AE55" s="24">
        <f>IF(ISNA(VLOOKUP($CW55,'Audit Values'!$A:$BX,2,FALSE)),'Preliminary SO66'!AP54,VLOOKUP($CW55,'Audit Values'!$A:$BX,65,FALSE))</f>
        <v>176</v>
      </c>
      <c r="AF55" s="58">
        <f>IF(A55=207, AE55,(AE55))*'Weighting Factors'!$O$9</f>
        <v>85.2</v>
      </c>
      <c r="AG55" s="58">
        <f t="shared" si="50"/>
        <v>2.5</v>
      </c>
      <c r="AH55" s="58">
        <f>IF(ISNA(VLOOKUP($CW55,'Audit Values'!$A:$BZ,2,FALSE)),'Preliminary SO66'!AG54,VLOOKUP($CW55,'Audit Values'!$A:$BZ,71,FALSE))</f>
        <v>4.4000000000000004</v>
      </c>
      <c r="AI55" s="58">
        <f t="shared" si="64"/>
        <v>4.4000000000000004</v>
      </c>
      <c r="AJ55" s="58">
        <f>IF(ISNA(VLOOKUP($CW55,'Audit Values'!$A:$BX,2,FALSE)),'Preliminary SO66'!AR54,VLOOKUP($CW55,'Audit Values'!$A:$BX,66,FALSE))</f>
        <v>85.5</v>
      </c>
      <c r="AK55" s="24">
        <f t="shared" si="65"/>
        <v>122203</v>
      </c>
      <c r="AL55" s="58">
        <f>AK55/'Weighting Factors'!$O$5</f>
        <v>24</v>
      </c>
      <c r="AM55" s="58">
        <f>CJ55/'Weighting Factors'!$O$5</f>
        <v>0</v>
      </c>
      <c r="AN55" s="58">
        <f>CN55/'Weighting Factors'!$O$5</f>
        <v>0</v>
      </c>
      <c r="AO55" s="24">
        <v>698205</v>
      </c>
      <c r="AP55" s="58">
        <f>AO55/'Weighting Factors'!$O$5</f>
        <v>137.19999999999999</v>
      </c>
      <c r="AQ55" s="58">
        <f>IF(ISNA(VLOOKUP($CW55,'Audit Values'!$A:$BX,2,FALSE)),'Preliminary SO66'!X54,VLOOKUP($CW55,'Audit Values'!$A:$BX,48,FALSE))</f>
        <v>0</v>
      </c>
      <c r="AR55" s="58">
        <f t="shared" si="37"/>
        <v>910</v>
      </c>
      <c r="AS55" s="58">
        <f t="shared" si="38"/>
        <v>772.8</v>
      </c>
      <c r="AT55" s="58">
        <f>IF(ISNA(VLOOKUP($CW55,'Audit Values'!$A$2:$BX$410,2,FALSE)),'Preliminary SO66'!AA54,VLOOKUP($CW55,'Audit Values'!$A$2:$BX$410,41,FALSE))</f>
        <v>0</v>
      </c>
      <c r="AU55" s="58">
        <f>IF(ISNA(VLOOKUP($CW55,'Audit Values'!$A$2:$BX$410,2,FALSE)),'Preliminary SO66'!AB54,VLOOKUP($CW55,'Audit Values'!$A$2:$BX$410,42,FALSE))</f>
        <v>0</v>
      </c>
      <c r="AV55" s="73">
        <v>0</v>
      </c>
      <c r="AW55" s="73">
        <v>0</v>
      </c>
      <c r="AX55" s="24">
        <f>SUM(AT55*'Weighting Factors'!$R$10)+('2024 Legal Max'!AU55*'Weighting Factors'!$R$11)+('2024 Legal Max'!AV55*'Weighting Factors'!$R$12)+('2024 Legal Max'!AW55*'Weighting Factors'!$R$12)</f>
        <v>0</v>
      </c>
      <c r="AY55" s="54">
        <f>IF(ISNA(VLOOKUP($CW55,'Audit Values'!$A$2:$BX$429,2,FALSE)),"",IF(AND('Weighting Factors'!G55&gt;0,VLOOKUP($CW55,'Audit Values'!$A$2:$BX$429,51,FALSE)&lt;'Weighting Factors'!G55),'Weighting Factors'!G55,VLOOKUP($CW55,'Audit Values'!$A$2:$BX$429,51,FALSE)))</f>
        <v>30</v>
      </c>
      <c r="AZ55" s="54" t="str">
        <f>IF(ISNA(VLOOKUP($CW55,'Audit Values'!$A:$BY,2,FALSE)),"",VLOOKUP($CW55,'Audit Values'!$A:$BY,52,FALSE))</f>
        <v>A</v>
      </c>
      <c r="BA55" s="54" t="str">
        <f>IF('Weighting Factors'!F55="","",IF('Weighting Factors'!H55="Pending","PX","R"))</f>
        <v>R</v>
      </c>
      <c r="BB55" s="60">
        <f>SUM((U55+V55+AA55+AC55+AF55+AI55+AL55+AM55+AQ55+AN55)*'Weighting Factors'!$O$5)+'2024 Legal Max'!AX55</f>
        <v>3932006</v>
      </c>
      <c r="BC55" s="24">
        <f>SUM((AR55+AN55)*'Weighting Factors'!$O$5)+AX55</f>
        <v>4630080</v>
      </c>
      <c r="BD55" s="67">
        <f>IF('Weighting Factors'!F55&gt;0,'Weighting Factors'!F55,'Preliminary SO66'!AV54)</f>
        <v>4779667</v>
      </c>
      <c r="BE55" s="24">
        <f t="shared" si="66"/>
        <v>4630080</v>
      </c>
      <c r="BF55" s="71">
        <f>'Weighting Factors'!E55</f>
        <v>0</v>
      </c>
      <c r="BG55" s="71">
        <f>Transportation!G55</f>
        <v>0</v>
      </c>
      <c r="BH55" s="24">
        <f>IF(ISNA(VLOOKUP($CW55,'Audit Values'!$A:$BW,2,FALSE)), 0, VLOOKUP($CW55,'Audit Values'!$A:$BW,75,FALSE))</f>
        <v>0</v>
      </c>
      <c r="BI55" s="24">
        <f t="shared" si="67"/>
        <v>0</v>
      </c>
      <c r="BJ55" s="24">
        <f t="shared" si="68"/>
        <v>4630080</v>
      </c>
      <c r="BK55" s="24">
        <f>SUM((U55+V55+AA55+AC55+AF55+AI55+AL55+AM55+AN55)*'Weighting Factors'!O$12)+(MAX(AO55,'Weighting Factors'!B55))</f>
        <v>4684307</v>
      </c>
      <c r="BL55" s="78">
        <f>'LOB%'!F53</f>
        <v>0.316</v>
      </c>
      <c r="BM55" s="24">
        <f t="shared" si="12"/>
        <v>1480241</v>
      </c>
      <c r="BN55" s="67">
        <v>1492223</v>
      </c>
      <c r="BO55" s="24">
        <f t="shared" si="69"/>
        <v>1480241</v>
      </c>
      <c r="BP55" s="89">
        <f t="shared" si="13"/>
        <v>0.316</v>
      </c>
      <c r="BQ55" s="58">
        <f t="shared" si="14"/>
        <v>0</v>
      </c>
      <c r="BR55" s="1" t="b">
        <f t="shared" si="15"/>
        <v>0</v>
      </c>
      <c r="BS55" s="76">
        <f t="shared" si="16"/>
        <v>0</v>
      </c>
      <c r="BT55" s="75">
        <f t="shared" si="70"/>
        <v>0</v>
      </c>
      <c r="BU55" s="58">
        <f t="shared" si="18"/>
        <v>0</v>
      </c>
      <c r="BV55" s="1" t="b">
        <f t="shared" si="19"/>
        <v>1</v>
      </c>
      <c r="BW55" s="1">
        <f t="shared" si="20"/>
        <v>195.03</v>
      </c>
      <c r="BX55" s="75">
        <f t="shared" si="71"/>
        <v>0.43064200000000002</v>
      </c>
      <c r="BY55" s="58">
        <f t="shared" si="22"/>
        <v>197.1</v>
      </c>
      <c r="BZ55" s="58">
        <f t="shared" si="23"/>
        <v>0</v>
      </c>
      <c r="CA55" s="61">
        <v>248</v>
      </c>
      <c r="CB55" s="102">
        <f t="shared" si="24"/>
        <v>0.34499999999999997</v>
      </c>
      <c r="CC55" s="105">
        <f>IF(CB55&lt;0.06,1,IF(CB55&gt;=18.29,52,MATCH(CB55-0.001,'Weighting Factors'!$W$5:$W$156)+1))</f>
        <v>21</v>
      </c>
      <c r="CD55" s="24">
        <f>VLOOKUP(CC55, 'Weighting Factors'!$U$5:$X$56,4)</f>
        <v>1170</v>
      </c>
      <c r="CE55" s="109">
        <f>('Weighting Factors'!$O$5/'Weighting Factors'!$O$14)</f>
        <v>1.2216</v>
      </c>
      <c r="CF55" s="100">
        <f t="shared" si="25"/>
        <v>100035</v>
      </c>
      <c r="CG55" s="100">
        <f>CF55*'Weighting Factors'!$Q$7</f>
        <v>100035</v>
      </c>
      <c r="CH55" s="100">
        <f t="shared" si="72"/>
        <v>122203</v>
      </c>
      <c r="CI55" s="58">
        <f>AK55/'Weighting Factors'!$O$5</f>
        <v>24</v>
      </c>
      <c r="CJ55" s="67">
        <v>0</v>
      </c>
      <c r="CK55" s="80">
        <v>0</v>
      </c>
      <c r="CL55" s="110">
        <v>0</v>
      </c>
      <c r="CM55" s="24">
        <f>SUM((AR55*'Weighting Factors'!$O$5)+'2024 Legal Max'!AX55)*CL55</f>
        <v>0</v>
      </c>
      <c r="CN55" s="24">
        <f t="shared" si="73"/>
        <v>0</v>
      </c>
      <c r="CO55" s="65">
        <f t="shared" si="4"/>
        <v>0.3705</v>
      </c>
      <c r="CP55" s="58">
        <f t="shared" si="28"/>
        <v>0</v>
      </c>
      <c r="CQ55" s="58">
        <f t="shared" si="29"/>
        <v>2.5</v>
      </c>
      <c r="CR55" s="58">
        <f t="shared" si="30"/>
        <v>910</v>
      </c>
      <c r="CS55" s="24">
        <f>'Required Transfers'!L55</f>
        <v>140179</v>
      </c>
      <c r="CT55" s="24">
        <f>'Required Transfers'!O55</f>
        <v>0</v>
      </c>
      <c r="CU55" s="24">
        <f>'Required Transfers'!H55</f>
        <v>455885</v>
      </c>
      <c r="CV55" s="58">
        <f t="shared" si="31"/>
        <v>446</v>
      </c>
      <c r="CW55" s="27" t="s">
        <v>240</v>
      </c>
    </row>
    <row r="56" spans="1:101" ht="15" customHeight="1">
      <c r="A56" s="54">
        <v>244</v>
      </c>
      <c r="B56" s="1" t="s">
        <v>27</v>
      </c>
      <c r="C56" s="1" t="s">
        <v>561</v>
      </c>
      <c r="D56" s="58">
        <v>772.5</v>
      </c>
      <c r="E56" s="58"/>
      <c r="F56" s="58">
        <v>0</v>
      </c>
      <c r="G56" s="58">
        <f t="shared" si="32"/>
        <v>772.5</v>
      </c>
      <c r="H56" s="58">
        <v>785.5</v>
      </c>
      <c r="I56" s="58"/>
      <c r="J56" s="58">
        <v>0</v>
      </c>
      <c r="K56" s="58">
        <f t="shared" si="33"/>
        <v>785.5</v>
      </c>
      <c r="L56" s="1">
        <v>792</v>
      </c>
      <c r="N56" s="1">
        <v>0</v>
      </c>
      <c r="O56" s="58">
        <f t="shared" si="34"/>
        <v>792</v>
      </c>
      <c r="P56" s="58">
        <f>IF(ISNA(VLOOKUP($CW56,'Audit Values'!$A:$BZ,2,FALSE)),'Preliminary SO66'!C55,VLOOKUP($CW56,'Audit Values'!$A:$BZ,76,FALSE))</f>
        <v>778.5</v>
      </c>
      <c r="Q56" s="58">
        <f>IF(ISNA(VLOOKUP($CW56,'Audit Values'!$A:$BZ,2,FALSE)),'Preliminary SO66'!F55,VLOOKUP($CW56,'Audit Values'!$A:$BZ,4,FALSE))</f>
        <v>0</v>
      </c>
      <c r="R56" s="58">
        <f t="shared" si="61"/>
        <v>778.5</v>
      </c>
      <c r="S56" s="58">
        <f>IF('Military Provision'!I56="YES", MAX('2024 Legal Max'!O56,'2024 Legal Max'!K56,AVERAGE('2024 Legal Max'!G56,'2024 Legal Max'!K56,'2024 Legal Max'!O56)), MAX(O56, K56))</f>
        <v>792</v>
      </c>
      <c r="T56" s="58">
        <f>IF(ISNA(VLOOKUP($CW56,'Audit Values'!$A:$BX,2,FALSE)),'Preliminary SO66'!AL55,VLOOKUP($CW56,'Audit Values'!$A:$BX,59,FALSE))</f>
        <v>8.5</v>
      </c>
      <c r="U56" s="58">
        <f t="shared" si="62"/>
        <v>800.5</v>
      </c>
      <c r="V56" s="58">
        <f>'Low-High ENRL- 2023 HSubSB 113'!N59</f>
        <v>251.5</v>
      </c>
      <c r="W56" s="58">
        <f>IF(ISNA(VLOOKUP($CW56,'Audit Values'!$A:$BZ,2,FALSE)),'Preliminary SO66'!AM55,VLOOKUP($CW56,'Audit Values'!$A:$BZ,63,FALSE))</f>
        <v>1.8</v>
      </c>
      <c r="X56" s="58">
        <f>(W56/6)*'Weighting Factors'!$O$7</f>
        <v>0.1</v>
      </c>
      <c r="Y56" s="61">
        <f>IF(ISNA(VLOOKUP($CW56,'Audit Values'!$A:$BZ,2,FALSE)),'Preliminary SO66'!AN55,VLOOKUP($CW56,'Audit Values'!$A:$BZ,62,FALSE))</f>
        <v>6</v>
      </c>
      <c r="Z56" s="58">
        <f>Y56*'Weighting Factors'!$O$8</f>
        <v>1.1000000000000001</v>
      </c>
      <c r="AA56" s="58">
        <f t="shared" si="63"/>
        <v>1.1000000000000001</v>
      </c>
      <c r="AB56" s="106">
        <f>IF(ISNA(VLOOKUP($CW56,'Audit Values'!$A:$BZ,2,FALSE)),'Preliminary SO66'!AO55,VLOOKUP($CW56,'Audit Values'!$A:$BZ,61,FALSE))</f>
        <v>287.39999999999998</v>
      </c>
      <c r="AC56" s="58">
        <f>AB56/6*'Weighting Factors'!$O$6</f>
        <v>24</v>
      </c>
      <c r="AD56" s="24">
        <f>IF(ISNA(VLOOKUP($CW56,'Audit Values'!$A:$BX,2,FALSE)),'Preliminary SO66'!AS55,VLOOKUP($CW56,'Audit Values'!$A:$BX,64,FALSE))</f>
        <v>801</v>
      </c>
      <c r="AE56" s="24">
        <f>IF(ISNA(VLOOKUP($CW56,'Audit Values'!$A:$BX,2,FALSE)),'Preliminary SO66'!AP55,VLOOKUP($CW56,'Audit Values'!$A:$BX,65,FALSE))</f>
        <v>291</v>
      </c>
      <c r="AF56" s="58">
        <f>IF(A56=207, AE56,(AE56))*'Weighting Factors'!$O$9</f>
        <v>140.80000000000001</v>
      </c>
      <c r="AG56" s="58">
        <f t="shared" si="50"/>
        <v>2.7</v>
      </c>
      <c r="AH56" s="58">
        <f>IF(ISNA(VLOOKUP($CW56,'Audit Values'!$A:$BZ,2,FALSE)),'Preliminary SO66'!AG55,VLOOKUP($CW56,'Audit Values'!$A:$BZ,71,FALSE))</f>
        <v>5.8</v>
      </c>
      <c r="AI56" s="58">
        <f t="shared" si="64"/>
        <v>5.8</v>
      </c>
      <c r="AJ56" s="58">
        <f>IF(ISNA(VLOOKUP($CW56,'Audit Values'!$A:$BX,2,FALSE)),'Preliminary SO66'!AR55,VLOOKUP($CW56,'Audit Values'!$A:$BX,66,FALSE))</f>
        <v>199</v>
      </c>
      <c r="AK56" s="24">
        <f t="shared" si="65"/>
        <v>221220</v>
      </c>
      <c r="AL56" s="58">
        <f>AK56/'Weighting Factors'!$O$5</f>
        <v>43.5</v>
      </c>
      <c r="AM56" s="58">
        <f>CJ56/'Weighting Factors'!$O$5</f>
        <v>0</v>
      </c>
      <c r="AN56" s="58">
        <f>CN56/'Weighting Factors'!$O$5</f>
        <v>0</v>
      </c>
      <c r="AO56" s="24">
        <v>1160730</v>
      </c>
      <c r="AP56" s="58">
        <f>AO56/'Weighting Factors'!$O$5</f>
        <v>228.1</v>
      </c>
      <c r="AQ56" s="58">
        <f>IF(ISNA(VLOOKUP($CW56,'Audit Values'!$A:$BX,2,FALSE)),'Preliminary SO66'!X55,VLOOKUP($CW56,'Audit Values'!$A:$BX,48,FALSE))</f>
        <v>0</v>
      </c>
      <c r="AR56" s="58">
        <f t="shared" si="37"/>
        <v>1495.3</v>
      </c>
      <c r="AS56" s="58">
        <f t="shared" si="38"/>
        <v>1267.2</v>
      </c>
      <c r="AT56" s="58">
        <f>IF(ISNA(VLOOKUP($CW56,'Audit Values'!$A$2:$BX$410,2,FALSE)),'Preliminary SO66'!AA55,VLOOKUP($CW56,'Audit Values'!$A$2:$BX$410,41,FALSE))</f>
        <v>0</v>
      </c>
      <c r="AU56" s="58">
        <f>IF(ISNA(VLOOKUP($CW56,'Audit Values'!$A$2:$BX$410,2,FALSE)),'Preliminary SO66'!AB55,VLOOKUP($CW56,'Audit Values'!$A$2:$BX$410,42,FALSE))</f>
        <v>0</v>
      </c>
      <c r="AV56" s="73">
        <v>0</v>
      </c>
      <c r="AW56" s="73">
        <v>0</v>
      </c>
      <c r="AX56" s="24">
        <f>SUM(AT56*'Weighting Factors'!$R$10)+('2024 Legal Max'!AU56*'Weighting Factors'!$R$11)+('2024 Legal Max'!AV56*'Weighting Factors'!$R$12)+('2024 Legal Max'!AW56*'Weighting Factors'!$R$12)</f>
        <v>0</v>
      </c>
      <c r="AY56" s="54">
        <f>IF(ISNA(VLOOKUP($CW56,'Audit Values'!$A$2:$BX$429,2,FALSE)),"",IF(AND('Weighting Factors'!G56&gt;0,VLOOKUP($CW56,'Audit Values'!$A$2:$BX$429,51,FALSE)&lt;'Weighting Factors'!G56),'Weighting Factors'!G56,VLOOKUP($CW56,'Audit Values'!$A$2:$BX$429,51,FALSE)))</f>
        <v>14</v>
      </c>
      <c r="AZ56" s="54" t="str">
        <f>IF(ISNA(VLOOKUP($CW56,'Audit Values'!$A:$BY,2,FALSE)),"",VLOOKUP($CW56,'Audit Values'!$A:$BY,52,FALSE))</f>
        <v>A</v>
      </c>
      <c r="BA56" s="54" t="str">
        <f>IF('Weighting Factors'!F56="","",IF('Weighting Factors'!H56="Pending","PX","R"))</f>
        <v/>
      </c>
      <c r="BB56" s="60">
        <f>SUM((U56+V56+AA56+AC56+AF56+AI56+AL56+AM56+AQ56+AN56)*'Weighting Factors'!$O$5)+'2024 Legal Max'!AX56</f>
        <v>6447514</v>
      </c>
      <c r="BC56" s="24">
        <f>SUM((AR56+AN56)*'Weighting Factors'!$O$5)+AX56</f>
        <v>7608086</v>
      </c>
      <c r="BD56" s="67">
        <f>IF('Weighting Factors'!F56&gt;0,'Weighting Factors'!F56,'Preliminary SO66'!AV55)</f>
        <v>7941859</v>
      </c>
      <c r="BE56" s="24">
        <f t="shared" si="66"/>
        <v>7608086</v>
      </c>
      <c r="BF56" s="71">
        <f>'Weighting Factors'!E56</f>
        <v>0</v>
      </c>
      <c r="BG56" s="71">
        <f>Transportation!G56</f>
        <v>0</v>
      </c>
      <c r="BH56" s="24">
        <f>IF(ISNA(VLOOKUP($CW56,'Audit Values'!$A:$BW,2,FALSE)), 0, VLOOKUP($CW56,'Audit Values'!$A:$BW,75,FALSE))</f>
        <v>0</v>
      </c>
      <c r="BI56" s="24">
        <f t="shared" si="67"/>
        <v>0</v>
      </c>
      <c r="BJ56" s="24">
        <f t="shared" si="68"/>
        <v>7608086</v>
      </c>
      <c r="BK56" s="24">
        <f>SUM((U56+V56+AA56+AC56+AF56+AI56+AL56+AM56+AN56)*'Weighting Factors'!O$12)+(MAX(AO56,'Weighting Factors'!B56))</f>
        <v>7836568</v>
      </c>
      <c r="BL56" s="78">
        <f>'LOB%'!F54</f>
        <v>0.316</v>
      </c>
      <c r="BM56" s="24">
        <f t="shared" si="12"/>
        <v>2476355</v>
      </c>
      <c r="BN56" s="67">
        <v>2537831</v>
      </c>
      <c r="BO56" s="24">
        <f t="shared" si="69"/>
        <v>2476355</v>
      </c>
      <c r="BP56" s="89">
        <f t="shared" si="13"/>
        <v>0.316</v>
      </c>
      <c r="BQ56" s="58">
        <f t="shared" si="14"/>
        <v>0</v>
      </c>
      <c r="BR56" s="1" t="b">
        <f t="shared" si="15"/>
        <v>0</v>
      </c>
      <c r="BS56" s="76">
        <f t="shared" si="16"/>
        <v>0</v>
      </c>
      <c r="BT56" s="75">
        <f t="shared" si="70"/>
        <v>0</v>
      </c>
      <c r="BU56" s="58">
        <f t="shared" si="18"/>
        <v>0</v>
      </c>
      <c r="BV56" s="1" t="b">
        <f t="shared" si="19"/>
        <v>1</v>
      </c>
      <c r="BW56" s="1">
        <f t="shared" si="20"/>
        <v>619.36879999999996</v>
      </c>
      <c r="BX56" s="75">
        <f t="shared" si="71"/>
        <v>0.31414199999999998</v>
      </c>
      <c r="BY56" s="58">
        <f t="shared" si="22"/>
        <v>251.5</v>
      </c>
      <c r="BZ56" s="58">
        <f t="shared" si="23"/>
        <v>0</v>
      </c>
      <c r="CA56" s="61">
        <v>147</v>
      </c>
      <c r="CB56" s="102">
        <f t="shared" si="24"/>
        <v>1.3540000000000001</v>
      </c>
      <c r="CC56" s="105">
        <f>IF(CB56&lt;0.06,1,IF(CB56&gt;=18.29,52,MATCH(CB56-0.001,'Weighting Factors'!$W$5:$W$156)+1))</f>
        <v>34</v>
      </c>
      <c r="CD56" s="24">
        <f>VLOOKUP(CC56, 'Weighting Factors'!$U$5:$X$56,4)</f>
        <v>910</v>
      </c>
      <c r="CE56" s="109">
        <f>('Weighting Factors'!$O$5/'Weighting Factors'!$O$14)</f>
        <v>1.2216</v>
      </c>
      <c r="CF56" s="100">
        <f t="shared" si="25"/>
        <v>181090</v>
      </c>
      <c r="CG56" s="100">
        <f>CF56*'Weighting Factors'!$Q$7</f>
        <v>181090</v>
      </c>
      <c r="CH56" s="100">
        <f t="shared" si="72"/>
        <v>221220</v>
      </c>
      <c r="CI56" s="58">
        <f>AK56/'Weighting Factors'!$O$5</f>
        <v>43.5</v>
      </c>
      <c r="CJ56" s="67">
        <v>0</v>
      </c>
      <c r="CK56" s="80">
        <v>0</v>
      </c>
      <c r="CL56" s="110">
        <v>0</v>
      </c>
      <c r="CM56" s="24">
        <f>SUM((AR56*'Weighting Factors'!$O$5)+'2024 Legal Max'!AX56)*CL56</f>
        <v>0</v>
      </c>
      <c r="CN56" s="24">
        <f t="shared" si="73"/>
        <v>0</v>
      </c>
      <c r="CO56" s="65">
        <f t="shared" si="4"/>
        <v>0.36330000000000001</v>
      </c>
      <c r="CP56" s="58">
        <f t="shared" si="28"/>
        <v>0</v>
      </c>
      <c r="CQ56" s="58">
        <f t="shared" si="29"/>
        <v>2.7</v>
      </c>
      <c r="CR56" s="58">
        <f t="shared" si="30"/>
        <v>1495.3</v>
      </c>
      <c r="CS56" s="24">
        <f>'Required Transfers'!L56</f>
        <v>234511</v>
      </c>
      <c r="CT56" s="24">
        <f>'Required Transfers'!O56</f>
        <v>1733</v>
      </c>
      <c r="CU56" s="24">
        <f>'Required Transfers'!H56</f>
        <v>745901</v>
      </c>
      <c r="CV56" s="58">
        <f t="shared" si="31"/>
        <v>787</v>
      </c>
      <c r="CW56" s="27" t="s">
        <v>241</v>
      </c>
    </row>
    <row r="57" spans="1:101" ht="15" customHeight="1">
      <c r="A57" s="54">
        <v>245</v>
      </c>
      <c r="B57" s="1" t="s">
        <v>27</v>
      </c>
      <c r="C57" s="1" t="s">
        <v>562</v>
      </c>
      <c r="D57" s="58">
        <v>164</v>
      </c>
      <c r="E57" s="58"/>
      <c r="F57" s="58">
        <v>0</v>
      </c>
      <c r="G57" s="58">
        <f t="shared" si="32"/>
        <v>164</v>
      </c>
      <c r="H57" s="58">
        <v>156.5</v>
      </c>
      <c r="I57" s="58"/>
      <c r="J57" s="58">
        <v>0</v>
      </c>
      <c r="K57" s="58">
        <f t="shared" si="33"/>
        <v>156.5</v>
      </c>
      <c r="L57" s="1">
        <v>146</v>
      </c>
      <c r="N57" s="1">
        <v>0</v>
      </c>
      <c r="O57" s="58">
        <f t="shared" si="34"/>
        <v>146</v>
      </c>
      <c r="P57" s="58">
        <f>IF(ISNA(VLOOKUP($CW57,'Audit Values'!$A:$BZ,2,FALSE)),'Preliminary SO66'!C56,VLOOKUP($CW57,'Audit Values'!$A:$BZ,76,FALSE))</f>
        <v>148.5</v>
      </c>
      <c r="Q57" s="58">
        <f>IF(ISNA(VLOOKUP($CW57,'Audit Values'!$A:$BZ,2,FALSE)),'Preliminary SO66'!F56,VLOOKUP($CW57,'Audit Values'!$A:$BZ,4,FALSE))</f>
        <v>0</v>
      </c>
      <c r="R57" s="58">
        <f t="shared" si="61"/>
        <v>148.5</v>
      </c>
      <c r="S57" s="58">
        <f>IF('Military Provision'!I57="YES", MAX('2024 Legal Max'!O57,'2024 Legal Max'!K57,AVERAGE('2024 Legal Max'!G57,'2024 Legal Max'!K57,'2024 Legal Max'!O57)), MAX(O57, K57))</f>
        <v>156.5</v>
      </c>
      <c r="T57" s="58">
        <f>IF(ISNA(VLOOKUP($CW57,'Audit Values'!$A:$BX,2,FALSE)),'Preliminary SO66'!AL56,VLOOKUP($CW57,'Audit Values'!$A:$BX,59,FALSE))</f>
        <v>5</v>
      </c>
      <c r="U57" s="58">
        <f t="shared" si="62"/>
        <v>161.5</v>
      </c>
      <c r="V57" s="58">
        <f>'Low-High ENRL- 2023 HSubSB 113'!N60</f>
        <v>137.5</v>
      </c>
      <c r="W57" s="58">
        <f>IF(ISNA(VLOOKUP($CW57,'Audit Values'!$A:$BZ,2,FALSE)),'Preliminary SO66'!AM56,VLOOKUP($CW57,'Audit Values'!$A:$BZ,63,FALSE))</f>
        <v>0</v>
      </c>
      <c r="X57" s="58">
        <f>(W57/6)*'Weighting Factors'!$O$7</f>
        <v>0</v>
      </c>
      <c r="Y57" s="61">
        <f>IF(ISNA(VLOOKUP($CW57,'Audit Values'!$A:$BZ,2,FALSE)),'Preliminary SO66'!AN56,VLOOKUP($CW57,'Audit Values'!$A:$BZ,62,FALSE))</f>
        <v>0</v>
      </c>
      <c r="Z57" s="58">
        <f>Y57*'Weighting Factors'!$O$8</f>
        <v>0</v>
      </c>
      <c r="AA57" s="58">
        <f t="shared" si="63"/>
        <v>0</v>
      </c>
      <c r="AB57" s="106">
        <f>IF(ISNA(VLOOKUP($CW57,'Audit Values'!$A:$BZ,2,FALSE)),'Preliminary SO66'!AO56,VLOOKUP($CW57,'Audit Values'!$A:$BZ,61,FALSE))</f>
        <v>33.700000000000003</v>
      </c>
      <c r="AC57" s="58">
        <f>AB57/6*'Weighting Factors'!$O$6</f>
        <v>2.8</v>
      </c>
      <c r="AD57" s="24">
        <f>IF(ISNA(VLOOKUP($CW57,'Audit Values'!$A:$BX,2,FALSE)),'Preliminary SO66'!AS56,VLOOKUP($CW57,'Audit Values'!$A:$BX,64,FALSE))</f>
        <v>160</v>
      </c>
      <c r="AE57" s="24">
        <f>IF(ISNA(VLOOKUP($CW57,'Audit Values'!$A:$BX,2,FALSE)),'Preliminary SO66'!AP56,VLOOKUP($CW57,'Audit Values'!$A:$BX,65,FALSE))</f>
        <v>83</v>
      </c>
      <c r="AF57" s="58">
        <f>IF(A57=207, AE57,(AE57))*'Weighting Factors'!$O$9</f>
        <v>40.200000000000003</v>
      </c>
      <c r="AG57" s="58">
        <f t="shared" si="50"/>
        <v>8.6999999999999993</v>
      </c>
      <c r="AH57" s="58">
        <f>IF(ISNA(VLOOKUP($CW57,'Audit Values'!$A:$BZ,2,FALSE)),'Preliminary SO66'!AG56,VLOOKUP($CW57,'Audit Values'!$A:$BZ,71,FALSE))</f>
        <v>7.4</v>
      </c>
      <c r="AI57" s="58">
        <f t="shared" si="64"/>
        <v>8.6999999999999993</v>
      </c>
      <c r="AJ57" s="58">
        <f>IF(ISNA(VLOOKUP($CW57,'Audit Values'!$A:$BX,2,FALSE)),'Preliminary SO66'!AR56,VLOOKUP($CW57,'Audit Values'!$A:$BX,66,FALSE))</f>
        <v>90</v>
      </c>
      <c r="AK57" s="24">
        <f t="shared" si="65"/>
        <v>122038</v>
      </c>
      <c r="AL57" s="58">
        <f>AK57/'Weighting Factors'!$O$5</f>
        <v>24</v>
      </c>
      <c r="AM57" s="58">
        <f>CJ57/'Weighting Factors'!$O$5</f>
        <v>0</v>
      </c>
      <c r="AN57" s="58">
        <f>CN57/'Weighting Factors'!$O$5</f>
        <v>0</v>
      </c>
      <c r="AO57" s="24">
        <v>194358</v>
      </c>
      <c r="AP57" s="58">
        <f>AO57/'Weighting Factors'!$O$5</f>
        <v>38.200000000000003</v>
      </c>
      <c r="AQ57" s="58">
        <f>IF(ISNA(VLOOKUP($CW57,'Audit Values'!$A:$BX,2,FALSE)),'Preliminary SO66'!X56,VLOOKUP($CW57,'Audit Values'!$A:$BX,48,FALSE))</f>
        <v>0</v>
      </c>
      <c r="AR57" s="58">
        <f t="shared" si="37"/>
        <v>412.9</v>
      </c>
      <c r="AS57" s="58">
        <f t="shared" si="38"/>
        <v>374.7</v>
      </c>
      <c r="AT57" s="58">
        <f>IF(ISNA(VLOOKUP($CW57,'Audit Values'!$A$2:$BX$410,2,FALSE)),'Preliminary SO66'!AA56,VLOOKUP($CW57,'Audit Values'!$A$2:$BX$410,41,FALSE))</f>
        <v>0</v>
      </c>
      <c r="AU57" s="58">
        <f>IF(ISNA(VLOOKUP($CW57,'Audit Values'!$A$2:$BX$410,2,FALSE)),'Preliminary SO66'!AB56,VLOOKUP($CW57,'Audit Values'!$A$2:$BX$410,42,FALSE))</f>
        <v>0</v>
      </c>
      <c r="AV57" s="73">
        <v>0</v>
      </c>
      <c r="AW57" s="73">
        <v>0</v>
      </c>
      <c r="AX57" s="24">
        <f>SUM(AT57*'Weighting Factors'!$R$10)+('2024 Legal Max'!AU57*'Weighting Factors'!$R$11)+('2024 Legal Max'!AV57*'Weighting Factors'!$R$12)+('2024 Legal Max'!AW57*'Weighting Factors'!$R$12)</f>
        <v>0</v>
      </c>
      <c r="AY57" s="54">
        <f>IF(ISNA(VLOOKUP($CW57,'Audit Values'!$A$2:$BX$429,2,FALSE)),"",IF(AND('Weighting Factors'!G57&gt;0,VLOOKUP($CW57,'Audit Values'!$A$2:$BX$429,51,FALSE)&lt;'Weighting Factors'!G57),'Weighting Factors'!G57,VLOOKUP($CW57,'Audit Values'!$A$2:$BX$429,51,FALSE)))</f>
        <v>15</v>
      </c>
      <c r="AZ57" s="54" t="str">
        <f>IF(ISNA(VLOOKUP($CW57,'Audit Values'!$A:$BY,2,FALSE)),"",VLOOKUP($CW57,'Audit Values'!$A:$BY,52,FALSE))</f>
        <v>A</v>
      </c>
      <c r="BA57" s="54" t="str">
        <f>IF('Weighting Factors'!F57="","",IF('Weighting Factors'!H57="Pending","PX","R"))</f>
        <v/>
      </c>
      <c r="BB57" s="60">
        <f>SUM((U57+V57+AA57+AC57+AF57+AI57+AL57+AM57+AQ57+AN57)*'Weighting Factors'!$O$5)+'2024 Legal Max'!AX57</f>
        <v>1906474</v>
      </c>
      <c r="BC57" s="24">
        <f>SUM((AR57+AN57)*'Weighting Factors'!$O$5)+AX57</f>
        <v>2100835</v>
      </c>
      <c r="BD57" s="67">
        <f>IF('Weighting Factors'!F57&gt;0,'Weighting Factors'!F57,'Preliminary SO66'!AV56)</f>
        <v>2183770</v>
      </c>
      <c r="BE57" s="24">
        <f t="shared" si="66"/>
        <v>2100835</v>
      </c>
      <c r="BF57" s="71">
        <f>'Weighting Factors'!E57</f>
        <v>0</v>
      </c>
      <c r="BG57" s="71">
        <f>Transportation!G57</f>
        <v>0</v>
      </c>
      <c r="BH57" s="24">
        <f>IF(ISNA(VLOOKUP($CW57,'Audit Values'!$A:$BW,2,FALSE)), 0, VLOOKUP($CW57,'Audit Values'!$A:$BW,75,FALSE))</f>
        <v>0</v>
      </c>
      <c r="BI57" s="24">
        <f t="shared" si="67"/>
        <v>0</v>
      </c>
      <c r="BJ57" s="24">
        <f t="shared" si="68"/>
        <v>2100835</v>
      </c>
      <c r="BK57" s="24">
        <f>SUM((U57+V57+AA57+AC57+AF57+AI57+AL57+AM57+AN57)*'Weighting Factors'!O$12)+(MAX(AO57,'Weighting Factors'!B57))</f>
        <v>2233254</v>
      </c>
      <c r="BL57" s="78">
        <f>'LOB%'!F55</f>
        <v>0.316</v>
      </c>
      <c r="BM57" s="24">
        <f t="shared" si="12"/>
        <v>705708</v>
      </c>
      <c r="BN57" s="67">
        <v>720866</v>
      </c>
      <c r="BO57" s="24">
        <f t="shared" si="69"/>
        <v>705708</v>
      </c>
      <c r="BP57" s="89">
        <f t="shared" si="13"/>
        <v>0.316</v>
      </c>
      <c r="BQ57" s="58">
        <f t="shared" si="14"/>
        <v>0</v>
      </c>
      <c r="BR57" s="1" t="b">
        <f t="shared" si="15"/>
        <v>1</v>
      </c>
      <c r="BS57" s="76">
        <f t="shared" si="16"/>
        <v>593.78300000000002</v>
      </c>
      <c r="BT57" s="75">
        <f t="shared" si="70"/>
        <v>0.85131100000000004</v>
      </c>
      <c r="BU57" s="58">
        <f t="shared" si="18"/>
        <v>137.5</v>
      </c>
      <c r="BV57" s="1" t="b">
        <f t="shared" si="19"/>
        <v>0</v>
      </c>
      <c r="BW57" s="1">
        <f t="shared" si="20"/>
        <v>0</v>
      </c>
      <c r="BX57" s="75">
        <f t="shared" si="71"/>
        <v>0</v>
      </c>
      <c r="BY57" s="58">
        <f t="shared" si="22"/>
        <v>0</v>
      </c>
      <c r="BZ57" s="58">
        <f t="shared" si="23"/>
        <v>0</v>
      </c>
      <c r="CA57" s="61">
        <v>207</v>
      </c>
      <c r="CB57" s="102">
        <f t="shared" si="24"/>
        <v>0.435</v>
      </c>
      <c r="CC57" s="105">
        <f>IF(CB57&lt;0.06,1,IF(CB57&gt;=18.29,52,MATCH(CB57-0.001,'Weighting Factors'!$W$5:$W$156)+1))</f>
        <v>24</v>
      </c>
      <c r="CD57" s="24">
        <f>VLOOKUP(CC57, 'Weighting Factors'!$U$5:$X$56,4)</f>
        <v>1110</v>
      </c>
      <c r="CE57" s="109">
        <f>('Weighting Factors'!$O$5/'Weighting Factors'!$O$14)</f>
        <v>1.2216</v>
      </c>
      <c r="CF57" s="100">
        <f t="shared" si="25"/>
        <v>99900</v>
      </c>
      <c r="CG57" s="100">
        <f>CF57*'Weighting Factors'!$Q$7</f>
        <v>99900</v>
      </c>
      <c r="CH57" s="100">
        <f t="shared" si="72"/>
        <v>122038</v>
      </c>
      <c r="CI57" s="58">
        <f>AK57/'Weighting Factors'!$O$5</f>
        <v>24</v>
      </c>
      <c r="CJ57" s="67">
        <v>0</v>
      </c>
      <c r="CK57" s="80">
        <v>0</v>
      </c>
      <c r="CL57" s="110">
        <v>0</v>
      </c>
      <c r="CM57" s="24">
        <f>SUM((AR57*'Weighting Factors'!$O$5)+'2024 Legal Max'!AX57)*CL57</f>
        <v>0</v>
      </c>
      <c r="CN57" s="24">
        <f t="shared" si="73"/>
        <v>0</v>
      </c>
      <c r="CO57" s="65">
        <f t="shared" si="4"/>
        <v>0.51880000000000004</v>
      </c>
      <c r="CP57" s="58">
        <f t="shared" si="28"/>
        <v>8.6999999999999993</v>
      </c>
      <c r="CQ57" s="58">
        <f t="shared" si="29"/>
        <v>0</v>
      </c>
      <c r="CR57" s="58">
        <f t="shared" si="30"/>
        <v>412.9</v>
      </c>
      <c r="CS57" s="24">
        <f>'Required Transfers'!L57</f>
        <v>69583</v>
      </c>
      <c r="CT57" s="24">
        <f>'Required Transfers'!O57</f>
        <v>0</v>
      </c>
      <c r="CU57" s="24">
        <f>'Required Transfers'!H57</f>
        <v>248803</v>
      </c>
      <c r="CV57" s="58">
        <f t="shared" si="31"/>
        <v>153.5</v>
      </c>
      <c r="CW57" s="27" t="s">
        <v>242</v>
      </c>
    </row>
    <row r="58" spans="1:101" ht="15" customHeight="1">
      <c r="A58" s="54">
        <v>246</v>
      </c>
      <c r="B58" s="1" t="s">
        <v>28</v>
      </c>
      <c r="C58" s="1" t="s">
        <v>563</v>
      </c>
      <c r="D58" s="58">
        <v>424</v>
      </c>
      <c r="E58" s="58"/>
      <c r="F58" s="58">
        <v>0</v>
      </c>
      <c r="G58" s="58">
        <f t="shared" si="32"/>
        <v>424</v>
      </c>
      <c r="H58" s="58">
        <v>445.5</v>
      </c>
      <c r="I58" s="58"/>
      <c r="J58" s="58">
        <v>0</v>
      </c>
      <c r="K58" s="58">
        <f t="shared" si="33"/>
        <v>445.5</v>
      </c>
      <c r="L58" s="1">
        <v>442.9</v>
      </c>
      <c r="N58" s="1">
        <v>0</v>
      </c>
      <c r="O58" s="58">
        <f t="shared" si="34"/>
        <v>442.9</v>
      </c>
      <c r="P58" s="58">
        <f>IF(ISNA(VLOOKUP($CW58,'Audit Values'!$A:$BZ,2,FALSE)),'Preliminary SO66'!C57,VLOOKUP($CW58,'Audit Values'!$A:$BZ,76,FALSE))</f>
        <v>434.6</v>
      </c>
      <c r="Q58" s="58">
        <f>IF(ISNA(VLOOKUP($CW58,'Audit Values'!$A:$BZ,2,FALSE)),'Preliminary SO66'!F57,VLOOKUP($CW58,'Audit Values'!$A:$BZ,4,FALSE))</f>
        <v>0</v>
      </c>
      <c r="R58" s="58">
        <f t="shared" si="61"/>
        <v>434.6</v>
      </c>
      <c r="S58" s="58">
        <f>IF('Military Provision'!I58="YES", MAX('2024 Legal Max'!O58,'2024 Legal Max'!K58,AVERAGE('2024 Legal Max'!G58,'2024 Legal Max'!K58,'2024 Legal Max'!O58)), MAX(O58, K58))</f>
        <v>445.5</v>
      </c>
      <c r="T58" s="58">
        <f>IF(ISNA(VLOOKUP($CW58,'Audit Values'!$A:$BX,2,FALSE)),'Preliminary SO66'!AL57,VLOOKUP($CW58,'Audit Values'!$A:$BX,59,FALSE))</f>
        <v>5</v>
      </c>
      <c r="U58" s="58">
        <f t="shared" si="62"/>
        <v>450.5</v>
      </c>
      <c r="V58" s="58">
        <f>'Low-High ENRL- 2023 HSubSB 113'!N61</f>
        <v>195.1</v>
      </c>
      <c r="W58" s="58">
        <f>IF(ISNA(VLOOKUP($CW58,'Audit Values'!$A:$BZ,2,FALSE)),'Preliminary SO66'!AM57,VLOOKUP($CW58,'Audit Values'!$A:$BZ,63,FALSE))</f>
        <v>0</v>
      </c>
      <c r="X58" s="58">
        <f>(W58/6)*'Weighting Factors'!$O$7</f>
        <v>0</v>
      </c>
      <c r="Y58" s="61">
        <f>IF(ISNA(VLOOKUP($CW58,'Audit Values'!$A:$BZ,2,FALSE)),'Preliminary SO66'!AN57,VLOOKUP($CW58,'Audit Values'!$A:$BZ,62,FALSE))</f>
        <v>1</v>
      </c>
      <c r="Z58" s="58">
        <f>Y58*'Weighting Factors'!$O$8</f>
        <v>0.2</v>
      </c>
      <c r="AA58" s="58">
        <f t="shared" si="63"/>
        <v>0.2</v>
      </c>
      <c r="AB58" s="106">
        <f>IF(ISNA(VLOOKUP($CW58,'Audit Values'!$A:$BZ,2,FALSE)),'Preliminary SO66'!AO57,VLOOKUP($CW58,'Audit Values'!$A:$BZ,61,FALSE))</f>
        <v>118.1</v>
      </c>
      <c r="AC58" s="58">
        <f>AB58/6*'Weighting Factors'!$O$6</f>
        <v>9.8000000000000007</v>
      </c>
      <c r="AD58" s="24">
        <f>IF(ISNA(VLOOKUP($CW58,'Audit Values'!$A:$BX,2,FALSE)),'Preliminary SO66'!AS57,VLOOKUP($CW58,'Audit Values'!$A:$BX,64,FALSE))</f>
        <v>449</v>
      </c>
      <c r="AE58" s="24">
        <f>IF(ISNA(VLOOKUP($CW58,'Audit Values'!$A:$BX,2,FALSE)),'Preliminary SO66'!AP57,VLOOKUP($CW58,'Audit Values'!$A:$BX,65,FALSE))</f>
        <v>297</v>
      </c>
      <c r="AF58" s="58">
        <f>IF(A58=207, AE58,(AE58))*'Weighting Factors'!$O$9</f>
        <v>143.69999999999999</v>
      </c>
      <c r="AG58" s="58">
        <f t="shared" si="50"/>
        <v>31.2</v>
      </c>
      <c r="AH58" s="58">
        <f>IF(ISNA(VLOOKUP($CW58,'Audit Values'!$A:$BZ,2,FALSE)),'Preliminary SO66'!AG57,VLOOKUP($CW58,'Audit Values'!$A:$BZ,71,FALSE))</f>
        <v>31.2</v>
      </c>
      <c r="AI58" s="58">
        <f t="shared" si="64"/>
        <v>31.2</v>
      </c>
      <c r="AJ58" s="58">
        <f>IF(ISNA(VLOOKUP($CW58,'Audit Values'!$A:$BX,2,FALSE)),'Preliminary SO66'!AR57,VLOOKUP($CW58,'Audit Values'!$A:$BX,66,FALSE))</f>
        <v>136.5</v>
      </c>
      <c r="AK58" s="24">
        <f t="shared" si="65"/>
        <v>151741</v>
      </c>
      <c r="AL58" s="58">
        <f>AK58/'Weighting Factors'!$O$5</f>
        <v>29.8</v>
      </c>
      <c r="AM58" s="58">
        <f>CJ58/'Weighting Factors'!$O$5</f>
        <v>0</v>
      </c>
      <c r="AN58" s="58">
        <f>CN58/'Weighting Factors'!$O$5</f>
        <v>0</v>
      </c>
      <c r="AO58" s="24">
        <v>556437</v>
      </c>
      <c r="AP58" s="58">
        <f>AO58/'Weighting Factors'!$O$5</f>
        <v>109.4</v>
      </c>
      <c r="AQ58" s="58">
        <f>IF(ISNA(VLOOKUP($CW58,'Audit Values'!$A:$BX,2,FALSE)),'Preliminary SO66'!X57,VLOOKUP($CW58,'Audit Values'!$A:$BX,48,FALSE))</f>
        <v>0</v>
      </c>
      <c r="AR58" s="58">
        <f t="shared" si="37"/>
        <v>969.7</v>
      </c>
      <c r="AS58" s="58">
        <f t="shared" si="38"/>
        <v>860.3</v>
      </c>
      <c r="AT58" s="58">
        <f>IF(ISNA(VLOOKUP($CW58,'Audit Values'!$A$2:$BX$410,2,FALSE)),'Preliminary SO66'!AA57,VLOOKUP($CW58,'Audit Values'!$A$2:$BX$410,41,FALSE))</f>
        <v>2</v>
      </c>
      <c r="AU58" s="58">
        <f>IF(ISNA(VLOOKUP($CW58,'Audit Values'!$A$2:$BX$410,2,FALSE)),'Preliminary SO66'!AB57,VLOOKUP($CW58,'Audit Values'!$A$2:$BX$410,42,FALSE))</f>
        <v>0</v>
      </c>
      <c r="AV58" s="73">
        <v>0</v>
      </c>
      <c r="AW58" s="73">
        <v>0</v>
      </c>
      <c r="AX58" s="24">
        <f>SUM(AT58*'Weighting Factors'!$R$10)+('2024 Legal Max'!AU58*'Weighting Factors'!$R$11)+('2024 Legal Max'!AV58*'Weighting Factors'!$R$12)+('2024 Legal Max'!AW58*'Weighting Factors'!$R$12)</f>
        <v>11200</v>
      </c>
      <c r="AY58" s="54">
        <f>IF(ISNA(VLOOKUP($CW58,'Audit Values'!$A$2:$BX$429,2,FALSE)),"",IF(AND('Weighting Factors'!G58&gt;0,VLOOKUP($CW58,'Audit Values'!$A$2:$BX$429,51,FALSE)&lt;'Weighting Factors'!G58),'Weighting Factors'!G58,VLOOKUP($CW58,'Audit Values'!$A$2:$BX$429,51,FALSE)))</f>
        <v>25</v>
      </c>
      <c r="AZ58" s="54" t="str">
        <f>IF(ISNA(VLOOKUP($CW58,'Audit Values'!$A:$BY,2,FALSE)),"",VLOOKUP($CW58,'Audit Values'!$A:$BY,52,FALSE))</f>
        <v>A</v>
      </c>
      <c r="BA58" s="54" t="str">
        <f>IF('Weighting Factors'!F58="","",IF('Weighting Factors'!H58="Pending","PX","R"))</f>
        <v/>
      </c>
      <c r="BB58" s="60">
        <f>SUM((U58+V58+AA58+AC58+AF58+AI58+AL58+AM58+AQ58+AN58)*'Weighting Factors'!$O$5)+'2024 Legal Max'!AX58</f>
        <v>4388406</v>
      </c>
      <c r="BC58" s="24">
        <f>SUM((AR58+AN58)*'Weighting Factors'!$O$5)+AX58</f>
        <v>4945034</v>
      </c>
      <c r="BD58" s="67">
        <f>IF('Weighting Factors'!F58&gt;0,'Weighting Factors'!F58,'Preliminary SO66'!AV57)</f>
        <v>5108503</v>
      </c>
      <c r="BE58" s="24">
        <f t="shared" si="66"/>
        <v>4945034</v>
      </c>
      <c r="BF58" s="71">
        <f>'Weighting Factors'!E58</f>
        <v>0</v>
      </c>
      <c r="BG58" s="71">
        <f>Transportation!G58</f>
        <v>0</v>
      </c>
      <c r="BH58" s="24">
        <f>IF(ISNA(VLOOKUP($CW58,'Audit Values'!$A:$BW,2,FALSE)), 0, VLOOKUP($CW58,'Audit Values'!$A:$BW,75,FALSE))</f>
        <v>-355</v>
      </c>
      <c r="BI58" s="24">
        <f t="shared" si="67"/>
        <v>-355</v>
      </c>
      <c r="BJ58" s="24">
        <f t="shared" si="68"/>
        <v>4944679</v>
      </c>
      <c r="BK58" s="24">
        <f>SUM((U58+V58+AA58+AC58+AF58+AI58+AL58+AM58+AN58)*'Weighting Factors'!O$12)+(MAX(AO58,'Weighting Factors'!B58))</f>
        <v>4993864</v>
      </c>
      <c r="BL58" s="78">
        <f>'LOB%'!F56</f>
        <v>0.33</v>
      </c>
      <c r="BM58" s="24">
        <f t="shared" si="12"/>
        <v>1647975</v>
      </c>
      <c r="BN58" s="67">
        <v>1553050</v>
      </c>
      <c r="BO58" s="24">
        <f t="shared" si="69"/>
        <v>1553050</v>
      </c>
      <c r="BP58" s="89">
        <f t="shared" si="13"/>
        <v>0.311</v>
      </c>
      <c r="BQ58" s="58">
        <f t="shared" si="14"/>
        <v>0</v>
      </c>
      <c r="BR58" s="1" t="b">
        <f t="shared" si="15"/>
        <v>0</v>
      </c>
      <c r="BS58" s="76">
        <f t="shared" si="16"/>
        <v>0</v>
      </c>
      <c r="BT58" s="75">
        <f t="shared" si="70"/>
        <v>0</v>
      </c>
      <c r="BU58" s="58">
        <f t="shared" si="18"/>
        <v>0</v>
      </c>
      <c r="BV58" s="1" t="b">
        <f t="shared" si="19"/>
        <v>1</v>
      </c>
      <c r="BW58" s="1">
        <f t="shared" si="20"/>
        <v>186.24379999999999</v>
      </c>
      <c r="BX58" s="75">
        <f t="shared" si="71"/>
        <v>0.43305399999999999</v>
      </c>
      <c r="BY58" s="58">
        <f t="shared" si="22"/>
        <v>195.1</v>
      </c>
      <c r="BZ58" s="58">
        <f t="shared" si="23"/>
        <v>0</v>
      </c>
      <c r="CA58" s="61">
        <v>106</v>
      </c>
      <c r="CB58" s="102">
        <f t="shared" si="24"/>
        <v>1.288</v>
      </c>
      <c r="CC58" s="105">
        <f>IF(CB58&lt;0.06,1,IF(CB58&gt;=18.29,52,MATCH(CB58-0.001,'Weighting Factors'!$W$5:$W$156)+1))</f>
        <v>34</v>
      </c>
      <c r="CD58" s="24">
        <f>VLOOKUP(CC58, 'Weighting Factors'!$U$5:$X$56,4)</f>
        <v>910</v>
      </c>
      <c r="CE58" s="109">
        <f>('Weighting Factors'!$O$5/'Weighting Factors'!$O$14)</f>
        <v>1.2216</v>
      </c>
      <c r="CF58" s="100">
        <f t="shared" si="25"/>
        <v>124215</v>
      </c>
      <c r="CG58" s="100">
        <f>CF58*'Weighting Factors'!$Q$7</f>
        <v>124215</v>
      </c>
      <c r="CH58" s="100">
        <f t="shared" si="72"/>
        <v>151741</v>
      </c>
      <c r="CI58" s="58">
        <f>AK58/'Weighting Factors'!$O$5</f>
        <v>29.8</v>
      </c>
      <c r="CJ58" s="67">
        <v>0</v>
      </c>
      <c r="CK58" s="80">
        <v>0</v>
      </c>
      <c r="CL58" s="110">
        <v>0</v>
      </c>
      <c r="CM58" s="24">
        <f>SUM((AR58*'Weighting Factors'!$O$5)+'2024 Legal Max'!AX58)*CL58</f>
        <v>0</v>
      </c>
      <c r="CN58" s="24">
        <f t="shared" si="73"/>
        <v>0</v>
      </c>
      <c r="CO58" s="65">
        <f t="shared" si="4"/>
        <v>0.66149999999999998</v>
      </c>
      <c r="CP58" s="58">
        <f t="shared" si="28"/>
        <v>31.2</v>
      </c>
      <c r="CQ58" s="58">
        <f t="shared" si="29"/>
        <v>0</v>
      </c>
      <c r="CR58" s="58">
        <f t="shared" si="30"/>
        <v>969.7</v>
      </c>
      <c r="CS58" s="24">
        <f>'Required Transfers'!L58</f>
        <v>231404</v>
      </c>
      <c r="CT58" s="24">
        <f>'Required Transfers'!O58</f>
        <v>311</v>
      </c>
      <c r="CU58" s="24">
        <f>'Required Transfers'!H58</f>
        <v>889891</v>
      </c>
      <c r="CV58" s="58">
        <f t="shared" si="31"/>
        <v>441.6</v>
      </c>
      <c r="CW58" s="27" t="s">
        <v>243</v>
      </c>
    </row>
    <row r="59" spans="1:101" ht="15" customHeight="1">
      <c r="A59" s="54">
        <v>247</v>
      </c>
      <c r="B59" s="1" t="s">
        <v>28</v>
      </c>
      <c r="C59" s="1" t="s">
        <v>564</v>
      </c>
      <c r="D59" s="58">
        <v>442.7</v>
      </c>
      <c r="E59" s="58"/>
      <c r="F59" s="58">
        <v>0</v>
      </c>
      <c r="G59" s="58">
        <f t="shared" si="32"/>
        <v>442.7</v>
      </c>
      <c r="H59" s="58">
        <v>426.7</v>
      </c>
      <c r="I59" s="58"/>
      <c r="J59" s="58">
        <v>0</v>
      </c>
      <c r="K59" s="58">
        <f t="shared" si="33"/>
        <v>426.7</v>
      </c>
      <c r="L59" s="1">
        <v>436.5</v>
      </c>
      <c r="N59" s="1">
        <v>0</v>
      </c>
      <c r="O59" s="58">
        <f t="shared" si="34"/>
        <v>436.5</v>
      </c>
      <c r="P59" s="58">
        <f>IF(ISNA(VLOOKUP($CW59,'Audit Values'!$A:$BZ,2,FALSE)),'Preliminary SO66'!C58,VLOOKUP($CW59,'Audit Values'!$A:$BZ,76,FALSE))</f>
        <v>436</v>
      </c>
      <c r="Q59" s="58">
        <f>IF(ISNA(VLOOKUP($CW59,'Audit Values'!$A:$BZ,2,FALSE)),'Preliminary SO66'!F58,VLOOKUP($CW59,'Audit Values'!$A:$BZ,4,FALSE))</f>
        <v>0</v>
      </c>
      <c r="R59" s="58">
        <f t="shared" si="61"/>
        <v>436</v>
      </c>
      <c r="S59" s="58">
        <f>IF('Military Provision'!I59="YES", MAX('2024 Legal Max'!O59,'2024 Legal Max'!K59,AVERAGE('2024 Legal Max'!G59,'2024 Legal Max'!K59,'2024 Legal Max'!O59)), MAX(O59, K59))</f>
        <v>436.5</v>
      </c>
      <c r="T59" s="58">
        <f>IF(ISNA(VLOOKUP($CW59,'Audit Values'!$A:$BX,2,FALSE)),'Preliminary SO66'!AL58,VLOOKUP($CW59,'Audit Values'!$A:$BX,59,FALSE))</f>
        <v>7</v>
      </c>
      <c r="U59" s="58">
        <f t="shared" si="62"/>
        <v>443.5</v>
      </c>
      <c r="V59" s="58">
        <f>'Low-High ENRL- 2023 HSubSB 113'!N62</f>
        <v>193.1</v>
      </c>
      <c r="W59" s="58">
        <f>IF(ISNA(VLOOKUP($CW59,'Audit Values'!$A:$BZ,2,FALSE)),'Preliminary SO66'!AM58,VLOOKUP($CW59,'Audit Values'!$A:$BZ,63,FALSE))</f>
        <v>0</v>
      </c>
      <c r="X59" s="58">
        <f>(W59/6)*'Weighting Factors'!$O$7</f>
        <v>0</v>
      </c>
      <c r="Y59" s="61">
        <f>IF(ISNA(VLOOKUP($CW59,'Audit Values'!$A:$BZ,2,FALSE)),'Preliminary SO66'!AN58,VLOOKUP($CW59,'Audit Values'!$A:$BZ,62,FALSE))</f>
        <v>0</v>
      </c>
      <c r="Z59" s="58">
        <f>Y59*'Weighting Factors'!$O$8</f>
        <v>0</v>
      </c>
      <c r="AA59" s="58">
        <f t="shared" si="63"/>
        <v>0</v>
      </c>
      <c r="AB59" s="106">
        <f>IF(ISNA(VLOOKUP($CW59,'Audit Values'!$A:$BZ,2,FALSE)),'Preliminary SO66'!AO58,VLOOKUP($CW59,'Audit Values'!$A:$BZ,61,FALSE))</f>
        <v>265.39999999999998</v>
      </c>
      <c r="AC59" s="58">
        <f>AB59/6*'Weighting Factors'!$O$6</f>
        <v>22.1</v>
      </c>
      <c r="AD59" s="24">
        <f>IF(ISNA(VLOOKUP($CW59,'Audit Values'!$A:$BX,2,FALSE)),'Preliminary SO66'!AS58,VLOOKUP($CW59,'Audit Values'!$A:$BX,64,FALSE))</f>
        <v>453</v>
      </c>
      <c r="AE59" s="24">
        <f>IF(ISNA(VLOOKUP($CW59,'Audit Values'!$A:$BX,2,FALSE)),'Preliminary SO66'!AP58,VLOOKUP($CW59,'Audit Values'!$A:$BX,65,FALSE))</f>
        <v>301</v>
      </c>
      <c r="AF59" s="58">
        <f>IF(A59=207, AE59,(AE59))*'Weighting Factors'!$O$9</f>
        <v>145.69999999999999</v>
      </c>
      <c r="AG59" s="58">
        <f t="shared" si="50"/>
        <v>31.6</v>
      </c>
      <c r="AH59" s="58">
        <f>IF(ISNA(VLOOKUP($CW59,'Audit Values'!$A:$BZ,2,FALSE)),'Preliminary SO66'!AG58,VLOOKUP($CW59,'Audit Values'!$A:$BZ,71,FALSE))</f>
        <v>31.6</v>
      </c>
      <c r="AI59" s="58">
        <f t="shared" si="64"/>
        <v>31.6</v>
      </c>
      <c r="AJ59" s="58">
        <f>IF(ISNA(VLOOKUP($CW59,'Audit Values'!$A:$BX,2,FALSE)),'Preliminary SO66'!AR58,VLOOKUP($CW59,'Audit Values'!$A:$BX,66,FALSE))</f>
        <v>228</v>
      </c>
      <c r="AK59" s="24">
        <f t="shared" si="65"/>
        <v>281310</v>
      </c>
      <c r="AL59" s="58">
        <f>AK59/'Weighting Factors'!$O$5</f>
        <v>55.3</v>
      </c>
      <c r="AM59" s="58">
        <f>CJ59/'Weighting Factors'!$O$5</f>
        <v>0</v>
      </c>
      <c r="AN59" s="58">
        <f>CN59/'Weighting Factors'!$O$5</f>
        <v>0</v>
      </c>
      <c r="AO59" s="24">
        <v>467182</v>
      </c>
      <c r="AP59" s="58">
        <f>AO59/'Weighting Factors'!$O$5</f>
        <v>91.8</v>
      </c>
      <c r="AQ59" s="58">
        <f>IF(ISNA(VLOOKUP($CW59,'Audit Values'!$A:$BX,2,FALSE)),'Preliminary SO66'!X58,VLOOKUP($CW59,'Audit Values'!$A:$BX,48,FALSE))</f>
        <v>0</v>
      </c>
      <c r="AR59" s="58">
        <f t="shared" si="37"/>
        <v>983.1</v>
      </c>
      <c r="AS59" s="58">
        <f t="shared" si="38"/>
        <v>891.3</v>
      </c>
      <c r="AT59" s="58">
        <f>IF(ISNA(VLOOKUP($CW59,'Audit Values'!$A$2:$BX$410,2,FALSE)),'Preliminary SO66'!AA58,VLOOKUP($CW59,'Audit Values'!$A$2:$BX$410,41,FALSE))</f>
        <v>0</v>
      </c>
      <c r="AU59" s="58">
        <f>IF(ISNA(VLOOKUP($CW59,'Audit Values'!$A$2:$BX$410,2,FALSE)),'Preliminary SO66'!AB58,VLOOKUP($CW59,'Audit Values'!$A$2:$BX$410,42,FALSE))</f>
        <v>0</v>
      </c>
      <c r="AV59" s="73">
        <v>0</v>
      </c>
      <c r="AW59" s="73">
        <v>0</v>
      </c>
      <c r="AX59" s="24">
        <f>SUM(AT59*'Weighting Factors'!$R$10)+('2024 Legal Max'!AU59*'Weighting Factors'!$R$11)+('2024 Legal Max'!AV59*'Weighting Factors'!$R$12)+('2024 Legal Max'!AW59*'Weighting Factors'!$R$12)</f>
        <v>0</v>
      </c>
      <c r="AY59" s="54">
        <f>IF(ISNA(VLOOKUP($CW59,'Audit Values'!$A$2:$BX$429,2,FALSE)),"",IF(AND('Weighting Factors'!G59&gt;0,VLOOKUP($CW59,'Audit Values'!$A$2:$BX$429,51,FALSE)&lt;'Weighting Factors'!G59),'Weighting Factors'!G59,VLOOKUP($CW59,'Audit Values'!$A$2:$BX$429,51,FALSE)))</f>
        <v>16</v>
      </c>
      <c r="AZ59" s="54" t="str">
        <f>IF(ISNA(VLOOKUP($CW59,'Audit Values'!$A:$BY,2,FALSE)),"",VLOOKUP($CW59,'Audit Values'!$A:$BY,52,FALSE))</f>
        <v>A</v>
      </c>
      <c r="BA59" s="54" t="str">
        <f>IF('Weighting Factors'!F59="","",IF('Weighting Factors'!H59="Pending","PX","R"))</f>
        <v/>
      </c>
      <c r="BB59" s="60">
        <f>SUM((U59+V59+AA59+AC59+AF59+AI59+AL59+AM59+AQ59+AN59)*'Weighting Factors'!$O$5)+'2024 Legal Max'!AX59</f>
        <v>4534934</v>
      </c>
      <c r="BC59" s="24">
        <f>SUM((AR59+AN59)*'Weighting Factors'!$O$5)+AX59</f>
        <v>5002013</v>
      </c>
      <c r="BD59" s="67">
        <f>IF('Weighting Factors'!F59&gt;0,'Weighting Factors'!F59,'Preliminary SO66'!AV58)</f>
        <v>5066571</v>
      </c>
      <c r="BE59" s="24">
        <f t="shared" si="66"/>
        <v>5002013</v>
      </c>
      <c r="BF59" s="71">
        <f>'Weighting Factors'!E59</f>
        <v>0</v>
      </c>
      <c r="BG59" s="71">
        <f>Transportation!G59</f>
        <v>0</v>
      </c>
      <c r="BH59" s="24">
        <f>IF(ISNA(VLOOKUP($CW59,'Audit Values'!$A:$BW,2,FALSE)), 0, VLOOKUP($CW59,'Audit Values'!$A:$BW,75,FALSE))</f>
        <v>-709</v>
      </c>
      <c r="BI59" s="24">
        <f t="shared" si="67"/>
        <v>-709</v>
      </c>
      <c r="BJ59" s="24">
        <f t="shared" si="68"/>
        <v>5001304</v>
      </c>
      <c r="BK59" s="24">
        <f>SUM((U59+V59+AA59+AC59+AF59+AI59+AL59+AM59+AN59)*'Weighting Factors'!O$12)+(MAX(AO59,'Weighting Factors'!B59))</f>
        <v>5253965</v>
      </c>
      <c r="BL59" s="78">
        <f>'LOB%'!F57</f>
        <v>0.33</v>
      </c>
      <c r="BM59" s="24">
        <f t="shared" si="12"/>
        <v>1733808</v>
      </c>
      <c r="BN59" s="67">
        <v>1731255</v>
      </c>
      <c r="BO59" s="24">
        <f t="shared" si="69"/>
        <v>1731255</v>
      </c>
      <c r="BP59" s="89">
        <f t="shared" si="13"/>
        <v>0.32950000000000002</v>
      </c>
      <c r="BQ59" s="58">
        <f t="shared" si="14"/>
        <v>0</v>
      </c>
      <c r="BR59" s="1" t="b">
        <f t="shared" si="15"/>
        <v>0</v>
      </c>
      <c r="BS59" s="76">
        <f t="shared" si="16"/>
        <v>0</v>
      </c>
      <c r="BT59" s="75">
        <f t="shared" si="70"/>
        <v>0</v>
      </c>
      <c r="BU59" s="58">
        <f t="shared" si="18"/>
        <v>0</v>
      </c>
      <c r="BV59" s="1" t="b">
        <f t="shared" si="19"/>
        <v>1</v>
      </c>
      <c r="BW59" s="1">
        <f t="shared" si="20"/>
        <v>177.5813</v>
      </c>
      <c r="BX59" s="75">
        <f t="shared" si="71"/>
        <v>0.43543199999999999</v>
      </c>
      <c r="BY59" s="58">
        <f t="shared" si="22"/>
        <v>193.1</v>
      </c>
      <c r="BZ59" s="58">
        <f t="shared" si="23"/>
        <v>0</v>
      </c>
      <c r="CA59" s="61">
        <v>300</v>
      </c>
      <c r="CB59" s="102">
        <f t="shared" si="24"/>
        <v>0.76</v>
      </c>
      <c r="CC59" s="105">
        <f>IF(CB59&lt;0.06,1,IF(CB59&gt;=18.29,52,MATCH(CB59-0.001,'Weighting Factors'!$W$5:$W$156)+1))</f>
        <v>29</v>
      </c>
      <c r="CD59" s="24">
        <f>VLOOKUP(CC59, 'Weighting Factors'!$U$5:$X$56,4)</f>
        <v>1010</v>
      </c>
      <c r="CE59" s="109">
        <f>('Weighting Factors'!$O$5/'Weighting Factors'!$O$14)</f>
        <v>1.2216</v>
      </c>
      <c r="CF59" s="100">
        <f t="shared" si="25"/>
        <v>230280</v>
      </c>
      <c r="CG59" s="100">
        <f>CF59*'Weighting Factors'!$Q$7</f>
        <v>230280</v>
      </c>
      <c r="CH59" s="100">
        <f t="shared" si="72"/>
        <v>281310</v>
      </c>
      <c r="CI59" s="58">
        <f>AK59/'Weighting Factors'!$O$5</f>
        <v>55.3</v>
      </c>
      <c r="CJ59" s="67">
        <v>0</v>
      </c>
      <c r="CK59" s="80">
        <v>0</v>
      </c>
      <c r="CL59" s="110">
        <v>0</v>
      </c>
      <c r="CM59" s="24">
        <f>SUM((AR59*'Weighting Factors'!$O$5)+'2024 Legal Max'!AX59)*CL59</f>
        <v>0</v>
      </c>
      <c r="CN59" s="24">
        <f t="shared" si="73"/>
        <v>0</v>
      </c>
      <c r="CO59" s="65">
        <f t="shared" si="4"/>
        <v>0.66449999999999998</v>
      </c>
      <c r="CP59" s="58">
        <f t="shared" si="28"/>
        <v>31.6</v>
      </c>
      <c r="CQ59" s="58">
        <f t="shared" si="29"/>
        <v>0</v>
      </c>
      <c r="CR59" s="58">
        <f t="shared" si="30"/>
        <v>983.1</v>
      </c>
      <c r="CS59" s="24">
        <f>'Required Transfers'!L59</f>
        <v>258476</v>
      </c>
      <c r="CT59" s="24">
        <f>'Required Transfers'!O59</f>
        <v>0</v>
      </c>
      <c r="CU59" s="24">
        <f>'Required Transfers'!H59</f>
        <v>902102</v>
      </c>
      <c r="CV59" s="58">
        <f t="shared" si="31"/>
        <v>443</v>
      </c>
      <c r="CW59" s="27" t="s">
        <v>244</v>
      </c>
    </row>
    <row r="60" spans="1:101" ht="15" customHeight="1">
      <c r="A60" s="54">
        <v>248</v>
      </c>
      <c r="B60" s="1" t="s">
        <v>28</v>
      </c>
      <c r="C60" s="1" t="s">
        <v>565</v>
      </c>
      <c r="D60" s="58">
        <v>963</v>
      </c>
      <c r="E60" s="58"/>
      <c r="F60" s="58">
        <v>0</v>
      </c>
      <c r="G60" s="58">
        <f t="shared" si="32"/>
        <v>963</v>
      </c>
      <c r="H60" s="58">
        <v>965.5</v>
      </c>
      <c r="I60" s="58"/>
      <c r="J60" s="58">
        <v>0</v>
      </c>
      <c r="K60" s="58">
        <f t="shared" si="33"/>
        <v>965.5</v>
      </c>
      <c r="L60" s="1">
        <v>979.5</v>
      </c>
      <c r="N60" s="1">
        <v>0</v>
      </c>
      <c r="O60" s="58">
        <f t="shared" si="34"/>
        <v>979.5</v>
      </c>
      <c r="P60" s="58">
        <f>IF(ISNA(VLOOKUP($CW60,'Audit Values'!$A:$BZ,2,FALSE)),'Preliminary SO66'!C59,VLOOKUP($CW60,'Audit Values'!$A:$BZ,76,FALSE))</f>
        <v>935.5</v>
      </c>
      <c r="Q60" s="58">
        <f>IF(ISNA(VLOOKUP($CW60,'Audit Values'!$A:$BZ,2,FALSE)),'Preliminary SO66'!F59,VLOOKUP($CW60,'Audit Values'!$A:$BZ,4,FALSE))</f>
        <v>0</v>
      </c>
      <c r="R60" s="58">
        <f t="shared" si="61"/>
        <v>935.5</v>
      </c>
      <c r="S60" s="58">
        <f>IF('Military Provision'!I60="YES", MAX('2024 Legal Max'!O60,'2024 Legal Max'!K60,AVERAGE('2024 Legal Max'!G60,'2024 Legal Max'!K60,'2024 Legal Max'!O60)), MAX(O60, K60))</f>
        <v>979.5</v>
      </c>
      <c r="T60" s="58">
        <f>IF(ISNA(VLOOKUP($CW60,'Audit Values'!$A:$BX,2,FALSE)),'Preliminary SO66'!AL59,VLOOKUP($CW60,'Audit Values'!$A:$BX,59,FALSE))</f>
        <v>12</v>
      </c>
      <c r="U60" s="58">
        <f t="shared" si="62"/>
        <v>991.5</v>
      </c>
      <c r="V60" s="58">
        <f>'Low-High ENRL- 2023 HSubSB 113'!N63</f>
        <v>247.1</v>
      </c>
      <c r="W60" s="58">
        <f>IF(ISNA(VLOOKUP($CW60,'Audit Values'!$A:$BZ,2,FALSE)),'Preliminary SO66'!AM59,VLOOKUP($CW60,'Audit Values'!$A:$BZ,63,FALSE))</f>
        <v>5.6</v>
      </c>
      <c r="X60" s="58">
        <f>(W60/6)*'Weighting Factors'!$O$7</f>
        <v>0.4</v>
      </c>
      <c r="Y60" s="61">
        <f>IF(ISNA(VLOOKUP($CW60,'Audit Values'!$A:$BZ,2,FALSE)),'Preliminary SO66'!AN59,VLOOKUP($CW60,'Audit Values'!$A:$BZ,62,FALSE))</f>
        <v>10</v>
      </c>
      <c r="Z60" s="58">
        <f>Y60*'Weighting Factors'!$O$8</f>
        <v>1.9</v>
      </c>
      <c r="AA60" s="58">
        <f t="shared" si="63"/>
        <v>1.9</v>
      </c>
      <c r="AB60" s="106">
        <f>IF(ISNA(VLOOKUP($CW60,'Audit Values'!$A:$BZ,2,FALSE)),'Preliminary SO66'!AO59,VLOOKUP($CW60,'Audit Values'!$A:$BZ,61,FALSE))</f>
        <v>268</v>
      </c>
      <c r="AC60" s="58">
        <f>AB60/6*'Weighting Factors'!$O$6</f>
        <v>22.3</v>
      </c>
      <c r="AD60" s="24">
        <f>IF(ISNA(VLOOKUP($CW60,'Audit Values'!$A:$BX,2,FALSE)),'Preliminary SO66'!AS59,VLOOKUP($CW60,'Audit Values'!$A:$BX,64,FALSE))</f>
        <v>966</v>
      </c>
      <c r="AE60" s="24">
        <f>IF(ISNA(VLOOKUP($CW60,'Audit Values'!$A:$BX,2,FALSE)),'Preliminary SO66'!AP59,VLOOKUP($CW60,'Audit Values'!$A:$BX,65,FALSE))</f>
        <v>411</v>
      </c>
      <c r="AF60" s="58">
        <f>IF(A60=207, AE60,(AE60))*'Weighting Factors'!$O$9</f>
        <v>198.9</v>
      </c>
      <c r="AG60" s="58">
        <f t="shared" si="50"/>
        <v>21.7</v>
      </c>
      <c r="AH60" s="58">
        <f>IF(ISNA(VLOOKUP($CW60,'Audit Values'!$A:$BZ,2,FALSE)),'Preliminary SO66'!AG59,VLOOKUP($CW60,'Audit Values'!$A:$BZ,71,FALSE))</f>
        <v>22.1</v>
      </c>
      <c r="AI60" s="58">
        <f t="shared" si="64"/>
        <v>22.1</v>
      </c>
      <c r="AJ60" s="58">
        <f>IF(ISNA(VLOOKUP($CW60,'Audit Values'!$A:$BX,2,FALSE)),'Preliminary SO66'!AR59,VLOOKUP($CW60,'Audit Values'!$A:$BX,66,FALSE))</f>
        <v>256</v>
      </c>
      <c r="AK60" s="24">
        <f t="shared" si="65"/>
        <v>303348</v>
      </c>
      <c r="AL60" s="58">
        <f>AK60/'Weighting Factors'!$O$5</f>
        <v>59.6</v>
      </c>
      <c r="AM60" s="58">
        <f>CJ60/'Weighting Factors'!$O$5</f>
        <v>0</v>
      </c>
      <c r="AN60" s="58">
        <f>CN60/'Weighting Factors'!$O$5</f>
        <v>0</v>
      </c>
      <c r="AO60" s="24">
        <v>1045744</v>
      </c>
      <c r="AP60" s="58">
        <f>AO60/'Weighting Factors'!$O$5</f>
        <v>205.5</v>
      </c>
      <c r="AQ60" s="58">
        <f>IF(ISNA(VLOOKUP($CW60,'Audit Values'!$A:$BX,2,FALSE)),'Preliminary SO66'!X59,VLOOKUP($CW60,'Audit Values'!$A:$BX,48,FALSE))</f>
        <v>0</v>
      </c>
      <c r="AR60" s="58">
        <f t="shared" si="37"/>
        <v>1748.9</v>
      </c>
      <c r="AS60" s="58">
        <f t="shared" si="38"/>
        <v>1543.4</v>
      </c>
      <c r="AT60" s="58">
        <f>IF(ISNA(VLOOKUP($CW60,'Audit Values'!$A$2:$BX$410,2,FALSE)),'Preliminary SO66'!AA59,VLOOKUP($CW60,'Audit Values'!$A$2:$BX$410,41,FALSE))</f>
        <v>11</v>
      </c>
      <c r="AU60" s="58">
        <f>IF(ISNA(VLOOKUP($CW60,'Audit Values'!$A$2:$BX$410,2,FALSE)),'Preliminary SO66'!AB59,VLOOKUP($CW60,'Audit Values'!$A$2:$BX$410,42,FALSE))</f>
        <v>1.3</v>
      </c>
      <c r="AV60" s="73">
        <v>0</v>
      </c>
      <c r="AW60" s="73">
        <v>0</v>
      </c>
      <c r="AX60" s="24">
        <f>SUM(AT60*'Weighting Factors'!$R$10)+('2024 Legal Max'!AU60*'Weighting Factors'!$R$11)+('2024 Legal Max'!AV60*'Weighting Factors'!$R$12)+('2024 Legal Max'!AW60*'Weighting Factors'!$R$12)</f>
        <v>65240</v>
      </c>
      <c r="AY60" s="54">
        <f>IF(ISNA(VLOOKUP($CW60,'Audit Values'!$A$2:$BX$429,2,FALSE)),"",IF(AND('Weighting Factors'!G60&gt;0,VLOOKUP($CW60,'Audit Values'!$A$2:$BX$429,51,FALSE)&lt;'Weighting Factors'!G60),'Weighting Factors'!G60,VLOOKUP($CW60,'Audit Values'!$A$2:$BX$429,51,FALSE)))</f>
        <v>25</v>
      </c>
      <c r="AZ60" s="54" t="str">
        <f>IF(ISNA(VLOOKUP($CW60,'Audit Values'!$A:$BY,2,FALSE)),"",VLOOKUP($CW60,'Audit Values'!$A:$BY,52,FALSE))</f>
        <v>A</v>
      </c>
      <c r="BA60" s="54" t="str">
        <f>IF('Weighting Factors'!F60="","",IF('Weighting Factors'!H60="Pending","PX","R"))</f>
        <v/>
      </c>
      <c r="BB60" s="60">
        <f>SUM((U60+V60+AA60+AC60+AF60+AI60+AL60+AM60+AQ60+AN60)*'Weighting Factors'!$O$5)+'2024 Legal Max'!AX60</f>
        <v>7918059</v>
      </c>
      <c r="BC60" s="24">
        <f>SUM((AR60+AN60)*'Weighting Factors'!$O$5)+AX60</f>
        <v>8963643</v>
      </c>
      <c r="BD60" s="67">
        <f>IF('Weighting Factors'!F60&gt;0,'Weighting Factors'!F60,'Preliminary SO66'!AV59)</f>
        <v>9209791</v>
      </c>
      <c r="BE60" s="24">
        <f t="shared" si="66"/>
        <v>8963643</v>
      </c>
      <c r="BF60" s="71">
        <f>'Weighting Factors'!E60</f>
        <v>0</v>
      </c>
      <c r="BG60" s="71">
        <f>Transportation!G60</f>
        <v>0</v>
      </c>
      <c r="BH60" s="24">
        <f>IF(ISNA(VLOOKUP($CW60,'Audit Values'!$A:$BW,2,FALSE)), 0, VLOOKUP($CW60,'Audit Values'!$A:$BW,75,FALSE))</f>
        <v>-12263</v>
      </c>
      <c r="BI60" s="24">
        <f t="shared" si="67"/>
        <v>-12263</v>
      </c>
      <c r="BJ60" s="24">
        <f t="shared" si="68"/>
        <v>8951380</v>
      </c>
      <c r="BK60" s="24">
        <f>SUM((U60+V60+AA60+AC60+AF60+AI60+AL60+AM60+AN60)*'Weighting Factors'!O$12)+(MAX(AO60,'Weighting Factors'!B60))</f>
        <v>9006601</v>
      </c>
      <c r="BL60" s="78">
        <f>'LOB%'!F58</f>
        <v>0.316</v>
      </c>
      <c r="BM60" s="24">
        <f t="shared" si="12"/>
        <v>2846086</v>
      </c>
      <c r="BN60" s="67">
        <v>2900000</v>
      </c>
      <c r="BO60" s="24">
        <f t="shared" si="69"/>
        <v>2846086</v>
      </c>
      <c r="BP60" s="89">
        <f t="shared" si="13"/>
        <v>0.316</v>
      </c>
      <c r="BQ60" s="58">
        <f t="shared" si="14"/>
        <v>0</v>
      </c>
      <c r="BR60" s="1" t="b">
        <f t="shared" si="15"/>
        <v>0</v>
      </c>
      <c r="BS60" s="76">
        <f t="shared" si="16"/>
        <v>0</v>
      </c>
      <c r="BT60" s="75">
        <f t="shared" si="70"/>
        <v>0</v>
      </c>
      <c r="BU60" s="58">
        <f t="shared" si="18"/>
        <v>0</v>
      </c>
      <c r="BV60" s="1" t="b">
        <f t="shared" si="19"/>
        <v>1</v>
      </c>
      <c r="BW60" s="1">
        <f t="shared" si="20"/>
        <v>855.73130000000003</v>
      </c>
      <c r="BX60" s="75">
        <f t="shared" si="71"/>
        <v>0.24925</v>
      </c>
      <c r="BY60" s="58">
        <f t="shared" si="22"/>
        <v>247.1</v>
      </c>
      <c r="BZ60" s="58">
        <f t="shared" si="23"/>
        <v>0</v>
      </c>
      <c r="CA60" s="61">
        <v>263</v>
      </c>
      <c r="CB60" s="102">
        <f t="shared" si="24"/>
        <v>0.97299999999999998</v>
      </c>
      <c r="CC60" s="105">
        <f>IF(CB60&lt;0.06,1,IF(CB60&gt;=18.29,52,MATCH(CB60-0.001,'Weighting Factors'!$W$5:$W$156)+1))</f>
        <v>31</v>
      </c>
      <c r="CD60" s="24">
        <f>VLOOKUP(CC60, 'Weighting Factors'!$U$5:$X$56,4)</f>
        <v>970</v>
      </c>
      <c r="CE60" s="109">
        <f>('Weighting Factors'!$O$5/'Weighting Factors'!$O$14)</f>
        <v>1.2216</v>
      </c>
      <c r="CF60" s="100">
        <f t="shared" si="25"/>
        <v>248320</v>
      </c>
      <c r="CG60" s="100">
        <f>CF60*'Weighting Factors'!$Q$7</f>
        <v>248320</v>
      </c>
      <c r="CH60" s="100">
        <f t="shared" si="72"/>
        <v>303348</v>
      </c>
      <c r="CI60" s="58">
        <f>AK60/'Weighting Factors'!$O$5</f>
        <v>59.6</v>
      </c>
      <c r="CJ60" s="67">
        <v>0</v>
      </c>
      <c r="CK60" s="80">
        <v>0</v>
      </c>
      <c r="CL60" s="110">
        <v>0</v>
      </c>
      <c r="CM60" s="24">
        <f>SUM((AR60*'Weighting Factors'!$O$5)+'2024 Legal Max'!AX60)*CL60</f>
        <v>0</v>
      </c>
      <c r="CN60" s="24">
        <f t="shared" si="73"/>
        <v>0</v>
      </c>
      <c r="CO60" s="65">
        <f t="shared" si="4"/>
        <v>0.42549999999999999</v>
      </c>
      <c r="CP60" s="58">
        <f t="shared" si="28"/>
        <v>0</v>
      </c>
      <c r="CQ60" s="58">
        <f t="shared" si="29"/>
        <v>21.7</v>
      </c>
      <c r="CR60" s="58">
        <f t="shared" si="30"/>
        <v>1748.9</v>
      </c>
      <c r="CS60" s="24">
        <f>'Required Transfers'!L60</f>
        <v>325877</v>
      </c>
      <c r="CT60" s="24">
        <f>'Required Transfers'!O60</f>
        <v>3131</v>
      </c>
      <c r="CU60" s="24">
        <f>'Required Transfers'!H60</f>
        <v>1124448</v>
      </c>
      <c r="CV60" s="58">
        <f t="shared" si="31"/>
        <v>959.8</v>
      </c>
      <c r="CW60" s="27" t="s">
        <v>245</v>
      </c>
    </row>
    <row r="61" spans="1:101" ht="15" customHeight="1">
      <c r="A61" s="54">
        <v>249</v>
      </c>
      <c r="B61" s="1" t="s">
        <v>28</v>
      </c>
      <c r="C61" s="1" t="s">
        <v>566</v>
      </c>
      <c r="D61" s="58">
        <v>930.5</v>
      </c>
      <c r="E61" s="58"/>
      <c r="F61" s="58">
        <v>0</v>
      </c>
      <c r="G61" s="58">
        <f t="shared" si="32"/>
        <v>930.5</v>
      </c>
      <c r="H61" s="58">
        <v>925.5</v>
      </c>
      <c r="I61" s="58"/>
      <c r="J61" s="58">
        <v>0</v>
      </c>
      <c r="K61" s="58">
        <f t="shared" si="33"/>
        <v>925.5</v>
      </c>
      <c r="L61" s="1">
        <v>888</v>
      </c>
      <c r="N61" s="1">
        <v>0</v>
      </c>
      <c r="O61" s="58">
        <f t="shared" si="34"/>
        <v>888</v>
      </c>
      <c r="P61" s="58">
        <f>IF(ISNA(VLOOKUP($CW61,'Audit Values'!$A:$BZ,2,FALSE)),'Preliminary SO66'!C60,VLOOKUP($CW61,'Audit Values'!$A:$BZ,76,FALSE))</f>
        <v>924.5</v>
      </c>
      <c r="Q61" s="58">
        <f>IF(ISNA(VLOOKUP($CW61,'Audit Values'!$A:$BZ,2,FALSE)),'Preliminary SO66'!F60,VLOOKUP($CW61,'Audit Values'!$A:$BZ,4,FALSE))</f>
        <v>0</v>
      </c>
      <c r="R61" s="58">
        <f t="shared" si="61"/>
        <v>924.5</v>
      </c>
      <c r="S61" s="58">
        <f>IF('Military Provision'!I61="YES", MAX('2024 Legal Max'!O61,'2024 Legal Max'!K61,AVERAGE('2024 Legal Max'!G61,'2024 Legal Max'!K61,'2024 Legal Max'!O61)), MAX(O61, K61))</f>
        <v>925.5</v>
      </c>
      <c r="T61" s="58">
        <f>IF(ISNA(VLOOKUP($CW61,'Audit Values'!$A:$BX,2,FALSE)),'Preliminary SO66'!AL60,VLOOKUP($CW61,'Audit Values'!$A:$BX,59,FALSE))</f>
        <v>3</v>
      </c>
      <c r="U61" s="58">
        <f t="shared" si="62"/>
        <v>928.5</v>
      </c>
      <c r="V61" s="58">
        <f>'Low-High ENRL- 2023 HSubSB 113'!N64</f>
        <v>251.3</v>
      </c>
      <c r="W61" s="58">
        <f>IF(ISNA(VLOOKUP($CW61,'Audit Values'!$A:$BZ,2,FALSE)),'Preliminary SO66'!AM60,VLOOKUP($CW61,'Audit Values'!$A:$BZ,63,FALSE))</f>
        <v>72.5</v>
      </c>
      <c r="X61" s="58">
        <f>(W61/6)*'Weighting Factors'!$O$7</f>
        <v>4.8</v>
      </c>
      <c r="Y61" s="61">
        <f>IF(ISNA(VLOOKUP($CW61,'Audit Values'!$A:$BZ,2,FALSE)),'Preliminary SO66'!AN60,VLOOKUP($CW61,'Audit Values'!$A:$BZ,62,FALSE))</f>
        <v>25</v>
      </c>
      <c r="Z61" s="58">
        <f>Y61*'Weighting Factors'!$O$8</f>
        <v>4.5999999999999996</v>
      </c>
      <c r="AA61" s="58">
        <f t="shared" si="63"/>
        <v>4.8</v>
      </c>
      <c r="AB61" s="106">
        <f>IF(ISNA(VLOOKUP($CW61,'Audit Values'!$A:$BZ,2,FALSE)),'Preliminary SO66'!AO60,VLOOKUP($CW61,'Audit Values'!$A:$BZ,61,FALSE))</f>
        <v>238.4</v>
      </c>
      <c r="AC61" s="58">
        <f>AB61/6*'Weighting Factors'!$O$6</f>
        <v>19.899999999999999</v>
      </c>
      <c r="AD61" s="24">
        <f>IF(ISNA(VLOOKUP($CW61,'Audit Values'!$A:$BX,2,FALSE)),'Preliminary SO66'!AS60,VLOOKUP($CW61,'Audit Values'!$A:$BX,64,FALSE))</f>
        <v>936</v>
      </c>
      <c r="AE61" s="24">
        <f>IF(ISNA(VLOOKUP($CW61,'Audit Values'!$A:$BX,2,FALSE)),'Preliminary SO66'!AP60,VLOOKUP($CW61,'Audit Values'!$A:$BX,65,FALSE))</f>
        <v>331</v>
      </c>
      <c r="AF61" s="58">
        <f>IF(A61=207, AE61,(AE61))*'Weighting Factors'!$O$9</f>
        <v>160.19999999999999</v>
      </c>
      <c r="AG61" s="58">
        <f t="shared" si="50"/>
        <v>0.8</v>
      </c>
      <c r="AH61" s="58">
        <f>IF(ISNA(VLOOKUP($CW61,'Audit Values'!$A:$BZ,2,FALSE)),'Preliminary SO66'!AG60,VLOOKUP($CW61,'Audit Values'!$A:$BZ,71,FALSE))</f>
        <v>10.9</v>
      </c>
      <c r="AI61" s="58">
        <f t="shared" si="64"/>
        <v>10.9</v>
      </c>
      <c r="AJ61" s="58">
        <f>IF(ISNA(VLOOKUP($CW61,'Audit Values'!$A:$BX,2,FALSE)),'Preliminary SO66'!AR60,VLOOKUP($CW61,'Audit Values'!$A:$BX,66,FALSE))</f>
        <v>74</v>
      </c>
      <c r="AK61" s="24">
        <f t="shared" si="65"/>
        <v>69607</v>
      </c>
      <c r="AL61" s="58">
        <f>AK61/'Weighting Factors'!$O$5</f>
        <v>13.7</v>
      </c>
      <c r="AM61" s="58">
        <f>CJ61/'Weighting Factors'!$O$5</f>
        <v>0</v>
      </c>
      <c r="AN61" s="58">
        <f>CN61/'Weighting Factors'!$O$5</f>
        <v>0</v>
      </c>
      <c r="AO61" s="24">
        <v>928806</v>
      </c>
      <c r="AP61" s="58">
        <f>AO61/'Weighting Factors'!$O$5</f>
        <v>182.5</v>
      </c>
      <c r="AQ61" s="58">
        <f>IF(ISNA(VLOOKUP($CW61,'Audit Values'!$A:$BX,2,FALSE)),'Preliminary SO66'!X60,VLOOKUP($CW61,'Audit Values'!$A:$BX,48,FALSE))</f>
        <v>0</v>
      </c>
      <c r="AR61" s="58">
        <f t="shared" si="37"/>
        <v>1571.8</v>
      </c>
      <c r="AS61" s="58">
        <f t="shared" si="38"/>
        <v>1389.3</v>
      </c>
      <c r="AT61" s="58">
        <f>IF(ISNA(VLOOKUP($CW61,'Audit Values'!$A$2:$BX$410,2,FALSE)),'Preliminary SO66'!AA60,VLOOKUP($CW61,'Audit Values'!$A$2:$BX$410,41,FALSE))</f>
        <v>4</v>
      </c>
      <c r="AU61" s="58">
        <f>IF(ISNA(VLOOKUP($CW61,'Audit Values'!$A$2:$BX$410,2,FALSE)),'Preliminary SO66'!AB60,VLOOKUP($CW61,'Audit Values'!$A$2:$BX$410,42,FALSE))</f>
        <v>0</v>
      </c>
      <c r="AV61" s="73">
        <v>0</v>
      </c>
      <c r="AW61" s="73">
        <v>0</v>
      </c>
      <c r="AX61" s="24">
        <f>SUM(AT61*'Weighting Factors'!$R$10)+('2024 Legal Max'!AU61*'Weighting Factors'!$R$11)+('2024 Legal Max'!AV61*'Weighting Factors'!$R$12)+('2024 Legal Max'!AW61*'Weighting Factors'!$R$12)</f>
        <v>22400</v>
      </c>
      <c r="AY61" s="54">
        <f>IF(ISNA(VLOOKUP($CW61,'Audit Values'!$A$2:$BX$429,2,FALSE)),"",IF(AND('Weighting Factors'!G61&gt;0,VLOOKUP($CW61,'Audit Values'!$A$2:$BX$429,51,FALSE)&lt;'Weighting Factors'!G61),'Weighting Factors'!G61,VLOOKUP($CW61,'Audit Values'!$A$2:$BX$429,51,FALSE)))</f>
        <v>19</v>
      </c>
      <c r="AZ61" s="54" t="str">
        <f>IF(ISNA(VLOOKUP($CW61,'Audit Values'!$A:$BY,2,FALSE)),"",VLOOKUP($CW61,'Audit Values'!$A:$BY,52,FALSE))</f>
        <v>A</v>
      </c>
      <c r="BA61" s="54" t="str">
        <f>IF('Weighting Factors'!F61="","",IF('Weighting Factors'!H61="Pending","PX","R"))</f>
        <v>R</v>
      </c>
      <c r="BB61" s="60">
        <f>SUM((U61+V61+AA61+AC61+AF61+AI61+AL61+AM61+AQ61+AN61)*'Weighting Factors'!$O$5)+'2024 Legal Max'!AX61</f>
        <v>7091158</v>
      </c>
      <c r="BC61" s="24">
        <f>SUM((AR61+AN61)*'Weighting Factors'!$O$5)+AX61</f>
        <v>8019718</v>
      </c>
      <c r="BD61" s="67">
        <f>IF('Weighting Factors'!F61&gt;0,'Weighting Factors'!F61,'Preliminary SO66'!AV60)</f>
        <v>8131658</v>
      </c>
      <c r="BE61" s="24">
        <f t="shared" si="66"/>
        <v>8019718</v>
      </c>
      <c r="BF61" s="71">
        <f>'Weighting Factors'!E61</f>
        <v>0</v>
      </c>
      <c r="BG61" s="71">
        <f>Transportation!G61</f>
        <v>0</v>
      </c>
      <c r="BH61" s="24">
        <f>IF(ISNA(VLOOKUP($CW61,'Audit Values'!$A:$BW,2,FALSE)), 0, VLOOKUP($CW61,'Audit Values'!$A:$BW,75,FALSE))</f>
        <v>-8081</v>
      </c>
      <c r="BI61" s="24">
        <f t="shared" si="67"/>
        <v>-8081</v>
      </c>
      <c r="BJ61" s="24">
        <f t="shared" si="68"/>
        <v>8011637</v>
      </c>
      <c r="BK61" s="24">
        <f>SUM((U61+V61+AA61+AC61+AF61+AI61+AL61+AM61+AN61)*'Weighting Factors'!O$12)+(MAX(AO61,'Weighting Factors'!B61))</f>
        <v>8094815</v>
      </c>
      <c r="BL61" s="78">
        <f>'LOB%'!F59</f>
        <v>0.33</v>
      </c>
      <c r="BM61" s="24">
        <f t="shared" si="12"/>
        <v>2671289</v>
      </c>
      <c r="BN61" s="67">
        <v>2688795</v>
      </c>
      <c r="BO61" s="24">
        <f t="shared" si="69"/>
        <v>2671289</v>
      </c>
      <c r="BP61" s="89">
        <f t="shared" si="13"/>
        <v>0.33</v>
      </c>
      <c r="BQ61" s="58">
        <f t="shared" si="14"/>
        <v>0</v>
      </c>
      <c r="BR61" s="1" t="b">
        <f t="shared" si="15"/>
        <v>0</v>
      </c>
      <c r="BS61" s="76">
        <f t="shared" si="16"/>
        <v>0</v>
      </c>
      <c r="BT61" s="75">
        <f t="shared" si="70"/>
        <v>0</v>
      </c>
      <c r="BU61" s="58">
        <f t="shared" si="18"/>
        <v>0</v>
      </c>
      <c r="BV61" s="1" t="b">
        <f t="shared" si="19"/>
        <v>1</v>
      </c>
      <c r="BW61" s="1">
        <f t="shared" si="20"/>
        <v>777.76880000000006</v>
      </c>
      <c r="BX61" s="75">
        <f t="shared" si="71"/>
        <v>0.27065400000000001</v>
      </c>
      <c r="BY61" s="58">
        <f t="shared" si="22"/>
        <v>251.3</v>
      </c>
      <c r="BZ61" s="58">
        <f t="shared" si="23"/>
        <v>0</v>
      </c>
      <c r="CA61" s="61">
        <v>22</v>
      </c>
      <c r="CB61" s="102">
        <f t="shared" si="24"/>
        <v>3.3639999999999999</v>
      </c>
      <c r="CC61" s="105">
        <f>IF(CB61&lt;0.06,1,IF(CB61&gt;=18.29,52,MATCH(CB61-0.001,'Weighting Factors'!$W$5:$W$156)+1))</f>
        <v>41</v>
      </c>
      <c r="CD61" s="24">
        <f>VLOOKUP(CC61, 'Weighting Factors'!$U$5:$X$56,4)</f>
        <v>770</v>
      </c>
      <c r="CE61" s="109">
        <f>('Weighting Factors'!$O$5/'Weighting Factors'!$O$14)</f>
        <v>1.2216</v>
      </c>
      <c r="CF61" s="100">
        <f t="shared" si="25"/>
        <v>56980</v>
      </c>
      <c r="CG61" s="100">
        <f>CF61*'Weighting Factors'!$Q$7</f>
        <v>56980</v>
      </c>
      <c r="CH61" s="100">
        <f t="shared" si="72"/>
        <v>69607</v>
      </c>
      <c r="CI61" s="58">
        <f>AK61/'Weighting Factors'!$O$5</f>
        <v>13.7</v>
      </c>
      <c r="CJ61" s="67">
        <v>0</v>
      </c>
      <c r="CK61" s="80">
        <v>0</v>
      </c>
      <c r="CL61" s="110">
        <v>0</v>
      </c>
      <c r="CM61" s="24">
        <f>SUM((AR61*'Weighting Factors'!$O$5)+'2024 Legal Max'!AX61)*CL61</f>
        <v>0</v>
      </c>
      <c r="CN61" s="24">
        <f t="shared" si="73"/>
        <v>0</v>
      </c>
      <c r="CO61" s="65">
        <f t="shared" si="4"/>
        <v>0.35360000000000003</v>
      </c>
      <c r="CP61" s="58">
        <f t="shared" si="28"/>
        <v>0</v>
      </c>
      <c r="CQ61" s="58">
        <f t="shared" si="29"/>
        <v>0.8</v>
      </c>
      <c r="CR61" s="58">
        <f t="shared" si="30"/>
        <v>1571.8</v>
      </c>
      <c r="CS61" s="24">
        <f>'Required Transfers'!L61</f>
        <v>272739</v>
      </c>
      <c r="CT61" s="24">
        <f>'Required Transfers'!O61</f>
        <v>8281</v>
      </c>
      <c r="CU61" s="24">
        <f>'Required Transfers'!H61</f>
        <v>870557</v>
      </c>
      <c r="CV61" s="58">
        <f t="shared" si="31"/>
        <v>931.5</v>
      </c>
      <c r="CW61" s="27" t="s">
        <v>246</v>
      </c>
    </row>
    <row r="62" spans="1:101" ht="15" customHeight="1">
      <c r="A62" s="54">
        <v>250</v>
      </c>
      <c r="B62" s="1" t="s">
        <v>28</v>
      </c>
      <c r="C62" s="1" t="s">
        <v>567</v>
      </c>
      <c r="D62" s="58">
        <v>3076</v>
      </c>
      <c r="E62" s="58">
        <v>2</v>
      </c>
      <c r="F62" s="58">
        <v>0</v>
      </c>
      <c r="G62" s="58">
        <f t="shared" si="32"/>
        <v>3074</v>
      </c>
      <c r="H62" s="58">
        <v>3095.6</v>
      </c>
      <c r="I62" s="58">
        <v>7</v>
      </c>
      <c r="J62" s="58">
        <v>0</v>
      </c>
      <c r="K62" s="58">
        <f t="shared" si="33"/>
        <v>3088.6</v>
      </c>
      <c r="L62" s="1">
        <v>3153.4</v>
      </c>
      <c r="N62" s="1">
        <v>0</v>
      </c>
      <c r="O62" s="58">
        <f t="shared" si="34"/>
        <v>3153.4</v>
      </c>
      <c r="P62" s="58">
        <f>IF(ISNA(VLOOKUP($CW62,'Audit Values'!$A:$BZ,2,FALSE)),'Preliminary SO66'!C61,VLOOKUP($CW62,'Audit Values'!$A:$BZ,76,FALSE))</f>
        <v>3164.2</v>
      </c>
      <c r="Q62" s="58">
        <f>IF(ISNA(VLOOKUP($CW62,'Audit Values'!$A:$BZ,2,FALSE)),'Preliminary SO66'!F61,VLOOKUP($CW62,'Audit Values'!$A:$BZ,4,FALSE))</f>
        <v>0</v>
      </c>
      <c r="R62" s="58">
        <f t="shared" si="61"/>
        <v>3164.2</v>
      </c>
      <c r="S62" s="58">
        <f>IF('Military Provision'!I62="YES", MAX('2024 Legal Max'!O62,'2024 Legal Max'!K62,AVERAGE('2024 Legal Max'!G62,'2024 Legal Max'!K62,'2024 Legal Max'!O62)), MAX(O62, K62))</f>
        <v>3153.4</v>
      </c>
      <c r="T62" s="58">
        <f>IF(ISNA(VLOOKUP($CW62,'Audit Values'!$A:$BX,2,FALSE)),'Preliminary SO66'!AL61,VLOOKUP($CW62,'Audit Values'!$A:$BX,59,FALSE))</f>
        <v>58</v>
      </c>
      <c r="U62" s="58">
        <f t="shared" si="62"/>
        <v>3211.4</v>
      </c>
      <c r="V62" s="58">
        <f>'Low-High ENRL- 2023 HSubSB 113'!N65</f>
        <v>112.5</v>
      </c>
      <c r="W62" s="58">
        <f>IF(ISNA(VLOOKUP($CW62,'Audit Values'!$A:$BZ,2,FALSE)),'Preliminary SO66'!AM61,VLOOKUP($CW62,'Audit Values'!$A:$BZ,63,FALSE))</f>
        <v>1381</v>
      </c>
      <c r="X62" s="58">
        <f>(W62/6)*'Weighting Factors'!$O$7</f>
        <v>90.9</v>
      </c>
      <c r="Y62" s="61">
        <f>IF(ISNA(VLOOKUP($CW62,'Audit Values'!$A:$BZ,2,FALSE)),'Preliminary SO66'!AN61,VLOOKUP($CW62,'Audit Values'!$A:$BZ,62,FALSE))</f>
        <v>378</v>
      </c>
      <c r="Z62" s="58">
        <f>Y62*'Weighting Factors'!$O$8</f>
        <v>69.900000000000006</v>
      </c>
      <c r="AA62" s="58">
        <f t="shared" si="63"/>
        <v>90.9</v>
      </c>
      <c r="AB62" s="106">
        <f>IF(ISNA(VLOOKUP($CW62,'Audit Values'!$A:$BZ,2,FALSE)),'Preliminary SO66'!AO61,VLOOKUP($CW62,'Audit Values'!$A:$BZ,61,FALSE))</f>
        <v>597.29999999999995</v>
      </c>
      <c r="AC62" s="58">
        <f>AB62/6*'Weighting Factors'!$O$6</f>
        <v>49.8</v>
      </c>
      <c r="AD62" s="24">
        <f>IF(ISNA(VLOOKUP($CW62,'Audit Values'!$A:$BX,2,FALSE)),'Preliminary SO66'!AS61,VLOOKUP($CW62,'Audit Values'!$A:$BX,64,FALSE))</f>
        <v>3332</v>
      </c>
      <c r="AE62" s="24">
        <f>IF(ISNA(VLOOKUP($CW62,'Audit Values'!$A:$BX,2,FALSE)),'Preliminary SO66'!AP61,VLOOKUP($CW62,'Audit Values'!$A:$BX,65,FALSE))</f>
        <v>2064</v>
      </c>
      <c r="AF62" s="58">
        <f>IF(A62=207, AE62,(AE62))*'Weighting Factors'!$O$9</f>
        <v>999</v>
      </c>
      <c r="AG62" s="58">
        <f t="shared" si="50"/>
        <v>216.7</v>
      </c>
      <c r="AH62" s="58">
        <f>IF(ISNA(VLOOKUP($CW62,'Audit Values'!$A:$BZ,2,FALSE)),'Preliminary SO66'!AG61,VLOOKUP($CW62,'Audit Values'!$A:$BZ,71,FALSE))</f>
        <v>216.7</v>
      </c>
      <c r="AI62" s="58">
        <f t="shared" si="64"/>
        <v>216.7</v>
      </c>
      <c r="AJ62" s="58">
        <f>IF(ISNA(VLOOKUP($CW62,'Audit Values'!$A:$BX,2,FALSE)),'Preliminary SO66'!AR61,VLOOKUP($CW62,'Audit Values'!$A:$BX,66,FALSE))</f>
        <v>497</v>
      </c>
      <c r="AK62" s="24">
        <f t="shared" si="65"/>
        <v>370352</v>
      </c>
      <c r="AL62" s="58">
        <f>AK62/'Weighting Factors'!$O$5</f>
        <v>72.8</v>
      </c>
      <c r="AM62" s="58">
        <f>CJ62/'Weighting Factors'!$O$5</f>
        <v>0</v>
      </c>
      <c r="AN62" s="58">
        <f>CN62/'Weighting Factors'!$O$5</f>
        <v>0</v>
      </c>
      <c r="AO62" s="24">
        <v>3567903</v>
      </c>
      <c r="AP62" s="58">
        <f>AO62/'Weighting Factors'!$O$5</f>
        <v>701.2</v>
      </c>
      <c r="AQ62" s="58">
        <f>IF(ISNA(VLOOKUP($CW62,'Audit Values'!$A:$BX,2,FALSE)),'Preliminary SO66'!X61,VLOOKUP($CW62,'Audit Values'!$A:$BX,48,FALSE))</f>
        <v>0</v>
      </c>
      <c r="AR62" s="58">
        <f t="shared" si="37"/>
        <v>5454.3</v>
      </c>
      <c r="AS62" s="58">
        <f t="shared" si="38"/>
        <v>4753.1000000000004</v>
      </c>
      <c r="AT62" s="58">
        <f>IF(ISNA(VLOOKUP($CW62,'Audit Values'!$A$2:$BX$410,2,FALSE)),'Preliminary SO66'!AA61,VLOOKUP($CW62,'Audit Values'!$A$2:$BX$410,41,FALSE))</f>
        <v>16</v>
      </c>
      <c r="AU62" s="58">
        <f>IF(ISNA(VLOOKUP($CW62,'Audit Values'!$A$2:$BX$410,2,FALSE)),'Preliminary SO66'!AB61,VLOOKUP($CW62,'Audit Values'!$A$2:$BX$410,42,FALSE))</f>
        <v>8.8000000000000007</v>
      </c>
      <c r="AV62" s="73">
        <v>21.5</v>
      </c>
      <c r="AW62" s="73">
        <v>0</v>
      </c>
      <c r="AX62" s="24">
        <f>SUM(AT62*'Weighting Factors'!$R$10)+('2024 Legal Max'!AU62*'Weighting Factors'!$R$11)+('2024 Legal Max'!AV62*'Weighting Factors'!$R$12)+('2024 Legal Max'!AW62*'Weighting Factors'!$R$12)</f>
        <v>129484</v>
      </c>
      <c r="AY62" s="54">
        <f>IF(ISNA(VLOOKUP($CW62,'Audit Values'!$A$2:$BX$429,2,FALSE)),"",IF(AND('Weighting Factors'!G62&gt;0,VLOOKUP($CW62,'Audit Values'!$A$2:$BX$429,51,FALSE)&lt;'Weighting Factors'!G62),'Weighting Factors'!G62,VLOOKUP($CW62,'Audit Values'!$A$2:$BX$429,51,FALSE)))</f>
        <v>16</v>
      </c>
      <c r="AZ62" s="54" t="str">
        <f>IF(ISNA(VLOOKUP($CW62,'Audit Values'!$A:$BY,2,FALSE)),"",VLOOKUP($CW62,'Audit Values'!$A:$BY,52,FALSE))</f>
        <v>A</v>
      </c>
      <c r="BA62" s="54" t="str">
        <f>IF('Weighting Factors'!F62="","",IF('Weighting Factors'!H62="Pending","PX","R"))</f>
        <v/>
      </c>
      <c r="BB62" s="60">
        <f>SUM((U62+V62+AA62+AC62+AF62+AI62+AL62+AM62+AQ62+AN62)*'Weighting Factors'!$O$5)+'2024 Legal Max'!AX62</f>
        <v>24313257</v>
      </c>
      <c r="BC62" s="24">
        <f>SUM((AR62+AN62)*'Weighting Factors'!$O$5)+AX62</f>
        <v>27880962</v>
      </c>
      <c r="BD62" s="67">
        <f>IF('Weighting Factors'!F62&gt;0,'Weighting Factors'!F62,'Preliminary SO66'!AV61)</f>
        <v>28017838</v>
      </c>
      <c r="BE62" s="24">
        <f t="shared" si="66"/>
        <v>27880962</v>
      </c>
      <c r="BF62" s="71">
        <f>'Weighting Factors'!E62</f>
        <v>0</v>
      </c>
      <c r="BG62" s="71">
        <f>Transportation!G62</f>
        <v>0</v>
      </c>
      <c r="BH62" s="24">
        <f>IF(ISNA(VLOOKUP($CW62,'Audit Values'!$A:$BW,2,FALSE)), 0, VLOOKUP($CW62,'Audit Values'!$A:$BW,75,FALSE))</f>
        <v>0</v>
      </c>
      <c r="BI62" s="24">
        <f t="shared" si="67"/>
        <v>0</v>
      </c>
      <c r="BJ62" s="24">
        <f t="shared" si="68"/>
        <v>27880962</v>
      </c>
      <c r="BK62" s="24">
        <f>SUM((U62+V62+AA62+AC62+AF62+AI62+AL62+AM62+AN62)*'Weighting Factors'!O$12)+(MAX(AO62,'Weighting Factors'!B62))</f>
        <v>28084393</v>
      </c>
      <c r="BL62" s="78">
        <f>'LOB%'!F60</f>
        <v>0.316</v>
      </c>
      <c r="BM62" s="24">
        <f t="shared" si="12"/>
        <v>8874668</v>
      </c>
      <c r="BN62" s="67">
        <v>8873623</v>
      </c>
      <c r="BO62" s="24">
        <f t="shared" si="69"/>
        <v>8873623</v>
      </c>
      <c r="BP62" s="89">
        <f t="shared" si="13"/>
        <v>0.316</v>
      </c>
      <c r="BQ62" s="58">
        <f t="shared" si="14"/>
        <v>0</v>
      </c>
      <c r="BR62" s="1" t="b">
        <f t="shared" si="15"/>
        <v>0</v>
      </c>
      <c r="BS62" s="76">
        <f t="shared" si="16"/>
        <v>0</v>
      </c>
      <c r="BT62" s="75">
        <f t="shared" si="70"/>
        <v>0</v>
      </c>
      <c r="BU62" s="58">
        <f t="shared" si="18"/>
        <v>0</v>
      </c>
      <c r="BV62" s="1" t="b">
        <f t="shared" si="19"/>
        <v>0</v>
      </c>
      <c r="BW62" s="1">
        <f t="shared" si="20"/>
        <v>0</v>
      </c>
      <c r="BX62" s="75">
        <f t="shared" si="71"/>
        <v>0</v>
      </c>
      <c r="BY62" s="58">
        <f t="shared" si="22"/>
        <v>0</v>
      </c>
      <c r="BZ62" s="58">
        <f t="shared" si="23"/>
        <v>112.5</v>
      </c>
      <c r="CA62" s="61">
        <v>43</v>
      </c>
      <c r="CB62" s="102">
        <f t="shared" si="24"/>
        <v>11.558</v>
      </c>
      <c r="CC62" s="105">
        <f>IF(CB62&lt;0.06,1,IF(CB62&gt;=18.29,52,MATCH(CB62-0.001,'Weighting Factors'!$W$5:$W$156)+1))</f>
        <v>49</v>
      </c>
      <c r="CD62" s="24">
        <f>VLOOKUP(CC62, 'Weighting Factors'!$U$5:$X$56,4)</f>
        <v>610</v>
      </c>
      <c r="CE62" s="109">
        <f>('Weighting Factors'!$O$5/'Weighting Factors'!$O$14)</f>
        <v>1.2216</v>
      </c>
      <c r="CF62" s="100">
        <f t="shared" si="25"/>
        <v>303170</v>
      </c>
      <c r="CG62" s="100">
        <f>CF62*'Weighting Factors'!$Q$7</f>
        <v>303170</v>
      </c>
      <c r="CH62" s="100">
        <f t="shared" si="72"/>
        <v>370352</v>
      </c>
      <c r="CI62" s="58">
        <f>AK62/'Weighting Factors'!$O$5</f>
        <v>72.8</v>
      </c>
      <c r="CJ62" s="67">
        <v>0</v>
      </c>
      <c r="CK62" s="80">
        <v>0</v>
      </c>
      <c r="CL62" s="110">
        <v>0</v>
      </c>
      <c r="CM62" s="24">
        <f>SUM((AR62*'Weighting Factors'!$O$5)+'2024 Legal Max'!AX62)*CL62</f>
        <v>0</v>
      </c>
      <c r="CN62" s="24">
        <f t="shared" si="73"/>
        <v>0</v>
      </c>
      <c r="CO62" s="65">
        <f t="shared" si="4"/>
        <v>0.61939999999999995</v>
      </c>
      <c r="CP62" s="58">
        <f t="shared" si="28"/>
        <v>216.7</v>
      </c>
      <c r="CQ62" s="58">
        <f t="shared" si="29"/>
        <v>0</v>
      </c>
      <c r="CR62" s="58">
        <f t="shared" si="30"/>
        <v>5454.3</v>
      </c>
      <c r="CS62" s="24">
        <f>'Required Transfers'!L62</f>
        <v>1642508</v>
      </c>
      <c r="CT62" s="24">
        <f>'Required Transfers'!O62</f>
        <v>149077</v>
      </c>
      <c r="CU62" s="24">
        <f>'Required Transfers'!H62</f>
        <v>6185482</v>
      </c>
      <c r="CV62" s="58">
        <f t="shared" si="31"/>
        <v>3250.6</v>
      </c>
      <c r="CW62" s="27" t="s">
        <v>247</v>
      </c>
    </row>
    <row r="63" spans="1:101" ht="15" customHeight="1">
      <c r="A63" s="54">
        <v>251</v>
      </c>
      <c r="B63" s="1" t="s">
        <v>30</v>
      </c>
      <c r="C63" s="1" t="s">
        <v>568</v>
      </c>
      <c r="D63" s="58">
        <v>345</v>
      </c>
      <c r="E63" s="58"/>
      <c r="F63" s="58">
        <v>0</v>
      </c>
      <c r="G63" s="58">
        <f t="shared" si="32"/>
        <v>345</v>
      </c>
      <c r="H63" s="58">
        <v>313.5</v>
      </c>
      <c r="I63" s="58"/>
      <c r="J63" s="58">
        <v>0</v>
      </c>
      <c r="K63" s="58">
        <f t="shared" si="33"/>
        <v>313.5</v>
      </c>
      <c r="L63" s="1">
        <v>324</v>
      </c>
      <c r="N63" s="1">
        <v>0</v>
      </c>
      <c r="O63" s="58">
        <f t="shared" si="34"/>
        <v>324</v>
      </c>
      <c r="P63" s="58">
        <f>IF(ISNA(VLOOKUP($CW63,'Audit Values'!$A:$BZ,2,FALSE)),'Preliminary SO66'!C62,VLOOKUP($CW63,'Audit Values'!$A:$BZ,76,FALSE))</f>
        <v>313</v>
      </c>
      <c r="Q63" s="58">
        <f>IF(ISNA(VLOOKUP($CW63,'Audit Values'!$A:$BZ,2,FALSE)),'Preliminary SO66'!F62,VLOOKUP($CW63,'Audit Values'!$A:$BZ,4,FALSE))</f>
        <v>0</v>
      </c>
      <c r="R63" s="58">
        <f t="shared" si="61"/>
        <v>313</v>
      </c>
      <c r="S63" s="58">
        <f>IF('Military Provision'!I63="YES", MAX('2024 Legal Max'!O63,'2024 Legal Max'!K63,AVERAGE('2024 Legal Max'!G63,'2024 Legal Max'!K63,'2024 Legal Max'!O63)), MAX(O63, K63))</f>
        <v>324</v>
      </c>
      <c r="T63" s="58">
        <f>IF(ISNA(VLOOKUP($CW63,'Audit Values'!$A:$BX,2,FALSE)),'Preliminary SO66'!AL62,VLOOKUP($CW63,'Audit Values'!$A:$BX,59,FALSE))</f>
        <v>6.5</v>
      </c>
      <c r="U63" s="58">
        <f t="shared" si="62"/>
        <v>330.5</v>
      </c>
      <c r="V63" s="58">
        <f>'Low-High ENRL- 2023 HSubSB 113'!N66</f>
        <v>156.6</v>
      </c>
      <c r="W63" s="58">
        <f>IF(ISNA(VLOOKUP($CW63,'Audit Values'!$A:$BZ,2,FALSE)),'Preliminary SO66'!AM62,VLOOKUP($CW63,'Audit Values'!$A:$BZ,63,FALSE))</f>
        <v>0</v>
      </c>
      <c r="X63" s="58">
        <f>(W63/6)*'Weighting Factors'!$O$7</f>
        <v>0</v>
      </c>
      <c r="Y63" s="61">
        <f>IF(ISNA(VLOOKUP($CW63,'Audit Values'!$A:$BZ,2,FALSE)),'Preliminary SO66'!AN62,VLOOKUP($CW63,'Audit Values'!$A:$BZ,62,FALSE))</f>
        <v>3</v>
      </c>
      <c r="Z63" s="58">
        <f>Y63*'Weighting Factors'!$O$8</f>
        <v>0.6</v>
      </c>
      <c r="AA63" s="58">
        <f t="shared" si="63"/>
        <v>0.6</v>
      </c>
      <c r="AB63" s="106">
        <f>IF(ISNA(VLOOKUP($CW63,'Audit Values'!$A:$BZ,2,FALSE)),'Preliminary SO66'!AO62,VLOOKUP($CW63,'Audit Values'!$A:$BZ,61,FALSE))</f>
        <v>106.2</v>
      </c>
      <c r="AC63" s="58">
        <f>AB63/6*'Weighting Factors'!$O$6</f>
        <v>8.9</v>
      </c>
      <c r="AD63" s="24">
        <f>IF(ISNA(VLOOKUP($CW63,'Audit Values'!$A:$BX,2,FALSE)),'Preliminary SO66'!AS62,VLOOKUP($CW63,'Audit Values'!$A:$BX,64,FALSE))</f>
        <v>327</v>
      </c>
      <c r="AE63" s="24">
        <f>IF(ISNA(VLOOKUP($CW63,'Audit Values'!$A:$BX,2,FALSE)),'Preliminary SO66'!AP62,VLOOKUP($CW63,'Audit Values'!$A:$BX,65,FALSE))</f>
        <v>106</v>
      </c>
      <c r="AF63" s="58">
        <f>IF(A63=207, AE63,(AE63))*'Weighting Factors'!$O$9</f>
        <v>51.3</v>
      </c>
      <c r="AG63" s="58">
        <f t="shared" si="50"/>
        <v>0</v>
      </c>
      <c r="AH63" s="58">
        <f>IF(ISNA(VLOOKUP($CW63,'Audit Values'!$A:$BZ,2,FALSE)),'Preliminary SO66'!AG62,VLOOKUP($CW63,'Audit Values'!$A:$BZ,71,FALSE))</f>
        <v>0</v>
      </c>
      <c r="AI63" s="58">
        <f t="shared" si="64"/>
        <v>0</v>
      </c>
      <c r="AJ63" s="58">
        <f>IF(ISNA(VLOOKUP($CW63,'Audit Values'!$A:$BX,2,FALSE)),'Preliminary SO66'!AR62,VLOOKUP($CW63,'Audit Values'!$A:$BX,66,FALSE))</f>
        <v>185</v>
      </c>
      <c r="AK63" s="24">
        <f t="shared" si="65"/>
        <v>255375</v>
      </c>
      <c r="AL63" s="58">
        <f>AK63/'Weighting Factors'!$O$5</f>
        <v>50.2</v>
      </c>
      <c r="AM63" s="58">
        <f>CJ63/'Weighting Factors'!$O$5</f>
        <v>0</v>
      </c>
      <c r="AN63" s="58">
        <f>CN63/'Weighting Factors'!$O$5</f>
        <v>0</v>
      </c>
      <c r="AO63" s="24">
        <v>509068</v>
      </c>
      <c r="AP63" s="58">
        <f>AO63/'Weighting Factors'!$O$5</f>
        <v>100.1</v>
      </c>
      <c r="AQ63" s="58">
        <f>IF(ISNA(VLOOKUP($CW63,'Audit Values'!$A:$BX,2,FALSE)),'Preliminary SO66'!X62,VLOOKUP($CW63,'Audit Values'!$A:$BX,48,FALSE))</f>
        <v>0</v>
      </c>
      <c r="AR63" s="58">
        <f t="shared" si="37"/>
        <v>698.2</v>
      </c>
      <c r="AS63" s="58">
        <f t="shared" si="38"/>
        <v>598.1</v>
      </c>
      <c r="AT63" s="58">
        <f>IF(ISNA(VLOOKUP($CW63,'Audit Values'!$A$2:$BX$410,2,FALSE)),'Preliminary SO66'!AA62,VLOOKUP($CW63,'Audit Values'!$A$2:$BX$410,41,FALSE))</f>
        <v>2</v>
      </c>
      <c r="AU63" s="58">
        <f>IF(ISNA(VLOOKUP($CW63,'Audit Values'!$A$2:$BX$410,2,FALSE)),'Preliminary SO66'!AB62,VLOOKUP($CW63,'Audit Values'!$A$2:$BX$410,42,FALSE))</f>
        <v>0</v>
      </c>
      <c r="AV63" s="73">
        <v>0</v>
      </c>
      <c r="AW63" s="73">
        <v>0</v>
      </c>
      <c r="AX63" s="24">
        <f>SUM(AT63*'Weighting Factors'!$R$10)+('2024 Legal Max'!AU63*'Weighting Factors'!$R$11)+('2024 Legal Max'!AV63*'Weighting Factors'!$R$12)+('2024 Legal Max'!AW63*'Weighting Factors'!$R$12)</f>
        <v>11200</v>
      </c>
      <c r="AY63" s="54">
        <f>IF(ISNA(VLOOKUP($CW63,'Audit Values'!$A$2:$BX$429,2,FALSE)),"",IF(AND('Weighting Factors'!G63&gt;0,VLOOKUP($CW63,'Audit Values'!$A$2:$BX$429,51,FALSE)&lt;'Weighting Factors'!G63),'Weighting Factors'!G63,VLOOKUP($CW63,'Audit Values'!$A$2:$BX$429,51,FALSE)))</f>
        <v>17</v>
      </c>
      <c r="AZ63" s="54" t="str">
        <f>IF(ISNA(VLOOKUP($CW63,'Audit Values'!$A:$BY,2,FALSE)),"",VLOOKUP($CW63,'Audit Values'!$A:$BY,52,FALSE))</f>
        <v>A</v>
      </c>
      <c r="BA63" s="54" t="str">
        <f>IF('Weighting Factors'!F63="","",IF('Weighting Factors'!H63="Pending","PX","R"))</f>
        <v/>
      </c>
      <c r="BB63" s="60">
        <f>SUM((U63+V63+AA63+AC63+AF63+AI63+AL63+AM63+AQ63+AN63)*'Weighting Factors'!$O$5)+'2024 Legal Max'!AX63</f>
        <v>3054333</v>
      </c>
      <c r="BC63" s="24">
        <f>SUM((AR63+AN63)*'Weighting Factors'!$O$5)+AX63</f>
        <v>3563642</v>
      </c>
      <c r="BD63" s="67">
        <f>IF('Weighting Factors'!F63&gt;0,'Weighting Factors'!F63,'Preliminary SO66'!AV62)</f>
        <v>3753939</v>
      </c>
      <c r="BE63" s="24">
        <f t="shared" si="66"/>
        <v>3563642</v>
      </c>
      <c r="BF63" s="71">
        <f>'Weighting Factors'!E63</f>
        <v>0</v>
      </c>
      <c r="BG63" s="71">
        <f>Transportation!G63</f>
        <v>0</v>
      </c>
      <c r="BH63" s="24">
        <f>IF(ISNA(VLOOKUP($CW63,'Audit Values'!$A:$BW,2,FALSE)), 0, VLOOKUP($CW63,'Audit Values'!$A:$BW,75,FALSE))</f>
        <v>0</v>
      </c>
      <c r="BI63" s="24">
        <f t="shared" si="67"/>
        <v>0</v>
      </c>
      <c r="BJ63" s="24">
        <f t="shared" si="68"/>
        <v>3563642</v>
      </c>
      <c r="BK63" s="24">
        <f>SUM((U63+V63+AA63+AC63+AF63+AI63+AL63+AM63+AN63)*'Weighting Factors'!O$12)+(MAX(AO63,'Weighting Factors'!B63))</f>
        <v>3594068</v>
      </c>
      <c r="BL63" s="78">
        <f>'LOB%'!F61</f>
        <v>0.33</v>
      </c>
      <c r="BM63" s="24">
        <f t="shared" si="12"/>
        <v>1186042</v>
      </c>
      <c r="BN63" s="67">
        <v>1245420</v>
      </c>
      <c r="BO63" s="24">
        <f t="shared" si="69"/>
        <v>1186042</v>
      </c>
      <c r="BP63" s="89">
        <f t="shared" si="13"/>
        <v>0.33</v>
      </c>
      <c r="BQ63" s="58">
        <f t="shared" si="14"/>
        <v>0</v>
      </c>
      <c r="BR63" s="1" t="b">
        <f t="shared" si="15"/>
        <v>0</v>
      </c>
      <c r="BS63" s="76">
        <f t="shared" si="16"/>
        <v>0</v>
      </c>
      <c r="BT63" s="75">
        <f t="shared" si="70"/>
        <v>0</v>
      </c>
      <c r="BU63" s="58">
        <f t="shared" si="18"/>
        <v>0</v>
      </c>
      <c r="BV63" s="1" t="b">
        <f t="shared" si="19"/>
        <v>1</v>
      </c>
      <c r="BW63" s="1">
        <f t="shared" si="20"/>
        <v>37.7438</v>
      </c>
      <c r="BX63" s="75">
        <f t="shared" si="71"/>
        <v>0.47382400000000002</v>
      </c>
      <c r="BY63" s="58">
        <f t="shared" si="22"/>
        <v>156.6</v>
      </c>
      <c r="BZ63" s="58">
        <f t="shared" si="23"/>
        <v>0</v>
      </c>
      <c r="CA63" s="61">
        <v>434</v>
      </c>
      <c r="CB63" s="102">
        <f t="shared" si="24"/>
        <v>0.42599999999999999</v>
      </c>
      <c r="CC63" s="105">
        <f>IF(CB63&lt;0.06,1,IF(CB63&gt;=18.29,52,MATCH(CB63-0.001,'Weighting Factors'!$W$5:$W$156)+1))</f>
        <v>23</v>
      </c>
      <c r="CD63" s="24">
        <f>VLOOKUP(CC63, 'Weighting Factors'!$U$5:$X$56,4)</f>
        <v>1130</v>
      </c>
      <c r="CE63" s="109">
        <f>('Weighting Factors'!$O$5/'Weighting Factors'!$O$14)</f>
        <v>1.2216</v>
      </c>
      <c r="CF63" s="100">
        <f t="shared" si="25"/>
        <v>209050</v>
      </c>
      <c r="CG63" s="100">
        <f>CF63*'Weighting Factors'!$Q$7</f>
        <v>209050</v>
      </c>
      <c r="CH63" s="100">
        <f t="shared" si="72"/>
        <v>255375</v>
      </c>
      <c r="CI63" s="58">
        <f>AK63/'Weighting Factors'!$O$5</f>
        <v>50.2</v>
      </c>
      <c r="CJ63" s="67">
        <v>0</v>
      </c>
      <c r="CK63" s="80">
        <v>0</v>
      </c>
      <c r="CL63" s="110">
        <v>0</v>
      </c>
      <c r="CM63" s="24">
        <f>SUM((AR63*'Weighting Factors'!$O$5)+'2024 Legal Max'!AX63)*CL63</f>
        <v>0</v>
      </c>
      <c r="CN63" s="24">
        <f t="shared" si="73"/>
        <v>0</v>
      </c>
      <c r="CO63" s="65">
        <f t="shared" si="4"/>
        <v>0.32419999999999999</v>
      </c>
      <c r="CP63" s="58">
        <f t="shared" si="28"/>
        <v>0</v>
      </c>
      <c r="CQ63" s="58">
        <f t="shared" si="29"/>
        <v>0</v>
      </c>
      <c r="CR63" s="58">
        <f t="shared" si="30"/>
        <v>698.2</v>
      </c>
      <c r="CS63" s="24">
        <f>'Required Transfers'!L63</f>
        <v>88004</v>
      </c>
      <c r="CT63" s="24">
        <f>'Required Transfers'!O63</f>
        <v>1067</v>
      </c>
      <c r="CU63" s="24">
        <f>'Required Transfers'!H63</f>
        <v>261014</v>
      </c>
      <c r="CV63" s="58">
        <f t="shared" si="31"/>
        <v>321.5</v>
      </c>
      <c r="CW63" s="27" t="s">
        <v>248</v>
      </c>
    </row>
    <row r="64" spans="1:101" ht="15" customHeight="1">
      <c r="A64" s="54">
        <v>252</v>
      </c>
      <c r="B64" s="1" t="s">
        <v>30</v>
      </c>
      <c r="C64" s="1" t="s">
        <v>569</v>
      </c>
      <c r="D64" s="58">
        <v>468</v>
      </c>
      <c r="E64" s="58"/>
      <c r="F64" s="58">
        <v>0</v>
      </c>
      <c r="G64" s="58">
        <f t="shared" si="32"/>
        <v>468</v>
      </c>
      <c r="H64" s="58">
        <v>497.9</v>
      </c>
      <c r="I64" s="58"/>
      <c r="J64" s="58">
        <v>0</v>
      </c>
      <c r="K64" s="58">
        <f t="shared" si="33"/>
        <v>497.9</v>
      </c>
      <c r="L64" s="1">
        <v>495.8</v>
      </c>
      <c r="N64" s="1">
        <v>0</v>
      </c>
      <c r="O64" s="58">
        <f t="shared" si="34"/>
        <v>495.8</v>
      </c>
      <c r="P64" s="58">
        <f>IF(ISNA(VLOOKUP($CW64,'Audit Values'!$A:$BZ,2,FALSE)),'Preliminary SO66'!C63,VLOOKUP($CW64,'Audit Values'!$A:$BZ,76,FALSE))</f>
        <v>512.1</v>
      </c>
      <c r="Q64" s="58">
        <f>IF(ISNA(VLOOKUP($CW64,'Audit Values'!$A:$BZ,2,FALSE)),'Preliminary SO66'!F63,VLOOKUP($CW64,'Audit Values'!$A:$BZ,4,FALSE))</f>
        <v>0</v>
      </c>
      <c r="R64" s="58">
        <f t="shared" si="61"/>
        <v>512.1</v>
      </c>
      <c r="S64" s="58">
        <f>IF('Military Provision'!I64="YES", MAX('2024 Legal Max'!O64,'2024 Legal Max'!K64,AVERAGE('2024 Legal Max'!G64,'2024 Legal Max'!K64,'2024 Legal Max'!O64)), MAX(O64, K64))</f>
        <v>497.9</v>
      </c>
      <c r="T64" s="58">
        <f>IF(ISNA(VLOOKUP($CW64,'Audit Values'!$A:$BX,2,FALSE)),'Preliminary SO66'!AL63,VLOOKUP($CW64,'Audit Values'!$A:$BX,59,FALSE))</f>
        <v>11.5</v>
      </c>
      <c r="U64" s="58">
        <f t="shared" si="62"/>
        <v>509.4</v>
      </c>
      <c r="V64" s="58">
        <f>'Low-High ENRL- 2023 HSubSB 113'!N67</f>
        <v>210.4</v>
      </c>
      <c r="W64" s="58">
        <f>IF(ISNA(VLOOKUP($CW64,'Audit Values'!$A:$BZ,2,FALSE)),'Preliminary SO66'!AM63,VLOOKUP($CW64,'Audit Values'!$A:$BZ,63,FALSE))</f>
        <v>0</v>
      </c>
      <c r="X64" s="58">
        <f>(W64/6)*'Weighting Factors'!$O$7</f>
        <v>0</v>
      </c>
      <c r="Y64" s="61">
        <f>IF(ISNA(VLOOKUP($CW64,'Audit Values'!$A:$BZ,2,FALSE)),'Preliminary SO66'!AN63,VLOOKUP($CW64,'Audit Values'!$A:$BZ,62,FALSE))</f>
        <v>0</v>
      </c>
      <c r="Z64" s="58">
        <f>Y64*'Weighting Factors'!$O$8</f>
        <v>0</v>
      </c>
      <c r="AA64" s="58">
        <f t="shared" si="63"/>
        <v>0</v>
      </c>
      <c r="AB64" s="106">
        <f>IF(ISNA(VLOOKUP($CW64,'Audit Values'!$A:$BZ,2,FALSE)),'Preliminary SO66'!AO63,VLOOKUP($CW64,'Audit Values'!$A:$BZ,61,FALSE))</f>
        <v>150.5</v>
      </c>
      <c r="AC64" s="58">
        <f>AB64/6*'Weighting Factors'!$O$6</f>
        <v>12.5</v>
      </c>
      <c r="AD64" s="24">
        <f>IF(ISNA(VLOOKUP($CW64,'Audit Values'!$A:$BX,2,FALSE)),'Preliminary SO66'!AS63,VLOOKUP($CW64,'Audit Values'!$A:$BX,64,FALSE))</f>
        <v>540</v>
      </c>
      <c r="AE64" s="24">
        <f>IF(ISNA(VLOOKUP($CW64,'Audit Values'!$A:$BX,2,FALSE)),'Preliminary SO66'!AP63,VLOOKUP($CW64,'Audit Values'!$A:$BX,65,FALSE))</f>
        <v>167</v>
      </c>
      <c r="AF64" s="58">
        <f>IF(A64=207, AE64,(AE64))*'Weighting Factors'!$O$9</f>
        <v>80.8</v>
      </c>
      <c r="AG64" s="58">
        <f t="shared" si="50"/>
        <v>0</v>
      </c>
      <c r="AH64" s="58">
        <f>IF(ISNA(VLOOKUP($CW64,'Audit Values'!$A:$BZ,2,FALSE)),'Preliminary SO66'!AG63,VLOOKUP($CW64,'Audit Values'!$A:$BZ,71,FALSE))</f>
        <v>7.9</v>
      </c>
      <c r="AI64" s="58">
        <f t="shared" si="64"/>
        <v>7.9</v>
      </c>
      <c r="AJ64" s="58">
        <f>IF(ISNA(VLOOKUP($CW64,'Audit Values'!$A:$BX,2,FALSE)),'Preliminary SO66'!AR63,VLOOKUP($CW64,'Audit Values'!$A:$BX,66,FALSE))</f>
        <v>175</v>
      </c>
      <c r="AK64" s="24">
        <f t="shared" si="65"/>
        <v>224469</v>
      </c>
      <c r="AL64" s="58">
        <f>AK64/'Weighting Factors'!$O$5</f>
        <v>44.1</v>
      </c>
      <c r="AM64" s="58">
        <f>CJ64/'Weighting Factors'!$O$5</f>
        <v>0</v>
      </c>
      <c r="AN64" s="58">
        <f>CN64/'Weighting Factors'!$O$5</f>
        <v>0</v>
      </c>
      <c r="AO64" s="24">
        <v>559453</v>
      </c>
      <c r="AP64" s="58">
        <f>AO64/'Weighting Factors'!$O$5</f>
        <v>110</v>
      </c>
      <c r="AQ64" s="58">
        <f>IF(ISNA(VLOOKUP($CW64,'Audit Values'!$A:$BX,2,FALSE)),'Preliminary SO66'!X63,VLOOKUP($CW64,'Audit Values'!$A:$BX,48,FALSE))</f>
        <v>0</v>
      </c>
      <c r="AR64" s="58">
        <f t="shared" si="37"/>
        <v>975.1</v>
      </c>
      <c r="AS64" s="58">
        <f t="shared" si="38"/>
        <v>865.1</v>
      </c>
      <c r="AT64" s="58">
        <f>IF(ISNA(VLOOKUP($CW64,'Audit Values'!$A$2:$BX$410,2,FALSE)),'Preliminary SO66'!AA63,VLOOKUP($CW64,'Audit Values'!$A$2:$BX$410,41,FALSE))</f>
        <v>0</v>
      </c>
      <c r="AU64" s="58">
        <f>IF(ISNA(VLOOKUP($CW64,'Audit Values'!$A$2:$BX$410,2,FALSE)),'Preliminary SO66'!AB63,VLOOKUP($CW64,'Audit Values'!$A$2:$BX$410,42,FALSE))</f>
        <v>0</v>
      </c>
      <c r="AV64" s="73">
        <v>0</v>
      </c>
      <c r="AW64" s="73">
        <v>0</v>
      </c>
      <c r="AX64" s="24">
        <f>SUM(AT64*'Weighting Factors'!$R$10)+('2024 Legal Max'!AU64*'Weighting Factors'!$R$11)+('2024 Legal Max'!AV64*'Weighting Factors'!$R$12)+('2024 Legal Max'!AW64*'Weighting Factors'!$R$12)</f>
        <v>0</v>
      </c>
      <c r="AY64" s="54">
        <f>IF(ISNA(VLOOKUP($CW64,'Audit Values'!$A$2:$BX$429,2,FALSE)),"",IF(AND('Weighting Factors'!G64&gt;0,VLOOKUP($CW64,'Audit Values'!$A$2:$BX$429,51,FALSE)&lt;'Weighting Factors'!G64),'Weighting Factors'!G64,VLOOKUP($CW64,'Audit Values'!$A$2:$BX$429,51,FALSE)))</f>
        <v>16</v>
      </c>
      <c r="AZ64" s="54" t="str">
        <f>IF(ISNA(VLOOKUP($CW64,'Audit Values'!$A:$BY,2,FALSE)),"",VLOOKUP($CW64,'Audit Values'!$A:$BY,52,FALSE))</f>
        <v>A</v>
      </c>
      <c r="BA64" s="54" t="str">
        <f>IF('Weighting Factors'!F64="","",IF('Weighting Factors'!H64="Pending","PX","R"))</f>
        <v/>
      </c>
      <c r="BB64" s="60">
        <f>SUM((U64+V64+AA64+AC64+AF64+AI64+AL64+AM64+AQ64+AN64)*'Weighting Factors'!$O$5)+'2024 Legal Max'!AX64</f>
        <v>4401629</v>
      </c>
      <c r="BC64" s="24">
        <f>SUM((AR64+AN64)*'Weighting Factors'!$O$5)+AX64</f>
        <v>4961309</v>
      </c>
      <c r="BD64" s="67">
        <f>IF('Weighting Factors'!F64&gt;0,'Weighting Factors'!F64,'Preliminary SO66'!AV63)</f>
        <v>5375472</v>
      </c>
      <c r="BE64" s="24">
        <f t="shared" si="66"/>
        <v>4961309</v>
      </c>
      <c r="BF64" s="71">
        <f>'Weighting Factors'!E64</f>
        <v>0</v>
      </c>
      <c r="BG64" s="71">
        <f>Transportation!G64</f>
        <v>0</v>
      </c>
      <c r="BH64" s="24">
        <f>IF(ISNA(VLOOKUP($CW64,'Audit Values'!$A:$BW,2,FALSE)), 0, VLOOKUP($CW64,'Audit Values'!$A:$BW,75,FALSE))</f>
        <v>0</v>
      </c>
      <c r="BI64" s="24">
        <f t="shared" si="67"/>
        <v>0</v>
      </c>
      <c r="BJ64" s="24">
        <f t="shared" si="68"/>
        <v>4961309</v>
      </c>
      <c r="BK64" s="24">
        <f>SUM((U64+V64+AA64+AC64+AF64+AI64+AL64+AM64+AN64)*'Weighting Factors'!O$12)+(MAX(AO64,'Weighting Factors'!B64))</f>
        <v>5021639</v>
      </c>
      <c r="BL64" s="78">
        <f>'LOB%'!F62</f>
        <v>0.33</v>
      </c>
      <c r="BM64" s="24">
        <f t="shared" si="12"/>
        <v>1657141</v>
      </c>
      <c r="BN64" s="67">
        <v>1795037</v>
      </c>
      <c r="BO64" s="24">
        <f t="shared" si="69"/>
        <v>1657141</v>
      </c>
      <c r="BP64" s="89">
        <f t="shared" si="13"/>
        <v>0.33</v>
      </c>
      <c r="BQ64" s="58">
        <f t="shared" si="14"/>
        <v>0</v>
      </c>
      <c r="BR64" s="1" t="b">
        <f t="shared" si="15"/>
        <v>0</v>
      </c>
      <c r="BS64" s="76">
        <f t="shared" si="16"/>
        <v>0</v>
      </c>
      <c r="BT64" s="75">
        <f t="shared" si="70"/>
        <v>0</v>
      </c>
      <c r="BU64" s="58">
        <f t="shared" si="18"/>
        <v>0</v>
      </c>
      <c r="BV64" s="1" t="b">
        <f t="shared" si="19"/>
        <v>1</v>
      </c>
      <c r="BW64" s="1">
        <f t="shared" si="20"/>
        <v>259.13249999999999</v>
      </c>
      <c r="BX64" s="75">
        <f t="shared" si="71"/>
        <v>0.41304299999999999</v>
      </c>
      <c r="BY64" s="58">
        <f t="shared" si="22"/>
        <v>210.4</v>
      </c>
      <c r="BZ64" s="58">
        <f t="shared" si="23"/>
        <v>0</v>
      </c>
      <c r="CA64" s="61">
        <v>295</v>
      </c>
      <c r="CB64" s="102">
        <f t="shared" si="24"/>
        <v>0.59299999999999997</v>
      </c>
      <c r="CC64" s="105">
        <f>IF(CB64&lt;0.06,1,IF(CB64&gt;=18.29,52,MATCH(CB64-0.001,'Weighting Factors'!$W$5:$W$156)+1))</f>
        <v>27</v>
      </c>
      <c r="CD64" s="24">
        <f>VLOOKUP(CC64, 'Weighting Factors'!$U$5:$X$56,4)</f>
        <v>1050</v>
      </c>
      <c r="CE64" s="109">
        <f>('Weighting Factors'!$O$5/'Weighting Factors'!$O$14)</f>
        <v>1.2216</v>
      </c>
      <c r="CF64" s="100">
        <f t="shared" si="25"/>
        <v>183750</v>
      </c>
      <c r="CG64" s="100">
        <f>CF64*'Weighting Factors'!$Q$7</f>
        <v>183750</v>
      </c>
      <c r="CH64" s="100">
        <f t="shared" si="72"/>
        <v>224469</v>
      </c>
      <c r="CI64" s="58">
        <f>AK64/'Weighting Factors'!$O$5</f>
        <v>44.1</v>
      </c>
      <c r="CJ64" s="67">
        <v>0</v>
      </c>
      <c r="CK64" s="80">
        <v>0</v>
      </c>
      <c r="CL64" s="110">
        <v>0</v>
      </c>
      <c r="CM64" s="24">
        <f>SUM((AR64*'Weighting Factors'!$O$5)+'2024 Legal Max'!AX64)*CL64</f>
        <v>0</v>
      </c>
      <c r="CN64" s="24">
        <f t="shared" si="73"/>
        <v>0</v>
      </c>
      <c r="CO64" s="65">
        <f t="shared" si="4"/>
        <v>0.30930000000000002</v>
      </c>
      <c r="CP64" s="58">
        <f t="shared" si="28"/>
        <v>0</v>
      </c>
      <c r="CQ64" s="58">
        <f t="shared" si="29"/>
        <v>0</v>
      </c>
      <c r="CR64" s="58">
        <f t="shared" si="30"/>
        <v>975.1</v>
      </c>
      <c r="CS64" s="24">
        <f>'Required Transfers'!L64</f>
        <v>139034</v>
      </c>
      <c r="CT64" s="24">
        <f>'Required Transfers'!O64</f>
        <v>0</v>
      </c>
      <c r="CU64" s="24">
        <f>'Required Transfers'!H64</f>
        <v>451306</v>
      </c>
      <c r="CV64" s="58">
        <f t="shared" si="31"/>
        <v>523.6</v>
      </c>
      <c r="CW64" s="27" t="s">
        <v>249</v>
      </c>
    </row>
    <row r="65" spans="1:101" ht="15" customHeight="1">
      <c r="A65" s="54">
        <v>253</v>
      </c>
      <c r="B65" s="1" t="s">
        <v>30</v>
      </c>
      <c r="C65" s="1" t="s">
        <v>570</v>
      </c>
      <c r="D65" s="58">
        <v>4134.5</v>
      </c>
      <c r="E65" s="58"/>
      <c r="F65" s="58">
        <v>0</v>
      </c>
      <c r="G65" s="58">
        <f t="shared" si="32"/>
        <v>4134.5</v>
      </c>
      <c r="H65" s="58">
        <v>4044.5</v>
      </c>
      <c r="I65" s="58"/>
      <c r="J65" s="58">
        <v>0</v>
      </c>
      <c r="K65" s="58">
        <f t="shared" si="33"/>
        <v>4044.5</v>
      </c>
      <c r="L65" s="1">
        <v>4129.5</v>
      </c>
      <c r="N65" s="1">
        <v>0</v>
      </c>
      <c r="O65" s="58">
        <f t="shared" si="34"/>
        <v>4129.5</v>
      </c>
      <c r="P65" s="58">
        <f>IF(ISNA(VLOOKUP($CW65,'Audit Values'!$A:$BZ,2,FALSE)),'Preliminary SO66'!C64,VLOOKUP($CW65,'Audit Values'!$A:$BZ,76,FALSE))</f>
        <v>4191.2</v>
      </c>
      <c r="Q65" s="58">
        <f>IF(ISNA(VLOOKUP($CW65,'Audit Values'!$A:$BZ,2,FALSE)),'Preliminary SO66'!F64,VLOOKUP($CW65,'Audit Values'!$A:$BZ,4,FALSE))</f>
        <v>0</v>
      </c>
      <c r="R65" s="58">
        <f t="shared" si="61"/>
        <v>4191.2</v>
      </c>
      <c r="S65" s="58">
        <f>IF('Military Provision'!I65="YES", MAX('2024 Legal Max'!O65,'2024 Legal Max'!K65,AVERAGE('2024 Legal Max'!G65,'2024 Legal Max'!K65,'2024 Legal Max'!O65)), MAX(O65, K65))</f>
        <v>4129.5</v>
      </c>
      <c r="T65" s="58">
        <f>IF(ISNA(VLOOKUP($CW65,'Audit Values'!$A:$BX,2,FALSE)),'Preliminary SO66'!AL64,VLOOKUP($CW65,'Audit Values'!$A:$BX,59,FALSE))</f>
        <v>79</v>
      </c>
      <c r="U65" s="58">
        <f t="shared" si="62"/>
        <v>4208.5</v>
      </c>
      <c r="V65" s="58">
        <f>'Low-High ENRL- 2023 HSubSB 113'!N68</f>
        <v>147.5</v>
      </c>
      <c r="W65" s="58">
        <f>IF(ISNA(VLOOKUP($CW65,'Audit Values'!$A:$BZ,2,FALSE)),'Preliminary SO66'!AM64,VLOOKUP($CW65,'Audit Values'!$A:$BZ,63,FALSE))</f>
        <v>3130.1</v>
      </c>
      <c r="X65" s="58">
        <f>(W65/6)*'Weighting Factors'!$O$7</f>
        <v>206.1</v>
      </c>
      <c r="Y65" s="61">
        <f>IF(ISNA(VLOOKUP($CW65,'Audit Values'!$A:$BZ,2,FALSE)),'Preliminary SO66'!AN64,VLOOKUP($CW65,'Audit Values'!$A:$BZ,62,FALSE))</f>
        <v>1109</v>
      </c>
      <c r="Z65" s="58">
        <f>Y65*'Weighting Factors'!$O$8</f>
        <v>205.2</v>
      </c>
      <c r="AA65" s="58">
        <f t="shared" si="63"/>
        <v>206.1</v>
      </c>
      <c r="AB65" s="106">
        <f>IF(ISNA(VLOOKUP($CW65,'Audit Values'!$A:$BZ,2,FALSE)),'Preliminary SO66'!AO64,VLOOKUP($CW65,'Audit Values'!$A:$BZ,61,FALSE))</f>
        <v>1140.0999999999999</v>
      </c>
      <c r="AC65" s="58">
        <f>AB65/6*'Weighting Factors'!$O$6</f>
        <v>95</v>
      </c>
      <c r="AD65" s="24">
        <f>IF(ISNA(VLOOKUP($CW65,'Audit Values'!$A:$BX,2,FALSE)),'Preliminary SO66'!AS64,VLOOKUP($CW65,'Audit Values'!$A:$BX,64,FALSE))</f>
        <v>4391</v>
      </c>
      <c r="AE65" s="24">
        <f>IF(ISNA(VLOOKUP($CW65,'Audit Values'!$A:$BX,2,FALSE)),'Preliminary SO66'!AP64,VLOOKUP($CW65,'Audit Values'!$A:$BX,65,FALSE))</f>
        <v>2153</v>
      </c>
      <c r="AF65" s="58">
        <f>IF(A65=207, AE65,(AE65))*'Weighting Factors'!$O$9</f>
        <v>1042.0999999999999</v>
      </c>
      <c r="AG65" s="58">
        <f t="shared" si="50"/>
        <v>211.4</v>
      </c>
      <c r="AH65" s="58">
        <f>IF(ISNA(VLOOKUP($CW65,'Audit Values'!$A:$BZ,2,FALSE)),'Preliminary SO66'!AG64,VLOOKUP($CW65,'Audit Values'!$A:$BZ,71,FALSE))</f>
        <v>164.7</v>
      </c>
      <c r="AI65" s="58">
        <f t="shared" si="64"/>
        <v>211.4</v>
      </c>
      <c r="AJ65" s="58">
        <f>IF(ISNA(VLOOKUP($CW65,'Audit Values'!$A:$BX,2,FALSE)),'Preliminary SO66'!AR64,VLOOKUP($CW65,'Audit Values'!$A:$BX,66,FALSE))</f>
        <v>1771</v>
      </c>
      <c r="AK65" s="24">
        <f t="shared" si="65"/>
        <v>1276438</v>
      </c>
      <c r="AL65" s="58">
        <f>AK65/'Weighting Factors'!$O$5</f>
        <v>250.9</v>
      </c>
      <c r="AM65" s="58">
        <f>CJ65/'Weighting Factors'!$O$5</f>
        <v>0</v>
      </c>
      <c r="AN65" s="58">
        <f>CN65/'Weighting Factors'!$O$5</f>
        <v>0</v>
      </c>
      <c r="AO65" s="24">
        <v>4301221</v>
      </c>
      <c r="AP65" s="58">
        <f>AO65/'Weighting Factors'!$O$5</f>
        <v>845.4</v>
      </c>
      <c r="AQ65" s="58">
        <f>IF(ISNA(VLOOKUP($CW65,'Audit Values'!$A:$BX,2,FALSE)),'Preliminary SO66'!X64,VLOOKUP($CW65,'Audit Values'!$A:$BX,48,FALSE))</f>
        <v>0</v>
      </c>
      <c r="AR65" s="58">
        <f t="shared" si="37"/>
        <v>7006.9</v>
      </c>
      <c r="AS65" s="58">
        <f t="shared" si="38"/>
        <v>6161.5</v>
      </c>
      <c r="AT65" s="58">
        <f>IF(ISNA(VLOOKUP($CW65,'Audit Values'!$A$2:$BX$410,2,FALSE)),'Preliminary SO66'!AA64,VLOOKUP($CW65,'Audit Values'!$A$2:$BX$410,41,FALSE))</f>
        <v>0</v>
      </c>
      <c r="AU65" s="58">
        <f>IF(ISNA(VLOOKUP($CW65,'Audit Values'!$A$2:$BX$410,2,FALSE)),'Preliminary SO66'!AB64,VLOOKUP($CW65,'Audit Values'!$A$2:$BX$410,42,FALSE))</f>
        <v>0</v>
      </c>
      <c r="AV65" s="73">
        <v>0</v>
      </c>
      <c r="AW65" s="73">
        <v>0</v>
      </c>
      <c r="AX65" s="24">
        <f>SUM(AT65*'Weighting Factors'!$R$10)+('2024 Legal Max'!AU65*'Weighting Factors'!$R$11)+('2024 Legal Max'!AV65*'Weighting Factors'!$R$12)+('2024 Legal Max'!AW65*'Weighting Factors'!$R$12)</f>
        <v>0</v>
      </c>
      <c r="AY65" s="54">
        <f>IF(ISNA(VLOOKUP($CW65,'Audit Values'!$A$2:$BX$429,2,FALSE)),"",IF(AND('Weighting Factors'!G65&gt;0,VLOOKUP($CW65,'Audit Values'!$A$2:$BX$429,51,FALSE)&lt;'Weighting Factors'!G65),'Weighting Factors'!G65,VLOOKUP($CW65,'Audit Values'!$A$2:$BX$429,51,FALSE)))</f>
        <v>20</v>
      </c>
      <c r="AZ65" s="54" t="str">
        <f>IF(ISNA(VLOOKUP($CW65,'Audit Values'!$A:$BY,2,FALSE)),"",VLOOKUP($CW65,'Audit Values'!$A:$BY,52,FALSE))</f>
        <v>A</v>
      </c>
      <c r="BA65" s="54" t="str">
        <f>IF('Weighting Factors'!F65="","",IF('Weighting Factors'!H65="Pending","PX","R"))</f>
        <v>R</v>
      </c>
      <c r="BB65" s="60">
        <f>SUM((U65+V65+AA65+AC65+AF65+AI65+AL65+AM65+AQ65+AN65)*'Weighting Factors'!$O$5)+'2024 Legal Max'!AX65</f>
        <v>31349712</v>
      </c>
      <c r="BC65" s="24">
        <f>SUM((AR65+AN65)*'Weighting Factors'!$O$5)+AX65</f>
        <v>35651107</v>
      </c>
      <c r="BD65" s="67">
        <f>IF('Weighting Factors'!F65&gt;0,'Weighting Factors'!F65,'Preliminary SO66'!AV64)</f>
        <v>36809136</v>
      </c>
      <c r="BE65" s="24">
        <f t="shared" si="66"/>
        <v>35651107</v>
      </c>
      <c r="BF65" s="71">
        <f>'Weighting Factors'!E65</f>
        <v>0</v>
      </c>
      <c r="BG65" s="71">
        <f>Transportation!G65</f>
        <v>-42185</v>
      </c>
      <c r="BH65" s="24">
        <f>IF(ISNA(VLOOKUP($CW65,'Audit Values'!$A:$BW,2,FALSE)), 0, VLOOKUP($CW65,'Audit Values'!$A:$BW,75,FALSE))</f>
        <v>0</v>
      </c>
      <c r="BI65" s="24">
        <f t="shared" si="67"/>
        <v>-42185</v>
      </c>
      <c r="BJ65" s="24">
        <f t="shared" si="68"/>
        <v>35608922</v>
      </c>
      <c r="BK65" s="24">
        <f>SUM((U65+V65+AA65+AC65+AF65+AI65+AL65+AM65+AN65)*'Weighting Factors'!O$12)+(MAX(AO65,'Weighting Factors'!B65))</f>
        <v>36082238</v>
      </c>
      <c r="BL65" s="78">
        <f>'LOB%'!F63</f>
        <v>0.33</v>
      </c>
      <c r="BM65" s="24">
        <f t="shared" si="12"/>
        <v>11907139</v>
      </c>
      <c r="BN65" s="67">
        <v>11332436</v>
      </c>
      <c r="BO65" s="24">
        <f t="shared" si="69"/>
        <v>11332436</v>
      </c>
      <c r="BP65" s="89">
        <f t="shared" si="13"/>
        <v>0.31409999999999999</v>
      </c>
      <c r="BQ65" s="58">
        <f t="shared" si="14"/>
        <v>0</v>
      </c>
      <c r="BR65" s="1" t="b">
        <f t="shared" si="15"/>
        <v>0</v>
      </c>
      <c r="BS65" s="76">
        <f t="shared" si="16"/>
        <v>0</v>
      </c>
      <c r="BT65" s="75">
        <f t="shared" si="70"/>
        <v>0</v>
      </c>
      <c r="BU65" s="58">
        <f t="shared" si="18"/>
        <v>0</v>
      </c>
      <c r="BV65" s="1" t="b">
        <f t="shared" si="19"/>
        <v>0</v>
      </c>
      <c r="BW65" s="1">
        <f t="shared" si="20"/>
        <v>0</v>
      </c>
      <c r="BX65" s="75">
        <f t="shared" si="71"/>
        <v>0</v>
      </c>
      <c r="BY65" s="58">
        <f t="shared" si="22"/>
        <v>0</v>
      </c>
      <c r="BZ65" s="58">
        <f t="shared" si="23"/>
        <v>147.5</v>
      </c>
      <c r="CA65" s="61">
        <v>135</v>
      </c>
      <c r="CB65" s="102">
        <f t="shared" si="24"/>
        <v>13.119</v>
      </c>
      <c r="CC65" s="105">
        <f>IF(CB65&lt;0.06,1,IF(CB65&gt;=18.29,52,MATCH(CB65-0.001,'Weighting Factors'!$W$5:$W$156)+1))</f>
        <v>50</v>
      </c>
      <c r="CD65" s="24">
        <f>VLOOKUP(CC65, 'Weighting Factors'!$U$5:$X$56,4)</f>
        <v>590</v>
      </c>
      <c r="CE65" s="109">
        <f>('Weighting Factors'!$O$5/'Weighting Factors'!$O$14)</f>
        <v>1.2216</v>
      </c>
      <c r="CF65" s="100">
        <f t="shared" si="25"/>
        <v>1044890</v>
      </c>
      <c r="CG65" s="100">
        <f>CF65*'Weighting Factors'!$Q$7</f>
        <v>1044890</v>
      </c>
      <c r="CH65" s="100">
        <f t="shared" si="72"/>
        <v>1276438</v>
      </c>
      <c r="CI65" s="58">
        <f>AK65/'Weighting Factors'!$O$5</f>
        <v>250.9</v>
      </c>
      <c r="CJ65" s="67">
        <v>0</v>
      </c>
      <c r="CK65" s="80">
        <v>0</v>
      </c>
      <c r="CL65" s="110">
        <v>0</v>
      </c>
      <c r="CM65" s="24">
        <f>SUM((AR65*'Weighting Factors'!$O$5)+'2024 Legal Max'!AX65)*CL65</f>
        <v>0</v>
      </c>
      <c r="CN65" s="24">
        <f t="shared" si="73"/>
        <v>0</v>
      </c>
      <c r="CO65" s="65">
        <f t="shared" si="4"/>
        <v>0.49030000000000001</v>
      </c>
      <c r="CP65" s="58">
        <f t="shared" si="28"/>
        <v>0</v>
      </c>
      <c r="CQ65" s="58">
        <f t="shared" si="29"/>
        <v>211.4</v>
      </c>
      <c r="CR65" s="58">
        <f t="shared" si="30"/>
        <v>7006.9</v>
      </c>
      <c r="CS65" s="24">
        <f>'Required Transfers'!L65</f>
        <v>1704398</v>
      </c>
      <c r="CT65" s="24">
        <f>'Required Transfers'!O65</f>
        <v>336573</v>
      </c>
      <c r="CU65" s="24">
        <f>'Required Transfers'!H65</f>
        <v>6377808</v>
      </c>
      <c r="CV65" s="58">
        <f t="shared" si="31"/>
        <v>4270.2</v>
      </c>
      <c r="CW65" s="27" t="s">
        <v>250</v>
      </c>
    </row>
    <row r="66" spans="1:101" ht="15" customHeight="1">
      <c r="A66" s="54">
        <v>254</v>
      </c>
      <c r="B66" s="1" t="s">
        <v>31</v>
      </c>
      <c r="C66" s="1" t="s">
        <v>571</v>
      </c>
      <c r="D66" s="58">
        <v>424.2</v>
      </c>
      <c r="E66" s="58"/>
      <c r="F66" s="58">
        <v>0</v>
      </c>
      <c r="G66" s="58">
        <f t="shared" si="32"/>
        <v>424.2</v>
      </c>
      <c r="H66" s="58">
        <v>452.5</v>
      </c>
      <c r="I66" s="58"/>
      <c r="J66" s="58">
        <v>0</v>
      </c>
      <c r="K66" s="58">
        <f t="shared" si="33"/>
        <v>452.5</v>
      </c>
      <c r="L66" s="1">
        <v>446.1</v>
      </c>
      <c r="N66" s="1">
        <v>0</v>
      </c>
      <c r="O66" s="58">
        <f t="shared" si="34"/>
        <v>446.1</v>
      </c>
      <c r="P66" s="58">
        <f>IF(ISNA(VLOOKUP($CW66,'Audit Values'!$A:$BZ,2,FALSE)),'Preliminary SO66'!C65,VLOOKUP($CW66,'Audit Values'!$A:$BZ,76,FALSE))</f>
        <v>439</v>
      </c>
      <c r="Q66" s="58">
        <f>IF(ISNA(VLOOKUP($CW66,'Audit Values'!$A:$BZ,2,FALSE)),'Preliminary SO66'!F65,VLOOKUP($CW66,'Audit Values'!$A:$BZ,4,FALSE))</f>
        <v>0</v>
      </c>
      <c r="R66" s="58">
        <f t="shared" si="61"/>
        <v>439</v>
      </c>
      <c r="S66" s="58">
        <f>IF('Military Provision'!I66="YES", MAX('2024 Legal Max'!O66,'2024 Legal Max'!K66,AVERAGE('2024 Legal Max'!G66,'2024 Legal Max'!K66,'2024 Legal Max'!O66)), MAX(O66, K66))</f>
        <v>452.5</v>
      </c>
      <c r="T66" s="58">
        <f>IF(ISNA(VLOOKUP($CW66,'Audit Values'!$A:$BX,2,FALSE)),'Preliminary SO66'!AL65,VLOOKUP($CW66,'Audit Values'!$A:$BX,59,FALSE))</f>
        <v>7.5</v>
      </c>
      <c r="U66" s="58">
        <f t="shared" si="62"/>
        <v>460</v>
      </c>
      <c r="V66" s="58">
        <f>'Low-High ENRL- 2023 HSubSB 113'!N69</f>
        <v>197.7</v>
      </c>
      <c r="W66" s="58">
        <f>IF(ISNA(VLOOKUP($CW66,'Audit Values'!$A:$BZ,2,FALSE)),'Preliminary SO66'!AM65,VLOOKUP($CW66,'Audit Values'!$A:$BZ,63,FALSE))</f>
        <v>3.6</v>
      </c>
      <c r="X66" s="58">
        <f>(W66/6)*'Weighting Factors'!$O$7</f>
        <v>0.2</v>
      </c>
      <c r="Y66" s="61">
        <f>IF(ISNA(VLOOKUP($CW66,'Audit Values'!$A:$BZ,2,FALSE)),'Preliminary SO66'!AN65,VLOOKUP($CW66,'Audit Values'!$A:$BZ,62,FALSE))</f>
        <v>5</v>
      </c>
      <c r="Z66" s="58">
        <f>Y66*'Weighting Factors'!$O$8</f>
        <v>0.9</v>
      </c>
      <c r="AA66" s="58">
        <f t="shared" si="63"/>
        <v>0.9</v>
      </c>
      <c r="AB66" s="106">
        <f>IF(ISNA(VLOOKUP($CW66,'Audit Values'!$A:$BZ,2,FALSE)),'Preliminary SO66'!AO65,VLOOKUP($CW66,'Audit Values'!$A:$BZ,61,FALSE))</f>
        <v>131.4</v>
      </c>
      <c r="AC66" s="58">
        <f>AB66/6*'Weighting Factors'!$O$6</f>
        <v>11</v>
      </c>
      <c r="AD66" s="24">
        <f>IF(ISNA(VLOOKUP($CW66,'Audit Values'!$A:$BX,2,FALSE)),'Preliminary SO66'!AS65,VLOOKUP($CW66,'Audit Values'!$A:$BX,64,FALSE))</f>
        <v>458</v>
      </c>
      <c r="AE66" s="24">
        <f>IF(ISNA(VLOOKUP($CW66,'Audit Values'!$A:$BX,2,FALSE)),'Preliminary SO66'!AP65,VLOOKUP($CW66,'Audit Values'!$A:$BX,65,FALSE))</f>
        <v>205</v>
      </c>
      <c r="AF66" s="58">
        <f>IF(A66=207, AE66,(AE66))*'Weighting Factors'!$O$9</f>
        <v>99.2</v>
      </c>
      <c r="AG66" s="58">
        <f t="shared" si="50"/>
        <v>14</v>
      </c>
      <c r="AH66" s="58">
        <f>IF(ISNA(VLOOKUP($CW66,'Audit Values'!$A:$BZ,2,FALSE)),'Preliminary SO66'!AG65,VLOOKUP($CW66,'Audit Values'!$A:$BZ,71,FALSE))</f>
        <v>14.3</v>
      </c>
      <c r="AI66" s="58">
        <f t="shared" si="64"/>
        <v>14.3</v>
      </c>
      <c r="AJ66" s="58">
        <f>IF(ISNA(VLOOKUP($CW66,'Audit Values'!$A:$BX,2,FALSE)),'Preliminary SO66'!AR65,VLOOKUP($CW66,'Audit Values'!$A:$BX,66,FALSE))</f>
        <v>102</v>
      </c>
      <c r="AK66" s="24">
        <f t="shared" si="65"/>
        <v>170706</v>
      </c>
      <c r="AL66" s="58">
        <f>AK66/'Weighting Factors'!$O$5</f>
        <v>33.6</v>
      </c>
      <c r="AM66" s="58">
        <f>CJ66/'Weighting Factors'!$O$5</f>
        <v>0</v>
      </c>
      <c r="AN66" s="58">
        <f>CN66/'Weighting Factors'!$O$5</f>
        <v>0</v>
      </c>
      <c r="AO66" s="24">
        <v>632953</v>
      </c>
      <c r="AP66" s="58">
        <f>AO66/'Weighting Factors'!$O$5</f>
        <v>124.4</v>
      </c>
      <c r="AQ66" s="58">
        <f>IF(ISNA(VLOOKUP($CW66,'Audit Values'!$A:$BX,2,FALSE)),'Preliminary SO66'!X65,VLOOKUP($CW66,'Audit Values'!$A:$BX,48,FALSE))</f>
        <v>0</v>
      </c>
      <c r="AR66" s="58">
        <f t="shared" si="37"/>
        <v>941.1</v>
      </c>
      <c r="AS66" s="58">
        <f t="shared" si="38"/>
        <v>816.7</v>
      </c>
      <c r="AT66" s="58">
        <f>IF(ISNA(VLOOKUP($CW66,'Audit Values'!$A$2:$BX$410,2,FALSE)),'Preliminary SO66'!AA65,VLOOKUP($CW66,'Audit Values'!$A$2:$BX$410,41,FALSE))</f>
        <v>5</v>
      </c>
      <c r="AU66" s="58">
        <f>IF(ISNA(VLOOKUP($CW66,'Audit Values'!$A$2:$BX$410,2,FALSE)),'Preliminary SO66'!AB65,VLOOKUP($CW66,'Audit Values'!$A$2:$BX$410,42,FALSE))</f>
        <v>0</v>
      </c>
      <c r="AV66" s="73">
        <v>0</v>
      </c>
      <c r="AW66" s="73">
        <v>0</v>
      </c>
      <c r="AX66" s="24">
        <f>SUM(AT66*'Weighting Factors'!$R$10)+('2024 Legal Max'!AU66*'Weighting Factors'!$R$11)+('2024 Legal Max'!AV66*'Weighting Factors'!$R$12)+('2024 Legal Max'!AW66*'Weighting Factors'!$R$12)</f>
        <v>28000</v>
      </c>
      <c r="AY66" s="54">
        <f>IF(ISNA(VLOOKUP($CW66,'Audit Values'!$A$2:$BX$429,2,FALSE)),"",IF(AND('Weighting Factors'!G66&gt;0,VLOOKUP($CW66,'Audit Values'!$A$2:$BX$429,51,FALSE)&lt;'Weighting Factors'!G66),'Weighting Factors'!G66,VLOOKUP($CW66,'Audit Values'!$A$2:$BX$429,51,FALSE)))</f>
        <v>8</v>
      </c>
      <c r="AZ66" s="54" t="str">
        <f>IF(ISNA(VLOOKUP($CW66,'Audit Values'!$A:$BY,2,FALSE)),"",VLOOKUP($CW66,'Audit Values'!$A:$BY,52,FALSE))</f>
        <v>A</v>
      </c>
      <c r="BA66" s="54" t="str">
        <f>IF('Weighting Factors'!F66="","",IF('Weighting Factors'!H66="Pending","PX","R"))</f>
        <v/>
      </c>
      <c r="BB66" s="60">
        <f>SUM((U66+V66+AA66+AC66+AF66+AI66+AL66+AM66+AQ66+AN66)*'Weighting Factors'!$O$5)+'2024 Legal Max'!AX66</f>
        <v>4183370</v>
      </c>
      <c r="BC66" s="24">
        <f>SUM((AR66+AN66)*'Weighting Factors'!$O$5)+AX66</f>
        <v>4816317</v>
      </c>
      <c r="BD66" s="67">
        <f>IF('Weighting Factors'!F66&gt;0,'Weighting Factors'!F66,'Preliminary SO66'!AV65)</f>
        <v>4971485</v>
      </c>
      <c r="BE66" s="24">
        <f t="shared" si="66"/>
        <v>4816317</v>
      </c>
      <c r="BF66" s="71">
        <f>'Weighting Factors'!E66</f>
        <v>0</v>
      </c>
      <c r="BG66" s="71">
        <f>Transportation!G66</f>
        <v>0</v>
      </c>
      <c r="BH66" s="24">
        <f>IF(ISNA(VLOOKUP($CW66,'Audit Values'!$A:$BW,2,FALSE)), 0, VLOOKUP($CW66,'Audit Values'!$A:$BW,75,FALSE))</f>
        <v>0</v>
      </c>
      <c r="BI66" s="24">
        <f t="shared" si="67"/>
        <v>0</v>
      </c>
      <c r="BJ66" s="24">
        <f t="shared" si="68"/>
        <v>4816317</v>
      </c>
      <c r="BK66" s="24">
        <f>SUM((U66+V66+AA66+AC66+AF66+AI66+AL66+AM66+AN66)*'Weighting Factors'!O$12)+(MAX(AO66,'Weighting Factors'!B66))</f>
        <v>4845492</v>
      </c>
      <c r="BL66" s="78">
        <f>'LOB%'!F64</f>
        <v>0.33</v>
      </c>
      <c r="BM66" s="24">
        <f t="shared" si="12"/>
        <v>1599012</v>
      </c>
      <c r="BN66" s="67">
        <v>1659528</v>
      </c>
      <c r="BO66" s="24">
        <f t="shared" si="69"/>
        <v>1599012</v>
      </c>
      <c r="BP66" s="89">
        <f t="shared" si="13"/>
        <v>0.33</v>
      </c>
      <c r="BQ66" s="58">
        <f t="shared" si="14"/>
        <v>0</v>
      </c>
      <c r="BR66" s="1" t="b">
        <f t="shared" si="15"/>
        <v>0</v>
      </c>
      <c r="BS66" s="76">
        <f t="shared" si="16"/>
        <v>0</v>
      </c>
      <c r="BT66" s="75">
        <f t="shared" si="70"/>
        <v>0</v>
      </c>
      <c r="BU66" s="58">
        <f t="shared" si="18"/>
        <v>0</v>
      </c>
      <c r="BV66" s="1" t="b">
        <f t="shared" si="19"/>
        <v>1</v>
      </c>
      <c r="BW66" s="1">
        <f t="shared" si="20"/>
        <v>198</v>
      </c>
      <c r="BX66" s="75">
        <f t="shared" si="71"/>
        <v>0.42982599999999999</v>
      </c>
      <c r="BY66" s="58">
        <f t="shared" si="22"/>
        <v>197.7</v>
      </c>
      <c r="BZ66" s="58">
        <f t="shared" si="23"/>
        <v>0</v>
      </c>
      <c r="CA66" s="61">
        <v>718</v>
      </c>
      <c r="CB66" s="102">
        <f t="shared" si="24"/>
        <v>0.14199999999999999</v>
      </c>
      <c r="CC66" s="105">
        <f>IF(CB66&lt;0.06,1,IF(CB66&gt;=18.29,52,MATCH(CB66-0.001,'Weighting Factors'!$W$5:$W$156)+1))</f>
        <v>10</v>
      </c>
      <c r="CD66" s="24">
        <f>VLOOKUP(CC66, 'Weighting Factors'!$U$5:$X$56,4)</f>
        <v>1370</v>
      </c>
      <c r="CE66" s="109">
        <f>('Weighting Factors'!$O$5/'Weighting Factors'!$O$14)</f>
        <v>1.2216</v>
      </c>
      <c r="CF66" s="100">
        <f t="shared" si="25"/>
        <v>139740</v>
      </c>
      <c r="CG66" s="100">
        <f>CF66*'Weighting Factors'!$Q$7</f>
        <v>139740</v>
      </c>
      <c r="CH66" s="100">
        <f t="shared" si="72"/>
        <v>170706</v>
      </c>
      <c r="CI66" s="58">
        <f>AK66/'Weighting Factors'!$O$5</f>
        <v>33.6</v>
      </c>
      <c r="CJ66" s="67">
        <v>0</v>
      </c>
      <c r="CK66" s="80">
        <v>0</v>
      </c>
      <c r="CL66" s="110">
        <v>0</v>
      </c>
      <c r="CM66" s="24">
        <f>SUM((AR66*'Weighting Factors'!$O$5)+'2024 Legal Max'!AX66)*CL66</f>
        <v>0</v>
      </c>
      <c r="CN66" s="24">
        <f t="shared" si="73"/>
        <v>0</v>
      </c>
      <c r="CO66" s="65">
        <f t="shared" si="4"/>
        <v>0.4476</v>
      </c>
      <c r="CP66" s="58">
        <f t="shared" si="28"/>
        <v>0</v>
      </c>
      <c r="CQ66" s="58">
        <f t="shared" si="29"/>
        <v>14</v>
      </c>
      <c r="CR66" s="58">
        <f t="shared" si="30"/>
        <v>941.1</v>
      </c>
      <c r="CS66" s="24">
        <f>'Required Transfers'!L66</f>
        <v>169975</v>
      </c>
      <c r="CT66" s="24">
        <f>'Required Transfers'!O66</f>
        <v>1599</v>
      </c>
      <c r="CU66" s="24">
        <f>'Required Transfers'!H66</f>
        <v>577488</v>
      </c>
      <c r="CV66" s="58">
        <f t="shared" si="31"/>
        <v>451.5</v>
      </c>
      <c r="CW66" s="27" t="s">
        <v>251</v>
      </c>
    </row>
    <row r="67" spans="1:101" ht="15" customHeight="1">
      <c r="A67" s="54">
        <v>255</v>
      </c>
      <c r="B67" s="1" t="s">
        <v>31</v>
      </c>
      <c r="C67" s="1" t="s">
        <v>572</v>
      </c>
      <c r="D67" s="58">
        <v>206.1</v>
      </c>
      <c r="E67" s="58"/>
      <c r="F67" s="58">
        <v>0</v>
      </c>
      <c r="G67" s="58">
        <f t="shared" si="32"/>
        <v>206.1</v>
      </c>
      <c r="H67" s="58">
        <v>208.3</v>
      </c>
      <c r="I67" s="58"/>
      <c r="J67" s="58">
        <v>0</v>
      </c>
      <c r="K67" s="58">
        <f t="shared" si="33"/>
        <v>208.3</v>
      </c>
      <c r="L67" s="1">
        <v>197</v>
      </c>
      <c r="N67" s="1">
        <v>0</v>
      </c>
      <c r="O67" s="58">
        <f t="shared" si="34"/>
        <v>197</v>
      </c>
      <c r="P67" s="58">
        <f>IF(ISNA(VLOOKUP($CW67,'Audit Values'!$A:$BZ,2,FALSE)),'Preliminary SO66'!C66,VLOOKUP($CW67,'Audit Values'!$A:$BZ,76,FALSE))</f>
        <v>199</v>
      </c>
      <c r="Q67" s="58">
        <f>IF(ISNA(VLOOKUP($CW67,'Audit Values'!$A:$BZ,2,FALSE)),'Preliminary SO66'!F66,VLOOKUP($CW67,'Audit Values'!$A:$BZ,4,FALSE))</f>
        <v>0</v>
      </c>
      <c r="R67" s="58">
        <f t="shared" si="61"/>
        <v>199</v>
      </c>
      <c r="S67" s="58">
        <f>IF('Military Provision'!I67="YES", MAX('2024 Legal Max'!O67,'2024 Legal Max'!K67,AVERAGE('2024 Legal Max'!G67,'2024 Legal Max'!K67,'2024 Legal Max'!O67)), MAX(O67, K67))</f>
        <v>208.3</v>
      </c>
      <c r="T67" s="58">
        <f>IF(ISNA(VLOOKUP($CW67,'Audit Values'!$A:$BX,2,FALSE)),'Preliminary SO66'!AL66,VLOOKUP($CW67,'Audit Values'!$A:$BX,59,FALSE))</f>
        <v>4.5</v>
      </c>
      <c r="U67" s="58">
        <f t="shared" si="62"/>
        <v>212.8</v>
      </c>
      <c r="V67" s="58">
        <f>'Low-High ENRL- 2023 HSubSB 113'!N70</f>
        <v>152.19999999999999</v>
      </c>
      <c r="W67" s="58">
        <f>IF(ISNA(VLOOKUP($CW67,'Audit Values'!$A:$BZ,2,FALSE)),'Preliminary SO66'!AM66,VLOOKUP($CW67,'Audit Values'!$A:$BZ,63,FALSE))</f>
        <v>0</v>
      </c>
      <c r="X67" s="58">
        <f>(W67/6)*'Weighting Factors'!$O$7</f>
        <v>0</v>
      </c>
      <c r="Y67" s="61">
        <f>IF(ISNA(VLOOKUP($CW67,'Audit Values'!$A:$BZ,2,FALSE)),'Preliminary SO66'!AN66,VLOOKUP($CW67,'Audit Values'!$A:$BZ,62,FALSE))</f>
        <v>0</v>
      </c>
      <c r="Z67" s="58">
        <f>Y67*'Weighting Factors'!$O$8</f>
        <v>0</v>
      </c>
      <c r="AA67" s="58">
        <f t="shared" si="63"/>
        <v>0</v>
      </c>
      <c r="AB67" s="106">
        <f>IF(ISNA(VLOOKUP($CW67,'Audit Values'!$A:$BZ,2,FALSE)),'Preliminary SO66'!AO66,VLOOKUP($CW67,'Audit Values'!$A:$BZ,61,FALSE))</f>
        <v>98.2</v>
      </c>
      <c r="AC67" s="58">
        <f>AB67/6*'Weighting Factors'!$O$6</f>
        <v>8.1999999999999993</v>
      </c>
      <c r="AD67" s="24">
        <f>IF(ISNA(VLOOKUP($CW67,'Audit Values'!$A:$BX,2,FALSE)),'Preliminary SO66'!AS66,VLOOKUP($CW67,'Audit Values'!$A:$BX,64,FALSE))</f>
        <v>212</v>
      </c>
      <c r="AE67" s="24">
        <f>IF(ISNA(VLOOKUP($CW67,'Audit Values'!$A:$BX,2,FALSE)),'Preliminary SO66'!AP66,VLOOKUP($CW67,'Audit Values'!$A:$BX,65,FALSE))</f>
        <v>113</v>
      </c>
      <c r="AF67" s="58">
        <f>IF(A67=207, AE67,(AE67))*'Weighting Factors'!$O$9</f>
        <v>54.7</v>
      </c>
      <c r="AG67" s="58">
        <f t="shared" si="50"/>
        <v>11.9</v>
      </c>
      <c r="AH67" s="58">
        <f>IF(ISNA(VLOOKUP($CW67,'Audit Values'!$A:$BZ,2,FALSE)),'Preliminary SO66'!AG66,VLOOKUP($CW67,'Audit Values'!$A:$BZ,71,FALSE))</f>
        <v>11.7</v>
      </c>
      <c r="AI67" s="58">
        <f t="shared" si="64"/>
        <v>11.9</v>
      </c>
      <c r="AJ67" s="58">
        <f>IF(ISNA(VLOOKUP($CW67,'Audit Values'!$A:$BX,2,FALSE)),'Preliminary SO66'!AR66,VLOOKUP($CW67,'Audit Values'!$A:$BX,66,FALSE))</f>
        <v>50</v>
      </c>
      <c r="AK67" s="24">
        <f t="shared" si="65"/>
        <v>87344</v>
      </c>
      <c r="AL67" s="58">
        <f>AK67/'Weighting Factors'!$O$5</f>
        <v>17.2</v>
      </c>
      <c r="AM67" s="58">
        <f>CJ67/'Weighting Factors'!$O$5</f>
        <v>0</v>
      </c>
      <c r="AN67" s="58">
        <f>CN67/'Weighting Factors'!$O$5</f>
        <v>0</v>
      </c>
      <c r="AO67" s="24">
        <v>269747</v>
      </c>
      <c r="AP67" s="58">
        <f>AO67/'Weighting Factors'!$O$5</f>
        <v>53</v>
      </c>
      <c r="AQ67" s="58">
        <f>IF(ISNA(VLOOKUP($CW67,'Audit Values'!$A:$BX,2,FALSE)),'Preliminary SO66'!X66,VLOOKUP($CW67,'Audit Values'!$A:$BX,48,FALSE))</f>
        <v>0</v>
      </c>
      <c r="AR67" s="58">
        <f t="shared" si="37"/>
        <v>510</v>
      </c>
      <c r="AS67" s="58">
        <f t="shared" si="38"/>
        <v>457</v>
      </c>
      <c r="AT67" s="58">
        <f>IF(ISNA(VLOOKUP($CW67,'Audit Values'!$A$2:$BX$410,2,FALSE)),'Preliminary SO66'!AA66,VLOOKUP($CW67,'Audit Values'!$A$2:$BX$410,41,FALSE))</f>
        <v>0</v>
      </c>
      <c r="AU67" s="58">
        <f>IF(ISNA(VLOOKUP($CW67,'Audit Values'!$A$2:$BX$410,2,FALSE)),'Preliminary SO66'!AB66,VLOOKUP($CW67,'Audit Values'!$A$2:$BX$410,42,FALSE))</f>
        <v>0</v>
      </c>
      <c r="AV67" s="73">
        <v>0</v>
      </c>
      <c r="AW67" s="73">
        <v>0</v>
      </c>
      <c r="AX67" s="24">
        <f>SUM(AT67*'Weighting Factors'!$R$10)+('2024 Legal Max'!AU67*'Weighting Factors'!$R$11)+('2024 Legal Max'!AV67*'Weighting Factors'!$R$12)+('2024 Legal Max'!AW67*'Weighting Factors'!$R$12)</f>
        <v>0</v>
      </c>
      <c r="AY67" s="54">
        <f>IF(ISNA(VLOOKUP($CW67,'Audit Values'!$A$2:$BX$429,2,FALSE)),"",IF(AND('Weighting Factors'!G67&gt;0,VLOOKUP($CW67,'Audit Values'!$A$2:$BX$429,51,FALSE)&lt;'Weighting Factors'!G67),'Weighting Factors'!G67,VLOOKUP($CW67,'Audit Values'!$A$2:$BX$429,51,FALSE)))</f>
        <v>2</v>
      </c>
      <c r="AZ67" s="54" t="str">
        <f>IF(ISNA(VLOOKUP($CW67,'Audit Values'!$A:$BY,2,FALSE)),"",VLOOKUP($CW67,'Audit Values'!$A:$BY,52,FALSE))</f>
        <v>A</v>
      </c>
      <c r="BA67" s="54" t="str">
        <f>IF('Weighting Factors'!F67="","",IF('Weighting Factors'!H67="Pending","PX","R"))</f>
        <v/>
      </c>
      <c r="BB67" s="60">
        <f>SUM((U67+V67+AA67+AC67+AF67+AI67+AL67+AM67+AQ67+AN67)*'Weighting Factors'!$O$5)+'2024 Legal Max'!AX67</f>
        <v>2325216</v>
      </c>
      <c r="BC67" s="24">
        <f>SUM((AR67+AN67)*'Weighting Factors'!$O$5)+AX67</f>
        <v>2594880</v>
      </c>
      <c r="BD67" s="67">
        <f>IF('Weighting Factors'!F67&gt;0,'Weighting Factors'!F67,'Preliminary SO66'!AV66)</f>
        <v>2711651</v>
      </c>
      <c r="BE67" s="24">
        <f t="shared" si="66"/>
        <v>2594880</v>
      </c>
      <c r="BF67" s="71">
        <f>'Weighting Factors'!E67</f>
        <v>0</v>
      </c>
      <c r="BG67" s="71">
        <f>Transportation!G67</f>
        <v>0</v>
      </c>
      <c r="BH67" s="24">
        <f>IF(ISNA(VLOOKUP($CW67,'Audit Values'!$A:$BW,2,FALSE)), 0, VLOOKUP($CW67,'Audit Values'!$A:$BW,75,FALSE))</f>
        <v>0</v>
      </c>
      <c r="BI67" s="24">
        <f t="shared" si="67"/>
        <v>0</v>
      </c>
      <c r="BJ67" s="24">
        <f t="shared" si="68"/>
        <v>2594880</v>
      </c>
      <c r="BK67" s="24">
        <f>SUM((U67+V67+AA67+AC67+AF67+AI67+AL67+AM67+AN67)*'Weighting Factors'!O$12)+(MAX(AO67,'Weighting Factors'!B67))</f>
        <v>2626953</v>
      </c>
      <c r="BL67" s="78">
        <f>'LOB%'!F65</f>
        <v>0.316</v>
      </c>
      <c r="BM67" s="24">
        <f t="shared" si="12"/>
        <v>830117</v>
      </c>
      <c r="BN67" s="67">
        <v>866335</v>
      </c>
      <c r="BO67" s="24">
        <f t="shared" si="69"/>
        <v>830117</v>
      </c>
      <c r="BP67" s="89">
        <f t="shared" si="13"/>
        <v>0.316</v>
      </c>
      <c r="BQ67" s="58">
        <f t="shared" si="14"/>
        <v>0</v>
      </c>
      <c r="BR67" s="1" t="b">
        <f t="shared" si="15"/>
        <v>1</v>
      </c>
      <c r="BS67" s="76">
        <f t="shared" si="16"/>
        <v>1089.0840000000001</v>
      </c>
      <c r="BT67" s="75">
        <f t="shared" si="70"/>
        <v>0.71532899999999999</v>
      </c>
      <c r="BU67" s="58">
        <f t="shared" si="18"/>
        <v>152.19999999999999</v>
      </c>
      <c r="BV67" s="1" t="b">
        <f t="shared" si="19"/>
        <v>0</v>
      </c>
      <c r="BW67" s="1">
        <f t="shared" si="20"/>
        <v>0</v>
      </c>
      <c r="BX67" s="75">
        <f t="shared" si="71"/>
        <v>0</v>
      </c>
      <c r="BY67" s="58">
        <f t="shared" si="22"/>
        <v>0</v>
      </c>
      <c r="BZ67" s="58">
        <f t="shared" si="23"/>
        <v>0</v>
      </c>
      <c r="CA67" s="61">
        <v>425.5</v>
      </c>
      <c r="CB67" s="102">
        <f t="shared" si="24"/>
        <v>0.11799999999999999</v>
      </c>
      <c r="CC67" s="105">
        <f>IF(CB67&lt;0.06,1,IF(CB67&gt;=18.29,52,MATCH(CB67-0.001,'Weighting Factors'!$W$5:$W$156)+1))</f>
        <v>7</v>
      </c>
      <c r="CD67" s="24">
        <f>VLOOKUP(CC67, 'Weighting Factors'!$U$5:$X$56,4)</f>
        <v>1430</v>
      </c>
      <c r="CE67" s="109">
        <f>('Weighting Factors'!$O$5/'Weighting Factors'!$O$14)</f>
        <v>1.2216</v>
      </c>
      <c r="CF67" s="100">
        <f t="shared" si="25"/>
        <v>71500</v>
      </c>
      <c r="CG67" s="100">
        <f>CF67*'Weighting Factors'!$Q$7</f>
        <v>71500</v>
      </c>
      <c r="CH67" s="100">
        <f t="shared" si="72"/>
        <v>87344</v>
      </c>
      <c r="CI67" s="58">
        <f>AK67/'Weighting Factors'!$O$5</f>
        <v>17.2</v>
      </c>
      <c r="CJ67" s="67">
        <v>0</v>
      </c>
      <c r="CK67" s="80">
        <v>0</v>
      </c>
      <c r="CL67" s="110">
        <v>0</v>
      </c>
      <c r="CM67" s="24">
        <f>SUM((AR67*'Weighting Factors'!$O$5)+'2024 Legal Max'!AX67)*CL67</f>
        <v>0</v>
      </c>
      <c r="CN67" s="24">
        <f t="shared" si="73"/>
        <v>0</v>
      </c>
      <c r="CO67" s="65">
        <f t="shared" si="4"/>
        <v>0.53300000000000003</v>
      </c>
      <c r="CP67" s="58">
        <f t="shared" si="28"/>
        <v>11.9</v>
      </c>
      <c r="CQ67" s="58">
        <f t="shared" si="29"/>
        <v>0</v>
      </c>
      <c r="CR67" s="58">
        <f t="shared" si="30"/>
        <v>510</v>
      </c>
      <c r="CS67" s="24">
        <f>'Required Transfers'!L67</f>
        <v>89819</v>
      </c>
      <c r="CT67" s="24">
        <f>'Required Transfers'!O67</f>
        <v>0</v>
      </c>
      <c r="CU67" s="24">
        <f>'Required Transfers'!H67</f>
        <v>338861</v>
      </c>
      <c r="CV67" s="58">
        <f t="shared" si="31"/>
        <v>203.5</v>
      </c>
      <c r="CW67" s="27" t="s">
        <v>252</v>
      </c>
    </row>
    <row r="68" spans="1:101" ht="15" customHeight="1">
      <c r="A68" s="54">
        <v>256</v>
      </c>
      <c r="B68" s="1" t="s">
        <v>32</v>
      </c>
      <c r="C68" s="1" t="s">
        <v>573</v>
      </c>
      <c r="D68" s="58">
        <v>233.5</v>
      </c>
      <c r="E68" s="58"/>
      <c r="F68" s="58">
        <v>0</v>
      </c>
      <c r="G68" s="58">
        <f t="shared" si="32"/>
        <v>233.5</v>
      </c>
      <c r="H68" s="58">
        <v>238.6</v>
      </c>
      <c r="I68" s="58"/>
      <c r="J68" s="58">
        <v>0</v>
      </c>
      <c r="K68" s="58">
        <f t="shared" si="33"/>
        <v>238.6</v>
      </c>
      <c r="L68" s="1">
        <v>254.5</v>
      </c>
      <c r="N68" s="1">
        <v>0</v>
      </c>
      <c r="O68" s="58">
        <f t="shared" si="34"/>
        <v>254.5</v>
      </c>
      <c r="P68" s="58">
        <f>IF(ISNA(VLOOKUP($CW68,'Audit Values'!$A:$BZ,2,FALSE)),'Preliminary SO66'!C67,VLOOKUP($CW68,'Audit Values'!$A:$BZ,76,FALSE))</f>
        <v>252.2</v>
      </c>
      <c r="Q68" s="58">
        <f>IF(ISNA(VLOOKUP($CW68,'Audit Values'!$A:$BZ,2,FALSE)),'Preliminary SO66'!F67,VLOOKUP($CW68,'Audit Values'!$A:$BZ,4,FALSE))</f>
        <v>0</v>
      </c>
      <c r="R68" s="58">
        <f t="shared" si="61"/>
        <v>252.2</v>
      </c>
      <c r="S68" s="58">
        <f>IF('Military Provision'!I68="YES", MAX('2024 Legal Max'!O68,'2024 Legal Max'!K68,AVERAGE('2024 Legal Max'!G68,'2024 Legal Max'!K68,'2024 Legal Max'!O68)), MAX(O68, K68))</f>
        <v>254.5</v>
      </c>
      <c r="T68" s="58">
        <f>IF(ISNA(VLOOKUP($CW68,'Audit Values'!$A:$BX,2,FALSE)),'Preliminary SO66'!AL67,VLOOKUP($CW68,'Audit Values'!$A:$BX,59,FALSE))</f>
        <v>3.5</v>
      </c>
      <c r="U68" s="58">
        <f t="shared" si="62"/>
        <v>258</v>
      </c>
      <c r="V68" s="58">
        <f>'Low-High ENRL- 2023 HSubSB 113'!N71</f>
        <v>153.6</v>
      </c>
      <c r="W68" s="58">
        <f>IF(ISNA(VLOOKUP($CW68,'Audit Values'!$A:$BZ,2,FALSE)),'Preliminary SO66'!AM67,VLOOKUP($CW68,'Audit Values'!$A:$BZ,63,FALSE))</f>
        <v>0</v>
      </c>
      <c r="X68" s="58">
        <f>(W68/6)*'Weighting Factors'!$O$7</f>
        <v>0</v>
      </c>
      <c r="Y68" s="61">
        <f>IF(ISNA(VLOOKUP($CW68,'Audit Values'!$A:$BZ,2,FALSE)),'Preliminary SO66'!AN67,VLOOKUP($CW68,'Audit Values'!$A:$BZ,62,FALSE))</f>
        <v>0</v>
      </c>
      <c r="Z68" s="58">
        <f>Y68*'Weighting Factors'!$O$8</f>
        <v>0</v>
      </c>
      <c r="AA68" s="58">
        <f t="shared" si="63"/>
        <v>0</v>
      </c>
      <c r="AB68" s="106">
        <f>IF(ISNA(VLOOKUP($CW68,'Audit Values'!$A:$BZ,2,FALSE)),'Preliminary SO66'!AO67,VLOOKUP($CW68,'Audit Values'!$A:$BZ,61,FALSE))</f>
        <v>46.8</v>
      </c>
      <c r="AC68" s="58">
        <f>AB68/6*'Weighting Factors'!$O$6</f>
        <v>3.9</v>
      </c>
      <c r="AD68" s="24">
        <f>IF(ISNA(VLOOKUP($CW68,'Audit Values'!$A:$BX,2,FALSE)),'Preliminary SO66'!AS67,VLOOKUP($CW68,'Audit Values'!$A:$BX,64,FALSE))</f>
        <v>260</v>
      </c>
      <c r="AE68" s="24">
        <f>IF(ISNA(VLOOKUP($CW68,'Audit Values'!$A:$BX,2,FALSE)),'Preliminary SO66'!AP67,VLOOKUP($CW68,'Audit Values'!$A:$BX,65,FALSE))</f>
        <v>124</v>
      </c>
      <c r="AF68" s="58">
        <f>IF(A68=207, AE68,(AE68))*'Weighting Factors'!$O$9</f>
        <v>60</v>
      </c>
      <c r="AG68" s="58">
        <f t="shared" si="50"/>
        <v>11</v>
      </c>
      <c r="AH68" s="58">
        <f>IF(ISNA(VLOOKUP($CW68,'Audit Values'!$A:$BZ,2,FALSE)),'Preliminary SO66'!AG67,VLOOKUP($CW68,'Audit Values'!$A:$BZ,71,FALSE))</f>
        <v>11.1</v>
      </c>
      <c r="AI68" s="58">
        <f t="shared" si="64"/>
        <v>11.1</v>
      </c>
      <c r="AJ68" s="58">
        <f>IF(ISNA(VLOOKUP($CW68,'Audit Values'!$A:$BX,2,FALSE)),'Preliminary SO66'!AR67,VLOOKUP($CW68,'Audit Values'!$A:$BX,66,FALSE))</f>
        <v>94</v>
      </c>
      <c r="AK68" s="24">
        <f t="shared" si="65"/>
        <v>129758</v>
      </c>
      <c r="AL68" s="58">
        <f>AK68/'Weighting Factors'!$O$5</f>
        <v>25.5</v>
      </c>
      <c r="AM68" s="58">
        <f>CJ68/'Weighting Factors'!$O$5</f>
        <v>0</v>
      </c>
      <c r="AN68" s="58">
        <f>CN68/'Weighting Factors'!$O$5</f>
        <v>0</v>
      </c>
      <c r="AO68" s="24">
        <v>274616</v>
      </c>
      <c r="AP68" s="58">
        <f>AO68/'Weighting Factors'!$O$5</f>
        <v>54</v>
      </c>
      <c r="AQ68" s="58">
        <f>IF(ISNA(VLOOKUP($CW68,'Audit Values'!$A:$BX,2,FALSE)),'Preliminary SO66'!X67,VLOOKUP($CW68,'Audit Values'!$A:$BX,48,FALSE))</f>
        <v>0</v>
      </c>
      <c r="AR68" s="58">
        <f t="shared" si="37"/>
        <v>566.1</v>
      </c>
      <c r="AS68" s="58">
        <f t="shared" si="38"/>
        <v>512.1</v>
      </c>
      <c r="AT68" s="58">
        <f>IF(ISNA(VLOOKUP($CW68,'Audit Values'!$A$2:$BX$410,2,FALSE)),'Preliminary SO66'!AA67,VLOOKUP($CW68,'Audit Values'!$A$2:$BX$410,41,FALSE))</f>
        <v>3</v>
      </c>
      <c r="AU68" s="58">
        <f>IF(ISNA(VLOOKUP($CW68,'Audit Values'!$A$2:$BX$410,2,FALSE)),'Preliminary SO66'!AB67,VLOOKUP($CW68,'Audit Values'!$A$2:$BX$410,42,FALSE))</f>
        <v>0.6</v>
      </c>
      <c r="AV68" s="73">
        <v>0</v>
      </c>
      <c r="AW68" s="73">
        <v>0</v>
      </c>
      <c r="AX68" s="24">
        <f>SUM(AT68*'Weighting Factors'!$R$10)+('2024 Legal Max'!AU68*'Weighting Factors'!$R$11)+('2024 Legal Max'!AV68*'Weighting Factors'!$R$12)+('2024 Legal Max'!AW68*'Weighting Factors'!$R$12)</f>
        <v>18480</v>
      </c>
      <c r="AY68" s="54">
        <f>IF(ISNA(VLOOKUP($CW68,'Audit Values'!$A$2:$BX$429,2,FALSE)),"",IF(AND('Weighting Factors'!G68&gt;0,VLOOKUP($CW68,'Audit Values'!$A$2:$BX$429,51,FALSE)&lt;'Weighting Factors'!G68),'Weighting Factors'!G68,VLOOKUP($CW68,'Audit Values'!$A$2:$BX$429,51,FALSE)))</f>
        <v>7</v>
      </c>
      <c r="AZ68" s="54" t="str">
        <f>IF(ISNA(VLOOKUP($CW68,'Audit Values'!$A:$BY,2,FALSE)),"",VLOOKUP($CW68,'Audit Values'!$A:$BY,52,FALSE))</f>
        <v>A</v>
      </c>
      <c r="BA68" s="54" t="str">
        <f>IF('Weighting Factors'!F68="","",IF('Weighting Factors'!H68="Pending","PX","R"))</f>
        <v/>
      </c>
      <c r="BB68" s="60">
        <f>SUM((U68+V68+AA68+AC68+AF68+AI68+AL68+AM68+AQ68+AN68)*'Weighting Factors'!$O$5)+'2024 Legal Max'!AX68</f>
        <v>2624045</v>
      </c>
      <c r="BC68" s="24">
        <f>SUM((AR68+AN68)*'Weighting Factors'!$O$5)+AX68</f>
        <v>2898797</v>
      </c>
      <c r="BD68" s="67">
        <f>IF('Weighting Factors'!F68&gt;0,'Weighting Factors'!F68,'Preliminary SO66'!AV67)</f>
        <v>3137693</v>
      </c>
      <c r="BE68" s="24">
        <f t="shared" si="66"/>
        <v>2898797</v>
      </c>
      <c r="BF68" s="71">
        <f>'Weighting Factors'!E68</f>
        <v>0</v>
      </c>
      <c r="BG68" s="71">
        <f>Transportation!G68</f>
        <v>0</v>
      </c>
      <c r="BH68" s="24">
        <f>IF(ISNA(VLOOKUP($CW68,'Audit Values'!$A:$BW,2,FALSE)), 0, VLOOKUP($CW68,'Audit Values'!$A:$BW,75,FALSE))</f>
        <v>0</v>
      </c>
      <c r="BI68" s="24">
        <f t="shared" si="67"/>
        <v>0</v>
      </c>
      <c r="BJ68" s="24">
        <f t="shared" si="68"/>
        <v>2898797</v>
      </c>
      <c r="BK68" s="24">
        <f>SUM((U68+V68+AA68+AC68+AF68+AI68+AL68+AM68+AN68)*'Weighting Factors'!O$12)+(MAX(AO68,'Weighting Factors'!B68))</f>
        <v>3084100</v>
      </c>
      <c r="BL68" s="78">
        <f>'LOB%'!F66</f>
        <v>0.33</v>
      </c>
      <c r="BM68" s="24">
        <f t="shared" si="12"/>
        <v>1017753</v>
      </c>
      <c r="BN68" s="67">
        <v>922000</v>
      </c>
      <c r="BO68" s="24">
        <f t="shared" si="69"/>
        <v>922000</v>
      </c>
      <c r="BP68" s="89">
        <f t="shared" si="13"/>
        <v>0.29899999999999999</v>
      </c>
      <c r="BQ68" s="58">
        <f t="shared" si="14"/>
        <v>0</v>
      </c>
      <c r="BR68" s="1" t="b">
        <f t="shared" si="15"/>
        <v>1</v>
      </c>
      <c r="BS68" s="76">
        <f t="shared" si="16"/>
        <v>1525.49</v>
      </c>
      <c r="BT68" s="75">
        <f t="shared" si="70"/>
        <v>0.59551699999999996</v>
      </c>
      <c r="BU68" s="58">
        <f t="shared" si="18"/>
        <v>153.6</v>
      </c>
      <c r="BV68" s="1" t="b">
        <f t="shared" si="19"/>
        <v>0</v>
      </c>
      <c r="BW68" s="1">
        <f t="shared" si="20"/>
        <v>0</v>
      </c>
      <c r="BX68" s="75">
        <f t="shared" si="71"/>
        <v>0</v>
      </c>
      <c r="BY68" s="58">
        <f t="shared" si="22"/>
        <v>0</v>
      </c>
      <c r="BZ68" s="58">
        <f t="shared" si="23"/>
        <v>0</v>
      </c>
      <c r="CA68" s="61">
        <v>225</v>
      </c>
      <c r="CB68" s="102">
        <f t="shared" si="24"/>
        <v>0.41799999999999998</v>
      </c>
      <c r="CC68" s="105">
        <f>IF(CB68&lt;0.06,1,IF(CB68&gt;=18.29,52,MATCH(CB68-0.001,'Weighting Factors'!$W$5:$W$156)+1))</f>
        <v>23</v>
      </c>
      <c r="CD68" s="24">
        <f>VLOOKUP(CC68, 'Weighting Factors'!$U$5:$X$56,4)</f>
        <v>1130</v>
      </c>
      <c r="CE68" s="109">
        <f>('Weighting Factors'!$O$5/'Weighting Factors'!$O$14)</f>
        <v>1.2216</v>
      </c>
      <c r="CF68" s="100">
        <f t="shared" si="25"/>
        <v>106220</v>
      </c>
      <c r="CG68" s="100">
        <f>CF68*'Weighting Factors'!$Q$7</f>
        <v>106220</v>
      </c>
      <c r="CH68" s="100">
        <f t="shared" si="72"/>
        <v>129758</v>
      </c>
      <c r="CI68" s="58">
        <f>AK68/'Weighting Factors'!$O$5</f>
        <v>25.5</v>
      </c>
      <c r="CJ68" s="67">
        <v>0</v>
      </c>
      <c r="CK68" s="80">
        <v>0</v>
      </c>
      <c r="CL68" s="110">
        <v>0</v>
      </c>
      <c r="CM68" s="24">
        <f>SUM((AR68*'Weighting Factors'!$O$5)+'2024 Legal Max'!AX68)*CL68</f>
        <v>0</v>
      </c>
      <c r="CN68" s="24">
        <f t="shared" si="73"/>
        <v>0</v>
      </c>
      <c r="CO68" s="65">
        <f t="shared" ref="CO68:CO131" si="74">AE68/AD68</f>
        <v>0.47689999999999999</v>
      </c>
      <c r="CP68" s="58">
        <f t="shared" si="28"/>
        <v>0</v>
      </c>
      <c r="CQ68" s="58">
        <f t="shared" si="29"/>
        <v>11</v>
      </c>
      <c r="CR68" s="58">
        <f t="shared" si="30"/>
        <v>566.1</v>
      </c>
      <c r="CS68" s="24">
        <f>'Required Transfers'!L68</f>
        <v>98285</v>
      </c>
      <c r="CT68" s="24">
        <f>'Required Transfers'!O68</f>
        <v>0</v>
      </c>
      <c r="CU68" s="24">
        <f>'Required Transfers'!H68</f>
        <v>361757</v>
      </c>
      <c r="CV68" s="58">
        <f t="shared" si="31"/>
        <v>259.3</v>
      </c>
      <c r="CW68" s="27" t="s">
        <v>253</v>
      </c>
    </row>
    <row r="69" spans="1:101" ht="15" customHeight="1">
      <c r="A69" s="54">
        <v>257</v>
      </c>
      <c r="B69" s="1" t="s">
        <v>32</v>
      </c>
      <c r="C69" s="1" t="s">
        <v>574</v>
      </c>
      <c r="D69" s="58">
        <v>1084.4000000000001</v>
      </c>
      <c r="E69" s="58"/>
      <c r="F69" s="58">
        <v>0</v>
      </c>
      <c r="G69" s="58">
        <f t="shared" si="32"/>
        <v>1084.4000000000001</v>
      </c>
      <c r="H69" s="58">
        <v>1044.8</v>
      </c>
      <c r="I69" s="58"/>
      <c r="J69" s="58">
        <v>0</v>
      </c>
      <c r="K69" s="58">
        <f t="shared" si="33"/>
        <v>1044.8</v>
      </c>
      <c r="L69" s="1">
        <v>1058.8</v>
      </c>
      <c r="N69" s="1">
        <v>0</v>
      </c>
      <c r="O69" s="58">
        <f t="shared" si="34"/>
        <v>1058.8</v>
      </c>
      <c r="P69" s="58">
        <f>IF(ISNA(VLOOKUP($CW69,'Audit Values'!$A:$BZ,2,FALSE)),'Preliminary SO66'!C68,VLOOKUP($CW69,'Audit Values'!$A:$BZ,76,FALSE))</f>
        <v>1043.7</v>
      </c>
      <c r="Q69" s="58">
        <f>IF(ISNA(VLOOKUP($CW69,'Audit Values'!$A:$BZ,2,FALSE)),'Preliminary SO66'!F68,VLOOKUP($CW69,'Audit Values'!$A:$BZ,4,FALSE))</f>
        <v>0</v>
      </c>
      <c r="R69" s="58">
        <f t="shared" si="61"/>
        <v>1043.7</v>
      </c>
      <c r="S69" s="58">
        <f>IF('Military Provision'!I69="YES", MAX('2024 Legal Max'!O69,'2024 Legal Max'!K69,AVERAGE('2024 Legal Max'!G69,'2024 Legal Max'!K69,'2024 Legal Max'!O69)), MAX(O69, K69))</f>
        <v>1058.8</v>
      </c>
      <c r="T69" s="58">
        <f>IF(ISNA(VLOOKUP($CW69,'Audit Values'!$A:$BX,2,FALSE)),'Preliminary SO66'!AL68,VLOOKUP($CW69,'Audit Values'!$A:$BX,59,FALSE))</f>
        <v>34.5</v>
      </c>
      <c r="U69" s="58">
        <f t="shared" si="62"/>
        <v>1093.3</v>
      </c>
      <c r="V69" s="58">
        <f>'Low-High ENRL- 2023 HSubSB 113'!N72</f>
        <v>234.7</v>
      </c>
      <c r="W69" s="58">
        <f>IF(ISNA(VLOOKUP($CW69,'Audit Values'!$A:$BZ,2,FALSE)),'Preliminary SO66'!AM68,VLOOKUP($CW69,'Audit Values'!$A:$BZ,63,FALSE))</f>
        <v>3.8</v>
      </c>
      <c r="X69" s="58">
        <f>(W69/6)*'Weighting Factors'!$O$7</f>
        <v>0.3</v>
      </c>
      <c r="Y69" s="61">
        <f>IF(ISNA(VLOOKUP($CW69,'Audit Values'!$A:$BZ,2,FALSE)),'Preliminary SO66'!AN68,VLOOKUP($CW69,'Audit Values'!$A:$BZ,62,FALSE))</f>
        <v>10</v>
      </c>
      <c r="Z69" s="58">
        <f>Y69*'Weighting Factors'!$O$8</f>
        <v>1.9</v>
      </c>
      <c r="AA69" s="58">
        <f t="shared" si="63"/>
        <v>1.9</v>
      </c>
      <c r="AB69" s="106">
        <f>IF(ISNA(VLOOKUP($CW69,'Audit Values'!$A:$BZ,2,FALSE)),'Preliminary SO66'!AO68,VLOOKUP($CW69,'Audit Values'!$A:$BZ,61,FALSE))</f>
        <v>348.9</v>
      </c>
      <c r="AC69" s="58">
        <f>AB69/6*'Weighting Factors'!$O$6</f>
        <v>29.1</v>
      </c>
      <c r="AD69" s="24">
        <f>IF(ISNA(VLOOKUP($CW69,'Audit Values'!$A:$BX,2,FALSE)),'Preliminary SO66'!AS68,VLOOKUP($CW69,'Audit Values'!$A:$BX,64,FALSE))</f>
        <v>1128</v>
      </c>
      <c r="AE69" s="24">
        <f>IF(ISNA(VLOOKUP($CW69,'Audit Values'!$A:$BX,2,FALSE)),'Preliminary SO66'!AP68,VLOOKUP($CW69,'Audit Values'!$A:$BX,65,FALSE))</f>
        <v>615</v>
      </c>
      <c r="AF69" s="58">
        <f>IF(A69=207, AE69,(AE69))*'Weighting Factors'!$O$9</f>
        <v>297.7</v>
      </c>
      <c r="AG69" s="58">
        <f t="shared" si="50"/>
        <v>64.599999999999994</v>
      </c>
      <c r="AH69" s="58">
        <f>IF(ISNA(VLOOKUP($CW69,'Audit Values'!$A:$BZ,2,FALSE)),'Preliminary SO66'!AG68,VLOOKUP($CW69,'Audit Values'!$A:$BZ,71,FALSE))</f>
        <v>63.9</v>
      </c>
      <c r="AI69" s="58">
        <f t="shared" si="64"/>
        <v>64.599999999999994</v>
      </c>
      <c r="AJ69" s="58">
        <f>IF(ISNA(VLOOKUP($CW69,'Audit Values'!$A:$BX,2,FALSE)),'Preliminary SO66'!AR68,VLOOKUP($CW69,'Audit Values'!$A:$BX,66,FALSE))</f>
        <v>246</v>
      </c>
      <c r="AK69" s="24">
        <f t="shared" si="65"/>
        <v>261447</v>
      </c>
      <c r="AL69" s="58">
        <f>AK69/'Weighting Factors'!$O$5</f>
        <v>51.4</v>
      </c>
      <c r="AM69" s="58">
        <f>CJ69/'Weighting Factors'!$O$5</f>
        <v>0</v>
      </c>
      <c r="AN69" s="58">
        <f>CN69/'Weighting Factors'!$O$5</f>
        <v>0</v>
      </c>
      <c r="AO69" s="24">
        <v>1199478</v>
      </c>
      <c r="AP69" s="58">
        <f>AO69/'Weighting Factors'!$O$5</f>
        <v>235.7</v>
      </c>
      <c r="AQ69" s="58">
        <f>IF(ISNA(VLOOKUP($CW69,'Audit Values'!$A:$BX,2,FALSE)),'Preliminary SO66'!X68,VLOOKUP($CW69,'Audit Values'!$A:$BX,48,FALSE))</f>
        <v>0</v>
      </c>
      <c r="AR69" s="58">
        <f t="shared" si="37"/>
        <v>2008.4</v>
      </c>
      <c r="AS69" s="58">
        <f t="shared" si="38"/>
        <v>1772.7</v>
      </c>
      <c r="AT69" s="58">
        <f>IF(ISNA(VLOOKUP($CW69,'Audit Values'!$A$2:$BX$410,2,FALSE)),'Preliminary SO66'!AA68,VLOOKUP($CW69,'Audit Values'!$A$2:$BX$410,41,FALSE))</f>
        <v>3</v>
      </c>
      <c r="AU69" s="58">
        <f>IF(ISNA(VLOOKUP($CW69,'Audit Values'!$A$2:$BX$410,2,FALSE)),'Preliminary SO66'!AB68,VLOOKUP($CW69,'Audit Values'!$A$2:$BX$410,42,FALSE))</f>
        <v>1.5</v>
      </c>
      <c r="AV69" s="73">
        <v>0</v>
      </c>
      <c r="AW69" s="73">
        <v>0</v>
      </c>
      <c r="AX69" s="24">
        <f>SUM(AT69*'Weighting Factors'!$R$10)+('2024 Legal Max'!AU69*'Weighting Factors'!$R$11)+('2024 Legal Max'!AV69*'Weighting Factors'!$R$12)+('2024 Legal Max'!AW69*'Weighting Factors'!$R$12)</f>
        <v>21000</v>
      </c>
      <c r="AY69" s="54">
        <f>IF(ISNA(VLOOKUP($CW69,'Audit Values'!$A$2:$BX$429,2,FALSE)),"",IF(AND('Weighting Factors'!G69&gt;0,VLOOKUP($CW69,'Audit Values'!$A$2:$BX$429,51,FALSE)&lt;'Weighting Factors'!G69),'Weighting Factors'!G69,VLOOKUP($CW69,'Audit Values'!$A$2:$BX$429,51,FALSE)))</f>
        <v>25</v>
      </c>
      <c r="AZ69" s="54" t="str">
        <f>IF(ISNA(VLOOKUP($CW69,'Audit Values'!$A:$BY,2,FALSE)),"",VLOOKUP($CW69,'Audit Values'!$A:$BY,52,FALSE))</f>
        <v>A</v>
      </c>
      <c r="BA69" s="54" t="str">
        <f>IF('Weighting Factors'!F69="","",IF('Weighting Factors'!H69="Pending","PX","R"))</f>
        <v/>
      </c>
      <c r="BB69" s="60">
        <f>SUM((U69+V69+AA69+AC69+AF69+AI69+AL69+AM69+AQ69+AN69)*'Weighting Factors'!$O$5)+'2024 Legal Max'!AX69</f>
        <v>9040498</v>
      </c>
      <c r="BC69" s="24">
        <f>SUM((AR69+AN69)*'Weighting Factors'!$O$5)+AX69</f>
        <v>10239739</v>
      </c>
      <c r="BD69" s="67">
        <f>IF('Weighting Factors'!F69&gt;0,'Weighting Factors'!F69,'Preliminary SO66'!AV68)</f>
        <v>10670845</v>
      </c>
      <c r="BE69" s="24">
        <f t="shared" si="66"/>
        <v>10239739</v>
      </c>
      <c r="BF69" s="71">
        <f>'Weighting Factors'!E69</f>
        <v>0</v>
      </c>
      <c r="BG69" s="71">
        <f>Transportation!G69</f>
        <v>0</v>
      </c>
      <c r="BH69" s="24">
        <f>IF(ISNA(VLOOKUP($CW69,'Audit Values'!$A:$BW,2,FALSE)), 0, VLOOKUP($CW69,'Audit Values'!$A:$BW,75,FALSE))</f>
        <v>-15027</v>
      </c>
      <c r="BI69" s="24">
        <f t="shared" si="67"/>
        <v>-15027</v>
      </c>
      <c r="BJ69" s="24">
        <f t="shared" si="68"/>
        <v>10224712</v>
      </c>
      <c r="BK69" s="24">
        <f>SUM((U69+V69+AA69+AC69+AF69+AI69+AL69+AM69+AN69)*'Weighting Factors'!O$12)+(MAX(AO69,'Weighting Factors'!B69))</f>
        <v>10891924</v>
      </c>
      <c r="BL69" s="78">
        <f>'LOB%'!F67</f>
        <v>0.33</v>
      </c>
      <c r="BM69" s="24">
        <f t="shared" ref="BM69:BM132" si="75">BK69*BL69</f>
        <v>3594335</v>
      </c>
      <c r="BN69" s="67">
        <v>3577994</v>
      </c>
      <c r="BO69" s="24">
        <f t="shared" si="69"/>
        <v>3577994</v>
      </c>
      <c r="BP69" s="89">
        <f t="shared" ref="BP69:BP132" si="76">BO69/BK69</f>
        <v>0.32850000000000001</v>
      </c>
      <c r="BQ69" s="58">
        <f t="shared" ref="BQ69:BQ132" si="77">ROUND(IF(U69&lt;=99.9,(U69*1.014331),0),1)</f>
        <v>0</v>
      </c>
      <c r="BR69" s="1" t="b">
        <f t="shared" ref="BR69:BR132" si="78">AND(U69&gt;99.9,U69&lt;=299.9)</f>
        <v>0</v>
      </c>
      <c r="BS69" s="76">
        <f t="shared" ref="BS69:BS132" si="79">IF(BR69=TRUE,ROUND((U69-100)*9.655,3),0)</f>
        <v>0</v>
      </c>
      <c r="BT69" s="75">
        <f t="shared" si="70"/>
        <v>0</v>
      </c>
      <c r="BU69" s="58">
        <f t="shared" ref="BU69:BU132" si="80">ROUND(BT69*U69,1)</f>
        <v>0</v>
      </c>
      <c r="BV69" s="1" t="b">
        <f t="shared" ref="BV69:BV132" si="81">AND(U69&gt;299.9,U69&lt;=1621.9)</f>
        <v>1</v>
      </c>
      <c r="BW69" s="1">
        <f t="shared" ref="BW69:BW132" si="82">IF(BV69=TRUE,ROUND((U69-300)*1.2375,4),0)</f>
        <v>981.7088</v>
      </c>
      <c r="BX69" s="75">
        <f t="shared" si="71"/>
        <v>0.21466399999999999</v>
      </c>
      <c r="BY69" s="58">
        <f t="shared" ref="BY69:BY132" si="83">ROUND(BX69*U69,1)</f>
        <v>234.7</v>
      </c>
      <c r="BZ69" s="58">
        <f t="shared" ref="BZ69:BZ132" si="84">ROUND(IF(U69&gt;=1622,(U69*0.03504),0),1)</f>
        <v>0</v>
      </c>
      <c r="CA69" s="61">
        <v>140.5</v>
      </c>
      <c r="CB69" s="102">
        <f t="shared" ref="CB69:CB132" si="85">AJ69/CA69</f>
        <v>1.7509999999999999</v>
      </c>
      <c r="CC69" s="105">
        <f>IF(CB69&lt;0.06,1,IF(CB69&gt;=18.29,52,MATCH(CB69-0.001,'Weighting Factors'!$W$5:$W$156)+1))</f>
        <v>36</v>
      </c>
      <c r="CD69" s="24">
        <f>VLOOKUP(CC69, 'Weighting Factors'!$U$5:$X$56,4)</f>
        <v>870</v>
      </c>
      <c r="CE69" s="109">
        <f>('Weighting Factors'!$O$5/'Weighting Factors'!$O$14)</f>
        <v>1.2216</v>
      </c>
      <c r="CF69" s="100">
        <f t="shared" ref="CF69:CF132" si="86">AJ69*CD69</f>
        <v>214020</v>
      </c>
      <c r="CG69" s="100">
        <f>CF69*'Weighting Factors'!$Q$7</f>
        <v>214020</v>
      </c>
      <c r="CH69" s="100">
        <f t="shared" si="72"/>
        <v>261447</v>
      </c>
      <c r="CI69" s="58">
        <f>AK69/'Weighting Factors'!$O$5</f>
        <v>51.4</v>
      </c>
      <c r="CJ69" s="67">
        <v>0</v>
      </c>
      <c r="CK69" s="80">
        <v>0</v>
      </c>
      <c r="CL69" s="110">
        <v>0</v>
      </c>
      <c r="CM69" s="24">
        <f>SUM((AR69*'Weighting Factors'!$O$5)+'2024 Legal Max'!AX69)*CL69</f>
        <v>0</v>
      </c>
      <c r="CN69" s="24">
        <f t="shared" si="73"/>
        <v>0</v>
      </c>
      <c r="CO69" s="65">
        <f t="shared" si="74"/>
        <v>0.54520000000000002</v>
      </c>
      <c r="CP69" s="58">
        <f t="shared" ref="CP69:CP132" si="87">IF(CO69&gt;=50%,AE69*10.5%,0)</f>
        <v>64.599999999999994</v>
      </c>
      <c r="CQ69" s="58">
        <f t="shared" ref="CQ69:CQ132" si="88">IF(AND(CO69&gt;35%,CO69&lt;50%),AE69*(CO69-35%)*0.7,0)</f>
        <v>0</v>
      </c>
      <c r="CR69" s="58">
        <f t="shared" ref="CR69:CR132" si="89">AS69+AP69</f>
        <v>2008.4</v>
      </c>
      <c r="CS69" s="24">
        <f>'Required Transfers'!L69</f>
        <v>539561</v>
      </c>
      <c r="CT69" s="24">
        <f>'Required Transfers'!O69</f>
        <v>3578</v>
      </c>
      <c r="CU69" s="24">
        <f>'Required Transfers'!H69</f>
        <v>1843382</v>
      </c>
      <c r="CV69" s="58">
        <f t="shared" ref="CV69:CV132" si="90">SUM(R69+T69+AT69+AU69+AV69/6+AW69/6)</f>
        <v>1082.7</v>
      </c>
      <c r="CW69" s="27" t="s">
        <v>254</v>
      </c>
    </row>
    <row r="70" spans="1:101" ht="15" customHeight="1">
      <c r="A70" s="54">
        <v>258</v>
      </c>
      <c r="B70" s="1" t="s">
        <v>32</v>
      </c>
      <c r="C70" s="1" t="s">
        <v>575</v>
      </c>
      <c r="D70" s="58">
        <v>545.5</v>
      </c>
      <c r="E70" s="58"/>
      <c r="F70" s="58">
        <v>0</v>
      </c>
      <c r="G70" s="58">
        <f t="shared" ref="G70:G133" si="91">SUM(D70-E70+F70)</f>
        <v>545.5</v>
      </c>
      <c r="H70" s="58">
        <v>630</v>
      </c>
      <c r="I70" s="58"/>
      <c r="J70" s="58">
        <v>0</v>
      </c>
      <c r="K70" s="58">
        <f t="shared" ref="K70:K133" si="92">SUM(H70-I70+J70)</f>
        <v>630</v>
      </c>
      <c r="L70" s="1">
        <v>618</v>
      </c>
      <c r="N70" s="1">
        <v>0</v>
      </c>
      <c r="O70" s="58">
        <f t="shared" ref="O70:O133" si="93">SUM(L70-M70+N70)</f>
        <v>618</v>
      </c>
      <c r="P70" s="58">
        <f>IF(ISNA(VLOOKUP($CW70,'Audit Values'!$A:$BZ,2,FALSE)),'Preliminary SO66'!C69,VLOOKUP($CW70,'Audit Values'!$A:$BZ,76,FALSE))</f>
        <v>579.5</v>
      </c>
      <c r="Q70" s="58">
        <f>IF(ISNA(VLOOKUP($CW70,'Audit Values'!$A:$BZ,2,FALSE)),'Preliminary SO66'!F69,VLOOKUP($CW70,'Audit Values'!$A:$BZ,4,FALSE))</f>
        <v>0</v>
      </c>
      <c r="R70" s="58">
        <f t="shared" si="61"/>
        <v>579.5</v>
      </c>
      <c r="S70" s="58">
        <f>IF('Military Provision'!I70="YES", MAX('2024 Legal Max'!O70,'2024 Legal Max'!K70,AVERAGE('2024 Legal Max'!G70,'2024 Legal Max'!K70,'2024 Legal Max'!O70)), MAX(O70, K70))</f>
        <v>630</v>
      </c>
      <c r="T70" s="58">
        <f>IF(ISNA(VLOOKUP($CW70,'Audit Values'!$A:$BX,2,FALSE)),'Preliminary SO66'!AL69,VLOOKUP($CW70,'Audit Values'!$A:$BX,59,FALSE))</f>
        <v>7.5</v>
      </c>
      <c r="U70" s="58">
        <f t="shared" si="62"/>
        <v>637.5</v>
      </c>
      <c r="V70" s="58">
        <f>'Low-High ENRL- 2023 HSubSB 113'!N73</f>
        <v>235.6</v>
      </c>
      <c r="W70" s="58">
        <f>IF(ISNA(VLOOKUP($CW70,'Audit Values'!$A:$BZ,2,FALSE)),'Preliminary SO66'!AM69,VLOOKUP($CW70,'Audit Values'!$A:$BZ,63,FALSE))</f>
        <v>0</v>
      </c>
      <c r="X70" s="58">
        <f>(W70/6)*'Weighting Factors'!$O$7</f>
        <v>0</v>
      </c>
      <c r="Y70" s="61">
        <f>IF(ISNA(VLOOKUP($CW70,'Audit Values'!$A:$BZ,2,FALSE)),'Preliminary SO66'!AN69,VLOOKUP($CW70,'Audit Values'!$A:$BZ,62,FALSE))</f>
        <v>0</v>
      </c>
      <c r="Z70" s="58">
        <f>Y70*'Weighting Factors'!$O$8</f>
        <v>0</v>
      </c>
      <c r="AA70" s="58">
        <f t="shared" si="63"/>
        <v>0</v>
      </c>
      <c r="AB70" s="106">
        <f>IF(ISNA(VLOOKUP($CW70,'Audit Values'!$A:$BZ,2,FALSE)),'Preliminary SO66'!AO69,VLOOKUP($CW70,'Audit Values'!$A:$BZ,61,FALSE))</f>
        <v>257</v>
      </c>
      <c r="AC70" s="58">
        <f>AB70/6*'Weighting Factors'!$O$6</f>
        <v>21.4</v>
      </c>
      <c r="AD70" s="24">
        <f>IF(ISNA(VLOOKUP($CW70,'Audit Values'!$A:$BX,2,FALSE)),'Preliminary SO66'!AS69,VLOOKUP($CW70,'Audit Values'!$A:$BX,64,FALSE))</f>
        <v>601</v>
      </c>
      <c r="AE70" s="24">
        <f>IF(ISNA(VLOOKUP($CW70,'Audit Values'!$A:$BX,2,FALSE)),'Preliminary SO66'!AP69,VLOOKUP($CW70,'Audit Values'!$A:$BX,65,FALSE))</f>
        <v>270</v>
      </c>
      <c r="AF70" s="58">
        <f>IF(A70=207, AE70,(AE70))*'Weighting Factors'!$O$9</f>
        <v>130.69999999999999</v>
      </c>
      <c r="AG70" s="58">
        <f t="shared" si="50"/>
        <v>18.8</v>
      </c>
      <c r="AH70" s="58">
        <f>IF(ISNA(VLOOKUP($CW70,'Audit Values'!$A:$BZ,2,FALSE)),'Preliminary SO66'!AG69,VLOOKUP($CW70,'Audit Values'!$A:$BZ,71,FALSE))</f>
        <v>18.7</v>
      </c>
      <c r="AI70" s="58">
        <f t="shared" si="64"/>
        <v>18.8</v>
      </c>
      <c r="AJ70" s="58">
        <f>IF(ISNA(VLOOKUP($CW70,'Audit Values'!$A:$BX,2,FALSE)),'Preliminary SO66'!AR69,VLOOKUP($CW70,'Audit Values'!$A:$BX,66,FALSE))</f>
        <v>100</v>
      </c>
      <c r="AK70" s="24">
        <f t="shared" si="65"/>
        <v>120938</v>
      </c>
      <c r="AL70" s="58">
        <f>AK70/'Weighting Factors'!$O$5</f>
        <v>23.8</v>
      </c>
      <c r="AM70" s="58">
        <f>CJ70/'Weighting Factors'!$O$5</f>
        <v>0</v>
      </c>
      <c r="AN70" s="58">
        <f>CN70/'Weighting Factors'!$O$5</f>
        <v>0</v>
      </c>
      <c r="AO70" s="24">
        <v>912590</v>
      </c>
      <c r="AP70" s="58">
        <f>AO70/'Weighting Factors'!$O$5</f>
        <v>179.4</v>
      </c>
      <c r="AQ70" s="58">
        <f>IF(ISNA(VLOOKUP($CW70,'Audit Values'!$A:$BX,2,FALSE)),'Preliminary SO66'!X69,VLOOKUP($CW70,'Audit Values'!$A:$BX,48,FALSE))</f>
        <v>0</v>
      </c>
      <c r="AR70" s="58">
        <f t="shared" ref="AR70:AR133" si="94">SUM(U70+V70+AA70+AC70+AF70+AI70+AL70+AM70+AP70+AQ70)</f>
        <v>1247.2</v>
      </c>
      <c r="AS70" s="58">
        <f t="shared" ref="AS70:AS133" si="95">SUM(U70+V70+AA70+AC70+AF70+AI70+AL70+AM70+AN70+AQ70)</f>
        <v>1067.8</v>
      </c>
      <c r="AT70" s="58">
        <f>IF(ISNA(VLOOKUP($CW70,'Audit Values'!$A$2:$BX$410,2,FALSE)),'Preliminary SO66'!AA69,VLOOKUP($CW70,'Audit Values'!$A$2:$BX$410,41,FALSE))</f>
        <v>303</v>
      </c>
      <c r="AU70" s="58">
        <f>IF(ISNA(VLOOKUP($CW70,'Audit Values'!$A$2:$BX$410,2,FALSE)),'Preliminary SO66'!AB69,VLOOKUP($CW70,'Audit Values'!$A$2:$BX$410,42,FALSE))</f>
        <v>0</v>
      </c>
      <c r="AV70" s="73">
        <v>512</v>
      </c>
      <c r="AW70" s="73">
        <v>7.5</v>
      </c>
      <c r="AX70" s="24">
        <f>SUM(AT70*'Weighting Factors'!$R$10)+('2024 Legal Max'!AU70*'Weighting Factors'!$R$11)+('2024 Legal Max'!AV70*'Weighting Factors'!$R$12)+('2024 Legal Max'!AW70*'Weighting Factors'!$R$12)</f>
        <v>2065126</v>
      </c>
      <c r="AY70" s="54">
        <f>IF(ISNA(VLOOKUP($CW70,'Audit Values'!$A$2:$BX$429,2,FALSE)),"",IF(AND('Weighting Factors'!G70&gt;0,VLOOKUP($CW70,'Audit Values'!$A$2:$BX$429,51,FALSE)&lt;'Weighting Factors'!G70),'Weighting Factors'!G70,VLOOKUP($CW70,'Audit Values'!$A$2:$BX$429,51,FALSE)))</f>
        <v>26</v>
      </c>
      <c r="AZ70" s="54" t="str">
        <f>IF(ISNA(VLOOKUP($CW70,'Audit Values'!$A:$BY,2,FALSE)),"",VLOOKUP($CW70,'Audit Values'!$A:$BY,52,FALSE))</f>
        <v>A</v>
      </c>
      <c r="BA70" s="54" t="str">
        <f>IF('Weighting Factors'!F70="","",IF('Weighting Factors'!H70="Pending","PX","R"))</f>
        <v>R</v>
      </c>
      <c r="BB70" s="60">
        <f>SUM((U70+V70+AA70+AC70+AF70+AI70+AL70+AM70+AQ70+AN70)*'Weighting Factors'!$O$5)+'2024 Legal Max'!AX70</f>
        <v>7498092</v>
      </c>
      <c r="BC70" s="24">
        <f>SUM((AR70+AN70)*'Weighting Factors'!$O$5)+AX70</f>
        <v>8410880</v>
      </c>
      <c r="BD70" s="67">
        <f>IF('Weighting Factors'!F70&gt;0,'Weighting Factors'!F70,'Preliminary SO66'!AV69)</f>
        <v>8467373</v>
      </c>
      <c r="BE70" s="24">
        <f t="shared" si="66"/>
        <v>8410880</v>
      </c>
      <c r="BF70" s="71">
        <f>'Weighting Factors'!E70</f>
        <v>0</v>
      </c>
      <c r="BG70" s="71">
        <f>Transportation!G70</f>
        <v>0</v>
      </c>
      <c r="BH70" s="24">
        <f>IF(ISNA(VLOOKUP($CW70,'Audit Values'!$A:$BW,2,FALSE)), 0, VLOOKUP($CW70,'Audit Values'!$A:$BW,75,FALSE))</f>
        <v>-2836</v>
      </c>
      <c r="BI70" s="24">
        <f t="shared" si="67"/>
        <v>-2836</v>
      </c>
      <c r="BJ70" s="24">
        <f t="shared" si="68"/>
        <v>8408044</v>
      </c>
      <c r="BK70" s="24">
        <f>SUM((U70+V70+AA70+AC70+AF70+AI70+AL70+AM70+AN70)*'Weighting Factors'!O$12)+(MAX(AO70,'Weighting Factors'!B70))</f>
        <v>6420302</v>
      </c>
      <c r="BL70" s="78">
        <f>'LOB%'!F68</f>
        <v>0.33</v>
      </c>
      <c r="BM70" s="24">
        <f t="shared" si="75"/>
        <v>2118700</v>
      </c>
      <c r="BN70" s="67">
        <v>2131944</v>
      </c>
      <c r="BO70" s="24">
        <f t="shared" si="69"/>
        <v>2118700</v>
      </c>
      <c r="BP70" s="89">
        <f t="shared" si="76"/>
        <v>0.33</v>
      </c>
      <c r="BQ70" s="58">
        <f t="shared" si="77"/>
        <v>0</v>
      </c>
      <c r="BR70" s="1" t="b">
        <f t="shared" si="78"/>
        <v>0</v>
      </c>
      <c r="BS70" s="76">
        <f t="shared" si="79"/>
        <v>0</v>
      </c>
      <c r="BT70" s="75">
        <f t="shared" si="70"/>
        <v>0</v>
      </c>
      <c r="BU70" s="58">
        <f t="shared" si="80"/>
        <v>0</v>
      </c>
      <c r="BV70" s="1" t="b">
        <f t="shared" si="81"/>
        <v>1</v>
      </c>
      <c r="BW70" s="1">
        <f t="shared" si="82"/>
        <v>417.65629999999999</v>
      </c>
      <c r="BX70" s="75">
        <f t="shared" si="71"/>
        <v>0.36952099999999999</v>
      </c>
      <c r="BY70" s="58">
        <f t="shared" si="83"/>
        <v>235.6</v>
      </c>
      <c r="BZ70" s="58">
        <f t="shared" si="84"/>
        <v>0</v>
      </c>
      <c r="CA70" s="61">
        <v>126</v>
      </c>
      <c r="CB70" s="102">
        <f t="shared" si="85"/>
        <v>0.79400000000000004</v>
      </c>
      <c r="CC70" s="105">
        <f>IF(CB70&lt;0.06,1,IF(CB70&gt;=18.29,52,MATCH(CB70-0.001,'Weighting Factors'!$W$5:$W$156)+1))</f>
        <v>30</v>
      </c>
      <c r="CD70" s="24">
        <f>VLOOKUP(CC70, 'Weighting Factors'!$U$5:$X$56,4)</f>
        <v>990</v>
      </c>
      <c r="CE70" s="109">
        <f>('Weighting Factors'!$O$5/'Weighting Factors'!$O$14)</f>
        <v>1.2216</v>
      </c>
      <c r="CF70" s="100">
        <f t="shared" si="86"/>
        <v>99000</v>
      </c>
      <c r="CG70" s="100">
        <f>CF70*'Weighting Factors'!$Q$7</f>
        <v>99000</v>
      </c>
      <c r="CH70" s="100">
        <f t="shared" si="72"/>
        <v>120938</v>
      </c>
      <c r="CI70" s="58">
        <f>AK70/'Weighting Factors'!$O$5</f>
        <v>23.8</v>
      </c>
      <c r="CJ70" s="67">
        <v>0</v>
      </c>
      <c r="CK70" s="80">
        <v>0</v>
      </c>
      <c r="CL70" s="110">
        <v>0</v>
      </c>
      <c r="CM70" s="24">
        <f>SUM((AR70*'Weighting Factors'!$O$5)+'2024 Legal Max'!AX70)*CL70</f>
        <v>0</v>
      </c>
      <c r="CN70" s="24">
        <f t="shared" si="73"/>
        <v>0</v>
      </c>
      <c r="CO70" s="65">
        <f t="shared" si="74"/>
        <v>0.44929999999999998</v>
      </c>
      <c r="CP70" s="58">
        <f t="shared" si="87"/>
        <v>0</v>
      </c>
      <c r="CQ70" s="58">
        <f t="shared" si="88"/>
        <v>18.8</v>
      </c>
      <c r="CR70" s="58">
        <f t="shared" si="89"/>
        <v>1247.2</v>
      </c>
      <c r="CS70" s="24">
        <f>'Required Transfers'!L70</f>
        <v>223311</v>
      </c>
      <c r="CT70" s="24">
        <f>'Required Transfers'!O70</f>
        <v>0</v>
      </c>
      <c r="CU70" s="24">
        <f>'Required Transfers'!H70</f>
        <v>760656</v>
      </c>
      <c r="CV70" s="58">
        <f t="shared" si="90"/>
        <v>976.6</v>
      </c>
      <c r="CW70" s="27" t="s">
        <v>255</v>
      </c>
    </row>
    <row r="71" spans="1:101" ht="15" customHeight="1">
      <c r="A71" s="54">
        <v>259</v>
      </c>
      <c r="B71" s="1" t="s">
        <v>33</v>
      </c>
      <c r="C71" s="1" t="s">
        <v>576</v>
      </c>
      <c r="D71" s="58">
        <v>44093.9</v>
      </c>
      <c r="E71" s="58">
        <v>92</v>
      </c>
      <c r="F71" s="58">
        <v>0</v>
      </c>
      <c r="G71" s="58">
        <f t="shared" si="91"/>
        <v>44001.9</v>
      </c>
      <c r="H71" s="58">
        <v>43451.8</v>
      </c>
      <c r="I71" s="58">
        <v>134</v>
      </c>
      <c r="J71" s="58">
        <v>0</v>
      </c>
      <c r="K71" s="58">
        <f t="shared" si="92"/>
        <v>43317.8</v>
      </c>
      <c r="L71" s="1">
        <v>43397</v>
      </c>
      <c r="N71" s="1">
        <v>0</v>
      </c>
      <c r="O71" s="58">
        <f t="shared" si="93"/>
        <v>43397</v>
      </c>
      <c r="P71" s="58">
        <f>IF(ISNA(VLOOKUP($CW71,'Audit Values'!$A:$BZ,2,FALSE)),'Preliminary SO66'!C70,VLOOKUP($CW71,'Audit Values'!$A:$BZ,76,FALSE))</f>
        <v>43142.5</v>
      </c>
      <c r="Q71" s="58">
        <f>IF(ISNA(VLOOKUP($CW71,'Audit Values'!$A:$BZ,2,FALSE)),'Preliminary SO66'!F70,VLOOKUP($CW71,'Audit Values'!$A:$BZ,4,FALSE))</f>
        <v>0</v>
      </c>
      <c r="R71" s="58">
        <f t="shared" si="61"/>
        <v>43142.5</v>
      </c>
      <c r="S71" s="58">
        <f>IF('Military Provision'!I71="YES", MAX('2024 Legal Max'!O71,'2024 Legal Max'!K71,AVERAGE('2024 Legal Max'!G71,'2024 Legal Max'!K71,'2024 Legal Max'!O71)), MAX(O71, K71))</f>
        <v>43397</v>
      </c>
      <c r="T71" s="58">
        <f>IF(ISNA(VLOOKUP($CW71,'Audit Values'!$A:$BX,2,FALSE)),'Preliminary SO66'!AL70,VLOOKUP($CW71,'Audit Values'!$A:$BX,59,FALSE))</f>
        <v>850.5</v>
      </c>
      <c r="U71" s="58">
        <f t="shared" si="62"/>
        <v>44247.5</v>
      </c>
      <c r="V71" s="58">
        <f>'Low-High ENRL- 2023 HSubSB 113'!N74</f>
        <v>1550.4</v>
      </c>
      <c r="W71" s="58">
        <f>IF(ISNA(VLOOKUP($CW71,'Audit Values'!$A:$BZ,2,FALSE)),'Preliminary SO66'!AM70,VLOOKUP($CW71,'Audit Values'!$A:$BZ,63,FALSE))</f>
        <v>28378.7</v>
      </c>
      <c r="X71" s="58">
        <f>(W71/6)*'Weighting Factors'!$O$7</f>
        <v>1868.3</v>
      </c>
      <c r="Y71" s="61">
        <f>IF(ISNA(VLOOKUP($CW71,'Audit Values'!$A:$BZ,2,FALSE)),'Preliminary SO66'!AN70,VLOOKUP($CW71,'Audit Values'!$A:$BZ,62,FALSE))</f>
        <v>8819</v>
      </c>
      <c r="Z71" s="58">
        <f>Y71*'Weighting Factors'!$O$8</f>
        <v>1631.5</v>
      </c>
      <c r="AA71" s="58">
        <f t="shared" si="63"/>
        <v>1868.3</v>
      </c>
      <c r="AB71" s="106">
        <f>IF(ISNA(VLOOKUP($CW71,'Audit Values'!$A:$BZ,2,FALSE)),'Preliminary SO66'!AO70,VLOOKUP($CW71,'Audit Values'!$A:$BZ,61,FALSE))</f>
        <v>9739.2999999999993</v>
      </c>
      <c r="AC71" s="58">
        <f>AB71/6*'Weighting Factors'!$O$6</f>
        <v>811.6</v>
      </c>
      <c r="AD71" s="24">
        <f>IF(ISNA(VLOOKUP($CW71,'Audit Values'!$A:$BX,2,FALSE)),'Preliminary SO66'!AS70,VLOOKUP($CW71,'Audit Values'!$A:$BX,64,FALSE))</f>
        <v>45474</v>
      </c>
      <c r="AE71" s="24">
        <f>IF(ISNA(VLOOKUP($CW71,'Audit Values'!$A:$BX,2,FALSE)),'Preliminary SO66'!AP70,VLOOKUP($CW71,'Audit Values'!$A:$BX,65,FALSE))</f>
        <v>32685</v>
      </c>
      <c r="AF71" s="58">
        <f>IF(A71=207, AE71,(AE71))*'Weighting Factors'!$O$9</f>
        <v>15819.5</v>
      </c>
      <c r="AG71" s="58">
        <f t="shared" si="50"/>
        <v>3431.9</v>
      </c>
      <c r="AH71" s="58">
        <f>IF(ISNA(VLOOKUP($CW71,'Audit Values'!$A:$BZ,2,FALSE)),'Preliminary SO66'!AG70,VLOOKUP($CW71,'Audit Values'!$A:$BZ,71,FALSE))</f>
        <v>3351</v>
      </c>
      <c r="AI71" s="58">
        <f t="shared" si="64"/>
        <v>3431.9</v>
      </c>
      <c r="AJ71" s="58">
        <f>IF(ISNA(VLOOKUP($CW71,'Audit Values'!$A:$BX,2,FALSE)),'Preliminary SO66'!AR70,VLOOKUP($CW71,'Audit Values'!$A:$BX,66,FALSE))</f>
        <v>15222</v>
      </c>
      <c r="AK71" s="24">
        <f t="shared" si="65"/>
        <v>10227357</v>
      </c>
      <c r="AL71" s="58">
        <f>AK71/'Weighting Factors'!$O$5</f>
        <v>2010.1</v>
      </c>
      <c r="AM71" s="58">
        <f>CJ71/'Weighting Factors'!$O$5</f>
        <v>0</v>
      </c>
      <c r="AN71" s="58">
        <f>CN71/'Weighting Factors'!$O$5</f>
        <v>0</v>
      </c>
      <c r="AO71" s="24">
        <v>57478918</v>
      </c>
      <c r="AP71" s="58">
        <f>AO71/'Weighting Factors'!$O$5</f>
        <v>11297</v>
      </c>
      <c r="AQ71" s="58">
        <f>IF(ISNA(VLOOKUP($CW71,'Audit Values'!$A:$BX,2,FALSE)),'Preliminary SO66'!X70,VLOOKUP($CW71,'Audit Values'!$A:$BX,48,FALSE))</f>
        <v>1</v>
      </c>
      <c r="AR71" s="58">
        <f t="shared" si="94"/>
        <v>81037.3</v>
      </c>
      <c r="AS71" s="58">
        <f t="shared" si="95"/>
        <v>69740.3</v>
      </c>
      <c r="AT71" s="58">
        <f>IF(ISNA(VLOOKUP($CW71,'Audit Values'!$A$2:$BX$410,2,FALSE)),'Preliminary SO66'!AA70,VLOOKUP($CW71,'Audit Values'!$A$2:$BX$410,41,FALSE))</f>
        <v>486</v>
      </c>
      <c r="AU71" s="58">
        <f>IF(ISNA(VLOOKUP($CW71,'Audit Values'!$A$2:$BX$410,2,FALSE)),'Preliminary SO66'!AB70,VLOOKUP($CW71,'Audit Values'!$A$2:$BX$410,42,FALSE))</f>
        <v>30.3</v>
      </c>
      <c r="AV71" s="73">
        <v>0</v>
      </c>
      <c r="AW71" s="73">
        <v>88.5</v>
      </c>
      <c r="AX71" s="24">
        <f>SUM(AT71*'Weighting Factors'!$R$10)+('2024 Legal Max'!AU71*'Weighting Factors'!$R$11)+('2024 Legal Max'!AV71*'Weighting Factors'!$R$12)+('2024 Legal Max'!AW71*'Weighting Factors'!$R$12)</f>
        <v>2869187</v>
      </c>
      <c r="AY71" s="54">
        <f>IF(ISNA(VLOOKUP($CW71,'Audit Values'!$A$2:$BX$429,2,FALSE)),"",IF(AND('Weighting Factors'!G71&gt;0,VLOOKUP($CW71,'Audit Values'!$A$2:$BX$429,51,FALSE)&lt;'Weighting Factors'!G71),'Weighting Factors'!G71,VLOOKUP($CW71,'Audit Values'!$A$2:$BX$429,51,FALSE)))</f>
        <v>13</v>
      </c>
      <c r="AZ71" s="54" t="str">
        <f>IF(ISNA(VLOOKUP($CW71,'Audit Values'!$A:$BY,2,FALSE)),"",VLOOKUP($CW71,'Audit Values'!$A:$BY,52,FALSE))</f>
        <v>A</v>
      </c>
      <c r="BA71" s="54" t="str">
        <f>IF('Weighting Factors'!F71="","",IF('Weighting Factors'!H71="Pending","PX","R"))</f>
        <v/>
      </c>
      <c r="BB71" s="60">
        <f>SUM((U71+V71+AA71+AC71+AF71+AI71+AL71+AM71+AQ71+AN71)*'Weighting Factors'!$O$5)+'2024 Legal Max'!AX71</f>
        <v>357707833</v>
      </c>
      <c r="BC71" s="24">
        <f>SUM((AR71+AN71)*'Weighting Factors'!$O$5)+AX71</f>
        <v>415186969</v>
      </c>
      <c r="BD71" s="67">
        <f>IF('Weighting Factors'!F71&gt;0,'Weighting Factors'!F71,'Preliminary SO66'!AV70)</f>
        <v>415336778</v>
      </c>
      <c r="BE71" s="24">
        <f t="shared" si="66"/>
        <v>415186969</v>
      </c>
      <c r="BF71" s="71">
        <f>'Weighting Factors'!E71</f>
        <v>0</v>
      </c>
      <c r="BG71" s="71">
        <f>Transportation!G71</f>
        <v>0</v>
      </c>
      <c r="BH71" s="24">
        <f>IF(ISNA(VLOOKUP($CW71,'Audit Values'!$A:$BW,2,FALSE)), 0, VLOOKUP($CW71,'Audit Values'!$A:$BW,75,FALSE))</f>
        <v>-371021</v>
      </c>
      <c r="BI71" s="24">
        <f t="shared" si="67"/>
        <v>-371021</v>
      </c>
      <c r="BJ71" s="24">
        <f t="shared" si="68"/>
        <v>414815948</v>
      </c>
      <c r="BK71" s="24">
        <f>SUM((U71+V71+AA71+AC71+AF71+AI71+AL71+AM71+AN71)*'Weighting Factors'!O$12)+(MAX(AO71,'Weighting Factors'!B71))</f>
        <v>417194227</v>
      </c>
      <c r="BL71" s="78">
        <f>'LOB%'!F69</f>
        <v>0.33</v>
      </c>
      <c r="BM71" s="24">
        <f t="shared" si="75"/>
        <v>137674095</v>
      </c>
      <c r="BN71" s="67">
        <v>137746090</v>
      </c>
      <c r="BO71" s="24">
        <f t="shared" si="69"/>
        <v>137674095</v>
      </c>
      <c r="BP71" s="89">
        <f t="shared" si="76"/>
        <v>0.33</v>
      </c>
      <c r="BQ71" s="58">
        <f t="shared" si="77"/>
        <v>0</v>
      </c>
      <c r="BR71" s="1" t="b">
        <f t="shared" si="78"/>
        <v>0</v>
      </c>
      <c r="BS71" s="76">
        <f t="shared" si="79"/>
        <v>0</v>
      </c>
      <c r="BT71" s="75">
        <f t="shared" si="70"/>
        <v>0</v>
      </c>
      <c r="BU71" s="58">
        <f t="shared" si="80"/>
        <v>0</v>
      </c>
      <c r="BV71" s="1" t="b">
        <f t="shared" si="81"/>
        <v>0</v>
      </c>
      <c r="BW71" s="1">
        <f t="shared" si="82"/>
        <v>0</v>
      </c>
      <c r="BX71" s="75">
        <f t="shared" si="71"/>
        <v>0</v>
      </c>
      <c r="BY71" s="58">
        <f t="shared" si="83"/>
        <v>0</v>
      </c>
      <c r="BZ71" s="58">
        <f t="shared" si="84"/>
        <v>1550.4</v>
      </c>
      <c r="CA71" s="61">
        <v>151</v>
      </c>
      <c r="CB71" s="102">
        <f t="shared" si="85"/>
        <v>100.80800000000001</v>
      </c>
      <c r="CC71" s="105">
        <f>IF(CB71&lt;0.06,1,IF(CB71&gt;=18.29,52,MATCH(CB71-0.001,'Weighting Factors'!$W$5:$W$156)+1))</f>
        <v>52</v>
      </c>
      <c r="CD71" s="24">
        <f>VLOOKUP(CC71, 'Weighting Factors'!$U$5:$X$56,4)</f>
        <v>550</v>
      </c>
      <c r="CE71" s="109">
        <f>('Weighting Factors'!$O$5/'Weighting Factors'!$O$14)</f>
        <v>1.2216</v>
      </c>
      <c r="CF71" s="100">
        <f t="shared" si="86"/>
        <v>8372100</v>
      </c>
      <c r="CG71" s="100">
        <f>CF71*'Weighting Factors'!$Q$7</f>
        <v>8372100</v>
      </c>
      <c r="CH71" s="100">
        <f t="shared" si="72"/>
        <v>10227357</v>
      </c>
      <c r="CI71" s="58">
        <f>AK71/'Weighting Factors'!$O$5</f>
        <v>2010.1</v>
      </c>
      <c r="CJ71" s="67">
        <v>0</v>
      </c>
      <c r="CK71" s="80">
        <v>0</v>
      </c>
      <c r="CL71" s="110">
        <v>0</v>
      </c>
      <c r="CM71" s="24">
        <f>SUM((AR71*'Weighting Factors'!$O$5)+'2024 Legal Max'!AX71)*CL71</f>
        <v>0</v>
      </c>
      <c r="CN71" s="24">
        <f t="shared" si="73"/>
        <v>0</v>
      </c>
      <c r="CO71" s="65">
        <f t="shared" si="74"/>
        <v>0.71879999999999999</v>
      </c>
      <c r="CP71" s="58">
        <f t="shared" si="87"/>
        <v>3431.9</v>
      </c>
      <c r="CQ71" s="58">
        <f t="shared" si="88"/>
        <v>0</v>
      </c>
      <c r="CR71" s="58">
        <f t="shared" si="89"/>
        <v>81037.3</v>
      </c>
      <c r="CS71" s="24">
        <f>'Required Transfers'!L71</f>
        <v>27163099</v>
      </c>
      <c r="CT71" s="24">
        <f>'Required Transfers'!O71</f>
        <v>3207806</v>
      </c>
      <c r="CU71" s="24">
        <f>'Required Transfers'!H71</f>
        <v>97951123</v>
      </c>
      <c r="CV71" s="58">
        <f t="shared" si="90"/>
        <v>44524.1</v>
      </c>
      <c r="CW71" s="27" t="s">
        <v>256</v>
      </c>
    </row>
    <row r="72" spans="1:101" ht="15" customHeight="1">
      <c r="A72" s="54">
        <v>260</v>
      </c>
      <c r="B72" s="1" t="s">
        <v>33</v>
      </c>
      <c r="C72" s="1" t="s">
        <v>577</v>
      </c>
      <c r="D72" s="58">
        <v>6827.8</v>
      </c>
      <c r="E72" s="58">
        <v>1</v>
      </c>
      <c r="F72" s="58">
        <v>0</v>
      </c>
      <c r="G72" s="58">
        <f t="shared" si="91"/>
        <v>6826.8</v>
      </c>
      <c r="H72" s="58">
        <v>6781.8</v>
      </c>
      <c r="I72" s="58">
        <v>2</v>
      </c>
      <c r="J72" s="58">
        <v>26</v>
      </c>
      <c r="K72" s="58">
        <f t="shared" si="92"/>
        <v>6805.8</v>
      </c>
      <c r="L72" s="1">
        <v>6804.5</v>
      </c>
      <c r="N72" s="1">
        <v>26</v>
      </c>
      <c r="O72" s="58">
        <f t="shared" si="93"/>
        <v>6830.5</v>
      </c>
      <c r="P72" s="58">
        <f>IF(ISNA(VLOOKUP($CW72,'Audit Values'!$A:$BZ,2,FALSE)),'Preliminary SO66'!C71,VLOOKUP($CW72,'Audit Values'!$A:$BZ,76,FALSE))</f>
        <v>6811.6</v>
      </c>
      <c r="Q72" s="58">
        <f>IF(ISNA(VLOOKUP($CW72,'Audit Values'!$A:$BZ,2,FALSE)),'Preliminary SO66'!F71,VLOOKUP($CW72,'Audit Values'!$A:$BZ,4,FALSE))</f>
        <v>26</v>
      </c>
      <c r="R72" s="58">
        <f t="shared" si="61"/>
        <v>6837.6</v>
      </c>
      <c r="S72" s="58">
        <f>IF('Military Provision'!I72="YES", MAX('2024 Legal Max'!O72,'2024 Legal Max'!K72,AVERAGE('2024 Legal Max'!G72,'2024 Legal Max'!K72,'2024 Legal Max'!O72)), MAX(O72, K72))</f>
        <v>6830.5</v>
      </c>
      <c r="T72" s="58">
        <f>IF(ISNA(VLOOKUP($CW72,'Audit Values'!$A:$BX,2,FALSE)),'Preliminary SO66'!AL71,VLOOKUP($CW72,'Audit Values'!$A:$BX,59,FALSE))</f>
        <v>42.5</v>
      </c>
      <c r="U72" s="58">
        <f t="shared" si="62"/>
        <v>6873</v>
      </c>
      <c r="V72" s="58">
        <f>'Low-High ENRL- 2023 HSubSB 113'!N75</f>
        <v>240.8</v>
      </c>
      <c r="W72" s="58">
        <f>IF(ISNA(VLOOKUP($CW72,'Audit Values'!$A:$BZ,2,FALSE)),'Preliminary SO66'!AM71,VLOOKUP($CW72,'Audit Values'!$A:$BZ,63,FALSE))</f>
        <v>1173.2</v>
      </c>
      <c r="X72" s="58">
        <f>(W72/6)*'Weighting Factors'!$O$7</f>
        <v>77.2</v>
      </c>
      <c r="Y72" s="61">
        <f>IF(ISNA(VLOOKUP($CW72,'Audit Values'!$A:$BZ,2,FALSE)),'Preliminary SO66'!AN71,VLOOKUP($CW72,'Audit Values'!$A:$BZ,62,FALSE))</f>
        <v>510</v>
      </c>
      <c r="Z72" s="58">
        <f>Y72*'Weighting Factors'!$O$8</f>
        <v>94.4</v>
      </c>
      <c r="AA72" s="58">
        <f t="shared" si="63"/>
        <v>94.4</v>
      </c>
      <c r="AB72" s="106">
        <f>IF(ISNA(VLOOKUP($CW72,'Audit Values'!$A:$BZ,2,FALSE)),'Preliminary SO66'!AO71,VLOOKUP($CW72,'Audit Values'!$A:$BZ,61,FALSE))</f>
        <v>1524.4</v>
      </c>
      <c r="AC72" s="58">
        <f>AB72/6*'Weighting Factors'!$O$6</f>
        <v>127</v>
      </c>
      <c r="AD72" s="24">
        <f>IF(ISNA(VLOOKUP($CW72,'Audit Values'!$A:$BX,2,FALSE)),'Preliminary SO66'!AS71,VLOOKUP($CW72,'Audit Values'!$A:$BX,64,FALSE))</f>
        <v>7268</v>
      </c>
      <c r="AE72" s="24">
        <f>IF(ISNA(VLOOKUP($CW72,'Audit Values'!$A:$BX,2,FALSE)),'Preliminary SO66'!AP71,VLOOKUP($CW72,'Audit Values'!$A:$BX,65,FALSE))</f>
        <v>2810</v>
      </c>
      <c r="AF72" s="58">
        <f>IF(A72=207, AE72,(AE72))*'Weighting Factors'!$O$9</f>
        <v>1360</v>
      </c>
      <c r="AG72" s="58">
        <f t="shared" si="50"/>
        <v>72</v>
      </c>
      <c r="AH72" s="58">
        <f>IF(ISNA(VLOOKUP($CW72,'Audit Values'!$A:$BZ,2,FALSE)),'Preliminary SO66'!AG71,VLOOKUP($CW72,'Audit Values'!$A:$BZ,71,FALSE))</f>
        <v>107.6</v>
      </c>
      <c r="AI72" s="58">
        <f t="shared" si="64"/>
        <v>107.6</v>
      </c>
      <c r="AJ72" s="58">
        <f>IF(ISNA(VLOOKUP($CW72,'Audit Values'!$A:$BX,2,FALSE)),'Preliminary SO66'!AR71,VLOOKUP($CW72,'Audit Values'!$A:$BX,66,FALSE))</f>
        <v>1530</v>
      </c>
      <c r="AK72" s="24">
        <f t="shared" si="65"/>
        <v>1027976</v>
      </c>
      <c r="AL72" s="58">
        <f>AK72/'Weighting Factors'!$O$5</f>
        <v>202</v>
      </c>
      <c r="AM72" s="58">
        <f>CJ72/'Weighting Factors'!$O$5</f>
        <v>0</v>
      </c>
      <c r="AN72" s="58">
        <f>CN72/'Weighting Factors'!$O$5</f>
        <v>0</v>
      </c>
      <c r="AO72" s="24">
        <v>6780577</v>
      </c>
      <c r="AP72" s="58">
        <f>AO72/'Weighting Factors'!$O$5</f>
        <v>1332.7</v>
      </c>
      <c r="AQ72" s="58">
        <f>IF(ISNA(VLOOKUP($CW72,'Audit Values'!$A:$BX,2,FALSE)),'Preliminary SO66'!X71,VLOOKUP($CW72,'Audit Values'!$A:$BX,48,FALSE))</f>
        <v>0</v>
      </c>
      <c r="AR72" s="58">
        <f t="shared" si="94"/>
        <v>10337.5</v>
      </c>
      <c r="AS72" s="58">
        <f t="shared" si="95"/>
        <v>9004.7999999999993</v>
      </c>
      <c r="AT72" s="58">
        <f>IF(ISNA(VLOOKUP($CW72,'Audit Values'!$A$2:$BX$410,2,FALSE)),'Preliminary SO66'!AA71,VLOOKUP($CW72,'Audit Values'!$A$2:$BX$410,41,FALSE))</f>
        <v>6</v>
      </c>
      <c r="AU72" s="58">
        <f>IF(ISNA(VLOOKUP($CW72,'Audit Values'!$A$2:$BX$410,2,FALSE)),'Preliminary SO66'!AB71,VLOOKUP($CW72,'Audit Values'!$A$2:$BX$410,42,FALSE))</f>
        <v>3.4</v>
      </c>
      <c r="AV72" s="73">
        <v>0</v>
      </c>
      <c r="AW72" s="73">
        <v>0</v>
      </c>
      <c r="AX72" s="24">
        <f>SUM(AT72*'Weighting Factors'!$R$10)+('2024 Legal Max'!AU72*'Weighting Factors'!$R$11)+('2024 Legal Max'!AV72*'Weighting Factors'!$R$12)+('2024 Legal Max'!AW72*'Weighting Factors'!$R$12)</f>
        <v>43120</v>
      </c>
      <c r="AY72" s="54">
        <v>25</v>
      </c>
      <c r="AZ72" s="54" t="str">
        <f>IF(ISNA(VLOOKUP($CW72,'Audit Values'!$A:$BY,2,FALSE)),"",VLOOKUP($CW72,'Audit Values'!$A:$BY,52,FALSE))</f>
        <v>A</v>
      </c>
      <c r="BA72" s="54" t="str">
        <f>IF('Weighting Factors'!F72="","",IF('Weighting Factors'!H72="Pending","PX","R"))</f>
        <v/>
      </c>
      <c r="BB72" s="60">
        <f>SUM((U72+V72+AA72+AC72+AF72+AI72+AL72+AM72+AQ72+AN72)*'Weighting Factors'!$O$5)+'2024 Legal Max'!AX72</f>
        <v>45859542</v>
      </c>
      <c r="BC72" s="24">
        <f>SUM((AR72+AN72)*'Weighting Factors'!$O$5)+AX72</f>
        <v>52640320</v>
      </c>
      <c r="BD72" s="67">
        <f>IF('Weighting Factors'!F72&gt;0,'Weighting Factors'!F72,'Preliminary SO66'!AV71)</f>
        <v>52949315</v>
      </c>
      <c r="BE72" s="24">
        <f t="shared" si="66"/>
        <v>52640320</v>
      </c>
      <c r="BF72" s="71">
        <f>'Weighting Factors'!E72</f>
        <v>0</v>
      </c>
      <c r="BG72" s="71">
        <f>Transportation!G72</f>
        <v>0</v>
      </c>
      <c r="BH72" s="24">
        <f>IF(ISNA(VLOOKUP($CW72,'Audit Values'!$A:$BW,2,FALSE)), 0, VLOOKUP($CW72,'Audit Values'!$A:$BW,75,FALSE))</f>
        <v>0</v>
      </c>
      <c r="BI72" s="24">
        <f t="shared" si="67"/>
        <v>0</v>
      </c>
      <c r="BJ72" s="24">
        <f t="shared" si="68"/>
        <v>52640320</v>
      </c>
      <c r="BK72" s="24">
        <f>SUM((U72+V72+AA72+AC72+AF72+AI72+AL72+AM72+AN72)*'Weighting Factors'!O$12)+(MAX(AO72,'Weighting Factors'!B72))</f>
        <v>53227335</v>
      </c>
      <c r="BL72" s="78">
        <f>'LOB%'!F70</f>
        <v>0.316</v>
      </c>
      <c r="BM72" s="24">
        <f t="shared" si="75"/>
        <v>16819838</v>
      </c>
      <c r="BN72" s="67">
        <v>16592969</v>
      </c>
      <c r="BO72" s="24">
        <f t="shared" si="69"/>
        <v>16592969</v>
      </c>
      <c r="BP72" s="89">
        <f t="shared" si="76"/>
        <v>0.31169999999999998</v>
      </c>
      <c r="BQ72" s="58">
        <f t="shared" si="77"/>
        <v>0</v>
      </c>
      <c r="BR72" s="1" t="b">
        <f t="shared" si="78"/>
        <v>0</v>
      </c>
      <c r="BS72" s="76">
        <f t="shared" si="79"/>
        <v>0</v>
      </c>
      <c r="BT72" s="75">
        <f t="shared" si="70"/>
        <v>0</v>
      </c>
      <c r="BU72" s="58">
        <f t="shared" si="80"/>
        <v>0</v>
      </c>
      <c r="BV72" s="1" t="b">
        <f t="shared" si="81"/>
        <v>0</v>
      </c>
      <c r="BW72" s="1">
        <f t="shared" si="82"/>
        <v>0</v>
      </c>
      <c r="BX72" s="75">
        <f t="shared" si="71"/>
        <v>0</v>
      </c>
      <c r="BY72" s="58">
        <f t="shared" si="83"/>
        <v>0</v>
      </c>
      <c r="BZ72" s="58">
        <f t="shared" si="84"/>
        <v>240.8</v>
      </c>
      <c r="CA72" s="61">
        <v>50</v>
      </c>
      <c r="CB72" s="102">
        <f t="shared" si="85"/>
        <v>30.6</v>
      </c>
      <c r="CC72" s="105">
        <f>IF(CB72&lt;0.06,1,IF(CB72&gt;=18.29,52,MATCH(CB72-0.001,'Weighting Factors'!$W$5:$W$156)+1))</f>
        <v>52</v>
      </c>
      <c r="CD72" s="24">
        <f>VLOOKUP(CC72, 'Weighting Factors'!$U$5:$X$56,4)</f>
        <v>550</v>
      </c>
      <c r="CE72" s="109">
        <f>('Weighting Factors'!$O$5/'Weighting Factors'!$O$14)</f>
        <v>1.2216</v>
      </c>
      <c r="CF72" s="100">
        <f t="shared" si="86"/>
        <v>841500</v>
      </c>
      <c r="CG72" s="100">
        <f>CF72*'Weighting Factors'!$Q$7</f>
        <v>841500</v>
      </c>
      <c r="CH72" s="100">
        <f t="shared" si="72"/>
        <v>1027976</v>
      </c>
      <c r="CI72" s="58">
        <f>AK72/'Weighting Factors'!$O$5</f>
        <v>202</v>
      </c>
      <c r="CJ72" s="67">
        <v>0</v>
      </c>
      <c r="CK72" s="80">
        <v>0</v>
      </c>
      <c r="CL72" s="110">
        <v>0</v>
      </c>
      <c r="CM72" s="24">
        <f>SUM((AR72*'Weighting Factors'!$O$5)+'2024 Legal Max'!AX72)*CL72</f>
        <v>0</v>
      </c>
      <c r="CN72" s="24">
        <f t="shared" si="73"/>
        <v>0</v>
      </c>
      <c r="CO72" s="65">
        <f t="shared" si="74"/>
        <v>0.3866</v>
      </c>
      <c r="CP72" s="58">
        <f t="shared" si="87"/>
        <v>0</v>
      </c>
      <c r="CQ72" s="58">
        <f t="shared" si="88"/>
        <v>72</v>
      </c>
      <c r="CR72" s="58">
        <f t="shared" si="89"/>
        <v>10337.5</v>
      </c>
      <c r="CS72" s="24">
        <f>'Required Transfers'!L72</f>
        <v>2191931</v>
      </c>
      <c r="CT72" s="24">
        <f>'Required Transfers'!O72</f>
        <v>152655</v>
      </c>
      <c r="CU72" s="24">
        <f>'Required Transfers'!H72</f>
        <v>7467149</v>
      </c>
      <c r="CV72" s="58">
        <f t="shared" si="90"/>
        <v>6889.5</v>
      </c>
      <c r="CW72" s="27" t="s">
        <v>257</v>
      </c>
    </row>
    <row r="73" spans="1:101" ht="15" customHeight="1">
      <c r="A73" s="54">
        <v>261</v>
      </c>
      <c r="B73" s="1" t="s">
        <v>33</v>
      </c>
      <c r="C73" s="1" t="s">
        <v>578</v>
      </c>
      <c r="D73" s="58">
        <v>5485.1</v>
      </c>
      <c r="E73" s="58">
        <v>2</v>
      </c>
      <c r="F73" s="58">
        <v>0</v>
      </c>
      <c r="G73" s="58">
        <f t="shared" si="91"/>
        <v>5483.1</v>
      </c>
      <c r="H73" s="58">
        <v>5441.1</v>
      </c>
      <c r="I73" s="58">
        <v>5</v>
      </c>
      <c r="J73" s="58">
        <v>0</v>
      </c>
      <c r="K73" s="58">
        <f t="shared" si="92"/>
        <v>5436.1</v>
      </c>
      <c r="L73" s="1">
        <v>5477.4</v>
      </c>
      <c r="N73" s="1">
        <v>0</v>
      </c>
      <c r="O73" s="58">
        <f t="shared" si="93"/>
        <v>5477.4</v>
      </c>
      <c r="P73" s="58">
        <f>IF(ISNA(VLOOKUP($CW73,'Audit Values'!$A:$BZ,2,FALSE)),'Preliminary SO66'!C72,VLOOKUP($CW73,'Audit Values'!$A:$BZ,76,FALSE))</f>
        <v>5186</v>
      </c>
      <c r="Q73" s="58">
        <f>IF(ISNA(VLOOKUP($CW73,'Audit Values'!$A:$BZ,2,FALSE)),'Preliminary SO66'!F72,VLOOKUP($CW73,'Audit Values'!$A:$BZ,4,FALSE))</f>
        <v>0</v>
      </c>
      <c r="R73" s="58">
        <f t="shared" si="61"/>
        <v>5186</v>
      </c>
      <c r="S73" s="58">
        <f>IF('Military Provision'!I73="YES", MAX('2024 Legal Max'!O73,'2024 Legal Max'!K73,AVERAGE('2024 Legal Max'!G73,'2024 Legal Max'!K73,'2024 Legal Max'!O73)), MAX(O73, K73))</f>
        <v>5477.4</v>
      </c>
      <c r="T73" s="58">
        <f>IF(ISNA(VLOOKUP($CW73,'Audit Values'!$A:$BX,2,FALSE)),'Preliminary SO66'!AL72,VLOOKUP($CW73,'Audit Values'!$A:$BX,59,FALSE))</f>
        <v>88</v>
      </c>
      <c r="U73" s="58">
        <f t="shared" si="62"/>
        <v>5565.4</v>
      </c>
      <c r="V73" s="58">
        <f>'Low-High ENRL- 2023 HSubSB 113'!N76</f>
        <v>195</v>
      </c>
      <c r="W73" s="58">
        <f>IF(ISNA(VLOOKUP($CW73,'Audit Values'!$A:$BZ,2,FALSE)),'Preliminary SO66'!AM72,VLOOKUP($CW73,'Audit Values'!$A:$BZ,63,FALSE))</f>
        <v>748.1</v>
      </c>
      <c r="X73" s="58">
        <f>(W73/6)*'Weighting Factors'!$O$7</f>
        <v>49.2</v>
      </c>
      <c r="Y73" s="61">
        <f>IF(ISNA(VLOOKUP($CW73,'Audit Values'!$A:$BZ,2,FALSE)),'Preliminary SO66'!AN72,VLOOKUP($CW73,'Audit Values'!$A:$BZ,62,FALSE))</f>
        <v>279</v>
      </c>
      <c r="Z73" s="58">
        <f>Y73*'Weighting Factors'!$O$8</f>
        <v>51.6</v>
      </c>
      <c r="AA73" s="58">
        <f t="shared" si="63"/>
        <v>51.6</v>
      </c>
      <c r="AB73" s="106">
        <f>IF(ISNA(VLOOKUP($CW73,'Audit Values'!$A:$BZ,2,FALSE)),'Preliminary SO66'!AO72,VLOOKUP($CW73,'Audit Values'!$A:$BZ,61,FALSE))</f>
        <v>1066.5</v>
      </c>
      <c r="AC73" s="58">
        <f>AB73/6*'Weighting Factors'!$O$6</f>
        <v>88.9</v>
      </c>
      <c r="AD73" s="24">
        <f>IF(ISNA(VLOOKUP($CW73,'Audit Values'!$A:$BX,2,FALSE)),'Preliminary SO66'!AS72,VLOOKUP($CW73,'Audit Values'!$A:$BX,64,FALSE))</f>
        <v>5420</v>
      </c>
      <c r="AE73" s="24">
        <f>IF(ISNA(VLOOKUP($CW73,'Audit Values'!$A:$BX,2,FALSE)),'Preliminary SO66'!AP72,VLOOKUP($CW73,'Audit Values'!$A:$BX,65,FALSE))</f>
        <v>2780</v>
      </c>
      <c r="AF73" s="58">
        <f>IF(A73=207, AE73,(AE73))*'Weighting Factors'!$O$9</f>
        <v>1345.5</v>
      </c>
      <c r="AG73" s="58">
        <f t="shared" si="50"/>
        <v>291.89999999999998</v>
      </c>
      <c r="AH73" s="58">
        <f>IF(ISNA(VLOOKUP($CW73,'Audit Values'!$A:$BZ,2,FALSE)),'Preliminary SO66'!AG72,VLOOKUP($CW73,'Audit Values'!$A:$BZ,71,FALSE))</f>
        <v>253</v>
      </c>
      <c r="AI73" s="58">
        <f t="shared" si="64"/>
        <v>291.89999999999998</v>
      </c>
      <c r="AJ73" s="58">
        <f>IF(ISNA(VLOOKUP($CW73,'Audit Values'!$A:$BX,2,FALSE)),'Preliminary SO66'!AR72,VLOOKUP($CW73,'Audit Values'!$A:$BX,66,FALSE))</f>
        <v>2309</v>
      </c>
      <c r="AK73" s="24">
        <f t="shared" si="65"/>
        <v>1551371</v>
      </c>
      <c r="AL73" s="58">
        <f>AK73/'Weighting Factors'!$O$5</f>
        <v>304.89999999999998</v>
      </c>
      <c r="AM73" s="58">
        <f>CJ73/'Weighting Factors'!$O$5</f>
        <v>0</v>
      </c>
      <c r="AN73" s="58">
        <f>CN73/'Weighting Factors'!$O$5</f>
        <v>0</v>
      </c>
      <c r="AO73" s="24">
        <v>6224015</v>
      </c>
      <c r="AP73" s="58">
        <f>AO73/'Weighting Factors'!$O$5</f>
        <v>1223.3</v>
      </c>
      <c r="AQ73" s="58">
        <f>IF(ISNA(VLOOKUP($CW73,'Audit Values'!$A:$BX,2,FALSE)),'Preliminary SO66'!X72,VLOOKUP($CW73,'Audit Values'!$A:$BX,48,FALSE))</f>
        <v>0</v>
      </c>
      <c r="AR73" s="58">
        <f t="shared" si="94"/>
        <v>9066.5</v>
      </c>
      <c r="AS73" s="58">
        <f t="shared" si="95"/>
        <v>7843.2</v>
      </c>
      <c r="AT73" s="58">
        <f>IF(ISNA(VLOOKUP($CW73,'Audit Values'!$A$2:$BX$410,2,FALSE)),'Preliminary SO66'!AA72,VLOOKUP($CW73,'Audit Values'!$A$2:$BX$410,41,FALSE))</f>
        <v>86</v>
      </c>
      <c r="AU73" s="58">
        <f>IF(ISNA(VLOOKUP($CW73,'Audit Values'!$A$2:$BX$410,2,FALSE)),'Preliminary SO66'!AB72,VLOOKUP($CW73,'Audit Values'!$A$2:$BX$410,42,FALSE))</f>
        <v>7</v>
      </c>
      <c r="AV73" s="73">
        <v>0</v>
      </c>
      <c r="AW73" s="73">
        <v>0</v>
      </c>
      <c r="AX73" s="24">
        <f>SUM(AT73*'Weighting Factors'!$R$10)+('2024 Legal Max'!AU73*'Weighting Factors'!$R$11)+('2024 Legal Max'!AV73*'Weighting Factors'!$R$12)+('2024 Legal Max'!AW73*'Weighting Factors'!$R$12)</f>
        <v>501200</v>
      </c>
      <c r="AY73" s="54">
        <f>IF(ISNA(VLOOKUP($CW73,'Audit Values'!$A$2:$BX$429,2,FALSE)),"",IF(AND('Weighting Factors'!G73&gt;0,VLOOKUP($CW73,'Audit Values'!$A$2:$BX$429,51,FALSE)&lt;'Weighting Factors'!G73),'Weighting Factors'!G73,VLOOKUP($CW73,'Audit Values'!$A$2:$BX$429,51,FALSE)))</f>
        <v>9</v>
      </c>
      <c r="AZ73" s="54" t="str">
        <f>IF(ISNA(VLOOKUP($CW73,'Audit Values'!$A:$BY,2,FALSE)),"",VLOOKUP($CW73,'Audit Values'!$A:$BY,52,FALSE))</f>
        <v>A</v>
      </c>
      <c r="BA73" s="54" t="str">
        <f>IF('Weighting Factors'!F73="","",IF('Weighting Factors'!H73="Pending","PX","R"))</f>
        <v/>
      </c>
      <c r="BB73" s="60">
        <f>SUM((U73+V73+AA73+AC73+AF73+AI73+AL73+AM73+AQ73+AN73)*'Weighting Factors'!$O$5)+'2024 Legal Max'!AX73</f>
        <v>40407402</v>
      </c>
      <c r="BC73" s="24">
        <f>SUM((AR73+AN73)*'Weighting Factors'!$O$5)+AX73</f>
        <v>46631552</v>
      </c>
      <c r="BD73" s="67">
        <f>IF('Weighting Factors'!F73&gt;0,'Weighting Factors'!F73,'Preliminary SO66'!AV72)</f>
        <v>47810666</v>
      </c>
      <c r="BE73" s="24">
        <f t="shared" si="66"/>
        <v>46631552</v>
      </c>
      <c r="BF73" s="71">
        <f>'Weighting Factors'!E73</f>
        <v>0</v>
      </c>
      <c r="BG73" s="71">
        <f>Transportation!G73</f>
        <v>0</v>
      </c>
      <c r="BH73" s="24">
        <f>IF(ISNA(VLOOKUP($CW73,'Audit Values'!$A:$BW,2,FALSE)), 0, VLOOKUP($CW73,'Audit Values'!$A:$BW,75,FALSE))</f>
        <v>0</v>
      </c>
      <c r="BI73" s="24">
        <f t="shared" si="67"/>
        <v>0</v>
      </c>
      <c r="BJ73" s="24">
        <f t="shared" si="68"/>
        <v>46631552</v>
      </c>
      <c r="BK73" s="24">
        <f>SUM((U73+V73+AA73+AC73+AF73+AI73+AL73+AM73+AN73)*'Weighting Factors'!O$12)+(MAX(AO73,'Weighting Factors'!B73))</f>
        <v>46679241</v>
      </c>
      <c r="BL73" s="78">
        <f>'LOB%'!F71</f>
        <v>0.33</v>
      </c>
      <c r="BM73" s="24">
        <f t="shared" si="75"/>
        <v>15404150</v>
      </c>
      <c r="BN73" s="67">
        <v>15812735</v>
      </c>
      <c r="BO73" s="24">
        <f t="shared" si="69"/>
        <v>15404150</v>
      </c>
      <c r="BP73" s="89">
        <f t="shared" si="76"/>
        <v>0.33</v>
      </c>
      <c r="BQ73" s="58">
        <f t="shared" si="77"/>
        <v>0</v>
      </c>
      <c r="BR73" s="1" t="b">
        <f t="shared" si="78"/>
        <v>0</v>
      </c>
      <c r="BS73" s="76">
        <f t="shared" si="79"/>
        <v>0</v>
      </c>
      <c r="BT73" s="75">
        <f t="shared" si="70"/>
        <v>0</v>
      </c>
      <c r="BU73" s="58">
        <f t="shared" si="80"/>
        <v>0</v>
      </c>
      <c r="BV73" s="1" t="b">
        <f t="shared" si="81"/>
        <v>0</v>
      </c>
      <c r="BW73" s="1">
        <f t="shared" si="82"/>
        <v>0</v>
      </c>
      <c r="BX73" s="75">
        <f t="shared" si="71"/>
        <v>0</v>
      </c>
      <c r="BY73" s="58">
        <f t="shared" si="83"/>
        <v>0</v>
      </c>
      <c r="BZ73" s="58">
        <f t="shared" si="84"/>
        <v>195</v>
      </c>
      <c r="CA73" s="61">
        <v>36</v>
      </c>
      <c r="CB73" s="102">
        <f t="shared" si="85"/>
        <v>64.138999999999996</v>
      </c>
      <c r="CC73" s="105">
        <f>IF(CB73&lt;0.06,1,IF(CB73&gt;=18.29,52,MATCH(CB73-0.001,'Weighting Factors'!$W$5:$W$156)+1))</f>
        <v>52</v>
      </c>
      <c r="CD73" s="24">
        <f>VLOOKUP(CC73, 'Weighting Factors'!$U$5:$X$56,4)</f>
        <v>550</v>
      </c>
      <c r="CE73" s="109">
        <f>('Weighting Factors'!$O$5/'Weighting Factors'!$O$14)</f>
        <v>1.2216</v>
      </c>
      <c r="CF73" s="100">
        <f t="shared" si="86"/>
        <v>1269950</v>
      </c>
      <c r="CG73" s="100">
        <f>CF73*'Weighting Factors'!$Q$7</f>
        <v>1269950</v>
      </c>
      <c r="CH73" s="100">
        <f t="shared" si="72"/>
        <v>1551371</v>
      </c>
      <c r="CI73" s="58">
        <f>AK73/'Weighting Factors'!$O$5</f>
        <v>304.89999999999998</v>
      </c>
      <c r="CJ73" s="67">
        <v>0</v>
      </c>
      <c r="CK73" s="80">
        <v>0</v>
      </c>
      <c r="CL73" s="110">
        <v>0</v>
      </c>
      <c r="CM73" s="24">
        <f>SUM((AR73*'Weighting Factors'!$O$5)+'2024 Legal Max'!AX73)*CL73</f>
        <v>0</v>
      </c>
      <c r="CN73" s="24">
        <f t="shared" si="73"/>
        <v>0</v>
      </c>
      <c r="CO73" s="65">
        <f t="shared" si="74"/>
        <v>0.51290000000000002</v>
      </c>
      <c r="CP73" s="58">
        <f t="shared" si="87"/>
        <v>291.89999999999998</v>
      </c>
      <c r="CQ73" s="58">
        <f t="shared" si="88"/>
        <v>0</v>
      </c>
      <c r="CR73" s="58">
        <f t="shared" si="89"/>
        <v>9066.5</v>
      </c>
      <c r="CS73" s="24">
        <f>'Required Transfers'!L73</f>
        <v>2309082</v>
      </c>
      <c r="CT73" s="24">
        <f>'Required Transfers'!O73</f>
        <v>87804</v>
      </c>
      <c r="CU73" s="24">
        <f>'Required Transfers'!H73</f>
        <v>8331091</v>
      </c>
      <c r="CV73" s="58">
        <f t="shared" si="90"/>
        <v>5367</v>
      </c>
      <c r="CW73" s="27" t="s">
        <v>258</v>
      </c>
    </row>
    <row r="74" spans="1:101" ht="15" customHeight="1">
      <c r="A74" s="54">
        <v>262</v>
      </c>
      <c r="B74" s="1" t="s">
        <v>33</v>
      </c>
      <c r="C74" s="1" t="s">
        <v>579</v>
      </c>
      <c r="D74" s="58">
        <v>2928.5</v>
      </c>
      <c r="E74" s="58"/>
      <c r="F74" s="58">
        <v>0</v>
      </c>
      <c r="G74" s="58">
        <f t="shared" si="91"/>
        <v>2928.5</v>
      </c>
      <c r="H74" s="58">
        <v>2935.6</v>
      </c>
      <c r="I74" s="58"/>
      <c r="J74" s="58">
        <v>0</v>
      </c>
      <c r="K74" s="58">
        <f t="shared" si="92"/>
        <v>2935.6</v>
      </c>
      <c r="L74" s="1">
        <v>3036.1</v>
      </c>
      <c r="N74" s="1">
        <v>0</v>
      </c>
      <c r="O74" s="58">
        <f t="shared" si="93"/>
        <v>3036.1</v>
      </c>
      <c r="P74" s="58">
        <f>IF(ISNA(VLOOKUP($CW74,'Audit Values'!$A:$BZ,2,FALSE)),'Preliminary SO66'!C73,VLOOKUP($CW74,'Audit Values'!$A:$BZ,76,FALSE))</f>
        <v>3016.1</v>
      </c>
      <c r="Q74" s="58">
        <f>IF(ISNA(VLOOKUP($CW74,'Audit Values'!$A:$BZ,2,FALSE)),'Preliminary SO66'!F73,VLOOKUP($CW74,'Audit Values'!$A:$BZ,4,FALSE))</f>
        <v>0</v>
      </c>
      <c r="R74" s="58">
        <f t="shared" si="61"/>
        <v>3016.1</v>
      </c>
      <c r="S74" s="58">
        <f>IF('Military Provision'!I74="YES", MAX('2024 Legal Max'!O74,'2024 Legal Max'!K74,AVERAGE('2024 Legal Max'!G74,'2024 Legal Max'!K74,'2024 Legal Max'!O74)), MAX(O74, K74))</f>
        <v>3036.1</v>
      </c>
      <c r="T74" s="58">
        <f>IF(ISNA(VLOOKUP($CW74,'Audit Values'!$A:$BX,2,FALSE)),'Preliminary SO66'!AL73,VLOOKUP($CW74,'Audit Values'!$A:$BX,59,FALSE))</f>
        <v>33</v>
      </c>
      <c r="U74" s="58">
        <f t="shared" si="62"/>
        <v>3069.1</v>
      </c>
      <c r="V74" s="58">
        <f>'Low-High ENRL- 2023 HSubSB 113'!N77</f>
        <v>107.5</v>
      </c>
      <c r="W74" s="58">
        <f>IF(ISNA(VLOOKUP($CW74,'Audit Values'!$A:$BZ,2,FALSE)),'Preliminary SO66'!AM73,VLOOKUP($CW74,'Audit Values'!$A:$BZ,63,FALSE))</f>
        <v>340.7</v>
      </c>
      <c r="X74" s="58">
        <f>(W74/6)*'Weighting Factors'!$O$7</f>
        <v>22.4</v>
      </c>
      <c r="Y74" s="61">
        <f>IF(ISNA(VLOOKUP($CW74,'Audit Values'!$A:$BZ,2,FALSE)),'Preliminary SO66'!AN73,VLOOKUP($CW74,'Audit Values'!$A:$BZ,62,FALSE))</f>
        <v>111</v>
      </c>
      <c r="Z74" s="58">
        <f>Y74*'Weighting Factors'!$O$8</f>
        <v>20.5</v>
      </c>
      <c r="AA74" s="58">
        <f t="shared" si="63"/>
        <v>22.4</v>
      </c>
      <c r="AB74" s="106">
        <f>IF(ISNA(VLOOKUP($CW74,'Audit Values'!$A:$BZ,2,FALSE)),'Preliminary SO66'!AO73,VLOOKUP($CW74,'Audit Values'!$A:$BZ,61,FALSE))</f>
        <v>964.2</v>
      </c>
      <c r="AC74" s="58">
        <f>AB74/6*'Weighting Factors'!$O$6</f>
        <v>80.400000000000006</v>
      </c>
      <c r="AD74" s="24">
        <f>IF(ISNA(VLOOKUP($CW74,'Audit Values'!$A:$BX,2,FALSE)),'Preliminary SO66'!AS73,VLOOKUP($CW74,'Audit Values'!$A:$BX,64,FALSE))</f>
        <v>3107</v>
      </c>
      <c r="AE74" s="24">
        <f>IF(ISNA(VLOOKUP($CW74,'Audit Values'!$A:$BX,2,FALSE)),'Preliminary SO66'!AP73,VLOOKUP($CW74,'Audit Values'!$A:$BX,65,FALSE))</f>
        <v>1101</v>
      </c>
      <c r="AF74" s="58">
        <f>IF(A74=207, AE74,(AE74))*'Weighting Factors'!$O$9</f>
        <v>532.9</v>
      </c>
      <c r="AG74" s="58">
        <f t="shared" si="50"/>
        <v>3.4</v>
      </c>
      <c r="AH74" s="58">
        <f>IF(ISNA(VLOOKUP($CW74,'Audit Values'!$A:$BZ,2,FALSE)),'Preliminary SO66'!AG73,VLOOKUP($CW74,'Audit Values'!$A:$BZ,71,FALSE))</f>
        <v>15</v>
      </c>
      <c r="AI74" s="58">
        <f t="shared" si="64"/>
        <v>15</v>
      </c>
      <c r="AJ74" s="58">
        <f>IF(ISNA(VLOOKUP($CW74,'Audit Values'!$A:$BX,2,FALSE)),'Preliminary SO66'!AR73,VLOOKUP($CW74,'Audit Values'!$A:$BX,66,FALSE))</f>
        <v>1629</v>
      </c>
      <c r="AK74" s="24">
        <f t="shared" si="65"/>
        <v>1094493</v>
      </c>
      <c r="AL74" s="58">
        <f>AK74/'Weighting Factors'!$O$5</f>
        <v>215.1</v>
      </c>
      <c r="AM74" s="58">
        <f>CJ74/'Weighting Factors'!$O$5</f>
        <v>0</v>
      </c>
      <c r="AN74" s="58">
        <f>CN74/'Weighting Factors'!$O$5</f>
        <v>0</v>
      </c>
      <c r="AO74" s="24">
        <v>3585665</v>
      </c>
      <c r="AP74" s="58">
        <f>AO74/'Weighting Factors'!$O$5</f>
        <v>704.7</v>
      </c>
      <c r="AQ74" s="58">
        <f>IF(ISNA(VLOOKUP($CW74,'Audit Values'!$A:$BX,2,FALSE)),'Preliminary SO66'!X73,VLOOKUP($CW74,'Audit Values'!$A:$BX,48,FALSE))</f>
        <v>0</v>
      </c>
      <c r="AR74" s="58">
        <f t="shared" si="94"/>
        <v>4747.1000000000004</v>
      </c>
      <c r="AS74" s="58">
        <f t="shared" si="95"/>
        <v>4042.4</v>
      </c>
      <c r="AT74" s="58">
        <f>IF(ISNA(VLOOKUP($CW74,'Audit Values'!$A$2:$BX$410,2,FALSE)),'Preliminary SO66'!AA73,VLOOKUP($CW74,'Audit Values'!$A$2:$BX$410,41,FALSE))</f>
        <v>49</v>
      </c>
      <c r="AU74" s="58">
        <f>IF(ISNA(VLOOKUP($CW74,'Audit Values'!$A$2:$BX$410,2,FALSE)),'Preliminary SO66'!AB73,VLOOKUP($CW74,'Audit Values'!$A$2:$BX$410,42,FALSE))</f>
        <v>3.8</v>
      </c>
      <c r="AV74" s="73">
        <v>75</v>
      </c>
      <c r="AW74" s="73">
        <v>0</v>
      </c>
      <c r="AX74" s="24">
        <f>SUM(AT74*'Weighting Factors'!$R$10)+('2024 Legal Max'!AU74*'Weighting Factors'!$R$11)+('2024 Legal Max'!AV74*'Weighting Factors'!$R$12)+('2024 Legal Max'!AW74*'Weighting Factors'!$R$12)</f>
        <v>338215</v>
      </c>
      <c r="AY74" s="54">
        <f>IF(ISNA(VLOOKUP($CW74,'Audit Values'!$A$2:$BX$429,2,FALSE)),"",IF(AND('Weighting Factors'!G74&gt;0,VLOOKUP($CW74,'Audit Values'!$A$2:$BX$429,51,FALSE)&lt;'Weighting Factors'!G74),'Weighting Factors'!G74,VLOOKUP($CW74,'Audit Values'!$A$2:$BX$429,51,FALSE)))</f>
        <v>19</v>
      </c>
      <c r="AZ74" s="54" t="str">
        <f>IF(ISNA(VLOOKUP($CW74,'Audit Values'!$A:$BY,2,FALSE)),"",VLOOKUP($CW74,'Audit Values'!$A:$BY,52,FALSE))</f>
        <v>A</v>
      </c>
      <c r="BA74" s="54" t="str">
        <f>IF('Weighting Factors'!F74="","",IF('Weighting Factors'!H74="Pending","PX","R"))</f>
        <v/>
      </c>
      <c r="BB74" s="60">
        <f>SUM((U74+V74+AA74+AC74+AF74+AI74+AL74+AM74+AQ74+AN74)*'Weighting Factors'!$O$5)+'2024 Legal Max'!AX74</f>
        <v>20905946</v>
      </c>
      <c r="BC74" s="24">
        <f>SUM((AR74+AN74)*'Weighting Factors'!$O$5)+AX74</f>
        <v>24491460</v>
      </c>
      <c r="BD74" s="67">
        <f>IF('Weighting Factors'!F74&gt;0,'Weighting Factors'!F74,'Preliminary SO66'!AV73)</f>
        <v>24731746</v>
      </c>
      <c r="BE74" s="24">
        <f t="shared" si="66"/>
        <v>24491460</v>
      </c>
      <c r="BF74" s="71">
        <f>'Weighting Factors'!E74</f>
        <v>0</v>
      </c>
      <c r="BG74" s="71">
        <f>Transportation!G74</f>
        <v>-5152</v>
      </c>
      <c r="BH74" s="24">
        <f>IF(ISNA(VLOOKUP($CW74,'Audit Values'!$A:$BW,2,FALSE)), 0, VLOOKUP($CW74,'Audit Values'!$A:$BW,75,FALSE))</f>
        <v>-2127</v>
      </c>
      <c r="BI74" s="24">
        <f t="shared" si="67"/>
        <v>-7279</v>
      </c>
      <c r="BJ74" s="24">
        <f t="shared" si="68"/>
        <v>24484181</v>
      </c>
      <c r="BK74" s="24">
        <f>SUM((U74+V74+AA74+AC74+AF74+AI74+AL74+AM74+AN74)*'Weighting Factors'!O$12)+(MAX(AO74,'Weighting Factors'!B74))</f>
        <v>24436364</v>
      </c>
      <c r="BL74" s="78">
        <f>'LOB%'!F72</f>
        <v>0.33</v>
      </c>
      <c r="BM74" s="24">
        <f t="shared" si="75"/>
        <v>8064000</v>
      </c>
      <c r="BN74" s="67">
        <v>7593700</v>
      </c>
      <c r="BO74" s="24">
        <f t="shared" si="69"/>
        <v>7593700</v>
      </c>
      <c r="BP74" s="89">
        <f t="shared" si="76"/>
        <v>0.31080000000000002</v>
      </c>
      <c r="BQ74" s="58">
        <f t="shared" si="77"/>
        <v>0</v>
      </c>
      <c r="BR74" s="1" t="b">
        <f t="shared" si="78"/>
        <v>0</v>
      </c>
      <c r="BS74" s="76">
        <f t="shared" si="79"/>
        <v>0</v>
      </c>
      <c r="BT74" s="75">
        <f t="shared" si="70"/>
        <v>0</v>
      </c>
      <c r="BU74" s="58">
        <f t="shared" si="80"/>
        <v>0</v>
      </c>
      <c r="BV74" s="1" t="b">
        <f t="shared" si="81"/>
        <v>0</v>
      </c>
      <c r="BW74" s="1">
        <f t="shared" si="82"/>
        <v>0</v>
      </c>
      <c r="BX74" s="75">
        <f t="shared" si="71"/>
        <v>0</v>
      </c>
      <c r="BY74" s="58">
        <f t="shared" si="83"/>
        <v>0</v>
      </c>
      <c r="BZ74" s="58">
        <f t="shared" si="84"/>
        <v>107.5</v>
      </c>
      <c r="CA74" s="61">
        <v>83</v>
      </c>
      <c r="CB74" s="102">
        <f t="shared" si="85"/>
        <v>19.626999999999999</v>
      </c>
      <c r="CC74" s="105">
        <f>IF(CB74&lt;0.06,1,IF(CB74&gt;=18.29,52,MATCH(CB74-0.001,'Weighting Factors'!$W$5:$W$156)+1))</f>
        <v>52</v>
      </c>
      <c r="CD74" s="24">
        <f>VLOOKUP(CC74, 'Weighting Factors'!$U$5:$X$56,4)</f>
        <v>550</v>
      </c>
      <c r="CE74" s="109">
        <f>('Weighting Factors'!$O$5/'Weighting Factors'!$O$14)</f>
        <v>1.2216</v>
      </c>
      <c r="CF74" s="100">
        <f t="shared" si="86"/>
        <v>895950</v>
      </c>
      <c r="CG74" s="100">
        <f>CF74*'Weighting Factors'!$Q$7</f>
        <v>895950</v>
      </c>
      <c r="CH74" s="100">
        <f t="shared" si="72"/>
        <v>1094493</v>
      </c>
      <c r="CI74" s="58">
        <f>AK74/'Weighting Factors'!$O$5</f>
        <v>215.1</v>
      </c>
      <c r="CJ74" s="67">
        <v>0</v>
      </c>
      <c r="CK74" s="80">
        <v>0</v>
      </c>
      <c r="CL74" s="110">
        <v>0</v>
      </c>
      <c r="CM74" s="24">
        <f>SUM((AR74*'Weighting Factors'!$O$5)+'2024 Legal Max'!AX74)*CL74</f>
        <v>0</v>
      </c>
      <c r="CN74" s="24">
        <f t="shared" si="73"/>
        <v>0</v>
      </c>
      <c r="CO74" s="65">
        <f t="shared" si="74"/>
        <v>0.35439999999999999</v>
      </c>
      <c r="CP74" s="58">
        <f t="shared" si="87"/>
        <v>0</v>
      </c>
      <c r="CQ74" s="58">
        <f t="shared" si="88"/>
        <v>3.4</v>
      </c>
      <c r="CR74" s="58">
        <f t="shared" si="89"/>
        <v>4747.1000000000004</v>
      </c>
      <c r="CS74" s="24">
        <f>'Required Transfers'!L74</f>
        <v>858088</v>
      </c>
      <c r="CT74" s="24">
        <f>'Required Transfers'!O74</f>
        <v>36450</v>
      </c>
      <c r="CU74" s="24">
        <f>'Required Transfers'!H74</f>
        <v>2787715</v>
      </c>
      <c r="CV74" s="58">
        <f t="shared" si="90"/>
        <v>3114.4</v>
      </c>
      <c r="CW74" s="27" t="s">
        <v>259</v>
      </c>
    </row>
    <row r="75" spans="1:101" ht="15" customHeight="1">
      <c r="A75" s="54">
        <v>263</v>
      </c>
      <c r="B75" s="1" t="s">
        <v>33</v>
      </c>
      <c r="C75" s="1" t="s">
        <v>580</v>
      </c>
      <c r="D75" s="58">
        <v>1719</v>
      </c>
      <c r="E75" s="58"/>
      <c r="F75" s="58">
        <v>0</v>
      </c>
      <c r="G75" s="58">
        <f t="shared" si="91"/>
        <v>1719</v>
      </c>
      <c r="H75" s="58">
        <v>1720.5</v>
      </c>
      <c r="I75" s="58"/>
      <c r="J75" s="58">
        <v>0</v>
      </c>
      <c r="K75" s="58">
        <f t="shared" si="92"/>
        <v>1720.5</v>
      </c>
      <c r="L75" s="1">
        <v>1753</v>
      </c>
      <c r="N75" s="1">
        <v>0</v>
      </c>
      <c r="O75" s="58">
        <f t="shared" si="93"/>
        <v>1753</v>
      </c>
      <c r="P75" s="58">
        <f>IF(ISNA(VLOOKUP($CW75,'Audit Values'!$A:$BZ,2,FALSE)),'Preliminary SO66'!C74,VLOOKUP($CW75,'Audit Values'!$A:$BZ,76,FALSE))</f>
        <v>1726.8</v>
      </c>
      <c r="Q75" s="58">
        <f>IF(ISNA(VLOOKUP($CW75,'Audit Values'!$A:$BZ,2,FALSE)),'Preliminary SO66'!F74,VLOOKUP($CW75,'Audit Values'!$A:$BZ,4,FALSE))</f>
        <v>0</v>
      </c>
      <c r="R75" s="58">
        <f t="shared" si="61"/>
        <v>1726.8</v>
      </c>
      <c r="S75" s="58">
        <f>IF('Military Provision'!I75="YES", MAX('2024 Legal Max'!O75,'2024 Legal Max'!K75,AVERAGE('2024 Legal Max'!G75,'2024 Legal Max'!K75,'2024 Legal Max'!O75)), MAX(O75, K75))</f>
        <v>1753</v>
      </c>
      <c r="T75" s="58">
        <f>IF(ISNA(VLOOKUP($CW75,'Audit Values'!$A:$BX,2,FALSE)),'Preliminary SO66'!AL74,VLOOKUP($CW75,'Audit Values'!$A:$BX,59,FALSE))</f>
        <v>25.5</v>
      </c>
      <c r="U75" s="58">
        <f t="shared" si="62"/>
        <v>1778.5</v>
      </c>
      <c r="V75" s="58">
        <f>'Low-High ENRL- 2023 HSubSB 113'!N78</f>
        <v>62.3</v>
      </c>
      <c r="W75" s="58">
        <f>IF(ISNA(VLOOKUP($CW75,'Audit Values'!$A:$BZ,2,FALSE)),'Preliminary SO66'!AM74,VLOOKUP($CW75,'Audit Values'!$A:$BZ,63,FALSE))</f>
        <v>22.3</v>
      </c>
      <c r="X75" s="58">
        <f>(W75/6)*'Weighting Factors'!$O$7</f>
        <v>1.5</v>
      </c>
      <c r="Y75" s="61">
        <f>IF(ISNA(VLOOKUP($CW75,'Audit Values'!$A:$BZ,2,FALSE)),'Preliminary SO66'!AN74,VLOOKUP($CW75,'Audit Values'!$A:$BZ,62,FALSE))</f>
        <v>13</v>
      </c>
      <c r="Z75" s="58">
        <f>Y75*'Weighting Factors'!$O$8</f>
        <v>2.4</v>
      </c>
      <c r="AA75" s="58">
        <f t="shared" si="63"/>
        <v>2.4</v>
      </c>
      <c r="AB75" s="106">
        <f>IF(ISNA(VLOOKUP($CW75,'Audit Values'!$A:$BZ,2,FALSE)),'Preliminary SO66'!AO74,VLOOKUP($CW75,'Audit Values'!$A:$BZ,61,FALSE))</f>
        <v>481.3</v>
      </c>
      <c r="AC75" s="58">
        <f>AB75/6*'Weighting Factors'!$O$6</f>
        <v>40.1</v>
      </c>
      <c r="AD75" s="24">
        <f>IF(ISNA(VLOOKUP($CW75,'Audit Values'!$A:$BX,2,FALSE)),'Preliminary SO66'!AS74,VLOOKUP($CW75,'Audit Values'!$A:$BX,64,FALSE))</f>
        <v>1791</v>
      </c>
      <c r="AE75" s="24">
        <f>IF(ISNA(VLOOKUP($CW75,'Audit Values'!$A:$BX,2,FALSE)),'Preliminary SO66'!AP74,VLOOKUP($CW75,'Audit Values'!$A:$BX,65,FALSE))</f>
        <v>623</v>
      </c>
      <c r="AF75" s="58">
        <f>IF(A75=207, AE75,(AE75))*'Weighting Factors'!$O$9</f>
        <v>301.5</v>
      </c>
      <c r="AG75" s="58">
        <f t="shared" si="50"/>
        <v>0</v>
      </c>
      <c r="AH75" s="58">
        <f>IF(ISNA(VLOOKUP($CW75,'Audit Values'!$A:$BZ,2,FALSE)),'Preliminary SO66'!AG74,VLOOKUP($CW75,'Audit Values'!$A:$BZ,71,FALSE))</f>
        <v>6.1</v>
      </c>
      <c r="AI75" s="58">
        <f t="shared" si="64"/>
        <v>6.1</v>
      </c>
      <c r="AJ75" s="58">
        <f>IF(ISNA(VLOOKUP($CW75,'Audit Values'!$A:$BX,2,FALSE)),'Preliminary SO66'!AR74,VLOOKUP($CW75,'Audit Values'!$A:$BX,66,FALSE))</f>
        <v>347</v>
      </c>
      <c r="AK75" s="24">
        <f t="shared" si="65"/>
        <v>309443</v>
      </c>
      <c r="AL75" s="58">
        <f>AK75/'Weighting Factors'!$O$5</f>
        <v>60.8</v>
      </c>
      <c r="AM75" s="58">
        <f>CJ75/'Weighting Factors'!$O$5</f>
        <v>0</v>
      </c>
      <c r="AN75" s="58">
        <f>CN75/'Weighting Factors'!$O$5</f>
        <v>0</v>
      </c>
      <c r="AO75" s="24">
        <v>1897303</v>
      </c>
      <c r="AP75" s="58">
        <f>AO75/'Weighting Factors'!$O$5</f>
        <v>372.9</v>
      </c>
      <c r="AQ75" s="58">
        <f>IF(ISNA(VLOOKUP($CW75,'Audit Values'!$A:$BX,2,FALSE)),'Preliminary SO66'!X74,VLOOKUP($CW75,'Audit Values'!$A:$BX,48,FALSE))</f>
        <v>0</v>
      </c>
      <c r="AR75" s="58">
        <f t="shared" si="94"/>
        <v>2624.6</v>
      </c>
      <c r="AS75" s="58">
        <f t="shared" si="95"/>
        <v>2251.6999999999998</v>
      </c>
      <c r="AT75" s="58">
        <f>IF(ISNA(VLOOKUP($CW75,'Audit Values'!$A$2:$BX$410,2,FALSE)),'Preliminary SO66'!AA74,VLOOKUP($CW75,'Audit Values'!$A$2:$BX$410,41,FALSE))</f>
        <v>0</v>
      </c>
      <c r="AU75" s="58">
        <f>IF(ISNA(VLOOKUP($CW75,'Audit Values'!$A$2:$BX$410,2,FALSE)),'Preliminary SO66'!AB74,VLOOKUP($CW75,'Audit Values'!$A$2:$BX$410,42,FALSE))</f>
        <v>0</v>
      </c>
      <c r="AV75" s="73">
        <v>0</v>
      </c>
      <c r="AW75" s="73">
        <v>0</v>
      </c>
      <c r="AX75" s="24">
        <f>SUM(AT75*'Weighting Factors'!$R$10)+('2024 Legal Max'!AU75*'Weighting Factors'!$R$11)+('2024 Legal Max'!AV75*'Weighting Factors'!$R$12)+('2024 Legal Max'!AW75*'Weighting Factors'!$R$12)</f>
        <v>0</v>
      </c>
      <c r="AY75" s="54">
        <f>IF(ISNA(VLOOKUP($CW75,'Audit Values'!$A$2:$BX$429,2,FALSE)),"",IF(AND('Weighting Factors'!G75&gt;0,VLOOKUP($CW75,'Audit Values'!$A$2:$BX$429,51,FALSE)&lt;'Weighting Factors'!G75),'Weighting Factors'!G75,VLOOKUP($CW75,'Audit Values'!$A$2:$BX$429,51,FALSE)))</f>
        <v>6</v>
      </c>
      <c r="AZ75" s="54" t="str">
        <f>IF(ISNA(VLOOKUP($CW75,'Audit Values'!$A:$BY,2,FALSE)),"",VLOOKUP($CW75,'Audit Values'!$A:$BY,52,FALSE))</f>
        <v>A</v>
      </c>
      <c r="BA75" s="54" t="str">
        <f>IF('Weighting Factors'!F75="","",IF('Weighting Factors'!H75="Pending","PX","R"))</f>
        <v/>
      </c>
      <c r="BB75" s="60">
        <f>SUM((U75+V75+AA75+AC75+AF75+AI75+AL75+AM75+AQ75+AN75)*'Weighting Factors'!$O$5)+'2024 Legal Max'!AX75</f>
        <v>11456650</v>
      </c>
      <c r="BC75" s="24">
        <f>SUM((AR75+AN75)*'Weighting Factors'!$O$5)+AX75</f>
        <v>13353965</v>
      </c>
      <c r="BD75" s="67">
        <f>IF('Weighting Factors'!F75&gt;0,'Weighting Factors'!F75,'Preliminary SO66'!AV74)</f>
        <v>14034739</v>
      </c>
      <c r="BE75" s="24">
        <f t="shared" si="66"/>
        <v>13353965</v>
      </c>
      <c r="BF75" s="71">
        <f>'Weighting Factors'!E75</f>
        <v>0</v>
      </c>
      <c r="BG75" s="71">
        <f>Transportation!G75</f>
        <v>0</v>
      </c>
      <c r="BH75" s="24">
        <f>IF(ISNA(VLOOKUP($CW75,'Audit Values'!$A:$BW,2,FALSE)), 0, VLOOKUP($CW75,'Audit Values'!$A:$BW,75,FALSE))</f>
        <v>0</v>
      </c>
      <c r="BI75" s="24">
        <f t="shared" si="67"/>
        <v>0</v>
      </c>
      <c r="BJ75" s="24">
        <f t="shared" si="68"/>
        <v>13353965</v>
      </c>
      <c r="BK75" s="24">
        <f>SUM((U75+V75+AA75+AC75+AF75+AI75+AL75+AM75+AN75)*'Weighting Factors'!O$12)+(MAX(AO75,'Weighting Factors'!B75))</f>
        <v>13511572</v>
      </c>
      <c r="BL75" s="78">
        <f>'LOB%'!F73</f>
        <v>0.33</v>
      </c>
      <c r="BM75" s="24">
        <f t="shared" si="75"/>
        <v>4458819</v>
      </c>
      <c r="BN75" s="67">
        <v>4684511</v>
      </c>
      <c r="BO75" s="24">
        <f t="shared" si="69"/>
        <v>4458819</v>
      </c>
      <c r="BP75" s="89">
        <f t="shared" si="76"/>
        <v>0.33</v>
      </c>
      <c r="BQ75" s="58">
        <f t="shared" si="77"/>
        <v>0</v>
      </c>
      <c r="BR75" s="1" t="b">
        <f t="shared" si="78"/>
        <v>0</v>
      </c>
      <c r="BS75" s="76">
        <f t="shared" si="79"/>
        <v>0</v>
      </c>
      <c r="BT75" s="75">
        <f t="shared" si="70"/>
        <v>0</v>
      </c>
      <c r="BU75" s="58">
        <f t="shared" si="80"/>
        <v>0</v>
      </c>
      <c r="BV75" s="1" t="b">
        <f t="shared" si="81"/>
        <v>0</v>
      </c>
      <c r="BW75" s="1">
        <f t="shared" si="82"/>
        <v>0</v>
      </c>
      <c r="BX75" s="75">
        <f t="shared" si="71"/>
        <v>0</v>
      </c>
      <c r="BY75" s="58">
        <f t="shared" si="83"/>
        <v>0</v>
      </c>
      <c r="BZ75" s="58">
        <f t="shared" si="84"/>
        <v>62.3</v>
      </c>
      <c r="CA75" s="61">
        <v>82.4</v>
      </c>
      <c r="CB75" s="102">
        <f t="shared" si="85"/>
        <v>4.2110000000000003</v>
      </c>
      <c r="CC75" s="105">
        <f>IF(CB75&lt;0.06,1,IF(CB75&gt;=18.29,52,MATCH(CB75-0.001,'Weighting Factors'!$W$5:$W$156)+1))</f>
        <v>43</v>
      </c>
      <c r="CD75" s="24">
        <f>VLOOKUP(CC75, 'Weighting Factors'!$U$5:$X$56,4)</f>
        <v>730</v>
      </c>
      <c r="CE75" s="109">
        <f>('Weighting Factors'!$O$5/'Weighting Factors'!$O$14)</f>
        <v>1.2216</v>
      </c>
      <c r="CF75" s="100">
        <f t="shared" si="86"/>
        <v>253310</v>
      </c>
      <c r="CG75" s="100">
        <f>CF75*'Weighting Factors'!$Q$7</f>
        <v>253310</v>
      </c>
      <c r="CH75" s="100">
        <f t="shared" si="72"/>
        <v>309443</v>
      </c>
      <c r="CI75" s="58">
        <f>AK75/'Weighting Factors'!$O$5</f>
        <v>60.8</v>
      </c>
      <c r="CJ75" s="67">
        <v>0</v>
      </c>
      <c r="CK75" s="80">
        <v>0</v>
      </c>
      <c r="CL75" s="110">
        <v>0</v>
      </c>
      <c r="CM75" s="24">
        <f>SUM((AR75*'Weighting Factors'!$O$5)+'2024 Legal Max'!AX75)*CL75</f>
        <v>0</v>
      </c>
      <c r="CN75" s="24">
        <f t="shared" si="73"/>
        <v>0</v>
      </c>
      <c r="CO75" s="65">
        <f t="shared" si="74"/>
        <v>0.34789999999999999</v>
      </c>
      <c r="CP75" s="58">
        <f t="shared" si="87"/>
        <v>0</v>
      </c>
      <c r="CQ75" s="58">
        <f t="shared" si="88"/>
        <v>0</v>
      </c>
      <c r="CR75" s="58">
        <f t="shared" si="89"/>
        <v>2624.6</v>
      </c>
      <c r="CS75" s="24">
        <f>'Required Transfers'!L75</f>
        <v>517223</v>
      </c>
      <c r="CT75" s="24">
        <f>'Required Transfers'!O75</f>
        <v>4013</v>
      </c>
      <c r="CU75" s="24">
        <f>'Required Transfers'!H75</f>
        <v>1565069</v>
      </c>
      <c r="CV75" s="58">
        <f t="shared" si="90"/>
        <v>1752.3</v>
      </c>
      <c r="CW75" s="27" t="s">
        <v>260</v>
      </c>
    </row>
    <row r="76" spans="1:101" ht="15" customHeight="1">
      <c r="A76" s="54">
        <v>264</v>
      </c>
      <c r="B76" s="1" t="s">
        <v>33</v>
      </c>
      <c r="C76" s="1" t="s">
        <v>581</v>
      </c>
      <c r="D76" s="58">
        <v>1084</v>
      </c>
      <c r="E76" s="58"/>
      <c r="F76" s="58">
        <v>0</v>
      </c>
      <c r="G76" s="58">
        <f t="shared" si="91"/>
        <v>1084</v>
      </c>
      <c r="H76" s="58">
        <v>1102.0999999999999</v>
      </c>
      <c r="I76" s="58">
        <v>1</v>
      </c>
      <c r="J76" s="58">
        <v>0</v>
      </c>
      <c r="K76" s="58">
        <f t="shared" si="92"/>
        <v>1101.0999999999999</v>
      </c>
      <c r="L76" s="1">
        <v>1074.7</v>
      </c>
      <c r="N76" s="1">
        <v>0</v>
      </c>
      <c r="O76" s="58">
        <f t="shared" si="93"/>
        <v>1074.7</v>
      </c>
      <c r="P76" s="58">
        <f>IF(ISNA(VLOOKUP($CW76,'Audit Values'!$A:$BZ,2,FALSE)),'Preliminary SO66'!C75,VLOOKUP($CW76,'Audit Values'!$A:$BZ,76,FALSE))</f>
        <v>1047.2</v>
      </c>
      <c r="Q76" s="58">
        <f>IF(ISNA(VLOOKUP($CW76,'Audit Values'!$A:$BZ,2,FALSE)),'Preliminary SO66'!F75,VLOOKUP($CW76,'Audit Values'!$A:$BZ,4,FALSE))</f>
        <v>0</v>
      </c>
      <c r="R76" s="58">
        <f t="shared" si="61"/>
        <v>1047.2</v>
      </c>
      <c r="S76" s="58">
        <f>IF('Military Provision'!I76="YES", MAX('2024 Legal Max'!O76,'2024 Legal Max'!K76,AVERAGE('2024 Legal Max'!G76,'2024 Legal Max'!K76,'2024 Legal Max'!O76)), MAX(O76, K76))</f>
        <v>1101.0999999999999</v>
      </c>
      <c r="T76" s="58">
        <f>IF(ISNA(VLOOKUP($CW76,'Audit Values'!$A:$BX,2,FALSE)),'Preliminary SO66'!AL75,VLOOKUP($CW76,'Audit Values'!$A:$BX,59,FALSE))</f>
        <v>8</v>
      </c>
      <c r="U76" s="58">
        <f t="shared" si="62"/>
        <v>1109.0999999999999</v>
      </c>
      <c r="V76" s="58">
        <f>'Low-High ENRL- 2023 HSubSB 113'!N79</f>
        <v>232.1</v>
      </c>
      <c r="W76" s="58">
        <f>IF(ISNA(VLOOKUP($CW76,'Audit Values'!$A:$BZ,2,FALSE)),'Preliminary SO66'!AM75,VLOOKUP($CW76,'Audit Values'!$A:$BZ,63,FALSE))</f>
        <v>2.7</v>
      </c>
      <c r="X76" s="58">
        <f>(W76/6)*'Weighting Factors'!$O$7</f>
        <v>0.2</v>
      </c>
      <c r="Y76" s="61">
        <f>IF(ISNA(VLOOKUP($CW76,'Audit Values'!$A:$BZ,2,FALSE)),'Preliminary SO66'!AN75,VLOOKUP($CW76,'Audit Values'!$A:$BZ,62,FALSE))</f>
        <v>5</v>
      </c>
      <c r="Z76" s="58">
        <f>Y76*'Weighting Factors'!$O$8</f>
        <v>0.9</v>
      </c>
      <c r="AA76" s="58">
        <f t="shared" si="63"/>
        <v>0.9</v>
      </c>
      <c r="AB76" s="106">
        <f>IF(ISNA(VLOOKUP($CW76,'Audit Values'!$A:$BZ,2,FALSE)),'Preliminary SO66'!AO75,VLOOKUP($CW76,'Audit Values'!$A:$BZ,61,FALSE))</f>
        <v>247.2</v>
      </c>
      <c r="AC76" s="58">
        <f>AB76/6*'Weighting Factors'!$O$6</f>
        <v>20.6</v>
      </c>
      <c r="AD76" s="24">
        <f>IF(ISNA(VLOOKUP($CW76,'Audit Values'!$A:$BX,2,FALSE)),'Preliminary SO66'!AS75,VLOOKUP($CW76,'Audit Values'!$A:$BX,64,FALSE))</f>
        <v>1071</v>
      </c>
      <c r="AE76" s="24">
        <f>IF(ISNA(VLOOKUP($CW76,'Audit Values'!$A:$BX,2,FALSE)),'Preliminary SO66'!AP75,VLOOKUP($CW76,'Audit Values'!$A:$BX,65,FALSE))</f>
        <v>307</v>
      </c>
      <c r="AF76" s="58">
        <f>IF(A76=207, AE76,(AE76))*'Weighting Factors'!$O$9</f>
        <v>148.6</v>
      </c>
      <c r="AG76" s="58">
        <f t="shared" si="50"/>
        <v>0</v>
      </c>
      <c r="AH76" s="58">
        <f>IF(ISNA(VLOOKUP($CW76,'Audit Values'!$A:$BZ,2,FALSE)),'Preliminary SO66'!AG75,VLOOKUP($CW76,'Audit Values'!$A:$BZ,71,FALSE))</f>
        <v>0</v>
      </c>
      <c r="AI76" s="58">
        <f t="shared" si="64"/>
        <v>0</v>
      </c>
      <c r="AJ76" s="58">
        <f>IF(ISNA(VLOOKUP($CW76,'Audit Values'!$A:$BX,2,FALSE)),'Preliminary SO66'!AR75,VLOOKUP($CW76,'Audit Values'!$A:$BX,66,FALSE))</f>
        <v>414</v>
      </c>
      <c r="AK76" s="24">
        <f t="shared" si="65"/>
        <v>399536</v>
      </c>
      <c r="AL76" s="58">
        <f>AK76/'Weighting Factors'!$O$5</f>
        <v>78.5</v>
      </c>
      <c r="AM76" s="58">
        <f>CJ76/'Weighting Factors'!$O$5</f>
        <v>0</v>
      </c>
      <c r="AN76" s="58">
        <f>CN76/'Weighting Factors'!$O$5</f>
        <v>0</v>
      </c>
      <c r="AO76" s="24">
        <v>1461919</v>
      </c>
      <c r="AP76" s="58">
        <f>AO76/'Weighting Factors'!$O$5</f>
        <v>287.3</v>
      </c>
      <c r="AQ76" s="58">
        <f>IF(ISNA(VLOOKUP($CW76,'Audit Values'!$A:$BX,2,FALSE)),'Preliminary SO66'!X75,VLOOKUP($CW76,'Audit Values'!$A:$BX,48,FALSE))</f>
        <v>0</v>
      </c>
      <c r="AR76" s="58">
        <f t="shared" si="94"/>
        <v>1877.1</v>
      </c>
      <c r="AS76" s="58">
        <f t="shared" si="95"/>
        <v>1589.8</v>
      </c>
      <c r="AT76" s="58">
        <f>IF(ISNA(VLOOKUP($CW76,'Audit Values'!$A$2:$BX$410,2,FALSE)),'Preliminary SO66'!AA75,VLOOKUP($CW76,'Audit Values'!$A$2:$BX$410,41,FALSE))</f>
        <v>0</v>
      </c>
      <c r="AU76" s="58">
        <f>IF(ISNA(VLOOKUP($CW76,'Audit Values'!$A$2:$BX$410,2,FALSE)),'Preliminary SO66'!AB75,VLOOKUP($CW76,'Audit Values'!$A$2:$BX$410,42,FALSE))</f>
        <v>0</v>
      </c>
      <c r="AV76" s="73">
        <v>0</v>
      </c>
      <c r="AW76" s="73">
        <v>0</v>
      </c>
      <c r="AX76" s="24">
        <f>SUM(AT76*'Weighting Factors'!$R$10)+('2024 Legal Max'!AU76*'Weighting Factors'!$R$11)+('2024 Legal Max'!AV76*'Weighting Factors'!$R$12)+('2024 Legal Max'!AW76*'Weighting Factors'!$R$12)</f>
        <v>0</v>
      </c>
      <c r="AY76" s="54">
        <f>IF(ISNA(VLOOKUP($CW76,'Audit Values'!$A$2:$BX$429,2,FALSE)),"",IF(AND('Weighting Factors'!G76&gt;0,VLOOKUP($CW76,'Audit Values'!$A$2:$BX$429,51,FALSE)&lt;'Weighting Factors'!G76),'Weighting Factors'!G76,VLOOKUP($CW76,'Audit Values'!$A$2:$BX$429,51,FALSE)))</f>
        <v>25</v>
      </c>
      <c r="AZ76" s="54" t="str">
        <f>IF(ISNA(VLOOKUP($CW76,'Audit Values'!$A:$BY,2,FALSE)),"",VLOOKUP($CW76,'Audit Values'!$A:$BY,52,FALSE))</f>
        <v>A</v>
      </c>
      <c r="BA76" s="54" t="str">
        <f>IF('Weighting Factors'!F76="","",IF('Weighting Factors'!H76="Pending","PX","R"))</f>
        <v>R</v>
      </c>
      <c r="BB76" s="60">
        <f>SUM((U76+V76+AA76+AC76+AF76+AI76+AL76+AM76+AQ76+AN76)*'Weighting Factors'!$O$5)+'2024 Legal Max'!AX76</f>
        <v>8088902</v>
      </c>
      <c r="BC76" s="24">
        <f>SUM((AR76+AN76)*'Weighting Factors'!$O$5)+AX76</f>
        <v>9550685</v>
      </c>
      <c r="BD76" s="67">
        <f>IF('Weighting Factors'!F76&gt;0,'Weighting Factors'!F76,'Preliminary SO66'!AV75)</f>
        <v>9550685</v>
      </c>
      <c r="BE76" s="24">
        <f t="shared" si="66"/>
        <v>9550685</v>
      </c>
      <c r="BF76" s="71">
        <f>'Weighting Factors'!E76</f>
        <v>0</v>
      </c>
      <c r="BG76" s="71">
        <f>Transportation!G76</f>
        <v>0</v>
      </c>
      <c r="BH76" s="24">
        <f>IF(ISNA(VLOOKUP($CW76,'Audit Values'!$A:$BW,2,FALSE)), 0, VLOOKUP($CW76,'Audit Values'!$A:$BW,75,FALSE))</f>
        <v>0</v>
      </c>
      <c r="BI76" s="24">
        <f t="shared" si="67"/>
        <v>0</v>
      </c>
      <c r="BJ76" s="24">
        <f t="shared" si="68"/>
        <v>9550685</v>
      </c>
      <c r="BK76" s="24">
        <f>SUM((U76+V76+AA76+AC76+AF76+AI76+AL76+AM76+AN76)*'Weighting Factors'!O$12)+(MAX(AO76,'Weighting Factors'!B76))</f>
        <v>9662107</v>
      </c>
      <c r="BL76" s="78">
        <f>'LOB%'!F74</f>
        <v>0.33</v>
      </c>
      <c r="BM76" s="24">
        <f t="shared" si="75"/>
        <v>3188495</v>
      </c>
      <c r="BN76" s="67">
        <v>3047700</v>
      </c>
      <c r="BO76" s="24">
        <f t="shared" si="69"/>
        <v>3047700</v>
      </c>
      <c r="BP76" s="89">
        <f t="shared" si="76"/>
        <v>0.31540000000000001</v>
      </c>
      <c r="BQ76" s="58">
        <f t="shared" si="77"/>
        <v>0</v>
      </c>
      <c r="BR76" s="1" t="b">
        <f t="shared" si="78"/>
        <v>0</v>
      </c>
      <c r="BS76" s="76">
        <f t="shared" si="79"/>
        <v>0</v>
      </c>
      <c r="BT76" s="75">
        <f t="shared" si="70"/>
        <v>0</v>
      </c>
      <c r="BU76" s="58">
        <f t="shared" si="80"/>
        <v>0</v>
      </c>
      <c r="BV76" s="1" t="b">
        <f t="shared" si="81"/>
        <v>1</v>
      </c>
      <c r="BW76" s="1">
        <f t="shared" si="82"/>
        <v>1001.2613</v>
      </c>
      <c r="BX76" s="75">
        <f t="shared" si="71"/>
        <v>0.20929600000000001</v>
      </c>
      <c r="BY76" s="58">
        <f t="shared" si="83"/>
        <v>232.1</v>
      </c>
      <c r="BZ76" s="58">
        <f t="shared" si="84"/>
        <v>0</v>
      </c>
      <c r="CA76" s="61">
        <v>136</v>
      </c>
      <c r="CB76" s="102">
        <f t="shared" si="85"/>
        <v>3.044</v>
      </c>
      <c r="CC76" s="105">
        <f>IF(CB76&lt;0.06,1,IF(CB76&gt;=18.29,52,MATCH(CB76-0.001,'Weighting Factors'!$W$5:$W$156)+1))</f>
        <v>40</v>
      </c>
      <c r="CD76" s="24">
        <f>VLOOKUP(CC76, 'Weighting Factors'!$U$5:$X$56,4)</f>
        <v>790</v>
      </c>
      <c r="CE76" s="109">
        <f>('Weighting Factors'!$O$5/'Weighting Factors'!$O$14)</f>
        <v>1.2216</v>
      </c>
      <c r="CF76" s="100">
        <f t="shared" si="86"/>
        <v>327060</v>
      </c>
      <c r="CG76" s="100">
        <f>CF76*'Weighting Factors'!$Q$7</f>
        <v>327060</v>
      </c>
      <c r="CH76" s="100">
        <f t="shared" si="72"/>
        <v>399536</v>
      </c>
      <c r="CI76" s="58">
        <f>AK76/'Weighting Factors'!$O$5</f>
        <v>78.5</v>
      </c>
      <c r="CJ76" s="67">
        <v>0</v>
      </c>
      <c r="CK76" s="80">
        <v>0</v>
      </c>
      <c r="CL76" s="110">
        <v>0</v>
      </c>
      <c r="CM76" s="24">
        <f>SUM((AR76*'Weighting Factors'!$O$5)+'2024 Legal Max'!AX76)*CL76</f>
        <v>0</v>
      </c>
      <c r="CN76" s="24">
        <f t="shared" si="73"/>
        <v>0</v>
      </c>
      <c r="CO76" s="65">
        <f t="shared" si="74"/>
        <v>0.28660000000000002</v>
      </c>
      <c r="CP76" s="58">
        <f t="shared" si="87"/>
        <v>0</v>
      </c>
      <c r="CQ76" s="58">
        <f t="shared" si="88"/>
        <v>0</v>
      </c>
      <c r="CR76" s="58">
        <f t="shared" si="89"/>
        <v>1877.1</v>
      </c>
      <c r="CS76" s="24">
        <f>'Required Transfers'!L76</f>
        <v>242292</v>
      </c>
      <c r="CT76" s="24">
        <f>'Required Transfers'!O76</f>
        <v>1524</v>
      </c>
      <c r="CU76" s="24">
        <f>'Required Transfers'!H76</f>
        <v>756077</v>
      </c>
      <c r="CV76" s="58">
        <f t="shared" si="90"/>
        <v>1055.2</v>
      </c>
      <c r="CW76" s="27" t="s">
        <v>261</v>
      </c>
    </row>
    <row r="77" spans="1:101" ht="15" customHeight="1">
      <c r="A77" s="54">
        <v>265</v>
      </c>
      <c r="B77" s="1" t="s">
        <v>33</v>
      </c>
      <c r="C77" s="1" t="s">
        <v>582</v>
      </c>
      <c r="D77" s="58">
        <v>5825.1</v>
      </c>
      <c r="E77" s="58"/>
      <c r="F77" s="58">
        <v>0</v>
      </c>
      <c r="G77" s="58">
        <f t="shared" si="91"/>
        <v>5825.1</v>
      </c>
      <c r="H77" s="58">
        <v>5865.5</v>
      </c>
      <c r="I77" s="58">
        <v>2</v>
      </c>
      <c r="J77" s="58">
        <v>0</v>
      </c>
      <c r="K77" s="58">
        <f t="shared" si="92"/>
        <v>5863.5</v>
      </c>
      <c r="L77" s="1">
        <v>5950.6</v>
      </c>
      <c r="N77" s="1">
        <v>0</v>
      </c>
      <c r="O77" s="58">
        <f t="shared" si="93"/>
        <v>5950.6</v>
      </c>
      <c r="P77" s="58">
        <f>IF(ISNA(VLOOKUP($CW77,'Audit Values'!$A:$BZ,2,FALSE)),'Preliminary SO66'!C76,VLOOKUP($CW77,'Audit Values'!$A:$BZ,76,FALSE))</f>
        <v>5913.5</v>
      </c>
      <c r="Q77" s="58">
        <f>IF(ISNA(VLOOKUP($CW77,'Audit Values'!$A:$BZ,2,FALSE)),'Preliminary SO66'!F76,VLOOKUP($CW77,'Audit Values'!$A:$BZ,4,FALSE))</f>
        <v>0</v>
      </c>
      <c r="R77" s="58">
        <f t="shared" si="61"/>
        <v>5913.5</v>
      </c>
      <c r="S77" s="58">
        <f>IF('Military Provision'!I77="YES", MAX('2024 Legal Max'!O77,'2024 Legal Max'!K77,AVERAGE('2024 Legal Max'!G77,'2024 Legal Max'!K77,'2024 Legal Max'!O77)), MAX(O77, K77))</f>
        <v>5950.6</v>
      </c>
      <c r="T77" s="58">
        <f>IF(ISNA(VLOOKUP($CW77,'Audit Values'!$A:$BX,2,FALSE)),'Preliminary SO66'!AL76,VLOOKUP($CW77,'Audit Values'!$A:$BX,59,FALSE))</f>
        <v>29.5</v>
      </c>
      <c r="U77" s="58">
        <f t="shared" si="62"/>
        <v>5980.1</v>
      </c>
      <c r="V77" s="58">
        <f>'Low-High ENRL- 2023 HSubSB 113'!N80</f>
        <v>209.5</v>
      </c>
      <c r="W77" s="58">
        <f>IF(ISNA(VLOOKUP($CW77,'Audit Values'!$A:$BZ,2,FALSE)),'Preliminary SO66'!AM76,VLOOKUP($CW77,'Audit Values'!$A:$BZ,63,FALSE))</f>
        <v>416.8</v>
      </c>
      <c r="X77" s="58">
        <f>(W77/6)*'Weighting Factors'!$O$7</f>
        <v>27.4</v>
      </c>
      <c r="Y77" s="61">
        <f>IF(ISNA(VLOOKUP($CW77,'Audit Values'!$A:$BZ,2,FALSE)),'Preliminary SO66'!AN76,VLOOKUP($CW77,'Audit Values'!$A:$BZ,62,FALSE))</f>
        <v>141</v>
      </c>
      <c r="Z77" s="58">
        <f>Y77*'Weighting Factors'!$O$8</f>
        <v>26.1</v>
      </c>
      <c r="AA77" s="58">
        <f t="shared" si="63"/>
        <v>27.4</v>
      </c>
      <c r="AB77" s="106">
        <f>IF(ISNA(VLOOKUP($CW77,'Audit Values'!$A:$BZ,2,FALSE)),'Preliminary SO66'!AO76,VLOOKUP($CW77,'Audit Values'!$A:$BZ,61,FALSE))</f>
        <v>1509.6</v>
      </c>
      <c r="AC77" s="58">
        <f>AB77/6*'Weighting Factors'!$O$6</f>
        <v>125.8</v>
      </c>
      <c r="AD77" s="24">
        <f>IF(ISNA(VLOOKUP($CW77,'Audit Values'!$A:$BX,2,FALSE)),'Preliminary SO66'!AS76,VLOOKUP($CW77,'Audit Values'!$A:$BX,64,FALSE))</f>
        <v>6215</v>
      </c>
      <c r="AE77" s="24">
        <f>IF(ISNA(VLOOKUP($CW77,'Audit Values'!$A:$BX,2,FALSE)),'Preliminary SO66'!AP76,VLOOKUP($CW77,'Audit Values'!$A:$BX,65,FALSE))</f>
        <v>1494</v>
      </c>
      <c r="AF77" s="58">
        <f>IF(A77=207, AE77,(AE77))*'Weighting Factors'!$O$9</f>
        <v>723.1</v>
      </c>
      <c r="AG77" s="58">
        <f t="shared" si="50"/>
        <v>0</v>
      </c>
      <c r="AH77" s="58">
        <f>IF(ISNA(VLOOKUP($CW77,'Audit Values'!$A:$BZ,2,FALSE)),'Preliminary SO66'!AG76,VLOOKUP($CW77,'Audit Values'!$A:$BZ,71,FALSE))</f>
        <v>0</v>
      </c>
      <c r="AI77" s="58">
        <f t="shared" si="64"/>
        <v>0</v>
      </c>
      <c r="AJ77" s="58">
        <f>IF(ISNA(VLOOKUP($CW77,'Audit Values'!$A:$BX,2,FALSE)),'Preliminary SO66'!AR76,VLOOKUP($CW77,'Audit Values'!$A:$BX,66,FALSE))</f>
        <v>4014.5</v>
      </c>
      <c r="AK77" s="24">
        <f t="shared" si="65"/>
        <v>2697262</v>
      </c>
      <c r="AL77" s="58">
        <f>AK77/'Weighting Factors'!$O$5</f>
        <v>530.1</v>
      </c>
      <c r="AM77" s="58">
        <f>CJ77/'Weighting Factors'!$O$5</f>
        <v>0</v>
      </c>
      <c r="AN77" s="58">
        <f>CN77/'Weighting Factors'!$O$5</f>
        <v>79</v>
      </c>
      <c r="AO77" s="24">
        <v>7386238</v>
      </c>
      <c r="AP77" s="58">
        <f>AO77/'Weighting Factors'!$O$5</f>
        <v>1451.7</v>
      </c>
      <c r="AQ77" s="58">
        <f>IF(ISNA(VLOOKUP($CW77,'Audit Values'!$A:$BX,2,FALSE)),'Preliminary SO66'!X76,VLOOKUP($CW77,'Audit Values'!$A:$BX,48,FALSE))</f>
        <v>1</v>
      </c>
      <c r="AR77" s="58">
        <f t="shared" si="94"/>
        <v>9048.7000000000007</v>
      </c>
      <c r="AS77" s="58">
        <f t="shared" si="95"/>
        <v>7676</v>
      </c>
      <c r="AT77" s="58">
        <f>IF(ISNA(VLOOKUP($CW77,'Audit Values'!$A$2:$BX$410,2,FALSE)),'Preliminary SO66'!AA76,VLOOKUP($CW77,'Audit Values'!$A$2:$BX$410,41,FALSE))</f>
        <v>32</v>
      </c>
      <c r="AU77" s="58">
        <f>IF(ISNA(VLOOKUP($CW77,'Audit Values'!$A$2:$BX$410,2,FALSE)),'Preliminary SO66'!AB76,VLOOKUP($CW77,'Audit Values'!$A$2:$BX$410,42,FALSE))</f>
        <v>3.1</v>
      </c>
      <c r="AV77" s="73">
        <v>5</v>
      </c>
      <c r="AW77" s="73">
        <v>3</v>
      </c>
      <c r="AX77" s="24">
        <f>SUM(AT77*'Weighting Factors'!$R$10)+('2024 Legal Max'!AU77*'Weighting Factors'!$R$11)+('2024 Legal Max'!AV77*'Weighting Factors'!$R$12)+('2024 Legal Max'!AW77*'Weighting Factors'!$R$12)</f>
        <v>193552</v>
      </c>
      <c r="AY77" s="54">
        <f>IF(ISNA(VLOOKUP($CW77,'Audit Values'!$A$2:$BX$429,2,FALSE)),"",IF(AND('Weighting Factors'!G77&gt;0,VLOOKUP($CW77,'Audit Values'!$A$2:$BX$429,51,FALSE)&lt;'Weighting Factors'!G77),'Weighting Factors'!G77,VLOOKUP($CW77,'Audit Values'!$A$2:$BX$429,51,FALSE)))</f>
        <v>25</v>
      </c>
      <c r="AZ77" s="54" t="str">
        <f>IF(ISNA(VLOOKUP($CW77,'Audit Values'!$A:$BY,2,FALSE)),"",VLOOKUP($CW77,'Audit Values'!$A:$BY,52,FALSE))</f>
        <v>A</v>
      </c>
      <c r="BA77" s="54" t="str">
        <f>IF('Weighting Factors'!F77="","",IF('Weighting Factors'!H77="Pending","PX","R"))</f>
        <v/>
      </c>
      <c r="BB77" s="60">
        <f>SUM((U77+V77+AA77+AC77+AF77+AI77+AL77+AM77+AQ77+AN77)*'Weighting Factors'!$O$5)+'2024 Legal Max'!AX77</f>
        <v>39249040</v>
      </c>
      <c r="BC77" s="24">
        <f>SUM((AR77+AN77)*'Weighting Factors'!$O$5)+AX77</f>
        <v>46635290</v>
      </c>
      <c r="BD77" s="67">
        <f>IF('Weighting Factors'!F77&gt;0,'Weighting Factors'!F77,'Preliminary SO66'!AV76)</f>
        <v>47125676</v>
      </c>
      <c r="BE77" s="24">
        <f t="shared" si="66"/>
        <v>46635290</v>
      </c>
      <c r="BF77" s="71">
        <f>'Weighting Factors'!E77</f>
        <v>0</v>
      </c>
      <c r="BG77" s="71">
        <f>Transportation!G77</f>
        <v>0</v>
      </c>
      <c r="BH77" s="24">
        <f>IF(ISNA(VLOOKUP($CW77,'Audit Values'!$A:$BW,2,FALSE)), 0, VLOOKUP($CW77,'Audit Values'!$A:$BW,75,FALSE))</f>
        <v>0</v>
      </c>
      <c r="BI77" s="24">
        <f t="shared" si="67"/>
        <v>0</v>
      </c>
      <c r="BJ77" s="24">
        <f t="shared" si="68"/>
        <v>46635290</v>
      </c>
      <c r="BK77" s="24">
        <f>SUM((U77+V77+AA77+AC77+AF77+AI77+AL77+AM77+AN77)*'Weighting Factors'!O$12)+(MAX(AO77,'Weighting Factors'!B77))</f>
        <v>46973888</v>
      </c>
      <c r="BL77" s="78">
        <f>'LOB%'!F75</f>
        <v>0.33</v>
      </c>
      <c r="BM77" s="24">
        <f t="shared" si="75"/>
        <v>15501383</v>
      </c>
      <c r="BN77" s="67">
        <v>15642923</v>
      </c>
      <c r="BO77" s="24">
        <f t="shared" si="69"/>
        <v>15501383</v>
      </c>
      <c r="BP77" s="89">
        <f t="shared" si="76"/>
        <v>0.33</v>
      </c>
      <c r="BQ77" s="58">
        <f t="shared" si="77"/>
        <v>0</v>
      </c>
      <c r="BR77" s="1" t="b">
        <f t="shared" si="78"/>
        <v>0</v>
      </c>
      <c r="BS77" s="76">
        <f t="shared" si="79"/>
        <v>0</v>
      </c>
      <c r="BT77" s="75">
        <f t="shared" si="70"/>
        <v>0</v>
      </c>
      <c r="BU77" s="58">
        <f t="shared" si="80"/>
        <v>0</v>
      </c>
      <c r="BV77" s="1" t="b">
        <f t="shared" si="81"/>
        <v>0</v>
      </c>
      <c r="BW77" s="1">
        <f t="shared" si="82"/>
        <v>0</v>
      </c>
      <c r="BX77" s="75">
        <f t="shared" si="71"/>
        <v>0</v>
      </c>
      <c r="BY77" s="58">
        <f t="shared" si="83"/>
        <v>0</v>
      </c>
      <c r="BZ77" s="58">
        <f t="shared" si="84"/>
        <v>209.5</v>
      </c>
      <c r="CA77" s="61">
        <v>65.099999999999994</v>
      </c>
      <c r="CB77" s="102">
        <f t="shared" si="85"/>
        <v>61.667000000000002</v>
      </c>
      <c r="CC77" s="105">
        <f>IF(CB77&lt;0.06,1,IF(CB77&gt;=18.29,52,MATCH(CB77-0.001,'Weighting Factors'!$W$5:$W$156)+1))</f>
        <v>52</v>
      </c>
      <c r="CD77" s="24">
        <f>VLOOKUP(CC77, 'Weighting Factors'!$U$5:$X$56,4)</f>
        <v>550</v>
      </c>
      <c r="CE77" s="109">
        <f>('Weighting Factors'!$O$5/'Weighting Factors'!$O$14)</f>
        <v>1.2216</v>
      </c>
      <c r="CF77" s="100">
        <f t="shared" si="86"/>
        <v>2207975</v>
      </c>
      <c r="CG77" s="100">
        <f>CF77*'Weighting Factors'!$Q$7</f>
        <v>2207975</v>
      </c>
      <c r="CH77" s="100">
        <f t="shared" si="72"/>
        <v>2697262</v>
      </c>
      <c r="CI77" s="58">
        <f>AK77/'Weighting Factors'!$O$5</f>
        <v>530.1</v>
      </c>
      <c r="CJ77" s="67">
        <v>0</v>
      </c>
      <c r="CK77" s="80">
        <v>402047</v>
      </c>
      <c r="CL77" s="110">
        <v>8.8000000000000005E-3</v>
      </c>
      <c r="CM77" s="24">
        <f>SUM((AR77*'Weighting Factors'!$O$5)+'2024 Legal Max'!AX77)*CL77</f>
        <v>406853</v>
      </c>
      <c r="CN77" s="24">
        <f t="shared" si="73"/>
        <v>402047</v>
      </c>
      <c r="CO77" s="65">
        <f t="shared" si="74"/>
        <v>0.2404</v>
      </c>
      <c r="CP77" s="58">
        <f t="shared" si="87"/>
        <v>0</v>
      </c>
      <c r="CQ77" s="58">
        <f t="shared" si="88"/>
        <v>0</v>
      </c>
      <c r="CR77" s="58">
        <f t="shared" si="89"/>
        <v>9127.7000000000007</v>
      </c>
      <c r="CS77" s="24">
        <f>'Required Transfers'!L77</f>
        <v>1232360</v>
      </c>
      <c r="CT77" s="24">
        <f>'Required Transfers'!O77</f>
        <v>46504</v>
      </c>
      <c r="CU77" s="24">
        <f>'Required Transfers'!H77</f>
        <v>3679133</v>
      </c>
      <c r="CV77" s="58">
        <f t="shared" si="90"/>
        <v>5979.4</v>
      </c>
      <c r="CW77" s="27" t="s">
        <v>262</v>
      </c>
    </row>
    <row r="78" spans="1:101" ht="15" customHeight="1">
      <c r="A78" s="54">
        <v>266</v>
      </c>
      <c r="B78" s="1" t="s">
        <v>33</v>
      </c>
      <c r="C78" s="1" t="s">
        <v>583</v>
      </c>
      <c r="D78" s="58">
        <v>7067.2</v>
      </c>
      <c r="E78" s="58">
        <v>3</v>
      </c>
      <c r="F78" s="58">
        <v>0</v>
      </c>
      <c r="G78" s="58">
        <f t="shared" si="91"/>
        <v>7064.2</v>
      </c>
      <c r="H78" s="58">
        <v>7147.5</v>
      </c>
      <c r="I78" s="58">
        <v>3</v>
      </c>
      <c r="J78" s="58">
        <v>0</v>
      </c>
      <c r="K78" s="58">
        <f t="shared" si="92"/>
        <v>7144.5</v>
      </c>
      <c r="L78" s="1">
        <v>7297.6</v>
      </c>
      <c r="N78" s="1">
        <v>0</v>
      </c>
      <c r="O78" s="58">
        <f t="shared" si="93"/>
        <v>7297.6</v>
      </c>
      <c r="P78" s="58">
        <f>IF(ISNA(VLOOKUP($CW78,'Audit Values'!$A:$BZ,2,FALSE)),'Preliminary SO66'!C77,VLOOKUP($CW78,'Audit Values'!$A:$BZ,76,FALSE))</f>
        <v>7311.5</v>
      </c>
      <c r="Q78" s="58">
        <f>IF(ISNA(VLOOKUP($CW78,'Audit Values'!$A:$BZ,2,FALSE)),'Preliminary SO66'!F77,VLOOKUP($CW78,'Audit Values'!$A:$BZ,4,FALSE))</f>
        <v>0</v>
      </c>
      <c r="R78" s="58">
        <f t="shared" si="61"/>
        <v>7311.5</v>
      </c>
      <c r="S78" s="58">
        <f>IF('Military Provision'!I78="YES", MAX('2024 Legal Max'!O78,'2024 Legal Max'!K78,AVERAGE('2024 Legal Max'!G78,'2024 Legal Max'!K78,'2024 Legal Max'!O78)), MAX(O78, K78))</f>
        <v>7297.6</v>
      </c>
      <c r="T78" s="58">
        <f>IF(ISNA(VLOOKUP($CW78,'Audit Values'!$A:$BX,2,FALSE)),'Preliminary SO66'!AL77,VLOOKUP($CW78,'Audit Values'!$A:$BX,59,FALSE))</f>
        <v>48</v>
      </c>
      <c r="U78" s="58">
        <f t="shared" si="62"/>
        <v>7345.6</v>
      </c>
      <c r="V78" s="58">
        <f>'Low-High ENRL- 2023 HSubSB 113'!N81</f>
        <v>257.39999999999998</v>
      </c>
      <c r="W78" s="58">
        <f>IF(ISNA(VLOOKUP($CW78,'Audit Values'!$A:$BZ,2,FALSE)),'Preliminary SO66'!AM77,VLOOKUP($CW78,'Audit Values'!$A:$BZ,63,FALSE))</f>
        <v>507.2</v>
      </c>
      <c r="X78" s="58">
        <f>(W78/6)*'Weighting Factors'!$O$7</f>
        <v>33.4</v>
      </c>
      <c r="Y78" s="61">
        <f>IF(ISNA(VLOOKUP($CW78,'Audit Values'!$A:$BZ,2,FALSE)),'Preliminary SO66'!AN77,VLOOKUP($CW78,'Audit Values'!$A:$BZ,62,FALSE))</f>
        <v>234</v>
      </c>
      <c r="Z78" s="58">
        <f>Y78*'Weighting Factors'!$O$8</f>
        <v>43.3</v>
      </c>
      <c r="AA78" s="58">
        <f t="shared" si="63"/>
        <v>43.3</v>
      </c>
      <c r="AB78" s="106">
        <f>IF(ISNA(VLOOKUP($CW78,'Audit Values'!$A:$BZ,2,FALSE)),'Preliminary SO66'!AO77,VLOOKUP($CW78,'Audit Values'!$A:$BZ,61,FALSE))</f>
        <v>2514.6</v>
      </c>
      <c r="AC78" s="58">
        <f>AB78/6*'Weighting Factors'!$O$6</f>
        <v>209.6</v>
      </c>
      <c r="AD78" s="24">
        <f>IF(ISNA(VLOOKUP($CW78,'Audit Values'!$A:$BX,2,FALSE)),'Preliminary SO66'!AS77,VLOOKUP($CW78,'Audit Values'!$A:$BX,64,FALSE))</f>
        <v>7464</v>
      </c>
      <c r="AE78" s="24">
        <f>IF(ISNA(VLOOKUP($CW78,'Audit Values'!$A:$BX,2,FALSE)),'Preliminary SO66'!AP77,VLOOKUP($CW78,'Audit Values'!$A:$BX,65,FALSE))</f>
        <v>1806</v>
      </c>
      <c r="AF78" s="58">
        <f>IF(A78=207, AE78,(AE78))*'Weighting Factors'!$O$9</f>
        <v>874.1</v>
      </c>
      <c r="AG78" s="58">
        <f t="shared" si="50"/>
        <v>0</v>
      </c>
      <c r="AH78" s="58">
        <f>IF(ISNA(VLOOKUP($CW78,'Audit Values'!$A:$BZ,2,FALSE)),'Preliminary SO66'!AG77,VLOOKUP($CW78,'Audit Values'!$A:$BZ,71,FALSE))</f>
        <v>0</v>
      </c>
      <c r="AI78" s="58">
        <f t="shared" si="64"/>
        <v>0</v>
      </c>
      <c r="AJ78" s="58">
        <f>IF(ISNA(VLOOKUP($CW78,'Audit Values'!$A:$BX,2,FALSE)),'Preliminary SO66'!AR77,VLOOKUP($CW78,'Audit Values'!$A:$BX,66,FALSE))</f>
        <v>4443</v>
      </c>
      <c r="AK78" s="24">
        <f t="shared" si="65"/>
        <v>2985163</v>
      </c>
      <c r="AL78" s="58">
        <f>AK78/'Weighting Factors'!$O$5</f>
        <v>586.70000000000005</v>
      </c>
      <c r="AM78" s="58">
        <f>CJ78/'Weighting Factors'!$O$5</f>
        <v>0</v>
      </c>
      <c r="AN78" s="58">
        <f>CN78/'Weighting Factors'!$O$5</f>
        <v>200.2</v>
      </c>
      <c r="AO78" s="24">
        <v>9830382</v>
      </c>
      <c r="AP78" s="58">
        <f>AO78/'Weighting Factors'!$O$5</f>
        <v>1932.1</v>
      </c>
      <c r="AQ78" s="58">
        <f>IF(ISNA(VLOOKUP($CW78,'Audit Values'!$A:$BX,2,FALSE)),'Preliminary SO66'!X77,VLOOKUP($CW78,'Audit Values'!$A:$BX,48,FALSE))</f>
        <v>3</v>
      </c>
      <c r="AR78" s="58">
        <f t="shared" si="94"/>
        <v>11251.8</v>
      </c>
      <c r="AS78" s="58">
        <f t="shared" si="95"/>
        <v>9519.9</v>
      </c>
      <c r="AT78" s="58">
        <f>IF(ISNA(VLOOKUP($CW78,'Audit Values'!$A$2:$BX$410,2,FALSE)),'Preliminary SO66'!AA77,VLOOKUP($CW78,'Audit Values'!$A$2:$BX$410,41,FALSE))</f>
        <v>472</v>
      </c>
      <c r="AU78" s="58">
        <f>IF(ISNA(VLOOKUP($CW78,'Audit Values'!$A$2:$BX$410,2,FALSE)),'Preliminary SO66'!AB77,VLOOKUP($CW78,'Audit Values'!$A$2:$BX$410,42,FALSE))</f>
        <v>0</v>
      </c>
      <c r="AV78" s="73">
        <v>0</v>
      </c>
      <c r="AW78" s="73">
        <v>0</v>
      </c>
      <c r="AX78" s="24">
        <f>SUM(AT78*'Weighting Factors'!$R$10)+('2024 Legal Max'!AU78*'Weighting Factors'!$R$11)+('2024 Legal Max'!AV78*'Weighting Factors'!$R$12)+('2024 Legal Max'!AW78*'Weighting Factors'!$R$12)</f>
        <v>2643200</v>
      </c>
      <c r="AY78" s="54">
        <f>IF(ISNA(VLOOKUP($CW78,'Audit Values'!$A$2:$BX$429,2,FALSE)),"",IF(AND('Weighting Factors'!G78&gt;0,VLOOKUP($CW78,'Audit Values'!$A$2:$BX$429,51,FALSE)&lt;'Weighting Factors'!G78),'Weighting Factors'!G78,VLOOKUP($CW78,'Audit Values'!$A$2:$BX$429,51,FALSE)))</f>
        <v>18</v>
      </c>
      <c r="AZ78" s="54" t="str">
        <f>IF(ISNA(VLOOKUP($CW78,'Audit Values'!$A:$BY,2,FALSE)),"",VLOOKUP($CW78,'Audit Values'!$A:$BY,52,FALSE))</f>
        <v>A</v>
      </c>
      <c r="BA78" s="54" t="str">
        <f>IF('Weighting Factors'!F78="","",IF('Weighting Factors'!H78="Pending","PX","R"))</f>
        <v/>
      </c>
      <c r="BB78" s="60">
        <f>SUM((U78+V78+AA78+AC78+AF78+AI78+AL78+AM78+AQ78+AN78)*'Weighting Factors'!$O$5)+'2024 Legal Max'!AX78</f>
        <v>51080451</v>
      </c>
      <c r="BC78" s="24">
        <f>SUM((AR78+AN78)*'Weighting Factors'!$O$5)+AX78</f>
        <v>60910976</v>
      </c>
      <c r="BD78" s="67">
        <f>IF('Weighting Factors'!F78&gt;0,'Weighting Factors'!F78,'Preliminary SO66'!AV77)</f>
        <v>61516013</v>
      </c>
      <c r="BE78" s="24">
        <f t="shared" si="66"/>
        <v>60910976</v>
      </c>
      <c r="BF78" s="71">
        <f>'Weighting Factors'!E78</f>
        <v>0</v>
      </c>
      <c r="BG78" s="71">
        <f>Transportation!G78</f>
        <v>0</v>
      </c>
      <c r="BH78" s="24">
        <f>IF(ISNA(VLOOKUP($CW78,'Audit Values'!$A:$BW,2,FALSE)), 0, VLOOKUP($CW78,'Audit Values'!$A:$BW,75,FALSE))</f>
        <v>0</v>
      </c>
      <c r="BI78" s="24">
        <f t="shared" si="67"/>
        <v>0</v>
      </c>
      <c r="BJ78" s="24">
        <f t="shared" si="68"/>
        <v>60910976</v>
      </c>
      <c r="BK78" s="24">
        <f>SUM((U78+V78+AA78+AC78+AF78+AI78+AL78+AM78+AN78)*'Weighting Factors'!O$12)+(MAX(AO78,'Weighting Factors'!B78))</f>
        <v>58918552</v>
      </c>
      <c r="BL78" s="78">
        <f>'LOB%'!F76</f>
        <v>0.33</v>
      </c>
      <c r="BM78" s="24">
        <f t="shared" si="75"/>
        <v>19443122</v>
      </c>
      <c r="BN78" s="67">
        <v>19602456</v>
      </c>
      <c r="BO78" s="24">
        <f t="shared" si="69"/>
        <v>19443122</v>
      </c>
      <c r="BP78" s="89">
        <f t="shared" si="76"/>
        <v>0.33</v>
      </c>
      <c r="BQ78" s="58">
        <f t="shared" si="77"/>
        <v>0</v>
      </c>
      <c r="BR78" s="1" t="b">
        <f t="shared" si="78"/>
        <v>0</v>
      </c>
      <c r="BS78" s="76">
        <f t="shared" si="79"/>
        <v>0</v>
      </c>
      <c r="BT78" s="75">
        <f t="shared" si="70"/>
        <v>0</v>
      </c>
      <c r="BU78" s="58">
        <f t="shared" si="80"/>
        <v>0</v>
      </c>
      <c r="BV78" s="1" t="b">
        <f t="shared" si="81"/>
        <v>0</v>
      </c>
      <c r="BW78" s="1">
        <f t="shared" si="82"/>
        <v>0</v>
      </c>
      <c r="BX78" s="75">
        <f t="shared" si="71"/>
        <v>0</v>
      </c>
      <c r="BY78" s="58">
        <f t="shared" si="83"/>
        <v>0</v>
      </c>
      <c r="BZ78" s="58">
        <f t="shared" si="84"/>
        <v>257.39999999999998</v>
      </c>
      <c r="CA78" s="61">
        <v>42.5</v>
      </c>
      <c r="CB78" s="102">
        <f t="shared" si="85"/>
        <v>104.541</v>
      </c>
      <c r="CC78" s="105">
        <f>IF(CB78&lt;0.06,1,IF(CB78&gt;=18.29,52,MATCH(CB78-0.001,'Weighting Factors'!$W$5:$W$156)+1))</f>
        <v>52</v>
      </c>
      <c r="CD78" s="24">
        <f>VLOOKUP(CC78, 'Weighting Factors'!$U$5:$X$56,4)</f>
        <v>550</v>
      </c>
      <c r="CE78" s="109">
        <f>('Weighting Factors'!$O$5/'Weighting Factors'!$O$14)</f>
        <v>1.2216</v>
      </c>
      <c r="CF78" s="100">
        <f t="shared" si="86"/>
        <v>2443650</v>
      </c>
      <c r="CG78" s="100">
        <f>CF78*'Weighting Factors'!$Q$7</f>
        <v>2443650</v>
      </c>
      <c r="CH78" s="100">
        <f t="shared" si="72"/>
        <v>2985163</v>
      </c>
      <c r="CI78" s="58">
        <f>AK78/'Weighting Factors'!$O$5</f>
        <v>586.70000000000005</v>
      </c>
      <c r="CJ78" s="67">
        <v>0</v>
      </c>
      <c r="CK78" s="80">
        <v>1018377</v>
      </c>
      <c r="CL78" s="110">
        <v>2.0400000000000001E-2</v>
      </c>
      <c r="CM78" s="24">
        <f>SUM((AR78*'Weighting Factors'!$O$5)+'2024 Legal Max'!AX78)*CL78</f>
        <v>1221804</v>
      </c>
      <c r="CN78" s="24">
        <f t="shared" si="73"/>
        <v>1018377</v>
      </c>
      <c r="CO78" s="65">
        <f t="shared" si="74"/>
        <v>0.24199999999999999</v>
      </c>
      <c r="CP78" s="58">
        <f t="shared" si="87"/>
        <v>0</v>
      </c>
      <c r="CQ78" s="58">
        <f t="shared" si="88"/>
        <v>0</v>
      </c>
      <c r="CR78" s="58">
        <f t="shared" si="89"/>
        <v>11452</v>
      </c>
      <c r="CS78" s="24">
        <f>'Required Transfers'!L78</f>
        <v>1491287</v>
      </c>
      <c r="CT78" s="24">
        <f>'Required Transfers'!O78</f>
        <v>73884</v>
      </c>
      <c r="CU78" s="24">
        <f>'Required Transfers'!H78</f>
        <v>4447421</v>
      </c>
      <c r="CV78" s="58">
        <f t="shared" si="90"/>
        <v>7831.5</v>
      </c>
      <c r="CW78" s="27" t="s">
        <v>263</v>
      </c>
    </row>
    <row r="79" spans="1:101" ht="15" customHeight="1">
      <c r="A79" s="54">
        <v>267</v>
      </c>
      <c r="B79" s="1" t="s">
        <v>33</v>
      </c>
      <c r="C79" s="1" t="s">
        <v>584</v>
      </c>
      <c r="D79" s="58">
        <v>1757</v>
      </c>
      <c r="E79" s="58"/>
      <c r="F79" s="58">
        <v>0</v>
      </c>
      <c r="G79" s="58">
        <f t="shared" si="91"/>
        <v>1757</v>
      </c>
      <c r="H79" s="58">
        <v>1842</v>
      </c>
      <c r="I79" s="58">
        <v>4</v>
      </c>
      <c r="J79" s="58">
        <v>0</v>
      </c>
      <c r="K79" s="58">
        <f t="shared" si="92"/>
        <v>1838</v>
      </c>
      <c r="L79" s="1">
        <v>1826.5</v>
      </c>
      <c r="N79" s="1">
        <v>0</v>
      </c>
      <c r="O79" s="58">
        <f t="shared" si="93"/>
        <v>1826.5</v>
      </c>
      <c r="P79" s="58">
        <f>IF(ISNA(VLOOKUP($CW79,'Audit Values'!$A:$BZ,2,FALSE)),'Preliminary SO66'!C78,VLOOKUP($CW79,'Audit Values'!$A:$BZ,76,FALSE))</f>
        <v>1857.7</v>
      </c>
      <c r="Q79" s="58">
        <f>IF(ISNA(VLOOKUP($CW79,'Audit Values'!$A:$BZ,2,FALSE)),'Preliminary SO66'!F78,VLOOKUP($CW79,'Audit Values'!$A:$BZ,4,FALSE))</f>
        <v>0</v>
      </c>
      <c r="R79" s="58">
        <f t="shared" si="61"/>
        <v>1857.7</v>
      </c>
      <c r="S79" s="58">
        <f>IF('Military Provision'!I79="YES", MAX('2024 Legal Max'!O79,'2024 Legal Max'!K79,AVERAGE('2024 Legal Max'!G79,'2024 Legal Max'!K79,'2024 Legal Max'!O79)), MAX(O79, K79))</f>
        <v>1838</v>
      </c>
      <c r="T79" s="58">
        <f>IF(ISNA(VLOOKUP($CW79,'Audit Values'!$A:$BX,2,FALSE)),'Preliminary SO66'!AL78,VLOOKUP($CW79,'Audit Values'!$A:$BX,59,FALSE))</f>
        <v>46.5</v>
      </c>
      <c r="U79" s="58">
        <f t="shared" si="62"/>
        <v>1884.5</v>
      </c>
      <c r="V79" s="58">
        <f>'Low-High ENRL- 2023 HSubSB 113'!N82</f>
        <v>66</v>
      </c>
      <c r="W79" s="58">
        <f>IF(ISNA(VLOOKUP($CW79,'Audit Values'!$A:$BZ,2,FALSE)),'Preliminary SO66'!AM78,VLOOKUP($CW79,'Audit Values'!$A:$BZ,63,FALSE))</f>
        <v>0</v>
      </c>
      <c r="X79" s="58">
        <f>(W79/6)*'Weighting Factors'!$O$7</f>
        <v>0</v>
      </c>
      <c r="Y79" s="61">
        <f>IF(ISNA(VLOOKUP($CW79,'Audit Values'!$A:$BZ,2,FALSE)),'Preliminary SO66'!AN78,VLOOKUP($CW79,'Audit Values'!$A:$BZ,62,FALSE))</f>
        <v>0</v>
      </c>
      <c r="Z79" s="58">
        <f>Y79*'Weighting Factors'!$O$8</f>
        <v>0</v>
      </c>
      <c r="AA79" s="58">
        <f t="shared" si="63"/>
        <v>0</v>
      </c>
      <c r="AB79" s="106">
        <f>IF(ISNA(VLOOKUP($CW79,'Audit Values'!$A:$BZ,2,FALSE)),'Preliminary SO66'!AO78,VLOOKUP($CW79,'Audit Values'!$A:$BZ,61,FALSE))</f>
        <v>953.7</v>
      </c>
      <c r="AC79" s="58">
        <f>AB79/6*'Weighting Factors'!$O$6</f>
        <v>79.5</v>
      </c>
      <c r="AD79" s="24">
        <f>IF(ISNA(VLOOKUP($CW79,'Audit Values'!$A:$BX,2,FALSE)),'Preliminary SO66'!AS78,VLOOKUP($CW79,'Audit Values'!$A:$BX,64,FALSE))</f>
        <v>1965</v>
      </c>
      <c r="AE79" s="24">
        <f>IF(ISNA(VLOOKUP($CW79,'Audit Values'!$A:$BX,2,FALSE)),'Preliminary SO66'!AP78,VLOOKUP($CW79,'Audit Values'!$A:$BX,65,FALSE))</f>
        <v>241</v>
      </c>
      <c r="AF79" s="58">
        <f>IF(A79=207, AE79,(AE79))*'Weighting Factors'!$O$9</f>
        <v>116.6</v>
      </c>
      <c r="AG79" s="58">
        <f t="shared" si="50"/>
        <v>0</v>
      </c>
      <c r="AH79" s="58">
        <f>IF(ISNA(VLOOKUP($CW79,'Audit Values'!$A:$BZ,2,FALSE)),'Preliminary SO66'!AG78,VLOOKUP($CW79,'Audit Values'!$A:$BZ,71,FALSE))</f>
        <v>0</v>
      </c>
      <c r="AI79" s="58">
        <f t="shared" si="64"/>
        <v>0</v>
      </c>
      <c r="AJ79" s="58">
        <f>IF(ISNA(VLOOKUP($CW79,'Audit Values'!$A:$BX,2,FALSE)),'Preliminary SO66'!AR78,VLOOKUP($CW79,'Audit Values'!$A:$BX,66,FALSE))</f>
        <v>691.5</v>
      </c>
      <c r="AK79" s="24">
        <f t="shared" si="65"/>
        <v>650447</v>
      </c>
      <c r="AL79" s="58">
        <f>AK79/'Weighting Factors'!$O$5</f>
        <v>127.8</v>
      </c>
      <c r="AM79" s="58">
        <f>CJ79/'Weighting Factors'!$O$5</f>
        <v>0</v>
      </c>
      <c r="AN79" s="58">
        <f>CN79/'Weighting Factors'!$O$5</f>
        <v>0</v>
      </c>
      <c r="AO79" s="24">
        <v>2389884</v>
      </c>
      <c r="AP79" s="58">
        <f>AO79/'Weighting Factors'!$O$5</f>
        <v>469.7</v>
      </c>
      <c r="AQ79" s="58">
        <f>IF(ISNA(VLOOKUP($CW79,'Audit Values'!$A:$BX,2,FALSE)),'Preliminary SO66'!X78,VLOOKUP($CW79,'Audit Values'!$A:$BX,48,FALSE))</f>
        <v>0</v>
      </c>
      <c r="AR79" s="58">
        <f t="shared" si="94"/>
        <v>2744.1</v>
      </c>
      <c r="AS79" s="58">
        <f t="shared" si="95"/>
        <v>2274.4</v>
      </c>
      <c r="AT79" s="58">
        <f>IF(ISNA(VLOOKUP($CW79,'Audit Values'!$A$2:$BX$410,2,FALSE)),'Preliminary SO66'!AA78,VLOOKUP($CW79,'Audit Values'!$A$2:$BX$410,41,FALSE))</f>
        <v>5</v>
      </c>
      <c r="AU79" s="58">
        <f>IF(ISNA(VLOOKUP($CW79,'Audit Values'!$A$2:$BX$410,2,FALSE)),'Preliminary SO66'!AB78,VLOOKUP($CW79,'Audit Values'!$A$2:$BX$410,42,FALSE))</f>
        <v>0</v>
      </c>
      <c r="AV79" s="73">
        <v>0</v>
      </c>
      <c r="AW79" s="73">
        <v>0</v>
      </c>
      <c r="AX79" s="24">
        <f>SUM(AT79*'Weighting Factors'!$R$10)+('2024 Legal Max'!AU79*'Weighting Factors'!$R$11)+('2024 Legal Max'!AV79*'Weighting Factors'!$R$12)+('2024 Legal Max'!AW79*'Weighting Factors'!$R$12)</f>
        <v>28000</v>
      </c>
      <c r="AY79" s="54">
        <f>IF(ISNA(VLOOKUP($CW79,'Audit Values'!$A$2:$BX$429,2,FALSE)),"",IF(AND('Weighting Factors'!G79&gt;0,VLOOKUP($CW79,'Audit Values'!$A$2:$BX$429,51,FALSE)&lt;'Weighting Factors'!G79),'Weighting Factors'!G79,VLOOKUP($CW79,'Audit Values'!$A$2:$BX$429,51,FALSE)))</f>
        <v>14</v>
      </c>
      <c r="AZ79" s="54" t="str">
        <f>IF(ISNA(VLOOKUP($CW79,'Audit Values'!$A:$BY,2,FALSE)),"",VLOOKUP($CW79,'Audit Values'!$A:$BY,52,FALSE))</f>
        <v>A</v>
      </c>
      <c r="BA79" s="54" t="str">
        <f>IF('Weighting Factors'!F79="","",IF('Weighting Factors'!H79="Pending","PX","R"))</f>
        <v/>
      </c>
      <c r="BB79" s="60">
        <f>SUM((U79+V79+AA79+AC79+AF79+AI79+AL79+AM79+AQ79+AN79)*'Weighting Factors'!$O$5)+'2024 Legal Max'!AX79</f>
        <v>11600147</v>
      </c>
      <c r="BC79" s="24">
        <f>SUM((AR79+AN79)*'Weighting Factors'!$O$5)+AX79</f>
        <v>13989981</v>
      </c>
      <c r="BD79" s="67">
        <f>IF('Weighting Factors'!F79&gt;0,'Weighting Factors'!F79,'Preliminary SO66'!AV78)</f>
        <v>14476495</v>
      </c>
      <c r="BE79" s="24">
        <f t="shared" si="66"/>
        <v>13989981</v>
      </c>
      <c r="BF79" s="71">
        <f>'Weighting Factors'!E79</f>
        <v>0</v>
      </c>
      <c r="BG79" s="71">
        <f>Transportation!G79</f>
        <v>0</v>
      </c>
      <c r="BH79" s="24">
        <f>IF(ISNA(VLOOKUP($CW79,'Audit Values'!$A:$BW,2,FALSE)), 0, VLOOKUP($CW79,'Audit Values'!$A:$BW,75,FALSE))</f>
        <v>-4945</v>
      </c>
      <c r="BI79" s="24">
        <f t="shared" si="67"/>
        <v>-4945</v>
      </c>
      <c r="BJ79" s="24">
        <f t="shared" si="68"/>
        <v>13985036</v>
      </c>
      <c r="BK79" s="24">
        <f>SUM((U79+V79+AA79+AC79+AF79+AI79+AL79+AM79+AN79)*'Weighting Factors'!O$12)+(MAX(AO79,'Weighting Factors'!B79))</f>
        <v>14121239</v>
      </c>
      <c r="BL79" s="78">
        <f>'LOB%'!F77</f>
        <v>0.33</v>
      </c>
      <c r="BM79" s="24">
        <f t="shared" si="75"/>
        <v>4660009</v>
      </c>
      <c r="BN79" s="67">
        <v>4815319</v>
      </c>
      <c r="BO79" s="24">
        <f t="shared" si="69"/>
        <v>4660009</v>
      </c>
      <c r="BP79" s="89">
        <f t="shared" si="76"/>
        <v>0.33</v>
      </c>
      <c r="BQ79" s="58">
        <f t="shared" si="77"/>
        <v>0</v>
      </c>
      <c r="BR79" s="1" t="b">
        <f t="shared" si="78"/>
        <v>0</v>
      </c>
      <c r="BS79" s="76">
        <f t="shared" si="79"/>
        <v>0</v>
      </c>
      <c r="BT79" s="75">
        <f t="shared" si="70"/>
        <v>0</v>
      </c>
      <c r="BU79" s="58">
        <f t="shared" si="80"/>
        <v>0</v>
      </c>
      <c r="BV79" s="1" t="b">
        <f t="shared" si="81"/>
        <v>0</v>
      </c>
      <c r="BW79" s="1">
        <f t="shared" si="82"/>
        <v>0</v>
      </c>
      <c r="BX79" s="75">
        <f t="shared" si="71"/>
        <v>0</v>
      </c>
      <c r="BY79" s="58">
        <f t="shared" si="83"/>
        <v>0</v>
      </c>
      <c r="BZ79" s="58">
        <f t="shared" si="84"/>
        <v>66</v>
      </c>
      <c r="CA79" s="61">
        <v>210</v>
      </c>
      <c r="CB79" s="102">
        <f t="shared" si="85"/>
        <v>3.2930000000000001</v>
      </c>
      <c r="CC79" s="105">
        <f>IF(CB79&lt;0.06,1,IF(CB79&gt;=18.29,52,MATCH(CB79-0.001,'Weighting Factors'!$W$5:$W$156)+1))</f>
        <v>41</v>
      </c>
      <c r="CD79" s="24">
        <f>VLOOKUP(CC79, 'Weighting Factors'!$U$5:$X$56,4)</f>
        <v>770</v>
      </c>
      <c r="CE79" s="109">
        <f>('Weighting Factors'!$O$5/'Weighting Factors'!$O$14)</f>
        <v>1.2216</v>
      </c>
      <c r="CF79" s="100">
        <f t="shared" si="86"/>
        <v>532455</v>
      </c>
      <c r="CG79" s="100">
        <f>CF79*'Weighting Factors'!$Q$7</f>
        <v>532455</v>
      </c>
      <c r="CH79" s="100">
        <f t="shared" si="72"/>
        <v>650447</v>
      </c>
      <c r="CI79" s="58">
        <f>AK79/'Weighting Factors'!$O$5</f>
        <v>127.8</v>
      </c>
      <c r="CJ79" s="67">
        <v>0</v>
      </c>
      <c r="CK79" s="80">
        <v>0</v>
      </c>
      <c r="CL79" s="110">
        <v>7.7000000000000002E-3</v>
      </c>
      <c r="CM79" s="24">
        <f>SUM((AR79*'Weighting Factors'!$O$5)+'2024 Legal Max'!AX79)*CL79</f>
        <v>107723</v>
      </c>
      <c r="CN79" s="24">
        <f t="shared" si="73"/>
        <v>0</v>
      </c>
      <c r="CO79" s="65">
        <f t="shared" si="74"/>
        <v>0.1226</v>
      </c>
      <c r="CP79" s="58">
        <f t="shared" si="87"/>
        <v>0</v>
      </c>
      <c r="CQ79" s="58">
        <f t="shared" si="88"/>
        <v>0</v>
      </c>
      <c r="CR79" s="58">
        <f t="shared" si="89"/>
        <v>2744.1</v>
      </c>
      <c r="CS79" s="24">
        <f>'Required Transfers'!L79</f>
        <v>201312</v>
      </c>
      <c r="CT79" s="24">
        <f>'Required Transfers'!O79</f>
        <v>0</v>
      </c>
      <c r="CU79" s="24">
        <f>'Required Transfers'!H79</f>
        <v>593261</v>
      </c>
      <c r="CV79" s="58">
        <f t="shared" si="90"/>
        <v>1909.2</v>
      </c>
      <c r="CW79" s="27" t="s">
        <v>264</v>
      </c>
    </row>
    <row r="80" spans="1:101" ht="15" customHeight="1">
      <c r="A80" s="54">
        <v>268</v>
      </c>
      <c r="B80" s="1" t="s">
        <v>33</v>
      </c>
      <c r="C80" s="1" t="s">
        <v>585</v>
      </c>
      <c r="D80" s="58">
        <v>754.4</v>
      </c>
      <c r="E80" s="58"/>
      <c r="F80" s="58">
        <v>0</v>
      </c>
      <c r="G80" s="58">
        <f t="shared" si="91"/>
        <v>754.4</v>
      </c>
      <c r="H80" s="58">
        <v>778.1</v>
      </c>
      <c r="I80" s="58"/>
      <c r="J80" s="58">
        <v>0</v>
      </c>
      <c r="K80" s="58">
        <f t="shared" si="92"/>
        <v>778.1</v>
      </c>
      <c r="L80" s="1">
        <v>785.5</v>
      </c>
      <c r="N80" s="1">
        <v>0</v>
      </c>
      <c r="O80" s="58">
        <f t="shared" si="93"/>
        <v>785.5</v>
      </c>
      <c r="P80" s="58">
        <f>IF(ISNA(VLOOKUP($CW80,'Audit Values'!$A:$BZ,2,FALSE)),'Preliminary SO66'!C79,VLOOKUP($CW80,'Audit Values'!$A:$BZ,76,FALSE))</f>
        <v>746.5</v>
      </c>
      <c r="Q80" s="58">
        <f>IF(ISNA(VLOOKUP($CW80,'Audit Values'!$A:$BZ,2,FALSE)),'Preliminary SO66'!F79,VLOOKUP($CW80,'Audit Values'!$A:$BZ,4,FALSE))</f>
        <v>0</v>
      </c>
      <c r="R80" s="58">
        <f t="shared" si="61"/>
        <v>746.5</v>
      </c>
      <c r="S80" s="58">
        <f>IF('Military Provision'!I80="YES", MAX('2024 Legal Max'!O80,'2024 Legal Max'!K80,AVERAGE('2024 Legal Max'!G80,'2024 Legal Max'!K80,'2024 Legal Max'!O80)), MAX(O80, K80))</f>
        <v>785.5</v>
      </c>
      <c r="T80" s="58">
        <f>IF(ISNA(VLOOKUP($CW80,'Audit Values'!$A:$BX,2,FALSE)),'Preliminary SO66'!AL79,VLOOKUP($CW80,'Audit Values'!$A:$BX,59,FALSE))</f>
        <v>14.5</v>
      </c>
      <c r="U80" s="58">
        <f t="shared" si="62"/>
        <v>800</v>
      </c>
      <c r="V80" s="58">
        <f>'Low-High ENRL- 2023 HSubSB 113'!N83</f>
        <v>251.4</v>
      </c>
      <c r="W80" s="58">
        <f>IF(ISNA(VLOOKUP($CW80,'Audit Values'!$A:$BZ,2,FALSE)),'Preliminary SO66'!AM79,VLOOKUP($CW80,'Audit Values'!$A:$BZ,63,FALSE))</f>
        <v>0</v>
      </c>
      <c r="X80" s="58">
        <f>(W80/6)*'Weighting Factors'!$O$7</f>
        <v>0</v>
      </c>
      <c r="Y80" s="61">
        <f>IF(ISNA(VLOOKUP($CW80,'Audit Values'!$A:$BZ,2,FALSE)),'Preliminary SO66'!AN79,VLOOKUP($CW80,'Audit Values'!$A:$BZ,62,FALSE))</f>
        <v>0</v>
      </c>
      <c r="Z80" s="58">
        <f>Y80*'Weighting Factors'!$O$8</f>
        <v>0</v>
      </c>
      <c r="AA80" s="58">
        <f t="shared" si="63"/>
        <v>0</v>
      </c>
      <c r="AB80" s="106">
        <f>IF(ISNA(VLOOKUP($CW80,'Audit Values'!$A:$BZ,2,FALSE)),'Preliminary SO66'!AO79,VLOOKUP($CW80,'Audit Values'!$A:$BZ,61,FALSE))</f>
        <v>295.7</v>
      </c>
      <c r="AC80" s="58">
        <f>AB80/6*'Weighting Factors'!$O$6</f>
        <v>24.6</v>
      </c>
      <c r="AD80" s="24">
        <f>IF(ISNA(VLOOKUP($CW80,'Audit Values'!$A:$BX,2,FALSE)),'Preliminary SO66'!AS79,VLOOKUP($CW80,'Audit Values'!$A:$BX,64,FALSE))</f>
        <v>778</v>
      </c>
      <c r="AE80" s="24">
        <f>IF(ISNA(VLOOKUP($CW80,'Audit Values'!$A:$BX,2,FALSE)),'Preliminary SO66'!AP79,VLOOKUP($CW80,'Audit Values'!$A:$BX,65,FALSE))</f>
        <v>203</v>
      </c>
      <c r="AF80" s="58">
        <f>IF(A80=207, AE80,(AE80))*'Weighting Factors'!$O$9</f>
        <v>98.3</v>
      </c>
      <c r="AG80" s="58">
        <f t="shared" si="50"/>
        <v>0</v>
      </c>
      <c r="AH80" s="58">
        <f>IF(ISNA(VLOOKUP($CW80,'Audit Values'!$A:$BZ,2,FALSE)),'Preliminary SO66'!AG79,VLOOKUP($CW80,'Audit Values'!$A:$BZ,71,FALSE))</f>
        <v>0</v>
      </c>
      <c r="AI80" s="58">
        <f t="shared" si="64"/>
        <v>0</v>
      </c>
      <c r="AJ80" s="58">
        <f>IF(ISNA(VLOOKUP($CW80,'Audit Values'!$A:$BX,2,FALSE)),'Preliminary SO66'!AR79,VLOOKUP($CW80,'Audit Values'!$A:$BX,66,FALSE))</f>
        <v>189</v>
      </c>
      <c r="AK80" s="24">
        <f t="shared" si="65"/>
        <v>205485</v>
      </c>
      <c r="AL80" s="58">
        <f>AK80/'Weighting Factors'!$O$5</f>
        <v>40.4</v>
      </c>
      <c r="AM80" s="58">
        <f>CJ80/'Weighting Factors'!$O$5</f>
        <v>0</v>
      </c>
      <c r="AN80" s="58">
        <f>CN80/'Weighting Factors'!$O$5</f>
        <v>0</v>
      </c>
      <c r="AO80" s="24">
        <v>935085</v>
      </c>
      <c r="AP80" s="58">
        <f>AO80/'Weighting Factors'!$O$5</f>
        <v>183.8</v>
      </c>
      <c r="AQ80" s="58">
        <f>IF(ISNA(VLOOKUP($CW80,'Audit Values'!$A:$BX,2,FALSE)),'Preliminary SO66'!X79,VLOOKUP($CW80,'Audit Values'!$A:$BX,48,FALSE))</f>
        <v>0</v>
      </c>
      <c r="AR80" s="58">
        <f t="shared" si="94"/>
        <v>1398.5</v>
      </c>
      <c r="AS80" s="58">
        <f t="shared" si="95"/>
        <v>1214.7</v>
      </c>
      <c r="AT80" s="58">
        <f>IF(ISNA(VLOOKUP($CW80,'Audit Values'!$A$2:$BX$410,2,FALSE)),'Preliminary SO66'!AA79,VLOOKUP($CW80,'Audit Values'!$A$2:$BX$410,41,FALSE))</f>
        <v>0</v>
      </c>
      <c r="AU80" s="58">
        <f>IF(ISNA(VLOOKUP($CW80,'Audit Values'!$A$2:$BX$410,2,FALSE)),'Preliminary SO66'!AB79,VLOOKUP($CW80,'Audit Values'!$A$2:$BX$410,42,FALSE))</f>
        <v>0</v>
      </c>
      <c r="AV80" s="73">
        <v>0</v>
      </c>
      <c r="AW80" s="73">
        <v>0</v>
      </c>
      <c r="AX80" s="24">
        <f>SUM(AT80*'Weighting Factors'!$R$10)+('2024 Legal Max'!AU80*'Weighting Factors'!$R$11)+('2024 Legal Max'!AV80*'Weighting Factors'!$R$12)+('2024 Legal Max'!AW80*'Weighting Factors'!$R$12)</f>
        <v>0</v>
      </c>
      <c r="AY80" s="54">
        <f>IF(ISNA(VLOOKUP($CW80,'Audit Values'!$A$2:$BX$429,2,FALSE)),"",IF(AND('Weighting Factors'!G80&gt;0,VLOOKUP($CW80,'Audit Values'!$A$2:$BX$429,51,FALSE)&lt;'Weighting Factors'!G80),'Weighting Factors'!G80,VLOOKUP($CW80,'Audit Values'!$A$2:$BX$429,51,FALSE)))</f>
        <v>1</v>
      </c>
      <c r="AZ80" s="54" t="str">
        <f>IF(ISNA(VLOOKUP($CW80,'Audit Values'!$A:$BY,2,FALSE)),"",VLOOKUP($CW80,'Audit Values'!$A:$BY,52,FALSE))</f>
        <v>A</v>
      </c>
      <c r="BA80" s="54" t="str">
        <f>IF('Weighting Factors'!F80="","",IF('Weighting Factors'!H80="Pending","PX","R"))</f>
        <v/>
      </c>
      <c r="BB80" s="60">
        <f>SUM((U80+V80+AA80+AC80+AF80+AI80+AL80+AM80+AQ80+AN80)*'Weighting Factors'!$O$5)+'2024 Legal Max'!AX80</f>
        <v>6180394</v>
      </c>
      <c r="BC80" s="24">
        <f>SUM((AR80+AN80)*'Weighting Factors'!$O$5)+AX80</f>
        <v>7115568</v>
      </c>
      <c r="BD80" s="67">
        <f>IF('Weighting Factors'!F80&gt;0,'Weighting Factors'!F80,'Preliminary SO66'!AV79)</f>
        <v>7344019</v>
      </c>
      <c r="BE80" s="24">
        <f t="shared" si="66"/>
        <v>7115568</v>
      </c>
      <c r="BF80" s="71">
        <f>'Weighting Factors'!E80</f>
        <v>0</v>
      </c>
      <c r="BG80" s="71">
        <f>Transportation!G80</f>
        <v>0</v>
      </c>
      <c r="BH80" s="24">
        <f>IF(ISNA(VLOOKUP($CW80,'Audit Values'!$A:$BW,2,FALSE)), 0, VLOOKUP($CW80,'Audit Values'!$A:$BW,75,FALSE))</f>
        <v>0</v>
      </c>
      <c r="BI80" s="24">
        <f t="shared" si="67"/>
        <v>0</v>
      </c>
      <c r="BJ80" s="24">
        <f t="shared" si="68"/>
        <v>7115568</v>
      </c>
      <c r="BK80" s="24">
        <f>SUM((U80+V80+AA80+AC80+AF80+AI80+AL80+AM80+AN80)*'Weighting Factors'!O$12)+(MAX(AO80,'Weighting Factors'!B80))</f>
        <v>7200508</v>
      </c>
      <c r="BL80" s="78">
        <f>'LOB%'!F78</f>
        <v>0.33</v>
      </c>
      <c r="BM80" s="24">
        <f t="shared" si="75"/>
        <v>2376168</v>
      </c>
      <c r="BN80" s="67">
        <v>2452221</v>
      </c>
      <c r="BO80" s="24">
        <f t="shared" si="69"/>
        <v>2376168</v>
      </c>
      <c r="BP80" s="89">
        <f t="shared" si="76"/>
        <v>0.33</v>
      </c>
      <c r="BQ80" s="58">
        <f t="shared" si="77"/>
        <v>0</v>
      </c>
      <c r="BR80" s="1" t="b">
        <f t="shared" si="78"/>
        <v>0</v>
      </c>
      <c r="BS80" s="76">
        <f t="shared" si="79"/>
        <v>0</v>
      </c>
      <c r="BT80" s="75">
        <f t="shared" si="70"/>
        <v>0</v>
      </c>
      <c r="BU80" s="58">
        <f t="shared" si="80"/>
        <v>0</v>
      </c>
      <c r="BV80" s="1" t="b">
        <f t="shared" si="81"/>
        <v>1</v>
      </c>
      <c r="BW80" s="1">
        <f t="shared" si="82"/>
        <v>618.75</v>
      </c>
      <c r="BX80" s="75">
        <f t="shared" si="71"/>
        <v>0.31431199999999998</v>
      </c>
      <c r="BY80" s="58">
        <f t="shared" si="83"/>
        <v>251.4</v>
      </c>
      <c r="BZ80" s="58">
        <f t="shared" si="84"/>
        <v>0</v>
      </c>
      <c r="CA80" s="61">
        <v>126</v>
      </c>
      <c r="CB80" s="102">
        <f t="shared" si="85"/>
        <v>1.5</v>
      </c>
      <c r="CC80" s="105">
        <f>IF(CB80&lt;0.06,1,IF(CB80&gt;=18.29,52,MATCH(CB80-0.001,'Weighting Factors'!$W$5:$W$156)+1))</f>
        <v>35</v>
      </c>
      <c r="CD80" s="24">
        <f>VLOOKUP(CC80, 'Weighting Factors'!$U$5:$X$56,4)</f>
        <v>890</v>
      </c>
      <c r="CE80" s="109">
        <f>('Weighting Factors'!$O$5/'Weighting Factors'!$O$14)</f>
        <v>1.2216</v>
      </c>
      <c r="CF80" s="100">
        <f t="shared" si="86"/>
        <v>168210</v>
      </c>
      <c r="CG80" s="100">
        <f>CF80*'Weighting Factors'!$Q$7</f>
        <v>168210</v>
      </c>
      <c r="CH80" s="100">
        <f t="shared" si="72"/>
        <v>205485</v>
      </c>
      <c r="CI80" s="58">
        <f>AK80/'Weighting Factors'!$O$5</f>
        <v>40.4</v>
      </c>
      <c r="CJ80" s="67">
        <v>0</v>
      </c>
      <c r="CK80" s="80">
        <v>0</v>
      </c>
      <c r="CL80" s="110">
        <v>0</v>
      </c>
      <c r="CM80" s="24">
        <f>SUM((AR80*'Weighting Factors'!$O$5)+'2024 Legal Max'!AX80)*CL80</f>
        <v>0</v>
      </c>
      <c r="CN80" s="24">
        <f t="shared" si="73"/>
        <v>0</v>
      </c>
      <c r="CO80" s="65">
        <f t="shared" si="74"/>
        <v>0.26090000000000002</v>
      </c>
      <c r="CP80" s="58">
        <f t="shared" si="87"/>
        <v>0</v>
      </c>
      <c r="CQ80" s="58">
        <f t="shared" si="88"/>
        <v>0</v>
      </c>
      <c r="CR80" s="58">
        <f t="shared" si="89"/>
        <v>1398.5</v>
      </c>
      <c r="CS80" s="24">
        <f>'Required Transfers'!L80</f>
        <v>168708</v>
      </c>
      <c r="CT80" s="24">
        <f>'Required Transfers'!O80</f>
        <v>0</v>
      </c>
      <c r="CU80" s="24">
        <f>'Required Transfers'!H80</f>
        <v>500150</v>
      </c>
      <c r="CV80" s="58">
        <f t="shared" si="90"/>
        <v>761</v>
      </c>
      <c r="CW80" s="27" t="s">
        <v>265</v>
      </c>
    </row>
    <row r="81" spans="1:101" ht="15" customHeight="1">
      <c r="A81" s="54">
        <v>269</v>
      </c>
      <c r="B81" s="1" t="s">
        <v>35</v>
      </c>
      <c r="C81" s="1" t="s">
        <v>586</v>
      </c>
      <c r="D81" s="58">
        <v>86.5</v>
      </c>
      <c r="E81" s="58"/>
      <c r="F81" s="58">
        <v>0</v>
      </c>
      <c r="G81" s="58">
        <f t="shared" si="91"/>
        <v>86.5</v>
      </c>
      <c r="H81" s="58">
        <v>80</v>
      </c>
      <c r="I81" s="58"/>
      <c r="J81" s="58">
        <v>0</v>
      </c>
      <c r="K81" s="58">
        <f t="shared" si="92"/>
        <v>80</v>
      </c>
      <c r="L81" s="1">
        <v>85</v>
      </c>
      <c r="N81" s="1">
        <v>0</v>
      </c>
      <c r="O81" s="58">
        <f t="shared" si="93"/>
        <v>85</v>
      </c>
      <c r="P81" s="58">
        <f>IF(ISNA(VLOOKUP($CW81,'Audit Values'!$A:$BZ,2,FALSE)),'Preliminary SO66'!C80,VLOOKUP($CW81,'Audit Values'!$A:$BZ,76,FALSE))</f>
        <v>71.5</v>
      </c>
      <c r="Q81" s="58">
        <f>IF(ISNA(VLOOKUP($CW81,'Audit Values'!$A:$BZ,2,FALSE)),'Preliminary SO66'!F80,VLOOKUP($CW81,'Audit Values'!$A:$BZ,4,FALSE))</f>
        <v>0</v>
      </c>
      <c r="R81" s="58">
        <f t="shared" si="61"/>
        <v>71.5</v>
      </c>
      <c r="S81" s="58">
        <f>IF('Military Provision'!I81="YES", MAX('2024 Legal Max'!O81,'2024 Legal Max'!K81,AVERAGE('2024 Legal Max'!G81,'2024 Legal Max'!K81,'2024 Legal Max'!O81)), MAX(O81, K81))</f>
        <v>85</v>
      </c>
      <c r="T81" s="58">
        <f>IF(ISNA(VLOOKUP($CW81,'Audit Values'!$A:$BX,2,FALSE)),'Preliminary SO66'!AL80,VLOOKUP($CW81,'Audit Values'!$A:$BX,59,FALSE))</f>
        <v>2.5</v>
      </c>
      <c r="U81" s="58">
        <f t="shared" si="62"/>
        <v>87.5</v>
      </c>
      <c r="V81" s="58">
        <f>'Low-High ENRL- 2023 HSubSB 113'!N84</f>
        <v>88.8</v>
      </c>
      <c r="W81" s="58">
        <f>IF(ISNA(VLOOKUP($CW81,'Audit Values'!$A:$BZ,2,FALSE)),'Preliminary SO66'!AM80,VLOOKUP($CW81,'Audit Values'!$A:$BZ,63,FALSE))</f>
        <v>0</v>
      </c>
      <c r="X81" s="58">
        <f>(W81/6)*'Weighting Factors'!$O$7</f>
        <v>0</v>
      </c>
      <c r="Y81" s="61">
        <f>IF(ISNA(VLOOKUP($CW81,'Audit Values'!$A:$BZ,2,FALSE)),'Preliminary SO66'!AN80,VLOOKUP($CW81,'Audit Values'!$A:$BZ,62,FALSE))</f>
        <v>0</v>
      </c>
      <c r="Z81" s="58">
        <f>Y81*'Weighting Factors'!$O$8</f>
        <v>0</v>
      </c>
      <c r="AA81" s="58">
        <f t="shared" si="63"/>
        <v>0</v>
      </c>
      <c r="AB81" s="106">
        <f>IF(ISNA(VLOOKUP($CW81,'Audit Values'!$A:$BZ,2,FALSE)),'Preliminary SO66'!AO80,VLOOKUP($CW81,'Audit Values'!$A:$BZ,61,FALSE))</f>
        <v>15.8</v>
      </c>
      <c r="AC81" s="58">
        <f>AB81/6*'Weighting Factors'!$O$6</f>
        <v>1.3</v>
      </c>
      <c r="AD81" s="24">
        <f>IF(ISNA(VLOOKUP($CW81,'Audit Values'!$A:$BX,2,FALSE)),'Preliminary SO66'!AS80,VLOOKUP($CW81,'Audit Values'!$A:$BX,64,FALSE))</f>
        <v>78</v>
      </c>
      <c r="AE81" s="24">
        <f>IF(ISNA(VLOOKUP($CW81,'Audit Values'!$A:$BX,2,FALSE)),'Preliminary SO66'!AP80,VLOOKUP($CW81,'Audit Values'!$A:$BX,65,FALSE))</f>
        <v>30</v>
      </c>
      <c r="AF81" s="58">
        <f>IF(A81=207, AE81,(AE81))*'Weighting Factors'!$O$9</f>
        <v>14.5</v>
      </c>
      <c r="AG81" s="58">
        <f t="shared" si="50"/>
        <v>0.7</v>
      </c>
      <c r="AH81" s="58">
        <f>IF(ISNA(VLOOKUP($CW81,'Audit Values'!$A:$BZ,2,FALSE)),'Preliminary SO66'!AG80,VLOOKUP($CW81,'Audit Values'!$A:$BZ,71,FALSE))</f>
        <v>2.2999999999999998</v>
      </c>
      <c r="AI81" s="58">
        <f t="shared" si="64"/>
        <v>2.2999999999999998</v>
      </c>
      <c r="AJ81" s="58">
        <f>IF(ISNA(VLOOKUP($CW81,'Audit Values'!$A:$BX,2,FALSE)),'Preliminary SO66'!AR80,VLOOKUP($CW81,'Audit Values'!$A:$BX,66,FALSE))</f>
        <v>37</v>
      </c>
      <c r="AK81" s="24">
        <f t="shared" si="65"/>
        <v>61923</v>
      </c>
      <c r="AL81" s="58">
        <f>AK81/'Weighting Factors'!$O$5</f>
        <v>12.2</v>
      </c>
      <c r="AM81" s="58">
        <f>CJ81/'Weighting Factors'!$O$5</f>
        <v>0</v>
      </c>
      <c r="AN81" s="58">
        <f>CN81/'Weighting Factors'!$O$5</f>
        <v>0</v>
      </c>
      <c r="AO81" s="24">
        <v>105849</v>
      </c>
      <c r="AP81" s="58">
        <f>AO81/'Weighting Factors'!$O$5</f>
        <v>20.8</v>
      </c>
      <c r="AQ81" s="58">
        <f>IF(ISNA(VLOOKUP($CW81,'Audit Values'!$A:$BX,2,FALSE)),'Preliminary SO66'!X80,VLOOKUP($CW81,'Audit Values'!$A:$BX,48,FALSE))</f>
        <v>0</v>
      </c>
      <c r="AR81" s="58">
        <f t="shared" si="94"/>
        <v>227.4</v>
      </c>
      <c r="AS81" s="58">
        <f t="shared" si="95"/>
        <v>206.6</v>
      </c>
      <c r="AT81" s="58">
        <f>IF(ISNA(VLOOKUP($CW81,'Audit Values'!$A$2:$BX$410,2,FALSE)),'Preliminary SO66'!AA80,VLOOKUP($CW81,'Audit Values'!$A$2:$BX$410,41,FALSE))</f>
        <v>0</v>
      </c>
      <c r="AU81" s="58">
        <f>IF(ISNA(VLOOKUP($CW81,'Audit Values'!$A$2:$BX$410,2,FALSE)),'Preliminary SO66'!AB80,VLOOKUP($CW81,'Audit Values'!$A$2:$BX$410,42,FALSE))</f>
        <v>0</v>
      </c>
      <c r="AV81" s="73">
        <v>0</v>
      </c>
      <c r="AW81" s="73">
        <v>0</v>
      </c>
      <c r="AX81" s="24">
        <f>SUM(AT81*'Weighting Factors'!$R$10)+('2024 Legal Max'!AU81*'Weighting Factors'!$R$11)+('2024 Legal Max'!AV81*'Weighting Factors'!$R$12)+('2024 Legal Max'!AW81*'Weighting Factors'!$R$12)</f>
        <v>0</v>
      </c>
      <c r="AY81" s="54">
        <f>IF(ISNA(VLOOKUP($CW81,'Audit Values'!$A$2:$BX$429,2,FALSE)),"",IF(AND('Weighting Factors'!G81&gt;0,VLOOKUP($CW81,'Audit Values'!$A$2:$BX$429,51,FALSE)&lt;'Weighting Factors'!G81),'Weighting Factors'!G81,VLOOKUP($CW81,'Audit Values'!$A$2:$BX$429,51,FALSE)))</f>
        <v>7</v>
      </c>
      <c r="AZ81" s="54" t="str">
        <f>IF(ISNA(VLOOKUP($CW81,'Audit Values'!$A:$BY,2,FALSE)),"",VLOOKUP($CW81,'Audit Values'!$A:$BY,52,FALSE))</f>
        <v>A</v>
      </c>
      <c r="BA81" s="54" t="str">
        <f>IF('Weighting Factors'!F81="","",IF('Weighting Factors'!H81="Pending","PX","R"))</f>
        <v/>
      </c>
      <c r="BB81" s="60">
        <f>SUM((U81+V81+AA81+AC81+AF81+AI81+AL81+AM81+AQ81+AN81)*'Weighting Factors'!$O$5)+'2024 Legal Max'!AX81</f>
        <v>1051181</v>
      </c>
      <c r="BC81" s="24">
        <f>SUM((AR81+AN81)*'Weighting Factors'!$O$5)+AX81</f>
        <v>1157011</v>
      </c>
      <c r="BD81" s="67">
        <f>IF('Weighting Factors'!F81&gt;0,'Weighting Factors'!F81,'Preliminary SO66'!AV80)</f>
        <v>1281667</v>
      </c>
      <c r="BE81" s="24">
        <f t="shared" si="66"/>
        <v>1157011</v>
      </c>
      <c r="BF81" s="71">
        <f>'Weighting Factors'!E81</f>
        <v>0</v>
      </c>
      <c r="BG81" s="71">
        <f>Transportation!G81</f>
        <v>0</v>
      </c>
      <c r="BH81" s="24">
        <f>IF(ISNA(VLOOKUP($CW81,'Audit Values'!$A:$BW,2,FALSE)), 0, VLOOKUP($CW81,'Audit Values'!$A:$BW,75,FALSE))</f>
        <v>0</v>
      </c>
      <c r="BI81" s="24">
        <f t="shared" si="67"/>
        <v>0</v>
      </c>
      <c r="BJ81" s="24">
        <f t="shared" si="68"/>
        <v>1157011</v>
      </c>
      <c r="BK81" s="24">
        <f>SUM((U81+V81+AA81+AC81+AF81+AI81+AL81+AM81+AN81)*'Weighting Factors'!O$12)+(MAX(AO81,'Weighting Factors'!B81))</f>
        <v>1284253</v>
      </c>
      <c r="BL81" s="78">
        <f>'LOB%'!F79</f>
        <v>0.33</v>
      </c>
      <c r="BM81" s="24">
        <f t="shared" si="75"/>
        <v>423803</v>
      </c>
      <c r="BN81" s="67">
        <v>441335</v>
      </c>
      <c r="BO81" s="24">
        <f t="shared" si="69"/>
        <v>423803</v>
      </c>
      <c r="BP81" s="89">
        <f t="shared" si="76"/>
        <v>0.33</v>
      </c>
      <c r="BQ81" s="58">
        <f t="shared" si="77"/>
        <v>88.8</v>
      </c>
      <c r="BR81" s="1" t="b">
        <f t="shared" si="78"/>
        <v>0</v>
      </c>
      <c r="BS81" s="76">
        <f t="shared" si="79"/>
        <v>0</v>
      </c>
      <c r="BT81" s="75">
        <f t="shared" si="70"/>
        <v>0</v>
      </c>
      <c r="BU81" s="58">
        <f t="shared" si="80"/>
        <v>0</v>
      </c>
      <c r="BV81" s="1" t="b">
        <f t="shared" si="81"/>
        <v>0</v>
      </c>
      <c r="BW81" s="1">
        <f t="shared" si="82"/>
        <v>0</v>
      </c>
      <c r="BX81" s="75">
        <f t="shared" si="71"/>
        <v>0</v>
      </c>
      <c r="BY81" s="58">
        <f t="shared" si="83"/>
        <v>0</v>
      </c>
      <c r="BZ81" s="58">
        <f t="shared" si="84"/>
        <v>0</v>
      </c>
      <c r="CA81" s="61">
        <v>248.6</v>
      </c>
      <c r="CB81" s="102">
        <f t="shared" si="85"/>
        <v>0.14899999999999999</v>
      </c>
      <c r="CC81" s="105">
        <f>IF(CB81&lt;0.06,1,IF(CB81&gt;=18.29,52,MATCH(CB81-0.001,'Weighting Factors'!$W$5:$W$156)+1))</f>
        <v>10</v>
      </c>
      <c r="CD81" s="24">
        <f>VLOOKUP(CC81, 'Weighting Factors'!$U$5:$X$56,4)</f>
        <v>1370</v>
      </c>
      <c r="CE81" s="109">
        <f>('Weighting Factors'!$O$5/'Weighting Factors'!$O$14)</f>
        <v>1.2216</v>
      </c>
      <c r="CF81" s="100">
        <f t="shared" si="86"/>
        <v>50690</v>
      </c>
      <c r="CG81" s="100">
        <f>CF81*'Weighting Factors'!$Q$7</f>
        <v>50690</v>
      </c>
      <c r="CH81" s="100">
        <f t="shared" si="72"/>
        <v>61923</v>
      </c>
      <c r="CI81" s="58">
        <f>AK81/'Weighting Factors'!$O$5</f>
        <v>12.2</v>
      </c>
      <c r="CJ81" s="67">
        <v>0</v>
      </c>
      <c r="CK81" s="80">
        <v>0</v>
      </c>
      <c r="CL81" s="110">
        <v>0</v>
      </c>
      <c r="CM81" s="24">
        <f>SUM((AR81*'Weighting Factors'!$O$5)+'2024 Legal Max'!AX81)*CL81</f>
        <v>0</v>
      </c>
      <c r="CN81" s="24">
        <f t="shared" si="73"/>
        <v>0</v>
      </c>
      <c r="CO81" s="65">
        <f t="shared" si="74"/>
        <v>0.3846</v>
      </c>
      <c r="CP81" s="58">
        <f t="shared" si="87"/>
        <v>0</v>
      </c>
      <c r="CQ81" s="58">
        <f t="shared" si="88"/>
        <v>0.7</v>
      </c>
      <c r="CR81" s="58">
        <f t="shared" si="89"/>
        <v>227.4</v>
      </c>
      <c r="CS81" s="24">
        <f>'Required Transfers'!L81</f>
        <v>27335</v>
      </c>
      <c r="CT81" s="24">
        <f>'Required Transfers'!O81</f>
        <v>0</v>
      </c>
      <c r="CU81" s="24">
        <f>'Required Transfers'!H81</f>
        <v>85478</v>
      </c>
      <c r="CV81" s="58">
        <f t="shared" si="90"/>
        <v>74</v>
      </c>
      <c r="CW81" s="27" t="s">
        <v>266</v>
      </c>
    </row>
    <row r="82" spans="1:101" ht="15" customHeight="1">
      <c r="A82" s="54">
        <v>270</v>
      </c>
      <c r="B82" s="1" t="s">
        <v>35</v>
      </c>
      <c r="C82" s="1" t="s">
        <v>587</v>
      </c>
      <c r="D82" s="58">
        <v>337.4</v>
      </c>
      <c r="E82" s="58"/>
      <c r="F82" s="58">
        <v>0</v>
      </c>
      <c r="G82" s="58">
        <f t="shared" si="91"/>
        <v>337.4</v>
      </c>
      <c r="H82" s="58">
        <v>333</v>
      </c>
      <c r="I82" s="58"/>
      <c r="J82" s="58">
        <v>0</v>
      </c>
      <c r="K82" s="58">
        <f t="shared" si="92"/>
        <v>333</v>
      </c>
      <c r="L82" s="1">
        <v>380.5</v>
      </c>
      <c r="N82" s="1">
        <v>0</v>
      </c>
      <c r="O82" s="58">
        <f t="shared" si="93"/>
        <v>380.5</v>
      </c>
      <c r="P82" s="58">
        <f>IF(ISNA(VLOOKUP($CW82,'Audit Values'!$A:$BZ,2,FALSE)),'Preliminary SO66'!C81,VLOOKUP($CW82,'Audit Values'!$A:$BZ,76,FALSE))</f>
        <v>384.5</v>
      </c>
      <c r="Q82" s="58">
        <f>IF(ISNA(VLOOKUP($CW82,'Audit Values'!$A:$BZ,2,FALSE)),'Preliminary SO66'!F81,VLOOKUP($CW82,'Audit Values'!$A:$BZ,4,FALSE))</f>
        <v>0</v>
      </c>
      <c r="R82" s="58">
        <f t="shared" si="61"/>
        <v>384.5</v>
      </c>
      <c r="S82" s="58">
        <f>IF('Military Provision'!I82="YES", MAX('2024 Legal Max'!O82,'2024 Legal Max'!K82,AVERAGE('2024 Legal Max'!G82,'2024 Legal Max'!K82,'2024 Legal Max'!O82)), MAX(O82, K82))</f>
        <v>380.5</v>
      </c>
      <c r="T82" s="58">
        <f>IF(ISNA(VLOOKUP($CW82,'Audit Values'!$A:$BX,2,FALSE)),'Preliminary SO66'!AL81,VLOOKUP($CW82,'Audit Values'!$A:$BX,59,FALSE))</f>
        <v>9</v>
      </c>
      <c r="U82" s="58">
        <f t="shared" si="62"/>
        <v>389.5</v>
      </c>
      <c r="V82" s="58">
        <f>'Low-High ENRL- 2023 HSubSB 113'!N85</f>
        <v>176.7</v>
      </c>
      <c r="W82" s="58">
        <f>IF(ISNA(VLOOKUP($CW82,'Audit Values'!$A:$BZ,2,FALSE)),'Preliminary SO66'!AM81,VLOOKUP($CW82,'Audit Values'!$A:$BZ,63,FALSE))</f>
        <v>0</v>
      </c>
      <c r="X82" s="58">
        <f>(W82/6)*'Weighting Factors'!$O$7</f>
        <v>0</v>
      </c>
      <c r="Y82" s="61">
        <f>IF(ISNA(VLOOKUP($CW82,'Audit Values'!$A:$BZ,2,FALSE)),'Preliminary SO66'!AN81,VLOOKUP($CW82,'Audit Values'!$A:$BZ,62,FALSE))</f>
        <v>0</v>
      </c>
      <c r="Z82" s="58">
        <f>Y82*'Weighting Factors'!$O$8</f>
        <v>0</v>
      </c>
      <c r="AA82" s="58">
        <f t="shared" si="63"/>
        <v>0</v>
      </c>
      <c r="AB82" s="106">
        <f>IF(ISNA(VLOOKUP($CW82,'Audit Values'!$A:$BZ,2,FALSE)),'Preliminary SO66'!AO81,VLOOKUP($CW82,'Audit Values'!$A:$BZ,61,FALSE))</f>
        <v>147.5</v>
      </c>
      <c r="AC82" s="58">
        <f>AB82/6*'Weighting Factors'!$O$6</f>
        <v>12.3</v>
      </c>
      <c r="AD82" s="24">
        <f>IF(ISNA(VLOOKUP($CW82,'Audit Values'!$A:$BX,2,FALSE)),'Preliminary SO66'!AS81,VLOOKUP($CW82,'Audit Values'!$A:$BX,64,FALSE))</f>
        <v>407</v>
      </c>
      <c r="AE82" s="24">
        <f>IF(ISNA(VLOOKUP($CW82,'Audit Values'!$A:$BX,2,FALSE)),'Preliminary SO66'!AP81,VLOOKUP($CW82,'Audit Values'!$A:$BX,65,FALSE))</f>
        <v>150</v>
      </c>
      <c r="AF82" s="58">
        <f>IF(A82=207, AE82,(AE82))*'Weighting Factors'!$O$9</f>
        <v>72.599999999999994</v>
      </c>
      <c r="AG82" s="58">
        <f t="shared" si="50"/>
        <v>2</v>
      </c>
      <c r="AH82" s="58">
        <f>IF(ISNA(VLOOKUP($CW82,'Audit Values'!$A:$BZ,2,FALSE)),'Preliminary SO66'!AG81,VLOOKUP($CW82,'Audit Values'!$A:$BZ,71,FALSE))</f>
        <v>3.5</v>
      </c>
      <c r="AI82" s="58">
        <f t="shared" si="64"/>
        <v>3.5</v>
      </c>
      <c r="AJ82" s="58">
        <f>IF(ISNA(VLOOKUP($CW82,'Audit Values'!$A:$BX,2,FALSE)),'Preliminary SO66'!AR81,VLOOKUP($CW82,'Audit Values'!$A:$BX,66,FALSE))</f>
        <v>32</v>
      </c>
      <c r="AK82" s="24">
        <f t="shared" si="65"/>
        <v>55900</v>
      </c>
      <c r="AL82" s="58">
        <f>AK82/'Weighting Factors'!$O$5</f>
        <v>11</v>
      </c>
      <c r="AM82" s="58">
        <f>CJ82/'Weighting Factors'!$O$5</f>
        <v>0</v>
      </c>
      <c r="AN82" s="58">
        <f>CN82/'Weighting Factors'!$O$5</f>
        <v>0</v>
      </c>
      <c r="AO82" s="24">
        <v>479881</v>
      </c>
      <c r="AP82" s="58">
        <f>AO82/'Weighting Factors'!$O$5</f>
        <v>94.3</v>
      </c>
      <c r="AQ82" s="58">
        <f>IF(ISNA(VLOOKUP($CW82,'Audit Values'!$A:$BX,2,FALSE)),'Preliminary SO66'!X81,VLOOKUP($CW82,'Audit Values'!$A:$BX,48,FALSE))</f>
        <v>0</v>
      </c>
      <c r="AR82" s="58">
        <f t="shared" si="94"/>
        <v>759.9</v>
      </c>
      <c r="AS82" s="58">
        <f t="shared" si="95"/>
        <v>665.6</v>
      </c>
      <c r="AT82" s="58">
        <f>IF(ISNA(VLOOKUP($CW82,'Audit Values'!$A$2:$BX$410,2,FALSE)),'Preliminary SO66'!AA81,VLOOKUP($CW82,'Audit Values'!$A$2:$BX$410,41,FALSE))</f>
        <v>0</v>
      </c>
      <c r="AU82" s="58">
        <f>IF(ISNA(VLOOKUP($CW82,'Audit Values'!$A$2:$BX$410,2,FALSE)),'Preliminary SO66'!AB81,VLOOKUP($CW82,'Audit Values'!$A$2:$BX$410,42,FALSE))</f>
        <v>0</v>
      </c>
      <c r="AV82" s="73">
        <v>0</v>
      </c>
      <c r="AW82" s="73">
        <v>0</v>
      </c>
      <c r="AX82" s="24">
        <f>SUM(AT82*'Weighting Factors'!$R$10)+('2024 Legal Max'!AU82*'Weighting Factors'!$R$11)+('2024 Legal Max'!AV82*'Weighting Factors'!$R$12)+('2024 Legal Max'!AW82*'Weighting Factors'!$R$12)</f>
        <v>0</v>
      </c>
      <c r="AY82" s="54">
        <f>IF(ISNA(VLOOKUP($CW82,'Audit Values'!$A$2:$BX$429,2,FALSE)),"",IF(AND('Weighting Factors'!G82&gt;0,VLOOKUP($CW82,'Audit Values'!$A$2:$BX$429,51,FALSE)&lt;'Weighting Factors'!G82),'Weighting Factors'!G82,VLOOKUP($CW82,'Audit Values'!$A$2:$BX$429,51,FALSE)))</f>
        <v>25</v>
      </c>
      <c r="AZ82" s="54" t="str">
        <f>IF(ISNA(VLOOKUP($CW82,'Audit Values'!$A:$BY,2,FALSE)),"",VLOOKUP($CW82,'Audit Values'!$A:$BY,52,FALSE))</f>
        <v>A</v>
      </c>
      <c r="BA82" s="54" t="str">
        <f>IF('Weighting Factors'!F82="","",IF('Weighting Factors'!H82="Pending","PX","R"))</f>
        <v>R</v>
      </c>
      <c r="BB82" s="60">
        <f>SUM((U82+V82+AA82+AC82+AF82+AI82+AL82+AM82+AQ82+AN82)*'Weighting Factors'!$O$5)+'2024 Legal Max'!AX82</f>
        <v>3386573</v>
      </c>
      <c r="BC82" s="24">
        <f>SUM((AR82+AN82)*'Weighting Factors'!$O$5)+AX82</f>
        <v>3866371</v>
      </c>
      <c r="BD82" s="67">
        <f>IF('Weighting Factors'!F82&gt;0,'Weighting Factors'!F82,'Preliminary SO66'!AV81)</f>
        <v>3866371</v>
      </c>
      <c r="BE82" s="24">
        <f t="shared" si="66"/>
        <v>3866371</v>
      </c>
      <c r="BF82" s="71">
        <f>'Weighting Factors'!E82</f>
        <v>0</v>
      </c>
      <c r="BG82" s="71">
        <f>Transportation!G82</f>
        <v>0</v>
      </c>
      <c r="BH82" s="24">
        <f>IF(ISNA(VLOOKUP($CW82,'Audit Values'!$A:$BW,2,FALSE)), 0, VLOOKUP($CW82,'Audit Values'!$A:$BW,75,FALSE))</f>
        <v>0</v>
      </c>
      <c r="BI82" s="24">
        <f t="shared" si="67"/>
        <v>0</v>
      </c>
      <c r="BJ82" s="24">
        <f t="shared" si="68"/>
        <v>3866371</v>
      </c>
      <c r="BK82" s="24">
        <f>SUM((U82+V82+AA82+AC82+AF82+AI82+AL82+AM82+AN82)*'Weighting Factors'!O$12)+(MAX(AO82,'Weighting Factors'!B82))</f>
        <v>3913046</v>
      </c>
      <c r="BL82" s="78">
        <f>'LOB%'!F80</f>
        <v>0.33</v>
      </c>
      <c r="BM82" s="24">
        <f t="shared" si="75"/>
        <v>1291305</v>
      </c>
      <c r="BN82" s="67">
        <v>1281394</v>
      </c>
      <c r="BO82" s="24">
        <f t="shared" si="69"/>
        <v>1281394</v>
      </c>
      <c r="BP82" s="89">
        <f t="shared" si="76"/>
        <v>0.32750000000000001</v>
      </c>
      <c r="BQ82" s="58">
        <f t="shared" si="77"/>
        <v>0</v>
      </c>
      <c r="BR82" s="1" t="b">
        <f t="shared" si="78"/>
        <v>0</v>
      </c>
      <c r="BS82" s="76">
        <f t="shared" si="79"/>
        <v>0</v>
      </c>
      <c r="BT82" s="75">
        <f t="shared" si="70"/>
        <v>0</v>
      </c>
      <c r="BU82" s="58">
        <f t="shared" si="80"/>
        <v>0</v>
      </c>
      <c r="BV82" s="1" t="b">
        <f t="shared" si="81"/>
        <v>1</v>
      </c>
      <c r="BW82" s="1">
        <f t="shared" si="82"/>
        <v>110.7563</v>
      </c>
      <c r="BX82" s="75">
        <f t="shared" si="71"/>
        <v>0.45377899999999999</v>
      </c>
      <c r="BY82" s="58">
        <f t="shared" si="83"/>
        <v>176.7</v>
      </c>
      <c r="BZ82" s="58">
        <f t="shared" si="84"/>
        <v>0</v>
      </c>
      <c r="CA82" s="61">
        <v>275.8</v>
      </c>
      <c r="CB82" s="102">
        <f t="shared" si="85"/>
        <v>0.11600000000000001</v>
      </c>
      <c r="CC82" s="105">
        <f>IF(CB82&lt;0.06,1,IF(CB82&gt;=18.29,52,MATCH(CB82-0.001,'Weighting Factors'!$W$5:$W$156)+1))</f>
        <v>7</v>
      </c>
      <c r="CD82" s="24">
        <f>VLOOKUP(CC82, 'Weighting Factors'!$U$5:$X$56,4)</f>
        <v>1430</v>
      </c>
      <c r="CE82" s="109">
        <f>('Weighting Factors'!$O$5/'Weighting Factors'!$O$14)</f>
        <v>1.2216</v>
      </c>
      <c r="CF82" s="100">
        <f t="shared" si="86"/>
        <v>45760</v>
      </c>
      <c r="CG82" s="100">
        <f>CF82*'Weighting Factors'!$Q$7</f>
        <v>45760</v>
      </c>
      <c r="CH82" s="100">
        <f t="shared" si="72"/>
        <v>55900</v>
      </c>
      <c r="CI82" s="58">
        <f>AK82/'Weighting Factors'!$O$5</f>
        <v>11</v>
      </c>
      <c r="CJ82" s="67">
        <v>0</v>
      </c>
      <c r="CK82" s="80">
        <v>0</v>
      </c>
      <c r="CL82" s="110">
        <v>0</v>
      </c>
      <c r="CM82" s="24">
        <f>SUM((AR82*'Weighting Factors'!$O$5)+'2024 Legal Max'!AX82)*CL82</f>
        <v>0</v>
      </c>
      <c r="CN82" s="24">
        <f t="shared" si="73"/>
        <v>0</v>
      </c>
      <c r="CO82" s="65">
        <f t="shared" si="74"/>
        <v>0.36859999999999998</v>
      </c>
      <c r="CP82" s="58">
        <f t="shared" si="87"/>
        <v>0</v>
      </c>
      <c r="CQ82" s="58">
        <f t="shared" si="88"/>
        <v>2</v>
      </c>
      <c r="CR82" s="58">
        <f t="shared" si="89"/>
        <v>759.9</v>
      </c>
      <c r="CS82" s="24">
        <f>'Required Transfers'!L82</f>
        <v>123911</v>
      </c>
      <c r="CT82" s="24">
        <f>'Required Transfers'!O82</f>
        <v>0</v>
      </c>
      <c r="CU82" s="24">
        <f>'Required Transfers'!H82</f>
        <v>387197</v>
      </c>
      <c r="CV82" s="58">
        <f t="shared" si="90"/>
        <v>393.5</v>
      </c>
      <c r="CW82" s="27" t="s">
        <v>267</v>
      </c>
    </row>
    <row r="83" spans="1:101" ht="15" customHeight="1">
      <c r="A83" s="54">
        <v>271</v>
      </c>
      <c r="B83" s="1" t="s">
        <v>35</v>
      </c>
      <c r="C83" s="1" t="s">
        <v>588</v>
      </c>
      <c r="D83" s="58">
        <v>325</v>
      </c>
      <c r="E83" s="58"/>
      <c r="F83" s="58">
        <v>0</v>
      </c>
      <c r="G83" s="58">
        <f t="shared" si="91"/>
        <v>325</v>
      </c>
      <c r="H83" s="58">
        <v>307</v>
      </c>
      <c r="I83" s="58"/>
      <c r="J83" s="58">
        <v>0</v>
      </c>
      <c r="K83" s="58">
        <f t="shared" si="92"/>
        <v>307</v>
      </c>
      <c r="L83" s="1">
        <v>249.9</v>
      </c>
      <c r="N83" s="1">
        <v>0</v>
      </c>
      <c r="O83" s="58">
        <f t="shared" si="93"/>
        <v>249.9</v>
      </c>
      <c r="P83" s="58">
        <f>IF(ISNA(VLOOKUP($CW83,'Audit Values'!$A:$BZ,2,FALSE)),'Preliminary SO66'!C82,VLOOKUP($CW83,'Audit Values'!$A:$BZ,76,FALSE))</f>
        <v>266.3</v>
      </c>
      <c r="Q83" s="58">
        <f>IF(ISNA(VLOOKUP($CW83,'Audit Values'!$A:$BZ,2,FALSE)),'Preliminary SO66'!F82,VLOOKUP($CW83,'Audit Values'!$A:$BZ,4,FALSE))</f>
        <v>0</v>
      </c>
      <c r="R83" s="58">
        <f t="shared" si="61"/>
        <v>266.3</v>
      </c>
      <c r="S83" s="58">
        <f>IF('Military Provision'!I83="YES", MAX('2024 Legal Max'!O83,'2024 Legal Max'!K83,AVERAGE('2024 Legal Max'!G83,'2024 Legal Max'!K83,'2024 Legal Max'!O83)), MAX(O83, K83))</f>
        <v>307</v>
      </c>
      <c r="T83" s="58">
        <f>IF(ISNA(VLOOKUP($CW83,'Audit Values'!$A:$BX,2,FALSE)),'Preliminary SO66'!AL82,VLOOKUP($CW83,'Audit Values'!$A:$BX,59,FALSE))</f>
        <v>8</v>
      </c>
      <c r="U83" s="58">
        <f t="shared" si="62"/>
        <v>315</v>
      </c>
      <c r="V83" s="58">
        <f>'Low-High ENRL- 2023 HSubSB 113'!N86</f>
        <v>150.9</v>
      </c>
      <c r="W83" s="58">
        <f>IF(ISNA(VLOOKUP($CW83,'Audit Values'!$A:$BZ,2,FALSE)),'Preliminary SO66'!AM82,VLOOKUP($CW83,'Audit Values'!$A:$BZ,63,FALSE))</f>
        <v>0</v>
      </c>
      <c r="X83" s="58">
        <f>(W83/6)*'Weighting Factors'!$O$7</f>
        <v>0</v>
      </c>
      <c r="Y83" s="61">
        <f>IF(ISNA(VLOOKUP($CW83,'Audit Values'!$A:$BZ,2,FALSE)),'Preliminary SO66'!AN82,VLOOKUP($CW83,'Audit Values'!$A:$BZ,62,FALSE))</f>
        <v>2</v>
      </c>
      <c r="Z83" s="58">
        <f>Y83*'Weighting Factors'!$O$8</f>
        <v>0.4</v>
      </c>
      <c r="AA83" s="58">
        <f t="shared" si="63"/>
        <v>0.4</v>
      </c>
      <c r="AB83" s="106">
        <f>IF(ISNA(VLOOKUP($CW83,'Audit Values'!$A:$BZ,2,FALSE)),'Preliminary SO66'!AO82,VLOOKUP($CW83,'Audit Values'!$A:$BZ,61,FALSE))</f>
        <v>71.2</v>
      </c>
      <c r="AC83" s="58">
        <f>AB83/6*'Weighting Factors'!$O$6</f>
        <v>5.9</v>
      </c>
      <c r="AD83" s="24">
        <f>IF(ISNA(VLOOKUP($CW83,'Audit Values'!$A:$BX,2,FALSE)),'Preliminary SO66'!AS82,VLOOKUP($CW83,'Audit Values'!$A:$BX,64,FALSE))</f>
        <v>288</v>
      </c>
      <c r="AE83" s="24">
        <f>IF(ISNA(VLOOKUP($CW83,'Audit Values'!$A:$BX,2,FALSE)),'Preliminary SO66'!AP82,VLOOKUP($CW83,'Audit Values'!$A:$BX,65,FALSE))</f>
        <v>142</v>
      </c>
      <c r="AF83" s="58">
        <f>IF(A83=207, AE83,(AE83))*'Weighting Factors'!$O$9</f>
        <v>68.7</v>
      </c>
      <c r="AG83" s="58">
        <f t="shared" si="50"/>
        <v>14.2</v>
      </c>
      <c r="AH83" s="58">
        <f>IF(ISNA(VLOOKUP($CW83,'Audit Values'!$A:$BZ,2,FALSE)),'Preliminary SO66'!AG82,VLOOKUP($CW83,'Audit Values'!$A:$BZ,71,FALSE))</f>
        <v>13</v>
      </c>
      <c r="AI83" s="58">
        <f t="shared" si="64"/>
        <v>14.2</v>
      </c>
      <c r="AJ83" s="58">
        <f>IF(ISNA(VLOOKUP($CW83,'Audit Values'!$A:$BX,2,FALSE)),'Preliminary SO66'!AR82,VLOOKUP($CW83,'Audit Values'!$A:$BX,66,FALSE))</f>
        <v>41</v>
      </c>
      <c r="AK83" s="24">
        <f t="shared" si="65"/>
        <v>74127</v>
      </c>
      <c r="AL83" s="58">
        <f>AK83/'Weighting Factors'!$O$5</f>
        <v>14.6</v>
      </c>
      <c r="AM83" s="58">
        <f>CJ83/'Weighting Factors'!$O$5</f>
        <v>0</v>
      </c>
      <c r="AN83" s="58">
        <f>CN83/'Weighting Factors'!$O$5</f>
        <v>0</v>
      </c>
      <c r="AO83" s="24">
        <v>312027</v>
      </c>
      <c r="AP83" s="58">
        <f>AO83/'Weighting Factors'!$O$5</f>
        <v>61.3</v>
      </c>
      <c r="AQ83" s="58">
        <f>IF(ISNA(VLOOKUP($CW83,'Audit Values'!$A:$BX,2,FALSE)),'Preliminary SO66'!X82,VLOOKUP($CW83,'Audit Values'!$A:$BX,48,FALSE))</f>
        <v>0</v>
      </c>
      <c r="AR83" s="58">
        <f t="shared" si="94"/>
        <v>631</v>
      </c>
      <c r="AS83" s="58">
        <f t="shared" si="95"/>
        <v>569.70000000000005</v>
      </c>
      <c r="AT83" s="58">
        <f>IF(ISNA(VLOOKUP($CW83,'Audit Values'!$A$2:$BX$410,2,FALSE)),'Preliminary SO66'!AA82,VLOOKUP($CW83,'Audit Values'!$A$2:$BX$410,41,FALSE))</f>
        <v>0</v>
      </c>
      <c r="AU83" s="58">
        <f>IF(ISNA(VLOOKUP($CW83,'Audit Values'!$A$2:$BX$410,2,FALSE)),'Preliminary SO66'!AB82,VLOOKUP($CW83,'Audit Values'!$A$2:$BX$410,42,FALSE))</f>
        <v>0</v>
      </c>
      <c r="AV83" s="73">
        <v>0</v>
      </c>
      <c r="AW83" s="73">
        <v>0</v>
      </c>
      <c r="AX83" s="24">
        <f>SUM(AT83*'Weighting Factors'!$R$10)+('2024 Legal Max'!AU83*'Weighting Factors'!$R$11)+('2024 Legal Max'!AV83*'Weighting Factors'!$R$12)+('2024 Legal Max'!AW83*'Weighting Factors'!$R$12)</f>
        <v>0</v>
      </c>
      <c r="AY83" s="54">
        <f>IF(ISNA(VLOOKUP($CW83,'Audit Values'!$A$2:$BX$429,2,FALSE)),"",IF(AND('Weighting Factors'!G83&gt;0,VLOOKUP($CW83,'Audit Values'!$A$2:$BX$429,51,FALSE)&lt;'Weighting Factors'!G83),'Weighting Factors'!G83,VLOOKUP($CW83,'Audit Values'!$A$2:$BX$429,51,FALSE)))</f>
        <v>15</v>
      </c>
      <c r="AZ83" s="54" t="str">
        <f>IF(ISNA(VLOOKUP($CW83,'Audit Values'!$A:$BY,2,FALSE)),"",VLOOKUP($CW83,'Audit Values'!$A:$BY,52,FALSE))</f>
        <v>A</v>
      </c>
      <c r="BA83" s="54" t="str">
        <f>IF('Weighting Factors'!F83="","",IF('Weighting Factors'!H83="Pending","PX","R"))</f>
        <v/>
      </c>
      <c r="BB83" s="60">
        <f>SUM((U83+V83+AA83+AC83+AF83+AI83+AL83+AM83+AQ83+AN83)*'Weighting Factors'!$O$5)+'2024 Legal Max'!AX83</f>
        <v>2898634</v>
      </c>
      <c r="BC83" s="24">
        <f>SUM((AR83+AN83)*'Weighting Factors'!$O$5)+AX83</f>
        <v>3210528</v>
      </c>
      <c r="BD83" s="67">
        <f>IF('Weighting Factors'!F83&gt;0,'Weighting Factors'!F83,'Preliminary SO66'!AV82)</f>
        <v>3244618</v>
      </c>
      <c r="BE83" s="24">
        <f t="shared" si="66"/>
        <v>3210528</v>
      </c>
      <c r="BF83" s="71">
        <f>'Weighting Factors'!E83</f>
        <v>0</v>
      </c>
      <c r="BG83" s="71">
        <f>Transportation!G83</f>
        <v>0</v>
      </c>
      <c r="BH83" s="24">
        <f>IF(ISNA(VLOOKUP($CW83,'Audit Values'!$A:$BW,2,FALSE)), 0, VLOOKUP($CW83,'Audit Values'!$A:$BW,75,FALSE))</f>
        <v>0</v>
      </c>
      <c r="BI83" s="24">
        <f t="shared" si="67"/>
        <v>0</v>
      </c>
      <c r="BJ83" s="24">
        <f t="shared" si="68"/>
        <v>3210528</v>
      </c>
      <c r="BK83" s="24">
        <f>SUM((U83+V83+AA83+AC83+AF83+AI83+AL83+AM83+AN83)*'Weighting Factors'!O$12)+(MAX(AO83,'Weighting Factors'!B83))</f>
        <v>3310938</v>
      </c>
      <c r="BL83" s="78">
        <f>'LOB%'!F81</f>
        <v>0.33</v>
      </c>
      <c r="BM83" s="24">
        <f t="shared" si="75"/>
        <v>1092610</v>
      </c>
      <c r="BN83" s="67">
        <v>1103163</v>
      </c>
      <c r="BO83" s="24">
        <f t="shared" si="69"/>
        <v>1092610</v>
      </c>
      <c r="BP83" s="89">
        <f t="shared" si="76"/>
        <v>0.33</v>
      </c>
      <c r="BQ83" s="58">
        <f t="shared" si="77"/>
        <v>0</v>
      </c>
      <c r="BR83" s="1" t="b">
        <f t="shared" si="78"/>
        <v>0</v>
      </c>
      <c r="BS83" s="76">
        <f t="shared" si="79"/>
        <v>0</v>
      </c>
      <c r="BT83" s="75">
        <f t="shared" si="70"/>
        <v>0</v>
      </c>
      <c r="BU83" s="58">
        <f t="shared" si="80"/>
        <v>0</v>
      </c>
      <c r="BV83" s="1" t="b">
        <f t="shared" si="81"/>
        <v>1</v>
      </c>
      <c r="BW83" s="1">
        <f t="shared" si="82"/>
        <v>18.5625</v>
      </c>
      <c r="BX83" s="75">
        <f t="shared" si="71"/>
        <v>0.47909000000000002</v>
      </c>
      <c r="BY83" s="58">
        <f t="shared" si="83"/>
        <v>150.9</v>
      </c>
      <c r="BZ83" s="58">
        <f t="shared" si="84"/>
        <v>0</v>
      </c>
      <c r="CA83" s="61">
        <v>444.8</v>
      </c>
      <c r="CB83" s="102">
        <f t="shared" si="85"/>
        <v>9.1999999999999998E-2</v>
      </c>
      <c r="CC83" s="105">
        <f>IF(CB83&lt;0.06,1,IF(CB83&gt;=18.29,52,MATCH(CB83-0.001,'Weighting Factors'!$W$5:$W$156)+1))</f>
        <v>5</v>
      </c>
      <c r="CD83" s="24">
        <f>VLOOKUP(CC83, 'Weighting Factors'!$U$5:$X$56,4)</f>
        <v>1480</v>
      </c>
      <c r="CE83" s="109">
        <f>('Weighting Factors'!$O$5/'Weighting Factors'!$O$14)</f>
        <v>1.2216</v>
      </c>
      <c r="CF83" s="100">
        <f t="shared" si="86"/>
        <v>60680</v>
      </c>
      <c r="CG83" s="100">
        <f>CF83*'Weighting Factors'!$Q$7</f>
        <v>60680</v>
      </c>
      <c r="CH83" s="100">
        <f t="shared" si="72"/>
        <v>74127</v>
      </c>
      <c r="CI83" s="58">
        <f>AK83/'Weighting Factors'!$O$5</f>
        <v>14.6</v>
      </c>
      <c r="CJ83" s="67">
        <v>0</v>
      </c>
      <c r="CK83" s="80">
        <v>0</v>
      </c>
      <c r="CL83" s="110">
        <v>0</v>
      </c>
      <c r="CM83" s="24">
        <f>SUM((AR83*'Weighting Factors'!$O$5)+'2024 Legal Max'!AX83)*CL83</f>
        <v>0</v>
      </c>
      <c r="CN83" s="24">
        <f t="shared" si="73"/>
        <v>0</v>
      </c>
      <c r="CO83" s="65">
        <f t="shared" si="74"/>
        <v>0.49309999999999998</v>
      </c>
      <c r="CP83" s="58">
        <f t="shared" si="87"/>
        <v>0</v>
      </c>
      <c r="CQ83" s="58">
        <f t="shared" si="88"/>
        <v>14.2</v>
      </c>
      <c r="CR83" s="58">
        <f t="shared" si="89"/>
        <v>631</v>
      </c>
      <c r="CS83" s="24">
        <f>'Required Transfers'!L83</f>
        <v>120515</v>
      </c>
      <c r="CT83" s="24">
        <f>'Required Transfers'!O83</f>
        <v>656</v>
      </c>
      <c r="CU83" s="24">
        <f>'Required Transfers'!H83</f>
        <v>421795</v>
      </c>
      <c r="CV83" s="58">
        <f t="shared" si="90"/>
        <v>274.3</v>
      </c>
      <c r="CW83" s="27" t="s">
        <v>268</v>
      </c>
    </row>
    <row r="84" spans="1:101" ht="15" customHeight="1">
      <c r="A84" s="54">
        <v>272</v>
      </c>
      <c r="B84" s="1" t="s">
        <v>36</v>
      </c>
      <c r="C84" s="1" t="s">
        <v>589</v>
      </c>
      <c r="D84" s="58">
        <v>286.7</v>
      </c>
      <c r="E84" s="58"/>
      <c r="F84" s="58">
        <v>0</v>
      </c>
      <c r="G84" s="58">
        <f t="shared" si="91"/>
        <v>286.7</v>
      </c>
      <c r="H84" s="58">
        <v>295.3</v>
      </c>
      <c r="I84" s="58"/>
      <c r="J84" s="58">
        <v>0</v>
      </c>
      <c r="K84" s="58">
        <f t="shared" si="92"/>
        <v>295.3</v>
      </c>
      <c r="L84" s="1">
        <v>295.7</v>
      </c>
      <c r="N84" s="1">
        <v>0</v>
      </c>
      <c r="O84" s="58">
        <f t="shared" si="93"/>
        <v>295.7</v>
      </c>
      <c r="P84" s="58">
        <f>IF(ISNA(VLOOKUP($CW84,'Audit Values'!$A:$BZ,2,FALSE)),'Preliminary SO66'!C83,VLOOKUP($CW84,'Audit Values'!$A:$BZ,76,FALSE))</f>
        <v>293.7</v>
      </c>
      <c r="Q84" s="58">
        <f>IF(ISNA(VLOOKUP($CW84,'Audit Values'!$A:$BZ,2,FALSE)),'Preliminary SO66'!F83,VLOOKUP($CW84,'Audit Values'!$A:$BZ,4,FALSE))</f>
        <v>0</v>
      </c>
      <c r="R84" s="58">
        <f t="shared" si="61"/>
        <v>293.7</v>
      </c>
      <c r="S84" s="58">
        <f>IF('Military Provision'!I84="YES", MAX('2024 Legal Max'!O84,'2024 Legal Max'!K84,AVERAGE('2024 Legal Max'!G84,'2024 Legal Max'!K84,'2024 Legal Max'!O84)), MAX(O84, K84))</f>
        <v>295.7</v>
      </c>
      <c r="T84" s="58">
        <f>IF(ISNA(VLOOKUP($CW84,'Audit Values'!$A:$BX,2,FALSE)),'Preliminary SO66'!AL83,VLOOKUP($CW84,'Audit Values'!$A:$BX,59,FALSE))</f>
        <v>10.5</v>
      </c>
      <c r="U84" s="58">
        <f t="shared" si="62"/>
        <v>306.2</v>
      </c>
      <c r="V84" s="58">
        <f>'Low-High ENRL- 2023 HSubSB 113'!N87</f>
        <v>147.6</v>
      </c>
      <c r="W84" s="58">
        <f>IF(ISNA(VLOOKUP($CW84,'Audit Values'!$A:$BZ,2,FALSE)),'Preliminary SO66'!AM83,VLOOKUP($CW84,'Audit Values'!$A:$BZ,63,FALSE))</f>
        <v>0</v>
      </c>
      <c r="X84" s="58">
        <f>(W84/6)*'Weighting Factors'!$O$7</f>
        <v>0</v>
      </c>
      <c r="Y84" s="61">
        <f>IF(ISNA(VLOOKUP($CW84,'Audit Values'!$A:$BZ,2,FALSE)),'Preliminary SO66'!AN83,VLOOKUP($CW84,'Audit Values'!$A:$BZ,62,FALSE))</f>
        <v>0</v>
      </c>
      <c r="Z84" s="58">
        <f>Y84*'Weighting Factors'!$O$8</f>
        <v>0</v>
      </c>
      <c r="AA84" s="58">
        <f t="shared" si="63"/>
        <v>0</v>
      </c>
      <c r="AB84" s="106">
        <f>IF(ISNA(VLOOKUP($CW84,'Audit Values'!$A:$BZ,2,FALSE)),'Preliminary SO66'!AO83,VLOOKUP($CW84,'Audit Values'!$A:$BZ,61,FALSE))</f>
        <v>124.7</v>
      </c>
      <c r="AC84" s="58">
        <f>AB84/6*'Weighting Factors'!$O$6</f>
        <v>10.4</v>
      </c>
      <c r="AD84" s="24">
        <f>IF(ISNA(VLOOKUP($CW84,'Audit Values'!$A:$BX,2,FALSE)),'Preliminary SO66'!AS83,VLOOKUP($CW84,'Audit Values'!$A:$BX,64,FALSE))</f>
        <v>319</v>
      </c>
      <c r="AE84" s="24">
        <f>IF(ISNA(VLOOKUP($CW84,'Audit Values'!$A:$BX,2,FALSE)),'Preliminary SO66'!AP83,VLOOKUP($CW84,'Audit Values'!$A:$BX,65,FALSE))</f>
        <v>136</v>
      </c>
      <c r="AF84" s="58">
        <f>IF(A84=207, AE84,(AE84))*'Weighting Factors'!$O$9</f>
        <v>65.8</v>
      </c>
      <c r="AG84" s="58">
        <f t="shared" si="50"/>
        <v>7.3</v>
      </c>
      <c r="AH84" s="58">
        <f>IF(ISNA(VLOOKUP($CW84,'Audit Values'!$A:$BZ,2,FALSE)),'Preliminary SO66'!AG83,VLOOKUP($CW84,'Audit Values'!$A:$BZ,71,FALSE))</f>
        <v>11.7</v>
      </c>
      <c r="AI84" s="58">
        <f t="shared" si="64"/>
        <v>11.7</v>
      </c>
      <c r="AJ84" s="58">
        <f>IF(ISNA(VLOOKUP($CW84,'Audit Values'!$A:$BX,2,FALSE)),'Preliminary SO66'!AR83,VLOOKUP($CW84,'Audit Values'!$A:$BX,66,FALSE))</f>
        <v>146</v>
      </c>
      <c r="AK84" s="24">
        <f t="shared" si="65"/>
        <v>205107</v>
      </c>
      <c r="AL84" s="58">
        <f>AK84/'Weighting Factors'!$O$5</f>
        <v>40.299999999999997</v>
      </c>
      <c r="AM84" s="58">
        <f>CJ84/'Weighting Factors'!$O$5</f>
        <v>0</v>
      </c>
      <c r="AN84" s="58">
        <f>CN84/'Weighting Factors'!$O$5</f>
        <v>0</v>
      </c>
      <c r="AO84" s="24">
        <v>314812</v>
      </c>
      <c r="AP84" s="58">
        <f>AO84/'Weighting Factors'!$O$5</f>
        <v>61.9</v>
      </c>
      <c r="AQ84" s="58">
        <f>IF(ISNA(VLOOKUP($CW84,'Audit Values'!$A:$BX,2,FALSE)),'Preliminary SO66'!X83,VLOOKUP($CW84,'Audit Values'!$A:$BX,48,FALSE))</f>
        <v>0</v>
      </c>
      <c r="AR84" s="58">
        <f t="shared" si="94"/>
        <v>643.9</v>
      </c>
      <c r="AS84" s="58">
        <f t="shared" si="95"/>
        <v>582</v>
      </c>
      <c r="AT84" s="58">
        <f>IF(ISNA(VLOOKUP($CW84,'Audit Values'!$A$2:$BX$410,2,FALSE)),'Preliminary SO66'!AA83,VLOOKUP($CW84,'Audit Values'!$A$2:$BX$410,41,FALSE))</f>
        <v>0</v>
      </c>
      <c r="AU84" s="58">
        <f>IF(ISNA(VLOOKUP($CW84,'Audit Values'!$A$2:$BX$410,2,FALSE)),'Preliminary SO66'!AB83,VLOOKUP($CW84,'Audit Values'!$A$2:$BX$410,42,FALSE))</f>
        <v>0</v>
      </c>
      <c r="AV84" s="73">
        <v>0</v>
      </c>
      <c r="AW84" s="73">
        <v>0</v>
      </c>
      <c r="AX84" s="24">
        <f>SUM(AT84*'Weighting Factors'!$R$10)+('2024 Legal Max'!AU84*'Weighting Factors'!$R$11)+('2024 Legal Max'!AV84*'Weighting Factors'!$R$12)+('2024 Legal Max'!AW84*'Weighting Factors'!$R$12)</f>
        <v>0</v>
      </c>
      <c r="AY84" s="54">
        <f>IF(ISNA(VLOOKUP($CW84,'Audit Values'!$A$2:$BX$429,2,FALSE)),"",IF(AND('Weighting Factors'!G84&gt;0,VLOOKUP($CW84,'Audit Values'!$A$2:$BX$429,51,FALSE)&lt;'Weighting Factors'!G84),'Weighting Factors'!G84,VLOOKUP($CW84,'Audit Values'!$A$2:$BX$429,51,FALSE)))</f>
        <v>6</v>
      </c>
      <c r="AZ84" s="54" t="str">
        <f>IF(ISNA(VLOOKUP($CW84,'Audit Values'!$A:$BY,2,FALSE)),"",VLOOKUP($CW84,'Audit Values'!$A:$BY,52,FALSE))</f>
        <v>A</v>
      </c>
      <c r="BA84" s="54" t="str">
        <f>IF('Weighting Factors'!F84="","",IF('Weighting Factors'!H84="Pending","PX","R"))</f>
        <v/>
      </c>
      <c r="BB84" s="60">
        <f>SUM((U84+V84+AA84+AC84+AF84+AI84+AL84+AM84+AQ84+AN84)*'Weighting Factors'!$O$5)+'2024 Legal Max'!AX84</f>
        <v>2961216</v>
      </c>
      <c r="BC84" s="24">
        <f>SUM((AR84+AN84)*'Weighting Factors'!$O$5)+AX84</f>
        <v>3276163</v>
      </c>
      <c r="BD84" s="67">
        <f>IF('Weighting Factors'!F84&gt;0,'Weighting Factors'!F84,'Preliminary SO66'!AV83)</f>
        <v>3418627</v>
      </c>
      <c r="BE84" s="24">
        <f t="shared" si="66"/>
        <v>3276163</v>
      </c>
      <c r="BF84" s="71">
        <f>'Weighting Factors'!E84</f>
        <v>0</v>
      </c>
      <c r="BG84" s="71">
        <f>Transportation!G84</f>
        <v>0</v>
      </c>
      <c r="BH84" s="24">
        <f>IF(ISNA(VLOOKUP($CW84,'Audit Values'!$A:$BW,2,FALSE)), 0, VLOOKUP($CW84,'Audit Values'!$A:$BW,75,FALSE))</f>
        <v>0</v>
      </c>
      <c r="BI84" s="24">
        <f t="shared" si="67"/>
        <v>0</v>
      </c>
      <c r="BJ84" s="24">
        <f t="shared" si="68"/>
        <v>3276163</v>
      </c>
      <c r="BK84" s="24">
        <f>SUM((U84+V84+AA84+AC84+AF84+AI84+AL84+AM84+AN84)*'Weighting Factors'!O$12)+(MAX(AO84,'Weighting Factors'!B84))</f>
        <v>3375436</v>
      </c>
      <c r="BL84" s="78">
        <f>'LOB%'!F82</f>
        <v>0.33</v>
      </c>
      <c r="BM84" s="24">
        <f t="shared" si="75"/>
        <v>1113894</v>
      </c>
      <c r="BN84" s="67">
        <v>1141593</v>
      </c>
      <c r="BO84" s="24">
        <f t="shared" si="69"/>
        <v>1113894</v>
      </c>
      <c r="BP84" s="89">
        <f t="shared" si="76"/>
        <v>0.33</v>
      </c>
      <c r="BQ84" s="58">
        <f t="shared" si="77"/>
        <v>0</v>
      </c>
      <c r="BR84" s="1" t="b">
        <f t="shared" si="78"/>
        <v>0</v>
      </c>
      <c r="BS84" s="76">
        <f t="shared" si="79"/>
        <v>0</v>
      </c>
      <c r="BT84" s="75">
        <f t="shared" si="70"/>
        <v>0</v>
      </c>
      <c r="BU84" s="58">
        <f t="shared" si="80"/>
        <v>0</v>
      </c>
      <c r="BV84" s="1" t="b">
        <f t="shared" si="81"/>
        <v>1</v>
      </c>
      <c r="BW84" s="1">
        <f t="shared" si="82"/>
        <v>7.6725000000000003</v>
      </c>
      <c r="BX84" s="75">
        <f t="shared" si="71"/>
        <v>0.48208000000000001</v>
      </c>
      <c r="BY84" s="58">
        <f t="shared" si="83"/>
        <v>147.6</v>
      </c>
      <c r="BZ84" s="58">
        <f t="shared" si="84"/>
        <v>0</v>
      </c>
      <c r="CA84" s="61">
        <v>411.3</v>
      </c>
      <c r="CB84" s="102">
        <f t="shared" si="85"/>
        <v>0.35499999999999998</v>
      </c>
      <c r="CC84" s="105">
        <f>IF(CB84&lt;0.06,1,IF(CB84&gt;=18.29,52,MATCH(CB84-0.001,'Weighting Factors'!$W$5:$W$156)+1))</f>
        <v>22</v>
      </c>
      <c r="CD84" s="24">
        <f>VLOOKUP(CC84, 'Weighting Factors'!$U$5:$X$56,4)</f>
        <v>1150</v>
      </c>
      <c r="CE84" s="109">
        <f>('Weighting Factors'!$O$5/'Weighting Factors'!$O$14)</f>
        <v>1.2216</v>
      </c>
      <c r="CF84" s="100">
        <f t="shared" si="86"/>
        <v>167900</v>
      </c>
      <c r="CG84" s="100">
        <f>CF84*'Weighting Factors'!$Q$7</f>
        <v>167900</v>
      </c>
      <c r="CH84" s="100">
        <f t="shared" si="72"/>
        <v>205107</v>
      </c>
      <c r="CI84" s="58">
        <f>AK84/'Weighting Factors'!$O$5</f>
        <v>40.299999999999997</v>
      </c>
      <c r="CJ84" s="67">
        <v>0</v>
      </c>
      <c r="CK84" s="80">
        <v>0</v>
      </c>
      <c r="CL84" s="110">
        <v>0</v>
      </c>
      <c r="CM84" s="24">
        <f>SUM((AR84*'Weighting Factors'!$O$5)+'2024 Legal Max'!AX84)*CL84</f>
        <v>0</v>
      </c>
      <c r="CN84" s="24">
        <f t="shared" si="73"/>
        <v>0</v>
      </c>
      <c r="CO84" s="65">
        <f t="shared" si="74"/>
        <v>0.42630000000000001</v>
      </c>
      <c r="CP84" s="58">
        <f t="shared" si="87"/>
        <v>0</v>
      </c>
      <c r="CQ84" s="58">
        <f t="shared" si="88"/>
        <v>7.3</v>
      </c>
      <c r="CR84" s="58">
        <f t="shared" si="89"/>
        <v>643.9</v>
      </c>
      <c r="CS84" s="24">
        <f>'Required Transfers'!L84</f>
        <v>115734</v>
      </c>
      <c r="CT84" s="24">
        <f>'Required Transfers'!O84</f>
        <v>0</v>
      </c>
      <c r="CU84" s="24">
        <f>'Required Transfers'!H84</f>
        <v>394320</v>
      </c>
      <c r="CV84" s="58">
        <f t="shared" si="90"/>
        <v>304.2</v>
      </c>
      <c r="CW84" s="27" t="s">
        <v>269</v>
      </c>
    </row>
    <row r="85" spans="1:101" ht="15" customHeight="1">
      <c r="A85" s="54">
        <v>273</v>
      </c>
      <c r="B85" s="1" t="s">
        <v>36</v>
      </c>
      <c r="C85" s="1" t="s">
        <v>590</v>
      </c>
      <c r="D85" s="58">
        <v>731.9</v>
      </c>
      <c r="E85" s="58"/>
      <c r="F85" s="58">
        <v>0</v>
      </c>
      <c r="G85" s="58">
        <f t="shared" si="91"/>
        <v>731.9</v>
      </c>
      <c r="H85" s="58">
        <v>750.8</v>
      </c>
      <c r="I85" s="58">
        <v>0</v>
      </c>
      <c r="J85" s="58">
        <v>0</v>
      </c>
      <c r="K85" s="58">
        <f t="shared" si="92"/>
        <v>750.8</v>
      </c>
      <c r="L85" s="1">
        <v>771.9</v>
      </c>
      <c r="N85" s="1">
        <v>0</v>
      </c>
      <c r="O85" s="58">
        <f t="shared" si="93"/>
        <v>771.9</v>
      </c>
      <c r="P85" s="58">
        <f>IF(ISNA(VLOOKUP($CW85,'Audit Values'!$A:$BZ,2,FALSE)),'Preliminary SO66'!C84,VLOOKUP($CW85,'Audit Values'!$A:$BZ,76,FALSE))</f>
        <v>798.7</v>
      </c>
      <c r="Q85" s="58">
        <f>IF(ISNA(VLOOKUP($CW85,'Audit Values'!$A:$BZ,2,FALSE)),'Preliminary SO66'!F84,VLOOKUP($CW85,'Audit Values'!$A:$BZ,4,FALSE))</f>
        <v>0</v>
      </c>
      <c r="R85" s="58">
        <f t="shared" si="61"/>
        <v>798.7</v>
      </c>
      <c r="S85" s="58">
        <f>IF('Military Provision'!I85="YES", MAX('2024 Legal Max'!O85,'2024 Legal Max'!K85,AVERAGE('2024 Legal Max'!G85,'2024 Legal Max'!K85,'2024 Legal Max'!O85)), MAX(O85, K85))</f>
        <v>771.9</v>
      </c>
      <c r="T85" s="58">
        <f>IF(ISNA(VLOOKUP($CW85,'Audit Values'!$A:$BX,2,FALSE)),'Preliminary SO66'!AL84,VLOOKUP($CW85,'Audit Values'!$A:$BX,59,FALSE))</f>
        <v>30</v>
      </c>
      <c r="U85" s="58">
        <f t="shared" si="62"/>
        <v>801.9</v>
      </c>
      <c r="V85" s="58">
        <f>'Low-High ENRL- 2023 HSubSB 113'!N88</f>
        <v>251.5</v>
      </c>
      <c r="W85" s="58">
        <f>IF(ISNA(VLOOKUP($CW85,'Audit Values'!$A:$BZ,2,FALSE)),'Preliminary SO66'!AM84,VLOOKUP($CW85,'Audit Values'!$A:$BZ,63,FALSE))</f>
        <v>16.7</v>
      </c>
      <c r="X85" s="58">
        <f>(W85/6)*'Weighting Factors'!$O$7</f>
        <v>1.1000000000000001</v>
      </c>
      <c r="Y85" s="61">
        <f>IF(ISNA(VLOOKUP($CW85,'Audit Values'!$A:$BZ,2,FALSE)),'Preliminary SO66'!AN84,VLOOKUP($CW85,'Audit Values'!$A:$BZ,62,FALSE))</f>
        <v>13</v>
      </c>
      <c r="Z85" s="58">
        <f>Y85*'Weighting Factors'!$O$8</f>
        <v>2.4</v>
      </c>
      <c r="AA85" s="58">
        <f t="shared" si="63"/>
        <v>2.4</v>
      </c>
      <c r="AB85" s="106">
        <f>IF(ISNA(VLOOKUP($CW85,'Audit Values'!$A:$BZ,2,FALSE)),'Preliminary SO66'!AO84,VLOOKUP($CW85,'Audit Values'!$A:$BZ,61,FALSE))</f>
        <v>251.4</v>
      </c>
      <c r="AC85" s="58">
        <f>AB85/6*'Weighting Factors'!$O$6</f>
        <v>21</v>
      </c>
      <c r="AD85" s="24">
        <f>IF(ISNA(VLOOKUP($CW85,'Audit Values'!$A:$BX,2,FALSE)),'Preliminary SO66'!AS84,VLOOKUP($CW85,'Audit Values'!$A:$BX,64,FALSE))</f>
        <v>878</v>
      </c>
      <c r="AE85" s="24">
        <f>IF(ISNA(VLOOKUP($CW85,'Audit Values'!$A:$BX,2,FALSE)),'Preliminary SO66'!AP84,VLOOKUP($CW85,'Audit Values'!$A:$BX,65,FALSE))</f>
        <v>300</v>
      </c>
      <c r="AF85" s="58">
        <f>IF(A85=207, AE85,(AE85))*'Weighting Factors'!$O$9</f>
        <v>145.19999999999999</v>
      </c>
      <c r="AG85" s="58">
        <f t="shared" si="50"/>
        <v>0</v>
      </c>
      <c r="AH85" s="58">
        <f>IF(ISNA(VLOOKUP($CW85,'Audit Values'!$A:$BZ,2,FALSE)),'Preliminary SO66'!AG84,VLOOKUP($CW85,'Audit Values'!$A:$BZ,71,FALSE))</f>
        <v>0.7</v>
      </c>
      <c r="AI85" s="58">
        <f t="shared" si="64"/>
        <v>0.7</v>
      </c>
      <c r="AJ85" s="58">
        <f>IF(ISNA(VLOOKUP($CW85,'Audit Values'!$A:$BX,2,FALSE)),'Preliminary SO66'!AR84,VLOOKUP($CW85,'Audit Values'!$A:$BX,66,FALSE))</f>
        <v>145</v>
      </c>
      <c r="AK85" s="24">
        <f t="shared" si="65"/>
        <v>217872</v>
      </c>
      <c r="AL85" s="58">
        <f>AK85/'Weighting Factors'!$O$5</f>
        <v>42.8</v>
      </c>
      <c r="AM85" s="58">
        <f>CJ85/'Weighting Factors'!$O$5</f>
        <v>0</v>
      </c>
      <c r="AN85" s="58">
        <f>CN85/'Weighting Factors'!$O$5</f>
        <v>0</v>
      </c>
      <c r="AO85" s="24">
        <v>930232</v>
      </c>
      <c r="AP85" s="58">
        <f>AO85/'Weighting Factors'!$O$5</f>
        <v>182.8</v>
      </c>
      <c r="AQ85" s="58">
        <f>IF(ISNA(VLOOKUP($CW85,'Audit Values'!$A:$BX,2,FALSE)),'Preliminary SO66'!X84,VLOOKUP($CW85,'Audit Values'!$A:$BX,48,FALSE))</f>
        <v>0</v>
      </c>
      <c r="AR85" s="58">
        <f t="shared" si="94"/>
        <v>1448.3</v>
      </c>
      <c r="AS85" s="58">
        <f t="shared" si="95"/>
        <v>1265.5</v>
      </c>
      <c r="AT85" s="58">
        <f>IF(ISNA(VLOOKUP($CW85,'Audit Values'!$A$2:$BX$410,2,FALSE)),'Preliminary SO66'!AA84,VLOOKUP($CW85,'Audit Values'!$A$2:$BX$410,41,FALSE))</f>
        <v>0</v>
      </c>
      <c r="AU85" s="58">
        <f>IF(ISNA(VLOOKUP($CW85,'Audit Values'!$A$2:$BX$410,2,FALSE)),'Preliminary SO66'!AB84,VLOOKUP($CW85,'Audit Values'!$A$2:$BX$410,42,FALSE))</f>
        <v>0</v>
      </c>
      <c r="AV85" s="73">
        <v>0</v>
      </c>
      <c r="AW85" s="73">
        <v>0</v>
      </c>
      <c r="AX85" s="24">
        <f>SUM(AT85*'Weighting Factors'!$R$10)+('2024 Legal Max'!AU85*'Weighting Factors'!$R$11)+('2024 Legal Max'!AV85*'Weighting Factors'!$R$12)+('2024 Legal Max'!AW85*'Weighting Factors'!$R$12)</f>
        <v>0</v>
      </c>
      <c r="AY85" s="54">
        <f>IF(ISNA(VLOOKUP($CW85,'Audit Values'!$A$2:$BX$429,2,FALSE)),"",IF(AND('Weighting Factors'!G85&gt;0,VLOOKUP($CW85,'Audit Values'!$A$2:$BX$429,51,FALSE)&lt;'Weighting Factors'!G85),'Weighting Factors'!G85,VLOOKUP($CW85,'Audit Values'!$A$2:$BX$429,51,FALSE)))</f>
        <v>7</v>
      </c>
      <c r="AZ85" s="54" t="str">
        <f>IF(ISNA(VLOOKUP($CW85,'Audit Values'!$A:$BY,2,FALSE)),"",VLOOKUP($CW85,'Audit Values'!$A:$BY,52,FALSE))</f>
        <v>A</v>
      </c>
      <c r="BA85" s="54" t="str">
        <f>IF('Weighting Factors'!F85="","",IF('Weighting Factors'!H85="Pending","PX","R"))</f>
        <v/>
      </c>
      <c r="BB85" s="60">
        <f>SUM((U85+V85+AA85+AC85+AF85+AI85+AL85+AM85+AQ85+AN85)*'Weighting Factors'!$O$5)+'2024 Legal Max'!AX85</f>
        <v>6438864</v>
      </c>
      <c r="BC85" s="24">
        <f>SUM((AR85+AN85)*'Weighting Factors'!$O$5)+AX85</f>
        <v>7368950</v>
      </c>
      <c r="BD85" s="67">
        <f>IF('Weighting Factors'!F85&gt;0,'Weighting Factors'!F85,'Preliminary SO66'!AV84)</f>
        <v>7639123</v>
      </c>
      <c r="BE85" s="24">
        <f t="shared" si="66"/>
        <v>7368950</v>
      </c>
      <c r="BF85" s="71">
        <f>'Weighting Factors'!E85</f>
        <v>0</v>
      </c>
      <c r="BG85" s="71">
        <f>Transportation!G85</f>
        <v>0</v>
      </c>
      <c r="BH85" s="24">
        <f>IF(ISNA(VLOOKUP($CW85,'Audit Values'!$A:$BW,2,FALSE)), 0, VLOOKUP($CW85,'Audit Values'!$A:$BW,75,FALSE))</f>
        <v>0</v>
      </c>
      <c r="BI85" s="24">
        <f t="shared" si="67"/>
        <v>0</v>
      </c>
      <c r="BJ85" s="24">
        <f t="shared" si="68"/>
        <v>7368950</v>
      </c>
      <c r="BK85" s="24">
        <f>SUM((U85+V85+AA85+AC85+AF85+AI85+AL85+AM85+AN85)*'Weighting Factors'!O$12)+(MAX(AO85,'Weighting Factors'!B85))</f>
        <v>7457681</v>
      </c>
      <c r="BL85" s="78">
        <f>'LOB%'!F83</f>
        <v>0.33</v>
      </c>
      <c r="BM85" s="24">
        <f t="shared" si="75"/>
        <v>2461035</v>
      </c>
      <c r="BN85" s="67">
        <v>2550715</v>
      </c>
      <c r="BO85" s="24">
        <f t="shared" si="69"/>
        <v>2461035</v>
      </c>
      <c r="BP85" s="89">
        <f t="shared" si="76"/>
        <v>0.33</v>
      </c>
      <c r="BQ85" s="58">
        <f t="shared" si="77"/>
        <v>0</v>
      </c>
      <c r="BR85" s="1" t="b">
        <f t="shared" si="78"/>
        <v>0</v>
      </c>
      <c r="BS85" s="76">
        <f t="shared" si="79"/>
        <v>0</v>
      </c>
      <c r="BT85" s="75">
        <f t="shared" si="70"/>
        <v>0</v>
      </c>
      <c r="BU85" s="58">
        <f t="shared" si="80"/>
        <v>0</v>
      </c>
      <c r="BV85" s="1" t="b">
        <f t="shared" si="81"/>
        <v>1</v>
      </c>
      <c r="BW85" s="1">
        <f t="shared" si="82"/>
        <v>621.10130000000004</v>
      </c>
      <c r="BX85" s="75">
        <f t="shared" si="71"/>
        <v>0.313666</v>
      </c>
      <c r="BY85" s="58">
        <f t="shared" si="83"/>
        <v>251.5</v>
      </c>
      <c r="BZ85" s="58">
        <f t="shared" si="84"/>
        <v>0</v>
      </c>
      <c r="CA85" s="61">
        <v>565</v>
      </c>
      <c r="CB85" s="102">
        <f t="shared" si="85"/>
        <v>0.25700000000000001</v>
      </c>
      <c r="CC85" s="105">
        <f>IF(CB85&lt;0.06,1,IF(CB85&gt;=18.29,52,MATCH(CB85-0.001,'Weighting Factors'!$W$5:$W$156)+1))</f>
        <v>18</v>
      </c>
      <c r="CD85" s="24">
        <f>VLOOKUP(CC85, 'Weighting Factors'!$U$5:$X$56,4)</f>
        <v>1230</v>
      </c>
      <c r="CE85" s="109">
        <f>('Weighting Factors'!$O$5/'Weighting Factors'!$O$14)</f>
        <v>1.2216</v>
      </c>
      <c r="CF85" s="100">
        <f t="shared" si="86"/>
        <v>178350</v>
      </c>
      <c r="CG85" s="100">
        <f>CF85*'Weighting Factors'!$Q$7</f>
        <v>178350</v>
      </c>
      <c r="CH85" s="100">
        <f t="shared" si="72"/>
        <v>217872</v>
      </c>
      <c r="CI85" s="58">
        <f>AK85/'Weighting Factors'!$O$5</f>
        <v>42.8</v>
      </c>
      <c r="CJ85" s="67">
        <v>0</v>
      </c>
      <c r="CK85" s="80">
        <v>0</v>
      </c>
      <c r="CL85" s="110">
        <v>0</v>
      </c>
      <c r="CM85" s="24">
        <f>SUM((AR85*'Weighting Factors'!$O$5)+'2024 Legal Max'!AX85)*CL85</f>
        <v>0</v>
      </c>
      <c r="CN85" s="24">
        <f t="shared" si="73"/>
        <v>0</v>
      </c>
      <c r="CO85" s="65">
        <f t="shared" si="74"/>
        <v>0.3417</v>
      </c>
      <c r="CP85" s="58">
        <f t="shared" si="87"/>
        <v>0</v>
      </c>
      <c r="CQ85" s="58">
        <f t="shared" si="88"/>
        <v>0</v>
      </c>
      <c r="CR85" s="58">
        <f t="shared" si="89"/>
        <v>1448.3</v>
      </c>
      <c r="CS85" s="24">
        <f>'Required Transfers'!L85</f>
        <v>252010</v>
      </c>
      <c r="CT85" s="24">
        <f>'Required Transfers'!O85</f>
        <v>4184</v>
      </c>
      <c r="CU85" s="24">
        <f>'Required Transfers'!H85</f>
        <v>742339</v>
      </c>
      <c r="CV85" s="58">
        <f t="shared" si="90"/>
        <v>828.7</v>
      </c>
      <c r="CW85" s="27" t="s">
        <v>270</v>
      </c>
    </row>
    <row r="86" spans="1:101" ht="15" customHeight="1">
      <c r="A86" s="54">
        <v>274</v>
      </c>
      <c r="B86" s="1" t="s">
        <v>37</v>
      </c>
      <c r="C86" s="1" t="s">
        <v>591</v>
      </c>
      <c r="D86" s="58">
        <v>417.1</v>
      </c>
      <c r="E86" s="58"/>
      <c r="F86" s="58">
        <v>0</v>
      </c>
      <c r="G86" s="58">
        <f t="shared" si="91"/>
        <v>417.1</v>
      </c>
      <c r="H86" s="58">
        <v>417.5</v>
      </c>
      <c r="I86" s="58"/>
      <c r="J86" s="58">
        <v>0</v>
      </c>
      <c r="K86" s="58">
        <f t="shared" si="92"/>
        <v>417.5</v>
      </c>
      <c r="L86" s="1">
        <v>425.9</v>
      </c>
      <c r="N86" s="1">
        <v>0</v>
      </c>
      <c r="O86" s="58">
        <f t="shared" si="93"/>
        <v>425.9</v>
      </c>
      <c r="P86" s="58">
        <f>IF(ISNA(VLOOKUP($CW86,'Audit Values'!$A:$BZ,2,FALSE)),'Preliminary SO66'!C85,VLOOKUP($CW86,'Audit Values'!$A:$BZ,76,FALSE))</f>
        <v>399.3</v>
      </c>
      <c r="Q86" s="58">
        <f>IF(ISNA(VLOOKUP($CW86,'Audit Values'!$A:$BZ,2,FALSE)),'Preliminary SO66'!F85,VLOOKUP($CW86,'Audit Values'!$A:$BZ,4,FALSE))</f>
        <v>0</v>
      </c>
      <c r="R86" s="58">
        <f t="shared" si="61"/>
        <v>399.3</v>
      </c>
      <c r="S86" s="58">
        <f>IF('Military Provision'!I86="YES", MAX('2024 Legal Max'!O86,'2024 Legal Max'!K86,AVERAGE('2024 Legal Max'!G86,'2024 Legal Max'!K86,'2024 Legal Max'!O86)), MAX(O86, K86))</f>
        <v>425.9</v>
      </c>
      <c r="T86" s="58">
        <f>IF(ISNA(VLOOKUP($CW86,'Audit Values'!$A:$BX,2,FALSE)),'Preliminary SO66'!AL85,VLOOKUP($CW86,'Audit Values'!$A:$BX,59,FALSE))</f>
        <v>0</v>
      </c>
      <c r="U86" s="58">
        <f t="shared" si="62"/>
        <v>425.9</v>
      </c>
      <c r="V86" s="58">
        <f>'Low-High ENRL- 2023 HSubSB 113'!N89</f>
        <v>188</v>
      </c>
      <c r="W86" s="58">
        <f>IF(ISNA(VLOOKUP($CW86,'Audit Values'!$A:$BZ,2,FALSE)),'Preliminary SO66'!AM85,VLOOKUP($CW86,'Audit Values'!$A:$BZ,63,FALSE))</f>
        <v>0.9</v>
      </c>
      <c r="X86" s="58">
        <f>(W86/6)*'Weighting Factors'!$O$7</f>
        <v>0.1</v>
      </c>
      <c r="Y86" s="61">
        <f>IF(ISNA(VLOOKUP($CW86,'Audit Values'!$A:$BZ,2,FALSE)),'Preliminary SO66'!AN85,VLOOKUP($CW86,'Audit Values'!$A:$BZ,62,FALSE))</f>
        <v>20</v>
      </c>
      <c r="Z86" s="58">
        <f>Y86*'Weighting Factors'!$O$8</f>
        <v>3.7</v>
      </c>
      <c r="AA86" s="58">
        <f t="shared" si="63"/>
        <v>3.7</v>
      </c>
      <c r="AB86" s="106">
        <f>IF(ISNA(VLOOKUP($CW86,'Audit Values'!$A:$BZ,2,FALSE)),'Preliminary SO66'!AO85,VLOOKUP($CW86,'Audit Values'!$A:$BZ,61,FALSE))</f>
        <v>132</v>
      </c>
      <c r="AC86" s="58">
        <f>AB86/6*'Weighting Factors'!$O$6</f>
        <v>11</v>
      </c>
      <c r="AD86" s="24">
        <f>IF(ISNA(VLOOKUP($CW86,'Audit Values'!$A:$BX,2,FALSE)),'Preliminary SO66'!AS85,VLOOKUP($CW86,'Audit Values'!$A:$BX,64,FALSE))</f>
        <v>409</v>
      </c>
      <c r="AE86" s="24">
        <f>IF(ISNA(VLOOKUP($CW86,'Audit Values'!$A:$BX,2,FALSE)),'Preliminary SO66'!AP85,VLOOKUP($CW86,'Audit Values'!$A:$BX,65,FALSE))</f>
        <v>137</v>
      </c>
      <c r="AF86" s="58">
        <f>IF(A86=207, AE86,(AE86))*'Weighting Factors'!$O$9</f>
        <v>66.3</v>
      </c>
      <c r="AG86" s="58">
        <f t="shared" si="50"/>
        <v>0</v>
      </c>
      <c r="AH86" s="58">
        <f>IF(ISNA(VLOOKUP($CW86,'Audit Values'!$A:$BZ,2,FALSE)),'Preliminary SO66'!AG85,VLOOKUP($CW86,'Audit Values'!$A:$BZ,71,FALSE))</f>
        <v>0</v>
      </c>
      <c r="AI86" s="58">
        <f t="shared" si="64"/>
        <v>0</v>
      </c>
      <c r="AJ86" s="58">
        <f>IF(ISNA(VLOOKUP($CW86,'Audit Values'!$A:$BX,2,FALSE)),'Preliminary SO66'!AR85,VLOOKUP($CW86,'Audit Values'!$A:$BX,66,FALSE))</f>
        <v>61</v>
      </c>
      <c r="AK86" s="24">
        <f t="shared" si="65"/>
        <v>110286</v>
      </c>
      <c r="AL86" s="58">
        <f>AK86/'Weighting Factors'!$O$5</f>
        <v>21.7</v>
      </c>
      <c r="AM86" s="58">
        <f>CJ86/'Weighting Factors'!$O$5</f>
        <v>0</v>
      </c>
      <c r="AN86" s="58">
        <f>CN86/'Weighting Factors'!$O$5</f>
        <v>0</v>
      </c>
      <c r="AO86" s="24">
        <v>398364</v>
      </c>
      <c r="AP86" s="58">
        <f>AO86/'Weighting Factors'!$O$5</f>
        <v>78.3</v>
      </c>
      <c r="AQ86" s="58">
        <f>IF(ISNA(VLOOKUP($CW86,'Audit Values'!$A:$BX,2,FALSE)),'Preliminary SO66'!X85,VLOOKUP($CW86,'Audit Values'!$A:$BX,48,FALSE))</f>
        <v>0</v>
      </c>
      <c r="AR86" s="58">
        <f t="shared" si="94"/>
        <v>794.9</v>
      </c>
      <c r="AS86" s="58">
        <f t="shared" si="95"/>
        <v>716.6</v>
      </c>
      <c r="AT86" s="58">
        <f>IF(ISNA(VLOOKUP($CW86,'Audit Values'!$A$2:$BX$410,2,FALSE)),'Preliminary SO66'!AA85,VLOOKUP($CW86,'Audit Values'!$A$2:$BX$410,41,FALSE))</f>
        <v>0</v>
      </c>
      <c r="AU86" s="58">
        <f>IF(ISNA(VLOOKUP($CW86,'Audit Values'!$A$2:$BX$410,2,FALSE)),'Preliminary SO66'!AB85,VLOOKUP($CW86,'Audit Values'!$A$2:$BX$410,42,FALSE))</f>
        <v>0</v>
      </c>
      <c r="AV86" s="73">
        <v>0</v>
      </c>
      <c r="AW86" s="73">
        <v>0</v>
      </c>
      <c r="AX86" s="24">
        <f>SUM(AT86*'Weighting Factors'!$R$10)+('2024 Legal Max'!AU86*'Weighting Factors'!$R$11)+('2024 Legal Max'!AV86*'Weighting Factors'!$R$12)+('2024 Legal Max'!AW86*'Weighting Factors'!$R$12)</f>
        <v>0</v>
      </c>
      <c r="AY86" s="54">
        <f>IF(ISNA(VLOOKUP($CW86,'Audit Values'!$A$2:$BX$429,2,FALSE)),"",IF(AND('Weighting Factors'!G86&gt;0,VLOOKUP($CW86,'Audit Values'!$A$2:$BX$429,51,FALSE)&lt;'Weighting Factors'!G86),'Weighting Factors'!G86,VLOOKUP($CW86,'Audit Values'!$A$2:$BX$429,51,FALSE)))</f>
        <v>7</v>
      </c>
      <c r="AZ86" s="54" t="str">
        <f>IF(ISNA(VLOOKUP($CW86,'Audit Values'!$A:$BY,2,FALSE)),"",VLOOKUP($CW86,'Audit Values'!$A:$BY,52,FALSE))</f>
        <v>A</v>
      </c>
      <c r="BA86" s="54" t="str">
        <f>IF('Weighting Factors'!F86="","",IF('Weighting Factors'!H86="Pending","PX","R"))</f>
        <v/>
      </c>
      <c r="BB86" s="60">
        <f>SUM((U86+V86+AA86+AC86+AF86+AI86+AL86+AM86+AQ86+AN86)*'Weighting Factors'!$O$5)+'2024 Legal Max'!AX86</f>
        <v>3646061</v>
      </c>
      <c r="BC86" s="24">
        <f>SUM((AR86+AN86)*'Weighting Factors'!$O$5)+AX86</f>
        <v>4044451</v>
      </c>
      <c r="BD86" s="67">
        <f>IF('Weighting Factors'!F86&gt;0,'Weighting Factors'!F86,'Preliminary SO66'!AV85)</f>
        <v>4185389</v>
      </c>
      <c r="BE86" s="24">
        <f t="shared" si="66"/>
        <v>4044451</v>
      </c>
      <c r="BF86" s="71">
        <f>'Weighting Factors'!E86</f>
        <v>0</v>
      </c>
      <c r="BG86" s="71">
        <f>Transportation!G86</f>
        <v>0</v>
      </c>
      <c r="BH86" s="24">
        <f>IF(ISNA(VLOOKUP($CW86,'Audit Values'!$A:$BW,2,FALSE)), 0, VLOOKUP($CW86,'Audit Values'!$A:$BW,75,FALSE))</f>
        <v>0</v>
      </c>
      <c r="BI86" s="24">
        <f t="shared" si="67"/>
        <v>0</v>
      </c>
      <c r="BJ86" s="24">
        <f t="shared" si="68"/>
        <v>4044451</v>
      </c>
      <c r="BK86" s="24">
        <f>SUM((U86+V86+AA86+AC86+AF86+AI86+AL86+AM86+AN86)*'Weighting Factors'!O$12)+(MAX(AO86,'Weighting Factors'!B86))</f>
        <v>4204397</v>
      </c>
      <c r="BL86" s="78">
        <f>'LOB%'!F84</f>
        <v>0.33</v>
      </c>
      <c r="BM86" s="24">
        <f t="shared" si="75"/>
        <v>1387451</v>
      </c>
      <c r="BN86" s="67">
        <v>1422345</v>
      </c>
      <c r="BO86" s="24">
        <f t="shared" si="69"/>
        <v>1387451</v>
      </c>
      <c r="BP86" s="89">
        <f t="shared" si="76"/>
        <v>0.33</v>
      </c>
      <c r="BQ86" s="58">
        <f t="shared" si="77"/>
        <v>0</v>
      </c>
      <c r="BR86" s="1" t="b">
        <f t="shared" si="78"/>
        <v>0</v>
      </c>
      <c r="BS86" s="76">
        <f t="shared" si="79"/>
        <v>0</v>
      </c>
      <c r="BT86" s="75">
        <f t="shared" si="70"/>
        <v>0</v>
      </c>
      <c r="BU86" s="58">
        <f t="shared" si="80"/>
        <v>0</v>
      </c>
      <c r="BV86" s="1" t="b">
        <f t="shared" si="81"/>
        <v>1</v>
      </c>
      <c r="BW86" s="1">
        <f t="shared" si="82"/>
        <v>155.8013</v>
      </c>
      <c r="BX86" s="75">
        <f t="shared" si="71"/>
        <v>0.44141200000000003</v>
      </c>
      <c r="BY86" s="58">
        <f t="shared" si="83"/>
        <v>188</v>
      </c>
      <c r="BZ86" s="58">
        <f t="shared" si="84"/>
        <v>0</v>
      </c>
      <c r="CA86" s="61">
        <v>637</v>
      </c>
      <c r="CB86" s="102">
        <f t="shared" si="85"/>
        <v>9.6000000000000002E-2</v>
      </c>
      <c r="CC86" s="105">
        <f>IF(CB86&lt;0.06,1,IF(CB86&gt;=18.29,52,MATCH(CB86-0.001,'Weighting Factors'!$W$5:$W$156)+1))</f>
        <v>5</v>
      </c>
      <c r="CD86" s="24">
        <f>VLOOKUP(CC86, 'Weighting Factors'!$U$5:$X$56,4)</f>
        <v>1480</v>
      </c>
      <c r="CE86" s="109">
        <f>('Weighting Factors'!$O$5/'Weighting Factors'!$O$14)</f>
        <v>1.2216</v>
      </c>
      <c r="CF86" s="100">
        <f t="shared" si="86"/>
        <v>90280</v>
      </c>
      <c r="CG86" s="100">
        <f>CF86*'Weighting Factors'!$Q$7</f>
        <v>90280</v>
      </c>
      <c r="CH86" s="100">
        <f t="shared" si="72"/>
        <v>110286</v>
      </c>
      <c r="CI86" s="58">
        <f>AK86/'Weighting Factors'!$O$5</f>
        <v>21.7</v>
      </c>
      <c r="CJ86" s="67">
        <v>0</v>
      </c>
      <c r="CK86" s="80">
        <v>0</v>
      </c>
      <c r="CL86" s="110">
        <v>0</v>
      </c>
      <c r="CM86" s="24">
        <f>SUM((AR86*'Weighting Factors'!$O$5)+'2024 Legal Max'!AX86)*CL86</f>
        <v>0</v>
      </c>
      <c r="CN86" s="24">
        <f t="shared" si="73"/>
        <v>0</v>
      </c>
      <c r="CO86" s="65">
        <f t="shared" si="74"/>
        <v>0.33500000000000002</v>
      </c>
      <c r="CP86" s="58">
        <f t="shared" si="87"/>
        <v>0</v>
      </c>
      <c r="CQ86" s="58">
        <f t="shared" si="88"/>
        <v>0</v>
      </c>
      <c r="CR86" s="58">
        <f t="shared" si="89"/>
        <v>794.9</v>
      </c>
      <c r="CS86" s="24">
        <f>'Required Transfers'!L86</f>
        <v>115713</v>
      </c>
      <c r="CT86" s="24">
        <f>'Required Transfers'!O86</f>
        <v>6521</v>
      </c>
      <c r="CU86" s="24">
        <f>'Required Transfers'!H86</f>
        <v>337334</v>
      </c>
      <c r="CV86" s="58">
        <f t="shared" si="90"/>
        <v>399.3</v>
      </c>
      <c r="CW86" s="27" t="s">
        <v>271</v>
      </c>
    </row>
    <row r="87" spans="1:101" ht="15" customHeight="1">
      <c r="A87" s="54">
        <v>275</v>
      </c>
      <c r="B87" s="1" t="s">
        <v>37</v>
      </c>
      <c r="C87" s="1" t="s">
        <v>592</v>
      </c>
      <c r="D87" s="58">
        <v>66</v>
      </c>
      <c r="E87" s="58"/>
      <c r="F87" s="58">
        <v>0</v>
      </c>
      <c r="G87" s="58">
        <f t="shared" si="91"/>
        <v>66</v>
      </c>
      <c r="H87" s="58">
        <v>73.3</v>
      </c>
      <c r="I87" s="58"/>
      <c r="J87" s="58">
        <v>0</v>
      </c>
      <c r="K87" s="58">
        <f t="shared" si="92"/>
        <v>73.3</v>
      </c>
      <c r="L87" s="1">
        <v>67.5</v>
      </c>
      <c r="N87" s="1">
        <v>0</v>
      </c>
      <c r="O87" s="58">
        <f t="shared" si="93"/>
        <v>67.5</v>
      </c>
      <c r="P87" s="58">
        <f>IF(ISNA(VLOOKUP($CW87,'Audit Values'!$A:$BZ,2,FALSE)),'Preliminary SO66'!C86,VLOOKUP($CW87,'Audit Values'!$A:$BZ,76,FALSE))</f>
        <v>72</v>
      </c>
      <c r="Q87" s="58">
        <f>IF(ISNA(VLOOKUP($CW87,'Audit Values'!$A:$BZ,2,FALSE)),'Preliminary SO66'!F86,VLOOKUP($CW87,'Audit Values'!$A:$BZ,4,FALSE))</f>
        <v>0</v>
      </c>
      <c r="R87" s="58">
        <f t="shared" si="61"/>
        <v>72</v>
      </c>
      <c r="S87" s="58">
        <f>IF('Military Provision'!I87="YES", MAX('2024 Legal Max'!O87,'2024 Legal Max'!K87,AVERAGE('2024 Legal Max'!G87,'2024 Legal Max'!K87,'2024 Legal Max'!O87)), MAX(O87, K87))</f>
        <v>73.3</v>
      </c>
      <c r="T87" s="58">
        <f>IF(ISNA(VLOOKUP($CW87,'Audit Values'!$A:$BX,2,FALSE)),'Preliminary SO66'!AL86,VLOOKUP($CW87,'Audit Values'!$A:$BX,59,FALSE))</f>
        <v>0</v>
      </c>
      <c r="U87" s="58">
        <f t="shared" si="62"/>
        <v>73.3</v>
      </c>
      <c r="V87" s="58">
        <f>'Low-High ENRL- 2023 HSubSB 113'!N90</f>
        <v>74.400000000000006</v>
      </c>
      <c r="W87" s="58">
        <f>IF(ISNA(VLOOKUP($CW87,'Audit Values'!$A:$BZ,2,FALSE)),'Preliminary SO66'!AM86,VLOOKUP($CW87,'Audit Values'!$A:$BZ,63,FALSE))</f>
        <v>0</v>
      </c>
      <c r="X87" s="58">
        <f>(W87/6)*'Weighting Factors'!$O$7</f>
        <v>0</v>
      </c>
      <c r="Y87" s="61">
        <f>IF(ISNA(VLOOKUP($CW87,'Audit Values'!$A:$BZ,2,FALSE)),'Preliminary SO66'!AN86,VLOOKUP($CW87,'Audit Values'!$A:$BZ,62,FALSE))</f>
        <v>0</v>
      </c>
      <c r="Z87" s="58">
        <f>Y87*'Weighting Factors'!$O$8</f>
        <v>0</v>
      </c>
      <c r="AA87" s="58">
        <f t="shared" si="63"/>
        <v>0</v>
      </c>
      <c r="AB87" s="106">
        <f>IF(ISNA(VLOOKUP($CW87,'Audit Values'!$A:$BZ,2,FALSE)),'Preliminary SO66'!AO86,VLOOKUP($CW87,'Audit Values'!$A:$BZ,61,FALSE))</f>
        <v>4.7</v>
      </c>
      <c r="AC87" s="58">
        <f>AB87/6*'Weighting Factors'!$O$6</f>
        <v>0.4</v>
      </c>
      <c r="AD87" s="24">
        <f>IF(ISNA(VLOOKUP($CW87,'Audit Values'!$A:$BX,2,FALSE)),'Preliminary SO66'!AS86,VLOOKUP($CW87,'Audit Values'!$A:$BX,64,FALSE))</f>
        <v>73</v>
      </c>
      <c r="AE87" s="24">
        <f>IF(ISNA(VLOOKUP($CW87,'Audit Values'!$A:$BX,2,FALSE)),'Preliminary SO66'!AP86,VLOOKUP($CW87,'Audit Values'!$A:$BX,65,FALSE))</f>
        <v>32</v>
      </c>
      <c r="AF87" s="58">
        <f>IF(A87=207, AE87,(AE87))*'Weighting Factors'!$O$9</f>
        <v>15.5</v>
      </c>
      <c r="AG87" s="58">
        <f t="shared" si="50"/>
        <v>2</v>
      </c>
      <c r="AH87" s="58">
        <f>IF(ISNA(VLOOKUP($CW87,'Audit Values'!$A:$BZ,2,FALSE)),'Preliminary SO66'!AG86,VLOOKUP($CW87,'Audit Values'!$A:$BZ,71,FALSE))</f>
        <v>2.1</v>
      </c>
      <c r="AI87" s="58">
        <f t="shared" si="64"/>
        <v>2.1</v>
      </c>
      <c r="AJ87" s="58">
        <f>IF(ISNA(VLOOKUP($CW87,'Audit Values'!$A:$BX,2,FALSE)),'Preliminary SO66'!AR86,VLOOKUP($CW87,'Audit Values'!$A:$BX,66,FALSE))</f>
        <v>29</v>
      </c>
      <c r="AK87" s="24">
        <f t="shared" si="65"/>
        <v>57391</v>
      </c>
      <c r="AL87" s="58">
        <f>AK87/'Weighting Factors'!$O$5</f>
        <v>11.3</v>
      </c>
      <c r="AM87" s="58">
        <f>CJ87/'Weighting Factors'!$O$5</f>
        <v>0</v>
      </c>
      <c r="AN87" s="58">
        <f>CN87/'Weighting Factors'!$O$5</f>
        <v>0</v>
      </c>
      <c r="AO87" s="24">
        <v>89619</v>
      </c>
      <c r="AP87" s="58">
        <f>AO87/'Weighting Factors'!$O$5</f>
        <v>17.600000000000001</v>
      </c>
      <c r="AQ87" s="58">
        <f>IF(ISNA(VLOOKUP($CW87,'Audit Values'!$A:$BX,2,FALSE)),'Preliminary SO66'!X86,VLOOKUP($CW87,'Audit Values'!$A:$BX,48,FALSE))</f>
        <v>0</v>
      </c>
      <c r="AR87" s="58">
        <f t="shared" si="94"/>
        <v>194.6</v>
      </c>
      <c r="AS87" s="58">
        <f t="shared" si="95"/>
        <v>177</v>
      </c>
      <c r="AT87" s="58">
        <f>IF(ISNA(VLOOKUP($CW87,'Audit Values'!$A$2:$BX$410,2,FALSE)),'Preliminary SO66'!AA86,VLOOKUP($CW87,'Audit Values'!$A$2:$BX$410,41,FALSE))</f>
        <v>0</v>
      </c>
      <c r="AU87" s="58">
        <f>IF(ISNA(VLOOKUP($CW87,'Audit Values'!$A$2:$BX$410,2,FALSE)),'Preliminary SO66'!AB86,VLOOKUP($CW87,'Audit Values'!$A$2:$BX$410,42,FALSE))</f>
        <v>0</v>
      </c>
      <c r="AV87" s="73">
        <v>0</v>
      </c>
      <c r="AW87" s="73">
        <v>0</v>
      </c>
      <c r="AX87" s="24">
        <f>SUM(AT87*'Weighting Factors'!$R$10)+('2024 Legal Max'!AU87*'Weighting Factors'!$R$11)+('2024 Legal Max'!AV87*'Weighting Factors'!$R$12)+('2024 Legal Max'!AW87*'Weighting Factors'!$R$12)</f>
        <v>0</v>
      </c>
      <c r="AY87" s="54">
        <f>IF(ISNA(VLOOKUP($CW87,'Audit Values'!$A$2:$BX$429,2,FALSE)),"",IF(AND('Weighting Factors'!G87&gt;0,VLOOKUP($CW87,'Audit Values'!$A$2:$BX$429,51,FALSE)&lt;'Weighting Factors'!G87),'Weighting Factors'!G87,VLOOKUP($CW87,'Audit Values'!$A$2:$BX$429,51,FALSE)))</f>
        <v>16</v>
      </c>
      <c r="AZ87" s="54" t="str">
        <f>IF(ISNA(VLOOKUP($CW87,'Audit Values'!$A:$BY,2,FALSE)),"",VLOOKUP($CW87,'Audit Values'!$A:$BY,52,FALSE))</f>
        <v>A</v>
      </c>
      <c r="BA87" s="54" t="str">
        <f>IF('Weighting Factors'!F87="","",IF('Weighting Factors'!H87="Pending","PX","R"))</f>
        <v/>
      </c>
      <c r="BB87" s="60">
        <f>SUM((U87+V87+AA87+AC87+AF87+AI87+AL87+AM87+AQ87+AN87)*'Weighting Factors'!$O$5)+'2024 Legal Max'!AX87</f>
        <v>900576</v>
      </c>
      <c r="BC87" s="24">
        <f>SUM((AR87+AN87)*'Weighting Factors'!$O$5)+AX87</f>
        <v>990125</v>
      </c>
      <c r="BD87" s="67">
        <f>IF('Weighting Factors'!F87&gt;0,'Weighting Factors'!F87,'Preliminary SO66'!AV86)</f>
        <v>1041005</v>
      </c>
      <c r="BE87" s="24">
        <f t="shared" si="66"/>
        <v>990125</v>
      </c>
      <c r="BF87" s="71">
        <f>'Weighting Factors'!E87</f>
        <v>0</v>
      </c>
      <c r="BG87" s="71">
        <f>Transportation!G87</f>
        <v>0</v>
      </c>
      <c r="BH87" s="24">
        <f>IF(ISNA(VLOOKUP($CW87,'Audit Values'!$A:$BW,2,FALSE)), 0, VLOOKUP($CW87,'Audit Values'!$A:$BW,75,FALSE))</f>
        <v>0</v>
      </c>
      <c r="BI87" s="24">
        <f t="shared" si="67"/>
        <v>0</v>
      </c>
      <c r="BJ87" s="24">
        <f t="shared" si="68"/>
        <v>990125</v>
      </c>
      <c r="BK87" s="24">
        <f>SUM((U87+V87+AA87+AC87+AF87+AI87+AL87+AM87+AN87)*'Weighting Factors'!O$12)+(MAX(AO87,'Weighting Factors'!B87))</f>
        <v>1034892</v>
      </c>
      <c r="BL87" s="78">
        <f>'LOB%'!F85</f>
        <v>0.33</v>
      </c>
      <c r="BM87" s="24">
        <f t="shared" si="75"/>
        <v>341514</v>
      </c>
      <c r="BN87" s="67">
        <v>347616</v>
      </c>
      <c r="BO87" s="24">
        <f t="shared" si="69"/>
        <v>341514</v>
      </c>
      <c r="BP87" s="89">
        <f t="shared" si="76"/>
        <v>0.33</v>
      </c>
      <c r="BQ87" s="58">
        <f t="shared" si="77"/>
        <v>74.400000000000006</v>
      </c>
      <c r="BR87" s="1" t="b">
        <f t="shared" si="78"/>
        <v>0</v>
      </c>
      <c r="BS87" s="76">
        <f t="shared" si="79"/>
        <v>0</v>
      </c>
      <c r="BT87" s="75">
        <f t="shared" si="70"/>
        <v>0</v>
      </c>
      <c r="BU87" s="58">
        <f t="shared" si="80"/>
        <v>0</v>
      </c>
      <c r="BV87" s="1" t="b">
        <f t="shared" si="81"/>
        <v>0</v>
      </c>
      <c r="BW87" s="1">
        <f t="shared" si="82"/>
        <v>0</v>
      </c>
      <c r="BX87" s="75">
        <f t="shared" si="71"/>
        <v>0</v>
      </c>
      <c r="BY87" s="58">
        <f t="shared" si="83"/>
        <v>0</v>
      </c>
      <c r="BZ87" s="58">
        <f t="shared" si="84"/>
        <v>0</v>
      </c>
      <c r="CA87" s="61">
        <v>662</v>
      </c>
      <c r="CB87" s="102">
        <f t="shared" si="85"/>
        <v>4.3999999999999997E-2</v>
      </c>
      <c r="CC87" s="105">
        <f>IF(CB87&lt;0.06,1,IF(CB87&gt;=18.29,52,MATCH(CB87-0.001,'Weighting Factors'!$W$5:$W$156)+1))</f>
        <v>1</v>
      </c>
      <c r="CD87" s="24">
        <f>VLOOKUP(CC87, 'Weighting Factors'!$U$5:$X$56,4)</f>
        <v>1620</v>
      </c>
      <c r="CE87" s="109">
        <f>('Weighting Factors'!$O$5/'Weighting Factors'!$O$14)</f>
        <v>1.2216</v>
      </c>
      <c r="CF87" s="100">
        <f t="shared" si="86"/>
        <v>46980</v>
      </c>
      <c r="CG87" s="100">
        <f>CF87*'Weighting Factors'!$Q$7</f>
        <v>46980</v>
      </c>
      <c r="CH87" s="100">
        <f t="shared" si="72"/>
        <v>57391</v>
      </c>
      <c r="CI87" s="58">
        <f>AK87/'Weighting Factors'!$O$5</f>
        <v>11.3</v>
      </c>
      <c r="CJ87" s="67">
        <v>0</v>
      </c>
      <c r="CK87" s="80">
        <v>0</v>
      </c>
      <c r="CL87" s="110">
        <v>0</v>
      </c>
      <c r="CM87" s="24">
        <f>SUM((AR87*'Weighting Factors'!$O$5)+'2024 Legal Max'!AX87)*CL87</f>
        <v>0</v>
      </c>
      <c r="CN87" s="24">
        <f t="shared" si="73"/>
        <v>0</v>
      </c>
      <c r="CO87" s="65">
        <f t="shared" si="74"/>
        <v>0.43840000000000001</v>
      </c>
      <c r="CP87" s="58">
        <f t="shared" si="87"/>
        <v>0</v>
      </c>
      <c r="CQ87" s="58">
        <f t="shared" si="88"/>
        <v>2</v>
      </c>
      <c r="CR87" s="58">
        <f t="shared" si="89"/>
        <v>194.6</v>
      </c>
      <c r="CS87" s="24">
        <f>'Required Transfers'!L87</f>
        <v>27219</v>
      </c>
      <c r="CT87" s="24">
        <f>'Required Transfers'!O87</f>
        <v>0</v>
      </c>
      <c r="CU87" s="24">
        <f>'Required Transfers'!H87</f>
        <v>89549</v>
      </c>
      <c r="CV87" s="58">
        <f t="shared" si="90"/>
        <v>72</v>
      </c>
      <c r="CW87" s="27" t="s">
        <v>272</v>
      </c>
    </row>
    <row r="88" spans="1:101" ht="15" customHeight="1">
      <c r="A88" s="54">
        <v>281</v>
      </c>
      <c r="B88" s="1" t="s">
        <v>38</v>
      </c>
      <c r="C88" s="1" t="s">
        <v>593</v>
      </c>
      <c r="D88" s="58">
        <v>383.4</v>
      </c>
      <c r="E88" s="58"/>
      <c r="F88" s="58">
        <v>0</v>
      </c>
      <c r="G88" s="58">
        <f t="shared" si="91"/>
        <v>383.4</v>
      </c>
      <c r="H88" s="58">
        <v>375</v>
      </c>
      <c r="I88" s="58"/>
      <c r="J88" s="58">
        <v>0</v>
      </c>
      <c r="K88" s="58">
        <f t="shared" si="92"/>
        <v>375</v>
      </c>
      <c r="L88" s="1">
        <v>384</v>
      </c>
      <c r="N88" s="1">
        <v>0</v>
      </c>
      <c r="O88" s="58">
        <f t="shared" si="93"/>
        <v>384</v>
      </c>
      <c r="P88" s="58">
        <f>IF(ISNA(VLOOKUP($CW88,'Audit Values'!$A:$BZ,2,FALSE)),'Preliminary SO66'!C87,VLOOKUP($CW88,'Audit Values'!$A:$BZ,76,FALSE))</f>
        <v>363</v>
      </c>
      <c r="Q88" s="58">
        <f>IF(ISNA(VLOOKUP($CW88,'Audit Values'!$A:$BZ,2,FALSE)),'Preliminary SO66'!F87,VLOOKUP($CW88,'Audit Values'!$A:$BZ,4,FALSE))</f>
        <v>0</v>
      </c>
      <c r="R88" s="58">
        <f t="shared" si="61"/>
        <v>363</v>
      </c>
      <c r="S88" s="58">
        <f>IF('Military Provision'!I88="YES", MAX('2024 Legal Max'!O88,'2024 Legal Max'!K88,AVERAGE('2024 Legal Max'!G88,'2024 Legal Max'!K88,'2024 Legal Max'!O88)), MAX(O88, K88))</f>
        <v>384</v>
      </c>
      <c r="T88" s="58">
        <f>IF(ISNA(VLOOKUP($CW88,'Audit Values'!$A:$BX,2,FALSE)),'Preliminary SO66'!AL87,VLOOKUP($CW88,'Audit Values'!$A:$BX,59,FALSE))</f>
        <v>5</v>
      </c>
      <c r="U88" s="58">
        <f t="shared" si="62"/>
        <v>389</v>
      </c>
      <c r="V88" s="58">
        <f>'Low-High ENRL- 2023 HSubSB 113'!N91</f>
        <v>176.6</v>
      </c>
      <c r="W88" s="58">
        <f>IF(ISNA(VLOOKUP($CW88,'Audit Values'!$A:$BZ,2,FALSE)),'Preliminary SO66'!AM87,VLOOKUP($CW88,'Audit Values'!$A:$BZ,63,FALSE))</f>
        <v>0</v>
      </c>
      <c r="X88" s="58">
        <f>(W88/6)*'Weighting Factors'!$O$7</f>
        <v>0</v>
      </c>
      <c r="Y88" s="61">
        <f>IF(ISNA(VLOOKUP($CW88,'Audit Values'!$A:$BZ,2,FALSE)),'Preliminary SO66'!AN87,VLOOKUP($CW88,'Audit Values'!$A:$BZ,62,FALSE))</f>
        <v>0</v>
      </c>
      <c r="Z88" s="58">
        <f>Y88*'Weighting Factors'!$O$8</f>
        <v>0</v>
      </c>
      <c r="AA88" s="58">
        <f t="shared" si="63"/>
        <v>0</v>
      </c>
      <c r="AB88" s="106">
        <f>IF(ISNA(VLOOKUP($CW88,'Audit Values'!$A:$BZ,2,FALSE)),'Preliminary SO66'!AO87,VLOOKUP($CW88,'Audit Values'!$A:$BZ,61,FALSE))</f>
        <v>145.69999999999999</v>
      </c>
      <c r="AC88" s="58">
        <f>AB88/6*'Weighting Factors'!$O$6</f>
        <v>12.1</v>
      </c>
      <c r="AD88" s="24">
        <f>IF(ISNA(VLOOKUP($CW88,'Audit Values'!$A:$BX,2,FALSE)),'Preliminary SO66'!AS87,VLOOKUP($CW88,'Audit Values'!$A:$BX,64,FALSE))</f>
        <v>378</v>
      </c>
      <c r="AE88" s="24">
        <f>IF(ISNA(VLOOKUP($CW88,'Audit Values'!$A:$BX,2,FALSE)),'Preliminary SO66'!AP87,VLOOKUP($CW88,'Audit Values'!$A:$BX,65,FALSE))</f>
        <v>146</v>
      </c>
      <c r="AF88" s="58">
        <f>IF(A88=207, AE88,(AE88))*'Weighting Factors'!$O$9</f>
        <v>70.7</v>
      </c>
      <c r="AG88" s="58">
        <f t="shared" ref="AG88:AG151" si="96">MAX(CP88,CQ88)</f>
        <v>3.7</v>
      </c>
      <c r="AH88" s="58">
        <f>IF(ISNA(VLOOKUP($CW88,'Audit Values'!$A:$BZ,2,FALSE)),'Preliminary SO66'!AG87,VLOOKUP($CW88,'Audit Values'!$A:$BZ,71,FALSE))</f>
        <v>7.3</v>
      </c>
      <c r="AI88" s="58">
        <f t="shared" si="64"/>
        <v>7.3</v>
      </c>
      <c r="AJ88" s="58">
        <f>IF(ISNA(VLOOKUP($CW88,'Audit Values'!$A:$BX,2,FALSE)),'Preliminary SO66'!AR87,VLOOKUP($CW88,'Audit Values'!$A:$BX,66,FALSE))</f>
        <v>99</v>
      </c>
      <c r="AK88" s="24">
        <f t="shared" si="65"/>
        <v>168104</v>
      </c>
      <c r="AL88" s="58">
        <f>AK88/'Weighting Factors'!$O$5</f>
        <v>33</v>
      </c>
      <c r="AM88" s="58">
        <f>CJ88/'Weighting Factors'!$O$5</f>
        <v>0</v>
      </c>
      <c r="AN88" s="58">
        <f>CN88/'Weighting Factors'!$O$5</f>
        <v>0</v>
      </c>
      <c r="AO88" s="24">
        <v>451114</v>
      </c>
      <c r="AP88" s="58">
        <f>AO88/'Weighting Factors'!$O$5</f>
        <v>88.7</v>
      </c>
      <c r="AQ88" s="58">
        <f>IF(ISNA(VLOOKUP($CW88,'Audit Values'!$A:$BX,2,FALSE)),'Preliminary SO66'!X87,VLOOKUP($CW88,'Audit Values'!$A:$BX,48,FALSE))</f>
        <v>0</v>
      </c>
      <c r="AR88" s="58">
        <f t="shared" si="94"/>
        <v>777.4</v>
      </c>
      <c r="AS88" s="58">
        <f t="shared" si="95"/>
        <v>688.7</v>
      </c>
      <c r="AT88" s="58">
        <f>IF(ISNA(VLOOKUP($CW88,'Audit Values'!$A$2:$BX$410,2,FALSE)),'Preliminary SO66'!AA87,VLOOKUP($CW88,'Audit Values'!$A$2:$BX$410,41,FALSE))</f>
        <v>0</v>
      </c>
      <c r="AU88" s="58">
        <f>IF(ISNA(VLOOKUP($CW88,'Audit Values'!$A$2:$BX$410,2,FALSE)),'Preliminary SO66'!AB87,VLOOKUP($CW88,'Audit Values'!$A$2:$BX$410,42,FALSE))</f>
        <v>0</v>
      </c>
      <c r="AV88" s="73">
        <v>0</v>
      </c>
      <c r="AW88" s="73">
        <v>0</v>
      </c>
      <c r="AX88" s="24">
        <f>SUM(AT88*'Weighting Factors'!$R$10)+('2024 Legal Max'!AU88*'Weighting Factors'!$R$11)+('2024 Legal Max'!AV88*'Weighting Factors'!$R$12)+('2024 Legal Max'!AW88*'Weighting Factors'!$R$12)</f>
        <v>0</v>
      </c>
      <c r="AY88" s="54">
        <f>IF(ISNA(VLOOKUP($CW88,'Audit Values'!$A$2:$BX$429,2,FALSE)),"",IF(AND('Weighting Factors'!G88&gt;0,VLOOKUP($CW88,'Audit Values'!$A$2:$BX$429,51,FALSE)&lt;'Weighting Factors'!G88),'Weighting Factors'!G88,VLOOKUP($CW88,'Audit Values'!$A$2:$BX$429,51,FALSE)))</f>
        <v>7</v>
      </c>
      <c r="AZ88" s="54" t="str">
        <f>IF(ISNA(VLOOKUP($CW88,'Audit Values'!$A:$BY,2,FALSE)),"",VLOOKUP($CW88,'Audit Values'!$A:$BY,52,FALSE))</f>
        <v>A</v>
      </c>
      <c r="BA88" s="54" t="str">
        <f>IF('Weighting Factors'!F88="","",IF('Weighting Factors'!H88="Pending","PX","R"))</f>
        <v/>
      </c>
      <c r="BB88" s="60">
        <f>SUM((U88+V88+AA88+AC88+AF88+AI88+AL88+AM88+AQ88+AN88)*'Weighting Factors'!$O$5)+'2024 Legal Max'!AX88</f>
        <v>3504106</v>
      </c>
      <c r="BC88" s="24">
        <f>SUM((AR88+AN88)*'Weighting Factors'!$O$5)+AX88</f>
        <v>3955411</v>
      </c>
      <c r="BD88" s="67">
        <f>IF('Weighting Factors'!F88&gt;0,'Weighting Factors'!F88,'Preliminary SO66'!AV87)</f>
        <v>4204214</v>
      </c>
      <c r="BE88" s="24">
        <f t="shared" si="66"/>
        <v>3955411</v>
      </c>
      <c r="BF88" s="71">
        <f>'Weighting Factors'!E88</f>
        <v>0</v>
      </c>
      <c r="BG88" s="71">
        <f>Transportation!G88</f>
        <v>0</v>
      </c>
      <c r="BH88" s="24">
        <f>IF(ISNA(VLOOKUP($CW88,'Audit Values'!$A:$BW,2,FALSE)), 0, VLOOKUP($CW88,'Audit Values'!$A:$BW,75,FALSE))</f>
        <v>0</v>
      </c>
      <c r="BI88" s="24">
        <f t="shared" si="67"/>
        <v>0</v>
      </c>
      <c r="BJ88" s="24">
        <f t="shared" si="68"/>
        <v>3955411</v>
      </c>
      <c r="BK88" s="24">
        <f>SUM((U88+V88+AA88+AC88+AF88+AI88+AL88+AM88+AN88)*'Weighting Factors'!O$12)+(MAX(AO88,'Weighting Factors'!B88))</f>
        <v>4005094</v>
      </c>
      <c r="BL88" s="78">
        <f>'LOB%'!F86</f>
        <v>0.31</v>
      </c>
      <c r="BM88" s="24">
        <f t="shared" si="75"/>
        <v>1241579</v>
      </c>
      <c r="BN88" s="67">
        <v>1319225</v>
      </c>
      <c r="BO88" s="24">
        <f t="shared" si="69"/>
        <v>1241579</v>
      </c>
      <c r="BP88" s="89">
        <f t="shared" si="76"/>
        <v>0.31</v>
      </c>
      <c r="BQ88" s="58">
        <f t="shared" si="77"/>
        <v>0</v>
      </c>
      <c r="BR88" s="1" t="b">
        <f t="shared" si="78"/>
        <v>0</v>
      </c>
      <c r="BS88" s="76">
        <f t="shared" si="79"/>
        <v>0</v>
      </c>
      <c r="BT88" s="75">
        <f t="shared" si="70"/>
        <v>0</v>
      </c>
      <c r="BU88" s="58">
        <f t="shared" si="80"/>
        <v>0</v>
      </c>
      <c r="BV88" s="1" t="b">
        <f t="shared" si="81"/>
        <v>1</v>
      </c>
      <c r="BW88" s="1">
        <f t="shared" si="82"/>
        <v>110.1375</v>
      </c>
      <c r="BX88" s="75">
        <f t="shared" si="71"/>
        <v>0.45394899999999999</v>
      </c>
      <c r="BY88" s="58">
        <f t="shared" si="83"/>
        <v>176.6</v>
      </c>
      <c r="BZ88" s="58">
        <f t="shared" si="84"/>
        <v>0</v>
      </c>
      <c r="CA88" s="61">
        <v>728.3</v>
      </c>
      <c r="CB88" s="102">
        <f t="shared" si="85"/>
        <v>0.13600000000000001</v>
      </c>
      <c r="CC88" s="105">
        <f>IF(CB88&lt;0.06,1,IF(CB88&gt;=18.29,52,MATCH(CB88-0.001,'Weighting Factors'!$W$5:$W$156)+1))</f>
        <v>9</v>
      </c>
      <c r="CD88" s="24">
        <f>VLOOKUP(CC88, 'Weighting Factors'!$U$5:$X$56,4)</f>
        <v>1390</v>
      </c>
      <c r="CE88" s="109">
        <f>('Weighting Factors'!$O$5/'Weighting Factors'!$O$14)</f>
        <v>1.2216</v>
      </c>
      <c r="CF88" s="100">
        <f t="shared" si="86"/>
        <v>137610</v>
      </c>
      <c r="CG88" s="100">
        <f>CF88*'Weighting Factors'!$Q$7</f>
        <v>137610</v>
      </c>
      <c r="CH88" s="100">
        <f t="shared" si="72"/>
        <v>168104</v>
      </c>
      <c r="CI88" s="58">
        <f>AK88/'Weighting Factors'!$O$5</f>
        <v>33</v>
      </c>
      <c r="CJ88" s="67">
        <v>0</v>
      </c>
      <c r="CK88" s="80">
        <v>0</v>
      </c>
      <c r="CL88" s="110">
        <v>0</v>
      </c>
      <c r="CM88" s="24">
        <f>SUM((AR88*'Weighting Factors'!$O$5)+'2024 Legal Max'!AX88)*CL88</f>
        <v>0</v>
      </c>
      <c r="CN88" s="24">
        <f t="shared" si="73"/>
        <v>0</v>
      </c>
      <c r="CO88" s="65">
        <f t="shared" si="74"/>
        <v>0.38619999999999999</v>
      </c>
      <c r="CP88" s="58">
        <f t="shared" si="87"/>
        <v>0</v>
      </c>
      <c r="CQ88" s="58">
        <f t="shared" si="88"/>
        <v>3.7</v>
      </c>
      <c r="CR88" s="58">
        <f t="shared" si="89"/>
        <v>777.4</v>
      </c>
      <c r="CS88" s="24">
        <f>'Required Transfers'!L88</f>
        <v>113604</v>
      </c>
      <c r="CT88" s="24">
        <f>'Required Transfers'!O88</f>
        <v>0</v>
      </c>
      <c r="CU88" s="24">
        <f>'Required Transfers'!H88</f>
        <v>396864</v>
      </c>
      <c r="CV88" s="58">
        <f t="shared" si="90"/>
        <v>368</v>
      </c>
      <c r="CW88" s="27" t="s">
        <v>273</v>
      </c>
    </row>
    <row r="89" spans="1:101" ht="15" customHeight="1">
      <c r="A89" s="54">
        <v>282</v>
      </c>
      <c r="B89" s="1" t="s">
        <v>39</v>
      </c>
      <c r="C89" s="1" t="s">
        <v>594</v>
      </c>
      <c r="D89" s="58">
        <v>362.5</v>
      </c>
      <c r="E89" s="58"/>
      <c r="F89" s="58">
        <v>0</v>
      </c>
      <c r="G89" s="58">
        <f t="shared" si="91"/>
        <v>362.5</v>
      </c>
      <c r="H89" s="58">
        <v>369.5</v>
      </c>
      <c r="I89" s="58"/>
      <c r="J89" s="58">
        <v>0</v>
      </c>
      <c r="K89" s="58">
        <f t="shared" si="92"/>
        <v>369.5</v>
      </c>
      <c r="L89" s="1">
        <v>354.1</v>
      </c>
      <c r="N89" s="1">
        <v>0</v>
      </c>
      <c r="O89" s="58">
        <f t="shared" si="93"/>
        <v>354.1</v>
      </c>
      <c r="P89" s="58">
        <f>IF(ISNA(VLOOKUP($CW89,'Audit Values'!$A:$BZ,2,FALSE)),'Preliminary SO66'!C88,VLOOKUP($CW89,'Audit Values'!$A:$BZ,76,FALSE))</f>
        <v>360.5</v>
      </c>
      <c r="Q89" s="58">
        <f>IF(ISNA(VLOOKUP($CW89,'Audit Values'!$A:$BZ,2,FALSE)),'Preliminary SO66'!F88,VLOOKUP($CW89,'Audit Values'!$A:$BZ,4,FALSE))</f>
        <v>0</v>
      </c>
      <c r="R89" s="58">
        <f t="shared" si="61"/>
        <v>360.5</v>
      </c>
      <c r="S89" s="58">
        <f>IF('Military Provision'!I89="YES", MAX('2024 Legal Max'!O89,'2024 Legal Max'!K89,AVERAGE('2024 Legal Max'!G89,'2024 Legal Max'!K89,'2024 Legal Max'!O89)), MAX(O89, K89))</f>
        <v>369.5</v>
      </c>
      <c r="T89" s="58">
        <f>IF(ISNA(VLOOKUP($CW89,'Audit Values'!$A:$BX,2,FALSE)),'Preliminary SO66'!AL88,VLOOKUP($CW89,'Audit Values'!$A:$BX,59,FALSE))</f>
        <v>2</v>
      </c>
      <c r="U89" s="58">
        <f t="shared" si="62"/>
        <v>371.5</v>
      </c>
      <c r="V89" s="58">
        <f>'Low-High ENRL- 2023 HSubSB 113'!N92</f>
        <v>170.9</v>
      </c>
      <c r="W89" s="58">
        <f>IF(ISNA(VLOOKUP($CW89,'Audit Values'!$A:$BZ,2,FALSE)),'Preliminary SO66'!AM88,VLOOKUP($CW89,'Audit Values'!$A:$BZ,63,FALSE))</f>
        <v>3.6</v>
      </c>
      <c r="X89" s="58">
        <f>(W89/6)*'Weighting Factors'!$O$7</f>
        <v>0.2</v>
      </c>
      <c r="Y89" s="61">
        <f>IF(ISNA(VLOOKUP($CW89,'Audit Values'!$A:$BZ,2,FALSE)),'Preliminary SO66'!AN88,VLOOKUP($CW89,'Audit Values'!$A:$BZ,62,FALSE))</f>
        <v>3</v>
      </c>
      <c r="Z89" s="58">
        <f>Y89*'Weighting Factors'!$O$8</f>
        <v>0.6</v>
      </c>
      <c r="AA89" s="58">
        <f t="shared" si="63"/>
        <v>0.6</v>
      </c>
      <c r="AB89" s="106">
        <f>IF(ISNA(VLOOKUP($CW89,'Audit Values'!$A:$BZ,2,FALSE)),'Preliminary SO66'!AO88,VLOOKUP($CW89,'Audit Values'!$A:$BZ,61,FALSE))</f>
        <v>112.8</v>
      </c>
      <c r="AC89" s="58">
        <f>AB89/6*'Weighting Factors'!$O$6</f>
        <v>9.4</v>
      </c>
      <c r="AD89" s="24">
        <f>IF(ISNA(VLOOKUP($CW89,'Audit Values'!$A:$BX,2,FALSE)),'Preliminary SO66'!AS88,VLOOKUP($CW89,'Audit Values'!$A:$BX,64,FALSE))</f>
        <v>369</v>
      </c>
      <c r="AE89" s="24">
        <f>IF(ISNA(VLOOKUP($CW89,'Audit Values'!$A:$BX,2,FALSE)),'Preliminary SO66'!AP88,VLOOKUP($CW89,'Audit Values'!$A:$BX,65,FALSE))</f>
        <v>178</v>
      </c>
      <c r="AF89" s="58">
        <f>IF(A89=207, AE89,(AE89))*'Weighting Factors'!$O$9</f>
        <v>86.2</v>
      </c>
      <c r="AG89" s="58">
        <f t="shared" si="96"/>
        <v>16.5</v>
      </c>
      <c r="AH89" s="58">
        <f>IF(ISNA(VLOOKUP($CW89,'Audit Values'!$A:$BZ,2,FALSE)),'Preliminary SO66'!AG88,VLOOKUP($CW89,'Audit Values'!$A:$BZ,71,FALSE))</f>
        <v>16.5</v>
      </c>
      <c r="AI89" s="58">
        <f t="shared" si="64"/>
        <v>16.5</v>
      </c>
      <c r="AJ89" s="58">
        <f>IF(ISNA(VLOOKUP($CW89,'Audit Values'!$A:$BX,2,FALSE)),'Preliminary SO66'!AR88,VLOOKUP($CW89,'Audit Values'!$A:$BX,66,FALSE))</f>
        <v>202</v>
      </c>
      <c r="AK89" s="24">
        <f t="shared" si="65"/>
        <v>283778</v>
      </c>
      <c r="AL89" s="58">
        <f>AK89/'Weighting Factors'!$O$5</f>
        <v>55.8</v>
      </c>
      <c r="AM89" s="58">
        <f>CJ89/'Weighting Factors'!$O$5</f>
        <v>0</v>
      </c>
      <c r="AN89" s="58">
        <f>CN89/'Weighting Factors'!$O$5</f>
        <v>0</v>
      </c>
      <c r="AO89" s="24">
        <v>733408</v>
      </c>
      <c r="AP89" s="58">
        <f>AO89/'Weighting Factors'!$O$5</f>
        <v>144.1</v>
      </c>
      <c r="AQ89" s="58">
        <f>IF(ISNA(VLOOKUP($CW89,'Audit Values'!$A:$BX,2,FALSE)),'Preliminary SO66'!X88,VLOOKUP($CW89,'Audit Values'!$A:$BX,48,FALSE))</f>
        <v>0</v>
      </c>
      <c r="AR89" s="58">
        <f t="shared" si="94"/>
        <v>855</v>
      </c>
      <c r="AS89" s="58">
        <f t="shared" si="95"/>
        <v>710.9</v>
      </c>
      <c r="AT89" s="58">
        <f>IF(ISNA(VLOOKUP($CW89,'Audit Values'!$A$2:$BX$410,2,FALSE)),'Preliminary SO66'!AA88,VLOOKUP($CW89,'Audit Values'!$A$2:$BX$410,41,FALSE))</f>
        <v>169</v>
      </c>
      <c r="AU89" s="58">
        <f>IF(ISNA(VLOOKUP($CW89,'Audit Values'!$A$2:$BX$410,2,FALSE)),'Preliminary SO66'!AB88,VLOOKUP($CW89,'Audit Values'!$A$2:$BX$410,42,FALSE))</f>
        <v>1.6</v>
      </c>
      <c r="AV89" s="73">
        <v>0</v>
      </c>
      <c r="AW89" s="73">
        <v>0</v>
      </c>
      <c r="AX89" s="24">
        <f>SUM(AT89*'Weighting Factors'!$R$10)+('2024 Legal Max'!AU89*'Weighting Factors'!$R$11)+('2024 Legal Max'!AV89*'Weighting Factors'!$R$12)+('2024 Legal Max'!AW89*'Weighting Factors'!$R$12)</f>
        <v>950880</v>
      </c>
      <c r="AY89" s="54">
        <f>IF(ISNA(VLOOKUP($CW89,'Audit Values'!$A$2:$BX$429,2,FALSE)),"",IF(AND('Weighting Factors'!G89&gt;0,VLOOKUP($CW89,'Audit Values'!$A$2:$BX$429,51,FALSE)&lt;'Weighting Factors'!G89),'Weighting Factors'!G89,VLOOKUP($CW89,'Audit Values'!$A$2:$BX$429,51,FALSE)))</f>
        <v>19</v>
      </c>
      <c r="AZ89" s="54" t="str">
        <f>IF(ISNA(VLOOKUP($CW89,'Audit Values'!$A:$BY,2,FALSE)),"",VLOOKUP($CW89,'Audit Values'!$A:$BY,52,FALSE))</f>
        <v>A</v>
      </c>
      <c r="BA89" s="54" t="str">
        <f>IF('Weighting Factors'!F89="","",IF('Weighting Factors'!H89="Pending","PX","R"))</f>
        <v/>
      </c>
      <c r="BB89" s="60">
        <f>SUM((U89+V89+AA89+AC89+AF89+AI89+AL89+AM89+AQ89+AN89)*'Weighting Factors'!$O$5)+'2024 Legal Max'!AX89</f>
        <v>4567939</v>
      </c>
      <c r="BC89" s="24">
        <f>SUM((AR89+AN89)*'Weighting Factors'!$O$5)+AX89</f>
        <v>5301120</v>
      </c>
      <c r="BD89" s="67">
        <f>IF('Weighting Factors'!F89&gt;0,'Weighting Factors'!F89,'Preliminary SO66'!AV88)</f>
        <v>5637635</v>
      </c>
      <c r="BE89" s="24">
        <f t="shared" si="66"/>
        <v>5301120</v>
      </c>
      <c r="BF89" s="71">
        <f>'Weighting Factors'!E89</f>
        <v>0</v>
      </c>
      <c r="BG89" s="71">
        <f>Transportation!G89</f>
        <v>0</v>
      </c>
      <c r="BH89" s="24">
        <f>IF(ISNA(VLOOKUP($CW89,'Audit Values'!$A:$BW,2,FALSE)), 0, VLOOKUP($CW89,'Audit Values'!$A:$BW,75,FALSE))</f>
        <v>-29325</v>
      </c>
      <c r="BI89" s="24">
        <f t="shared" si="67"/>
        <v>-29325</v>
      </c>
      <c r="BJ89" s="24">
        <f t="shared" si="68"/>
        <v>5271795</v>
      </c>
      <c r="BK89" s="24">
        <f>SUM((U89+V89+AA89+AC89+AF89+AI89+AL89+AM89+AN89)*'Weighting Factors'!O$12)+(MAX(AO89,'Weighting Factors'!B89))</f>
        <v>4400230</v>
      </c>
      <c r="BL89" s="78">
        <f>'LOB%'!F87</f>
        <v>0.316</v>
      </c>
      <c r="BM89" s="24">
        <f t="shared" si="75"/>
        <v>1390473</v>
      </c>
      <c r="BN89" s="67">
        <v>1443515</v>
      </c>
      <c r="BO89" s="24">
        <f t="shared" si="69"/>
        <v>1390473</v>
      </c>
      <c r="BP89" s="89">
        <f t="shared" si="76"/>
        <v>0.316</v>
      </c>
      <c r="BQ89" s="58">
        <f t="shared" si="77"/>
        <v>0</v>
      </c>
      <c r="BR89" s="1" t="b">
        <f t="shared" si="78"/>
        <v>0</v>
      </c>
      <c r="BS89" s="76">
        <f t="shared" si="79"/>
        <v>0</v>
      </c>
      <c r="BT89" s="75">
        <f t="shared" si="70"/>
        <v>0</v>
      </c>
      <c r="BU89" s="58">
        <f t="shared" si="80"/>
        <v>0</v>
      </c>
      <c r="BV89" s="1" t="b">
        <f t="shared" si="81"/>
        <v>1</v>
      </c>
      <c r="BW89" s="1">
        <f t="shared" si="82"/>
        <v>88.481300000000005</v>
      </c>
      <c r="BX89" s="75">
        <f t="shared" si="71"/>
        <v>0.45989400000000002</v>
      </c>
      <c r="BY89" s="58">
        <f t="shared" si="83"/>
        <v>170.9</v>
      </c>
      <c r="BZ89" s="58">
        <f t="shared" si="84"/>
        <v>0</v>
      </c>
      <c r="CA89" s="61">
        <v>541</v>
      </c>
      <c r="CB89" s="102">
        <f t="shared" si="85"/>
        <v>0.373</v>
      </c>
      <c r="CC89" s="105">
        <f>IF(CB89&lt;0.06,1,IF(CB89&gt;=18.29,52,MATCH(CB89-0.001,'Weighting Factors'!$W$5:$W$156)+1))</f>
        <v>22</v>
      </c>
      <c r="CD89" s="24">
        <f>VLOOKUP(CC89, 'Weighting Factors'!$U$5:$X$56,4)</f>
        <v>1150</v>
      </c>
      <c r="CE89" s="109">
        <f>('Weighting Factors'!$O$5/'Weighting Factors'!$O$14)</f>
        <v>1.2216</v>
      </c>
      <c r="CF89" s="100">
        <f t="shared" si="86"/>
        <v>232300</v>
      </c>
      <c r="CG89" s="100">
        <f>CF89*'Weighting Factors'!$Q$7</f>
        <v>232300</v>
      </c>
      <c r="CH89" s="100">
        <f t="shared" si="72"/>
        <v>283778</v>
      </c>
      <c r="CI89" s="58">
        <f>AK89/'Weighting Factors'!$O$5</f>
        <v>55.8</v>
      </c>
      <c r="CJ89" s="67">
        <v>0</v>
      </c>
      <c r="CK89" s="80">
        <v>0</v>
      </c>
      <c r="CL89" s="110">
        <v>0</v>
      </c>
      <c r="CM89" s="24">
        <f>SUM((AR89*'Weighting Factors'!$O$5)+'2024 Legal Max'!AX89)*CL89</f>
        <v>0</v>
      </c>
      <c r="CN89" s="24">
        <f t="shared" si="73"/>
        <v>0</v>
      </c>
      <c r="CO89" s="65">
        <f t="shared" si="74"/>
        <v>0.4824</v>
      </c>
      <c r="CP89" s="58">
        <f t="shared" si="87"/>
        <v>0</v>
      </c>
      <c r="CQ89" s="58">
        <f t="shared" si="88"/>
        <v>16.5</v>
      </c>
      <c r="CR89" s="58">
        <f t="shared" si="89"/>
        <v>855</v>
      </c>
      <c r="CS89" s="24">
        <f>'Required Transfers'!L89</f>
        <v>140577</v>
      </c>
      <c r="CT89" s="24">
        <f>'Required Transfers'!O89</f>
        <v>973</v>
      </c>
      <c r="CU89" s="24">
        <f>'Required Transfers'!H89</f>
        <v>522538</v>
      </c>
      <c r="CV89" s="58">
        <f t="shared" si="90"/>
        <v>533.1</v>
      </c>
      <c r="CW89" s="27" t="s">
        <v>274</v>
      </c>
    </row>
    <row r="90" spans="1:101" ht="15" customHeight="1">
      <c r="A90" s="54">
        <v>283</v>
      </c>
      <c r="B90" s="1" t="s">
        <v>39</v>
      </c>
      <c r="C90" s="1" t="s">
        <v>595</v>
      </c>
      <c r="D90" s="58">
        <v>111.8</v>
      </c>
      <c r="E90" s="58"/>
      <c r="F90" s="58">
        <v>0</v>
      </c>
      <c r="G90" s="58">
        <f t="shared" si="91"/>
        <v>111.8</v>
      </c>
      <c r="H90" s="58">
        <v>92.6</v>
      </c>
      <c r="I90" s="58"/>
      <c r="J90" s="58">
        <v>0</v>
      </c>
      <c r="K90" s="58">
        <f t="shared" si="92"/>
        <v>92.6</v>
      </c>
      <c r="L90" s="1">
        <v>98</v>
      </c>
      <c r="N90" s="1">
        <v>0</v>
      </c>
      <c r="O90" s="58">
        <f t="shared" si="93"/>
        <v>98</v>
      </c>
      <c r="P90" s="58">
        <f>IF(ISNA(VLOOKUP($CW90,'Audit Values'!$A:$BZ,2,FALSE)),'Preliminary SO66'!C89,VLOOKUP($CW90,'Audit Values'!$A:$BZ,76,FALSE))</f>
        <v>114</v>
      </c>
      <c r="Q90" s="58">
        <f>IF(ISNA(VLOOKUP($CW90,'Audit Values'!$A:$BZ,2,FALSE)),'Preliminary SO66'!F89,VLOOKUP($CW90,'Audit Values'!$A:$BZ,4,FALSE))</f>
        <v>0</v>
      </c>
      <c r="R90" s="58">
        <f t="shared" si="61"/>
        <v>114</v>
      </c>
      <c r="S90" s="58">
        <f>IF('Military Provision'!I90="YES", MAX('2024 Legal Max'!O90,'2024 Legal Max'!K90,AVERAGE('2024 Legal Max'!G90,'2024 Legal Max'!K90,'2024 Legal Max'!O90)), MAX(O90, K90))</f>
        <v>98</v>
      </c>
      <c r="T90" s="58">
        <f>IF(ISNA(VLOOKUP($CW90,'Audit Values'!$A:$BX,2,FALSE)),'Preliminary SO66'!AL89,VLOOKUP($CW90,'Audit Values'!$A:$BX,59,FALSE))</f>
        <v>2</v>
      </c>
      <c r="U90" s="58">
        <f t="shared" si="62"/>
        <v>100</v>
      </c>
      <c r="V90" s="58">
        <f>'Low-High ENRL- 2023 HSubSB 113'!N93</f>
        <v>101.4</v>
      </c>
      <c r="W90" s="58">
        <f>IF(ISNA(VLOOKUP($CW90,'Audit Values'!$A:$BZ,2,FALSE)),'Preliminary SO66'!AM89,VLOOKUP($CW90,'Audit Values'!$A:$BZ,63,FALSE))</f>
        <v>0</v>
      </c>
      <c r="X90" s="58">
        <f>(W90/6)*'Weighting Factors'!$O$7</f>
        <v>0</v>
      </c>
      <c r="Y90" s="61">
        <f>IF(ISNA(VLOOKUP($CW90,'Audit Values'!$A:$BZ,2,FALSE)),'Preliminary SO66'!AN89,VLOOKUP($CW90,'Audit Values'!$A:$BZ,62,FALSE))</f>
        <v>0</v>
      </c>
      <c r="Z90" s="58">
        <f>Y90*'Weighting Factors'!$O$8</f>
        <v>0</v>
      </c>
      <c r="AA90" s="58">
        <f t="shared" si="63"/>
        <v>0</v>
      </c>
      <c r="AB90" s="106">
        <f>IF(ISNA(VLOOKUP($CW90,'Audit Values'!$A:$BZ,2,FALSE)),'Preliminary SO66'!AO89,VLOOKUP($CW90,'Audit Values'!$A:$BZ,61,FALSE))</f>
        <v>25.1</v>
      </c>
      <c r="AC90" s="58">
        <f>AB90/6*'Weighting Factors'!$O$6</f>
        <v>2.1</v>
      </c>
      <c r="AD90" s="24">
        <f>IF(ISNA(VLOOKUP($CW90,'Audit Values'!$A:$BX,2,FALSE)),'Preliminary SO66'!AS89,VLOOKUP($CW90,'Audit Values'!$A:$BX,64,FALSE))</f>
        <v>120</v>
      </c>
      <c r="AE90" s="24">
        <f>IF(ISNA(VLOOKUP($CW90,'Audit Values'!$A:$BX,2,FALSE)),'Preliminary SO66'!AP89,VLOOKUP($CW90,'Audit Values'!$A:$BX,65,FALSE))</f>
        <v>93</v>
      </c>
      <c r="AF90" s="58">
        <f>IF(A90=207, AE90,(AE90))*'Weighting Factors'!$O$9</f>
        <v>45</v>
      </c>
      <c r="AG90" s="58">
        <f t="shared" si="96"/>
        <v>9.8000000000000007</v>
      </c>
      <c r="AH90" s="58">
        <f>IF(ISNA(VLOOKUP($CW90,'Audit Values'!$A:$BZ,2,FALSE)),'Preliminary SO66'!AG89,VLOOKUP($CW90,'Audit Values'!$A:$BZ,71,FALSE))</f>
        <v>9.6999999999999993</v>
      </c>
      <c r="AI90" s="58">
        <f t="shared" si="64"/>
        <v>9.8000000000000007</v>
      </c>
      <c r="AJ90" s="58">
        <f>IF(ISNA(VLOOKUP($CW90,'Audit Values'!$A:$BX,2,FALSE)),'Preliminary SO66'!AR89,VLOOKUP($CW90,'Audit Values'!$A:$BX,66,FALSE))</f>
        <v>18</v>
      </c>
      <c r="AK90" s="24">
        <f t="shared" si="65"/>
        <v>31444</v>
      </c>
      <c r="AL90" s="58">
        <f>AK90/'Weighting Factors'!$O$5</f>
        <v>6.2</v>
      </c>
      <c r="AM90" s="58">
        <f>CJ90/'Weighting Factors'!$O$5</f>
        <v>0</v>
      </c>
      <c r="AN90" s="58">
        <f>CN90/'Weighting Factors'!$O$5</f>
        <v>0</v>
      </c>
      <c r="AO90" s="24">
        <v>367957</v>
      </c>
      <c r="AP90" s="58">
        <f>AO90/'Weighting Factors'!$O$5</f>
        <v>72.3</v>
      </c>
      <c r="AQ90" s="58">
        <f>IF(ISNA(VLOOKUP($CW90,'Audit Values'!$A:$BX,2,FALSE)),'Preliminary SO66'!X89,VLOOKUP($CW90,'Audit Values'!$A:$BX,48,FALSE))</f>
        <v>0</v>
      </c>
      <c r="AR90" s="58">
        <f t="shared" si="94"/>
        <v>336.8</v>
      </c>
      <c r="AS90" s="58">
        <f t="shared" si="95"/>
        <v>264.5</v>
      </c>
      <c r="AT90" s="58">
        <f>IF(ISNA(VLOOKUP($CW90,'Audit Values'!$A$2:$BX$410,2,FALSE)),'Preliminary SO66'!AA89,VLOOKUP($CW90,'Audit Values'!$A$2:$BX$410,41,FALSE))</f>
        <v>0</v>
      </c>
      <c r="AU90" s="58">
        <f>IF(ISNA(VLOOKUP($CW90,'Audit Values'!$A$2:$BX$410,2,FALSE)),'Preliminary SO66'!AB89,VLOOKUP($CW90,'Audit Values'!$A$2:$BX$410,42,FALSE))</f>
        <v>0</v>
      </c>
      <c r="AV90" s="73">
        <v>0</v>
      </c>
      <c r="AW90" s="73">
        <v>0</v>
      </c>
      <c r="AX90" s="24">
        <f>SUM(AT90*'Weighting Factors'!$R$10)+('2024 Legal Max'!AU90*'Weighting Factors'!$R$11)+('2024 Legal Max'!AV90*'Weighting Factors'!$R$12)+('2024 Legal Max'!AW90*'Weighting Factors'!$R$12)</f>
        <v>0</v>
      </c>
      <c r="AY90" s="54">
        <f>IF(ISNA(VLOOKUP($CW90,'Audit Values'!$A$2:$BX$429,2,FALSE)),"",IF(AND('Weighting Factors'!G90&gt;0,VLOOKUP($CW90,'Audit Values'!$A$2:$BX$429,51,FALSE)&lt;'Weighting Factors'!G90),'Weighting Factors'!G90,VLOOKUP($CW90,'Audit Values'!$A$2:$BX$429,51,FALSE)))</f>
        <v>17</v>
      </c>
      <c r="AZ90" s="54" t="str">
        <f>IF(ISNA(VLOOKUP($CW90,'Audit Values'!$A:$BY,2,FALSE)),"",VLOOKUP($CW90,'Audit Values'!$A:$BY,52,FALSE))</f>
        <v>A</v>
      </c>
      <c r="BA90" s="54" t="str">
        <f>IF('Weighting Factors'!F90="","",IF('Weighting Factors'!H90="Pending","PX","R"))</f>
        <v/>
      </c>
      <c r="BB90" s="60">
        <f>SUM((U90+V90+AA90+AC90+AF90+AI90+AL90+AM90+AQ90+AN90)*'Weighting Factors'!$O$5)+'2024 Legal Max'!AX90</f>
        <v>1345776</v>
      </c>
      <c r="BC90" s="24">
        <f>SUM((AR90+AN90)*'Weighting Factors'!$O$5)+AX90</f>
        <v>1713638</v>
      </c>
      <c r="BD90" s="67">
        <f>IF('Weighting Factors'!F90&gt;0,'Weighting Factors'!F90,'Preliminary SO66'!AV89)</f>
        <v>1848979</v>
      </c>
      <c r="BE90" s="24">
        <f t="shared" si="66"/>
        <v>1713638</v>
      </c>
      <c r="BF90" s="71">
        <f>'Weighting Factors'!E90</f>
        <v>0</v>
      </c>
      <c r="BG90" s="71">
        <f>Transportation!G90</f>
        <v>0</v>
      </c>
      <c r="BH90" s="24">
        <f>IF(ISNA(VLOOKUP($CW90,'Audit Values'!$A:$BW,2,FALSE)), 0, VLOOKUP($CW90,'Audit Values'!$A:$BW,75,FALSE))</f>
        <v>0</v>
      </c>
      <c r="BI90" s="24">
        <f t="shared" si="67"/>
        <v>0</v>
      </c>
      <c r="BJ90" s="24">
        <f t="shared" si="68"/>
        <v>1713638</v>
      </c>
      <c r="BK90" s="24">
        <f>SUM((U90+V90+AA90+AC90+AF90+AI90+AL90+AM90+AN90)*'Weighting Factors'!O$12)+(MAX(AO90,'Weighting Factors'!B90))</f>
        <v>1732248</v>
      </c>
      <c r="BL90" s="78">
        <f>'LOB%'!F88</f>
        <v>0.316</v>
      </c>
      <c r="BM90" s="24">
        <f t="shared" si="75"/>
        <v>547390</v>
      </c>
      <c r="BN90" s="67">
        <v>590315</v>
      </c>
      <c r="BO90" s="24">
        <f t="shared" si="69"/>
        <v>547390</v>
      </c>
      <c r="BP90" s="89">
        <f t="shared" si="76"/>
        <v>0.316</v>
      </c>
      <c r="BQ90" s="58">
        <f t="shared" si="77"/>
        <v>0</v>
      </c>
      <c r="BR90" s="1" t="b">
        <f t="shared" si="78"/>
        <v>1</v>
      </c>
      <c r="BS90" s="76">
        <f t="shared" si="79"/>
        <v>0</v>
      </c>
      <c r="BT90" s="75">
        <f t="shared" si="70"/>
        <v>1.0143310000000001</v>
      </c>
      <c r="BU90" s="58">
        <f t="shared" si="80"/>
        <v>101.4</v>
      </c>
      <c r="BV90" s="1" t="b">
        <f t="shared" si="81"/>
        <v>0</v>
      </c>
      <c r="BW90" s="1">
        <f t="shared" si="82"/>
        <v>0</v>
      </c>
      <c r="BX90" s="75">
        <f t="shared" si="71"/>
        <v>0</v>
      </c>
      <c r="BY90" s="58">
        <f t="shared" si="83"/>
        <v>0</v>
      </c>
      <c r="BZ90" s="58">
        <f t="shared" si="84"/>
        <v>0</v>
      </c>
      <c r="CA90" s="61">
        <v>160</v>
      </c>
      <c r="CB90" s="102">
        <f t="shared" si="85"/>
        <v>0.113</v>
      </c>
      <c r="CC90" s="105">
        <f>IF(CB90&lt;0.06,1,IF(CB90&gt;=18.29,52,MATCH(CB90-0.001,'Weighting Factors'!$W$5:$W$156)+1))</f>
        <v>7</v>
      </c>
      <c r="CD90" s="24">
        <f>VLOOKUP(CC90, 'Weighting Factors'!$U$5:$X$56,4)</f>
        <v>1430</v>
      </c>
      <c r="CE90" s="109">
        <f>('Weighting Factors'!$O$5/'Weighting Factors'!$O$14)</f>
        <v>1.2216</v>
      </c>
      <c r="CF90" s="100">
        <f t="shared" si="86"/>
        <v>25740</v>
      </c>
      <c r="CG90" s="100">
        <f>CF90*'Weighting Factors'!$Q$7</f>
        <v>25740</v>
      </c>
      <c r="CH90" s="100">
        <f t="shared" si="72"/>
        <v>31444</v>
      </c>
      <c r="CI90" s="58">
        <f>AK90/'Weighting Factors'!$O$5</f>
        <v>6.2</v>
      </c>
      <c r="CJ90" s="67">
        <v>0</v>
      </c>
      <c r="CK90" s="80">
        <v>0</v>
      </c>
      <c r="CL90" s="110">
        <v>0</v>
      </c>
      <c r="CM90" s="24">
        <f>SUM((AR90*'Weighting Factors'!$O$5)+'2024 Legal Max'!AX90)*CL90</f>
        <v>0</v>
      </c>
      <c r="CN90" s="24">
        <f t="shared" si="73"/>
        <v>0</v>
      </c>
      <c r="CO90" s="65">
        <f t="shared" si="74"/>
        <v>0.77500000000000002</v>
      </c>
      <c r="CP90" s="58">
        <f t="shared" si="87"/>
        <v>9.8000000000000007</v>
      </c>
      <c r="CQ90" s="58">
        <f t="shared" si="88"/>
        <v>0</v>
      </c>
      <c r="CR90" s="58">
        <f t="shared" si="89"/>
        <v>336.8</v>
      </c>
      <c r="CS90" s="24">
        <f>'Required Transfers'!L90</f>
        <v>73569</v>
      </c>
      <c r="CT90" s="24">
        <f>'Required Transfers'!O90</f>
        <v>0</v>
      </c>
      <c r="CU90" s="24">
        <f>'Required Transfers'!H90</f>
        <v>278822</v>
      </c>
      <c r="CV90" s="58">
        <f t="shared" si="90"/>
        <v>116</v>
      </c>
      <c r="CW90" s="27" t="s">
        <v>275</v>
      </c>
    </row>
    <row r="91" spans="1:101" ht="15" customHeight="1">
      <c r="A91" s="54">
        <v>284</v>
      </c>
      <c r="B91" s="1" t="s">
        <v>40</v>
      </c>
      <c r="C91" s="1" t="s">
        <v>596</v>
      </c>
      <c r="D91" s="58">
        <v>341.5</v>
      </c>
      <c r="E91" s="58"/>
      <c r="F91" s="58">
        <v>0</v>
      </c>
      <c r="G91" s="58">
        <f t="shared" si="91"/>
        <v>341.5</v>
      </c>
      <c r="H91" s="58">
        <v>347.2</v>
      </c>
      <c r="I91" s="58"/>
      <c r="J91" s="58">
        <v>0</v>
      </c>
      <c r="K91" s="58">
        <f t="shared" si="92"/>
        <v>347.2</v>
      </c>
      <c r="L91" s="1">
        <v>360</v>
      </c>
      <c r="N91" s="1">
        <v>0</v>
      </c>
      <c r="O91" s="58">
        <f t="shared" si="93"/>
        <v>360</v>
      </c>
      <c r="P91" s="58">
        <f>IF(ISNA(VLOOKUP($CW91,'Audit Values'!$A:$BZ,2,FALSE)),'Preliminary SO66'!C90,VLOOKUP($CW91,'Audit Values'!$A:$BZ,76,FALSE))</f>
        <v>355.9</v>
      </c>
      <c r="Q91" s="58">
        <f>IF(ISNA(VLOOKUP($CW91,'Audit Values'!$A:$BZ,2,FALSE)),'Preliminary SO66'!F90,VLOOKUP($CW91,'Audit Values'!$A:$BZ,4,FALSE))</f>
        <v>0</v>
      </c>
      <c r="R91" s="58">
        <f t="shared" si="61"/>
        <v>355.9</v>
      </c>
      <c r="S91" s="58">
        <f>IF('Military Provision'!I91="YES", MAX('2024 Legal Max'!O91,'2024 Legal Max'!K91,AVERAGE('2024 Legal Max'!G91,'2024 Legal Max'!K91,'2024 Legal Max'!O91)), MAX(O91, K91))</f>
        <v>360</v>
      </c>
      <c r="T91" s="58">
        <f>IF(ISNA(VLOOKUP($CW91,'Audit Values'!$A:$BX,2,FALSE)),'Preliminary SO66'!AL90,VLOOKUP($CW91,'Audit Values'!$A:$BX,59,FALSE))</f>
        <v>4.5</v>
      </c>
      <c r="U91" s="58">
        <f t="shared" si="62"/>
        <v>364.5</v>
      </c>
      <c r="V91" s="58">
        <f>'Low-High ENRL- 2023 HSubSB 113'!N94</f>
        <v>168.5</v>
      </c>
      <c r="W91" s="58">
        <f>IF(ISNA(VLOOKUP($CW91,'Audit Values'!$A:$BZ,2,FALSE)),'Preliminary SO66'!AM90,VLOOKUP($CW91,'Audit Values'!$A:$BZ,63,FALSE))</f>
        <v>6</v>
      </c>
      <c r="X91" s="58">
        <f>(W91/6)*'Weighting Factors'!$O$7</f>
        <v>0.4</v>
      </c>
      <c r="Y91" s="61">
        <f>IF(ISNA(VLOOKUP($CW91,'Audit Values'!$A:$BZ,2,FALSE)),'Preliminary SO66'!AN90,VLOOKUP($CW91,'Audit Values'!$A:$BZ,62,FALSE))</f>
        <v>2</v>
      </c>
      <c r="Z91" s="58">
        <f>Y91*'Weighting Factors'!$O$8</f>
        <v>0.4</v>
      </c>
      <c r="AA91" s="58">
        <f t="shared" si="63"/>
        <v>0.4</v>
      </c>
      <c r="AB91" s="106">
        <f>IF(ISNA(VLOOKUP($CW91,'Audit Values'!$A:$BZ,2,FALSE)),'Preliminary SO66'!AO90,VLOOKUP($CW91,'Audit Values'!$A:$BZ,61,FALSE))</f>
        <v>61.7</v>
      </c>
      <c r="AC91" s="58">
        <f>AB91/6*'Weighting Factors'!$O$6</f>
        <v>5.0999999999999996</v>
      </c>
      <c r="AD91" s="24">
        <f>IF(ISNA(VLOOKUP($CW91,'Audit Values'!$A:$BX,2,FALSE)),'Preliminary SO66'!AS90,VLOOKUP($CW91,'Audit Values'!$A:$BX,64,FALSE))</f>
        <v>367</v>
      </c>
      <c r="AE91" s="24">
        <f>IF(ISNA(VLOOKUP($CW91,'Audit Values'!$A:$BX,2,FALSE)),'Preliminary SO66'!AP90,VLOOKUP($CW91,'Audit Values'!$A:$BX,65,FALSE))</f>
        <v>122</v>
      </c>
      <c r="AF91" s="58">
        <f>IF(A91=207, AE91,(AE91))*'Weighting Factors'!$O$9</f>
        <v>59</v>
      </c>
      <c r="AG91" s="58">
        <f t="shared" si="96"/>
        <v>0</v>
      </c>
      <c r="AH91" s="58">
        <f>IF(ISNA(VLOOKUP($CW91,'Audit Values'!$A:$BZ,2,FALSE)),'Preliminary SO66'!AG90,VLOOKUP($CW91,'Audit Values'!$A:$BZ,71,FALSE))</f>
        <v>0.1</v>
      </c>
      <c r="AI91" s="58">
        <f t="shared" si="64"/>
        <v>0.1</v>
      </c>
      <c r="AJ91" s="58">
        <f>IF(ISNA(VLOOKUP($CW91,'Audit Values'!$A:$BX,2,FALSE)),'Preliminary SO66'!AR90,VLOOKUP($CW91,'Audit Values'!$A:$BX,66,FALSE))</f>
        <v>146</v>
      </c>
      <c r="AK91" s="24">
        <f t="shared" si="65"/>
        <v>231860</v>
      </c>
      <c r="AL91" s="58">
        <f>AK91/'Weighting Factors'!$O$5</f>
        <v>45.6</v>
      </c>
      <c r="AM91" s="58">
        <f>CJ91/'Weighting Factors'!$O$5</f>
        <v>0</v>
      </c>
      <c r="AN91" s="58">
        <f>CN91/'Weighting Factors'!$O$5</f>
        <v>0</v>
      </c>
      <c r="AO91" s="24">
        <v>478522</v>
      </c>
      <c r="AP91" s="58">
        <f>AO91/'Weighting Factors'!$O$5</f>
        <v>94</v>
      </c>
      <c r="AQ91" s="58">
        <f>IF(ISNA(VLOOKUP($CW91,'Audit Values'!$A:$BX,2,FALSE)),'Preliminary SO66'!X90,VLOOKUP($CW91,'Audit Values'!$A:$BX,48,FALSE))</f>
        <v>0</v>
      </c>
      <c r="AR91" s="58">
        <f t="shared" si="94"/>
        <v>737.2</v>
      </c>
      <c r="AS91" s="58">
        <f t="shared" si="95"/>
        <v>643.20000000000005</v>
      </c>
      <c r="AT91" s="58">
        <f>IF(ISNA(VLOOKUP($CW91,'Audit Values'!$A$2:$BX$410,2,FALSE)),'Preliminary SO66'!AA90,VLOOKUP($CW91,'Audit Values'!$A$2:$BX$410,41,FALSE))</f>
        <v>3</v>
      </c>
      <c r="AU91" s="58">
        <f>IF(ISNA(VLOOKUP($CW91,'Audit Values'!$A$2:$BX$410,2,FALSE)),'Preliminary SO66'!AB90,VLOOKUP($CW91,'Audit Values'!$A$2:$BX$410,42,FALSE))</f>
        <v>5.3</v>
      </c>
      <c r="AV91" s="73">
        <v>0</v>
      </c>
      <c r="AW91" s="73">
        <v>0</v>
      </c>
      <c r="AX91" s="24">
        <f>SUM(AT91*'Weighting Factors'!$R$10)+('2024 Legal Max'!AU91*'Weighting Factors'!$R$11)+('2024 Legal Max'!AV91*'Weighting Factors'!$R$12)+('2024 Legal Max'!AW91*'Weighting Factors'!$R$12)</f>
        <v>31640</v>
      </c>
      <c r="AY91" s="54">
        <f>IF(ISNA(VLOOKUP($CW91,'Audit Values'!$A$2:$BX$429,2,FALSE)),"",IF(AND('Weighting Factors'!G91&gt;0,VLOOKUP($CW91,'Audit Values'!$A$2:$BX$429,51,FALSE)&lt;'Weighting Factors'!G91),'Weighting Factors'!G91,VLOOKUP($CW91,'Audit Values'!$A$2:$BX$429,51,FALSE)))</f>
        <v>11</v>
      </c>
      <c r="AZ91" s="54" t="str">
        <f>IF(ISNA(VLOOKUP($CW91,'Audit Values'!$A:$BY,2,FALSE)),"",VLOOKUP($CW91,'Audit Values'!$A:$BY,52,FALSE))</f>
        <v>A</v>
      </c>
      <c r="BA91" s="54" t="str">
        <f>IF('Weighting Factors'!F91="","",IF('Weighting Factors'!H91="Pending","PX","R"))</f>
        <v/>
      </c>
      <c r="BB91" s="60">
        <f>SUM((U91+V91+AA91+AC91+AF91+AI91+AL91+AM91+AQ91+AN91)*'Weighting Factors'!$O$5)+'2024 Legal Max'!AX91</f>
        <v>3304242</v>
      </c>
      <c r="BC91" s="24">
        <f>SUM((AR91+AN91)*'Weighting Factors'!$O$5)+AX91</f>
        <v>3782514</v>
      </c>
      <c r="BD91" s="67">
        <f>IF('Weighting Factors'!F91&gt;0,'Weighting Factors'!F91,'Preliminary SO66'!AV90)</f>
        <v>3850552</v>
      </c>
      <c r="BE91" s="24">
        <f t="shared" si="66"/>
        <v>3782514</v>
      </c>
      <c r="BF91" s="71">
        <f>'Weighting Factors'!E91</f>
        <v>0</v>
      </c>
      <c r="BG91" s="71">
        <f>Transportation!G91</f>
        <v>0</v>
      </c>
      <c r="BH91" s="24">
        <f>IF(ISNA(VLOOKUP($CW91,'Audit Values'!$A:$BW,2,FALSE)), 0, VLOOKUP($CW91,'Audit Values'!$A:$BW,75,FALSE))</f>
        <v>-3545</v>
      </c>
      <c r="BI91" s="24">
        <f t="shared" si="67"/>
        <v>-3545</v>
      </c>
      <c r="BJ91" s="24">
        <f t="shared" si="68"/>
        <v>3778969</v>
      </c>
      <c r="BK91" s="24">
        <f>SUM((U91+V91+AA91+AC91+AF91+AI91+AL91+AM91+AN91)*'Weighting Factors'!O$12)+(MAX(AO91,'Weighting Factors'!B91))</f>
        <v>3796148</v>
      </c>
      <c r="BL91" s="78">
        <f>'LOB%'!F89</f>
        <v>0.316</v>
      </c>
      <c r="BM91" s="24">
        <f t="shared" si="75"/>
        <v>1199583</v>
      </c>
      <c r="BN91" s="67">
        <v>1226607</v>
      </c>
      <c r="BO91" s="24">
        <f t="shared" si="69"/>
        <v>1199583</v>
      </c>
      <c r="BP91" s="89">
        <f t="shared" si="76"/>
        <v>0.316</v>
      </c>
      <c r="BQ91" s="58">
        <f t="shared" si="77"/>
        <v>0</v>
      </c>
      <c r="BR91" s="1" t="b">
        <f t="shared" si="78"/>
        <v>0</v>
      </c>
      <c r="BS91" s="76">
        <f t="shared" si="79"/>
        <v>0</v>
      </c>
      <c r="BT91" s="75">
        <f t="shared" si="70"/>
        <v>0</v>
      </c>
      <c r="BU91" s="58">
        <f t="shared" si="80"/>
        <v>0</v>
      </c>
      <c r="BV91" s="1" t="b">
        <f t="shared" si="81"/>
        <v>1</v>
      </c>
      <c r="BW91" s="1">
        <f t="shared" si="82"/>
        <v>79.818799999999996</v>
      </c>
      <c r="BX91" s="75">
        <f t="shared" si="71"/>
        <v>0.46227200000000002</v>
      </c>
      <c r="BY91" s="58">
        <f t="shared" si="83"/>
        <v>168.5</v>
      </c>
      <c r="BZ91" s="58">
        <f t="shared" si="84"/>
        <v>0</v>
      </c>
      <c r="CA91" s="61">
        <v>780</v>
      </c>
      <c r="CB91" s="102">
        <f t="shared" si="85"/>
        <v>0.187</v>
      </c>
      <c r="CC91" s="105">
        <f>IF(CB91&lt;0.06,1,IF(CB91&gt;=18.29,52,MATCH(CB91-0.001,'Weighting Factors'!$W$5:$W$156)+1))</f>
        <v>14</v>
      </c>
      <c r="CD91" s="24">
        <f>VLOOKUP(CC91, 'Weighting Factors'!$U$5:$X$56,4)</f>
        <v>1300</v>
      </c>
      <c r="CE91" s="109">
        <f>('Weighting Factors'!$O$5/'Weighting Factors'!$O$14)</f>
        <v>1.2216</v>
      </c>
      <c r="CF91" s="100">
        <f t="shared" si="86"/>
        <v>189800</v>
      </c>
      <c r="CG91" s="100">
        <f>CF91*'Weighting Factors'!$Q$7</f>
        <v>189800</v>
      </c>
      <c r="CH91" s="100">
        <f t="shared" si="72"/>
        <v>231860</v>
      </c>
      <c r="CI91" s="58">
        <f>AK91/'Weighting Factors'!$O$5</f>
        <v>45.6</v>
      </c>
      <c r="CJ91" s="67">
        <v>0</v>
      </c>
      <c r="CK91" s="80">
        <v>0</v>
      </c>
      <c r="CL91" s="110">
        <v>0</v>
      </c>
      <c r="CM91" s="24">
        <f>SUM((AR91*'Weighting Factors'!$O$5)+'2024 Legal Max'!AX91)*CL91</f>
        <v>0</v>
      </c>
      <c r="CN91" s="24">
        <f t="shared" si="73"/>
        <v>0</v>
      </c>
      <c r="CO91" s="65">
        <f t="shared" si="74"/>
        <v>0.33239999999999997</v>
      </c>
      <c r="CP91" s="58">
        <f t="shared" si="87"/>
        <v>0</v>
      </c>
      <c r="CQ91" s="58">
        <f t="shared" si="88"/>
        <v>0</v>
      </c>
      <c r="CR91" s="58">
        <f t="shared" si="89"/>
        <v>737.2</v>
      </c>
      <c r="CS91" s="24">
        <f>'Required Transfers'!L91</f>
        <v>96566</v>
      </c>
      <c r="CT91" s="24">
        <f>'Required Transfers'!O91</f>
        <v>600</v>
      </c>
      <c r="CU91" s="24">
        <f>'Required Transfers'!H91</f>
        <v>300701</v>
      </c>
      <c r="CV91" s="58">
        <f t="shared" si="90"/>
        <v>368.7</v>
      </c>
      <c r="CW91" s="27" t="s">
        <v>276</v>
      </c>
    </row>
    <row r="92" spans="1:101" ht="15" customHeight="1">
      <c r="A92" s="54">
        <v>285</v>
      </c>
      <c r="B92" s="1" t="s">
        <v>41</v>
      </c>
      <c r="C92" s="1" t="s">
        <v>597</v>
      </c>
      <c r="D92" s="58">
        <v>136</v>
      </c>
      <c r="E92" s="58"/>
      <c r="F92" s="58">
        <v>0</v>
      </c>
      <c r="G92" s="58">
        <f t="shared" si="91"/>
        <v>136</v>
      </c>
      <c r="H92" s="58">
        <v>124.7</v>
      </c>
      <c r="I92" s="58"/>
      <c r="J92" s="58">
        <v>0</v>
      </c>
      <c r="K92" s="58">
        <f t="shared" si="92"/>
        <v>124.7</v>
      </c>
      <c r="L92" s="1">
        <v>134.5</v>
      </c>
      <c r="N92" s="1">
        <v>0</v>
      </c>
      <c r="O92" s="58">
        <f t="shared" si="93"/>
        <v>134.5</v>
      </c>
      <c r="P92" s="58">
        <f>IF(ISNA(VLOOKUP($CW92,'Audit Values'!$A:$BZ,2,FALSE)),'Preliminary SO66'!C91,VLOOKUP($CW92,'Audit Values'!$A:$BZ,76,FALSE))</f>
        <v>123.5</v>
      </c>
      <c r="Q92" s="58">
        <f>IF(ISNA(VLOOKUP($CW92,'Audit Values'!$A:$BZ,2,FALSE)),'Preliminary SO66'!F91,VLOOKUP($CW92,'Audit Values'!$A:$BZ,4,FALSE))</f>
        <v>0</v>
      </c>
      <c r="R92" s="58">
        <f t="shared" si="61"/>
        <v>123.5</v>
      </c>
      <c r="S92" s="58">
        <f>IF('Military Provision'!I92="YES", MAX('2024 Legal Max'!O92,'2024 Legal Max'!K92,AVERAGE('2024 Legal Max'!G92,'2024 Legal Max'!K92,'2024 Legal Max'!O92)), MAX(O92, K92))</f>
        <v>134.5</v>
      </c>
      <c r="T92" s="58">
        <f>IF(ISNA(VLOOKUP($CW92,'Audit Values'!$A:$BX,2,FALSE)),'Preliminary SO66'!AL91,VLOOKUP($CW92,'Audit Values'!$A:$BX,59,FALSE))</f>
        <v>1</v>
      </c>
      <c r="U92" s="58">
        <f t="shared" si="62"/>
        <v>135.5</v>
      </c>
      <c r="V92" s="58">
        <f>'Low-High ENRL- 2023 HSubSB 113'!N95</f>
        <v>124.7</v>
      </c>
      <c r="W92" s="58">
        <f>IF(ISNA(VLOOKUP($CW92,'Audit Values'!$A:$BZ,2,FALSE)),'Preliminary SO66'!AM91,VLOOKUP($CW92,'Audit Values'!$A:$BZ,63,FALSE))</f>
        <v>0</v>
      </c>
      <c r="X92" s="58">
        <f>(W92/6)*'Weighting Factors'!$O$7</f>
        <v>0</v>
      </c>
      <c r="Y92" s="61">
        <f>IF(ISNA(VLOOKUP($CW92,'Audit Values'!$A:$BZ,2,FALSE)),'Preliminary SO66'!AN91,VLOOKUP($CW92,'Audit Values'!$A:$BZ,62,FALSE))</f>
        <v>0</v>
      </c>
      <c r="Z92" s="58">
        <f>Y92*'Weighting Factors'!$O$8</f>
        <v>0</v>
      </c>
      <c r="AA92" s="58">
        <f t="shared" si="63"/>
        <v>0</v>
      </c>
      <c r="AB92" s="106">
        <f>IF(ISNA(VLOOKUP($CW92,'Audit Values'!$A:$BZ,2,FALSE)),'Preliminary SO66'!AO91,VLOOKUP($CW92,'Audit Values'!$A:$BZ,61,FALSE))</f>
        <v>7.5</v>
      </c>
      <c r="AC92" s="58">
        <f>AB92/6*'Weighting Factors'!$O$6</f>
        <v>0.6</v>
      </c>
      <c r="AD92" s="24">
        <f>IF(ISNA(VLOOKUP($CW92,'Audit Values'!$A:$BX,2,FALSE)),'Preliminary SO66'!AS91,VLOOKUP($CW92,'Audit Values'!$A:$BX,64,FALSE))</f>
        <v>128</v>
      </c>
      <c r="AE92" s="24">
        <f>IF(ISNA(VLOOKUP($CW92,'Audit Values'!$A:$BX,2,FALSE)),'Preliminary SO66'!AP91,VLOOKUP($CW92,'Audit Values'!$A:$BX,65,FALSE))</f>
        <v>66</v>
      </c>
      <c r="AF92" s="58">
        <f>IF(A92=207, AE92,(AE92))*'Weighting Factors'!$O$9</f>
        <v>31.9</v>
      </c>
      <c r="AG92" s="58">
        <f t="shared" si="96"/>
        <v>6.9</v>
      </c>
      <c r="AH92" s="58">
        <f>IF(ISNA(VLOOKUP($CW92,'Audit Values'!$A:$BZ,2,FALSE)),'Preliminary SO66'!AG91,VLOOKUP($CW92,'Audit Values'!$A:$BZ,71,FALSE))</f>
        <v>6</v>
      </c>
      <c r="AI92" s="58">
        <f t="shared" si="64"/>
        <v>6.9</v>
      </c>
      <c r="AJ92" s="58">
        <f>IF(ISNA(VLOOKUP($CW92,'Audit Values'!$A:$BX,2,FALSE)),'Preliminary SO66'!AR91,VLOOKUP($CW92,'Audit Values'!$A:$BX,66,FALSE))</f>
        <v>21</v>
      </c>
      <c r="AK92" s="24">
        <f t="shared" si="65"/>
        <v>38480</v>
      </c>
      <c r="AL92" s="58">
        <f>AK92/'Weighting Factors'!$O$5</f>
        <v>7.6</v>
      </c>
      <c r="AM92" s="58">
        <f>CJ92/'Weighting Factors'!$O$5</f>
        <v>0</v>
      </c>
      <c r="AN92" s="58">
        <f>CN92/'Weighting Factors'!$O$5</f>
        <v>0</v>
      </c>
      <c r="AO92" s="24">
        <v>167636</v>
      </c>
      <c r="AP92" s="58">
        <f>AO92/'Weighting Factors'!$O$5</f>
        <v>32.9</v>
      </c>
      <c r="AQ92" s="58">
        <f>IF(ISNA(VLOOKUP($CW92,'Audit Values'!$A:$BX,2,FALSE)),'Preliminary SO66'!X91,VLOOKUP($CW92,'Audit Values'!$A:$BX,48,FALSE))</f>
        <v>0</v>
      </c>
      <c r="AR92" s="58">
        <f t="shared" si="94"/>
        <v>340.1</v>
      </c>
      <c r="AS92" s="58">
        <f t="shared" si="95"/>
        <v>307.2</v>
      </c>
      <c r="AT92" s="58">
        <f>IF(ISNA(VLOOKUP($CW92,'Audit Values'!$A$2:$BX$410,2,FALSE)),'Preliminary SO66'!AA91,VLOOKUP($CW92,'Audit Values'!$A$2:$BX$410,41,FALSE))</f>
        <v>0</v>
      </c>
      <c r="AU92" s="58">
        <f>IF(ISNA(VLOOKUP($CW92,'Audit Values'!$A$2:$BX$410,2,FALSE)),'Preliminary SO66'!AB91,VLOOKUP($CW92,'Audit Values'!$A$2:$BX$410,42,FALSE))</f>
        <v>0</v>
      </c>
      <c r="AV92" s="73">
        <v>0</v>
      </c>
      <c r="AW92" s="73">
        <v>0</v>
      </c>
      <c r="AX92" s="24">
        <f>SUM(AT92*'Weighting Factors'!$R$10)+('2024 Legal Max'!AU92*'Weighting Factors'!$R$11)+('2024 Legal Max'!AV92*'Weighting Factors'!$R$12)+('2024 Legal Max'!AW92*'Weighting Factors'!$R$12)</f>
        <v>0</v>
      </c>
      <c r="AY92" s="54">
        <f>IF(ISNA(VLOOKUP($CW92,'Audit Values'!$A$2:$BX$429,2,FALSE)),"",IF(AND('Weighting Factors'!G92&gt;0,VLOOKUP($CW92,'Audit Values'!$A$2:$BX$429,51,FALSE)&lt;'Weighting Factors'!G92),'Weighting Factors'!G92,VLOOKUP($CW92,'Audit Values'!$A$2:$BX$429,51,FALSE)))</f>
        <v>19</v>
      </c>
      <c r="AZ92" s="54" t="str">
        <f>IF(ISNA(VLOOKUP($CW92,'Audit Values'!$A:$BY,2,FALSE)),"",VLOOKUP($CW92,'Audit Values'!$A:$BY,52,FALSE))</f>
        <v>A</v>
      </c>
      <c r="BA92" s="54" t="str">
        <f>IF('Weighting Factors'!F92="","",IF('Weighting Factors'!H92="Pending","PX","R"))</f>
        <v>R</v>
      </c>
      <c r="BB92" s="60">
        <f>SUM((U92+V92+AA92+AC92+AF92+AI92+AL92+AM92+AQ92+AN92)*'Weighting Factors'!$O$5)+'2024 Legal Max'!AX92</f>
        <v>1563034</v>
      </c>
      <c r="BC92" s="24">
        <f>SUM((AR92+AN92)*'Weighting Factors'!$O$5)+AX92</f>
        <v>1730429</v>
      </c>
      <c r="BD92" s="67">
        <f>IF('Weighting Factors'!F92&gt;0,'Weighting Factors'!F92,'Preliminary SO66'!AV91)</f>
        <v>1768080</v>
      </c>
      <c r="BE92" s="24">
        <f t="shared" si="66"/>
        <v>1730429</v>
      </c>
      <c r="BF92" s="71">
        <f>'Weighting Factors'!E92</f>
        <v>0</v>
      </c>
      <c r="BG92" s="71">
        <f>Transportation!G92</f>
        <v>0</v>
      </c>
      <c r="BH92" s="24">
        <f>IF(ISNA(VLOOKUP($CW92,'Audit Values'!$A:$BW,2,FALSE)), 0, VLOOKUP($CW92,'Audit Values'!$A:$BW,75,FALSE))</f>
        <v>0</v>
      </c>
      <c r="BI92" s="24">
        <f t="shared" si="67"/>
        <v>0</v>
      </c>
      <c r="BJ92" s="24">
        <f t="shared" si="68"/>
        <v>1730429</v>
      </c>
      <c r="BK92" s="24">
        <f>SUM((U92+V92+AA92+AC92+AF92+AI92+AL92+AM92+AN92)*'Weighting Factors'!O$12)+(MAX(AO92,'Weighting Factors'!B92))</f>
        <v>1752174</v>
      </c>
      <c r="BL92" s="78">
        <f>'LOB%'!F90</f>
        <v>0.316</v>
      </c>
      <c r="BM92" s="24">
        <f t="shared" si="75"/>
        <v>553687</v>
      </c>
      <c r="BN92" s="67">
        <v>485000</v>
      </c>
      <c r="BO92" s="24">
        <f t="shared" si="69"/>
        <v>485000</v>
      </c>
      <c r="BP92" s="89">
        <f t="shared" si="76"/>
        <v>0.27679999999999999</v>
      </c>
      <c r="BQ92" s="58">
        <f t="shared" si="77"/>
        <v>0</v>
      </c>
      <c r="BR92" s="1" t="b">
        <f t="shared" si="78"/>
        <v>1</v>
      </c>
      <c r="BS92" s="76">
        <f t="shared" si="79"/>
        <v>342.75299999999999</v>
      </c>
      <c r="BT92" s="75">
        <f t="shared" si="70"/>
        <v>0.92022999999999999</v>
      </c>
      <c r="BU92" s="58">
        <f t="shared" si="80"/>
        <v>124.7</v>
      </c>
      <c r="BV92" s="1" t="b">
        <f t="shared" si="81"/>
        <v>0</v>
      </c>
      <c r="BW92" s="1">
        <f t="shared" si="82"/>
        <v>0</v>
      </c>
      <c r="BX92" s="75">
        <f t="shared" si="71"/>
        <v>0</v>
      </c>
      <c r="BY92" s="58">
        <f t="shared" si="83"/>
        <v>0</v>
      </c>
      <c r="BZ92" s="58">
        <f t="shared" si="84"/>
        <v>0</v>
      </c>
      <c r="CA92" s="61">
        <v>259</v>
      </c>
      <c r="CB92" s="102">
        <f t="shared" si="85"/>
        <v>8.1000000000000003E-2</v>
      </c>
      <c r="CC92" s="105">
        <f>IF(CB92&lt;0.06,1,IF(CB92&gt;=18.29,52,MATCH(CB92-0.001,'Weighting Factors'!$W$5:$W$156)+1))</f>
        <v>4</v>
      </c>
      <c r="CD92" s="24">
        <f>VLOOKUP(CC92, 'Weighting Factors'!$U$5:$X$56,4)</f>
        <v>1500</v>
      </c>
      <c r="CE92" s="109">
        <f>('Weighting Factors'!$O$5/'Weighting Factors'!$O$14)</f>
        <v>1.2216</v>
      </c>
      <c r="CF92" s="100">
        <f t="shared" si="86"/>
        <v>31500</v>
      </c>
      <c r="CG92" s="100">
        <f>CF92*'Weighting Factors'!$Q$7</f>
        <v>31500</v>
      </c>
      <c r="CH92" s="100">
        <f t="shared" si="72"/>
        <v>38480</v>
      </c>
      <c r="CI92" s="58">
        <f>AK92/'Weighting Factors'!$O$5</f>
        <v>7.6</v>
      </c>
      <c r="CJ92" s="67">
        <v>0</v>
      </c>
      <c r="CK92" s="80">
        <v>0</v>
      </c>
      <c r="CL92" s="110">
        <v>0</v>
      </c>
      <c r="CM92" s="24">
        <f>SUM((AR92*'Weighting Factors'!$O$5)+'2024 Legal Max'!AX92)*CL92</f>
        <v>0</v>
      </c>
      <c r="CN92" s="24">
        <f t="shared" si="73"/>
        <v>0</v>
      </c>
      <c r="CO92" s="65">
        <f t="shared" si="74"/>
        <v>0.51559999999999995</v>
      </c>
      <c r="CP92" s="58">
        <f t="shared" si="87"/>
        <v>6.9</v>
      </c>
      <c r="CQ92" s="58">
        <f t="shared" si="88"/>
        <v>0</v>
      </c>
      <c r="CR92" s="58">
        <f t="shared" si="89"/>
        <v>340.1</v>
      </c>
      <c r="CS92" s="24">
        <f>'Required Transfers'!L92</f>
        <v>45639</v>
      </c>
      <c r="CT92" s="24">
        <f>'Required Transfers'!O92</f>
        <v>0</v>
      </c>
      <c r="CU92" s="24">
        <f>'Required Transfers'!H92</f>
        <v>197414</v>
      </c>
      <c r="CV92" s="58">
        <f t="shared" si="90"/>
        <v>124.5</v>
      </c>
      <c r="CW92" s="27" t="s">
        <v>277</v>
      </c>
    </row>
    <row r="93" spans="1:101" ht="15" customHeight="1">
      <c r="A93" s="54">
        <v>286</v>
      </c>
      <c r="B93" s="1" t="s">
        <v>41</v>
      </c>
      <c r="C93" s="1" t="s">
        <v>598</v>
      </c>
      <c r="D93" s="58">
        <v>350.4</v>
      </c>
      <c r="E93" s="58"/>
      <c r="F93" s="58">
        <v>0</v>
      </c>
      <c r="G93" s="58">
        <f t="shared" si="91"/>
        <v>350.4</v>
      </c>
      <c r="H93" s="58">
        <v>369.3</v>
      </c>
      <c r="I93" s="58"/>
      <c r="J93" s="58">
        <v>0</v>
      </c>
      <c r="K93" s="58">
        <f t="shared" si="92"/>
        <v>369.3</v>
      </c>
      <c r="L93" s="1">
        <v>361.6</v>
      </c>
      <c r="N93" s="1">
        <v>0</v>
      </c>
      <c r="O93" s="58">
        <f t="shared" si="93"/>
        <v>361.6</v>
      </c>
      <c r="P93" s="58">
        <f>IF(ISNA(VLOOKUP($CW93,'Audit Values'!$A:$BZ,2,FALSE)),'Preliminary SO66'!C92,VLOOKUP($CW93,'Audit Values'!$A:$BZ,76,FALSE))</f>
        <v>340.1</v>
      </c>
      <c r="Q93" s="58">
        <f>IF(ISNA(VLOOKUP($CW93,'Audit Values'!$A:$BZ,2,FALSE)),'Preliminary SO66'!F92,VLOOKUP($CW93,'Audit Values'!$A:$BZ,4,FALSE))</f>
        <v>0</v>
      </c>
      <c r="R93" s="58">
        <f t="shared" si="61"/>
        <v>340.1</v>
      </c>
      <c r="S93" s="58">
        <f>IF('Military Provision'!I93="YES", MAX('2024 Legal Max'!O93,'2024 Legal Max'!K93,AVERAGE('2024 Legal Max'!G93,'2024 Legal Max'!K93,'2024 Legal Max'!O93)), MAX(O93, K93))</f>
        <v>369.3</v>
      </c>
      <c r="T93" s="58">
        <f>IF(ISNA(VLOOKUP($CW93,'Audit Values'!$A:$BX,2,FALSE)),'Preliminary SO66'!AL92,VLOOKUP($CW93,'Audit Values'!$A:$BX,59,FALSE))</f>
        <v>6.5</v>
      </c>
      <c r="U93" s="58">
        <f t="shared" si="62"/>
        <v>375.8</v>
      </c>
      <c r="V93" s="58">
        <f>'Low-High ENRL- 2023 HSubSB 113'!N96</f>
        <v>172.3</v>
      </c>
      <c r="W93" s="58">
        <f>IF(ISNA(VLOOKUP($CW93,'Audit Values'!$A:$BZ,2,FALSE)),'Preliminary SO66'!AM92,VLOOKUP($CW93,'Audit Values'!$A:$BZ,63,FALSE))</f>
        <v>0</v>
      </c>
      <c r="X93" s="58">
        <f>(W93/6)*'Weighting Factors'!$O$7</f>
        <v>0</v>
      </c>
      <c r="Y93" s="61">
        <f>IF(ISNA(VLOOKUP($CW93,'Audit Values'!$A:$BZ,2,FALSE)),'Preliminary SO66'!AN92,VLOOKUP($CW93,'Audit Values'!$A:$BZ,62,FALSE))</f>
        <v>6</v>
      </c>
      <c r="Z93" s="58">
        <f>Y93*'Weighting Factors'!$O$8</f>
        <v>1.1000000000000001</v>
      </c>
      <c r="AA93" s="58">
        <f t="shared" si="63"/>
        <v>1.1000000000000001</v>
      </c>
      <c r="AB93" s="106">
        <f>IF(ISNA(VLOOKUP($CW93,'Audit Values'!$A:$BZ,2,FALSE)),'Preliminary SO66'!AO92,VLOOKUP($CW93,'Audit Values'!$A:$BZ,61,FALSE))</f>
        <v>77.5</v>
      </c>
      <c r="AC93" s="58">
        <f>AB93/6*'Weighting Factors'!$O$6</f>
        <v>6.5</v>
      </c>
      <c r="AD93" s="24">
        <f>IF(ISNA(VLOOKUP($CW93,'Audit Values'!$A:$BX,2,FALSE)),'Preliminary SO66'!AS92,VLOOKUP($CW93,'Audit Values'!$A:$BX,64,FALSE))</f>
        <v>361</v>
      </c>
      <c r="AE93" s="24">
        <f>IF(ISNA(VLOOKUP($CW93,'Audit Values'!$A:$BX,2,FALSE)),'Preliminary SO66'!AP92,VLOOKUP($CW93,'Audit Values'!$A:$BX,65,FALSE))</f>
        <v>221</v>
      </c>
      <c r="AF93" s="58">
        <f>IF(A93=207, AE93,(AE93))*'Weighting Factors'!$O$9</f>
        <v>107</v>
      </c>
      <c r="AG93" s="58">
        <f t="shared" si="96"/>
        <v>23.2</v>
      </c>
      <c r="AH93" s="58">
        <f>IF(ISNA(VLOOKUP($CW93,'Audit Values'!$A:$BZ,2,FALSE)),'Preliminary SO66'!AG92,VLOOKUP($CW93,'Audit Values'!$A:$BZ,71,FALSE))</f>
        <v>23.3</v>
      </c>
      <c r="AI93" s="58">
        <f t="shared" si="64"/>
        <v>23.3</v>
      </c>
      <c r="AJ93" s="58">
        <f>IF(ISNA(VLOOKUP($CW93,'Audit Values'!$A:$BX,2,FALSE)),'Preliminary SO66'!AR92,VLOOKUP($CW93,'Audit Values'!$A:$BX,66,FALSE))</f>
        <v>95</v>
      </c>
      <c r="AK93" s="24">
        <f t="shared" si="65"/>
        <v>142744</v>
      </c>
      <c r="AL93" s="58">
        <f>AK93/'Weighting Factors'!$O$5</f>
        <v>28.1</v>
      </c>
      <c r="AM93" s="58">
        <f>CJ93/'Weighting Factors'!$O$5</f>
        <v>0</v>
      </c>
      <c r="AN93" s="58">
        <f>CN93/'Weighting Factors'!$O$5</f>
        <v>0</v>
      </c>
      <c r="AO93" s="24">
        <v>692291</v>
      </c>
      <c r="AP93" s="58">
        <f>AO93/'Weighting Factors'!$O$5</f>
        <v>136.1</v>
      </c>
      <c r="AQ93" s="58">
        <f>IF(ISNA(VLOOKUP($CW93,'Audit Values'!$A:$BX,2,FALSE)),'Preliminary SO66'!X92,VLOOKUP($CW93,'Audit Values'!$A:$BX,48,FALSE))</f>
        <v>0</v>
      </c>
      <c r="AR93" s="58">
        <f t="shared" si="94"/>
        <v>850.2</v>
      </c>
      <c r="AS93" s="58">
        <f t="shared" si="95"/>
        <v>714.1</v>
      </c>
      <c r="AT93" s="58">
        <f>IF(ISNA(VLOOKUP($CW93,'Audit Values'!$A$2:$BX$410,2,FALSE)),'Preliminary SO66'!AA92,VLOOKUP($CW93,'Audit Values'!$A$2:$BX$410,41,FALSE))</f>
        <v>0</v>
      </c>
      <c r="AU93" s="58">
        <f>IF(ISNA(VLOOKUP($CW93,'Audit Values'!$A$2:$BX$410,2,FALSE)),'Preliminary SO66'!AB92,VLOOKUP($CW93,'Audit Values'!$A$2:$BX$410,42,FALSE))</f>
        <v>0</v>
      </c>
      <c r="AV93" s="73">
        <v>0</v>
      </c>
      <c r="AW93" s="73">
        <v>0</v>
      </c>
      <c r="AX93" s="24">
        <f>SUM(AT93*'Weighting Factors'!$R$10)+('2024 Legal Max'!AU93*'Weighting Factors'!$R$11)+('2024 Legal Max'!AV93*'Weighting Factors'!$R$12)+('2024 Legal Max'!AW93*'Weighting Factors'!$R$12)</f>
        <v>0</v>
      </c>
      <c r="AY93" s="54">
        <f>IF(ISNA(VLOOKUP($CW93,'Audit Values'!$A$2:$BX$429,2,FALSE)),"",IF(AND('Weighting Factors'!G93&gt;0,VLOOKUP($CW93,'Audit Values'!$A$2:$BX$429,51,FALSE)&lt;'Weighting Factors'!G93),'Weighting Factors'!G93,VLOOKUP($CW93,'Audit Values'!$A$2:$BX$429,51,FALSE)))</f>
        <v>18</v>
      </c>
      <c r="AZ93" s="54" t="str">
        <f>IF(ISNA(VLOOKUP($CW93,'Audit Values'!$A:$BY,2,FALSE)),"",VLOOKUP($CW93,'Audit Values'!$A:$BY,52,FALSE))</f>
        <v>A</v>
      </c>
      <c r="BA93" s="54" t="str">
        <f>IF('Weighting Factors'!F93="","",IF('Weighting Factors'!H93="Pending","PX","R"))</f>
        <v/>
      </c>
      <c r="BB93" s="60">
        <f>SUM((U93+V93+AA93+AC93+AF93+AI93+AL93+AM93+AQ93+AN93)*'Weighting Factors'!$O$5)+'2024 Legal Max'!AX93</f>
        <v>3633341</v>
      </c>
      <c r="BC93" s="24">
        <f>SUM((AR93+AN93)*'Weighting Factors'!$O$5)+AX93</f>
        <v>4325818</v>
      </c>
      <c r="BD93" s="67">
        <f>IF('Weighting Factors'!F93&gt;0,'Weighting Factors'!F93,'Preliminary SO66'!AV92)</f>
        <v>4525776</v>
      </c>
      <c r="BE93" s="24">
        <f t="shared" si="66"/>
        <v>4325818</v>
      </c>
      <c r="BF93" s="71">
        <f>'Weighting Factors'!E93</f>
        <v>0</v>
      </c>
      <c r="BG93" s="71">
        <f>Transportation!G93</f>
        <v>0</v>
      </c>
      <c r="BH93" s="24">
        <f>IF(ISNA(VLOOKUP($CW93,'Audit Values'!$A:$BW,2,FALSE)), 0, VLOOKUP($CW93,'Audit Values'!$A:$BW,75,FALSE))</f>
        <v>0</v>
      </c>
      <c r="BI93" s="24">
        <f t="shared" si="67"/>
        <v>0</v>
      </c>
      <c r="BJ93" s="24">
        <f t="shared" si="68"/>
        <v>4325818</v>
      </c>
      <c r="BK93" s="24">
        <f>SUM((U93+V93+AA93+AC93+AF93+AI93+AL93+AM93+AN93)*'Weighting Factors'!O$12)+(MAX(AO93,'Weighting Factors'!B93))</f>
        <v>4375619</v>
      </c>
      <c r="BL93" s="78">
        <f>'LOB%'!F91</f>
        <v>0.316</v>
      </c>
      <c r="BM93" s="24">
        <f t="shared" si="75"/>
        <v>1382696</v>
      </c>
      <c r="BN93" s="67">
        <v>1320000</v>
      </c>
      <c r="BO93" s="24">
        <f t="shared" si="69"/>
        <v>1320000</v>
      </c>
      <c r="BP93" s="89">
        <f t="shared" si="76"/>
        <v>0.30170000000000002</v>
      </c>
      <c r="BQ93" s="58">
        <f t="shared" si="77"/>
        <v>0</v>
      </c>
      <c r="BR93" s="1" t="b">
        <f t="shared" si="78"/>
        <v>0</v>
      </c>
      <c r="BS93" s="76">
        <f t="shared" si="79"/>
        <v>0</v>
      </c>
      <c r="BT93" s="75">
        <f t="shared" si="70"/>
        <v>0</v>
      </c>
      <c r="BU93" s="58">
        <f t="shared" si="80"/>
        <v>0</v>
      </c>
      <c r="BV93" s="1" t="b">
        <f t="shared" si="81"/>
        <v>1</v>
      </c>
      <c r="BW93" s="1">
        <f t="shared" si="82"/>
        <v>93.802499999999995</v>
      </c>
      <c r="BX93" s="75">
        <f t="shared" si="71"/>
        <v>0.45843299999999998</v>
      </c>
      <c r="BY93" s="58">
        <f t="shared" si="83"/>
        <v>172.3</v>
      </c>
      <c r="BZ93" s="58">
        <f t="shared" si="84"/>
        <v>0</v>
      </c>
      <c r="CA93" s="61">
        <v>382.5</v>
      </c>
      <c r="CB93" s="102">
        <f t="shared" si="85"/>
        <v>0.248</v>
      </c>
      <c r="CC93" s="105">
        <f>IF(CB93&lt;0.06,1,IF(CB93&gt;=18.29,52,MATCH(CB93-0.001,'Weighting Factors'!$W$5:$W$156)+1))</f>
        <v>18</v>
      </c>
      <c r="CD93" s="24">
        <f>VLOOKUP(CC93, 'Weighting Factors'!$U$5:$X$56,4)</f>
        <v>1230</v>
      </c>
      <c r="CE93" s="109">
        <f>('Weighting Factors'!$O$5/'Weighting Factors'!$O$14)</f>
        <v>1.2216</v>
      </c>
      <c r="CF93" s="100">
        <f t="shared" si="86"/>
        <v>116850</v>
      </c>
      <c r="CG93" s="100">
        <f>CF93*'Weighting Factors'!$Q$7</f>
        <v>116850</v>
      </c>
      <c r="CH93" s="100">
        <f t="shared" si="72"/>
        <v>142744</v>
      </c>
      <c r="CI93" s="58">
        <f>AK93/'Weighting Factors'!$O$5</f>
        <v>28.1</v>
      </c>
      <c r="CJ93" s="67">
        <v>0</v>
      </c>
      <c r="CK93" s="80">
        <v>0</v>
      </c>
      <c r="CL93" s="110">
        <v>0</v>
      </c>
      <c r="CM93" s="24">
        <f>SUM((AR93*'Weighting Factors'!$O$5)+'2024 Legal Max'!AX93)*CL93</f>
        <v>0</v>
      </c>
      <c r="CN93" s="24">
        <f t="shared" si="73"/>
        <v>0</v>
      </c>
      <c r="CO93" s="65">
        <f t="shared" si="74"/>
        <v>0.61219999999999997</v>
      </c>
      <c r="CP93" s="58">
        <f t="shared" si="87"/>
        <v>23.2</v>
      </c>
      <c r="CQ93" s="58">
        <f t="shared" si="88"/>
        <v>0</v>
      </c>
      <c r="CR93" s="58">
        <f t="shared" si="89"/>
        <v>850.2</v>
      </c>
      <c r="CS93" s="24">
        <f>'Required Transfers'!L93</f>
        <v>167376</v>
      </c>
      <c r="CT93" s="24">
        <f>'Required Transfers'!O93</f>
        <v>1716</v>
      </c>
      <c r="CU93" s="24">
        <f>'Required Transfers'!H93</f>
        <v>662966</v>
      </c>
      <c r="CV93" s="58">
        <f t="shared" si="90"/>
        <v>346.6</v>
      </c>
      <c r="CW93" s="27" t="s">
        <v>278</v>
      </c>
    </row>
    <row r="94" spans="1:101" ht="15" customHeight="1">
      <c r="A94" s="54">
        <v>287</v>
      </c>
      <c r="B94" s="1" t="s">
        <v>42</v>
      </c>
      <c r="C94" s="1" t="s">
        <v>599</v>
      </c>
      <c r="D94" s="58">
        <v>586.9</v>
      </c>
      <c r="E94" s="58"/>
      <c r="F94" s="58">
        <v>0</v>
      </c>
      <c r="G94" s="58">
        <f t="shared" si="91"/>
        <v>586.9</v>
      </c>
      <c r="H94" s="58">
        <v>614</v>
      </c>
      <c r="I94" s="58"/>
      <c r="J94" s="58">
        <v>0</v>
      </c>
      <c r="K94" s="58">
        <f t="shared" si="92"/>
        <v>614</v>
      </c>
      <c r="L94" s="1">
        <v>589.5</v>
      </c>
      <c r="N94" s="1">
        <v>0</v>
      </c>
      <c r="O94" s="58">
        <f t="shared" si="93"/>
        <v>589.5</v>
      </c>
      <c r="P94" s="58">
        <f>IF(ISNA(VLOOKUP($CW94,'Audit Values'!$A:$BZ,2,FALSE)),'Preliminary SO66'!C93,VLOOKUP($CW94,'Audit Values'!$A:$BZ,76,FALSE))</f>
        <v>586.5</v>
      </c>
      <c r="Q94" s="58">
        <f>IF(ISNA(VLOOKUP($CW94,'Audit Values'!$A:$BZ,2,FALSE)),'Preliminary SO66'!F93,VLOOKUP($CW94,'Audit Values'!$A:$BZ,4,FALSE))</f>
        <v>0</v>
      </c>
      <c r="R94" s="58">
        <f t="shared" si="61"/>
        <v>586.5</v>
      </c>
      <c r="S94" s="58">
        <f>IF('Military Provision'!I94="YES", MAX('2024 Legal Max'!O94,'2024 Legal Max'!K94,AVERAGE('2024 Legal Max'!G94,'2024 Legal Max'!K94,'2024 Legal Max'!O94)), MAX(O94, K94))</f>
        <v>614</v>
      </c>
      <c r="T94" s="58">
        <f>IF(ISNA(VLOOKUP($CW94,'Audit Values'!$A:$BX,2,FALSE)),'Preliminary SO66'!AL93,VLOOKUP($CW94,'Audit Values'!$A:$BX,59,FALSE))</f>
        <v>3</v>
      </c>
      <c r="U94" s="58">
        <f t="shared" si="62"/>
        <v>617</v>
      </c>
      <c r="V94" s="58">
        <f>'Low-High ENRL- 2023 HSubSB 113'!N97</f>
        <v>232.3</v>
      </c>
      <c r="W94" s="58">
        <f>IF(ISNA(VLOOKUP($CW94,'Audit Values'!$A:$BZ,2,FALSE)),'Preliminary SO66'!AM93,VLOOKUP($CW94,'Audit Values'!$A:$BZ,63,FALSE))</f>
        <v>0</v>
      </c>
      <c r="X94" s="58">
        <f>(W94/6)*'Weighting Factors'!$O$7</f>
        <v>0</v>
      </c>
      <c r="Y94" s="61">
        <f>IF(ISNA(VLOOKUP($CW94,'Audit Values'!$A:$BZ,2,FALSE)),'Preliminary SO66'!AN93,VLOOKUP($CW94,'Audit Values'!$A:$BZ,62,FALSE))</f>
        <v>0</v>
      </c>
      <c r="Z94" s="58">
        <f>Y94*'Weighting Factors'!$O$8</f>
        <v>0</v>
      </c>
      <c r="AA94" s="58">
        <f t="shared" si="63"/>
        <v>0</v>
      </c>
      <c r="AB94" s="106">
        <f>IF(ISNA(VLOOKUP($CW94,'Audit Values'!$A:$BZ,2,FALSE)),'Preliminary SO66'!AO93,VLOOKUP($CW94,'Audit Values'!$A:$BZ,61,FALSE))</f>
        <v>268.3</v>
      </c>
      <c r="AC94" s="58">
        <f>AB94/6*'Weighting Factors'!$O$6</f>
        <v>22.4</v>
      </c>
      <c r="AD94" s="24">
        <f>IF(ISNA(VLOOKUP($CW94,'Audit Values'!$A:$BX,2,FALSE)),'Preliminary SO66'!AS93,VLOOKUP($CW94,'Audit Values'!$A:$BX,64,FALSE))</f>
        <v>601</v>
      </c>
      <c r="AE94" s="24">
        <f>IF(ISNA(VLOOKUP($CW94,'Audit Values'!$A:$BX,2,FALSE)),'Preliminary SO66'!AP93,VLOOKUP($CW94,'Audit Values'!$A:$BX,65,FALSE))</f>
        <v>244</v>
      </c>
      <c r="AF94" s="58">
        <f>IF(A94=207, AE94,(AE94))*'Weighting Factors'!$O$9</f>
        <v>118.1</v>
      </c>
      <c r="AG94" s="58">
        <f t="shared" si="96"/>
        <v>9.6</v>
      </c>
      <c r="AH94" s="58">
        <f>IF(ISNA(VLOOKUP($CW94,'Audit Values'!$A:$BZ,2,FALSE)),'Preliminary SO66'!AG93,VLOOKUP($CW94,'Audit Values'!$A:$BZ,71,FALSE))</f>
        <v>10.4</v>
      </c>
      <c r="AI94" s="58">
        <f t="shared" si="64"/>
        <v>10.4</v>
      </c>
      <c r="AJ94" s="58">
        <f>IF(ISNA(VLOOKUP($CW94,'Audit Values'!$A:$BX,2,FALSE)),'Preliminary SO66'!AR93,VLOOKUP($CW94,'Audit Values'!$A:$BX,66,FALSE))</f>
        <v>406</v>
      </c>
      <c r="AK94" s="24">
        <f t="shared" si="65"/>
        <v>431494</v>
      </c>
      <c r="AL94" s="58">
        <f>AK94/'Weighting Factors'!$O$5</f>
        <v>84.8</v>
      </c>
      <c r="AM94" s="58">
        <f>CJ94/'Weighting Factors'!$O$5</f>
        <v>0</v>
      </c>
      <c r="AN94" s="58">
        <f>CN94/'Weighting Factors'!$O$5</f>
        <v>0</v>
      </c>
      <c r="AO94" s="24">
        <v>848073</v>
      </c>
      <c r="AP94" s="58">
        <f>AO94/'Weighting Factors'!$O$5</f>
        <v>166.7</v>
      </c>
      <c r="AQ94" s="58">
        <f>IF(ISNA(VLOOKUP($CW94,'Audit Values'!$A:$BX,2,FALSE)),'Preliminary SO66'!X93,VLOOKUP($CW94,'Audit Values'!$A:$BX,48,FALSE))</f>
        <v>0</v>
      </c>
      <c r="AR94" s="58">
        <f t="shared" si="94"/>
        <v>1251.7</v>
      </c>
      <c r="AS94" s="58">
        <f t="shared" si="95"/>
        <v>1085</v>
      </c>
      <c r="AT94" s="58">
        <f>IF(ISNA(VLOOKUP($CW94,'Audit Values'!$A$2:$BX$410,2,FALSE)),'Preliminary SO66'!AA93,VLOOKUP($CW94,'Audit Values'!$A$2:$BX$410,41,FALSE))</f>
        <v>0</v>
      </c>
      <c r="AU94" s="58">
        <f>IF(ISNA(VLOOKUP($CW94,'Audit Values'!$A$2:$BX$410,2,FALSE)),'Preliminary SO66'!AB93,VLOOKUP($CW94,'Audit Values'!$A$2:$BX$410,42,FALSE))</f>
        <v>0.5</v>
      </c>
      <c r="AV94" s="73">
        <v>0</v>
      </c>
      <c r="AW94" s="73">
        <v>0</v>
      </c>
      <c r="AX94" s="24">
        <f>SUM(AT94*'Weighting Factors'!$R$10)+('2024 Legal Max'!AU94*'Weighting Factors'!$R$11)+('2024 Legal Max'!AV94*'Weighting Factors'!$R$12)+('2024 Legal Max'!AW94*'Weighting Factors'!$R$12)</f>
        <v>1400</v>
      </c>
      <c r="AY94" s="54">
        <f>IF(ISNA(VLOOKUP($CW94,'Audit Values'!$A$2:$BX$429,2,FALSE)),"",IF(AND('Weighting Factors'!G94&gt;0,VLOOKUP($CW94,'Audit Values'!$A$2:$BX$429,51,FALSE)&lt;'Weighting Factors'!G94),'Weighting Factors'!G94,VLOOKUP($CW94,'Audit Values'!$A$2:$BX$429,51,FALSE)))</f>
        <v>3</v>
      </c>
      <c r="AZ94" s="54" t="str">
        <f>IF(ISNA(VLOOKUP($CW94,'Audit Values'!$A:$BY,2,FALSE)),"",VLOOKUP($CW94,'Audit Values'!$A:$BY,52,FALSE))</f>
        <v>A</v>
      </c>
      <c r="BA94" s="54" t="str">
        <f>IF('Weighting Factors'!F94="","",IF('Weighting Factors'!H94="Pending","PX","R"))</f>
        <v/>
      </c>
      <c r="BB94" s="60">
        <f>SUM((U94+V94+AA94+AC94+AF94+AI94+AL94+AM94+AQ94+AN94)*'Weighting Factors'!$O$5)+'2024 Legal Max'!AX94</f>
        <v>5521880</v>
      </c>
      <c r="BC94" s="24">
        <f>SUM((AR94+AN94)*'Weighting Factors'!$O$5)+AX94</f>
        <v>6370050</v>
      </c>
      <c r="BD94" s="67">
        <f>IF('Weighting Factors'!F94&gt;0,'Weighting Factors'!F94,'Preliminary SO66'!AV93)</f>
        <v>6635106</v>
      </c>
      <c r="BE94" s="24">
        <f t="shared" si="66"/>
        <v>6370050</v>
      </c>
      <c r="BF94" s="71">
        <f>'Weighting Factors'!E94</f>
        <v>0</v>
      </c>
      <c r="BG94" s="71">
        <f>Transportation!G94</f>
        <v>0</v>
      </c>
      <c r="BH94" s="24">
        <f>IF(ISNA(VLOOKUP($CW94,'Audit Values'!$A:$BW,2,FALSE)), 0, VLOOKUP($CW94,'Audit Values'!$A:$BW,75,FALSE))</f>
        <v>-3545</v>
      </c>
      <c r="BI94" s="24">
        <f t="shared" si="67"/>
        <v>-3545</v>
      </c>
      <c r="BJ94" s="24">
        <f t="shared" si="68"/>
        <v>6366505</v>
      </c>
      <c r="BK94" s="24">
        <f>SUM((U94+V94+AA94+AC94+AF94+AI94+AL94+AM94+AN94)*'Weighting Factors'!O$12)+(MAX(AO94,'Weighting Factors'!B94))</f>
        <v>6524554</v>
      </c>
      <c r="BL94" s="78">
        <f>'LOB%'!F92</f>
        <v>0.316</v>
      </c>
      <c r="BM94" s="24">
        <f t="shared" si="75"/>
        <v>2061759</v>
      </c>
      <c r="BN94" s="67">
        <v>2115986</v>
      </c>
      <c r="BO94" s="24">
        <f t="shared" si="69"/>
        <v>2061759</v>
      </c>
      <c r="BP94" s="89">
        <f t="shared" si="76"/>
        <v>0.316</v>
      </c>
      <c r="BQ94" s="58">
        <f t="shared" si="77"/>
        <v>0</v>
      </c>
      <c r="BR94" s="1" t="b">
        <f t="shared" si="78"/>
        <v>0</v>
      </c>
      <c r="BS94" s="76">
        <f t="shared" si="79"/>
        <v>0</v>
      </c>
      <c r="BT94" s="75">
        <f t="shared" si="70"/>
        <v>0</v>
      </c>
      <c r="BU94" s="58">
        <f t="shared" si="80"/>
        <v>0</v>
      </c>
      <c r="BV94" s="1" t="b">
        <f t="shared" si="81"/>
        <v>1</v>
      </c>
      <c r="BW94" s="1">
        <f t="shared" si="82"/>
        <v>392.28750000000002</v>
      </c>
      <c r="BX94" s="75">
        <f t="shared" si="71"/>
        <v>0.37648599999999999</v>
      </c>
      <c r="BY94" s="58">
        <f t="shared" si="83"/>
        <v>232.3</v>
      </c>
      <c r="BZ94" s="58">
        <f t="shared" si="84"/>
        <v>0</v>
      </c>
      <c r="CA94" s="61">
        <v>227</v>
      </c>
      <c r="CB94" s="102">
        <f t="shared" si="85"/>
        <v>1.7889999999999999</v>
      </c>
      <c r="CC94" s="105">
        <f>IF(CB94&lt;0.06,1,IF(CB94&gt;=18.29,52,MATCH(CB94-0.001,'Weighting Factors'!$W$5:$W$156)+1))</f>
        <v>36</v>
      </c>
      <c r="CD94" s="24">
        <f>VLOOKUP(CC94, 'Weighting Factors'!$U$5:$X$56,4)</f>
        <v>870</v>
      </c>
      <c r="CE94" s="109">
        <f>('Weighting Factors'!$O$5/'Weighting Factors'!$O$14)</f>
        <v>1.2216</v>
      </c>
      <c r="CF94" s="100">
        <f t="shared" si="86"/>
        <v>353220</v>
      </c>
      <c r="CG94" s="100">
        <f>CF94*'Weighting Factors'!$Q$7</f>
        <v>353220</v>
      </c>
      <c r="CH94" s="100">
        <f t="shared" si="72"/>
        <v>431494</v>
      </c>
      <c r="CI94" s="58">
        <f>AK94/'Weighting Factors'!$O$5</f>
        <v>84.8</v>
      </c>
      <c r="CJ94" s="67">
        <v>0</v>
      </c>
      <c r="CK94" s="80">
        <v>0</v>
      </c>
      <c r="CL94" s="110">
        <v>0</v>
      </c>
      <c r="CM94" s="24">
        <f>SUM((AR94*'Weighting Factors'!$O$5)+'2024 Legal Max'!AX94)*CL94</f>
        <v>0</v>
      </c>
      <c r="CN94" s="24">
        <f t="shared" si="73"/>
        <v>0</v>
      </c>
      <c r="CO94" s="65">
        <f t="shared" si="74"/>
        <v>0.40600000000000003</v>
      </c>
      <c r="CP94" s="58">
        <f t="shared" si="87"/>
        <v>0</v>
      </c>
      <c r="CQ94" s="58">
        <f t="shared" si="88"/>
        <v>9.6</v>
      </c>
      <c r="CR94" s="58">
        <f t="shared" si="89"/>
        <v>1251.7</v>
      </c>
      <c r="CS94" s="24">
        <f>'Required Transfers'!L94</f>
        <v>195042</v>
      </c>
      <c r="CT94" s="24">
        <f>'Required Transfers'!O94</f>
        <v>0</v>
      </c>
      <c r="CU94" s="24">
        <f>'Required Transfers'!H94</f>
        <v>653808</v>
      </c>
      <c r="CV94" s="58">
        <f t="shared" si="90"/>
        <v>590</v>
      </c>
      <c r="CW94" s="27" t="s">
        <v>279</v>
      </c>
    </row>
    <row r="95" spans="1:101" ht="15" customHeight="1">
      <c r="A95" s="54">
        <v>288</v>
      </c>
      <c r="B95" s="1" t="s">
        <v>42</v>
      </c>
      <c r="C95" s="1" t="s">
        <v>600</v>
      </c>
      <c r="D95" s="58">
        <v>476.2</v>
      </c>
      <c r="E95" s="58"/>
      <c r="F95" s="58">
        <v>0</v>
      </c>
      <c r="G95" s="58">
        <f t="shared" si="91"/>
        <v>476.2</v>
      </c>
      <c r="H95" s="58">
        <v>500.3</v>
      </c>
      <c r="I95" s="58"/>
      <c r="J95" s="58">
        <v>0</v>
      </c>
      <c r="K95" s="58">
        <f t="shared" si="92"/>
        <v>500.3</v>
      </c>
      <c r="L95" s="1">
        <v>515.29999999999995</v>
      </c>
      <c r="N95" s="1">
        <v>0</v>
      </c>
      <c r="O95" s="58">
        <f t="shared" si="93"/>
        <v>515.29999999999995</v>
      </c>
      <c r="P95" s="58">
        <f>IF(ISNA(VLOOKUP($CW95,'Audit Values'!$A:$BZ,2,FALSE)),'Preliminary SO66'!C94,VLOOKUP($CW95,'Audit Values'!$A:$BZ,76,FALSE))</f>
        <v>540</v>
      </c>
      <c r="Q95" s="58">
        <f>IF(ISNA(VLOOKUP($CW95,'Audit Values'!$A:$BZ,2,FALSE)),'Preliminary SO66'!F94,VLOOKUP($CW95,'Audit Values'!$A:$BZ,4,FALSE))</f>
        <v>0</v>
      </c>
      <c r="R95" s="58">
        <f t="shared" ref="R95:R158" si="97">SUM(P95+Q95)</f>
        <v>540</v>
      </c>
      <c r="S95" s="58">
        <f>IF('Military Provision'!I95="YES", MAX('2024 Legal Max'!O95,'2024 Legal Max'!K95,AVERAGE('2024 Legal Max'!G95,'2024 Legal Max'!K95,'2024 Legal Max'!O95)), MAX(O95, K95))</f>
        <v>515.29999999999995</v>
      </c>
      <c r="T95" s="58">
        <f>IF(ISNA(VLOOKUP($CW95,'Audit Values'!$A:$BX,2,FALSE)),'Preliminary SO66'!AL94,VLOOKUP($CW95,'Audit Values'!$A:$BX,59,FALSE))</f>
        <v>5.5</v>
      </c>
      <c r="U95" s="58">
        <f t="shared" ref="U95:U158" si="98">S95+T95</f>
        <v>520.79999999999995</v>
      </c>
      <c r="V95" s="58">
        <f>'Low-High ENRL- 2023 HSubSB 113'!N98</f>
        <v>213.1</v>
      </c>
      <c r="W95" s="58">
        <f>IF(ISNA(VLOOKUP($CW95,'Audit Values'!$A:$BZ,2,FALSE)),'Preliminary SO66'!AM94,VLOOKUP($CW95,'Audit Values'!$A:$BZ,63,FALSE))</f>
        <v>0</v>
      </c>
      <c r="X95" s="58">
        <f>(W95/6)*'Weighting Factors'!$O$7</f>
        <v>0</v>
      </c>
      <c r="Y95" s="61">
        <f>IF(ISNA(VLOOKUP($CW95,'Audit Values'!$A:$BZ,2,FALSE)),'Preliminary SO66'!AN94,VLOOKUP($CW95,'Audit Values'!$A:$BZ,62,FALSE))</f>
        <v>3</v>
      </c>
      <c r="Z95" s="58">
        <f>Y95*'Weighting Factors'!$O$8</f>
        <v>0.6</v>
      </c>
      <c r="AA95" s="58">
        <f t="shared" ref="AA95:AA158" si="99">MAX(X95,Z95)</f>
        <v>0.6</v>
      </c>
      <c r="AB95" s="106">
        <f>IF(ISNA(VLOOKUP($CW95,'Audit Values'!$A:$BZ,2,FALSE)),'Preliminary SO66'!AO94,VLOOKUP($CW95,'Audit Values'!$A:$BZ,61,FALSE))</f>
        <v>252.1</v>
      </c>
      <c r="AC95" s="58">
        <f>AB95/6*'Weighting Factors'!$O$6</f>
        <v>21</v>
      </c>
      <c r="AD95" s="24">
        <f>IF(ISNA(VLOOKUP($CW95,'Audit Values'!$A:$BX,2,FALSE)),'Preliminary SO66'!AS94,VLOOKUP($CW95,'Audit Values'!$A:$BX,64,FALSE))</f>
        <v>554</v>
      </c>
      <c r="AE95" s="24">
        <f>IF(ISNA(VLOOKUP($CW95,'Audit Values'!$A:$BX,2,FALSE)),'Preliminary SO66'!AP94,VLOOKUP($CW95,'Audit Values'!$A:$BX,65,FALSE))</f>
        <v>257</v>
      </c>
      <c r="AF95" s="58">
        <f>IF(A95=207, AE95,(AE95))*'Weighting Factors'!$O$9</f>
        <v>124.4</v>
      </c>
      <c r="AG95" s="58">
        <f t="shared" si="96"/>
        <v>20.5</v>
      </c>
      <c r="AH95" s="58">
        <f>IF(ISNA(VLOOKUP($CW95,'Audit Values'!$A:$BZ,2,FALSE)),'Preliminary SO66'!AG94,VLOOKUP($CW95,'Audit Values'!$A:$BZ,71,FALSE))</f>
        <v>20.7</v>
      </c>
      <c r="AI95" s="58">
        <f t="shared" ref="AI95:AI158" si="100">MAX(AG95, AH95)</f>
        <v>20.7</v>
      </c>
      <c r="AJ95" s="58">
        <f>IF(ISNA(VLOOKUP($CW95,'Audit Values'!$A:$BX,2,FALSE)),'Preliminary SO66'!AR94,VLOOKUP($CW95,'Audit Values'!$A:$BX,66,FALSE))</f>
        <v>370</v>
      </c>
      <c r="AK95" s="24">
        <f t="shared" ref="AK95:AK158" si="101">CH95</f>
        <v>366114</v>
      </c>
      <c r="AL95" s="58">
        <f>AK95/'Weighting Factors'!$O$5</f>
        <v>72</v>
      </c>
      <c r="AM95" s="58">
        <f>CJ95/'Weighting Factors'!$O$5</f>
        <v>0</v>
      </c>
      <c r="AN95" s="58">
        <f>CN95/'Weighting Factors'!$O$5</f>
        <v>0</v>
      </c>
      <c r="AO95" s="24">
        <v>518204</v>
      </c>
      <c r="AP95" s="58">
        <f>AO95/'Weighting Factors'!$O$5</f>
        <v>101.8</v>
      </c>
      <c r="AQ95" s="58">
        <f>IF(ISNA(VLOOKUP($CW95,'Audit Values'!$A:$BX,2,FALSE)),'Preliminary SO66'!X94,VLOOKUP($CW95,'Audit Values'!$A:$BX,48,FALSE))</f>
        <v>0</v>
      </c>
      <c r="AR95" s="58">
        <f t="shared" si="94"/>
        <v>1074.4000000000001</v>
      </c>
      <c r="AS95" s="58">
        <f t="shared" si="95"/>
        <v>972.6</v>
      </c>
      <c r="AT95" s="58">
        <f>IF(ISNA(VLOOKUP($CW95,'Audit Values'!$A$2:$BX$410,2,FALSE)),'Preliminary SO66'!AA94,VLOOKUP($CW95,'Audit Values'!$A$2:$BX$410,41,FALSE))</f>
        <v>0</v>
      </c>
      <c r="AU95" s="58">
        <f>IF(ISNA(VLOOKUP($CW95,'Audit Values'!$A$2:$BX$410,2,FALSE)),'Preliminary SO66'!AB94,VLOOKUP($CW95,'Audit Values'!$A$2:$BX$410,42,FALSE))</f>
        <v>0</v>
      </c>
      <c r="AV95" s="73">
        <v>0</v>
      </c>
      <c r="AW95" s="73">
        <v>0</v>
      </c>
      <c r="AX95" s="24">
        <f>SUM(AT95*'Weighting Factors'!$R$10)+('2024 Legal Max'!AU95*'Weighting Factors'!$R$11)+('2024 Legal Max'!AV95*'Weighting Factors'!$R$12)+('2024 Legal Max'!AW95*'Weighting Factors'!$R$12)</f>
        <v>0</v>
      </c>
      <c r="AY95" s="54">
        <f>IF(ISNA(VLOOKUP($CW95,'Audit Values'!$A$2:$BX$429,2,FALSE)),"",IF(AND('Weighting Factors'!G95&gt;0,VLOOKUP($CW95,'Audit Values'!$A$2:$BX$429,51,FALSE)&lt;'Weighting Factors'!G95),'Weighting Factors'!G95,VLOOKUP($CW95,'Audit Values'!$A$2:$BX$429,51,FALSE)))</f>
        <v>20</v>
      </c>
      <c r="AZ95" s="54" t="str">
        <f>IF(ISNA(VLOOKUP($CW95,'Audit Values'!$A:$BY,2,FALSE)),"",VLOOKUP($CW95,'Audit Values'!$A:$BY,52,FALSE))</f>
        <v>A</v>
      </c>
      <c r="BA95" s="54" t="str">
        <f>IF('Weighting Factors'!F95="","",IF('Weighting Factors'!H95="Pending","PX","R"))</f>
        <v>R</v>
      </c>
      <c r="BB95" s="60">
        <f>SUM((U95+V95+AA95+AC95+AF95+AI95+AL95+AM95+AQ95+AN95)*'Weighting Factors'!$O$5)+'2024 Legal Max'!AX95</f>
        <v>4948589</v>
      </c>
      <c r="BC95" s="24">
        <f>SUM((AR95+AN95)*'Weighting Factors'!$O$5)+AX95</f>
        <v>5466547</v>
      </c>
      <c r="BD95" s="67">
        <f>IF('Weighting Factors'!F95&gt;0,'Weighting Factors'!F95,'Preliminary SO66'!AV94)</f>
        <v>5564746</v>
      </c>
      <c r="BE95" s="24">
        <f t="shared" ref="BE95:BE158" si="102">MIN(BC95,BD95)</f>
        <v>5466547</v>
      </c>
      <c r="BF95" s="71">
        <f>'Weighting Factors'!E95</f>
        <v>0</v>
      </c>
      <c r="BG95" s="71">
        <f>Transportation!G95</f>
        <v>0</v>
      </c>
      <c r="BH95" s="24">
        <f>IF(ISNA(VLOOKUP($CW95,'Audit Values'!$A:$BW,2,FALSE)), 0, VLOOKUP($CW95,'Audit Values'!$A:$BW,75,FALSE))</f>
        <v>0</v>
      </c>
      <c r="BI95" s="24">
        <f t="shared" ref="BI95:BI158" si="103">SUM(BF95:BH95)</f>
        <v>0</v>
      </c>
      <c r="BJ95" s="24">
        <f t="shared" ref="BJ95:BJ158" si="104">BE95+BI95</f>
        <v>5466547</v>
      </c>
      <c r="BK95" s="24">
        <f>SUM((U95+V95+AA95+AC95+AF95+AI95+AL95+AM95+AN95)*'Weighting Factors'!O$12)+(MAX(AO95,'Weighting Factors'!B95))</f>
        <v>5534875</v>
      </c>
      <c r="BL95" s="78">
        <f>'LOB%'!F93</f>
        <v>0.33</v>
      </c>
      <c r="BM95" s="24">
        <f t="shared" si="75"/>
        <v>1826509</v>
      </c>
      <c r="BN95" s="67">
        <v>1807196</v>
      </c>
      <c r="BO95" s="24">
        <f t="shared" ref="BO95:BO158" si="105">MIN(BM95,BN95)</f>
        <v>1807196</v>
      </c>
      <c r="BP95" s="89">
        <f t="shared" si="76"/>
        <v>0.32650000000000001</v>
      </c>
      <c r="BQ95" s="58">
        <f t="shared" si="77"/>
        <v>0</v>
      </c>
      <c r="BR95" s="1" t="b">
        <f t="shared" si="78"/>
        <v>0</v>
      </c>
      <c r="BS95" s="76">
        <f t="shared" si="79"/>
        <v>0</v>
      </c>
      <c r="BT95" s="75">
        <f t="shared" ref="BT95:BT158" si="106">IF(BR95=TRUE,ROUND(((7337-BS95)/3642.4)-1,6),0)</f>
        <v>0</v>
      </c>
      <c r="BU95" s="58">
        <f t="shared" si="80"/>
        <v>0</v>
      </c>
      <c r="BV95" s="1" t="b">
        <f t="shared" si="81"/>
        <v>1</v>
      </c>
      <c r="BW95" s="1">
        <f t="shared" si="82"/>
        <v>273.24</v>
      </c>
      <c r="BX95" s="75">
        <f t="shared" ref="BX95:BX158" si="107">IF(BV95=TRUE,ROUND(((5406-BW95)/3642.4)-1,6),0)</f>
        <v>0.40916999999999998</v>
      </c>
      <c r="BY95" s="58">
        <f t="shared" si="83"/>
        <v>213.1</v>
      </c>
      <c r="BZ95" s="58">
        <f t="shared" si="84"/>
        <v>0</v>
      </c>
      <c r="CA95" s="61">
        <v>142.1</v>
      </c>
      <c r="CB95" s="102">
        <f t="shared" si="85"/>
        <v>2.6040000000000001</v>
      </c>
      <c r="CC95" s="105">
        <f>IF(CB95&lt;0.06,1,IF(CB95&gt;=18.29,52,MATCH(CB95-0.001,'Weighting Factors'!$W$5:$W$156)+1))</f>
        <v>39</v>
      </c>
      <c r="CD95" s="24">
        <f>VLOOKUP(CC95, 'Weighting Factors'!$U$5:$X$56,4)</f>
        <v>810</v>
      </c>
      <c r="CE95" s="109">
        <f>('Weighting Factors'!$O$5/'Weighting Factors'!$O$14)</f>
        <v>1.2216</v>
      </c>
      <c r="CF95" s="100">
        <f t="shared" si="86"/>
        <v>299700</v>
      </c>
      <c r="CG95" s="100">
        <f>CF95*'Weighting Factors'!$Q$7</f>
        <v>299700</v>
      </c>
      <c r="CH95" s="100">
        <f t="shared" ref="CH95:CH158" si="108">CG95*CE95</f>
        <v>366114</v>
      </c>
      <c r="CI95" s="58">
        <f>AK95/'Weighting Factors'!$O$5</f>
        <v>72</v>
      </c>
      <c r="CJ95" s="67">
        <v>0</v>
      </c>
      <c r="CK95" s="80">
        <v>0</v>
      </c>
      <c r="CL95" s="110">
        <v>0</v>
      </c>
      <c r="CM95" s="24">
        <f>SUM((AR95*'Weighting Factors'!$O$5)+'2024 Legal Max'!AX95)*CL95</f>
        <v>0</v>
      </c>
      <c r="CN95" s="24">
        <f t="shared" ref="CN95:CN158" si="109">IF(CK95&gt;CM95,CM95,CK95)</f>
        <v>0</v>
      </c>
      <c r="CO95" s="65">
        <f t="shared" si="74"/>
        <v>0.46389999999999998</v>
      </c>
      <c r="CP95" s="58">
        <f t="shared" si="87"/>
        <v>0</v>
      </c>
      <c r="CQ95" s="58">
        <f t="shared" si="88"/>
        <v>20.5</v>
      </c>
      <c r="CR95" s="58">
        <f t="shared" si="89"/>
        <v>1074.4000000000001</v>
      </c>
      <c r="CS95" s="24">
        <f>'Required Transfers'!L95</f>
        <v>210358</v>
      </c>
      <c r="CT95" s="24">
        <f>'Required Transfers'!O95</f>
        <v>1084</v>
      </c>
      <c r="CU95" s="24">
        <f>'Required Transfers'!H95</f>
        <v>738269</v>
      </c>
      <c r="CV95" s="58">
        <f t="shared" si="90"/>
        <v>545.5</v>
      </c>
      <c r="CW95" s="27" t="s">
        <v>280</v>
      </c>
    </row>
    <row r="96" spans="1:101" ht="15" customHeight="1">
      <c r="A96" s="54">
        <v>289</v>
      </c>
      <c r="B96" s="1" t="s">
        <v>42</v>
      </c>
      <c r="C96" s="1" t="s">
        <v>601</v>
      </c>
      <c r="D96" s="58">
        <v>717</v>
      </c>
      <c r="E96" s="58"/>
      <c r="F96" s="58">
        <v>0</v>
      </c>
      <c r="G96" s="58">
        <f t="shared" si="91"/>
        <v>717</v>
      </c>
      <c r="H96" s="58">
        <v>741.5</v>
      </c>
      <c r="I96" s="58"/>
      <c r="J96" s="58">
        <v>0</v>
      </c>
      <c r="K96" s="58">
        <f t="shared" si="92"/>
        <v>741.5</v>
      </c>
      <c r="L96" s="1">
        <v>774.5</v>
      </c>
      <c r="N96" s="1">
        <v>0</v>
      </c>
      <c r="O96" s="58">
        <f t="shared" si="93"/>
        <v>774.5</v>
      </c>
      <c r="P96" s="58">
        <f>IF(ISNA(VLOOKUP($CW96,'Audit Values'!$A:$BZ,2,FALSE)),'Preliminary SO66'!C95,VLOOKUP($CW96,'Audit Values'!$A:$BZ,76,FALSE))</f>
        <v>744.5</v>
      </c>
      <c r="Q96" s="58">
        <f>IF(ISNA(VLOOKUP($CW96,'Audit Values'!$A:$BZ,2,FALSE)),'Preliminary SO66'!F95,VLOOKUP($CW96,'Audit Values'!$A:$BZ,4,FALSE))</f>
        <v>0</v>
      </c>
      <c r="R96" s="58">
        <f t="shared" si="97"/>
        <v>744.5</v>
      </c>
      <c r="S96" s="58">
        <f>IF('Military Provision'!I96="YES", MAX('2024 Legal Max'!O96,'2024 Legal Max'!K96,AVERAGE('2024 Legal Max'!G96,'2024 Legal Max'!K96,'2024 Legal Max'!O96)), MAX(O96, K96))</f>
        <v>774.5</v>
      </c>
      <c r="T96" s="58">
        <f>IF(ISNA(VLOOKUP($CW96,'Audit Values'!$A:$BX,2,FALSE)),'Preliminary SO66'!AL95,VLOOKUP($CW96,'Audit Values'!$A:$BX,59,FALSE))</f>
        <v>13</v>
      </c>
      <c r="U96" s="58">
        <f t="shared" si="98"/>
        <v>787.5</v>
      </c>
      <c r="V96" s="58">
        <f>'Low-High ENRL- 2023 HSubSB 113'!N99</f>
        <v>250.9</v>
      </c>
      <c r="W96" s="58">
        <f>IF(ISNA(VLOOKUP($CW96,'Audit Values'!$A:$BZ,2,FALSE)),'Preliminary SO66'!AM95,VLOOKUP($CW96,'Audit Values'!$A:$BZ,63,FALSE))</f>
        <v>0</v>
      </c>
      <c r="X96" s="58">
        <f>(W96/6)*'Weighting Factors'!$O$7</f>
        <v>0</v>
      </c>
      <c r="Y96" s="61">
        <f>IF(ISNA(VLOOKUP($CW96,'Audit Values'!$A:$BZ,2,FALSE)),'Preliminary SO66'!AN95,VLOOKUP($CW96,'Audit Values'!$A:$BZ,62,FALSE))</f>
        <v>0</v>
      </c>
      <c r="Z96" s="58">
        <f>Y96*'Weighting Factors'!$O$8</f>
        <v>0</v>
      </c>
      <c r="AA96" s="58">
        <f t="shared" si="99"/>
        <v>0</v>
      </c>
      <c r="AB96" s="106">
        <f>IF(ISNA(VLOOKUP($CW96,'Audit Values'!$A:$BZ,2,FALSE)),'Preliminary SO66'!AO95,VLOOKUP($CW96,'Audit Values'!$A:$BZ,61,FALSE))</f>
        <v>242.3</v>
      </c>
      <c r="AC96" s="58">
        <f>AB96/6*'Weighting Factors'!$O$6</f>
        <v>20.2</v>
      </c>
      <c r="AD96" s="24">
        <f>IF(ISNA(VLOOKUP($CW96,'Audit Values'!$A:$BX,2,FALSE)),'Preliminary SO66'!AS95,VLOOKUP($CW96,'Audit Values'!$A:$BX,64,FALSE))</f>
        <v>781</v>
      </c>
      <c r="AE96" s="24">
        <f>IF(ISNA(VLOOKUP($CW96,'Audit Values'!$A:$BX,2,FALSE)),'Preliminary SO66'!AP95,VLOOKUP($CW96,'Audit Values'!$A:$BX,65,FALSE))</f>
        <v>207</v>
      </c>
      <c r="AF96" s="58">
        <f>IF(A96=207, AE96,(AE96))*'Weighting Factors'!$O$9</f>
        <v>100.2</v>
      </c>
      <c r="AG96" s="58">
        <f t="shared" si="96"/>
        <v>0</v>
      </c>
      <c r="AH96" s="58">
        <f>IF(ISNA(VLOOKUP($CW96,'Audit Values'!$A:$BZ,2,FALSE)),'Preliminary SO66'!AG95,VLOOKUP($CW96,'Audit Values'!$A:$BZ,71,FALSE))</f>
        <v>0</v>
      </c>
      <c r="AI96" s="58">
        <f t="shared" si="100"/>
        <v>0</v>
      </c>
      <c r="AJ96" s="58">
        <f>IF(ISNA(VLOOKUP($CW96,'Audit Values'!$A:$BX,2,FALSE)),'Preliminary SO66'!AR95,VLOOKUP($CW96,'Audit Values'!$A:$BX,66,FALSE))</f>
        <v>213</v>
      </c>
      <c r="AK96" s="24">
        <f t="shared" si="101"/>
        <v>226375</v>
      </c>
      <c r="AL96" s="58">
        <f>AK96/'Weighting Factors'!$O$5</f>
        <v>44.5</v>
      </c>
      <c r="AM96" s="58">
        <f>CJ96/'Weighting Factors'!$O$5</f>
        <v>0</v>
      </c>
      <c r="AN96" s="58">
        <f>CN96/'Weighting Factors'!$O$5</f>
        <v>0</v>
      </c>
      <c r="AO96" s="24">
        <v>1070491</v>
      </c>
      <c r="AP96" s="58">
        <f>AO96/'Weighting Factors'!$O$5</f>
        <v>210.4</v>
      </c>
      <c r="AQ96" s="58">
        <f>IF(ISNA(VLOOKUP($CW96,'Audit Values'!$A:$BX,2,FALSE)),'Preliminary SO66'!X95,VLOOKUP($CW96,'Audit Values'!$A:$BX,48,FALSE))</f>
        <v>0</v>
      </c>
      <c r="AR96" s="58">
        <f t="shared" si="94"/>
        <v>1413.7</v>
      </c>
      <c r="AS96" s="58">
        <f t="shared" si="95"/>
        <v>1203.3</v>
      </c>
      <c r="AT96" s="58">
        <f>IF(ISNA(VLOOKUP($CW96,'Audit Values'!$A$2:$BX$410,2,FALSE)),'Preliminary SO66'!AA95,VLOOKUP($CW96,'Audit Values'!$A$2:$BX$410,41,FALSE))</f>
        <v>2</v>
      </c>
      <c r="AU96" s="58">
        <f>IF(ISNA(VLOOKUP($CW96,'Audit Values'!$A$2:$BX$410,2,FALSE)),'Preliminary SO66'!AB95,VLOOKUP($CW96,'Audit Values'!$A$2:$BX$410,42,FALSE))</f>
        <v>0.9</v>
      </c>
      <c r="AV96" s="73">
        <v>0</v>
      </c>
      <c r="AW96" s="73">
        <v>0</v>
      </c>
      <c r="AX96" s="24">
        <f>SUM(AT96*'Weighting Factors'!$R$10)+('2024 Legal Max'!AU96*'Weighting Factors'!$R$11)+('2024 Legal Max'!AV96*'Weighting Factors'!$R$12)+('2024 Legal Max'!AW96*'Weighting Factors'!$R$12)</f>
        <v>13720</v>
      </c>
      <c r="AY96" s="54">
        <f>IF(ISNA(VLOOKUP($CW96,'Audit Values'!$A$2:$BX$429,2,FALSE)),"",IF(AND('Weighting Factors'!G96&gt;0,VLOOKUP($CW96,'Audit Values'!$A$2:$BX$429,51,FALSE)&lt;'Weighting Factors'!G96),'Weighting Factors'!G96,VLOOKUP($CW96,'Audit Values'!$A$2:$BX$429,51,FALSE)))</f>
        <v>15</v>
      </c>
      <c r="AZ96" s="54" t="str">
        <f>IF(ISNA(VLOOKUP($CW96,'Audit Values'!$A:$BY,2,FALSE)),"",VLOOKUP($CW96,'Audit Values'!$A:$BY,52,FALSE))</f>
        <v>A</v>
      </c>
      <c r="BA96" s="54" t="str">
        <f>IF('Weighting Factors'!F96="","",IF('Weighting Factors'!H96="Pending","PX","R"))</f>
        <v/>
      </c>
      <c r="BB96" s="60">
        <f>SUM((U96+V96+AA96+AC96+AF96+AI96+AL96+AM96+AQ96+AN96)*'Weighting Factors'!$O$5)+'2024 Legal Max'!AX96</f>
        <v>6136110</v>
      </c>
      <c r="BC96" s="24">
        <f>SUM((AR96+AN96)*'Weighting Factors'!$O$5)+AX96</f>
        <v>7206626</v>
      </c>
      <c r="BD96" s="67">
        <f>IF('Weighting Factors'!F96&gt;0,'Weighting Factors'!F96,'Preliminary SO66'!AV95)</f>
        <v>7453178</v>
      </c>
      <c r="BE96" s="24">
        <f t="shared" si="102"/>
        <v>7206626</v>
      </c>
      <c r="BF96" s="71">
        <f>'Weighting Factors'!E96</f>
        <v>0</v>
      </c>
      <c r="BG96" s="71">
        <f>Transportation!G96</f>
        <v>0</v>
      </c>
      <c r="BH96" s="24">
        <f>IF(ISNA(VLOOKUP($CW96,'Audit Values'!$A:$BW,2,FALSE)), 0, VLOOKUP($CW96,'Audit Values'!$A:$BW,75,FALSE))</f>
        <v>-3545</v>
      </c>
      <c r="BI96" s="24">
        <f t="shared" si="103"/>
        <v>-3545</v>
      </c>
      <c r="BJ96" s="24">
        <f t="shared" si="104"/>
        <v>7203081</v>
      </c>
      <c r="BK96" s="24">
        <f>SUM((U96+V96+AA96+AC96+AF96+AI96+AL96+AM96+AN96)*'Weighting Factors'!O$12)+(MAX(AO96,'Weighting Factors'!B96))</f>
        <v>7277112</v>
      </c>
      <c r="BL96" s="78">
        <f>'LOB%'!F94</f>
        <v>0.316</v>
      </c>
      <c r="BM96" s="24">
        <f t="shared" si="75"/>
        <v>2299567</v>
      </c>
      <c r="BN96" s="67">
        <v>2371292</v>
      </c>
      <c r="BO96" s="24">
        <f t="shared" si="105"/>
        <v>2299567</v>
      </c>
      <c r="BP96" s="89">
        <f t="shared" si="76"/>
        <v>0.316</v>
      </c>
      <c r="BQ96" s="58">
        <f t="shared" si="77"/>
        <v>0</v>
      </c>
      <c r="BR96" s="1" t="b">
        <f t="shared" si="78"/>
        <v>0</v>
      </c>
      <c r="BS96" s="76">
        <f t="shared" si="79"/>
        <v>0</v>
      </c>
      <c r="BT96" s="75">
        <f t="shared" si="106"/>
        <v>0</v>
      </c>
      <c r="BU96" s="58">
        <f t="shared" si="80"/>
        <v>0</v>
      </c>
      <c r="BV96" s="1" t="b">
        <f t="shared" si="81"/>
        <v>1</v>
      </c>
      <c r="BW96" s="1">
        <f t="shared" si="82"/>
        <v>603.28129999999999</v>
      </c>
      <c r="BX96" s="75">
        <f t="shared" si="107"/>
        <v>0.31855899999999998</v>
      </c>
      <c r="BY96" s="58">
        <f t="shared" si="83"/>
        <v>250.9</v>
      </c>
      <c r="BZ96" s="58">
        <f t="shared" si="84"/>
        <v>0</v>
      </c>
      <c r="CA96" s="61">
        <v>130</v>
      </c>
      <c r="CB96" s="102">
        <f t="shared" si="85"/>
        <v>1.6379999999999999</v>
      </c>
      <c r="CC96" s="105">
        <f>IF(CB96&lt;0.06,1,IF(CB96&gt;=18.29,52,MATCH(CB96-0.001,'Weighting Factors'!$W$5:$W$156)+1))</f>
        <v>36</v>
      </c>
      <c r="CD96" s="24">
        <f>VLOOKUP(CC96, 'Weighting Factors'!$U$5:$X$56,4)</f>
        <v>870</v>
      </c>
      <c r="CE96" s="109">
        <f>('Weighting Factors'!$O$5/'Weighting Factors'!$O$14)</f>
        <v>1.2216</v>
      </c>
      <c r="CF96" s="100">
        <f t="shared" si="86"/>
        <v>185310</v>
      </c>
      <c r="CG96" s="100">
        <f>CF96*'Weighting Factors'!$Q$7</f>
        <v>185310</v>
      </c>
      <c r="CH96" s="100">
        <f t="shared" si="108"/>
        <v>226375</v>
      </c>
      <c r="CI96" s="58">
        <f>AK96/'Weighting Factors'!$O$5</f>
        <v>44.5</v>
      </c>
      <c r="CJ96" s="67">
        <v>0</v>
      </c>
      <c r="CK96" s="80">
        <v>0</v>
      </c>
      <c r="CL96" s="110">
        <v>2.5999999999999999E-3</v>
      </c>
      <c r="CM96" s="24">
        <f>SUM((AR96*'Weighting Factors'!$O$5)+'2024 Legal Max'!AX96)*CL96</f>
        <v>18737</v>
      </c>
      <c r="CN96" s="24">
        <f t="shared" si="109"/>
        <v>0</v>
      </c>
      <c r="CO96" s="65">
        <f t="shared" si="74"/>
        <v>0.26500000000000001</v>
      </c>
      <c r="CP96" s="58">
        <f t="shared" si="87"/>
        <v>0</v>
      </c>
      <c r="CQ96" s="58">
        <f t="shared" si="88"/>
        <v>0</v>
      </c>
      <c r="CR96" s="58">
        <f t="shared" si="89"/>
        <v>1413.7</v>
      </c>
      <c r="CS96" s="24">
        <f>'Required Transfers'!L96</f>
        <v>164419</v>
      </c>
      <c r="CT96" s="24">
        <f>'Required Transfers'!O96</f>
        <v>0</v>
      </c>
      <c r="CU96" s="24">
        <f>'Required Transfers'!H96</f>
        <v>509818</v>
      </c>
      <c r="CV96" s="58">
        <f t="shared" si="90"/>
        <v>760.4</v>
      </c>
      <c r="CW96" s="27" t="s">
        <v>281</v>
      </c>
    </row>
    <row r="97" spans="1:101" ht="15" customHeight="1">
      <c r="A97" s="54">
        <v>290</v>
      </c>
      <c r="B97" s="1" t="s">
        <v>42</v>
      </c>
      <c r="C97" s="1" t="s">
        <v>602</v>
      </c>
      <c r="D97" s="58">
        <v>2156.9</v>
      </c>
      <c r="E97" s="58"/>
      <c r="F97" s="58">
        <v>0</v>
      </c>
      <c r="G97" s="58">
        <f t="shared" si="91"/>
        <v>2156.9</v>
      </c>
      <c r="H97" s="58">
        <v>2190.8000000000002</v>
      </c>
      <c r="I97" s="58"/>
      <c r="J97" s="58">
        <v>0</v>
      </c>
      <c r="K97" s="58">
        <f t="shared" si="92"/>
        <v>2190.8000000000002</v>
      </c>
      <c r="L97" s="1">
        <v>2209.9</v>
      </c>
      <c r="N97" s="1">
        <v>0</v>
      </c>
      <c r="O97" s="58">
        <f t="shared" si="93"/>
        <v>2209.9</v>
      </c>
      <c r="P97" s="58">
        <f>IF(ISNA(VLOOKUP($CW97,'Audit Values'!$A:$BZ,2,FALSE)),'Preliminary SO66'!C96,VLOOKUP($CW97,'Audit Values'!$A:$BZ,76,FALSE))</f>
        <v>2116.1999999999998</v>
      </c>
      <c r="Q97" s="58">
        <f>IF(ISNA(VLOOKUP($CW97,'Audit Values'!$A:$BZ,2,FALSE)),'Preliminary SO66'!F96,VLOOKUP($CW97,'Audit Values'!$A:$BZ,4,FALSE))</f>
        <v>0</v>
      </c>
      <c r="R97" s="58">
        <f t="shared" si="97"/>
        <v>2116.1999999999998</v>
      </c>
      <c r="S97" s="58">
        <f>IF('Military Provision'!I97="YES", MAX('2024 Legal Max'!O97,'2024 Legal Max'!K97,AVERAGE('2024 Legal Max'!G97,'2024 Legal Max'!K97,'2024 Legal Max'!O97)), MAX(O97, K97))</f>
        <v>2209.9</v>
      </c>
      <c r="T97" s="58">
        <f>IF(ISNA(VLOOKUP($CW97,'Audit Values'!$A:$BX,2,FALSE)),'Preliminary SO66'!AL96,VLOOKUP($CW97,'Audit Values'!$A:$BX,59,FALSE))</f>
        <v>39</v>
      </c>
      <c r="U97" s="58">
        <f t="shared" si="98"/>
        <v>2248.9</v>
      </c>
      <c r="V97" s="58">
        <f>'Low-High ENRL- 2023 HSubSB 113'!N100</f>
        <v>78.8</v>
      </c>
      <c r="W97" s="58">
        <f>IF(ISNA(VLOOKUP($CW97,'Audit Values'!$A:$BZ,2,FALSE)),'Preliminary SO66'!AM96,VLOOKUP($CW97,'Audit Values'!$A:$BZ,63,FALSE))</f>
        <v>12.2</v>
      </c>
      <c r="X97" s="58">
        <f>(W97/6)*'Weighting Factors'!$O$7</f>
        <v>0.8</v>
      </c>
      <c r="Y97" s="61">
        <f>IF(ISNA(VLOOKUP($CW97,'Audit Values'!$A:$BZ,2,FALSE)),'Preliminary SO66'!AN96,VLOOKUP($CW97,'Audit Values'!$A:$BZ,62,FALSE))</f>
        <v>37</v>
      </c>
      <c r="Z97" s="58">
        <f>Y97*'Weighting Factors'!$O$8</f>
        <v>6.8</v>
      </c>
      <c r="AA97" s="58">
        <f t="shared" si="99"/>
        <v>6.8</v>
      </c>
      <c r="AB97" s="106">
        <f>IF(ISNA(VLOOKUP($CW97,'Audit Values'!$A:$BZ,2,FALSE)),'Preliminary SO66'!AO96,VLOOKUP($CW97,'Audit Values'!$A:$BZ,61,FALSE))</f>
        <v>701.1</v>
      </c>
      <c r="AC97" s="58">
        <f>AB97/6*'Weighting Factors'!$O$6</f>
        <v>58.4</v>
      </c>
      <c r="AD97" s="24">
        <f>IF(ISNA(VLOOKUP($CW97,'Audit Values'!$A:$BX,2,FALSE)),'Preliminary SO66'!AS96,VLOOKUP($CW97,'Audit Values'!$A:$BX,64,FALSE))</f>
        <v>2214</v>
      </c>
      <c r="AE97" s="24">
        <f>IF(ISNA(VLOOKUP($CW97,'Audit Values'!$A:$BX,2,FALSE)),'Preliminary SO66'!AP96,VLOOKUP($CW97,'Audit Values'!$A:$BX,65,FALSE))</f>
        <v>1089</v>
      </c>
      <c r="AF97" s="58">
        <f>IF(A97=207, AE97,(AE97))*'Weighting Factors'!$O$9</f>
        <v>527.1</v>
      </c>
      <c r="AG97" s="58">
        <f t="shared" si="96"/>
        <v>108.2</v>
      </c>
      <c r="AH97" s="58">
        <f>IF(ISNA(VLOOKUP($CW97,'Audit Values'!$A:$BZ,2,FALSE)),'Preliminary SO66'!AG96,VLOOKUP($CW97,'Audit Values'!$A:$BZ,71,FALSE))</f>
        <v>87.7</v>
      </c>
      <c r="AI97" s="58">
        <f t="shared" si="100"/>
        <v>108.2</v>
      </c>
      <c r="AJ97" s="58">
        <f>IF(ISNA(VLOOKUP($CW97,'Audit Values'!$A:$BX,2,FALSE)),'Preliminary SO66'!AR96,VLOOKUP($CW97,'Audit Values'!$A:$BX,66,FALSE))</f>
        <v>409</v>
      </c>
      <c r="AK97" s="24">
        <f t="shared" si="101"/>
        <v>374726</v>
      </c>
      <c r="AL97" s="58">
        <f>AK97/'Weighting Factors'!$O$5</f>
        <v>73.599999999999994</v>
      </c>
      <c r="AM97" s="58">
        <f>CJ97/'Weighting Factors'!$O$5</f>
        <v>0</v>
      </c>
      <c r="AN97" s="58">
        <f>CN97/'Weighting Factors'!$O$5</f>
        <v>0</v>
      </c>
      <c r="AO97" s="24">
        <v>2851003</v>
      </c>
      <c r="AP97" s="58">
        <f>AO97/'Weighting Factors'!$O$5</f>
        <v>560.29999999999995</v>
      </c>
      <c r="AQ97" s="58">
        <f>IF(ISNA(VLOOKUP($CW97,'Audit Values'!$A:$BX,2,FALSE)),'Preliminary SO66'!X96,VLOOKUP($CW97,'Audit Values'!$A:$BX,48,FALSE))</f>
        <v>0</v>
      </c>
      <c r="AR97" s="58">
        <f t="shared" si="94"/>
        <v>3662.1</v>
      </c>
      <c r="AS97" s="58">
        <f t="shared" si="95"/>
        <v>3101.8</v>
      </c>
      <c r="AT97" s="58">
        <f>IF(ISNA(VLOOKUP($CW97,'Audit Values'!$A$2:$BX$410,2,FALSE)),'Preliminary SO66'!AA96,VLOOKUP($CW97,'Audit Values'!$A$2:$BX$410,41,FALSE))</f>
        <v>7</v>
      </c>
      <c r="AU97" s="58">
        <f>IF(ISNA(VLOOKUP($CW97,'Audit Values'!$A$2:$BX$410,2,FALSE)),'Preliminary SO66'!AB96,VLOOKUP($CW97,'Audit Values'!$A$2:$BX$410,42,FALSE))</f>
        <v>5.2</v>
      </c>
      <c r="AV97" s="73">
        <v>0</v>
      </c>
      <c r="AW97" s="73">
        <v>0</v>
      </c>
      <c r="AX97" s="24">
        <f>SUM(AT97*'Weighting Factors'!$R$10)+('2024 Legal Max'!AU97*'Weighting Factors'!$R$11)+('2024 Legal Max'!AV97*'Weighting Factors'!$R$12)+('2024 Legal Max'!AW97*'Weighting Factors'!$R$12)</f>
        <v>53760</v>
      </c>
      <c r="AY97" s="54">
        <f>IF(ISNA(VLOOKUP($CW97,'Audit Values'!$A$2:$BX$429,2,FALSE)),"",IF(AND('Weighting Factors'!G97&gt;0,VLOOKUP($CW97,'Audit Values'!$A$2:$BX$429,51,FALSE)&lt;'Weighting Factors'!G97),'Weighting Factors'!G97,VLOOKUP($CW97,'Audit Values'!$A$2:$BX$429,51,FALSE)))</f>
        <v>3</v>
      </c>
      <c r="AZ97" s="54" t="str">
        <f>IF(ISNA(VLOOKUP($CW97,'Audit Values'!$A:$BY,2,FALSE)),"",VLOOKUP($CW97,'Audit Values'!$A:$BY,52,FALSE))</f>
        <v>A</v>
      </c>
      <c r="BA97" s="54" t="str">
        <f>IF('Weighting Factors'!F97="","",IF('Weighting Factors'!H97="Pending","PX","R"))</f>
        <v/>
      </c>
      <c r="BB97" s="60">
        <f>SUM((U97+V97+AA97+AC97+AF97+AI97+AL97+AM97+AQ97+AN97)*'Weighting Factors'!$O$5)+'2024 Legal Max'!AX97</f>
        <v>15835718</v>
      </c>
      <c r="BC97" s="24">
        <f>SUM((AR97+AN97)*'Weighting Factors'!$O$5)+AX97</f>
        <v>18686525</v>
      </c>
      <c r="BD97" s="67">
        <f>IF('Weighting Factors'!F97&gt;0,'Weighting Factors'!F97,'Preliminary SO66'!AV96)</f>
        <v>18824909</v>
      </c>
      <c r="BE97" s="24">
        <f t="shared" si="102"/>
        <v>18686525</v>
      </c>
      <c r="BF97" s="71">
        <f>'Weighting Factors'!E97</f>
        <v>0</v>
      </c>
      <c r="BG97" s="71">
        <f>Transportation!G97</f>
        <v>0</v>
      </c>
      <c r="BH97" s="24">
        <f>IF(ISNA(VLOOKUP($CW97,'Audit Values'!$A:$BW,2,FALSE)), 0, VLOOKUP($CW97,'Audit Values'!$A:$BW,75,FALSE))</f>
        <v>0</v>
      </c>
      <c r="BI97" s="24">
        <f t="shared" si="103"/>
        <v>0</v>
      </c>
      <c r="BJ97" s="24">
        <f t="shared" si="104"/>
        <v>18686525</v>
      </c>
      <c r="BK97" s="24">
        <f>SUM((U97+V97+AA97+AC97+AF97+AI97+AL97+AM97+AN97)*'Weighting Factors'!O$12)+(MAX(AO97,'Weighting Factors'!B97))</f>
        <v>18850087</v>
      </c>
      <c r="BL97" s="78">
        <f>'LOB%'!F95</f>
        <v>0.33</v>
      </c>
      <c r="BM97" s="24">
        <f t="shared" si="75"/>
        <v>6220529</v>
      </c>
      <c r="BN97" s="67">
        <v>6242327</v>
      </c>
      <c r="BO97" s="24">
        <f t="shared" si="105"/>
        <v>6220529</v>
      </c>
      <c r="BP97" s="89">
        <f t="shared" si="76"/>
        <v>0.33</v>
      </c>
      <c r="BQ97" s="58">
        <f t="shared" si="77"/>
        <v>0</v>
      </c>
      <c r="BR97" s="1" t="b">
        <f t="shared" si="78"/>
        <v>0</v>
      </c>
      <c r="BS97" s="76">
        <f t="shared" si="79"/>
        <v>0</v>
      </c>
      <c r="BT97" s="75">
        <f t="shared" si="106"/>
        <v>0</v>
      </c>
      <c r="BU97" s="58">
        <f t="shared" si="80"/>
        <v>0</v>
      </c>
      <c r="BV97" s="1" t="b">
        <f t="shared" si="81"/>
        <v>0</v>
      </c>
      <c r="BW97" s="1">
        <f t="shared" si="82"/>
        <v>0</v>
      </c>
      <c r="BX97" s="75">
        <f t="shared" si="107"/>
        <v>0</v>
      </c>
      <c r="BY97" s="58">
        <f t="shared" si="83"/>
        <v>0</v>
      </c>
      <c r="BZ97" s="58">
        <f t="shared" si="84"/>
        <v>78.8</v>
      </c>
      <c r="CA97" s="61">
        <v>115.9</v>
      </c>
      <c r="CB97" s="102">
        <f t="shared" si="85"/>
        <v>3.5289999999999999</v>
      </c>
      <c r="CC97" s="105">
        <f>IF(CB97&lt;0.06,1,IF(CB97&gt;=18.29,52,MATCH(CB97-0.001,'Weighting Factors'!$W$5:$W$156)+1))</f>
        <v>42</v>
      </c>
      <c r="CD97" s="24">
        <f>VLOOKUP(CC97, 'Weighting Factors'!$U$5:$X$56,4)</f>
        <v>750</v>
      </c>
      <c r="CE97" s="109">
        <f>('Weighting Factors'!$O$5/'Weighting Factors'!$O$14)</f>
        <v>1.2216</v>
      </c>
      <c r="CF97" s="100">
        <f t="shared" si="86"/>
        <v>306750</v>
      </c>
      <c r="CG97" s="100">
        <f>CF97*'Weighting Factors'!$Q$7</f>
        <v>306750</v>
      </c>
      <c r="CH97" s="100">
        <f t="shared" si="108"/>
        <v>374726</v>
      </c>
      <c r="CI97" s="58">
        <f>AK97/'Weighting Factors'!$O$5</f>
        <v>73.599999999999994</v>
      </c>
      <c r="CJ97" s="67">
        <v>0</v>
      </c>
      <c r="CK97" s="80">
        <v>0</v>
      </c>
      <c r="CL97" s="110">
        <v>0</v>
      </c>
      <c r="CM97" s="24">
        <f>SUM((AR97*'Weighting Factors'!$O$5)+'2024 Legal Max'!AX97)*CL97</f>
        <v>0</v>
      </c>
      <c r="CN97" s="24">
        <f t="shared" si="109"/>
        <v>0</v>
      </c>
      <c r="CO97" s="65">
        <f t="shared" si="74"/>
        <v>0.4919</v>
      </c>
      <c r="CP97" s="58">
        <f t="shared" si="87"/>
        <v>0</v>
      </c>
      <c r="CQ97" s="58">
        <f t="shared" si="88"/>
        <v>108.2</v>
      </c>
      <c r="CR97" s="58">
        <f t="shared" si="89"/>
        <v>3662.1</v>
      </c>
      <c r="CS97" s="24">
        <f>'Required Transfers'!L97</f>
        <v>905087</v>
      </c>
      <c r="CT97" s="24">
        <f>'Required Transfers'!O97</f>
        <v>11819</v>
      </c>
      <c r="CU97" s="24">
        <f>'Required Transfers'!H97</f>
        <v>3232406</v>
      </c>
      <c r="CV97" s="58">
        <f t="shared" si="90"/>
        <v>2167.4</v>
      </c>
      <c r="CW97" s="27" t="s">
        <v>282</v>
      </c>
    </row>
    <row r="98" spans="1:101" ht="15" customHeight="1">
      <c r="A98" s="54">
        <v>291</v>
      </c>
      <c r="B98" s="1" t="s">
        <v>43</v>
      </c>
      <c r="C98" s="1" t="s">
        <v>603</v>
      </c>
      <c r="D98" s="58">
        <v>68</v>
      </c>
      <c r="E98" s="58"/>
      <c r="F98" s="58">
        <v>0</v>
      </c>
      <c r="G98" s="58">
        <f t="shared" si="91"/>
        <v>68</v>
      </c>
      <c r="H98" s="58">
        <v>63</v>
      </c>
      <c r="I98" s="58"/>
      <c r="J98" s="58">
        <v>0</v>
      </c>
      <c r="K98" s="58">
        <f t="shared" si="92"/>
        <v>63</v>
      </c>
      <c r="L98" s="1">
        <v>60</v>
      </c>
      <c r="N98" s="1">
        <v>0</v>
      </c>
      <c r="O98" s="58">
        <f t="shared" si="93"/>
        <v>60</v>
      </c>
      <c r="P98" s="58">
        <f>IF(ISNA(VLOOKUP($CW98,'Audit Values'!$A:$BZ,2,FALSE)),'Preliminary SO66'!C97,VLOOKUP($CW98,'Audit Values'!$A:$BZ,76,FALSE))</f>
        <v>67</v>
      </c>
      <c r="Q98" s="58">
        <f>IF(ISNA(VLOOKUP($CW98,'Audit Values'!$A:$BZ,2,FALSE)),'Preliminary SO66'!F97,VLOOKUP($CW98,'Audit Values'!$A:$BZ,4,FALSE))</f>
        <v>0</v>
      </c>
      <c r="R98" s="58">
        <f t="shared" si="97"/>
        <v>67</v>
      </c>
      <c r="S98" s="58">
        <f>IF('Military Provision'!I98="YES", MAX('2024 Legal Max'!O98,'2024 Legal Max'!K98,AVERAGE('2024 Legal Max'!G98,'2024 Legal Max'!K98,'2024 Legal Max'!O98)), MAX(O98, K98))</f>
        <v>63</v>
      </c>
      <c r="T98" s="58">
        <f>IF(ISNA(VLOOKUP($CW98,'Audit Values'!$A:$BX,2,FALSE)),'Preliminary SO66'!AL97,VLOOKUP($CW98,'Audit Values'!$A:$BX,59,FALSE))</f>
        <v>1</v>
      </c>
      <c r="U98" s="58">
        <f t="shared" si="98"/>
        <v>64</v>
      </c>
      <c r="V98" s="58">
        <f>'Low-High ENRL- 2023 HSubSB 113'!N101</f>
        <v>64.900000000000006</v>
      </c>
      <c r="W98" s="58">
        <f>IF(ISNA(VLOOKUP($CW98,'Audit Values'!$A:$BZ,2,FALSE)),'Preliminary SO66'!AM97,VLOOKUP($CW98,'Audit Values'!$A:$BZ,63,FALSE))</f>
        <v>0</v>
      </c>
      <c r="X98" s="58">
        <f>(W98/6)*'Weighting Factors'!$O$7</f>
        <v>0</v>
      </c>
      <c r="Y98" s="61">
        <f>IF(ISNA(VLOOKUP($CW98,'Audit Values'!$A:$BZ,2,FALSE)),'Preliminary SO66'!AN97,VLOOKUP($CW98,'Audit Values'!$A:$BZ,62,FALSE))</f>
        <v>0</v>
      </c>
      <c r="Z98" s="58">
        <f>Y98*'Weighting Factors'!$O$8</f>
        <v>0</v>
      </c>
      <c r="AA98" s="58">
        <f t="shared" si="99"/>
        <v>0</v>
      </c>
      <c r="AB98" s="106">
        <f>IF(ISNA(VLOOKUP($CW98,'Audit Values'!$A:$BZ,2,FALSE)),'Preliminary SO66'!AO97,VLOOKUP($CW98,'Audit Values'!$A:$BZ,61,FALSE))</f>
        <v>10.199999999999999</v>
      </c>
      <c r="AC98" s="58">
        <f>AB98/6*'Weighting Factors'!$O$6</f>
        <v>0.9</v>
      </c>
      <c r="AD98" s="24">
        <f>IF(ISNA(VLOOKUP($CW98,'Audit Values'!$A:$BX,2,FALSE)),'Preliminary SO66'!AS97,VLOOKUP($CW98,'Audit Values'!$A:$BX,64,FALSE))</f>
        <v>70</v>
      </c>
      <c r="AE98" s="24">
        <f>IF(ISNA(VLOOKUP($CW98,'Audit Values'!$A:$BX,2,FALSE)),'Preliminary SO66'!AP97,VLOOKUP($CW98,'Audit Values'!$A:$BX,65,FALSE))</f>
        <v>27</v>
      </c>
      <c r="AF98" s="58">
        <f>IF(A98=207, AE98,(AE98))*'Weighting Factors'!$O$9</f>
        <v>13.1</v>
      </c>
      <c r="AG98" s="58">
        <f t="shared" si="96"/>
        <v>0.7</v>
      </c>
      <c r="AH98" s="58">
        <f>IF(ISNA(VLOOKUP($CW98,'Audit Values'!$A:$BZ,2,FALSE)),'Preliminary SO66'!AG97,VLOOKUP($CW98,'Audit Values'!$A:$BZ,71,FALSE))</f>
        <v>0.1</v>
      </c>
      <c r="AI98" s="58">
        <f t="shared" si="100"/>
        <v>0.7</v>
      </c>
      <c r="AJ98" s="58">
        <f>IF(ISNA(VLOOKUP($CW98,'Audit Values'!$A:$BX,2,FALSE)),'Preliminary SO66'!AR97,VLOOKUP($CW98,'Audit Values'!$A:$BX,66,FALSE))</f>
        <v>24</v>
      </c>
      <c r="AK98" s="24">
        <f t="shared" si="101"/>
        <v>43391</v>
      </c>
      <c r="AL98" s="58">
        <f>AK98/'Weighting Factors'!$O$5</f>
        <v>8.5</v>
      </c>
      <c r="AM98" s="58">
        <f>CJ98/'Weighting Factors'!$O$5</f>
        <v>0</v>
      </c>
      <c r="AN98" s="58">
        <f>CN98/'Weighting Factors'!$O$5</f>
        <v>0</v>
      </c>
      <c r="AO98" s="24">
        <v>74527</v>
      </c>
      <c r="AP98" s="58">
        <f>AO98/'Weighting Factors'!$O$5</f>
        <v>14.6</v>
      </c>
      <c r="AQ98" s="58">
        <f>IF(ISNA(VLOOKUP($CW98,'Audit Values'!$A:$BX,2,FALSE)),'Preliminary SO66'!X97,VLOOKUP($CW98,'Audit Values'!$A:$BX,48,FALSE))</f>
        <v>0</v>
      </c>
      <c r="AR98" s="58">
        <f t="shared" si="94"/>
        <v>166.7</v>
      </c>
      <c r="AS98" s="58">
        <f t="shared" si="95"/>
        <v>152.1</v>
      </c>
      <c r="AT98" s="58">
        <f>IF(ISNA(VLOOKUP($CW98,'Audit Values'!$A$2:$BX$410,2,FALSE)),'Preliminary SO66'!AA97,VLOOKUP($CW98,'Audit Values'!$A$2:$BX$410,41,FALSE))</f>
        <v>0</v>
      </c>
      <c r="AU98" s="58">
        <f>IF(ISNA(VLOOKUP($CW98,'Audit Values'!$A$2:$BX$410,2,FALSE)),'Preliminary SO66'!AB97,VLOOKUP($CW98,'Audit Values'!$A$2:$BX$410,42,FALSE))</f>
        <v>0</v>
      </c>
      <c r="AV98" s="73">
        <v>0</v>
      </c>
      <c r="AW98" s="73">
        <v>0</v>
      </c>
      <c r="AX98" s="24">
        <f>SUM(AT98*'Weighting Factors'!$R$10)+('2024 Legal Max'!AU98*'Weighting Factors'!$R$11)+('2024 Legal Max'!AV98*'Weighting Factors'!$R$12)+('2024 Legal Max'!AW98*'Weighting Factors'!$R$12)</f>
        <v>0</v>
      </c>
      <c r="AY98" s="54">
        <f>IF(ISNA(VLOOKUP($CW98,'Audit Values'!$A$2:$BX$429,2,FALSE)),"",IF(AND('Weighting Factors'!G98&gt;0,VLOOKUP($CW98,'Audit Values'!$A$2:$BX$429,51,FALSE)&lt;'Weighting Factors'!G98),'Weighting Factors'!G98,VLOOKUP($CW98,'Audit Values'!$A$2:$BX$429,51,FALSE)))</f>
        <v>14</v>
      </c>
      <c r="AZ98" s="54" t="str">
        <f>IF(ISNA(VLOOKUP($CW98,'Audit Values'!$A:$BY,2,FALSE)),"",VLOOKUP($CW98,'Audit Values'!$A:$BY,52,FALSE))</f>
        <v>A</v>
      </c>
      <c r="BA98" s="54" t="str">
        <f>IF('Weighting Factors'!F98="","",IF('Weighting Factors'!H98="Pending","PX","R"))</f>
        <v/>
      </c>
      <c r="BB98" s="60">
        <f>SUM((U98+V98+AA98+AC98+AF98+AI98+AL98+AM98+AQ98+AN98)*'Weighting Factors'!$O$5)+'2024 Legal Max'!AX98</f>
        <v>773885</v>
      </c>
      <c r="BC98" s="24">
        <f>SUM((AR98+AN98)*'Weighting Factors'!$O$5)+AX98</f>
        <v>848170</v>
      </c>
      <c r="BD98" s="67">
        <f>IF('Weighting Factors'!F98&gt;0,'Weighting Factors'!F98,'Preliminary SO66'!AV97)</f>
        <v>859872</v>
      </c>
      <c r="BE98" s="24">
        <f t="shared" si="102"/>
        <v>848170</v>
      </c>
      <c r="BF98" s="71">
        <f>'Weighting Factors'!E98</f>
        <v>0</v>
      </c>
      <c r="BG98" s="71">
        <f>Transportation!G98</f>
        <v>0</v>
      </c>
      <c r="BH98" s="24">
        <f>IF(ISNA(VLOOKUP($CW98,'Audit Values'!$A:$BW,2,FALSE)), 0, VLOOKUP($CW98,'Audit Values'!$A:$BW,75,FALSE))</f>
        <v>0</v>
      </c>
      <c r="BI98" s="24">
        <f t="shared" si="103"/>
        <v>0</v>
      </c>
      <c r="BJ98" s="24">
        <f t="shared" si="104"/>
        <v>848170</v>
      </c>
      <c r="BK98" s="24">
        <f>SUM((U98+V98+AA98+AC98+AF98+AI98+AL98+AM98+AN98)*'Weighting Factors'!O$12)+(MAX(AO98,'Weighting Factors'!B98))</f>
        <v>869795</v>
      </c>
      <c r="BL98" s="78">
        <f>'LOB%'!F96</f>
        <v>0.31</v>
      </c>
      <c r="BM98" s="24">
        <f t="shared" si="75"/>
        <v>269636</v>
      </c>
      <c r="BN98" s="67">
        <v>269874</v>
      </c>
      <c r="BO98" s="24">
        <f t="shared" si="105"/>
        <v>269636</v>
      </c>
      <c r="BP98" s="89">
        <f t="shared" si="76"/>
        <v>0.31</v>
      </c>
      <c r="BQ98" s="58">
        <f t="shared" si="77"/>
        <v>64.900000000000006</v>
      </c>
      <c r="BR98" s="1" t="b">
        <f t="shared" si="78"/>
        <v>0</v>
      </c>
      <c r="BS98" s="76">
        <f t="shared" si="79"/>
        <v>0</v>
      </c>
      <c r="BT98" s="75">
        <f t="shared" si="106"/>
        <v>0</v>
      </c>
      <c r="BU98" s="58">
        <f t="shared" si="80"/>
        <v>0</v>
      </c>
      <c r="BV98" s="1" t="b">
        <f t="shared" si="81"/>
        <v>0</v>
      </c>
      <c r="BW98" s="1">
        <f t="shared" si="82"/>
        <v>0</v>
      </c>
      <c r="BX98" s="75">
        <f t="shared" si="107"/>
        <v>0</v>
      </c>
      <c r="BY98" s="58">
        <f t="shared" si="83"/>
        <v>0</v>
      </c>
      <c r="BZ98" s="58">
        <f t="shared" si="84"/>
        <v>0</v>
      </c>
      <c r="CA98" s="61">
        <v>267.8</v>
      </c>
      <c r="CB98" s="102">
        <f t="shared" si="85"/>
        <v>0.09</v>
      </c>
      <c r="CC98" s="105">
        <f>IF(CB98&lt;0.06,1,IF(CB98&gt;=18.29,52,MATCH(CB98-0.001,'Weighting Factors'!$W$5:$W$156)+1))</f>
        <v>5</v>
      </c>
      <c r="CD98" s="24">
        <f>VLOOKUP(CC98, 'Weighting Factors'!$U$5:$X$56,4)</f>
        <v>1480</v>
      </c>
      <c r="CE98" s="109">
        <f>('Weighting Factors'!$O$5/'Weighting Factors'!$O$14)</f>
        <v>1.2216</v>
      </c>
      <c r="CF98" s="100">
        <f t="shared" si="86"/>
        <v>35520</v>
      </c>
      <c r="CG98" s="100">
        <f>CF98*'Weighting Factors'!$Q$7</f>
        <v>35520</v>
      </c>
      <c r="CH98" s="100">
        <f t="shared" si="108"/>
        <v>43391</v>
      </c>
      <c r="CI98" s="58">
        <f>AK98/'Weighting Factors'!$O$5</f>
        <v>8.5</v>
      </c>
      <c r="CJ98" s="67">
        <v>0</v>
      </c>
      <c r="CK98" s="80">
        <v>0</v>
      </c>
      <c r="CL98" s="110">
        <v>0</v>
      </c>
      <c r="CM98" s="24">
        <f>SUM((AR98*'Weighting Factors'!$O$5)+'2024 Legal Max'!AX98)*CL98</f>
        <v>0</v>
      </c>
      <c r="CN98" s="24">
        <f t="shared" si="109"/>
        <v>0</v>
      </c>
      <c r="CO98" s="65">
        <f t="shared" si="74"/>
        <v>0.38569999999999999</v>
      </c>
      <c r="CP98" s="58">
        <f t="shared" si="87"/>
        <v>0</v>
      </c>
      <c r="CQ98" s="58">
        <f t="shared" si="88"/>
        <v>0.7</v>
      </c>
      <c r="CR98" s="58">
        <f t="shared" si="89"/>
        <v>166.7</v>
      </c>
      <c r="CS98" s="24">
        <f>'Required Transfers'!L98</f>
        <v>21328</v>
      </c>
      <c r="CT98" s="24">
        <f>'Required Transfers'!O98</f>
        <v>0</v>
      </c>
      <c r="CU98" s="24">
        <f>'Required Transfers'!H98</f>
        <v>70214</v>
      </c>
      <c r="CV98" s="58">
        <f t="shared" si="90"/>
        <v>68</v>
      </c>
      <c r="CW98" s="27" t="s">
        <v>283</v>
      </c>
    </row>
    <row r="99" spans="1:101" ht="15" customHeight="1">
      <c r="A99" s="54">
        <v>292</v>
      </c>
      <c r="B99" s="1" t="s">
        <v>43</v>
      </c>
      <c r="C99" s="1" t="s">
        <v>604</v>
      </c>
      <c r="D99" s="58">
        <v>105</v>
      </c>
      <c r="E99" s="58"/>
      <c r="F99" s="58">
        <v>0</v>
      </c>
      <c r="G99" s="58">
        <f t="shared" si="91"/>
        <v>105</v>
      </c>
      <c r="H99" s="58">
        <v>107</v>
      </c>
      <c r="I99" s="58"/>
      <c r="J99" s="58">
        <v>0</v>
      </c>
      <c r="K99" s="58">
        <f t="shared" si="92"/>
        <v>107</v>
      </c>
      <c r="L99" s="1">
        <v>109.5</v>
      </c>
      <c r="N99" s="1">
        <v>0</v>
      </c>
      <c r="O99" s="58">
        <f t="shared" si="93"/>
        <v>109.5</v>
      </c>
      <c r="P99" s="58">
        <f>IF(ISNA(VLOOKUP($CW99,'Audit Values'!$A:$BZ,2,FALSE)),'Preliminary SO66'!C98,VLOOKUP($CW99,'Audit Values'!$A:$BZ,76,FALSE))</f>
        <v>116.5</v>
      </c>
      <c r="Q99" s="58">
        <f>IF(ISNA(VLOOKUP($CW99,'Audit Values'!$A:$BZ,2,FALSE)),'Preliminary SO66'!F98,VLOOKUP($CW99,'Audit Values'!$A:$BZ,4,FALSE))</f>
        <v>0</v>
      </c>
      <c r="R99" s="58">
        <f t="shared" si="97"/>
        <v>116.5</v>
      </c>
      <c r="S99" s="58">
        <f>IF('Military Provision'!I99="YES", MAX('2024 Legal Max'!O99,'2024 Legal Max'!K99,AVERAGE('2024 Legal Max'!G99,'2024 Legal Max'!K99,'2024 Legal Max'!O99)), MAX(O99, K99))</f>
        <v>109.5</v>
      </c>
      <c r="T99" s="58">
        <f>IF(ISNA(VLOOKUP($CW99,'Audit Values'!$A:$BX,2,FALSE)),'Preliminary SO66'!AL98,VLOOKUP($CW99,'Audit Values'!$A:$BX,59,FALSE))</f>
        <v>0</v>
      </c>
      <c r="U99" s="58">
        <f t="shared" si="98"/>
        <v>109.5</v>
      </c>
      <c r="V99" s="58">
        <f>'Low-High ENRL- 2023 HSubSB 113'!N102</f>
        <v>108.3</v>
      </c>
      <c r="W99" s="58">
        <f>IF(ISNA(VLOOKUP($CW99,'Audit Values'!$A:$BZ,2,FALSE)),'Preliminary SO66'!AM98,VLOOKUP($CW99,'Audit Values'!$A:$BZ,63,FALSE))</f>
        <v>0</v>
      </c>
      <c r="X99" s="58">
        <f>(W99/6)*'Weighting Factors'!$O$7</f>
        <v>0</v>
      </c>
      <c r="Y99" s="61">
        <f>IF(ISNA(VLOOKUP($CW99,'Audit Values'!$A:$BZ,2,FALSE)),'Preliminary SO66'!AN98,VLOOKUP($CW99,'Audit Values'!$A:$BZ,62,FALSE))</f>
        <v>1</v>
      </c>
      <c r="Z99" s="58">
        <f>Y99*'Weighting Factors'!$O$8</f>
        <v>0.2</v>
      </c>
      <c r="AA99" s="58">
        <f t="shared" si="99"/>
        <v>0.2</v>
      </c>
      <c r="AB99" s="106">
        <f>IF(ISNA(VLOOKUP($CW99,'Audit Values'!$A:$BZ,2,FALSE)),'Preliminary SO66'!AO98,VLOOKUP($CW99,'Audit Values'!$A:$BZ,61,FALSE))</f>
        <v>31.4</v>
      </c>
      <c r="AC99" s="58">
        <f>AB99/6*'Weighting Factors'!$O$6</f>
        <v>2.6</v>
      </c>
      <c r="AD99" s="24">
        <f>IF(ISNA(VLOOKUP($CW99,'Audit Values'!$A:$BX,2,FALSE)),'Preliminary SO66'!AS98,VLOOKUP($CW99,'Audit Values'!$A:$BX,64,FALSE))</f>
        <v>117</v>
      </c>
      <c r="AE99" s="24">
        <f>IF(ISNA(VLOOKUP($CW99,'Audit Values'!$A:$BX,2,FALSE)),'Preliminary SO66'!AP98,VLOOKUP($CW99,'Audit Values'!$A:$BX,65,FALSE))</f>
        <v>55</v>
      </c>
      <c r="AF99" s="58">
        <f>IF(A99=207, AE99,(AE99))*'Weighting Factors'!$O$9</f>
        <v>26.6</v>
      </c>
      <c r="AG99" s="58">
        <f t="shared" si="96"/>
        <v>4.5999999999999996</v>
      </c>
      <c r="AH99" s="58">
        <f>IF(ISNA(VLOOKUP($CW99,'Audit Values'!$A:$BZ,2,FALSE)),'Preliminary SO66'!AG98,VLOOKUP($CW99,'Audit Values'!$A:$BZ,71,FALSE))</f>
        <v>2.2000000000000002</v>
      </c>
      <c r="AI99" s="58">
        <f t="shared" si="100"/>
        <v>4.5999999999999996</v>
      </c>
      <c r="AJ99" s="58">
        <f>IF(ISNA(VLOOKUP($CW99,'Audit Values'!$A:$BX,2,FALSE)),'Preliminary SO66'!AR98,VLOOKUP($CW99,'Audit Values'!$A:$BX,66,FALSE))</f>
        <v>62</v>
      </c>
      <c r="AK99" s="24">
        <f t="shared" si="101"/>
        <v>103763</v>
      </c>
      <c r="AL99" s="58">
        <f>AK99/'Weighting Factors'!$O$5</f>
        <v>20.399999999999999</v>
      </c>
      <c r="AM99" s="58">
        <f>CJ99/'Weighting Factors'!$O$5</f>
        <v>0</v>
      </c>
      <c r="AN99" s="58">
        <f>CN99/'Weighting Factors'!$O$5</f>
        <v>0</v>
      </c>
      <c r="AO99" s="24">
        <v>93981</v>
      </c>
      <c r="AP99" s="58">
        <f>AO99/'Weighting Factors'!$O$5</f>
        <v>18.5</v>
      </c>
      <c r="AQ99" s="58">
        <f>IF(ISNA(VLOOKUP($CW99,'Audit Values'!$A:$BX,2,FALSE)),'Preliminary SO66'!X98,VLOOKUP($CW99,'Audit Values'!$A:$BX,48,FALSE))</f>
        <v>0</v>
      </c>
      <c r="AR99" s="58">
        <f t="shared" si="94"/>
        <v>290.7</v>
      </c>
      <c r="AS99" s="58">
        <f t="shared" si="95"/>
        <v>272.2</v>
      </c>
      <c r="AT99" s="58">
        <f>IF(ISNA(VLOOKUP($CW99,'Audit Values'!$A$2:$BX$410,2,FALSE)),'Preliminary SO66'!AA98,VLOOKUP($CW99,'Audit Values'!$A$2:$BX$410,41,FALSE))</f>
        <v>0</v>
      </c>
      <c r="AU99" s="58">
        <f>IF(ISNA(VLOOKUP($CW99,'Audit Values'!$A$2:$BX$410,2,FALSE)),'Preliminary SO66'!AB98,VLOOKUP($CW99,'Audit Values'!$A$2:$BX$410,42,FALSE))</f>
        <v>0</v>
      </c>
      <c r="AV99" s="73">
        <v>0</v>
      </c>
      <c r="AW99" s="73">
        <v>0</v>
      </c>
      <c r="AX99" s="24">
        <f>SUM(AT99*'Weighting Factors'!$R$10)+('2024 Legal Max'!AU99*'Weighting Factors'!$R$11)+('2024 Legal Max'!AV99*'Weighting Factors'!$R$12)+('2024 Legal Max'!AW99*'Weighting Factors'!$R$12)</f>
        <v>0</v>
      </c>
      <c r="AY99" s="54">
        <f>IF(ISNA(VLOOKUP($CW99,'Audit Values'!$A$2:$BX$429,2,FALSE)),"",IF(AND('Weighting Factors'!G99&gt;0,VLOOKUP($CW99,'Audit Values'!$A$2:$BX$429,51,FALSE)&lt;'Weighting Factors'!G99),'Weighting Factors'!G99,VLOOKUP($CW99,'Audit Values'!$A$2:$BX$429,51,FALSE)))</f>
        <v>16</v>
      </c>
      <c r="AZ99" s="54" t="str">
        <f>IF(ISNA(VLOOKUP($CW99,'Audit Values'!$A:$BY,2,FALSE)),"",VLOOKUP($CW99,'Audit Values'!$A:$BY,52,FALSE))</f>
        <v>A</v>
      </c>
      <c r="BA99" s="54" t="str">
        <f>IF('Weighting Factors'!F99="","",IF('Weighting Factors'!H99="Pending","PX","R"))</f>
        <v>R</v>
      </c>
      <c r="BB99" s="60">
        <f>SUM((U99+V99+AA99+AC99+AF99+AI99+AL99+AM99+AQ99+AN99)*'Weighting Factors'!$O$5)+'2024 Legal Max'!AX99</f>
        <v>1384954</v>
      </c>
      <c r="BC99" s="24">
        <f>SUM((AR99+AN99)*'Weighting Factors'!$O$5)+AX99</f>
        <v>1479082</v>
      </c>
      <c r="BD99" s="67">
        <f>IF('Weighting Factors'!F99&gt;0,'Weighting Factors'!F99,'Preliminary SO66'!AV98)</f>
        <v>1497398</v>
      </c>
      <c r="BE99" s="24">
        <f t="shared" si="102"/>
        <v>1479082</v>
      </c>
      <c r="BF99" s="71">
        <f>'Weighting Factors'!E99</f>
        <v>0</v>
      </c>
      <c r="BG99" s="71">
        <f>Transportation!G99</f>
        <v>0</v>
      </c>
      <c r="BH99" s="24">
        <f>IF(ISNA(VLOOKUP($CW99,'Audit Values'!$A:$BW,2,FALSE)), 0, VLOOKUP($CW99,'Audit Values'!$A:$BW,75,FALSE))</f>
        <v>0</v>
      </c>
      <c r="BI99" s="24">
        <f t="shared" si="103"/>
        <v>0</v>
      </c>
      <c r="BJ99" s="24">
        <f t="shared" si="104"/>
        <v>1479082</v>
      </c>
      <c r="BK99" s="24">
        <f>SUM((U99+V99+AA99+AC99+AF99+AI99+AL99+AM99+AN99)*'Weighting Factors'!O$12)+(MAX(AO99,'Weighting Factors'!B99))</f>
        <v>1601473</v>
      </c>
      <c r="BL99" s="78">
        <f>'LOB%'!F97</f>
        <v>0.33</v>
      </c>
      <c r="BM99" s="24">
        <f t="shared" si="75"/>
        <v>528486</v>
      </c>
      <c r="BN99" s="67">
        <v>505167</v>
      </c>
      <c r="BO99" s="24">
        <f t="shared" si="105"/>
        <v>505167</v>
      </c>
      <c r="BP99" s="89">
        <f t="shared" si="76"/>
        <v>0.31540000000000001</v>
      </c>
      <c r="BQ99" s="58">
        <f t="shared" si="77"/>
        <v>0</v>
      </c>
      <c r="BR99" s="1" t="b">
        <f t="shared" si="78"/>
        <v>1</v>
      </c>
      <c r="BS99" s="76">
        <f t="shared" si="79"/>
        <v>91.722999999999999</v>
      </c>
      <c r="BT99" s="75">
        <f t="shared" si="106"/>
        <v>0.98914899999999994</v>
      </c>
      <c r="BU99" s="58">
        <f t="shared" si="80"/>
        <v>108.3</v>
      </c>
      <c r="BV99" s="1" t="b">
        <f t="shared" si="81"/>
        <v>0</v>
      </c>
      <c r="BW99" s="1">
        <f t="shared" si="82"/>
        <v>0</v>
      </c>
      <c r="BX99" s="75">
        <f t="shared" si="107"/>
        <v>0</v>
      </c>
      <c r="BY99" s="58">
        <f t="shared" si="83"/>
        <v>0</v>
      </c>
      <c r="BZ99" s="58">
        <f t="shared" si="84"/>
        <v>0</v>
      </c>
      <c r="CA99" s="61">
        <v>437</v>
      </c>
      <c r="CB99" s="102">
        <f t="shared" si="85"/>
        <v>0.14199999999999999</v>
      </c>
      <c r="CC99" s="105">
        <f>IF(CB99&lt;0.06,1,IF(CB99&gt;=18.29,52,MATCH(CB99-0.001,'Weighting Factors'!$W$5:$W$156)+1))</f>
        <v>10</v>
      </c>
      <c r="CD99" s="24">
        <f>VLOOKUP(CC99, 'Weighting Factors'!$U$5:$X$56,4)</f>
        <v>1370</v>
      </c>
      <c r="CE99" s="109">
        <f>('Weighting Factors'!$O$5/'Weighting Factors'!$O$14)</f>
        <v>1.2216</v>
      </c>
      <c r="CF99" s="100">
        <f t="shared" si="86"/>
        <v>84940</v>
      </c>
      <c r="CG99" s="100">
        <f>CF99*'Weighting Factors'!$Q$7</f>
        <v>84940</v>
      </c>
      <c r="CH99" s="100">
        <f t="shared" si="108"/>
        <v>103763</v>
      </c>
      <c r="CI99" s="58">
        <f>AK99/'Weighting Factors'!$O$5</f>
        <v>20.399999999999999</v>
      </c>
      <c r="CJ99" s="67">
        <v>0</v>
      </c>
      <c r="CK99" s="80">
        <v>0</v>
      </c>
      <c r="CL99" s="110">
        <v>0</v>
      </c>
      <c r="CM99" s="24">
        <f>SUM((AR99*'Weighting Factors'!$O$5)+'2024 Legal Max'!AX99)*CL99</f>
        <v>0</v>
      </c>
      <c r="CN99" s="24">
        <f t="shared" si="109"/>
        <v>0</v>
      </c>
      <c r="CO99" s="65">
        <f t="shared" si="74"/>
        <v>0.47010000000000002</v>
      </c>
      <c r="CP99" s="58">
        <f t="shared" si="87"/>
        <v>0</v>
      </c>
      <c r="CQ99" s="58">
        <f t="shared" si="88"/>
        <v>4.5999999999999996</v>
      </c>
      <c r="CR99" s="58">
        <f t="shared" si="89"/>
        <v>290.7</v>
      </c>
      <c r="CS99" s="24">
        <f>'Required Transfers'!L99</f>
        <v>46223</v>
      </c>
      <c r="CT99" s="24">
        <f>'Required Transfers'!O99</f>
        <v>354</v>
      </c>
      <c r="CU99" s="24">
        <f>'Required Transfers'!H99</f>
        <v>158746</v>
      </c>
      <c r="CV99" s="58">
        <f t="shared" si="90"/>
        <v>116.5</v>
      </c>
      <c r="CW99" s="27" t="s">
        <v>284</v>
      </c>
    </row>
    <row r="100" spans="1:101" ht="15" customHeight="1">
      <c r="A100" s="54">
        <v>293</v>
      </c>
      <c r="B100" s="1" t="s">
        <v>43</v>
      </c>
      <c r="C100" s="1" t="s">
        <v>605</v>
      </c>
      <c r="D100" s="58">
        <v>299.8</v>
      </c>
      <c r="E100" s="58"/>
      <c r="F100" s="58">
        <v>0</v>
      </c>
      <c r="G100" s="58">
        <f t="shared" si="91"/>
        <v>299.8</v>
      </c>
      <c r="H100" s="58">
        <v>307.5</v>
      </c>
      <c r="I100" s="58"/>
      <c r="J100" s="58">
        <v>0</v>
      </c>
      <c r="K100" s="58">
        <f t="shared" si="92"/>
        <v>307.5</v>
      </c>
      <c r="L100" s="1">
        <v>306.7</v>
      </c>
      <c r="N100" s="1">
        <v>0</v>
      </c>
      <c r="O100" s="58">
        <f t="shared" si="93"/>
        <v>306.7</v>
      </c>
      <c r="P100" s="58">
        <f>IF(ISNA(VLOOKUP($CW100,'Audit Values'!$A:$BZ,2,FALSE)),'Preliminary SO66'!C99,VLOOKUP($CW100,'Audit Values'!$A:$BZ,76,FALSE))</f>
        <v>289.2</v>
      </c>
      <c r="Q100" s="58">
        <f>IF(ISNA(VLOOKUP($CW100,'Audit Values'!$A:$BZ,2,FALSE)),'Preliminary SO66'!F99,VLOOKUP($CW100,'Audit Values'!$A:$BZ,4,FALSE))</f>
        <v>0</v>
      </c>
      <c r="R100" s="58">
        <f t="shared" si="97"/>
        <v>289.2</v>
      </c>
      <c r="S100" s="58">
        <f>IF('Military Provision'!I100="YES", MAX('2024 Legal Max'!O100,'2024 Legal Max'!K100,AVERAGE('2024 Legal Max'!G100,'2024 Legal Max'!K100,'2024 Legal Max'!O100)), MAX(O100, K100))</f>
        <v>307.5</v>
      </c>
      <c r="T100" s="58">
        <f>IF(ISNA(VLOOKUP($CW100,'Audit Values'!$A:$BX,2,FALSE)),'Preliminary SO66'!AL99,VLOOKUP($CW100,'Audit Values'!$A:$BX,59,FALSE))</f>
        <v>4</v>
      </c>
      <c r="U100" s="58">
        <f t="shared" si="98"/>
        <v>311.5</v>
      </c>
      <c r="V100" s="58">
        <f>'Low-High ENRL- 2023 HSubSB 113'!N103</f>
        <v>149.6</v>
      </c>
      <c r="W100" s="58">
        <f>IF(ISNA(VLOOKUP($CW100,'Audit Values'!$A:$BZ,2,FALSE)),'Preliminary SO66'!AM99,VLOOKUP($CW100,'Audit Values'!$A:$BZ,63,FALSE))</f>
        <v>0.4</v>
      </c>
      <c r="X100" s="58">
        <f>(W100/6)*'Weighting Factors'!$O$7</f>
        <v>0</v>
      </c>
      <c r="Y100" s="61">
        <f>IF(ISNA(VLOOKUP($CW100,'Audit Values'!$A:$BZ,2,FALSE)),'Preliminary SO66'!AN99,VLOOKUP($CW100,'Audit Values'!$A:$BZ,62,FALSE))</f>
        <v>5</v>
      </c>
      <c r="Z100" s="58">
        <f>Y100*'Weighting Factors'!$O$8</f>
        <v>0.9</v>
      </c>
      <c r="AA100" s="58">
        <f t="shared" si="99"/>
        <v>0.9</v>
      </c>
      <c r="AB100" s="106">
        <f>IF(ISNA(VLOOKUP($CW100,'Audit Values'!$A:$BZ,2,FALSE)),'Preliminary SO66'!AO99,VLOOKUP($CW100,'Audit Values'!$A:$BZ,61,FALSE))</f>
        <v>129.9</v>
      </c>
      <c r="AC100" s="58">
        <f>AB100/6*'Weighting Factors'!$O$6</f>
        <v>10.8</v>
      </c>
      <c r="AD100" s="24">
        <f>IF(ISNA(VLOOKUP($CW100,'Audit Values'!$A:$BX,2,FALSE)),'Preliminary SO66'!AS99,VLOOKUP($CW100,'Audit Values'!$A:$BX,64,FALSE))</f>
        <v>306</v>
      </c>
      <c r="AE100" s="24">
        <f>IF(ISNA(VLOOKUP($CW100,'Audit Values'!$A:$BX,2,FALSE)),'Preliminary SO66'!AP99,VLOOKUP($CW100,'Audit Values'!$A:$BX,65,FALSE))</f>
        <v>76</v>
      </c>
      <c r="AF100" s="58">
        <f>IF(A100=207, AE100,(AE100))*'Weighting Factors'!$O$9</f>
        <v>36.799999999999997</v>
      </c>
      <c r="AG100" s="58">
        <f t="shared" si="96"/>
        <v>0</v>
      </c>
      <c r="AH100" s="58">
        <f>IF(ISNA(VLOOKUP($CW100,'Audit Values'!$A:$BZ,2,FALSE)),'Preliminary SO66'!AG99,VLOOKUP($CW100,'Audit Values'!$A:$BZ,71,FALSE))</f>
        <v>0</v>
      </c>
      <c r="AI100" s="58">
        <f t="shared" si="100"/>
        <v>0</v>
      </c>
      <c r="AJ100" s="58">
        <f>IF(ISNA(VLOOKUP($CW100,'Audit Values'!$A:$BX,2,FALSE)),'Preliminary SO66'!AR99,VLOOKUP($CW100,'Audit Values'!$A:$BX,66,FALSE))</f>
        <v>83</v>
      </c>
      <c r="AK100" s="24">
        <f t="shared" si="101"/>
        <v>130797</v>
      </c>
      <c r="AL100" s="58">
        <f>AK100/'Weighting Factors'!$O$5</f>
        <v>25.7</v>
      </c>
      <c r="AM100" s="58">
        <f>CJ100/'Weighting Factors'!$O$5</f>
        <v>0</v>
      </c>
      <c r="AN100" s="58">
        <f>CN100/'Weighting Factors'!$O$5</f>
        <v>0</v>
      </c>
      <c r="AO100" s="24">
        <v>460656</v>
      </c>
      <c r="AP100" s="58">
        <f>AO100/'Weighting Factors'!$O$5</f>
        <v>90.5</v>
      </c>
      <c r="AQ100" s="58">
        <f>IF(ISNA(VLOOKUP($CW100,'Audit Values'!$A:$BX,2,FALSE)),'Preliminary SO66'!X99,VLOOKUP($CW100,'Audit Values'!$A:$BX,48,FALSE))</f>
        <v>0</v>
      </c>
      <c r="AR100" s="58">
        <f t="shared" si="94"/>
        <v>625.79999999999995</v>
      </c>
      <c r="AS100" s="58">
        <f t="shared" si="95"/>
        <v>535.29999999999995</v>
      </c>
      <c r="AT100" s="58">
        <f>IF(ISNA(VLOOKUP($CW100,'Audit Values'!$A$2:$BX$410,2,FALSE)),'Preliminary SO66'!AA99,VLOOKUP($CW100,'Audit Values'!$A$2:$BX$410,41,FALSE))</f>
        <v>0</v>
      </c>
      <c r="AU100" s="58">
        <f>IF(ISNA(VLOOKUP($CW100,'Audit Values'!$A$2:$BX$410,2,FALSE)),'Preliminary SO66'!AB99,VLOOKUP($CW100,'Audit Values'!$A$2:$BX$410,42,FALSE))</f>
        <v>0</v>
      </c>
      <c r="AV100" s="73">
        <v>0</v>
      </c>
      <c r="AW100" s="73">
        <v>0</v>
      </c>
      <c r="AX100" s="24">
        <f>SUM(AT100*'Weighting Factors'!$R$10)+('2024 Legal Max'!AU100*'Weighting Factors'!$R$11)+('2024 Legal Max'!AV100*'Weighting Factors'!$R$12)+('2024 Legal Max'!AW100*'Weighting Factors'!$R$12)</f>
        <v>0</v>
      </c>
      <c r="AY100" s="54">
        <f>IF(ISNA(VLOOKUP($CW100,'Audit Values'!$A$2:$BX$429,2,FALSE)),"",IF(AND('Weighting Factors'!G100&gt;0,VLOOKUP($CW100,'Audit Values'!$A$2:$BX$429,51,FALSE)&lt;'Weighting Factors'!G100),'Weighting Factors'!G100,VLOOKUP($CW100,'Audit Values'!$A$2:$BX$429,51,FALSE)))</f>
        <v>7</v>
      </c>
      <c r="AZ100" s="54" t="str">
        <f>IF(ISNA(VLOOKUP($CW100,'Audit Values'!$A:$BY,2,FALSE)),"",VLOOKUP($CW100,'Audit Values'!$A:$BY,52,FALSE))</f>
        <v>A</v>
      </c>
      <c r="BA100" s="54" t="str">
        <f>IF('Weighting Factors'!F100="","",IF('Weighting Factors'!H100="Pending","PX","R"))</f>
        <v/>
      </c>
      <c r="BB100" s="60">
        <f>SUM((U100+V100+AA100+AC100+AF100+AI100+AL100+AM100+AQ100+AN100)*'Weighting Factors'!$O$5)+'2024 Legal Max'!AX100</f>
        <v>2723606</v>
      </c>
      <c r="BC100" s="24">
        <f>SUM((AR100+AN100)*'Weighting Factors'!$O$5)+AX100</f>
        <v>3184070</v>
      </c>
      <c r="BD100" s="67">
        <f>IF('Weighting Factors'!F100&gt;0,'Weighting Factors'!F100,'Preliminary SO66'!AV99)</f>
        <v>3338746</v>
      </c>
      <c r="BE100" s="24">
        <f t="shared" si="102"/>
        <v>3184070</v>
      </c>
      <c r="BF100" s="71">
        <f>'Weighting Factors'!E100</f>
        <v>0</v>
      </c>
      <c r="BG100" s="71">
        <f>Transportation!G100</f>
        <v>0</v>
      </c>
      <c r="BH100" s="24">
        <f>IF(ISNA(VLOOKUP($CW100,'Audit Values'!$A:$BW,2,FALSE)), 0, VLOOKUP($CW100,'Audit Values'!$A:$BW,75,FALSE))</f>
        <v>0</v>
      </c>
      <c r="BI100" s="24">
        <f t="shared" si="103"/>
        <v>0</v>
      </c>
      <c r="BJ100" s="24">
        <f t="shared" si="104"/>
        <v>3184070</v>
      </c>
      <c r="BK100" s="24">
        <f>SUM((U100+V100+AA100+AC100+AF100+AI100+AL100+AM100+AN100)*'Weighting Factors'!O$12)+(MAX(AO100,'Weighting Factors'!B100))</f>
        <v>3221733</v>
      </c>
      <c r="BL100" s="78">
        <f>'LOB%'!F98</f>
        <v>0.33</v>
      </c>
      <c r="BM100" s="24">
        <f t="shared" si="75"/>
        <v>1063172</v>
      </c>
      <c r="BN100" s="67">
        <v>1114586</v>
      </c>
      <c r="BO100" s="24">
        <f t="shared" si="105"/>
        <v>1063172</v>
      </c>
      <c r="BP100" s="89">
        <f t="shared" si="76"/>
        <v>0.33</v>
      </c>
      <c r="BQ100" s="58">
        <f t="shared" si="77"/>
        <v>0</v>
      </c>
      <c r="BR100" s="1" t="b">
        <f t="shared" si="78"/>
        <v>0</v>
      </c>
      <c r="BS100" s="76">
        <f t="shared" si="79"/>
        <v>0</v>
      </c>
      <c r="BT100" s="75">
        <f t="shared" si="106"/>
        <v>0</v>
      </c>
      <c r="BU100" s="58">
        <f t="shared" si="80"/>
        <v>0</v>
      </c>
      <c r="BV100" s="1" t="b">
        <f t="shared" si="81"/>
        <v>1</v>
      </c>
      <c r="BW100" s="1">
        <f t="shared" si="82"/>
        <v>14.231299999999999</v>
      </c>
      <c r="BX100" s="75">
        <f t="shared" si="107"/>
        <v>0.48027900000000001</v>
      </c>
      <c r="BY100" s="58">
        <f t="shared" si="83"/>
        <v>149.6</v>
      </c>
      <c r="BZ100" s="58">
        <f t="shared" si="84"/>
        <v>0</v>
      </c>
      <c r="CA100" s="61">
        <v>400.8</v>
      </c>
      <c r="CB100" s="102">
        <f t="shared" si="85"/>
        <v>0.20699999999999999</v>
      </c>
      <c r="CC100" s="105">
        <f>IF(CB100&lt;0.06,1,IF(CB100&gt;=18.29,52,MATCH(CB100-0.001,'Weighting Factors'!$W$5:$W$156)+1))</f>
        <v>15</v>
      </c>
      <c r="CD100" s="24">
        <f>VLOOKUP(CC100, 'Weighting Factors'!$U$5:$X$56,4)</f>
        <v>1290</v>
      </c>
      <c r="CE100" s="109">
        <f>('Weighting Factors'!$O$5/'Weighting Factors'!$O$14)</f>
        <v>1.2216</v>
      </c>
      <c r="CF100" s="100">
        <f t="shared" si="86"/>
        <v>107070</v>
      </c>
      <c r="CG100" s="100">
        <f>CF100*'Weighting Factors'!$Q$7</f>
        <v>107070</v>
      </c>
      <c r="CH100" s="100">
        <f t="shared" si="108"/>
        <v>130797</v>
      </c>
      <c r="CI100" s="58">
        <f>AK100/'Weighting Factors'!$O$5</f>
        <v>25.7</v>
      </c>
      <c r="CJ100" s="67">
        <v>0</v>
      </c>
      <c r="CK100" s="80">
        <v>0</v>
      </c>
      <c r="CL100" s="110">
        <v>0</v>
      </c>
      <c r="CM100" s="24">
        <f>SUM((AR100*'Weighting Factors'!$O$5)+'2024 Legal Max'!AX100)*CL100</f>
        <v>0</v>
      </c>
      <c r="CN100" s="24">
        <f t="shared" si="109"/>
        <v>0</v>
      </c>
      <c r="CO100" s="65">
        <f t="shared" si="74"/>
        <v>0.24840000000000001</v>
      </c>
      <c r="CP100" s="58">
        <f t="shared" si="87"/>
        <v>0</v>
      </c>
      <c r="CQ100" s="58">
        <f t="shared" si="88"/>
        <v>0</v>
      </c>
      <c r="CR100" s="58">
        <f t="shared" si="89"/>
        <v>625.79999999999995</v>
      </c>
      <c r="CS100" s="24">
        <f>'Required Transfers'!L100</f>
        <v>62940</v>
      </c>
      <c r="CT100" s="24">
        <f>'Required Transfers'!O100</f>
        <v>1488</v>
      </c>
      <c r="CU100" s="24">
        <f>'Required Transfers'!H100</f>
        <v>187238</v>
      </c>
      <c r="CV100" s="58">
        <f t="shared" si="90"/>
        <v>293.2</v>
      </c>
      <c r="CW100" s="27" t="s">
        <v>285</v>
      </c>
    </row>
    <row r="101" spans="1:101" ht="15" customHeight="1">
      <c r="A101" s="54">
        <v>294</v>
      </c>
      <c r="B101" s="1" t="s">
        <v>44</v>
      </c>
      <c r="C101" s="1" t="s">
        <v>606</v>
      </c>
      <c r="D101" s="58">
        <v>348.9</v>
      </c>
      <c r="E101" s="58"/>
      <c r="F101" s="58">
        <v>0</v>
      </c>
      <c r="G101" s="58">
        <f t="shared" si="91"/>
        <v>348.9</v>
      </c>
      <c r="H101" s="58">
        <v>357.9</v>
      </c>
      <c r="I101" s="58"/>
      <c r="J101" s="58">
        <v>0</v>
      </c>
      <c r="K101" s="58">
        <f t="shared" si="92"/>
        <v>357.9</v>
      </c>
      <c r="L101" s="1">
        <v>371.8</v>
      </c>
      <c r="N101" s="1">
        <v>0</v>
      </c>
      <c r="O101" s="58">
        <f t="shared" si="93"/>
        <v>371.8</v>
      </c>
      <c r="P101" s="58">
        <f>IF(ISNA(VLOOKUP($CW101,'Audit Values'!$A:$BZ,2,FALSE)),'Preliminary SO66'!C100,VLOOKUP($CW101,'Audit Values'!$A:$BZ,76,FALSE))</f>
        <v>367.5</v>
      </c>
      <c r="Q101" s="58">
        <f>IF(ISNA(VLOOKUP($CW101,'Audit Values'!$A:$BZ,2,FALSE)),'Preliminary SO66'!F100,VLOOKUP($CW101,'Audit Values'!$A:$BZ,4,FALSE))</f>
        <v>0</v>
      </c>
      <c r="R101" s="58">
        <f t="shared" si="97"/>
        <v>367.5</v>
      </c>
      <c r="S101" s="58">
        <f>IF('Military Provision'!I101="YES", MAX('2024 Legal Max'!O101,'2024 Legal Max'!K101,AVERAGE('2024 Legal Max'!G101,'2024 Legal Max'!K101,'2024 Legal Max'!O101)), MAX(O101, K101))</f>
        <v>371.8</v>
      </c>
      <c r="T101" s="58">
        <f>IF(ISNA(VLOOKUP($CW101,'Audit Values'!$A:$BX,2,FALSE)),'Preliminary SO66'!AL100,VLOOKUP($CW101,'Audit Values'!$A:$BX,59,FALSE))</f>
        <v>8.5</v>
      </c>
      <c r="U101" s="58">
        <f t="shared" si="98"/>
        <v>380.3</v>
      </c>
      <c r="V101" s="58">
        <f>'Low-High ENRL- 2023 HSubSB 113'!N104</f>
        <v>173.8</v>
      </c>
      <c r="W101" s="58">
        <f>IF(ISNA(VLOOKUP($CW101,'Audit Values'!$A:$BZ,2,FALSE)),'Preliminary SO66'!AM100,VLOOKUP($CW101,'Audit Values'!$A:$BZ,63,FALSE))</f>
        <v>0</v>
      </c>
      <c r="X101" s="58">
        <f>(W101/6)*'Weighting Factors'!$O$7</f>
        <v>0</v>
      </c>
      <c r="Y101" s="61">
        <f>IF(ISNA(VLOOKUP($CW101,'Audit Values'!$A:$BZ,2,FALSE)),'Preliminary SO66'!AN100,VLOOKUP($CW101,'Audit Values'!$A:$BZ,62,FALSE))</f>
        <v>0</v>
      </c>
      <c r="Z101" s="58">
        <f>Y101*'Weighting Factors'!$O$8</f>
        <v>0</v>
      </c>
      <c r="AA101" s="58">
        <f t="shared" si="99"/>
        <v>0</v>
      </c>
      <c r="AB101" s="106">
        <f>IF(ISNA(VLOOKUP($CW101,'Audit Values'!$A:$BZ,2,FALSE)),'Preliminary SO66'!AO100,VLOOKUP($CW101,'Audit Values'!$A:$BZ,61,FALSE))</f>
        <v>93.9</v>
      </c>
      <c r="AC101" s="58">
        <f>AB101/6*'Weighting Factors'!$O$6</f>
        <v>7.8</v>
      </c>
      <c r="AD101" s="24">
        <f>IF(ISNA(VLOOKUP($CW101,'Audit Values'!$A:$BX,2,FALSE)),'Preliminary SO66'!AS100,VLOOKUP($CW101,'Audit Values'!$A:$BX,64,FALSE))</f>
        <v>391</v>
      </c>
      <c r="AE101" s="24">
        <f>IF(ISNA(VLOOKUP($CW101,'Audit Values'!$A:$BX,2,FALSE)),'Preliminary SO66'!AP100,VLOOKUP($CW101,'Audit Values'!$A:$BX,65,FALSE))</f>
        <v>191</v>
      </c>
      <c r="AF101" s="58">
        <f>IF(A101=207, AE101,(AE101))*'Weighting Factors'!$O$9</f>
        <v>92.4</v>
      </c>
      <c r="AG101" s="58">
        <f t="shared" si="96"/>
        <v>18.5</v>
      </c>
      <c r="AH101" s="58">
        <f>IF(ISNA(VLOOKUP($CW101,'Audit Values'!$A:$BZ,2,FALSE)),'Preliminary SO66'!AG100,VLOOKUP($CW101,'Audit Values'!$A:$BZ,71,FALSE))</f>
        <v>17.3</v>
      </c>
      <c r="AI101" s="58">
        <f t="shared" si="100"/>
        <v>18.5</v>
      </c>
      <c r="AJ101" s="58">
        <f>IF(ISNA(VLOOKUP($CW101,'Audit Values'!$A:$BX,2,FALSE)),'Preliminary SO66'!AR100,VLOOKUP($CW101,'Audit Values'!$A:$BX,66,FALSE))</f>
        <v>95</v>
      </c>
      <c r="AK101" s="24">
        <f t="shared" si="101"/>
        <v>165954</v>
      </c>
      <c r="AL101" s="58">
        <f>AK101/'Weighting Factors'!$O$5</f>
        <v>32.6</v>
      </c>
      <c r="AM101" s="58">
        <f>CJ101/'Weighting Factors'!$O$5</f>
        <v>0</v>
      </c>
      <c r="AN101" s="58">
        <f>CN101/'Weighting Factors'!$O$5</f>
        <v>0</v>
      </c>
      <c r="AO101" s="24">
        <v>384404</v>
      </c>
      <c r="AP101" s="58">
        <f>AO101/'Weighting Factors'!$O$5</f>
        <v>75.599999999999994</v>
      </c>
      <c r="AQ101" s="58">
        <f>IF(ISNA(VLOOKUP($CW101,'Audit Values'!$A:$BX,2,FALSE)),'Preliminary SO66'!X100,VLOOKUP($CW101,'Audit Values'!$A:$BX,48,FALSE))</f>
        <v>0</v>
      </c>
      <c r="AR101" s="58">
        <f t="shared" si="94"/>
        <v>781</v>
      </c>
      <c r="AS101" s="58">
        <f t="shared" si="95"/>
        <v>705.4</v>
      </c>
      <c r="AT101" s="58">
        <f>IF(ISNA(VLOOKUP($CW101,'Audit Values'!$A$2:$BX$410,2,FALSE)),'Preliminary SO66'!AA100,VLOOKUP($CW101,'Audit Values'!$A$2:$BX$410,41,FALSE))</f>
        <v>0</v>
      </c>
      <c r="AU101" s="58">
        <f>IF(ISNA(VLOOKUP($CW101,'Audit Values'!$A$2:$BX$410,2,FALSE)),'Preliminary SO66'!AB100,VLOOKUP($CW101,'Audit Values'!$A$2:$BX$410,42,FALSE))</f>
        <v>0</v>
      </c>
      <c r="AV101" s="73">
        <v>0</v>
      </c>
      <c r="AW101" s="73">
        <v>0</v>
      </c>
      <c r="AX101" s="24">
        <f>SUM(AT101*'Weighting Factors'!$R$10)+('2024 Legal Max'!AU101*'Weighting Factors'!$R$11)+('2024 Legal Max'!AV101*'Weighting Factors'!$R$12)+('2024 Legal Max'!AW101*'Weighting Factors'!$R$12)</f>
        <v>0</v>
      </c>
      <c r="AY101" s="54">
        <f>IF(ISNA(VLOOKUP($CW101,'Audit Values'!$A$2:$BX$429,2,FALSE)),"",IF(AND('Weighting Factors'!G101&gt;0,VLOOKUP($CW101,'Audit Values'!$A$2:$BX$429,51,FALSE)&lt;'Weighting Factors'!G101),'Weighting Factors'!G101,VLOOKUP($CW101,'Audit Values'!$A$2:$BX$429,51,FALSE)))</f>
        <v>17</v>
      </c>
      <c r="AZ101" s="54" t="str">
        <f>IF(ISNA(VLOOKUP($CW101,'Audit Values'!$A:$BY,2,FALSE)),"",VLOOKUP($CW101,'Audit Values'!$A:$BY,52,FALSE))</f>
        <v>A</v>
      </c>
      <c r="BA101" s="54" t="str">
        <f>IF('Weighting Factors'!F101="","",IF('Weighting Factors'!H101="Pending","PX","R"))</f>
        <v/>
      </c>
      <c r="BB101" s="60">
        <f>SUM((U101+V101+AA101+AC101+AF101+AI101+AL101+AM101+AQ101+AN101)*'Weighting Factors'!$O$5)+'2024 Legal Max'!AX101</f>
        <v>3589075</v>
      </c>
      <c r="BC101" s="24">
        <f>SUM((AR101+AN101)*'Weighting Factors'!$O$5)+AX101</f>
        <v>3973728</v>
      </c>
      <c r="BD101" s="67">
        <f>IF('Weighting Factors'!F101&gt;0,'Weighting Factors'!F101,'Preliminary SO66'!AV100)</f>
        <v>4073962</v>
      </c>
      <c r="BE101" s="24">
        <f t="shared" si="102"/>
        <v>3973728</v>
      </c>
      <c r="BF101" s="71">
        <f>'Weighting Factors'!E101</f>
        <v>0</v>
      </c>
      <c r="BG101" s="71">
        <f>Transportation!G101</f>
        <v>0</v>
      </c>
      <c r="BH101" s="24">
        <f>IF(ISNA(VLOOKUP($CW101,'Audit Values'!$A:$BW,2,FALSE)), 0, VLOOKUP($CW101,'Audit Values'!$A:$BW,75,FALSE))</f>
        <v>0</v>
      </c>
      <c r="BI101" s="24">
        <f t="shared" si="103"/>
        <v>0</v>
      </c>
      <c r="BJ101" s="24">
        <f t="shared" si="104"/>
        <v>3973728</v>
      </c>
      <c r="BK101" s="24">
        <f>SUM((U101+V101+AA101+AC101+AF101+AI101+AL101+AM101+AN101)*'Weighting Factors'!O$12)+(MAX(AO101,'Weighting Factors'!B101))</f>
        <v>4022857</v>
      </c>
      <c r="BL101" s="78">
        <f>'LOB%'!F99</f>
        <v>0.316</v>
      </c>
      <c r="BM101" s="24">
        <f t="shared" si="75"/>
        <v>1271223</v>
      </c>
      <c r="BN101" s="67">
        <v>1303104</v>
      </c>
      <c r="BO101" s="24">
        <f t="shared" si="105"/>
        <v>1271223</v>
      </c>
      <c r="BP101" s="89">
        <f t="shared" si="76"/>
        <v>0.316</v>
      </c>
      <c r="BQ101" s="58">
        <f t="shared" si="77"/>
        <v>0</v>
      </c>
      <c r="BR101" s="1" t="b">
        <f t="shared" si="78"/>
        <v>0</v>
      </c>
      <c r="BS101" s="76">
        <f t="shared" si="79"/>
        <v>0</v>
      </c>
      <c r="BT101" s="75">
        <f t="shared" si="106"/>
        <v>0</v>
      </c>
      <c r="BU101" s="58">
        <f t="shared" si="80"/>
        <v>0</v>
      </c>
      <c r="BV101" s="1" t="b">
        <f t="shared" si="81"/>
        <v>1</v>
      </c>
      <c r="BW101" s="1">
        <f t="shared" si="82"/>
        <v>99.371300000000005</v>
      </c>
      <c r="BX101" s="75">
        <f t="shared" si="107"/>
        <v>0.45690399999999998</v>
      </c>
      <c r="BY101" s="58">
        <f t="shared" si="83"/>
        <v>173.8</v>
      </c>
      <c r="BZ101" s="58">
        <f t="shared" si="84"/>
        <v>0</v>
      </c>
      <c r="CA101" s="61">
        <v>828</v>
      </c>
      <c r="CB101" s="102">
        <f t="shared" si="85"/>
        <v>0.115</v>
      </c>
      <c r="CC101" s="105">
        <f>IF(CB101&lt;0.06,1,IF(CB101&gt;=18.29,52,MATCH(CB101-0.001,'Weighting Factors'!$W$5:$W$156)+1))</f>
        <v>7</v>
      </c>
      <c r="CD101" s="24">
        <f>VLOOKUP(CC101, 'Weighting Factors'!$U$5:$X$56,4)</f>
        <v>1430</v>
      </c>
      <c r="CE101" s="109">
        <f>('Weighting Factors'!$O$5/'Weighting Factors'!$O$14)</f>
        <v>1.2216</v>
      </c>
      <c r="CF101" s="100">
        <f t="shared" si="86"/>
        <v>135850</v>
      </c>
      <c r="CG101" s="100">
        <f>CF101*'Weighting Factors'!$Q$7</f>
        <v>135850</v>
      </c>
      <c r="CH101" s="100">
        <f t="shared" si="108"/>
        <v>165954</v>
      </c>
      <c r="CI101" s="58">
        <f>AK101/'Weighting Factors'!$O$5</f>
        <v>32.6</v>
      </c>
      <c r="CJ101" s="67">
        <v>0</v>
      </c>
      <c r="CK101" s="80">
        <v>0</v>
      </c>
      <c r="CL101" s="110">
        <v>0</v>
      </c>
      <c r="CM101" s="24">
        <f>SUM((AR101*'Weighting Factors'!$O$5)+'2024 Legal Max'!AX101)*CL101</f>
        <v>0</v>
      </c>
      <c r="CN101" s="24">
        <f t="shared" si="109"/>
        <v>0</v>
      </c>
      <c r="CO101" s="65">
        <f t="shared" si="74"/>
        <v>0.48849999999999999</v>
      </c>
      <c r="CP101" s="58">
        <f t="shared" si="87"/>
        <v>0</v>
      </c>
      <c r="CQ101" s="58">
        <f t="shared" si="88"/>
        <v>18.5</v>
      </c>
      <c r="CR101" s="58">
        <f t="shared" si="89"/>
        <v>781</v>
      </c>
      <c r="CS101" s="24">
        <f>'Required Transfers'!L101</f>
        <v>152038</v>
      </c>
      <c r="CT101" s="24">
        <f>'Required Transfers'!O101</f>
        <v>0</v>
      </c>
      <c r="CU101" s="24">
        <f>'Required Transfers'!H101</f>
        <v>564259</v>
      </c>
      <c r="CV101" s="58">
        <f t="shared" si="90"/>
        <v>376</v>
      </c>
      <c r="CW101" s="27" t="s">
        <v>286</v>
      </c>
    </row>
    <row r="102" spans="1:101" ht="15" customHeight="1">
      <c r="A102" s="54">
        <v>297</v>
      </c>
      <c r="B102" s="1" t="s">
        <v>6</v>
      </c>
      <c r="C102" s="1" t="s">
        <v>607</v>
      </c>
      <c r="D102" s="58">
        <v>269.5</v>
      </c>
      <c r="E102" s="58"/>
      <c r="F102" s="58">
        <v>0</v>
      </c>
      <c r="G102" s="58">
        <f t="shared" si="91"/>
        <v>269.5</v>
      </c>
      <c r="H102" s="58">
        <v>282.5</v>
      </c>
      <c r="I102" s="58"/>
      <c r="J102" s="58">
        <v>0</v>
      </c>
      <c r="K102" s="58">
        <f t="shared" si="92"/>
        <v>282.5</v>
      </c>
      <c r="L102" s="1">
        <v>299</v>
      </c>
      <c r="N102" s="1">
        <v>0</v>
      </c>
      <c r="O102" s="58">
        <f t="shared" si="93"/>
        <v>299</v>
      </c>
      <c r="P102" s="58">
        <f>IF(ISNA(VLOOKUP($CW102,'Audit Values'!$A:$BZ,2,FALSE)),'Preliminary SO66'!C101,VLOOKUP($CW102,'Audit Values'!$A:$BZ,76,FALSE))</f>
        <v>298.5</v>
      </c>
      <c r="Q102" s="58">
        <f>IF(ISNA(VLOOKUP($CW102,'Audit Values'!$A:$BZ,2,FALSE)),'Preliminary SO66'!F101,VLOOKUP($CW102,'Audit Values'!$A:$BZ,4,FALSE))</f>
        <v>0</v>
      </c>
      <c r="R102" s="58">
        <f t="shared" si="97"/>
        <v>298.5</v>
      </c>
      <c r="S102" s="58">
        <f>IF('Military Provision'!I102="YES", MAX('2024 Legal Max'!O102,'2024 Legal Max'!K102,AVERAGE('2024 Legal Max'!G102,'2024 Legal Max'!K102,'2024 Legal Max'!O102)), MAX(O102, K102))</f>
        <v>299</v>
      </c>
      <c r="T102" s="58">
        <f>IF(ISNA(VLOOKUP($CW102,'Audit Values'!$A:$BX,2,FALSE)),'Preliminary SO66'!AL101,VLOOKUP($CW102,'Audit Values'!$A:$BX,59,FALSE))</f>
        <v>0</v>
      </c>
      <c r="U102" s="58">
        <f t="shared" si="98"/>
        <v>299</v>
      </c>
      <c r="V102" s="58">
        <f>'Low-High ENRL- 2023 HSubSB 113'!N105</f>
        <v>145.6</v>
      </c>
      <c r="W102" s="58">
        <f>IF(ISNA(VLOOKUP($CW102,'Audit Values'!$A:$BZ,2,FALSE)),'Preliminary SO66'!AM101,VLOOKUP($CW102,'Audit Values'!$A:$BZ,63,FALSE))</f>
        <v>15.5</v>
      </c>
      <c r="X102" s="58">
        <f>(W102/6)*'Weighting Factors'!$O$7</f>
        <v>1</v>
      </c>
      <c r="Y102" s="61">
        <f>IF(ISNA(VLOOKUP($CW102,'Audit Values'!$A:$BZ,2,FALSE)),'Preliminary SO66'!AN101,VLOOKUP($CW102,'Audit Values'!$A:$BZ,62,FALSE))</f>
        <v>17</v>
      </c>
      <c r="Z102" s="58">
        <f>Y102*'Weighting Factors'!$O$8</f>
        <v>3.1</v>
      </c>
      <c r="AA102" s="58">
        <f t="shared" si="99"/>
        <v>3.1</v>
      </c>
      <c r="AB102" s="106">
        <f>IF(ISNA(VLOOKUP($CW102,'Audit Values'!$A:$BZ,2,FALSE)),'Preliminary SO66'!AO101,VLOOKUP($CW102,'Audit Values'!$A:$BZ,61,FALSE))</f>
        <v>61.6</v>
      </c>
      <c r="AC102" s="58">
        <f>AB102/6*'Weighting Factors'!$O$6</f>
        <v>5.0999999999999996</v>
      </c>
      <c r="AD102" s="24">
        <f>IF(ISNA(VLOOKUP($CW102,'Audit Values'!$A:$BX,2,FALSE)),'Preliminary SO66'!AS101,VLOOKUP($CW102,'Audit Values'!$A:$BX,64,FALSE))</f>
        <v>300</v>
      </c>
      <c r="AE102" s="24">
        <f>IF(ISNA(VLOOKUP($CW102,'Audit Values'!$A:$BX,2,FALSE)),'Preliminary SO66'!AP101,VLOOKUP($CW102,'Audit Values'!$A:$BX,65,FALSE))</f>
        <v>95</v>
      </c>
      <c r="AF102" s="58">
        <f>IF(A102=207, AE102,(AE102))*'Weighting Factors'!$O$9</f>
        <v>46</v>
      </c>
      <c r="AG102" s="58">
        <f t="shared" si="96"/>
        <v>0</v>
      </c>
      <c r="AH102" s="58">
        <f>IF(ISNA(VLOOKUP($CW102,'Audit Values'!$A:$BZ,2,FALSE)),'Preliminary SO66'!AG101,VLOOKUP($CW102,'Audit Values'!$A:$BZ,71,FALSE))</f>
        <v>0</v>
      </c>
      <c r="AI102" s="58">
        <f t="shared" si="100"/>
        <v>0</v>
      </c>
      <c r="AJ102" s="58">
        <f>IF(ISNA(VLOOKUP($CW102,'Audit Values'!$A:$BX,2,FALSE)),'Preliminary SO66'!AR101,VLOOKUP($CW102,'Audit Values'!$A:$BX,66,FALSE))</f>
        <v>76</v>
      </c>
      <c r="AK102" s="24">
        <f t="shared" si="101"/>
        <v>132763</v>
      </c>
      <c r="AL102" s="58">
        <f>AK102/'Weighting Factors'!$O$5</f>
        <v>26.1</v>
      </c>
      <c r="AM102" s="58">
        <f>CJ102/'Weighting Factors'!$O$5</f>
        <v>0</v>
      </c>
      <c r="AN102" s="58">
        <f>CN102/'Weighting Factors'!$O$5</f>
        <v>0</v>
      </c>
      <c r="AO102" s="24">
        <v>198450</v>
      </c>
      <c r="AP102" s="58">
        <f>AO102/'Weighting Factors'!$O$5</f>
        <v>39</v>
      </c>
      <c r="AQ102" s="58">
        <f>IF(ISNA(VLOOKUP($CW102,'Audit Values'!$A:$BX,2,FALSE)),'Preliminary SO66'!X101,VLOOKUP($CW102,'Audit Values'!$A:$BX,48,FALSE))</f>
        <v>0</v>
      </c>
      <c r="AR102" s="58">
        <f t="shared" si="94"/>
        <v>563.9</v>
      </c>
      <c r="AS102" s="58">
        <f t="shared" si="95"/>
        <v>524.9</v>
      </c>
      <c r="AT102" s="58">
        <f>IF(ISNA(VLOOKUP($CW102,'Audit Values'!$A$2:$BX$410,2,FALSE)),'Preliminary SO66'!AA101,VLOOKUP($CW102,'Audit Values'!$A$2:$BX$410,41,FALSE))</f>
        <v>0</v>
      </c>
      <c r="AU102" s="58">
        <f>IF(ISNA(VLOOKUP($CW102,'Audit Values'!$A$2:$BX$410,2,FALSE)),'Preliminary SO66'!AB101,VLOOKUP($CW102,'Audit Values'!$A$2:$BX$410,42,FALSE))</f>
        <v>0</v>
      </c>
      <c r="AV102" s="73">
        <v>0</v>
      </c>
      <c r="AW102" s="73">
        <v>0</v>
      </c>
      <c r="AX102" s="24">
        <f>SUM(AT102*'Weighting Factors'!$R$10)+('2024 Legal Max'!AU102*'Weighting Factors'!$R$11)+('2024 Legal Max'!AV102*'Weighting Factors'!$R$12)+('2024 Legal Max'!AW102*'Weighting Factors'!$R$12)</f>
        <v>0</v>
      </c>
      <c r="AY102" s="54">
        <f>IF(ISNA(VLOOKUP($CW102,'Audit Values'!$A$2:$BX$429,2,FALSE)),"",IF(AND('Weighting Factors'!G102&gt;0,VLOOKUP($CW102,'Audit Values'!$A$2:$BX$429,51,FALSE)&lt;'Weighting Factors'!G102),'Weighting Factors'!G102,VLOOKUP($CW102,'Audit Values'!$A$2:$BX$429,51,FALSE)))</f>
        <v>16</v>
      </c>
      <c r="AZ102" s="54" t="str">
        <f>IF(ISNA(VLOOKUP($CW102,'Audit Values'!$A:$BY,2,FALSE)),"",VLOOKUP($CW102,'Audit Values'!$A:$BY,52,FALSE))</f>
        <v>A</v>
      </c>
      <c r="BA102" s="54" t="str">
        <f>IF('Weighting Factors'!F102="","",IF('Weighting Factors'!H102="Pending","PX","R"))</f>
        <v/>
      </c>
      <c r="BB102" s="60">
        <f>SUM((U102+V102+AA102+AC102+AF102+AI102+AL102+AM102+AQ102+AN102)*'Weighting Factors'!$O$5)+'2024 Legal Max'!AX102</f>
        <v>2670691</v>
      </c>
      <c r="BC102" s="24">
        <f>SUM((AR102+AN102)*'Weighting Factors'!$O$5)+AX102</f>
        <v>2869123</v>
      </c>
      <c r="BD102" s="67">
        <f>IF('Weighting Factors'!F102&gt;0,'Weighting Factors'!F102,'Preliminary SO66'!AV101)</f>
        <v>3056362</v>
      </c>
      <c r="BE102" s="24">
        <f t="shared" si="102"/>
        <v>2869123</v>
      </c>
      <c r="BF102" s="71">
        <f>'Weighting Factors'!E102</f>
        <v>0</v>
      </c>
      <c r="BG102" s="71">
        <f>Transportation!G102</f>
        <v>0</v>
      </c>
      <c r="BH102" s="24">
        <f>IF(ISNA(VLOOKUP($CW102,'Audit Values'!$A:$BW,2,FALSE)), 0, VLOOKUP($CW102,'Audit Values'!$A:$BW,75,FALSE))</f>
        <v>0</v>
      </c>
      <c r="BI102" s="24">
        <f t="shared" si="103"/>
        <v>0</v>
      </c>
      <c r="BJ102" s="24">
        <f t="shared" si="104"/>
        <v>2869123</v>
      </c>
      <c r="BK102" s="24">
        <f>SUM((U102+V102+AA102+AC102+AF102+AI102+AL102+AM102+AN102)*'Weighting Factors'!O$12)+(MAX(AO102,'Weighting Factors'!B102))</f>
        <v>2918456</v>
      </c>
      <c r="BL102" s="78">
        <f>'LOB%'!F100</f>
        <v>0.31</v>
      </c>
      <c r="BM102" s="24">
        <f t="shared" si="75"/>
        <v>904721</v>
      </c>
      <c r="BN102" s="67">
        <v>962765</v>
      </c>
      <c r="BO102" s="24">
        <f t="shared" si="105"/>
        <v>904721</v>
      </c>
      <c r="BP102" s="89">
        <f t="shared" si="76"/>
        <v>0.31</v>
      </c>
      <c r="BQ102" s="58">
        <f t="shared" si="77"/>
        <v>0</v>
      </c>
      <c r="BR102" s="1" t="b">
        <f t="shared" si="78"/>
        <v>1</v>
      </c>
      <c r="BS102" s="76">
        <f t="shared" si="79"/>
        <v>1921.345</v>
      </c>
      <c r="BT102" s="75">
        <f t="shared" si="106"/>
        <v>0.48683700000000002</v>
      </c>
      <c r="BU102" s="58">
        <f t="shared" si="80"/>
        <v>145.6</v>
      </c>
      <c r="BV102" s="1" t="b">
        <f t="shared" si="81"/>
        <v>0</v>
      </c>
      <c r="BW102" s="1">
        <f t="shared" si="82"/>
        <v>0</v>
      </c>
      <c r="BX102" s="75">
        <f t="shared" si="107"/>
        <v>0</v>
      </c>
      <c r="BY102" s="58">
        <f t="shared" si="83"/>
        <v>0</v>
      </c>
      <c r="BZ102" s="58">
        <f t="shared" si="84"/>
        <v>0</v>
      </c>
      <c r="CA102" s="61">
        <v>640</v>
      </c>
      <c r="CB102" s="102">
        <f t="shared" si="85"/>
        <v>0.11899999999999999</v>
      </c>
      <c r="CC102" s="105">
        <f>IF(CB102&lt;0.06,1,IF(CB102&gt;=18.29,52,MATCH(CB102-0.001,'Weighting Factors'!$W$5:$W$156)+1))</f>
        <v>7</v>
      </c>
      <c r="CD102" s="24">
        <f>VLOOKUP(CC102, 'Weighting Factors'!$U$5:$X$56,4)</f>
        <v>1430</v>
      </c>
      <c r="CE102" s="109">
        <f>('Weighting Factors'!$O$5/'Weighting Factors'!$O$14)</f>
        <v>1.2216</v>
      </c>
      <c r="CF102" s="100">
        <f t="shared" si="86"/>
        <v>108680</v>
      </c>
      <c r="CG102" s="100">
        <f>CF102*'Weighting Factors'!$Q$7</f>
        <v>108680</v>
      </c>
      <c r="CH102" s="100">
        <f t="shared" si="108"/>
        <v>132763</v>
      </c>
      <c r="CI102" s="58">
        <f>AK102/'Weighting Factors'!$O$5</f>
        <v>26.1</v>
      </c>
      <c r="CJ102" s="67">
        <v>0</v>
      </c>
      <c r="CK102" s="80">
        <v>0</v>
      </c>
      <c r="CL102" s="110">
        <v>0</v>
      </c>
      <c r="CM102" s="24">
        <f>SUM((AR102*'Weighting Factors'!$O$5)+'2024 Legal Max'!AX102)*CL102</f>
        <v>0</v>
      </c>
      <c r="CN102" s="24">
        <f t="shared" si="109"/>
        <v>0</v>
      </c>
      <c r="CO102" s="65">
        <f t="shared" si="74"/>
        <v>0.31669999999999998</v>
      </c>
      <c r="CP102" s="58">
        <f t="shared" si="87"/>
        <v>0</v>
      </c>
      <c r="CQ102" s="58">
        <f t="shared" si="88"/>
        <v>0</v>
      </c>
      <c r="CR102" s="58">
        <f t="shared" si="89"/>
        <v>563.9</v>
      </c>
      <c r="CS102" s="24">
        <f>'Required Transfers'!L102</f>
        <v>73825</v>
      </c>
      <c r="CT102" s="24">
        <f>'Required Transfers'!O102</f>
        <v>4976</v>
      </c>
      <c r="CU102" s="24">
        <f>'Required Transfers'!H102</f>
        <v>234048</v>
      </c>
      <c r="CV102" s="58">
        <f t="shared" si="90"/>
        <v>298.5</v>
      </c>
      <c r="CW102" s="27" t="s">
        <v>287</v>
      </c>
    </row>
    <row r="103" spans="1:101" ht="15" customHeight="1">
      <c r="A103" s="54">
        <v>298</v>
      </c>
      <c r="B103" s="1" t="s">
        <v>45</v>
      </c>
      <c r="C103" s="1" t="s">
        <v>608</v>
      </c>
      <c r="D103" s="58">
        <v>310</v>
      </c>
      <c r="E103" s="58"/>
      <c r="F103" s="58">
        <v>0</v>
      </c>
      <c r="G103" s="58">
        <f t="shared" si="91"/>
        <v>310</v>
      </c>
      <c r="H103" s="58">
        <v>308.5</v>
      </c>
      <c r="I103" s="58"/>
      <c r="J103" s="58">
        <v>0</v>
      </c>
      <c r="K103" s="58">
        <f t="shared" si="92"/>
        <v>308.5</v>
      </c>
      <c r="L103" s="1">
        <v>307.5</v>
      </c>
      <c r="N103" s="1">
        <v>0</v>
      </c>
      <c r="O103" s="58">
        <f t="shared" si="93"/>
        <v>307.5</v>
      </c>
      <c r="P103" s="58">
        <f>IF(ISNA(VLOOKUP($CW103,'Audit Values'!$A:$BZ,2,FALSE)),'Preliminary SO66'!C102,VLOOKUP($CW103,'Audit Values'!$A:$BZ,76,FALSE))</f>
        <v>311.10000000000002</v>
      </c>
      <c r="Q103" s="58">
        <f>IF(ISNA(VLOOKUP($CW103,'Audit Values'!$A:$BZ,2,FALSE)),'Preliminary SO66'!F102,VLOOKUP($CW103,'Audit Values'!$A:$BZ,4,FALSE))</f>
        <v>0</v>
      </c>
      <c r="R103" s="58">
        <f t="shared" si="97"/>
        <v>311.10000000000002</v>
      </c>
      <c r="S103" s="58">
        <f>IF('Military Provision'!I103="YES", MAX('2024 Legal Max'!O103,'2024 Legal Max'!K103,AVERAGE('2024 Legal Max'!G103,'2024 Legal Max'!K103,'2024 Legal Max'!O103)), MAX(O103, K103))</f>
        <v>308.5</v>
      </c>
      <c r="T103" s="58">
        <f>IF(ISNA(VLOOKUP($CW103,'Audit Values'!$A:$BX,2,FALSE)),'Preliminary SO66'!AL102,VLOOKUP($CW103,'Audit Values'!$A:$BX,59,FALSE))</f>
        <v>11.5</v>
      </c>
      <c r="U103" s="58">
        <f t="shared" si="98"/>
        <v>320</v>
      </c>
      <c r="V103" s="58">
        <f>'Low-High ENRL- 2023 HSubSB 113'!N106</f>
        <v>152.9</v>
      </c>
      <c r="W103" s="58">
        <f>IF(ISNA(VLOOKUP($CW103,'Audit Values'!$A:$BZ,2,FALSE)),'Preliminary SO66'!AM102,VLOOKUP($CW103,'Audit Values'!$A:$BZ,63,FALSE))</f>
        <v>0.7</v>
      </c>
      <c r="X103" s="58">
        <f>(W103/6)*'Weighting Factors'!$O$7</f>
        <v>0</v>
      </c>
      <c r="Y103" s="61">
        <f>IF(ISNA(VLOOKUP($CW103,'Audit Values'!$A:$BZ,2,FALSE)),'Preliminary SO66'!AN102,VLOOKUP($CW103,'Audit Values'!$A:$BZ,62,FALSE))</f>
        <v>4</v>
      </c>
      <c r="Z103" s="58">
        <f>Y103*'Weighting Factors'!$O$8</f>
        <v>0.7</v>
      </c>
      <c r="AA103" s="58">
        <f t="shared" si="99"/>
        <v>0.7</v>
      </c>
      <c r="AB103" s="106">
        <f>IF(ISNA(VLOOKUP($CW103,'Audit Values'!$A:$BZ,2,FALSE)),'Preliminary SO66'!AO102,VLOOKUP($CW103,'Audit Values'!$A:$BZ,61,FALSE))</f>
        <v>140.80000000000001</v>
      </c>
      <c r="AC103" s="58">
        <f>AB103/6*'Weighting Factors'!$O$6</f>
        <v>11.7</v>
      </c>
      <c r="AD103" s="24">
        <f>IF(ISNA(VLOOKUP($CW103,'Audit Values'!$A:$BX,2,FALSE)),'Preliminary SO66'!AS102,VLOOKUP($CW103,'Audit Values'!$A:$BX,64,FALSE))</f>
        <v>338</v>
      </c>
      <c r="AE103" s="24">
        <f>IF(ISNA(VLOOKUP($CW103,'Audit Values'!$A:$BX,2,FALSE)),'Preliminary SO66'!AP102,VLOOKUP($CW103,'Audit Values'!$A:$BX,65,FALSE))</f>
        <v>155</v>
      </c>
      <c r="AF103" s="58">
        <f>IF(A103=207, AE103,(AE103))*'Weighting Factors'!$O$9</f>
        <v>75</v>
      </c>
      <c r="AG103" s="58">
        <f t="shared" si="96"/>
        <v>11.8</v>
      </c>
      <c r="AH103" s="58">
        <f>IF(ISNA(VLOOKUP($CW103,'Audit Values'!$A:$BZ,2,FALSE)),'Preliminary SO66'!AG102,VLOOKUP($CW103,'Audit Values'!$A:$BZ,71,FALSE))</f>
        <v>11.8</v>
      </c>
      <c r="AI103" s="58">
        <f t="shared" si="100"/>
        <v>11.8</v>
      </c>
      <c r="AJ103" s="58">
        <f>IF(ISNA(VLOOKUP($CW103,'Audit Values'!$A:$BX,2,FALSE)),'Preliminary SO66'!AR102,VLOOKUP($CW103,'Audit Values'!$A:$BX,66,FALSE))</f>
        <v>108</v>
      </c>
      <c r="AK103" s="24">
        <f t="shared" si="101"/>
        <v>162277</v>
      </c>
      <c r="AL103" s="58">
        <f>AK103/'Weighting Factors'!$O$5</f>
        <v>31.9</v>
      </c>
      <c r="AM103" s="58">
        <f>CJ103/'Weighting Factors'!$O$5</f>
        <v>0</v>
      </c>
      <c r="AN103" s="58">
        <f>CN103/'Weighting Factors'!$O$5</f>
        <v>0</v>
      </c>
      <c r="AO103" s="24">
        <v>334181</v>
      </c>
      <c r="AP103" s="58">
        <f>AO103/'Weighting Factors'!$O$5</f>
        <v>65.7</v>
      </c>
      <c r="AQ103" s="58">
        <f>IF(ISNA(VLOOKUP($CW103,'Audit Values'!$A:$BX,2,FALSE)),'Preliminary SO66'!X102,VLOOKUP($CW103,'Audit Values'!$A:$BX,48,FALSE))</f>
        <v>0</v>
      </c>
      <c r="AR103" s="58">
        <f t="shared" si="94"/>
        <v>669.7</v>
      </c>
      <c r="AS103" s="58">
        <f t="shared" si="95"/>
        <v>604</v>
      </c>
      <c r="AT103" s="58">
        <f>IF(ISNA(VLOOKUP($CW103,'Audit Values'!$A$2:$BX$410,2,FALSE)),'Preliminary SO66'!AA102,VLOOKUP($CW103,'Audit Values'!$A$2:$BX$410,41,FALSE))</f>
        <v>0</v>
      </c>
      <c r="AU103" s="58">
        <f>IF(ISNA(VLOOKUP($CW103,'Audit Values'!$A$2:$BX$410,2,FALSE)),'Preliminary SO66'!AB102,VLOOKUP($CW103,'Audit Values'!$A$2:$BX$410,42,FALSE))</f>
        <v>0</v>
      </c>
      <c r="AV103" s="73">
        <v>0</v>
      </c>
      <c r="AW103" s="73">
        <v>0</v>
      </c>
      <c r="AX103" s="24">
        <f>SUM(AT103*'Weighting Factors'!$R$10)+('2024 Legal Max'!AU103*'Weighting Factors'!$R$11)+('2024 Legal Max'!AV103*'Weighting Factors'!$R$12)+('2024 Legal Max'!AW103*'Weighting Factors'!$R$12)</f>
        <v>0</v>
      </c>
      <c r="AY103" s="54">
        <f>IF(ISNA(VLOOKUP($CW103,'Audit Values'!$A$2:$BX$429,2,FALSE)),"",IF(AND('Weighting Factors'!G103&gt;0,VLOOKUP($CW103,'Audit Values'!$A$2:$BX$429,51,FALSE)&lt;'Weighting Factors'!G103),'Weighting Factors'!G103,VLOOKUP($CW103,'Audit Values'!$A$2:$BX$429,51,FALSE)))</f>
        <v>4</v>
      </c>
      <c r="AZ103" s="54" t="str">
        <f>IF(ISNA(VLOOKUP($CW103,'Audit Values'!$A:$BY,2,FALSE)),"",VLOOKUP($CW103,'Audit Values'!$A:$BY,52,FALSE))</f>
        <v>A</v>
      </c>
      <c r="BA103" s="54" t="str">
        <f>IF('Weighting Factors'!F103="","",IF('Weighting Factors'!H103="Pending","PX","R"))</f>
        <v/>
      </c>
      <c r="BB103" s="60">
        <f>SUM((U103+V103+AA103+AC103+AF103+AI103+AL103+AM103+AQ103+AN103)*'Weighting Factors'!$O$5)+'2024 Legal Max'!AX103</f>
        <v>3073152</v>
      </c>
      <c r="BC103" s="24">
        <f>SUM((AR103+AN103)*'Weighting Factors'!$O$5)+AX103</f>
        <v>3407434</v>
      </c>
      <c r="BD103" s="67">
        <f>IF('Weighting Factors'!F103&gt;0,'Weighting Factors'!F103,'Preliminary SO66'!AV102)</f>
        <v>3572285</v>
      </c>
      <c r="BE103" s="24">
        <f t="shared" si="102"/>
        <v>3407434</v>
      </c>
      <c r="BF103" s="71">
        <f>'Weighting Factors'!E103</f>
        <v>0</v>
      </c>
      <c r="BG103" s="71">
        <f>Transportation!G103</f>
        <v>0</v>
      </c>
      <c r="BH103" s="24">
        <f>IF(ISNA(VLOOKUP($CW103,'Audit Values'!$A:$BW,2,FALSE)), 0, VLOOKUP($CW103,'Audit Values'!$A:$BW,75,FALSE))</f>
        <v>0</v>
      </c>
      <c r="BI103" s="24">
        <f t="shared" si="103"/>
        <v>0</v>
      </c>
      <c r="BJ103" s="24">
        <f t="shared" si="104"/>
        <v>3407434</v>
      </c>
      <c r="BK103" s="24">
        <f>SUM((U103+V103+AA103+AC103+AF103+AI103+AL103+AM103+AN103)*'Weighting Factors'!O$12)+(MAX(AO103,'Weighting Factors'!B103))</f>
        <v>3490909</v>
      </c>
      <c r="BL103" s="78">
        <f>'LOB%'!F101</f>
        <v>0.316</v>
      </c>
      <c r="BM103" s="24">
        <f t="shared" si="75"/>
        <v>1103127</v>
      </c>
      <c r="BN103" s="67">
        <v>1142364</v>
      </c>
      <c r="BO103" s="24">
        <f t="shared" si="105"/>
        <v>1103127</v>
      </c>
      <c r="BP103" s="89">
        <f t="shared" si="76"/>
        <v>0.316</v>
      </c>
      <c r="BQ103" s="58">
        <f t="shared" si="77"/>
        <v>0</v>
      </c>
      <c r="BR103" s="1" t="b">
        <f t="shared" si="78"/>
        <v>0</v>
      </c>
      <c r="BS103" s="76">
        <f t="shared" si="79"/>
        <v>0</v>
      </c>
      <c r="BT103" s="75">
        <f t="shared" si="106"/>
        <v>0</v>
      </c>
      <c r="BU103" s="58">
        <f t="shared" si="80"/>
        <v>0</v>
      </c>
      <c r="BV103" s="1" t="b">
        <f t="shared" si="81"/>
        <v>1</v>
      </c>
      <c r="BW103" s="1">
        <f t="shared" si="82"/>
        <v>24.75</v>
      </c>
      <c r="BX103" s="75">
        <f t="shared" si="107"/>
        <v>0.47739100000000001</v>
      </c>
      <c r="BY103" s="58">
        <f t="shared" si="83"/>
        <v>152.80000000000001</v>
      </c>
      <c r="BZ103" s="58">
        <f t="shared" si="84"/>
        <v>0</v>
      </c>
      <c r="CA103" s="61">
        <v>444</v>
      </c>
      <c r="CB103" s="102">
        <f t="shared" si="85"/>
        <v>0.24299999999999999</v>
      </c>
      <c r="CC103" s="105">
        <f>IF(CB103&lt;0.06,1,IF(CB103&gt;=18.29,52,MATCH(CB103-0.001,'Weighting Factors'!$W$5:$W$156)+1))</f>
        <v>18</v>
      </c>
      <c r="CD103" s="24">
        <f>VLOOKUP(CC103, 'Weighting Factors'!$U$5:$X$56,4)</f>
        <v>1230</v>
      </c>
      <c r="CE103" s="109">
        <f>('Weighting Factors'!$O$5/'Weighting Factors'!$O$14)</f>
        <v>1.2216</v>
      </c>
      <c r="CF103" s="100">
        <f t="shared" si="86"/>
        <v>132840</v>
      </c>
      <c r="CG103" s="100">
        <f>CF103*'Weighting Factors'!$Q$7</f>
        <v>132840</v>
      </c>
      <c r="CH103" s="100">
        <f t="shared" si="108"/>
        <v>162277</v>
      </c>
      <c r="CI103" s="58">
        <f>AK103/'Weighting Factors'!$O$5</f>
        <v>31.9</v>
      </c>
      <c r="CJ103" s="67">
        <v>0</v>
      </c>
      <c r="CK103" s="80">
        <v>0</v>
      </c>
      <c r="CL103" s="110">
        <v>0</v>
      </c>
      <c r="CM103" s="24">
        <f>SUM((AR103*'Weighting Factors'!$O$5)+'2024 Legal Max'!AX103)*CL103</f>
        <v>0</v>
      </c>
      <c r="CN103" s="24">
        <f t="shared" si="109"/>
        <v>0</v>
      </c>
      <c r="CO103" s="65">
        <f t="shared" si="74"/>
        <v>0.45860000000000001</v>
      </c>
      <c r="CP103" s="58">
        <f t="shared" si="87"/>
        <v>0</v>
      </c>
      <c r="CQ103" s="58">
        <f t="shared" si="88"/>
        <v>11.8</v>
      </c>
      <c r="CR103" s="58">
        <f t="shared" si="89"/>
        <v>669.7</v>
      </c>
      <c r="CS103" s="24">
        <f>'Required Transfers'!L103</f>
        <v>125646</v>
      </c>
      <c r="CT103" s="24">
        <f>'Required Transfers'!O103</f>
        <v>1213</v>
      </c>
      <c r="CU103" s="24">
        <f>'Required Transfers'!H103</f>
        <v>441638</v>
      </c>
      <c r="CV103" s="58">
        <f t="shared" si="90"/>
        <v>322.60000000000002</v>
      </c>
      <c r="CW103" s="27" t="s">
        <v>288</v>
      </c>
    </row>
    <row r="104" spans="1:101" ht="15" customHeight="1">
      <c r="A104" s="54">
        <v>299</v>
      </c>
      <c r="B104" s="1" t="s">
        <v>45</v>
      </c>
      <c r="C104" s="1" t="s">
        <v>609</v>
      </c>
      <c r="D104" s="58">
        <v>227.5</v>
      </c>
      <c r="E104" s="58"/>
      <c r="F104" s="58">
        <v>0</v>
      </c>
      <c r="G104" s="58">
        <f t="shared" si="91"/>
        <v>227.5</v>
      </c>
      <c r="H104" s="58">
        <v>229.6</v>
      </c>
      <c r="I104" s="58"/>
      <c r="J104" s="58">
        <v>0</v>
      </c>
      <c r="K104" s="58">
        <f t="shared" si="92"/>
        <v>229.6</v>
      </c>
      <c r="L104" s="1">
        <v>234.4</v>
      </c>
      <c r="N104" s="1">
        <v>0</v>
      </c>
      <c r="O104" s="58">
        <f t="shared" si="93"/>
        <v>234.4</v>
      </c>
      <c r="P104" s="58">
        <f>IF(ISNA(VLOOKUP($CW104,'Audit Values'!$A:$BZ,2,FALSE)),'Preliminary SO66'!C103,VLOOKUP($CW104,'Audit Values'!$A:$BZ,76,FALSE))</f>
        <v>266.39999999999998</v>
      </c>
      <c r="Q104" s="58">
        <f>IF(ISNA(VLOOKUP($CW104,'Audit Values'!$A:$BZ,2,FALSE)),'Preliminary SO66'!F103,VLOOKUP($CW104,'Audit Values'!$A:$BZ,4,FALSE))</f>
        <v>0</v>
      </c>
      <c r="R104" s="58">
        <f t="shared" si="97"/>
        <v>266.39999999999998</v>
      </c>
      <c r="S104" s="58">
        <f>IF('Military Provision'!I104="YES", MAX('2024 Legal Max'!O104,'2024 Legal Max'!K104,AVERAGE('2024 Legal Max'!G104,'2024 Legal Max'!K104,'2024 Legal Max'!O104)), MAX(O104, K104))</f>
        <v>234.4</v>
      </c>
      <c r="T104" s="58">
        <f>IF(ISNA(VLOOKUP($CW104,'Audit Values'!$A:$BX,2,FALSE)),'Preliminary SO66'!AL103,VLOOKUP($CW104,'Audit Values'!$A:$BX,59,FALSE))</f>
        <v>9.5</v>
      </c>
      <c r="U104" s="58">
        <f t="shared" si="98"/>
        <v>243.9</v>
      </c>
      <c r="V104" s="58">
        <f>'Low-High ENRL- 2023 HSubSB 113'!N107</f>
        <v>161</v>
      </c>
      <c r="W104" s="58">
        <f>IF(ISNA(VLOOKUP($CW104,'Audit Values'!$A:$BZ,2,FALSE)),'Preliminary SO66'!AM103,VLOOKUP($CW104,'Audit Values'!$A:$BZ,63,FALSE))</f>
        <v>0</v>
      </c>
      <c r="X104" s="58">
        <f>(W104/6)*'Weighting Factors'!$O$7</f>
        <v>0</v>
      </c>
      <c r="Y104" s="61">
        <f>IF(ISNA(VLOOKUP($CW104,'Audit Values'!$A:$BZ,2,FALSE)),'Preliminary SO66'!AN103,VLOOKUP($CW104,'Audit Values'!$A:$BZ,62,FALSE))</f>
        <v>3</v>
      </c>
      <c r="Z104" s="58">
        <f>Y104*'Weighting Factors'!$O$8</f>
        <v>0.6</v>
      </c>
      <c r="AA104" s="58">
        <f t="shared" si="99"/>
        <v>0.6</v>
      </c>
      <c r="AB104" s="106">
        <f>IF(ISNA(VLOOKUP($CW104,'Audit Values'!$A:$BZ,2,FALSE)),'Preliminary SO66'!AO103,VLOOKUP($CW104,'Audit Values'!$A:$BZ,61,FALSE))</f>
        <v>107.9</v>
      </c>
      <c r="AC104" s="58">
        <f>AB104/6*'Weighting Factors'!$O$6</f>
        <v>9</v>
      </c>
      <c r="AD104" s="24">
        <f>IF(ISNA(VLOOKUP($CW104,'Audit Values'!$A:$BX,2,FALSE)),'Preliminary SO66'!AS103,VLOOKUP($CW104,'Audit Values'!$A:$BX,64,FALSE))</f>
        <v>291</v>
      </c>
      <c r="AE104" s="24">
        <f>IF(ISNA(VLOOKUP($CW104,'Audit Values'!$A:$BX,2,FALSE)),'Preliminary SO66'!AP103,VLOOKUP($CW104,'Audit Values'!$A:$BX,65,FALSE))</f>
        <v>114</v>
      </c>
      <c r="AF104" s="58">
        <f>IF(A104=207, AE104,(AE104))*'Weighting Factors'!$O$9</f>
        <v>55.2</v>
      </c>
      <c r="AG104" s="58">
        <f t="shared" si="96"/>
        <v>3.3</v>
      </c>
      <c r="AH104" s="58">
        <f>IF(ISNA(VLOOKUP($CW104,'Audit Values'!$A:$BZ,2,FALSE)),'Preliminary SO66'!AG103,VLOOKUP($CW104,'Audit Values'!$A:$BZ,71,FALSE))</f>
        <v>3.9</v>
      </c>
      <c r="AI104" s="58">
        <f t="shared" si="100"/>
        <v>3.9</v>
      </c>
      <c r="AJ104" s="58">
        <f>IF(ISNA(VLOOKUP($CW104,'Audit Values'!$A:$BX,2,FALSE)),'Preliminary SO66'!AR103,VLOOKUP($CW104,'Audit Values'!$A:$BX,66,FALSE))</f>
        <v>150</v>
      </c>
      <c r="AK104" s="24">
        <f t="shared" si="101"/>
        <v>225385</v>
      </c>
      <c r="AL104" s="58">
        <f>AK104/'Weighting Factors'!$O$5</f>
        <v>44.3</v>
      </c>
      <c r="AM104" s="58">
        <f>CJ104/'Weighting Factors'!$O$5</f>
        <v>0</v>
      </c>
      <c r="AN104" s="58">
        <f>CN104/'Weighting Factors'!$O$5</f>
        <v>0</v>
      </c>
      <c r="AO104" s="24">
        <v>253201</v>
      </c>
      <c r="AP104" s="58">
        <f>AO104/'Weighting Factors'!$O$5</f>
        <v>49.8</v>
      </c>
      <c r="AQ104" s="58">
        <f>IF(ISNA(VLOOKUP($CW104,'Audit Values'!$A:$BX,2,FALSE)),'Preliminary SO66'!X103,VLOOKUP($CW104,'Audit Values'!$A:$BX,48,FALSE))</f>
        <v>0</v>
      </c>
      <c r="AR104" s="58">
        <f t="shared" si="94"/>
        <v>567.70000000000005</v>
      </c>
      <c r="AS104" s="58">
        <f t="shared" si="95"/>
        <v>517.9</v>
      </c>
      <c r="AT104" s="58">
        <f>IF(ISNA(VLOOKUP($CW104,'Audit Values'!$A$2:$BX$410,2,FALSE)),'Preliminary SO66'!AA103,VLOOKUP($CW104,'Audit Values'!$A$2:$BX$410,41,FALSE))</f>
        <v>0</v>
      </c>
      <c r="AU104" s="58">
        <f>IF(ISNA(VLOOKUP($CW104,'Audit Values'!$A$2:$BX$410,2,FALSE)),'Preliminary SO66'!AB103,VLOOKUP($CW104,'Audit Values'!$A$2:$BX$410,42,FALSE))</f>
        <v>0</v>
      </c>
      <c r="AV104" s="73">
        <v>0</v>
      </c>
      <c r="AW104" s="73">
        <v>0</v>
      </c>
      <c r="AX104" s="24">
        <f>SUM(AT104*'Weighting Factors'!$R$10)+('2024 Legal Max'!AU104*'Weighting Factors'!$R$11)+('2024 Legal Max'!AV104*'Weighting Factors'!$R$12)+('2024 Legal Max'!AW104*'Weighting Factors'!$R$12)</f>
        <v>0</v>
      </c>
      <c r="AY104" s="54">
        <f>IF(ISNA(VLOOKUP($CW104,'Audit Values'!$A$2:$BX$429,2,FALSE)),"",IF(AND('Weighting Factors'!G104&gt;0,VLOOKUP($CW104,'Audit Values'!$A$2:$BX$429,51,FALSE)&lt;'Weighting Factors'!G104),'Weighting Factors'!G104,VLOOKUP($CW104,'Audit Values'!$A$2:$BX$429,51,FALSE)))</f>
        <v>25</v>
      </c>
      <c r="AZ104" s="54" t="str">
        <f>IF(ISNA(VLOOKUP($CW104,'Audit Values'!$A:$BY,2,FALSE)),"",VLOOKUP($CW104,'Audit Values'!$A:$BY,52,FALSE))</f>
        <v>A</v>
      </c>
      <c r="BA104" s="54" t="str">
        <f>IF('Weighting Factors'!F104="","",IF('Weighting Factors'!H104="Pending","PX","R"))</f>
        <v>R</v>
      </c>
      <c r="BB104" s="60">
        <f>SUM((U104+V104+AA104+AC104+AF104+AI104+AL104+AM104+AQ104+AN104)*'Weighting Factors'!$O$5)+'2024 Legal Max'!AX104</f>
        <v>2635075</v>
      </c>
      <c r="BC104" s="24">
        <f>SUM((AR104+AN104)*'Weighting Factors'!$O$5)+AX104</f>
        <v>2888458</v>
      </c>
      <c r="BD104" s="67">
        <f>IF('Weighting Factors'!F104&gt;0,'Weighting Factors'!F104,'Preliminary SO66'!AV103)</f>
        <v>2888458</v>
      </c>
      <c r="BE104" s="24">
        <f t="shared" si="102"/>
        <v>2888458</v>
      </c>
      <c r="BF104" s="71">
        <f>'Weighting Factors'!E104</f>
        <v>0</v>
      </c>
      <c r="BG104" s="71">
        <f>Transportation!G104</f>
        <v>0</v>
      </c>
      <c r="BH104" s="24">
        <f>IF(ISNA(VLOOKUP($CW104,'Audit Values'!$A:$BW,2,FALSE)), 0, VLOOKUP($CW104,'Audit Values'!$A:$BW,75,FALSE))</f>
        <v>0</v>
      </c>
      <c r="BI104" s="24">
        <f t="shared" si="103"/>
        <v>0</v>
      </c>
      <c r="BJ104" s="24">
        <f t="shared" si="104"/>
        <v>2888458</v>
      </c>
      <c r="BK104" s="24">
        <f>SUM((U104+V104+AA104+AC104+AF104+AI104+AL104+AM104+AN104)*'Weighting Factors'!O$12)+(MAX(AO104,'Weighting Factors'!B104))</f>
        <v>2924529</v>
      </c>
      <c r="BL104" s="78">
        <f>'LOB%'!F102</f>
        <v>0.316</v>
      </c>
      <c r="BM104" s="24">
        <f t="shared" si="75"/>
        <v>924151</v>
      </c>
      <c r="BN104" s="67">
        <v>689000</v>
      </c>
      <c r="BO104" s="24">
        <f t="shared" si="105"/>
        <v>689000</v>
      </c>
      <c r="BP104" s="89">
        <f t="shared" si="76"/>
        <v>0.2356</v>
      </c>
      <c r="BQ104" s="58">
        <f t="shared" si="77"/>
        <v>0</v>
      </c>
      <c r="BR104" s="1" t="b">
        <f t="shared" si="78"/>
        <v>1</v>
      </c>
      <c r="BS104" s="76">
        <f t="shared" si="79"/>
        <v>1389.355</v>
      </c>
      <c r="BT104" s="75">
        <f t="shared" si="106"/>
        <v>0.63289200000000001</v>
      </c>
      <c r="BU104" s="58">
        <f t="shared" si="80"/>
        <v>154.4</v>
      </c>
      <c r="BV104" s="1" t="b">
        <f t="shared" si="81"/>
        <v>0</v>
      </c>
      <c r="BW104" s="1">
        <f t="shared" si="82"/>
        <v>0</v>
      </c>
      <c r="BX104" s="75">
        <f t="shared" si="107"/>
        <v>0</v>
      </c>
      <c r="BY104" s="58">
        <f t="shared" si="83"/>
        <v>0</v>
      </c>
      <c r="BZ104" s="58">
        <f t="shared" si="84"/>
        <v>0</v>
      </c>
      <c r="CA104" s="61">
        <v>623</v>
      </c>
      <c r="CB104" s="102">
        <f t="shared" si="85"/>
        <v>0.24099999999999999</v>
      </c>
      <c r="CC104" s="105">
        <f>IF(CB104&lt;0.06,1,IF(CB104&gt;=18.29,52,MATCH(CB104-0.001,'Weighting Factors'!$W$5:$W$156)+1))</f>
        <v>18</v>
      </c>
      <c r="CD104" s="24">
        <f>VLOOKUP(CC104, 'Weighting Factors'!$U$5:$X$56,4)</f>
        <v>1230</v>
      </c>
      <c r="CE104" s="109">
        <f>('Weighting Factors'!$O$5/'Weighting Factors'!$O$14)</f>
        <v>1.2216</v>
      </c>
      <c r="CF104" s="100">
        <f t="shared" si="86"/>
        <v>184500</v>
      </c>
      <c r="CG104" s="100">
        <f>CF104*'Weighting Factors'!$Q$7</f>
        <v>184500</v>
      </c>
      <c r="CH104" s="100">
        <f t="shared" si="108"/>
        <v>225385</v>
      </c>
      <c r="CI104" s="58">
        <f>AK104/'Weighting Factors'!$O$5</f>
        <v>44.3</v>
      </c>
      <c r="CJ104" s="67">
        <v>0</v>
      </c>
      <c r="CK104" s="80">
        <v>0</v>
      </c>
      <c r="CL104" s="110">
        <v>0</v>
      </c>
      <c r="CM104" s="24">
        <f>SUM((AR104*'Weighting Factors'!$O$5)+'2024 Legal Max'!AX104)*CL104</f>
        <v>0</v>
      </c>
      <c r="CN104" s="24">
        <f t="shared" si="109"/>
        <v>0</v>
      </c>
      <c r="CO104" s="65">
        <f t="shared" si="74"/>
        <v>0.39179999999999998</v>
      </c>
      <c r="CP104" s="58">
        <f t="shared" si="87"/>
        <v>0</v>
      </c>
      <c r="CQ104" s="58">
        <f t="shared" si="88"/>
        <v>3.3</v>
      </c>
      <c r="CR104" s="58">
        <f t="shared" si="89"/>
        <v>567.70000000000005</v>
      </c>
      <c r="CS104" s="24">
        <f>'Required Transfers'!L104</f>
        <v>68142</v>
      </c>
      <c r="CT104" s="24">
        <f>'Required Transfers'!O104</f>
        <v>758</v>
      </c>
      <c r="CU104" s="24">
        <f>'Required Transfers'!H104</f>
        <v>300701</v>
      </c>
      <c r="CV104" s="58">
        <f t="shared" si="90"/>
        <v>275.89999999999998</v>
      </c>
      <c r="CW104" s="27" t="s">
        <v>289</v>
      </c>
    </row>
    <row r="105" spans="1:101" ht="15" customHeight="1">
      <c r="A105" s="54">
        <v>300</v>
      </c>
      <c r="B105" s="1" t="s">
        <v>46</v>
      </c>
      <c r="C105" s="1" t="s">
        <v>610</v>
      </c>
      <c r="D105" s="58">
        <v>286.5</v>
      </c>
      <c r="E105" s="58"/>
      <c r="F105" s="58">
        <v>0</v>
      </c>
      <c r="G105" s="58">
        <f t="shared" si="91"/>
        <v>286.5</v>
      </c>
      <c r="H105" s="58">
        <v>308</v>
      </c>
      <c r="I105" s="58"/>
      <c r="J105" s="58">
        <v>0</v>
      </c>
      <c r="K105" s="58">
        <f t="shared" si="92"/>
        <v>308</v>
      </c>
      <c r="L105" s="1">
        <v>297.5</v>
      </c>
      <c r="N105" s="1">
        <v>0</v>
      </c>
      <c r="O105" s="58">
        <f t="shared" si="93"/>
        <v>297.5</v>
      </c>
      <c r="P105" s="58">
        <f>IF(ISNA(VLOOKUP($CW105,'Audit Values'!$A:$BZ,2,FALSE)),'Preliminary SO66'!C104,VLOOKUP($CW105,'Audit Values'!$A:$BZ,76,FALSE))</f>
        <v>303</v>
      </c>
      <c r="Q105" s="58">
        <f>IF(ISNA(VLOOKUP($CW105,'Audit Values'!$A:$BZ,2,FALSE)),'Preliminary SO66'!F104,VLOOKUP($CW105,'Audit Values'!$A:$BZ,4,FALSE))</f>
        <v>0</v>
      </c>
      <c r="R105" s="58">
        <f t="shared" si="97"/>
        <v>303</v>
      </c>
      <c r="S105" s="58">
        <f>IF('Military Provision'!I105="YES", MAX('2024 Legal Max'!O105,'2024 Legal Max'!K105,AVERAGE('2024 Legal Max'!G105,'2024 Legal Max'!K105,'2024 Legal Max'!O105)), MAX(O105, K105))</f>
        <v>308</v>
      </c>
      <c r="T105" s="58">
        <f>IF(ISNA(VLOOKUP($CW105,'Audit Values'!$A:$BX,2,FALSE)),'Preliminary SO66'!AL104,VLOOKUP($CW105,'Audit Values'!$A:$BX,59,FALSE))</f>
        <v>2.5</v>
      </c>
      <c r="U105" s="58">
        <f t="shared" si="98"/>
        <v>310.5</v>
      </c>
      <c r="V105" s="58">
        <f>'Low-High ENRL- 2023 HSubSB 113'!N108</f>
        <v>149.19999999999999</v>
      </c>
      <c r="W105" s="58">
        <f>IF(ISNA(VLOOKUP($CW105,'Audit Values'!$A:$BZ,2,FALSE)),'Preliminary SO66'!AM104,VLOOKUP($CW105,'Audit Values'!$A:$BZ,63,FALSE))</f>
        <v>0</v>
      </c>
      <c r="X105" s="58">
        <f>(W105/6)*'Weighting Factors'!$O$7</f>
        <v>0</v>
      </c>
      <c r="Y105" s="61">
        <f>IF(ISNA(VLOOKUP($CW105,'Audit Values'!$A:$BZ,2,FALSE)),'Preliminary SO66'!AN104,VLOOKUP($CW105,'Audit Values'!$A:$BZ,62,FALSE))</f>
        <v>0</v>
      </c>
      <c r="Z105" s="58">
        <f>Y105*'Weighting Factors'!$O$8</f>
        <v>0</v>
      </c>
      <c r="AA105" s="58">
        <f t="shared" si="99"/>
        <v>0</v>
      </c>
      <c r="AB105" s="106">
        <f>IF(ISNA(VLOOKUP($CW105,'Audit Values'!$A:$BZ,2,FALSE)),'Preliminary SO66'!AO104,VLOOKUP($CW105,'Audit Values'!$A:$BZ,61,FALSE))</f>
        <v>62.9</v>
      </c>
      <c r="AC105" s="58">
        <f>AB105/6*'Weighting Factors'!$O$6</f>
        <v>5.2</v>
      </c>
      <c r="AD105" s="24">
        <f>IF(ISNA(VLOOKUP($CW105,'Audit Values'!$A:$BX,2,FALSE)),'Preliminary SO66'!AS104,VLOOKUP($CW105,'Audit Values'!$A:$BX,64,FALSE))</f>
        <v>309</v>
      </c>
      <c r="AE105" s="24">
        <f>IF(ISNA(VLOOKUP($CW105,'Audit Values'!$A:$BX,2,FALSE)),'Preliminary SO66'!AP104,VLOOKUP($CW105,'Audit Values'!$A:$BX,65,FALSE))</f>
        <v>125</v>
      </c>
      <c r="AF105" s="58">
        <f>IF(A105=207, AE105,(AE105))*'Weighting Factors'!$O$9</f>
        <v>60.5</v>
      </c>
      <c r="AG105" s="58">
        <f t="shared" si="96"/>
        <v>4.8</v>
      </c>
      <c r="AH105" s="58">
        <f>IF(ISNA(VLOOKUP($CW105,'Audit Values'!$A:$BZ,2,FALSE)),'Preliminary SO66'!AG104,VLOOKUP($CW105,'Audit Values'!$A:$BZ,71,FALSE))</f>
        <v>6.9</v>
      </c>
      <c r="AI105" s="58">
        <f t="shared" si="100"/>
        <v>6.9</v>
      </c>
      <c r="AJ105" s="58">
        <f>IF(ISNA(VLOOKUP($CW105,'Audit Values'!$A:$BX,2,FALSE)),'Preliminary SO66'!AR104,VLOOKUP($CW105,'Audit Values'!$A:$BX,66,FALSE))</f>
        <v>199</v>
      </c>
      <c r="AK105" s="24">
        <f t="shared" si="101"/>
        <v>303873</v>
      </c>
      <c r="AL105" s="58">
        <f>AK105/'Weighting Factors'!$O$5</f>
        <v>59.7</v>
      </c>
      <c r="AM105" s="58">
        <f>CJ105/'Weighting Factors'!$O$5</f>
        <v>0</v>
      </c>
      <c r="AN105" s="58">
        <f>CN105/'Weighting Factors'!$O$5</f>
        <v>0</v>
      </c>
      <c r="AO105" s="24">
        <v>421374</v>
      </c>
      <c r="AP105" s="58">
        <f>AO105/'Weighting Factors'!$O$5</f>
        <v>82.8</v>
      </c>
      <c r="AQ105" s="58">
        <f>IF(ISNA(VLOOKUP($CW105,'Audit Values'!$A:$BX,2,FALSE)),'Preliminary SO66'!X104,VLOOKUP($CW105,'Audit Values'!$A:$BX,48,FALSE))</f>
        <v>0</v>
      </c>
      <c r="AR105" s="58">
        <f t="shared" si="94"/>
        <v>674.8</v>
      </c>
      <c r="AS105" s="58">
        <f t="shared" si="95"/>
        <v>592</v>
      </c>
      <c r="AT105" s="58">
        <f>IF(ISNA(VLOOKUP($CW105,'Audit Values'!$A$2:$BX$410,2,FALSE)),'Preliminary SO66'!AA104,VLOOKUP($CW105,'Audit Values'!$A$2:$BX$410,41,FALSE))</f>
        <v>0</v>
      </c>
      <c r="AU105" s="58">
        <f>IF(ISNA(VLOOKUP($CW105,'Audit Values'!$A$2:$BX$410,2,FALSE)),'Preliminary SO66'!AB104,VLOOKUP($CW105,'Audit Values'!$A$2:$BX$410,42,FALSE))</f>
        <v>0</v>
      </c>
      <c r="AV105" s="73">
        <v>0</v>
      </c>
      <c r="AW105" s="73">
        <v>0</v>
      </c>
      <c r="AX105" s="24">
        <f>SUM(AT105*'Weighting Factors'!$R$10)+('2024 Legal Max'!AU105*'Weighting Factors'!$R$11)+('2024 Legal Max'!AV105*'Weighting Factors'!$R$12)+('2024 Legal Max'!AW105*'Weighting Factors'!$R$12)</f>
        <v>0</v>
      </c>
      <c r="AY105" s="54">
        <f>IF(ISNA(VLOOKUP($CW105,'Audit Values'!$A$2:$BX$429,2,FALSE)),"",IF(AND('Weighting Factors'!G105&gt;0,VLOOKUP($CW105,'Audit Values'!$A$2:$BX$429,51,FALSE)&lt;'Weighting Factors'!G105),'Weighting Factors'!G105,VLOOKUP($CW105,'Audit Values'!$A$2:$BX$429,51,FALSE)))</f>
        <v>5</v>
      </c>
      <c r="AZ105" s="54" t="str">
        <f>IF(ISNA(VLOOKUP($CW105,'Audit Values'!$A:$BY,2,FALSE)),"",VLOOKUP($CW105,'Audit Values'!$A:$BY,52,FALSE))</f>
        <v>A</v>
      </c>
      <c r="BA105" s="54" t="str">
        <f>IF('Weighting Factors'!F105="","",IF('Weighting Factors'!H105="Pending","PX","R"))</f>
        <v/>
      </c>
      <c r="BB105" s="60">
        <f>SUM((U105+V105+AA105+AC105+AF105+AI105+AL105+AM105+AQ105+AN105)*'Weighting Factors'!$O$5)+'2024 Legal Max'!AX105</f>
        <v>3012096</v>
      </c>
      <c r="BC105" s="24">
        <f>SUM((AR105+AN105)*'Weighting Factors'!$O$5)+AX105</f>
        <v>3433382</v>
      </c>
      <c r="BD105" s="67">
        <f>IF('Weighting Factors'!F105&gt;0,'Weighting Factors'!F105,'Preliminary SO66'!AV104)</f>
        <v>3577882</v>
      </c>
      <c r="BE105" s="24">
        <f t="shared" si="102"/>
        <v>3433382</v>
      </c>
      <c r="BF105" s="71">
        <f>'Weighting Factors'!E105</f>
        <v>0</v>
      </c>
      <c r="BG105" s="71">
        <f>Transportation!G105</f>
        <v>-33065</v>
      </c>
      <c r="BH105" s="24">
        <f>IF(ISNA(VLOOKUP($CW105,'Audit Values'!$A:$BW,2,FALSE)), 0, VLOOKUP($CW105,'Audit Values'!$A:$BW,75,FALSE))</f>
        <v>0</v>
      </c>
      <c r="BI105" s="24">
        <f t="shared" si="103"/>
        <v>-33065</v>
      </c>
      <c r="BJ105" s="24">
        <f t="shared" si="104"/>
        <v>3400317</v>
      </c>
      <c r="BK105" s="24">
        <f>SUM((U105+V105+AA105+AC105+AF105+AI105+AL105+AM105+AN105)*'Weighting Factors'!O$12)+(MAX(AO105,'Weighting Factors'!B105))</f>
        <v>3474910</v>
      </c>
      <c r="BL105" s="78">
        <f>'LOB%'!F103</f>
        <v>0.31</v>
      </c>
      <c r="BM105" s="24">
        <f t="shared" si="75"/>
        <v>1077222</v>
      </c>
      <c r="BN105" s="67">
        <v>1122141</v>
      </c>
      <c r="BO105" s="24">
        <f t="shared" si="105"/>
        <v>1077222</v>
      </c>
      <c r="BP105" s="89">
        <f t="shared" si="76"/>
        <v>0.31</v>
      </c>
      <c r="BQ105" s="58">
        <f t="shared" si="77"/>
        <v>0</v>
      </c>
      <c r="BR105" s="1" t="b">
        <f t="shared" si="78"/>
        <v>0</v>
      </c>
      <c r="BS105" s="76">
        <f t="shared" si="79"/>
        <v>0</v>
      </c>
      <c r="BT105" s="75">
        <f t="shared" si="106"/>
        <v>0</v>
      </c>
      <c r="BU105" s="58">
        <f t="shared" si="80"/>
        <v>0</v>
      </c>
      <c r="BV105" s="1" t="b">
        <f t="shared" si="81"/>
        <v>1</v>
      </c>
      <c r="BW105" s="1">
        <f t="shared" si="82"/>
        <v>12.9938</v>
      </c>
      <c r="BX105" s="75">
        <f t="shared" si="107"/>
        <v>0.48061900000000002</v>
      </c>
      <c r="BY105" s="58">
        <f t="shared" si="83"/>
        <v>149.19999999999999</v>
      </c>
      <c r="BZ105" s="58">
        <f t="shared" si="84"/>
        <v>0</v>
      </c>
      <c r="CA105" s="61">
        <v>864</v>
      </c>
      <c r="CB105" s="102">
        <f t="shared" si="85"/>
        <v>0.23</v>
      </c>
      <c r="CC105" s="105">
        <f>IF(CB105&lt;0.06,1,IF(CB105&gt;=18.29,52,MATCH(CB105-0.001,'Weighting Factors'!$W$5:$W$156)+1))</f>
        <v>17</v>
      </c>
      <c r="CD105" s="24">
        <f>VLOOKUP(CC105, 'Weighting Factors'!$U$5:$X$56,4)</f>
        <v>1250</v>
      </c>
      <c r="CE105" s="109">
        <f>('Weighting Factors'!$O$5/'Weighting Factors'!$O$14)</f>
        <v>1.2216</v>
      </c>
      <c r="CF105" s="100">
        <f t="shared" si="86"/>
        <v>248750</v>
      </c>
      <c r="CG105" s="100">
        <f>CF105*'Weighting Factors'!$Q$7</f>
        <v>248750</v>
      </c>
      <c r="CH105" s="100">
        <f t="shared" si="108"/>
        <v>303873</v>
      </c>
      <c r="CI105" s="58">
        <f>AK105/'Weighting Factors'!$O$5</f>
        <v>59.7</v>
      </c>
      <c r="CJ105" s="67">
        <v>0</v>
      </c>
      <c r="CK105" s="80">
        <v>0</v>
      </c>
      <c r="CL105" s="110">
        <v>0</v>
      </c>
      <c r="CM105" s="24">
        <f>SUM((AR105*'Weighting Factors'!$O$5)+'2024 Legal Max'!AX105)*CL105</f>
        <v>0</v>
      </c>
      <c r="CN105" s="24">
        <f t="shared" si="109"/>
        <v>0</v>
      </c>
      <c r="CO105" s="65">
        <f t="shared" si="74"/>
        <v>0.40450000000000003</v>
      </c>
      <c r="CP105" s="58">
        <f t="shared" si="87"/>
        <v>0</v>
      </c>
      <c r="CQ105" s="58">
        <f t="shared" si="88"/>
        <v>4.8</v>
      </c>
      <c r="CR105" s="58">
        <f t="shared" si="89"/>
        <v>674.8</v>
      </c>
      <c r="CS105" s="24">
        <f>'Required Transfers'!L105</f>
        <v>96950</v>
      </c>
      <c r="CT105" s="24">
        <f>'Required Transfers'!O105</f>
        <v>0</v>
      </c>
      <c r="CU105" s="24">
        <f>'Required Transfers'!H105</f>
        <v>342931</v>
      </c>
      <c r="CV105" s="58">
        <f t="shared" si="90"/>
        <v>305.5</v>
      </c>
      <c r="CW105" s="27" t="s">
        <v>290</v>
      </c>
    </row>
    <row r="106" spans="1:101" ht="15" customHeight="1">
      <c r="A106" s="54">
        <v>303</v>
      </c>
      <c r="B106" s="1" t="s">
        <v>47</v>
      </c>
      <c r="C106" s="1" t="s">
        <v>611</v>
      </c>
      <c r="D106" s="58">
        <v>277.8</v>
      </c>
      <c r="E106" s="58"/>
      <c r="F106" s="58">
        <v>0</v>
      </c>
      <c r="G106" s="58">
        <f t="shared" si="91"/>
        <v>277.8</v>
      </c>
      <c r="H106" s="58">
        <v>269</v>
      </c>
      <c r="I106" s="58"/>
      <c r="J106" s="58">
        <v>0</v>
      </c>
      <c r="K106" s="58">
        <f t="shared" si="92"/>
        <v>269</v>
      </c>
      <c r="L106" s="1">
        <v>261.60000000000002</v>
      </c>
      <c r="N106" s="1">
        <v>0</v>
      </c>
      <c r="O106" s="58">
        <f t="shared" si="93"/>
        <v>261.60000000000002</v>
      </c>
      <c r="P106" s="58">
        <f>IF(ISNA(VLOOKUP($CW106,'Audit Values'!$A:$BZ,2,FALSE)),'Preliminary SO66'!C105,VLOOKUP($CW106,'Audit Values'!$A:$BZ,76,FALSE))</f>
        <v>250.5</v>
      </c>
      <c r="Q106" s="58">
        <f>IF(ISNA(VLOOKUP($CW106,'Audit Values'!$A:$BZ,2,FALSE)),'Preliminary SO66'!F105,VLOOKUP($CW106,'Audit Values'!$A:$BZ,4,FALSE))</f>
        <v>0</v>
      </c>
      <c r="R106" s="58">
        <f t="shared" si="97"/>
        <v>250.5</v>
      </c>
      <c r="S106" s="58">
        <f>IF('Military Provision'!I106="YES", MAX('2024 Legal Max'!O106,'2024 Legal Max'!K106,AVERAGE('2024 Legal Max'!G106,'2024 Legal Max'!K106,'2024 Legal Max'!O106)), MAX(O106, K106))</f>
        <v>269</v>
      </c>
      <c r="T106" s="58">
        <f>IF(ISNA(VLOOKUP($CW106,'Audit Values'!$A:$BX,2,FALSE)),'Preliminary SO66'!AL105,VLOOKUP($CW106,'Audit Values'!$A:$BX,59,FALSE))</f>
        <v>13.5</v>
      </c>
      <c r="U106" s="58">
        <f t="shared" si="98"/>
        <v>282.5</v>
      </c>
      <c r="V106" s="58">
        <f>'Low-High ENRL- 2023 HSubSB 113'!N109</f>
        <v>149.9</v>
      </c>
      <c r="W106" s="58">
        <f>IF(ISNA(VLOOKUP($CW106,'Audit Values'!$A:$BZ,2,FALSE)),'Preliminary SO66'!AM105,VLOOKUP($CW106,'Audit Values'!$A:$BZ,63,FALSE))</f>
        <v>49.6</v>
      </c>
      <c r="X106" s="58">
        <f>(W106/6)*'Weighting Factors'!$O$7</f>
        <v>3.3</v>
      </c>
      <c r="Y106" s="61">
        <f>IF(ISNA(VLOOKUP($CW106,'Audit Values'!$A:$BZ,2,FALSE)),'Preliminary SO66'!AN105,VLOOKUP($CW106,'Audit Values'!$A:$BZ,62,FALSE))</f>
        <v>29</v>
      </c>
      <c r="Z106" s="58">
        <f>Y106*'Weighting Factors'!$O$8</f>
        <v>5.4</v>
      </c>
      <c r="AA106" s="58">
        <f t="shared" si="99"/>
        <v>5.4</v>
      </c>
      <c r="AB106" s="106">
        <f>IF(ISNA(VLOOKUP($CW106,'Audit Values'!$A:$BZ,2,FALSE)),'Preliminary SO66'!AO105,VLOOKUP($CW106,'Audit Values'!$A:$BZ,61,FALSE))</f>
        <v>86.2</v>
      </c>
      <c r="AC106" s="58">
        <f>AB106/6*'Weighting Factors'!$O$6</f>
        <v>7.2</v>
      </c>
      <c r="AD106" s="24">
        <f>IF(ISNA(VLOOKUP($CW106,'Audit Values'!$A:$BX,2,FALSE)),'Preliminary SO66'!AS105,VLOOKUP($CW106,'Audit Values'!$A:$BX,64,FALSE))</f>
        <v>280</v>
      </c>
      <c r="AE106" s="24">
        <f>IF(ISNA(VLOOKUP($CW106,'Audit Values'!$A:$BX,2,FALSE)),'Preliminary SO66'!AP105,VLOOKUP($CW106,'Audit Values'!$A:$BX,65,FALSE))</f>
        <v>86</v>
      </c>
      <c r="AF106" s="58">
        <f>IF(A106=207, AE106,(AE106))*'Weighting Factors'!$O$9</f>
        <v>41.6</v>
      </c>
      <c r="AG106" s="58">
        <f t="shared" si="96"/>
        <v>0</v>
      </c>
      <c r="AH106" s="58">
        <f>IF(ISNA(VLOOKUP($CW106,'Audit Values'!$A:$BZ,2,FALSE)),'Preliminary SO66'!AG105,VLOOKUP($CW106,'Audit Values'!$A:$BZ,71,FALSE))</f>
        <v>1.1000000000000001</v>
      </c>
      <c r="AI106" s="58">
        <f t="shared" si="100"/>
        <v>1.1000000000000001</v>
      </c>
      <c r="AJ106" s="58">
        <f>IF(ISNA(VLOOKUP($CW106,'Audit Values'!$A:$BX,2,FALSE)),'Preliminary SO66'!AR105,VLOOKUP($CW106,'Audit Values'!$A:$BX,66,FALSE))</f>
        <v>22.5</v>
      </c>
      <c r="AK106" s="24">
        <f t="shared" si="101"/>
        <v>44527</v>
      </c>
      <c r="AL106" s="58">
        <f>AK106/'Weighting Factors'!$O$5</f>
        <v>8.8000000000000007</v>
      </c>
      <c r="AM106" s="58">
        <f>CJ106/'Weighting Factors'!$O$5</f>
        <v>0</v>
      </c>
      <c r="AN106" s="58">
        <f>CN106/'Weighting Factors'!$O$5</f>
        <v>0</v>
      </c>
      <c r="AO106" s="24">
        <v>221166</v>
      </c>
      <c r="AP106" s="58">
        <f>AO106/'Weighting Factors'!$O$5</f>
        <v>43.5</v>
      </c>
      <c r="AQ106" s="58">
        <f>IF(ISNA(VLOOKUP($CW106,'Audit Values'!$A:$BX,2,FALSE)),'Preliminary SO66'!X105,VLOOKUP($CW106,'Audit Values'!$A:$BX,48,FALSE))</f>
        <v>0</v>
      </c>
      <c r="AR106" s="58">
        <f t="shared" si="94"/>
        <v>540</v>
      </c>
      <c r="AS106" s="58">
        <f t="shared" si="95"/>
        <v>496.5</v>
      </c>
      <c r="AT106" s="58">
        <f>IF(ISNA(VLOOKUP($CW106,'Audit Values'!$A$2:$BX$410,2,FALSE)),'Preliminary SO66'!AA105,VLOOKUP($CW106,'Audit Values'!$A$2:$BX$410,41,FALSE))</f>
        <v>0</v>
      </c>
      <c r="AU106" s="58">
        <f>IF(ISNA(VLOOKUP($CW106,'Audit Values'!$A$2:$BX$410,2,FALSE)),'Preliminary SO66'!AB105,VLOOKUP($CW106,'Audit Values'!$A$2:$BX$410,42,FALSE))</f>
        <v>0</v>
      </c>
      <c r="AV106" s="73">
        <v>0</v>
      </c>
      <c r="AW106" s="73">
        <v>0</v>
      </c>
      <c r="AX106" s="24">
        <f>SUM(AT106*'Weighting Factors'!$R$10)+('2024 Legal Max'!AU106*'Weighting Factors'!$R$11)+('2024 Legal Max'!AV106*'Weighting Factors'!$R$12)+('2024 Legal Max'!AW106*'Weighting Factors'!$R$12)</f>
        <v>0</v>
      </c>
      <c r="AY106" s="54">
        <f>IF(ISNA(VLOOKUP($CW106,'Audit Values'!$A$2:$BX$429,2,FALSE)),"",IF(AND('Weighting Factors'!G106&gt;0,VLOOKUP($CW106,'Audit Values'!$A$2:$BX$429,51,FALSE)&lt;'Weighting Factors'!G106),'Weighting Factors'!G106,VLOOKUP($CW106,'Audit Values'!$A$2:$BX$429,51,FALSE)))</f>
        <v>2</v>
      </c>
      <c r="AZ106" s="54" t="str">
        <f>IF(ISNA(VLOOKUP($CW106,'Audit Values'!$A:$BY,2,FALSE)),"",VLOOKUP($CW106,'Audit Values'!$A:$BY,52,FALSE))</f>
        <v>A</v>
      </c>
      <c r="BA106" s="54" t="str">
        <f>IF('Weighting Factors'!F106="","",IF('Weighting Factors'!H106="Pending","PX","R"))</f>
        <v/>
      </c>
      <c r="BB106" s="60">
        <f>SUM((U106+V106+AA106+AC106+AF106+AI106+AL106+AM106+AQ106+AN106)*'Weighting Factors'!$O$5)+'2024 Legal Max'!AX106</f>
        <v>2526192</v>
      </c>
      <c r="BC106" s="24">
        <f>SUM((AR106+AN106)*'Weighting Factors'!$O$5)+AX106</f>
        <v>2747520</v>
      </c>
      <c r="BD106" s="67">
        <f>IF('Weighting Factors'!F106&gt;0,'Weighting Factors'!F106,'Preliminary SO66'!AV105)</f>
        <v>3036518</v>
      </c>
      <c r="BE106" s="24">
        <f t="shared" si="102"/>
        <v>2747520</v>
      </c>
      <c r="BF106" s="71">
        <f>'Weighting Factors'!E106</f>
        <v>0</v>
      </c>
      <c r="BG106" s="71">
        <f>Transportation!G106</f>
        <v>0</v>
      </c>
      <c r="BH106" s="24">
        <f>IF(ISNA(VLOOKUP($CW106,'Audit Values'!$A:$BW,2,FALSE)), 0, VLOOKUP($CW106,'Audit Values'!$A:$BW,75,FALSE))</f>
        <v>0</v>
      </c>
      <c r="BI106" s="24">
        <f t="shared" si="103"/>
        <v>0</v>
      </c>
      <c r="BJ106" s="24">
        <f t="shared" si="104"/>
        <v>2747520</v>
      </c>
      <c r="BK106" s="24">
        <f>SUM((U106+V106+AA106+AC106+AF106+AI106+AL106+AM106+AN106)*'Weighting Factors'!O$12)+(MAX(AO106,'Weighting Factors'!B106))</f>
        <v>2790688</v>
      </c>
      <c r="BL106" s="78">
        <f>'LOB%'!F104</f>
        <v>0.316</v>
      </c>
      <c r="BM106" s="24">
        <f t="shared" si="75"/>
        <v>881857</v>
      </c>
      <c r="BN106" s="67">
        <v>910000</v>
      </c>
      <c r="BO106" s="24">
        <f t="shared" si="105"/>
        <v>881857</v>
      </c>
      <c r="BP106" s="89">
        <f t="shared" si="76"/>
        <v>0.316</v>
      </c>
      <c r="BQ106" s="58">
        <f t="shared" si="77"/>
        <v>0</v>
      </c>
      <c r="BR106" s="1" t="b">
        <f t="shared" si="78"/>
        <v>1</v>
      </c>
      <c r="BS106" s="76">
        <f t="shared" si="79"/>
        <v>1762.038</v>
      </c>
      <c r="BT106" s="75">
        <f t="shared" si="106"/>
        <v>0.53057399999999999</v>
      </c>
      <c r="BU106" s="58">
        <f t="shared" si="80"/>
        <v>149.9</v>
      </c>
      <c r="BV106" s="1" t="b">
        <f t="shared" si="81"/>
        <v>0</v>
      </c>
      <c r="BW106" s="1">
        <f t="shared" si="82"/>
        <v>0</v>
      </c>
      <c r="BX106" s="75">
        <f t="shared" si="107"/>
        <v>0</v>
      </c>
      <c r="BY106" s="58">
        <f t="shared" si="83"/>
        <v>0</v>
      </c>
      <c r="BZ106" s="58">
        <f t="shared" si="84"/>
        <v>0</v>
      </c>
      <c r="CA106" s="61">
        <v>517.79999999999995</v>
      </c>
      <c r="CB106" s="102">
        <f t="shared" si="85"/>
        <v>4.2999999999999997E-2</v>
      </c>
      <c r="CC106" s="105">
        <f>IF(CB106&lt;0.06,1,IF(CB106&gt;=18.29,52,MATCH(CB106-0.001,'Weighting Factors'!$W$5:$W$156)+1))</f>
        <v>1</v>
      </c>
      <c r="CD106" s="24">
        <f>VLOOKUP(CC106, 'Weighting Factors'!$U$5:$X$56,4)</f>
        <v>1620</v>
      </c>
      <c r="CE106" s="109">
        <f>('Weighting Factors'!$O$5/'Weighting Factors'!$O$14)</f>
        <v>1.2216</v>
      </c>
      <c r="CF106" s="100">
        <f t="shared" si="86"/>
        <v>36450</v>
      </c>
      <c r="CG106" s="100">
        <f>CF106*'Weighting Factors'!$Q$7</f>
        <v>36450</v>
      </c>
      <c r="CH106" s="100">
        <f t="shared" si="108"/>
        <v>44527</v>
      </c>
      <c r="CI106" s="58">
        <f>AK106/'Weighting Factors'!$O$5</f>
        <v>8.8000000000000007</v>
      </c>
      <c r="CJ106" s="67">
        <v>0</v>
      </c>
      <c r="CK106" s="80">
        <v>0</v>
      </c>
      <c r="CL106" s="110">
        <v>0</v>
      </c>
      <c r="CM106" s="24">
        <f>SUM((AR106*'Weighting Factors'!$O$5)+'2024 Legal Max'!AX106)*CL106</f>
        <v>0</v>
      </c>
      <c r="CN106" s="24">
        <f t="shared" si="109"/>
        <v>0</v>
      </c>
      <c r="CO106" s="65">
        <f t="shared" si="74"/>
        <v>0.30709999999999998</v>
      </c>
      <c r="CP106" s="58">
        <f t="shared" si="87"/>
        <v>0</v>
      </c>
      <c r="CQ106" s="58">
        <f t="shared" si="88"/>
        <v>0</v>
      </c>
      <c r="CR106" s="58">
        <f t="shared" si="89"/>
        <v>540</v>
      </c>
      <c r="CS106" s="24">
        <f>'Required Transfers'!L106</f>
        <v>69667</v>
      </c>
      <c r="CT106" s="24">
        <f>'Required Transfers'!O106</f>
        <v>9083</v>
      </c>
      <c r="CU106" s="24">
        <f>'Required Transfers'!H106</f>
        <v>217258</v>
      </c>
      <c r="CV106" s="58">
        <f t="shared" si="90"/>
        <v>264</v>
      </c>
      <c r="CW106" s="27" t="s">
        <v>291</v>
      </c>
    </row>
    <row r="107" spans="1:101" ht="15" customHeight="1">
      <c r="A107" s="54">
        <v>305</v>
      </c>
      <c r="B107" s="1" t="s">
        <v>48</v>
      </c>
      <c r="C107" s="1" t="s">
        <v>612</v>
      </c>
      <c r="D107" s="58">
        <v>6672.6</v>
      </c>
      <c r="E107" s="58">
        <v>4</v>
      </c>
      <c r="F107" s="58">
        <v>0</v>
      </c>
      <c r="G107" s="58">
        <f t="shared" si="91"/>
        <v>6668.6</v>
      </c>
      <c r="H107" s="58">
        <v>6518.2</v>
      </c>
      <c r="I107" s="58">
        <v>1</v>
      </c>
      <c r="J107" s="58">
        <v>0</v>
      </c>
      <c r="K107" s="58">
        <f t="shared" si="92"/>
        <v>6517.2</v>
      </c>
      <c r="L107" s="1">
        <v>6517.4</v>
      </c>
      <c r="N107" s="1">
        <v>0</v>
      </c>
      <c r="O107" s="58">
        <f t="shared" si="93"/>
        <v>6517.4</v>
      </c>
      <c r="P107" s="58">
        <f>IF(ISNA(VLOOKUP($CW107,'Audit Values'!$A:$BZ,2,FALSE)),'Preliminary SO66'!C106,VLOOKUP($CW107,'Audit Values'!$A:$BZ,76,FALSE))</f>
        <v>6444.9</v>
      </c>
      <c r="Q107" s="58">
        <f>IF(ISNA(VLOOKUP($CW107,'Audit Values'!$A:$BZ,2,FALSE)),'Preliminary SO66'!F106,VLOOKUP($CW107,'Audit Values'!$A:$BZ,4,FALSE))</f>
        <v>0</v>
      </c>
      <c r="R107" s="58">
        <f t="shared" si="97"/>
        <v>6444.9</v>
      </c>
      <c r="S107" s="58">
        <f>IF('Military Provision'!I107="YES", MAX('2024 Legal Max'!O107,'2024 Legal Max'!K107,AVERAGE('2024 Legal Max'!G107,'2024 Legal Max'!K107,'2024 Legal Max'!O107)), MAX(O107, K107))</f>
        <v>6517.4</v>
      </c>
      <c r="T107" s="58">
        <f>IF(ISNA(VLOOKUP($CW107,'Audit Values'!$A:$BX,2,FALSE)),'Preliminary SO66'!AL106,VLOOKUP($CW107,'Audit Values'!$A:$BX,59,FALSE))</f>
        <v>69.5</v>
      </c>
      <c r="U107" s="58">
        <f t="shared" si="98"/>
        <v>6586.9</v>
      </c>
      <c r="V107" s="58">
        <f>'Low-High ENRL- 2023 HSubSB 113'!N110</f>
        <v>230.8</v>
      </c>
      <c r="W107" s="58">
        <f>IF(ISNA(VLOOKUP($CW107,'Audit Values'!$A:$BZ,2,FALSE)),'Preliminary SO66'!AM106,VLOOKUP($CW107,'Audit Values'!$A:$BZ,63,FALSE))</f>
        <v>1527.1</v>
      </c>
      <c r="X107" s="58">
        <f>(W107/6)*'Weighting Factors'!$O$7</f>
        <v>100.5</v>
      </c>
      <c r="Y107" s="61">
        <f>IF(ISNA(VLOOKUP($CW107,'Audit Values'!$A:$BZ,2,FALSE)),'Preliminary SO66'!AN106,VLOOKUP($CW107,'Audit Values'!$A:$BZ,62,FALSE))</f>
        <v>559</v>
      </c>
      <c r="Z107" s="58">
        <f>Y107*'Weighting Factors'!$O$8</f>
        <v>103.4</v>
      </c>
      <c r="AA107" s="58">
        <f t="shared" si="99"/>
        <v>103.4</v>
      </c>
      <c r="AB107" s="106">
        <f>IF(ISNA(VLOOKUP($CW107,'Audit Values'!$A:$BZ,2,FALSE)),'Preliminary SO66'!AO106,VLOOKUP($CW107,'Audit Values'!$A:$BZ,61,FALSE))</f>
        <v>1679</v>
      </c>
      <c r="AC107" s="58">
        <f>AB107/6*'Weighting Factors'!$O$6</f>
        <v>139.9</v>
      </c>
      <c r="AD107" s="24">
        <f>IF(ISNA(VLOOKUP($CW107,'Audit Values'!$A:$BX,2,FALSE)),'Preliminary SO66'!AS106,VLOOKUP($CW107,'Audit Values'!$A:$BX,64,FALSE))</f>
        <v>6686</v>
      </c>
      <c r="AE107" s="24">
        <f>IF(ISNA(VLOOKUP($CW107,'Audit Values'!$A:$BX,2,FALSE)),'Preliminary SO66'!AP106,VLOOKUP($CW107,'Audit Values'!$A:$BX,65,FALSE))</f>
        <v>3456</v>
      </c>
      <c r="AF107" s="58">
        <f>IF(A107=207, AE107,(AE107))*'Weighting Factors'!$O$9</f>
        <v>1672.7</v>
      </c>
      <c r="AG107" s="58">
        <f t="shared" si="96"/>
        <v>362.9</v>
      </c>
      <c r="AH107" s="58">
        <f>IF(ISNA(VLOOKUP($CW107,'Audit Values'!$A:$BZ,2,FALSE)),'Preliminary SO66'!AG106,VLOOKUP($CW107,'Audit Values'!$A:$BZ,71,FALSE))</f>
        <v>291.7</v>
      </c>
      <c r="AI107" s="58">
        <f t="shared" si="100"/>
        <v>362.9</v>
      </c>
      <c r="AJ107" s="58">
        <f>IF(ISNA(VLOOKUP($CW107,'Audit Values'!$A:$BX,2,FALSE)),'Preliminary SO66'!AR106,VLOOKUP($CW107,'Audit Values'!$A:$BX,66,FALSE))</f>
        <v>1243</v>
      </c>
      <c r="AK107" s="24">
        <f t="shared" si="101"/>
        <v>895885</v>
      </c>
      <c r="AL107" s="58">
        <f>AK107/'Weighting Factors'!$O$5</f>
        <v>176.1</v>
      </c>
      <c r="AM107" s="58">
        <f>CJ107/'Weighting Factors'!$O$5</f>
        <v>0</v>
      </c>
      <c r="AN107" s="58">
        <f>CN107/'Weighting Factors'!$O$5</f>
        <v>0</v>
      </c>
      <c r="AO107" s="24">
        <v>8046984</v>
      </c>
      <c r="AP107" s="58">
        <f>AO107/'Weighting Factors'!$O$5</f>
        <v>1581.6</v>
      </c>
      <c r="AQ107" s="58">
        <f>IF(ISNA(VLOOKUP($CW107,'Audit Values'!$A:$BX,2,FALSE)),'Preliminary SO66'!X106,VLOOKUP($CW107,'Audit Values'!$A:$BX,48,FALSE))</f>
        <v>1</v>
      </c>
      <c r="AR107" s="58">
        <f t="shared" si="94"/>
        <v>10855.3</v>
      </c>
      <c r="AS107" s="58">
        <f t="shared" si="95"/>
        <v>9273.7000000000007</v>
      </c>
      <c r="AT107" s="58">
        <f>IF(ISNA(VLOOKUP($CW107,'Audit Values'!$A$2:$BX$410,2,FALSE)),'Preliminary SO66'!AA106,VLOOKUP($CW107,'Audit Values'!$A$2:$BX$410,41,FALSE))</f>
        <v>40</v>
      </c>
      <c r="AU107" s="58">
        <f>IF(ISNA(VLOOKUP($CW107,'Audit Values'!$A$2:$BX$410,2,FALSE)),'Preliminary SO66'!AB106,VLOOKUP($CW107,'Audit Values'!$A$2:$BX$410,42,FALSE))</f>
        <v>10.199999999999999</v>
      </c>
      <c r="AV107" s="73">
        <v>18</v>
      </c>
      <c r="AW107" s="73">
        <v>0</v>
      </c>
      <c r="AX107" s="24">
        <f>SUM(AT107*'Weighting Factors'!$R$10)+('2024 Legal Max'!AU107*'Weighting Factors'!$R$11)+('2024 Legal Max'!AV107*'Weighting Factors'!$R$12)+('2024 Legal Max'!AW107*'Weighting Factors'!$R$12)</f>
        <v>265322</v>
      </c>
      <c r="AY107" s="54">
        <f>IF(ISNA(VLOOKUP($CW107,'Audit Values'!$A$2:$BX$429,2,FALSE)),"",IF(AND('Weighting Factors'!G107&gt;0,VLOOKUP($CW107,'Audit Values'!$A$2:$BX$429,51,FALSE)&lt;'Weighting Factors'!G107),'Weighting Factors'!G107,VLOOKUP($CW107,'Audit Values'!$A$2:$BX$429,51,FALSE)))</f>
        <v>18</v>
      </c>
      <c r="AZ107" s="54" t="str">
        <f>IF(ISNA(VLOOKUP($CW107,'Audit Values'!$A:$BY,2,FALSE)),"",VLOOKUP($CW107,'Audit Values'!$A:$BY,52,FALSE))</f>
        <v>A</v>
      </c>
      <c r="BA107" s="54" t="str">
        <f>IF('Weighting Factors'!F107="","",IF('Weighting Factors'!H107="Pending","PX","R"))</f>
        <v/>
      </c>
      <c r="BB107" s="60">
        <f>SUM((U107+V107+AA107+AC107+AF107+AI107+AL107+AM107+AQ107+AN107)*'Weighting Factors'!$O$5)+'2024 Legal Max'!AX107</f>
        <v>47449908</v>
      </c>
      <c r="BC107" s="24">
        <f>SUM((AR107+AN107)*'Weighting Factors'!$O$5)+AX107</f>
        <v>55497088</v>
      </c>
      <c r="BD107" s="67">
        <f>IF('Weighting Factors'!F107&gt;0,'Weighting Factors'!F107,'Preliminary SO66'!AV106)</f>
        <v>56866714</v>
      </c>
      <c r="BE107" s="24">
        <f t="shared" si="102"/>
        <v>55497088</v>
      </c>
      <c r="BF107" s="71">
        <f>'Weighting Factors'!E107</f>
        <v>0</v>
      </c>
      <c r="BG107" s="71">
        <f>Transportation!G107</f>
        <v>0</v>
      </c>
      <c r="BH107" s="24">
        <f>IF(ISNA(VLOOKUP($CW107,'Audit Values'!$A:$BW,2,FALSE)), 0, VLOOKUP($CW107,'Audit Values'!$A:$BW,75,FALSE))</f>
        <v>-16989</v>
      </c>
      <c r="BI107" s="24">
        <f t="shared" si="103"/>
        <v>-16989</v>
      </c>
      <c r="BJ107" s="24">
        <f t="shared" si="104"/>
        <v>55480099</v>
      </c>
      <c r="BK107" s="24">
        <f>SUM((U107+V107+AA107+AC107+AF107+AI107+AL107+AM107+AN107)*'Weighting Factors'!O$12)+(MAX(AO107,'Weighting Factors'!B107))</f>
        <v>55875571</v>
      </c>
      <c r="BL107" s="78">
        <f>'LOB%'!F105</f>
        <v>0.33</v>
      </c>
      <c r="BM107" s="24">
        <f t="shared" si="75"/>
        <v>18438938</v>
      </c>
      <c r="BN107" s="67">
        <v>18835966</v>
      </c>
      <c r="BO107" s="24">
        <f t="shared" si="105"/>
        <v>18438938</v>
      </c>
      <c r="BP107" s="89">
        <f t="shared" si="76"/>
        <v>0.33</v>
      </c>
      <c r="BQ107" s="58">
        <f t="shared" si="77"/>
        <v>0</v>
      </c>
      <c r="BR107" s="1" t="b">
        <f t="shared" si="78"/>
        <v>0</v>
      </c>
      <c r="BS107" s="76">
        <f t="shared" si="79"/>
        <v>0</v>
      </c>
      <c r="BT107" s="75">
        <f t="shared" si="106"/>
        <v>0</v>
      </c>
      <c r="BU107" s="58">
        <f t="shared" si="80"/>
        <v>0</v>
      </c>
      <c r="BV107" s="1" t="b">
        <f t="shared" si="81"/>
        <v>0</v>
      </c>
      <c r="BW107" s="1">
        <f t="shared" si="82"/>
        <v>0</v>
      </c>
      <c r="BX107" s="75">
        <f t="shared" si="107"/>
        <v>0</v>
      </c>
      <c r="BY107" s="58">
        <f t="shared" si="83"/>
        <v>0</v>
      </c>
      <c r="BZ107" s="58">
        <f t="shared" si="84"/>
        <v>230.8</v>
      </c>
      <c r="CA107" s="61">
        <v>93</v>
      </c>
      <c r="CB107" s="102">
        <f t="shared" si="85"/>
        <v>13.366</v>
      </c>
      <c r="CC107" s="105">
        <f>IF(CB107&lt;0.06,1,IF(CB107&gt;=18.29,52,MATCH(CB107-0.001,'Weighting Factors'!$W$5:$W$156)+1))</f>
        <v>50</v>
      </c>
      <c r="CD107" s="24">
        <f>VLOOKUP(CC107, 'Weighting Factors'!$U$5:$X$56,4)</f>
        <v>590</v>
      </c>
      <c r="CE107" s="109">
        <f>('Weighting Factors'!$O$5/'Weighting Factors'!$O$14)</f>
        <v>1.2216</v>
      </c>
      <c r="CF107" s="100">
        <f t="shared" si="86"/>
        <v>733370</v>
      </c>
      <c r="CG107" s="100">
        <f>CF107*'Weighting Factors'!$Q$7</f>
        <v>733370</v>
      </c>
      <c r="CH107" s="100">
        <f t="shared" si="108"/>
        <v>895885</v>
      </c>
      <c r="CI107" s="58">
        <f>AK107/'Weighting Factors'!$O$5</f>
        <v>176.1</v>
      </c>
      <c r="CJ107" s="67">
        <v>0</v>
      </c>
      <c r="CK107" s="80">
        <v>0</v>
      </c>
      <c r="CL107" s="110">
        <v>0</v>
      </c>
      <c r="CM107" s="24">
        <f>SUM((AR107*'Weighting Factors'!$O$5)+'2024 Legal Max'!AX107)*CL107</f>
        <v>0</v>
      </c>
      <c r="CN107" s="24">
        <f t="shared" si="109"/>
        <v>0</v>
      </c>
      <c r="CO107" s="65">
        <f t="shared" si="74"/>
        <v>0.51690000000000003</v>
      </c>
      <c r="CP107" s="58">
        <f t="shared" si="87"/>
        <v>362.9</v>
      </c>
      <c r="CQ107" s="58">
        <f t="shared" si="88"/>
        <v>0</v>
      </c>
      <c r="CR107" s="58">
        <f t="shared" si="89"/>
        <v>10855.3</v>
      </c>
      <c r="CS107" s="24">
        <f>'Required Transfers'!L107</f>
        <v>2859879</v>
      </c>
      <c r="CT107" s="24">
        <f>'Required Transfers'!O107</f>
        <v>177014</v>
      </c>
      <c r="CU107" s="24">
        <f>'Required Transfers'!H107</f>
        <v>10357133</v>
      </c>
      <c r="CV107" s="58">
        <f t="shared" si="90"/>
        <v>6567.6</v>
      </c>
      <c r="CW107" s="27" t="s">
        <v>292</v>
      </c>
    </row>
    <row r="108" spans="1:101" ht="15" customHeight="1">
      <c r="A108" s="54">
        <v>306</v>
      </c>
      <c r="B108" s="1" t="s">
        <v>48</v>
      </c>
      <c r="C108" s="1" t="s">
        <v>613</v>
      </c>
      <c r="D108" s="58">
        <v>644</v>
      </c>
      <c r="E108" s="58"/>
      <c r="F108" s="58">
        <v>0</v>
      </c>
      <c r="G108" s="58">
        <f t="shared" si="91"/>
        <v>644</v>
      </c>
      <c r="H108" s="58">
        <v>676.2</v>
      </c>
      <c r="I108" s="58"/>
      <c r="J108" s="58">
        <v>0</v>
      </c>
      <c r="K108" s="58">
        <f t="shared" si="92"/>
        <v>676.2</v>
      </c>
      <c r="L108" s="1">
        <v>678.5</v>
      </c>
      <c r="N108" s="1">
        <v>0</v>
      </c>
      <c r="O108" s="58">
        <f t="shared" si="93"/>
        <v>678.5</v>
      </c>
      <c r="P108" s="58">
        <f>IF(ISNA(VLOOKUP($CW108,'Audit Values'!$A:$BZ,2,FALSE)),'Preliminary SO66'!C107,VLOOKUP($CW108,'Audit Values'!$A:$BZ,76,FALSE))</f>
        <v>667.5</v>
      </c>
      <c r="Q108" s="58">
        <f>IF(ISNA(VLOOKUP($CW108,'Audit Values'!$A:$BZ,2,FALSE)),'Preliminary SO66'!F107,VLOOKUP($CW108,'Audit Values'!$A:$BZ,4,FALSE))</f>
        <v>0</v>
      </c>
      <c r="R108" s="58">
        <f t="shared" si="97"/>
        <v>667.5</v>
      </c>
      <c r="S108" s="58">
        <f>IF('Military Provision'!I108="YES", MAX('2024 Legal Max'!O108,'2024 Legal Max'!K108,AVERAGE('2024 Legal Max'!G108,'2024 Legal Max'!K108,'2024 Legal Max'!O108)), MAX(O108, K108))</f>
        <v>678.5</v>
      </c>
      <c r="T108" s="58">
        <f>IF(ISNA(VLOOKUP($CW108,'Audit Values'!$A:$BX,2,FALSE)),'Preliminary SO66'!AL107,VLOOKUP($CW108,'Audit Values'!$A:$BX,59,FALSE))</f>
        <v>0</v>
      </c>
      <c r="U108" s="58">
        <f t="shared" si="98"/>
        <v>678.5</v>
      </c>
      <c r="V108" s="58">
        <f>'Low-High ENRL- 2023 HSubSB 113'!N111</f>
        <v>241.3</v>
      </c>
      <c r="W108" s="58">
        <f>IF(ISNA(VLOOKUP($CW108,'Audit Values'!$A:$BZ,2,FALSE)),'Preliminary SO66'!AM107,VLOOKUP($CW108,'Audit Values'!$A:$BZ,63,FALSE))</f>
        <v>0</v>
      </c>
      <c r="X108" s="58">
        <f>(W108/6)*'Weighting Factors'!$O$7</f>
        <v>0</v>
      </c>
      <c r="Y108" s="61">
        <f>IF(ISNA(VLOOKUP($CW108,'Audit Values'!$A:$BZ,2,FALSE)),'Preliminary SO66'!AN107,VLOOKUP($CW108,'Audit Values'!$A:$BZ,62,FALSE))</f>
        <v>0</v>
      </c>
      <c r="Z108" s="58">
        <f>Y108*'Weighting Factors'!$O$8</f>
        <v>0</v>
      </c>
      <c r="AA108" s="58">
        <f t="shared" si="99"/>
        <v>0</v>
      </c>
      <c r="AB108" s="106">
        <f>IF(ISNA(VLOOKUP($CW108,'Audit Values'!$A:$BZ,2,FALSE)),'Preliminary SO66'!AO107,VLOOKUP($CW108,'Audit Values'!$A:$BZ,61,FALSE))</f>
        <v>207.6</v>
      </c>
      <c r="AC108" s="58">
        <f>AB108/6*'Weighting Factors'!$O$6</f>
        <v>17.3</v>
      </c>
      <c r="AD108" s="24">
        <f>IF(ISNA(VLOOKUP($CW108,'Audit Values'!$A:$BX,2,FALSE)),'Preliminary SO66'!AS107,VLOOKUP($CW108,'Audit Values'!$A:$BX,64,FALSE))</f>
        <v>672</v>
      </c>
      <c r="AE108" s="24">
        <f>IF(ISNA(VLOOKUP($CW108,'Audit Values'!$A:$BX,2,FALSE)),'Preliminary SO66'!AP107,VLOOKUP($CW108,'Audit Values'!$A:$BX,65,FALSE))</f>
        <v>153</v>
      </c>
      <c r="AF108" s="58">
        <f>IF(A108=207, AE108,(AE108))*'Weighting Factors'!$O$9</f>
        <v>74.099999999999994</v>
      </c>
      <c r="AG108" s="58">
        <f t="shared" si="96"/>
        <v>0</v>
      </c>
      <c r="AH108" s="58">
        <f>IF(ISNA(VLOOKUP($CW108,'Audit Values'!$A:$BZ,2,FALSE)),'Preliminary SO66'!AG107,VLOOKUP($CW108,'Audit Values'!$A:$BZ,71,FALSE))</f>
        <v>0</v>
      </c>
      <c r="AI108" s="58">
        <f t="shared" si="100"/>
        <v>0</v>
      </c>
      <c r="AJ108" s="58">
        <f>IF(ISNA(VLOOKUP($CW108,'Audit Values'!$A:$BX,2,FALSE)),'Preliminary SO66'!AR107,VLOOKUP($CW108,'Audit Values'!$A:$BX,66,FALSE))</f>
        <v>449</v>
      </c>
      <c r="AK108" s="24">
        <f t="shared" si="101"/>
        <v>455254</v>
      </c>
      <c r="AL108" s="58">
        <f>AK108/'Weighting Factors'!$O$5</f>
        <v>89.5</v>
      </c>
      <c r="AM108" s="58">
        <f>CJ108/'Weighting Factors'!$O$5</f>
        <v>0</v>
      </c>
      <c r="AN108" s="58">
        <f>CN108/'Weighting Factors'!$O$5</f>
        <v>0</v>
      </c>
      <c r="AO108" s="24">
        <v>700554</v>
      </c>
      <c r="AP108" s="58">
        <f>AO108/'Weighting Factors'!$O$5</f>
        <v>137.69999999999999</v>
      </c>
      <c r="AQ108" s="58">
        <f>IF(ISNA(VLOOKUP($CW108,'Audit Values'!$A:$BX,2,FALSE)),'Preliminary SO66'!X107,VLOOKUP($CW108,'Audit Values'!$A:$BX,48,FALSE))</f>
        <v>0</v>
      </c>
      <c r="AR108" s="58">
        <f t="shared" si="94"/>
        <v>1238.4000000000001</v>
      </c>
      <c r="AS108" s="58">
        <f t="shared" si="95"/>
        <v>1100.7</v>
      </c>
      <c r="AT108" s="58">
        <f>IF(ISNA(VLOOKUP($CW108,'Audit Values'!$A$2:$BX$410,2,FALSE)),'Preliminary SO66'!AA107,VLOOKUP($CW108,'Audit Values'!$A$2:$BX$410,41,FALSE))</f>
        <v>0</v>
      </c>
      <c r="AU108" s="58">
        <f>IF(ISNA(VLOOKUP($CW108,'Audit Values'!$A$2:$BX$410,2,FALSE)),'Preliminary SO66'!AB107,VLOOKUP($CW108,'Audit Values'!$A$2:$BX$410,42,FALSE))</f>
        <v>0</v>
      </c>
      <c r="AV108" s="73">
        <v>0</v>
      </c>
      <c r="AW108" s="73">
        <v>0</v>
      </c>
      <c r="AX108" s="24">
        <f>SUM(AT108*'Weighting Factors'!$R$10)+('2024 Legal Max'!AU108*'Weighting Factors'!$R$11)+('2024 Legal Max'!AV108*'Weighting Factors'!$R$12)+('2024 Legal Max'!AW108*'Weighting Factors'!$R$12)</f>
        <v>0</v>
      </c>
      <c r="AY108" s="54">
        <f>IF(ISNA(VLOOKUP($CW108,'Audit Values'!$A$2:$BX$429,2,FALSE)),"",IF(AND('Weighting Factors'!G108&gt;0,VLOOKUP($CW108,'Audit Values'!$A$2:$BX$429,51,FALSE)&lt;'Weighting Factors'!G108),'Weighting Factors'!G108,VLOOKUP($CW108,'Audit Values'!$A$2:$BX$429,51,FALSE)))</f>
        <v>11</v>
      </c>
      <c r="AZ108" s="54" t="str">
        <f>IF(ISNA(VLOOKUP($CW108,'Audit Values'!$A:$BY,2,FALSE)),"",VLOOKUP($CW108,'Audit Values'!$A:$BY,52,FALSE))</f>
        <v>A</v>
      </c>
      <c r="BA108" s="54" t="str">
        <f>IF('Weighting Factors'!F108="","",IF('Weighting Factors'!H108="Pending","PX","R"))</f>
        <v/>
      </c>
      <c r="BB108" s="60">
        <f>SUM((U108+V108+AA108+AC108+AF108+AI108+AL108+AM108+AQ108+AN108)*'Weighting Factors'!$O$5)+'2024 Legal Max'!AX108</f>
        <v>5600362</v>
      </c>
      <c r="BC108" s="24">
        <f>SUM((AR108+AN108)*'Weighting Factors'!$O$5)+AX108</f>
        <v>6300979</v>
      </c>
      <c r="BD108" s="67">
        <f>IF('Weighting Factors'!F108&gt;0,'Weighting Factors'!F108,'Preliminary SO66'!AV107)</f>
        <v>6399686</v>
      </c>
      <c r="BE108" s="24">
        <f t="shared" si="102"/>
        <v>6300979</v>
      </c>
      <c r="BF108" s="71">
        <f>'Weighting Factors'!E108</f>
        <v>0</v>
      </c>
      <c r="BG108" s="71">
        <f>Transportation!G108</f>
        <v>-5134</v>
      </c>
      <c r="BH108" s="24">
        <f>IF(ISNA(VLOOKUP($CW108,'Audit Values'!$A:$BW,2,FALSE)), 0, VLOOKUP($CW108,'Audit Values'!$A:$BW,75,FALSE))</f>
        <v>0</v>
      </c>
      <c r="BI108" s="24">
        <f t="shared" si="103"/>
        <v>-5134</v>
      </c>
      <c r="BJ108" s="24">
        <f t="shared" si="104"/>
        <v>6295845</v>
      </c>
      <c r="BK108" s="24">
        <f>SUM((U108+V108+AA108+AC108+AF108+AI108+AL108+AM108+AN108)*'Weighting Factors'!O$12)+(MAX(AO108,'Weighting Factors'!B108))</f>
        <v>6377965</v>
      </c>
      <c r="BL108" s="78">
        <f>'LOB%'!F106</f>
        <v>0.31</v>
      </c>
      <c r="BM108" s="24">
        <f t="shared" si="75"/>
        <v>1977169</v>
      </c>
      <c r="BN108" s="67">
        <v>1943215</v>
      </c>
      <c r="BO108" s="24">
        <f t="shared" si="105"/>
        <v>1943215</v>
      </c>
      <c r="BP108" s="89">
        <f t="shared" si="76"/>
        <v>0.30470000000000003</v>
      </c>
      <c r="BQ108" s="58">
        <f t="shared" si="77"/>
        <v>0</v>
      </c>
      <c r="BR108" s="1" t="b">
        <f t="shared" si="78"/>
        <v>0</v>
      </c>
      <c r="BS108" s="76">
        <f t="shared" si="79"/>
        <v>0</v>
      </c>
      <c r="BT108" s="75">
        <f t="shared" si="106"/>
        <v>0</v>
      </c>
      <c r="BU108" s="58">
        <f t="shared" si="80"/>
        <v>0</v>
      </c>
      <c r="BV108" s="1" t="b">
        <f t="shared" si="81"/>
        <v>1</v>
      </c>
      <c r="BW108" s="1">
        <f t="shared" si="82"/>
        <v>468.3938</v>
      </c>
      <c r="BX108" s="75">
        <f t="shared" si="107"/>
        <v>0.35559099999999999</v>
      </c>
      <c r="BY108" s="58">
        <f t="shared" si="83"/>
        <v>241.3</v>
      </c>
      <c r="BZ108" s="58">
        <f t="shared" si="84"/>
        <v>0</v>
      </c>
      <c r="CA108" s="61">
        <v>217.5</v>
      </c>
      <c r="CB108" s="102">
        <f t="shared" si="85"/>
        <v>2.0640000000000001</v>
      </c>
      <c r="CC108" s="105">
        <f>IF(CB108&lt;0.06,1,IF(CB108&gt;=18.29,52,MATCH(CB108-0.001,'Weighting Factors'!$W$5:$W$156)+1))</f>
        <v>38</v>
      </c>
      <c r="CD108" s="24">
        <f>VLOOKUP(CC108, 'Weighting Factors'!$U$5:$X$56,4)</f>
        <v>830</v>
      </c>
      <c r="CE108" s="109">
        <f>('Weighting Factors'!$O$5/'Weighting Factors'!$O$14)</f>
        <v>1.2216</v>
      </c>
      <c r="CF108" s="100">
        <f t="shared" si="86"/>
        <v>372670</v>
      </c>
      <c r="CG108" s="100">
        <f>CF108*'Weighting Factors'!$Q$7</f>
        <v>372670</v>
      </c>
      <c r="CH108" s="100">
        <f t="shared" si="108"/>
        <v>455254</v>
      </c>
      <c r="CI108" s="58">
        <f>AK108/'Weighting Factors'!$O$5</f>
        <v>89.5</v>
      </c>
      <c r="CJ108" s="67">
        <v>0</v>
      </c>
      <c r="CK108" s="80">
        <v>0</v>
      </c>
      <c r="CL108" s="110">
        <v>0</v>
      </c>
      <c r="CM108" s="24">
        <f>SUM((AR108*'Weighting Factors'!$O$5)+'2024 Legal Max'!AX108)*CL108</f>
        <v>0</v>
      </c>
      <c r="CN108" s="24">
        <f t="shared" si="109"/>
        <v>0</v>
      </c>
      <c r="CO108" s="65">
        <f t="shared" si="74"/>
        <v>0.22770000000000001</v>
      </c>
      <c r="CP108" s="58">
        <f t="shared" si="87"/>
        <v>0</v>
      </c>
      <c r="CQ108" s="58">
        <f t="shared" si="88"/>
        <v>0</v>
      </c>
      <c r="CR108" s="58">
        <f t="shared" si="89"/>
        <v>1238.4000000000001</v>
      </c>
      <c r="CS108" s="24">
        <f>'Required Transfers'!L108</f>
        <v>116204</v>
      </c>
      <c r="CT108" s="24">
        <f>'Required Transfers'!O108</f>
        <v>0</v>
      </c>
      <c r="CU108" s="24">
        <f>'Required Transfers'!H108</f>
        <v>377021</v>
      </c>
      <c r="CV108" s="58">
        <f t="shared" si="90"/>
        <v>667.5</v>
      </c>
      <c r="CW108" s="27" t="s">
        <v>293</v>
      </c>
    </row>
    <row r="109" spans="1:101" ht="15" customHeight="1">
      <c r="A109" s="54">
        <v>307</v>
      </c>
      <c r="B109" s="1" t="s">
        <v>48</v>
      </c>
      <c r="C109" s="1" t="s">
        <v>614</v>
      </c>
      <c r="D109" s="58">
        <v>459</v>
      </c>
      <c r="E109" s="58"/>
      <c r="F109" s="58">
        <v>0</v>
      </c>
      <c r="G109" s="58">
        <f t="shared" si="91"/>
        <v>459</v>
      </c>
      <c r="H109" s="58">
        <v>417</v>
      </c>
      <c r="I109" s="58"/>
      <c r="J109" s="58">
        <v>0</v>
      </c>
      <c r="K109" s="58">
        <f t="shared" si="92"/>
        <v>417</v>
      </c>
      <c r="L109" s="1">
        <v>410.5</v>
      </c>
      <c r="N109" s="1">
        <v>0</v>
      </c>
      <c r="O109" s="58">
        <f t="shared" si="93"/>
        <v>410.5</v>
      </c>
      <c r="P109" s="58">
        <f>IF(ISNA(VLOOKUP($CW109,'Audit Values'!$A:$BZ,2,FALSE)),'Preliminary SO66'!C108,VLOOKUP($CW109,'Audit Values'!$A:$BZ,76,FALSE))</f>
        <v>408.5</v>
      </c>
      <c r="Q109" s="58">
        <f>IF(ISNA(VLOOKUP($CW109,'Audit Values'!$A:$BZ,2,FALSE)),'Preliminary SO66'!F108,VLOOKUP($CW109,'Audit Values'!$A:$BZ,4,FALSE))</f>
        <v>0</v>
      </c>
      <c r="R109" s="58">
        <f t="shared" si="97"/>
        <v>408.5</v>
      </c>
      <c r="S109" s="58">
        <f>IF('Military Provision'!I109="YES", MAX('2024 Legal Max'!O109,'2024 Legal Max'!K109,AVERAGE('2024 Legal Max'!G109,'2024 Legal Max'!K109,'2024 Legal Max'!O109)), MAX(O109, K109))</f>
        <v>417</v>
      </c>
      <c r="T109" s="58">
        <f>IF(ISNA(VLOOKUP($CW109,'Audit Values'!$A:$BX,2,FALSE)),'Preliminary SO66'!AL108,VLOOKUP($CW109,'Audit Values'!$A:$BX,59,FALSE))</f>
        <v>2</v>
      </c>
      <c r="U109" s="58">
        <f t="shared" si="98"/>
        <v>419</v>
      </c>
      <c r="V109" s="58">
        <f>'Low-High ENRL- 2023 HSubSB 113'!N112</f>
        <v>185.9</v>
      </c>
      <c r="W109" s="58">
        <f>IF(ISNA(VLOOKUP($CW109,'Audit Values'!$A:$BZ,2,FALSE)),'Preliminary SO66'!AM108,VLOOKUP($CW109,'Audit Values'!$A:$BZ,63,FALSE))</f>
        <v>13.6</v>
      </c>
      <c r="X109" s="58">
        <f>(W109/6)*'Weighting Factors'!$O$7</f>
        <v>0.9</v>
      </c>
      <c r="Y109" s="61">
        <f>IF(ISNA(VLOOKUP($CW109,'Audit Values'!$A:$BZ,2,FALSE)),'Preliminary SO66'!AN108,VLOOKUP($CW109,'Audit Values'!$A:$BZ,62,FALSE))</f>
        <v>12</v>
      </c>
      <c r="Z109" s="58">
        <f>Y109*'Weighting Factors'!$O$8</f>
        <v>2.2000000000000002</v>
      </c>
      <c r="AA109" s="58">
        <f t="shared" si="99"/>
        <v>2.2000000000000002</v>
      </c>
      <c r="AB109" s="106">
        <f>IF(ISNA(VLOOKUP($CW109,'Audit Values'!$A:$BZ,2,FALSE)),'Preliminary SO66'!AO108,VLOOKUP($CW109,'Audit Values'!$A:$BZ,61,FALSE))</f>
        <v>98.8</v>
      </c>
      <c r="AC109" s="58">
        <f>AB109/6*'Weighting Factors'!$O$6</f>
        <v>8.1999999999999993</v>
      </c>
      <c r="AD109" s="24">
        <f>IF(ISNA(VLOOKUP($CW109,'Audit Values'!$A:$BX,2,FALSE)),'Preliminary SO66'!AS108,VLOOKUP($CW109,'Audit Values'!$A:$BX,64,FALSE))</f>
        <v>414</v>
      </c>
      <c r="AE109" s="24">
        <f>IF(ISNA(VLOOKUP($CW109,'Audit Values'!$A:$BX,2,FALSE)),'Preliminary SO66'!AP108,VLOOKUP($CW109,'Audit Values'!$A:$BX,65,FALSE))</f>
        <v>131</v>
      </c>
      <c r="AF109" s="58">
        <f>IF(A109=207, AE109,(AE109))*'Weighting Factors'!$O$9</f>
        <v>63.4</v>
      </c>
      <c r="AG109" s="58">
        <f t="shared" si="96"/>
        <v>0</v>
      </c>
      <c r="AH109" s="58">
        <f>IF(ISNA(VLOOKUP($CW109,'Audit Values'!$A:$BZ,2,FALSE)),'Preliminary SO66'!AG108,VLOOKUP($CW109,'Audit Values'!$A:$BZ,71,FALSE))</f>
        <v>0.5</v>
      </c>
      <c r="AI109" s="58">
        <f t="shared" si="100"/>
        <v>0.5</v>
      </c>
      <c r="AJ109" s="58">
        <f>IF(ISNA(VLOOKUP($CW109,'Audit Values'!$A:$BX,2,FALSE)),'Preliminary SO66'!AR108,VLOOKUP($CW109,'Audit Values'!$A:$BX,66,FALSE))</f>
        <v>188</v>
      </c>
      <c r="AK109" s="24">
        <f t="shared" si="101"/>
        <v>227364</v>
      </c>
      <c r="AL109" s="58">
        <f>AK109/'Weighting Factors'!$O$5</f>
        <v>44.7</v>
      </c>
      <c r="AM109" s="58">
        <f>CJ109/'Weighting Factors'!$O$5</f>
        <v>0</v>
      </c>
      <c r="AN109" s="58">
        <f>CN109/'Weighting Factors'!$O$5</f>
        <v>0</v>
      </c>
      <c r="AO109" s="24">
        <v>414800</v>
      </c>
      <c r="AP109" s="58">
        <f>AO109/'Weighting Factors'!$O$5</f>
        <v>81.5</v>
      </c>
      <c r="AQ109" s="58">
        <f>IF(ISNA(VLOOKUP($CW109,'Audit Values'!$A:$BX,2,FALSE)),'Preliminary SO66'!X108,VLOOKUP($CW109,'Audit Values'!$A:$BX,48,FALSE))</f>
        <v>0</v>
      </c>
      <c r="AR109" s="58">
        <f t="shared" si="94"/>
        <v>805.4</v>
      </c>
      <c r="AS109" s="58">
        <f t="shared" si="95"/>
        <v>723.9</v>
      </c>
      <c r="AT109" s="58">
        <f>IF(ISNA(VLOOKUP($CW109,'Audit Values'!$A$2:$BX$410,2,FALSE)),'Preliminary SO66'!AA108,VLOOKUP($CW109,'Audit Values'!$A$2:$BX$410,41,FALSE))</f>
        <v>0</v>
      </c>
      <c r="AU109" s="58">
        <f>IF(ISNA(VLOOKUP($CW109,'Audit Values'!$A$2:$BX$410,2,FALSE)),'Preliminary SO66'!AB108,VLOOKUP($CW109,'Audit Values'!$A$2:$BX$410,42,FALSE))</f>
        <v>0</v>
      </c>
      <c r="AV109" s="73">
        <v>0</v>
      </c>
      <c r="AW109" s="73">
        <v>0</v>
      </c>
      <c r="AX109" s="24">
        <f>SUM(AT109*'Weighting Factors'!$R$10)+('2024 Legal Max'!AU109*'Weighting Factors'!$R$11)+('2024 Legal Max'!AV109*'Weighting Factors'!$R$12)+('2024 Legal Max'!AW109*'Weighting Factors'!$R$12)</f>
        <v>0</v>
      </c>
      <c r="AY109" s="54">
        <f>IF(ISNA(VLOOKUP($CW109,'Audit Values'!$A$2:$BX$429,2,FALSE)),"",IF(AND('Weighting Factors'!G109&gt;0,VLOOKUP($CW109,'Audit Values'!$A$2:$BX$429,51,FALSE)&lt;'Weighting Factors'!G109),'Weighting Factors'!G109,VLOOKUP($CW109,'Audit Values'!$A$2:$BX$429,51,FALSE)))</f>
        <v>15</v>
      </c>
      <c r="AZ109" s="54" t="str">
        <f>IF(ISNA(VLOOKUP($CW109,'Audit Values'!$A:$BY,2,FALSE)),"",VLOOKUP($CW109,'Audit Values'!$A:$BY,52,FALSE))</f>
        <v>A</v>
      </c>
      <c r="BA109" s="54" t="str">
        <f>IF('Weighting Factors'!F109="","",IF('Weighting Factors'!H109="Pending","PX","R"))</f>
        <v/>
      </c>
      <c r="BB109" s="60">
        <f>SUM((U109+V109+AA109+AC109+AF109+AI109+AL109+AM109+AQ109+AN109)*'Weighting Factors'!$O$5)+'2024 Legal Max'!AX109</f>
        <v>3683203</v>
      </c>
      <c r="BC109" s="24">
        <f>SUM((AR109+AN109)*'Weighting Factors'!$O$5)+AX109</f>
        <v>4097875</v>
      </c>
      <c r="BD109" s="67">
        <f>IF('Weighting Factors'!F109&gt;0,'Weighting Factors'!F109,'Preliminary SO66'!AV108)</f>
        <v>4576855</v>
      </c>
      <c r="BE109" s="24">
        <f t="shared" si="102"/>
        <v>4097875</v>
      </c>
      <c r="BF109" s="71">
        <f>'Weighting Factors'!E109</f>
        <v>0</v>
      </c>
      <c r="BG109" s="71">
        <f>Transportation!G109</f>
        <v>0</v>
      </c>
      <c r="BH109" s="24">
        <f>IF(ISNA(VLOOKUP($CW109,'Audit Values'!$A:$BW,2,FALSE)), 0, VLOOKUP($CW109,'Audit Values'!$A:$BW,75,FALSE))</f>
        <v>0</v>
      </c>
      <c r="BI109" s="24">
        <f t="shared" si="103"/>
        <v>0</v>
      </c>
      <c r="BJ109" s="24">
        <f t="shared" si="104"/>
        <v>4097875</v>
      </c>
      <c r="BK109" s="24">
        <f>SUM((U109+V109+AA109+AC109+AF109+AI109+AL109+AM109+AN109)*'Weighting Factors'!O$12)+(MAX(AO109,'Weighting Factors'!B109))</f>
        <v>4148676</v>
      </c>
      <c r="BL109" s="78">
        <f>'LOB%'!F107</f>
        <v>0.33</v>
      </c>
      <c r="BM109" s="24">
        <f t="shared" si="75"/>
        <v>1369063</v>
      </c>
      <c r="BN109" s="67">
        <v>1516856</v>
      </c>
      <c r="BO109" s="24">
        <f t="shared" si="105"/>
        <v>1369063</v>
      </c>
      <c r="BP109" s="89">
        <f t="shared" si="76"/>
        <v>0.33</v>
      </c>
      <c r="BQ109" s="58">
        <f t="shared" si="77"/>
        <v>0</v>
      </c>
      <c r="BR109" s="1" t="b">
        <f t="shared" si="78"/>
        <v>0</v>
      </c>
      <c r="BS109" s="76">
        <f t="shared" si="79"/>
        <v>0</v>
      </c>
      <c r="BT109" s="75">
        <f t="shared" si="106"/>
        <v>0</v>
      </c>
      <c r="BU109" s="58">
        <f t="shared" si="80"/>
        <v>0</v>
      </c>
      <c r="BV109" s="1" t="b">
        <f t="shared" si="81"/>
        <v>1</v>
      </c>
      <c r="BW109" s="1">
        <f t="shared" si="82"/>
        <v>147.26249999999999</v>
      </c>
      <c r="BX109" s="75">
        <f t="shared" si="107"/>
        <v>0.44375599999999998</v>
      </c>
      <c r="BY109" s="58">
        <f t="shared" si="83"/>
        <v>185.9</v>
      </c>
      <c r="BZ109" s="58">
        <f t="shared" si="84"/>
        <v>0</v>
      </c>
      <c r="CA109" s="61">
        <v>225</v>
      </c>
      <c r="CB109" s="102">
        <f t="shared" si="85"/>
        <v>0.83599999999999997</v>
      </c>
      <c r="CC109" s="105">
        <f>IF(CB109&lt;0.06,1,IF(CB109&gt;=18.29,52,MATCH(CB109-0.001,'Weighting Factors'!$W$5:$W$156)+1))</f>
        <v>30</v>
      </c>
      <c r="CD109" s="24">
        <f>VLOOKUP(CC109, 'Weighting Factors'!$U$5:$X$56,4)</f>
        <v>990</v>
      </c>
      <c r="CE109" s="109">
        <f>('Weighting Factors'!$O$5/'Weighting Factors'!$O$14)</f>
        <v>1.2216</v>
      </c>
      <c r="CF109" s="100">
        <f t="shared" si="86"/>
        <v>186120</v>
      </c>
      <c r="CG109" s="100">
        <f>CF109*'Weighting Factors'!$Q$7</f>
        <v>186120</v>
      </c>
      <c r="CH109" s="100">
        <f t="shared" si="108"/>
        <v>227364</v>
      </c>
      <c r="CI109" s="58">
        <f>AK109/'Weighting Factors'!$O$5</f>
        <v>44.7</v>
      </c>
      <c r="CJ109" s="67">
        <v>0</v>
      </c>
      <c r="CK109" s="80">
        <v>0</v>
      </c>
      <c r="CL109" s="110">
        <v>0</v>
      </c>
      <c r="CM109" s="24">
        <f>SUM((AR109*'Weighting Factors'!$O$5)+'2024 Legal Max'!AX109)*CL109</f>
        <v>0</v>
      </c>
      <c r="CN109" s="24">
        <f t="shared" si="109"/>
        <v>0</v>
      </c>
      <c r="CO109" s="65">
        <f t="shared" si="74"/>
        <v>0.31640000000000001</v>
      </c>
      <c r="CP109" s="58">
        <f t="shared" si="87"/>
        <v>0</v>
      </c>
      <c r="CQ109" s="58">
        <f t="shared" si="88"/>
        <v>0</v>
      </c>
      <c r="CR109" s="58">
        <f t="shared" si="89"/>
        <v>805.4</v>
      </c>
      <c r="CS109" s="24">
        <f>'Required Transfers'!L109</f>
        <v>108019</v>
      </c>
      <c r="CT109" s="24">
        <f>'Required Transfers'!O109</f>
        <v>3696</v>
      </c>
      <c r="CU109" s="24">
        <f>'Required Transfers'!H109</f>
        <v>325123</v>
      </c>
      <c r="CV109" s="58">
        <f t="shared" si="90"/>
        <v>410.5</v>
      </c>
      <c r="CW109" s="27" t="s">
        <v>294</v>
      </c>
    </row>
    <row r="110" spans="1:101" ht="15" customHeight="1">
      <c r="A110" s="54">
        <v>308</v>
      </c>
      <c r="B110" s="1" t="s">
        <v>49</v>
      </c>
      <c r="C110" s="1" t="s">
        <v>615</v>
      </c>
      <c r="D110" s="58">
        <v>4042.4</v>
      </c>
      <c r="E110" s="58"/>
      <c r="F110" s="58">
        <v>0</v>
      </c>
      <c r="G110" s="58">
        <f t="shared" si="91"/>
        <v>4042.4</v>
      </c>
      <c r="H110" s="58">
        <v>3842.1</v>
      </c>
      <c r="I110" s="58">
        <v>2</v>
      </c>
      <c r="J110" s="58">
        <v>0</v>
      </c>
      <c r="K110" s="58">
        <f t="shared" si="92"/>
        <v>3840.1</v>
      </c>
      <c r="L110" s="1">
        <v>3821.4</v>
      </c>
      <c r="N110" s="1">
        <v>0</v>
      </c>
      <c r="O110" s="58">
        <f t="shared" si="93"/>
        <v>3821.4</v>
      </c>
      <c r="P110" s="58">
        <f>IF(ISNA(VLOOKUP($CW110,'Audit Values'!$A:$BZ,2,FALSE)),'Preliminary SO66'!C109,VLOOKUP($CW110,'Audit Values'!$A:$BZ,76,FALSE))</f>
        <v>3734.2</v>
      </c>
      <c r="Q110" s="58">
        <f>IF(ISNA(VLOOKUP($CW110,'Audit Values'!$A:$BZ,2,FALSE)),'Preliminary SO66'!F109,VLOOKUP($CW110,'Audit Values'!$A:$BZ,4,FALSE))</f>
        <v>0</v>
      </c>
      <c r="R110" s="58">
        <f t="shared" si="97"/>
        <v>3734.2</v>
      </c>
      <c r="S110" s="58">
        <f>IF('Military Provision'!I110="YES", MAX('2024 Legal Max'!O110,'2024 Legal Max'!K110,AVERAGE('2024 Legal Max'!G110,'2024 Legal Max'!K110,'2024 Legal Max'!O110)), MAX(O110, K110))</f>
        <v>3840.1</v>
      </c>
      <c r="T110" s="58">
        <f>IF(ISNA(VLOOKUP($CW110,'Audit Values'!$A:$BX,2,FALSE)),'Preliminary SO66'!AL109,VLOOKUP($CW110,'Audit Values'!$A:$BX,59,FALSE))</f>
        <v>99.5</v>
      </c>
      <c r="U110" s="58">
        <f t="shared" si="98"/>
        <v>3939.6</v>
      </c>
      <c r="V110" s="58">
        <f>'Low-High ENRL- 2023 HSubSB 113'!N113</f>
        <v>138</v>
      </c>
      <c r="W110" s="58">
        <f>IF(ISNA(VLOOKUP($CW110,'Audit Values'!$A:$BZ,2,FALSE)),'Preliminary SO66'!AM109,VLOOKUP($CW110,'Audit Values'!$A:$BZ,63,FALSE))</f>
        <v>322.60000000000002</v>
      </c>
      <c r="X110" s="58">
        <f>(W110/6)*'Weighting Factors'!$O$7</f>
        <v>21.2</v>
      </c>
      <c r="Y110" s="61">
        <f>IF(ISNA(VLOOKUP($CW110,'Audit Values'!$A:$BZ,2,FALSE)),'Preliminary SO66'!AN109,VLOOKUP($CW110,'Audit Values'!$A:$BZ,62,FALSE))</f>
        <v>148</v>
      </c>
      <c r="Z110" s="58">
        <f>Y110*'Weighting Factors'!$O$8</f>
        <v>27.4</v>
      </c>
      <c r="AA110" s="58">
        <f t="shared" si="99"/>
        <v>27.4</v>
      </c>
      <c r="AB110" s="106">
        <f>IF(ISNA(VLOOKUP($CW110,'Audit Values'!$A:$BZ,2,FALSE)),'Preliminary SO66'!AO109,VLOOKUP($CW110,'Audit Values'!$A:$BZ,61,FALSE))</f>
        <v>1208.4000000000001</v>
      </c>
      <c r="AC110" s="58">
        <f>AB110/6*'Weighting Factors'!$O$6</f>
        <v>100.7</v>
      </c>
      <c r="AD110" s="24">
        <f>IF(ISNA(VLOOKUP($CW110,'Audit Values'!$A:$BX,2,FALSE)),'Preliminary SO66'!AS109,VLOOKUP($CW110,'Audit Values'!$A:$BX,64,FALSE))</f>
        <v>3982</v>
      </c>
      <c r="AE110" s="24">
        <f>IF(ISNA(VLOOKUP($CW110,'Audit Values'!$A:$BX,2,FALSE)),'Preliminary SO66'!AP109,VLOOKUP($CW110,'Audit Values'!$A:$BX,65,FALSE))</f>
        <v>2333</v>
      </c>
      <c r="AF110" s="58">
        <f>IF(A110=207, AE110,(AE110))*'Weighting Factors'!$O$9</f>
        <v>1129.2</v>
      </c>
      <c r="AG110" s="58">
        <f t="shared" si="96"/>
        <v>245</v>
      </c>
      <c r="AH110" s="58">
        <f>IF(ISNA(VLOOKUP($CW110,'Audit Values'!$A:$BZ,2,FALSE)),'Preliminary SO66'!AG109,VLOOKUP($CW110,'Audit Values'!$A:$BZ,71,FALSE))</f>
        <v>225.5</v>
      </c>
      <c r="AI110" s="58">
        <f t="shared" si="100"/>
        <v>245</v>
      </c>
      <c r="AJ110" s="58">
        <f>IF(ISNA(VLOOKUP($CW110,'Audit Values'!$A:$BX,2,FALSE)),'Preliminary SO66'!AR109,VLOOKUP($CW110,'Audit Values'!$A:$BX,66,FALSE))</f>
        <v>119.5</v>
      </c>
      <c r="AK110" s="24">
        <f t="shared" si="101"/>
        <v>94888</v>
      </c>
      <c r="AL110" s="58">
        <f>AK110/'Weighting Factors'!$O$5</f>
        <v>18.600000000000001</v>
      </c>
      <c r="AM110" s="58">
        <f>CJ110/'Weighting Factors'!$O$5</f>
        <v>0</v>
      </c>
      <c r="AN110" s="58">
        <f>CN110/'Weighting Factors'!$O$5</f>
        <v>0</v>
      </c>
      <c r="AO110" s="24">
        <v>5470473</v>
      </c>
      <c r="AP110" s="58">
        <f>AO110/'Weighting Factors'!$O$5</f>
        <v>1075.2</v>
      </c>
      <c r="AQ110" s="58">
        <f>IF(ISNA(VLOOKUP($CW110,'Audit Values'!$A:$BX,2,FALSE)),'Preliminary SO66'!X109,VLOOKUP($CW110,'Audit Values'!$A:$BX,48,FALSE))</f>
        <v>0</v>
      </c>
      <c r="AR110" s="58">
        <f t="shared" si="94"/>
        <v>6673.7</v>
      </c>
      <c r="AS110" s="58">
        <f t="shared" si="95"/>
        <v>5598.5</v>
      </c>
      <c r="AT110" s="58">
        <f>IF(ISNA(VLOOKUP($CW110,'Audit Values'!$A$2:$BX$410,2,FALSE)),'Preliminary SO66'!AA109,VLOOKUP($CW110,'Audit Values'!$A$2:$BX$410,41,FALSE))</f>
        <v>174</v>
      </c>
      <c r="AU110" s="58">
        <f>IF(ISNA(VLOOKUP($CW110,'Audit Values'!$A$2:$BX$410,2,FALSE)),'Preliminary SO66'!AB109,VLOOKUP($CW110,'Audit Values'!$A$2:$BX$410,42,FALSE))</f>
        <v>14.5</v>
      </c>
      <c r="AV110" s="73">
        <v>61</v>
      </c>
      <c r="AW110" s="73">
        <v>0</v>
      </c>
      <c r="AX110" s="24">
        <f>SUM(AT110*'Weighting Factors'!$R$10)+('2024 Legal Max'!AU110*'Weighting Factors'!$R$11)+('2024 Legal Max'!AV110*'Weighting Factors'!$R$12)+('2024 Legal Max'!AW110*'Weighting Factors'!$R$12)</f>
        <v>1058249</v>
      </c>
      <c r="AY110" s="54">
        <f>IF(ISNA(VLOOKUP($CW110,'Audit Values'!$A$2:$BX$429,2,FALSE)),"",IF(AND('Weighting Factors'!G110&gt;0,VLOOKUP($CW110,'Audit Values'!$A$2:$BX$429,51,FALSE)&lt;'Weighting Factors'!G110),'Weighting Factors'!G110,VLOOKUP($CW110,'Audit Values'!$A$2:$BX$429,51,FALSE)))</f>
        <v>24</v>
      </c>
      <c r="AZ110" s="54" t="str">
        <f>IF(ISNA(VLOOKUP($CW110,'Audit Values'!$A:$BY,2,FALSE)),"",VLOOKUP($CW110,'Audit Values'!$A:$BY,52,FALSE))</f>
        <v>A</v>
      </c>
      <c r="BA110" s="54" t="str">
        <f>IF('Weighting Factors'!F110="","",IF('Weighting Factors'!H110="Pending","PX","R"))</f>
        <v/>
      </c>
      <c r="BB110" s="60">
        <f>SUM((U110+V110+AA110+AC110+AF110+AI110+AL110+AM110+AQ110+AN110)*'Weighting Factors'!$O$5)+'2024 Legal Max'!AX110</f>
        <v>29543417</v>
      </c>
      <c r="BC110" s="24">
        <f>SUM((AR110+AN110)*'Weighting Factors'!$O$5)+AX110</f>
        <v>35014035</v>
      </c>
      <c r="BD110" s="67">
        <f>IF('Weighting Factors'!F110&gt;0,'Weighting Factors'!F110,'Preliminary SO66'!AV109)</f>
        <v>36524449</v>
      </c>
      <c r="BE110" s="24">
        <f t="shared" si="102"/>
        <v>35014035</v>
      </c>
      <c r="BF110" s="71">
        <f>'Weighting Factors'!E110</f>
        <v>0</v>
      </c>
      <c r="BG110" s="71">
        <f>Transportation!G110</f>
        <v>0</v>
      </c>
      <c r="BH110" s="24">
        <f>IF(ISNA(VLOOKUP($CW110,'Audit Values'!$A:$BW,2,FALSE)), 0, VLOOKUP($CW110,'Audit Values'!$A:$BW,75,FALSE))</f>
        <v>-26041</v>
      </c>
      <c r="BI110" s="24">
        <f t="shared" si="103"/>
        <v>-26041</v>
      </c>
      <c r="BJ110" s="24">
        <f t="shared" si="104"/>
        <v>34987994</v>
      </c>
      <c r="BK110" s="24">
        <f>SUM((U110+V110+AA110+AC110+AF110+AI110+AL110+AM110+AN110)*'Weighting Factors'!O$12)+(MAX(AO110,'Weighting Factors'!B110))</f>
        <v>34347536</v>
      </c>
      <c r="BL110" s="78">
        <f>'LOB%'!F108</f>
        <v>0.316</v>
      </c>
      <c r="BM110" s="24">
        <f t="shared" si="75"/>
        <v>10853821</v>
      </c>
      <c r="BN110" s="67">
        <v>11212329</v>
      </c>
      <c r="BO110" s="24">
        <f t="shared" si="105"/>
        <v>10853821</v>
      </c>
      <c r="BP110" s="89">
        <f t="shared" si="76"/>
        <v>0.316</v>
      </c>
      <c r="BQ110" s="58">
        <f t="shared" si="77"/>
        <v>0</v>
      </c>
      <c r="BR110" s="1" t="b">
        <f t="shared" si="78"/>
        <v>0</v>
      </c>
      <c r="BS110" s="76">
        <f t="shared" si="79"/>
        <v>0</v>
      </c>
      <c r="BT110" s="75">
        <f t="shared" si="106"/>
        <v>0</v>
      </c>
      <c r="BU110" s="58">
        <f t="shared" si="80"/>
        <v>0</v>
      </c>
      <c r="BV110" s="1" t="b">
        <f t="shared" si="81"/>
        <v>0</v>
      </c>
      <c r="BW110" s="1">
        <f t="shared" si="82"/>
        <v>0</v>
      </c>
      <c r="BX110" s="75">
        <f t="shared" si="107"/>
        <v>0</v>
      </c>
      <c r="BY110" s="58">
        <f t="shared" si="83"/>
        <v>0</v>
      </c>
      <c r="BZ110" s="58">
        <f t="shared" si="84"/>
        <v>138</v>
      </c>
      <c r="CA110" s="61">
        <v>14</v>
      </c>
      <c r="CB110" s="102">
        <f t="shared" si="85"/>
        <v>8.5359999999999996</v>
      </c>
      <c r="CC110" s="105">
        <f>IF(CB110&lt;0.06,1,IF(CB110&gt;=18.29,52,MATCH(CB110-0.001,'Weighting Factors'!$W$5:$W$156)+1))</f>
        <v>47</v>
      </c>
      <c r="CD110" s="24">
        <f>VLOOKUP(CC110, 'Weighting Factors'!$U$5:$X$56,4)</f>
        <v>650</v>
      </c>
      <c r="CE110" s="109">
        <f>('Weighting Factors'!$O$5/'Weighting Factors'!$O$14)</f>
        <v>1.2216</v>
      </c>
      <c r="CF110" s="100">
        <f t="shared" si="86"/>
        <v>77675</v>
      </c>
      <c r="CG110" s="100">
        <f>CF110*'Weighting Factors'!$Q$7</f>
        <v>77675</v>
      </c>
      <c r="CH110" s="100">
        <f t="shared" si="108"/>
        <v>94888</v>
      </c>
      <c r="CI110" s="58">
        <f>AK110/'Weighting Factors'!$O$5</f>
        <v>18.600000000000001</v>
      </c>
      <c r="CJ110" s="67">
        <v>0</v>
      </c>
      <c r="CK110" s="80">
        <v>0</v>
      </c>
      <c r="CL110" s="110">
        <v>0</v>
      </c>
      <c r="CM110" s="24">
        <f>SUM((AR110*'Weighting Factors'!$O$5)+'2024 Legal Max'!AX110)*CL110</f>
        <v>0</v>
      </c>
      <c r="CN110" s="24">
        <f t="shared" si="109"/>
        <v>0</v>
      </c>
      <c r="CO110" s="65">
        <f t="shared" si="74"/>
        <v>0.58589999999999998</v>
      </c>
      <c r="CP110" s="58">
        <f t="shared" si="87"/>
        <v>245</v>
      </c>
      <c r="CQ110" s="58">
        <f t="shared" si="88"/>
        <v>0</v>
      </c>
      <c r="CR110" s="58">
        <f t="shared" si="89"/>
        <v>6673.7</v>
      </c>
      <c r="CS110" s="24">
        <f>'Required Transfers'!L110</f>
        <v>1864686</v>
      </c>
      <c r="CT110" s="24">
        <f>'Required Transfers'!O110</f>
        <v>45586</v>
      </c>
      <c r="CU110" s="24">
        <f>'Required Transfers'!H110</f>
        <v>6991930</v>
      </c>
      <c r="CV110" s="58">
        <f t="shared" si="90"/>
        <v>4032.4</v>
      </c>
      <c r="CW110" s="27" t="s">
        <v>295</v>
      </c>
    </row>
    <row r="111" spans="1:101" ht="15" customHeight="1">
      <c r="A111" s="54">
        <v>309</v>
      </c>
      <c r="B111" s="1" t="s">
        <v>49</v>
      </c>
      <c r="C111" s="1" t="s">
        <v>616</v>
      </c>
      <c r="D111" s="58">
        <v>1006.3</v>
      </c>
      <c r="E111" s="58"/>
      <c r="F111" s="58">
        <v>0</v>
      </c>
      <c r="G111" s="58">
        <f t="shared" si="91"/>
        <v>1006.3</v>
      </c>
      <c r="H111" s="58">
        <v>954.7</v>
      </c>
      <c r="I111" s="58"/>
      <c r="J111" s="58">
        <v>0</v>
      </c>
      <c r="K111" s="58">
        <f t="shared" si="92"/>
        <v>954.7</v>
      </c>
      <c r="L111" s="1">
        <v>927</v>
      </c>
      <c r="N111" s="1">
        <v>0</v>
      </c>
      <c r="O111" s="58">
        <f t="shared" si="93"/>
        <v>927</v>
      </c>
      <c r="P111" s="58">
        <f>IF(ISNA(VLOOKUP($CW111,'Audit Values'!$A:$BZ,2,FALSE)),'Preliminary SO66'!C110,VLOOKUP($CW111,'Audit Values'!$A:$BZ,76,FALSE))</f>
        <v>891.8</v>
      </c>
      <c r="Q111" s="58">
        <f>IF(ISNA(VLOOKUP($CW111,'Audit Values'!$A:$BZ,2,FALSE)),'Preliminary SO66'!F110,VLOOKUP($CW111,'Audit Values'!$A:$BZ,4,FALSE))</f>
        <v>0</v>
      </c>
      <c r="R111" s="58">
        <f t="shared" si="97"/>
        <v>891.8</v>
      </c>
      <c r="S111" s="58">
        <f>IF('Military Provision'!I111="YES", MAX('2024 Legal Max'!O111,'2024 Legal Max'!K111,AVERAGE('2024 Legal Max'!G111,'2024 Legal Max'!K111,'2024 Legal Max'!O111)), MAX(O111, K111))</f>
        <v>954.7</v>
      </c>
      <c r="T111" s="58">
        <f>IF(ISNA(VLOOKUP($CW111,'Audit Values'!$A:$BX,2,FALSE)),'Preliminary SO66'!AL110,VLOOKUP($CW111,'Audit Values'!$A:$BX,59,FALSE))</f>
        <v>11.5</v>
      </c>
      <c r="U111" s="58">
        <f t="shared" si="98"/>
        <v>966.2</v>
      </c>
      <c r="V111" s="58">
        <f>'Low-High ENRL- 2023 HSubSB 113'!N114</f>
        <v>249.1</v>
      </c>
      <c r="W111" s="58">
        <f>IF(ISNA(VLOOKUP($CW111,'Audit Values'!$A:$BZ,2,FALSE)),'Preliminary SO66'!AM110,VLOOKUP($CW111,'Audit Values'!$A:$BZ,63,FALSE))</f>
        <v>54.8</v>
      </c>
      <c r="X111" s="58">
        <f>(W111/6)*'Weighting Factors'!$O$7</f>
        <v>3.6</v>
      </c>
      <c r="Y111" s="61">
        <f>IF(ISNA(VLOOKUP($CW111,'Audit Values'!$A:$BZ,2,FALSE)),'Preliminary SO66'!AN110,VLOOKUP($CW111,'Audit Values'!$A:$BZ,62,FALSE))</f>
        <v>15</v>
      </c>
      <c r="Z111" s="58">
        <f>Y111*'Weighting Factors'!$O$8</f>
        <v>2.8</v>
      </c>
      <c r="AA111" s="58">
        <f t="shared" si="99"/>
        <v>3.6</v>
      </c>
      <c r="AB111" s="106">
        <f>IF(ISNA(VLOOKUP($CW111,'Audit Values'!$A:$BZ,2,FALSE)),'Preliminary SO66'!AO110,VLOOKUP($CW111,'Audit Values'!$A:$BZ,61,FALSE))</f>
        <v>148.5</v>
      </c>
      <c r="AC111" s="58">
        <f>AB111/6*'Weighting Factors'!$O$6</f>
        <v>12.4</v>
      </c>
      <c r="AD111" s="24">
        <f>IF(ISNA(VLOOKUP($CW111,'Audit Values'!$A:$BX,2,FALSE)),'Preliminary SO66'!AS110,VLOOKUP($CW111,'Audit Values'!$A:$BX,64,FALSE))</f>
        <v>918</v>
      </c>
      <c r="AE111" s="24">
        <f>IF(ISNA(VLOOKUP($CW111,'Audit Values'!$A:$BX,2,FALSE)),'Preliminary SO66'!AP110,VLOOKUP($CW111,'Audit Values'!$A:$BX,65,FALSE))</f>
        <v>402</v>
      </c>
      <c r="AF111" s="58">
        <f>IF(A111=207, AE111,(AE111))*'Weighting Factors'!$O$9</f>
        <v>194.6</v>
      </c>
      <c r="AG111" s="58">
        <f t="shared" si="96"/>
        <v>24.7</v>
      </c>
      <c r="AH111" s="58">
        <f>IF(ISNA(VLOOKUP($CW111,'Audit Values'!$A:$BZ,2,FALSE)),'Preliminary SO66'!AG110,VLOOKUP($CW111,'Audit Values'!$A:$BZ,71,FALSE))</f>
        <v>26.2</v>
      </c>
      <c r="AI111" s="58">
        <f t="shared" si="100"/>
        <v>26.2</v>
      </c>
      <c r="AJ111" s="58">
        <f>IF(ISNA(VLOOKUP($CW111,'Audit Values'!$A:$BX,2,FALSE)),'Preliminary SO66'!AR110,VLOOKUP($CW111,'Audit Values'!$A:$BX,66,FALSE))</f>
        <v>337</v>
      </c>
      <c r="AK111" s="24">
        <f t="shared" si="101"/>
        <v>358161</v>
      </c>
      <c r="AL111" s="58">
        <f>AK111/'Weighting Factors'!$O$5</f>
        <v>70.400000000000006</v>
      </c>
      <c r="AM111" s="58">
        <f>CJ111/'Weighting Factors'!$O$5</f>
        <v>0</v>
      </c>
      <c r="AN111" s="58">
        <f>CN111/'Weighting Factors'!$O$5</f>
        <v>0</v>
      </c>
      <c r="AO111" s="24">
        <v>1258979</v>
      </c>
      <c r="AP111" s="58">
        <f>AO111/'Weighting Factors'!$O$5</f>
        <v>247.4</v>
      </c>
      <c r="AQ111" s="58">
        <f>IF(ISNA(VLOOKUP($CW111,'Audit Values'!$A:$BX,2,FALSE)),'Preliminary SO66'!X110,VLOOKUP($CW111,'Audit Values'!$A:$BX,48,FALSE))</f>
        <v>0</v>
      </c>
      <c r="AR111" s="58">
        <f t="shared" si="94"/>
        <v>1769.9</v>
      </c>
      <c r="AS111" s="58">
        <f t="shared" si="95"/>
        <v>1522.5</v>
      </c>
      <c r="AT111" s="58">
        <f>IF(ISNA(VLOOKUP($CW111,'Audit Values'!$A$2:$BX$410,2,FALSE)),'Preliminary SO66'!AA110,VLOOKUP($CW111,'Audit Values'!$A$2:$BX$410,41,FALSE))</f>
        <v>80</v>
      </c>
      <c r="AU111" s="58">
        <f>IF(ISNA(VLOOKUP($CW111,'Audit Values'!$A$2:$BX$410,2,FALSE)),'Preliminary SO66'!AB110,VLOOKUP($CW111,'Audit Values'!$A$2:$BX$410,42,FALSE))</f>
        <v>3.3</v>
      </c>
      <c r="AV111" s="73">
        <v>5</v>
      </c>
      <c r="AW111" s="73">
        <v>0</v>
      </c>
      <c r="AX111" s="24">
        <f>SUM(AT111*'Weighting Factors'!$R$10)+('2024 Legal Max'!AU111*'Weighting Factors'!$R$11)+('2024 Legal Max'!AV111*'Weighting Factors'!$R$12)+('2024 Legal Max'!AW111*'Weighting Factors'!$R$12)</f>
        <v>460785</v>
      </c>
      <c r="AY111" s="54">
        <f>IF(ISNA(VLOOKUP($CW111,'Audit Values'!$A$2:$BX$429,2,FALSE)),"",IF(AND('Weighting Factors'!G111&gt;0,VLOOKUP($CW111,'Audit Values'!$A$2:$BX$429,51,FALSE)&lt;'Weighting Factors'!G111),'Weighting Factors'!G111,VLOOKUP($CW111,'Audit Values'!$A$2:$BX$429,51,FALSE)))</f>
        <v>15</v>
      </c>
      <c r="AZ111" s="54" t="str">
        <f>IF(ISNA(VLOOKUP($CW111,'Audit Values'!$A:$BY,2,FALSE)),"",VLOOKUP($CW111,'Audit Values'!$A:$BY,52,FALSE))</f>
        <v>A</v>
      </c>
      <c r="BA111" s="54" t="str">
        <f>IF('Weighting Factors'!F111="","",IF('Weighting Factors'!H111="Pending","PX","R"))</f>
        <v/>
      </c>
      <c r="BB111" s="60">
        <f>SUM((U111+V111+AA111+AC111+AF111+AI111+AL111+AM111+AQ111+AN111)*'Weighting Factors'!$O$5)+'2024 Legal Max'!AX111</f>
        <v>8207265</v>
      </c>
      <c r="BC111" s="24">
        <f>SUM((AR111+AN111)*'Weighting Factors'!$O$5)+AX111</f>
        <v>9466036</v>
      </c>
      <c r="BD111" s="67">
        <f>IF('Weighting Factors'!F111&gt;0,'Weighting Factors'!F111,'Preliminary SO66'!AV110)</f>
        <v>10068389</v>
      </c>
      <c r="BE111" s="24">
        <f t="shared" si="102"/>
        <v>9466036</v>
      </c>
      <c r="BF111" s="71">
        <f>'Weighting Factors'!E111</f>
        <v>0</v>
      </c>
      <c r="BG111" s="71">
        <f>Transportation!G111</f>
        <v>0</v>
      </c>
      <c r="BH111" s="24">
        <f>IF(ISNA(VLOOKUP($CW111,'Audit Values'!$A:$BW,2,FALSE)), 0, VLOOKUP($CW111,'Audit Values'!$A:$BW,75,FALSE))</f>
        <v>0</v>
      </c>
      <c r="BI111" s="24">
        <f t="shared" si="103"/>
        <v>0</v>
      </c>
      <c r="BJ111" s="24">
        <f t="shared" si="104"/>
        <v>9466036</v>
      </c>
      <c r="BK111" s="24">
        <f>SUM((U111+V111+AA111+AC111+AF111+AI111+AL111+AM111+AN111)*'Weighting Factors'!O$12)+(MAX(AO111,'Weighting Factors'!B111))</f>
        <v>9112034</v>
      </c>
      <c r="BL111" s="78">
        <f>'LOB%'!F109</f>
        <v>0.316</v>
      </c>
      <c r="BM111" s="24">
        <f t="shared" si="75"/>
        <v>2879403</v>
      </c>
      <c r="BN111" s="67">
        <v>3055267</v>
      </c>
      <c r="BO111" s="24">
        <f t="shared" si="105"/>
        <v>2879403</v>
      </c>
      <c r="BP111" s="89">
        <f t="shared" si="76"/>
        <v>0.316</v>
      </c>
      <c r="BQ111" s="58">
        <f t="shared" si="77"/>
        <v>0</v>
      </c>
      <c r="BR111" s="1" t="b">
        <f t="shared" si="78"/>
        <v>0</v>
      </c>
      <c r="BS111" s="76">
        <f t="shared" si="79"/>
        <v>0</v>
      </c>
      <c r="BT111" s="75">
        <f t="shared" si="106"/>
        <v>0</v>
      </c>
      <c r="BU111" s="58">
        <f t="shared" si="80"/>
        <v>0</v>
      </c>
      <c r="BV111" s="1" t="b">
        <f t="shared" si="81"/>
        <v>1</v>
      </c>
      <c r="BW111" s="1">
        <f t="shared" si="82"/>
        <v>824.42250000000001</v>
      </c>
      <c r="BX111" s="75">
        <f t="shared" si="107"/>
        <v>0.25784600000000002</v>
      </c>
      <c r="BY111" s="58">
        <f t="shared" si="83"/>
        <v>249.1</v>
      </c>
      <c r="BZ111" s="58">
        <f t="shared" si="84"/>
        <v>0</v>
      </c>
      <c r="CA111" s="61">
        <v>187.5</v>
      </c>
      <c r="CB111" s="102">
        <f t="shared" si="85"/>
        <v>1.7969999999999999</v>
      </c>
      <c r="CC111" s="105">
        <f>IF(CB111&lt;0.06,1,IF(CB111&gt;=18.29,52,MATCH(CB111-0.001,'Weighting Factors'!$W$5:$W$156)+1))</f>
        <v>36</v>
      </c>
      <c r="CD111" s="24">
        <f>VLOOKUP(CC111, 'Weighting Factors'!$U$5:$X$56,4)</f>
        <v>870</v>
      </c>
      <c r="CE111" s="109">
        <f>('Weighting Factors'!$O$5/'Weighting Factors'!$O$14)</f>
        <v>1.2216</v>
      </c>
      <c r="CF111" s="100">
        <f t="shared" si="86"/>
        <v>293190</v>
      </c>
      <c r="CG111" s="100">
        <f>CF111*'Weighting Factors'!$Q$7</f>
        <v>293190</v>
      </c>
      <c r="CH111" s="100">
        <f t="shared" si="108"/>
        <v>358161</v>
      </c>
      <c r="CI111" s="58">
        <f>AK111/'Weighting Factors'!$O$5</f>
        <v>70.400000000000006</v>
      </c>
      <c r="CJ111" s="67">
        <v>0</v>
      </c>
      <c r="CK111" s="80">
        <v>0</v>
      </c>
      <c r="CL111" s="110">
        <v>0</v>
      </c>
      <c r="CM111" s="24">
        <f>SUM((AR111*'Weighting Factors'!$O$5)+'2024 Legal Max'!AX111)*CL111</f>
        <v>0</v>
      </c>
      <c r="CN111" s="24">
        <f t="shared" si="109"/>
        <v>0</v>
      </c>
      <c r="CO111" s="65">
        <f t="shared" si="74"/>
        <v>0.43790000000000001</v>
      </c>
      <c r="CP111" s="58">
        <f t="shared" si="87"/>
        <v>0</v>
      </c>
      <c r="CQ111" s="58">
        <f t="shared" si="88"/>
        <v>24.7</v>
      </c>
      <c r="CR111" s="58">
        <f t="shared" si="89"/>
        <v>1769.9</v>
      </c>
      <c r="CS111" s="24">
        <f>'Required Transfers'!L111</f>
        <v>318750</v>
      </c>
      <c r="CT111" s="24">
        <f>'Required Transfers'!O111</f>
        <v>5759</v>
      </c>
      <c r="CU111" s="24">
        <f>'Required Transfers'!H111</f>
        <v>1123430</v>
      </c>
      <c r="CV111" s="58">
        <f t="shared" si="90"/>
        <v>987.4</v>
      </c>
      <c r="CW111" s="27" t="s">
        <v>296</v>
      </c>
    </row>
    <row r="112" spans="1:101" ht="15" customHeight="1">
      <c r="A112" s="54">
        <v>310</v>
      </c>
      <c r="B112" s="1" t="s">
        <v>49</v>
      </c>
      <c r="C112" s="1" t="s">
        <v>617</v>
      </c>
      <c r="D112" s="58">
        <v>256.60000000000002</v>
      </c>
      <c r="E112" s="58"/>
      <c r="F112" s="58">
        <v>0</v>
      </c>
      <c r="G112" s="58">
        <f t="shared" si="91"/>
        <v>256.60000000000002</v>
      </c>
      <c r="H112" s="58">
        <v>255.1</v>
      </c>
      <c r="I112" s="58"/>
      <c r="J112" s="58">
        <v>0</v>
      </c>
      <c r="K112" s="58">
        <f t="shared" si="92"/>
        <v>255.1</v>
      </c>
      <c r="L112" s="1">
        <v>256.5</v>
      </c>
      <c r="N112" s="1">
        <v>0</v>
      </c>
      <c r="O112" s="58">
        <f t="shared" si="93"/>
        <v>256.5</v>
      </c>
      <c r="P112" s="58">
        <f>IF(ISNA(VLOOKUP($CW112,'Audit Values'!$A:$BZ,2,FALSE)),'Preliminary SO66'!C111,VLOOKUP($CW112,'Audit Values'!$A:$BZ,76,FALSE))</f>
        <v>242.5</v>
      </c>
      <c r="Q112" s="58">
        <f>IF(ISNA(VLOOKUP($CW112,'Audit Values'!$A:$BZ,2,FALSE)),'Preliminary SO66'!F111,VLOOKUP($CW112,'Audit Values'!$A:$BZ,4,FALSE))</f>
        <v>0</v>
      </c>
      <c r="R112" s="58">
        <f t="shared" si="97"/>
        <v>242.5</v>
      </c>
      <c r="S112" s="58">
        <f>IF('Military Provision'!I112="YES", MAX('2024 Legal Max'!O112,'2024 Legal Max'!K112,AVERAGE('2024 Legal Max'!G112,'2024 Legal Max'!K112,'2024 Legal Max'!O112)), MAX(O112, K112))</f>
        <v>256.5</v>
      </c>
      <c r="T112" s="58">
        <f>IF(ISNA(VLOOKUP($CW112,'Audit Values'!$A:$BX,2,FALSE)),'Preliminary SO66'!AL111,VLOOKUP($CW112,'Audit Values'!$A:$BX,59,FALSE))</f>
        <v>13.5</v>
      </c>
      <c r="U112" s="58">
        <f t="shared" si="98"/>
        <v>270</v>
      </c>
      <c r="V112" s="58">
        <f>'Low-High ENRL- 2023 HSubSB 113'!N115</f>
        <v>152.19999999999999</v>
      </c>
      <c r="W112" s="58">
        <f>IF(ISNA(VLOOKUP($CW112,'Audit Values'!$A:$BZ,2,FALSE)),'Preliminary SO66'!AM111,VLOOKUP($CW112,'Audit Values'!$A:$BZ,63,FALSE))</f>
        <v>5.0999999999999996</v>
      </c>
      <c r="X112" s="58">
        <f>(W112/6)*'Weighting Factors'!$O$7</f>
        <v>0.3</v>
      </c>
      <c r="Y112" s="61">
        <f>IF(ISNA(VLOOKUP($CW112,'Audit Values'!$A:$BZ,2,FALSE)),'Preliminary SO66'!AN111,VLOOKUP($CW112,'Audit Values'!$A:$BZ,62,FALSE))</f>
        <v>3</v>
      </c>
      <c r="Z112" s="58">
        <f>Y112*'Weighting Factors'!$O$8</f>
        <v>0.6</v>
      </c>
      <c r="AA112" s="58">
        <f t="shared" si="99"/>
        <v>0.6</v>
      </c>
      <c r="AB112" s="106">
        <f>IF(ISNA(VLOOKUP($CW112,'Audit Values'!$A:$BZ,2,FALSE)),'Preliminary SO66'!AO111,VLOOKUP($CW112,'Audit Values'!$A:$BZ,61,FALSE))</f>
        <v>69.2</v>
      </c>
      <c r="AC112" s="58">
        <f>AB112/6*'Weighting Factors'!$O$6</f>
        <v>5.8</v>
      </c>
      <c r="AD112" s="24">
        <f>IF(ISNA(VLOOKUP($CW112,'Audit Values'!$A:$BX,2,FALSE)),'Preliminary SO66'!AS111,VLOOKUP($CW112,'Audit Values'!$A:$BX,64,FALSE))</f>
        <v>272</v>
      </c>
      <c r="AE112" s="24">
        <f>IF(ISNA(VLOOKUP($CW112,'Audit Values'!$A:$BX,2,FALSE)),'Preliminary SO66'!AP111,VLOOKUP($CW112,'Audit Values'!$A:$BX,65,FALSE))</f>
        <v>123</v>
      </c>
      <c r="AF112" s="58">
        <f>IF(A112=207, AE112,(AE112))*'Weighting Factors'!$O$9</f>
        <v>59.5</v>
      </c>
      <c r="AG112" s="58">
        <f t="shared" si="96"/>
        <v>8.8000000000000007</v>
      </c>
      <c r="AH112" s="58">
        <f>IF(ISNA(VLOOKUP($CW112,'Audit Values'!$A:$BZ,2,FALSE)),'Preliminary SO66'!AG111,VLOOKUP($CW112,'Audit Values'!$A:$BZ,71,FALSE))</f>
        <v>8.8000000000000007</v>
      </c>
      <c r="AI112" s="58">
        <f t="shared" si="100"/>
        <v>8.8000000000000007</v>
      </c>
      <c r="AJ112" s="58">
        <f>IF(ISNA(VLOOKUP($CW112,'Audit Values'!$A:$BX,2,FALSE)),'Preliminary SO66'!AR111,VLOOKUP($CW112,'Audit Values'!$A:$BX,66,FALSE))</f>
        <v>242</v>
      </c>
      <c r="AK112" s="24">
        <f t="shared" si="101"/>
        <v>316321</v>
      </c>
      <c r="AL112" s="58">
        <f>AK112/'Weighting Factors'!$O$5</f>
        <v>62.2</v>
      </c>
      <c r="AM112" s="58">
        <f>CJ112/'Weighting Factors'!$O$5</f>
        <v>0</v>
      </c>
      <c r="AN112" s="58">
        <f>CN112/'Weighting Factors'!$O$5</f>
        <v>0</v>
      </c>
      <c r="AO112" s="24">
        <v>347261</v>
      </c>
      <c r="AP112" s="58">
        <f>AO112/'Weighting Factors'!$O$5</f>
        <v>68.3</v>
      </c>
      <c r="AQ112" s="58">
        <f>IF(ISNA(VLOOKUP($CW112,'Audit Values'!$A:$BX,2,FALSE)),'Preliminary SO66'!X111,VLOOKUP($CW112,'Audit Values'!$A:$BX,48,FALSE))</f>
        <v>0</v>
      </c>
      <c r="AR112" s="58">
        <f t="shared" si="94"/>
        <v>627.4</v>
      </c>
      <c r="AS112" s="58">
        <f t="shared" si="95"/>
        <v>559.1</v>
      </c>
      <c r="AT112" s="58">
        <f>IF(ISNA(VLOOKUP($CW112,'Audit Values'!$A$2:$BX$410,2,FALSE)),'Preliminary SO66'!AA111,VLOOKUP($CW112,'Audit Values'!$A$2:$BX$410,41,FALSE))</f>
        <v>0</v>
      </c>
      <c r="AU112" s="58">
        <f>IF(ISNA(VLOOKUP($CW112,'Audit Values'!$A$2:$BX$410,2,FALSE)),'Preliminary SO66'!AB111,VLOOKUP($CW112,'Audit Values'!$A$2:$BX$410,42,FALSE))</f>
        <v>0</v>
      </c>
      <c r="AV112" s="73">
        <v>0</v>
      </c>
      <c r="AW112" s="73">
        <v>0</v>
      </c>
      <c r="AX112" s="24">
        <f>SUM(AT112*'Weighting Factors'!$R$10)+('2024 Legal Max'!AU112*'Weighting Factors'!$R$11)+('2024 Legal Max'!AV112*'Weighting Factors'!$R$12)+('2024 Legal Max'!AW112*'Weighting Factors'!$R$12)</f>
        <v>0</v>
      </c>
      <c r="AY112" s="54">
        <f>IF(ISNA(VLOOKUP($CW112,'Audit Values'!$A$2:$BX$429,2,FALSE)),"",IF(AND('Weighting Factors'!G112&gt;0,VLOOKUP($CW112,'Audit Values'!$A$2:$BX$429,51,FALSE)&lt;'Weighting Factors'!G112),'Weighting Factors'!G112,VLOOKUP($CW112,'Audit Values'!$A$2:$BX$429,51,FALSE)))</f>
        <v>8</v>
      </c>
      <c r="AZ112" s="54" t="str">
        <f>IF(ISNA(VLOOKUP($CW112,'Audit Values'!$A:$BY,2,FALSE)),"",VLOOKUP($CW112,'Audit Values'!$A:$BY,52,FALSE))</f>
        <v>A</v>
      </c>
      <c r="BA112" s="54" t="str">
        <f>IF('Weighting Factors'!F112="","",IF('Weighting Factors'!H112="Pending","PX","R"))</f>
        <v/>
      </c>
      <c r="BB112" s="60">
        <f>SUM((U112+V112+AA112+AC112+AF112+AI112+AL112+AM112+AQ112+AN112)*'Weighting Factors'!$O$5)+'2024 Legal Max'!AX112</f>
        <v>2844701</v>
      </c>
      <c r="BC112" s="24">
        <f>SUM((AR112+AN112)*'Weighting Factors'!$O$5)+AX112</f>
        <v>3192211</v>
      </c>
      <c r="BD112" s="67">
        <f>IF('Weighting Factors'!F112&gt;0,'Weighting Factors'!F112,'Preliminary SO66'!AV111)</f>
        <v>3344851</v>
      </c>
      <c r="BE112" s="24">
        <f t="shared" si="102"/>
        <v>3192211</v>
      </c>
      <c r="BF112" s="71">
        <f>'Weighting Factors'!E112</f>
        <v>0</v>
      </c>
      <c r="BG112" s="71">
        <f>Transportation!G112</f>
        <v>0</v>
      </c>
      <c r="BH112" s="24">
        <f>IF(ISNA(VLOOKUP($CW112,'Audit Values'!$A:$BW,2,FALSE)), 0, VLOOKUP($CW112,'Audit Values'!$A:$BW,75,FALSE))</f>
        <v>0</v>
      </c>
      <c r="BI112" s="24">
        <f t="shared" si="103"/>
        <v>0</v>
      </c>
      <c r="BJ112" s="24">
        <f t="shared" si="104"/>
        <v>3192211</v>
      </c>
      <c r="BK112" s="24">
        <f>SUM((U112+V112+AA112+AC112+AF112+AI112+AL112+AM112+AN112)*'Weighting Factors'!O$12)+(MAX(AO112,'Weighting Factors'!B112))</f>
        <v>3268850</v>
      </c>
      <c r="BL112" s="78">
        <f>'LOB%'!F110</f>
        <v>0.316</v>
      </c>
      <c r="BM112" s="24">
        <f t="shared" si="75"/>
        <v>1032957</v>
      </c>
      <c r="BN112" s="67">
        <v>1072238</v>
      </c>
      <c r="BO112" s="24">
        <f t="shared" si="105"/>
        <v>1032957</v>
      </c>
      <c r="BP112" s="89">
        <f t="shared" si="76"/>
        <v>0.316</v>
      </c>
      <c r="BQ112" s="58">
        <f t="shared" si="77"/>
        <v>0</v>
      </c>
      <c r="BR112" s="1" t="b">
        <f t="shared" si="78"/>
        <v>1</v>
      </c>
      <c r="BS112" s="76">
        <f t="shared" si="79"/>
        <v>1641.35</v>
      </c>
      <c r="BT112" s="75">
        <f t="shared" si="106"/>
        <v>0.56370799999999999</v>
      </c>
      <c r="BU112" s="58">
        <f t="shared" si="80"/>
        <v>152.19999999999999</v>
      </c>
      <c r="BV112" s="1" t="b">
        <f t="shared" si="81"/>
        <v>0</v>
      </c>
      <c r="BW112" s="1">
        <f t="shared" si="82"/>
        <v>0</v>
      </c>
      <c r="BX112" s="75">
        <f t="shared" si="107"/>
        <v>0</v>
      </c>
      <c r="BY112" s="58">
        <f t="shared" si="83"/>
        <v>0</v>
      </c>
      <c r="BZ112" s="58">
        <f t="shared" si="84"/>
        <v>0</v>
      </c>
      <c r="CA112" s="61">
        <v>435.5</v>
      </c>
      <c r="CB112" s="102">
        <f t="shared" si="85"/>
        <v>0.55600000000000005</v>
      </c>
      <c r="CC112" s="105">
        <f>IF(CB112&lt;0.06,1,IF(CB112&gt;=18.29,52,MATCH(CB112-0.001,'Weighting Factors'!$W$5:$W$156)+1))</f>
        <v>26</v>
      </c>
      <c r="CD112" s="24">
        <f>VLOOKUP(CC112, 'Weighting Factors'!$U$5:$X$56,4)</f>
        <v>1070</v>
      </c>
      <c r="CE112" s="109">
        <f>('Weighting Factors'!$O$5/'Weighting Factors'!$O$14)</f>
        <v>1.2216</v>
      </c>
      <c r="CF112" s="100">
        <f t="shared" si="86"/>
        <v>258940</v>
      </c>
      <c r="CG112" s="100">
        <f>CF112*'Weighting Factors'!$Q$7</f>
        <v>258940</v>
      </c>
      <c r="CH112" s="100">
        <f t="shared" si="108"/>
        <v>316321</v>
      </c>
      <c r="CI112" s="58">
        <f>AK112/'Weighting Factors'!$O$5</f>
        <v>62.2</v>
      </c>
      <c r="CJ112" s="67">
        <v>0</v>
      </c>
      <c r="CK112" s="80">
        <v>0</v>
      </c>
      <c r="CL112" s="110">
        <v>0</v>
      </c>
      <c r="CM112" s="24">
        <f>SUM((AR112*'Weighting Factors'!$O$5)+'2024 Legal Max'!AX112)*CL112</f>
        <v>0</v>
      </c>
      <c r="CN112" s="24">
        <f t="shared" si="109"/>
        <v>0</v>
      </c>
      <c r="CO112" s="65">
        <f t="shared" si="74"/>
        <v>0.45219999999999999</v>
      </c>
      <c r="CP112" s="58">
        <f t="shared" si="87"/>
        <v>0</v>
      </c>
      <c r="CQ112" s="58">
        <f t="shared" si="88"/>
        <v>8.8000000000000007</v>
      </c>
      <c r="CR112" s="58">
        <f t="shared" si="89"/>
        <v>627.4</v>
      </c>
      <c r="CS112" s="24">
        <f>'Required Transfers'!L112</f>
        <v>100094</v>
      </c>
      <c r="CT112" s="24">
        <f>'Required Transfers'!O112</f>
        <v>1033</v>
      </c>
      <c r="CU112" s="24">
        <f>'Required Transfers'!H112</f>
        <v>347510</v>
      </c>
      <c r="CV112" s="58">
        <f t="shared" si="90"/>
        <v>256</v>
      </c>
      <c r="CW112" s="27" t="s">
        <v>297</v>
      </c>
    </row>
    <row r="113" spans="1:101" ht="15" customHeight="1">
      <c r="A113" s="54">
        <v>311</v>
      </c>
      <c r="B113" s="1" t="s">
        <v>49</v>
      </c>
      <c r="C113" s="1" t="s">
        <v>618</v>
      </c>
      <c r="D113" s="58">
        <v>285.10000000000002</v>
      </c>
      <c r="E113" s="58"/>
      <c r="F113" s="58">
        <v>0</v>
      </c>
      <c r="G113" s="58">
        <f t="shared" si="91"/>
        <v>285.10000000000002</v>
      </c>
      <c r="H113" s="58">
        <v>301.10000000000002</v>
      </c>
      <c r="I113" s="58">
        <v>2</v>
      </c>
      <c r="J113" s="58">
        <v>0</v>
      </c>
      <c r="K113" s="58">
        <f t="shared" si="92"/>
        <v>299.10000000000002</v>
      </c>
      <c r="L113" s="1">
        <v>284.89999999999998</v>
      </c>
      <c r="N113" s="1">
        <v>0</v>
      </c>
      <c r="O113" s="58">
        <f t="shared" si="93"/>
        <v>284.89999999999998</v>
      </c>
      <c r="P113" s="58">
        <f>IF(ISNA(VLOOKUP($CW113,'Audit Values'!$A:$BZ,2,FALSE)),'Preliminary SO66'!C112,VLOOKUP($CW113,'Audit Values'!$A:$BZ,76,FALSE))</f>
        <v>269.89999999999998</v>
      </c>
      <c r="Q113" s="58">
        <f>IF(ISNA(VLOOKUP($CW113,'Audit Values'!$A:$BZ,2,FALSE)),'Preliminary SO66'!F112,VLOOKUP($CW113,'Audit Values'!$A:$BZ,4,FALSE))</f>
        <v>0</v>
      </c>
      <c r="R113" s="58">
        <f t="shared" si="97"/>
        <v>269.89999999999998</v>
      </c>
      <c r="S113" s="58">
        <f>IF('Military Provision'!I113="YES", MAX('2024 Legal Max'!O113,'2024 Legal Max'!K113,AVERAGE('2024 Legal Max'!G113,'2024 Legal Max'!K113,'2024 Legal Max'!O113)), MAX(O113, K113))</f>
        <v>299.10000000000002</v>
      </c>
      <c r="T113" s="58">
        <f>IF(ISNA(VLOOKUP($CW113,'Audit Values'!$A:$BX,2,FALSE)),'Preliminary SO66'!AL112,VLOOKUP($CW113,'Audit Values'!$A:$BX,59,FALSE))</f>
        <v>13</v>
      </c>
      <c r="U113" s="58">
        <f t="shared" si="98"/>
        <v>312.10000000000002</v>
      </c>
      <c r="V113" s="58">
        <f>'Low-High ENRL- 2023 HSubSB 113'!N116</f>
        <v>150.1</v>
      </c>
      <c r="W113" s="58">
        <f>IF(ISNA(VLOOKUP($CW113,'Audit Values'!$A:$BZ,2,FALSE)),'Preliminary SO66'!AM112,VLOOKUP($CW113,'Audit Values'!$A:$BZ,63,FALSE))</f>
        <v>0</v>
      </c>
      <c r="X113" s="58">
        <f>(W113/6)*'Weighting Factors'!$O$7</f>
        <v>0</v>
      </c>
      <c r="Y113" s="61">
        <f>IF(ISNA(VLOOKUP($CW113,'Audit Values'!$A:$BZ,2,FALSE)),'Preliminary SO66'!AN112,VLOOKUP($CW113,'Audit Values'!$A:$BZ,62,FALSE))</f>
        <v>0</v>
      </c>
      <c r="Z113" s="58">
        <f>Y113*'Weighting Factors'!$O$8</f>
        <v>0</v>
      </c>
      <c r="AA113" s="58">
        <f t="shared" si="99"/>
        <v>0</v>
      </c>
      <c r="AB113" s="106">
        <f>IF(ISNA(VLOOKUP($CW113,'Audit Values'!$A:$BZ,2,FALSE)),'Preliminary SO66'!AO112,VLOOKUP($CW113,'Audit Values'!$A:$BZ,61,FALSE))</f>
        <v>36</v>
      </c>
      <c r="AC113" s="58">
        <f>AB113/6*'Weighting Factors'!$O$6</f>
        <v>3</v>
      </c>
      <c r="AD113" s="24">
        <f>IF(ISNA(VLOOKUP($CW113,'Audit Values'!$A:$BX,2,FALSE)),'Preliminary SO66'!AS112,VLOOKUP($CW113,'Audit Values'!$A:$BX,64,FALSE))</f>
        <v>298</v>
      </c>
      <c r="AE113" s="24">
        <f>IF(ISNA(VLOOKUP($CW113,'Audit Values'!$A:$BX,2,FALSE)),'Preliminary SO66'!AP112,VLOOKUP($CW113,'Audit Values'!$A:$BX,65,FALSE))</f>
        <v>119</v>
      </c>
      <c r="AF113" s="58">
        <f>IF(A113=207, AE113,(AE113))*'Weighting Factors'!$O$9</f>
        <v>57.6</v>
      </c>
      <c r="AG113" s="58">
        <f t="shared" si="96"/>
        <v>4.0999999999999996</v>
      </c>
      <c r="AH113" s="58">
        <f>IF(ISNA(VLOOKUP($CW113,'Audit Values'!$A:$BZ,2,FALSE)),'Preliminary SO66'!AG112,VLOOKUP($CW113,'Audit Values'!$A:$BZ,71,FALSE))</f>
        <v>5.0999999999999996</v>
      </c>
      <c r="AI113" s="58">
        <f t="shared" si="100"/>
        <v>5.0999999999999996</v>
      </c>
      <c r="AJ113" s="58">
        <f>IF(ISNA(VLOOKUP($CW113,'Audit Values'!$A:$BX,2,FALSE)),'Preliminary SO66'!AR112,VLOOKUP($CW113,'Audit Values'!$A:$BX,66,FALSE))</f>
        <v>117</v>
      </c>
      <c r="AK113" s="24">
        <f t="shared" si="101"/>
        <v>152932</v>
      </c>
      <c r="AL113" s="58">
        <f>AK113/'Weighting Factors'!$O$5</f>
        <v>30.1</v>
      </c>
      <c r="AM113" s="58">
        <f>CJ113/'Weighting Factors'!$O$5</f>
        <v>0</v>
      </c>
      <c r="AN113" s="58">
        <f>CN113/'Weighting Factors'!$O$5</f>
        <v>0</v>
      </c>
      <c r="AO113" s="24">
        <v>328056</v>
      </c>
      <c r="AP113" s="58">
        <f>AO113/'Weighting Factors'!$O$5</f>
        <v>64.5</v>
      </c>
      <c r="AQ113" s="58">
        <f>IF(ISNA(VLOOKUP($CW113,'Audit Values'!$A:$BX,2,FALSE)),'Preliminary SO66'!X112,VLOOKUP($CW113,'Audit Values'!$A:$BX,48,FALSE))</f>
        <v>0</v>
      </c>
      <c r="AR113" s="58">
        <f t="shared" si="94"/>
        <v>622.5</v>
      </c>
      <c r="AS113" s="58">
        <f t="shared" si="95"/>
        <v>558</v>
      </c>
      <c r="AT113" s="58">
        <f>IF(ISNA(VLOOKUP($CW113,'Audit Values'!$A$2:$BX$410,2,FALSE)),'Preliminary SO66'!AA112,VLOOKUP($CW113,'Audit Values'!$A$2:$BX$410,41,FALSE))</f>
        <v>3</v>
      </c>
      <c r="AU113" s="58">
        <f>IF(ISNA(VLOOKUP($CW113,'Audit Values'!$A$2:$BX$410,2,FALSE)),'Preliminary SO66'!AB112,VLOOKUP($CW113,'Audit Values'!$A$2:$BX$410,42,FALSE))</f>
        <v>0</v>
      </c>
      <c r="AV113" s="73">
        <v>0</v>
      </c>
      <c r="AW113" s="73">
        <v>0</v>
      </c>
      <c r="AX113" s="24">
        <f>SUM(AT113*'Weighting Factors'!$R$10)+('2024 Legal Max'!AU113*'Weighting Factors'!$R$11)+('2024 Legal Max'!AV113*'Weighting Factors'!$R$12)+('2024 Legal Max'!AW113*'Weighting Factors'!$R$12)</f>
        <v>16800</v>
      </c>
      <c r="AY113" s="54">
        <f>IF(ISNA(VLOOKUP($CW113,'Audit Values'!$A$2:$BX$429,2,FALSE)),"",IF(AND('Weighting Factors'!G113&gt;0,VLOOKUP($CW113,'Audit Values'!$A$2:$BX$429,51,FALSE)&lt;'Weighting Factors'!G113),'Weighting Factors'!G113,VLOOKUP($CW113,'Audit Values'!$A$2:$BX$429,51,FALSE)))</f>
        <v>11</v>
      </c>
      <c r="AZ113" s="54" t="str">
        <f>IF(ISNA(VLOOKUP($CW113,'Audit Values'!$A:$BY,2,FALSE)),"",VLOOKUP($CW113,'Audit Values'!$A:$BY,52,FALSE))</f>
        <v>A</v>
      </c>
      <c r="BA113" s="54" t="str">
        <f>IF('Weighting Factors'!F113="","",IF('Weighting Factors'!H113="Pending","PX","R"))</f>
        <v/>
      </c>
      <c r="BB113" s="60">
        <f>SUM((U113+V113+AA113+AC113+AF113+AI113+AL113+AM113+AQ113+AN113)*'Weighting Factors'!$O$5)+'2024 Legal Max'!AX113</f>
        <v>2855904</v>
      </c>
      <c r="BC113" s="24">
        <f>SUM((AR113+AN113)*'Weighting Factors'!$O$5)+AX113</f>
        <v>3184080</v>
      </c>
      <c r="BD113" s="67">
        <f>IF('Weighting Factors'!F113&gt;0,'Weighting Factors'!F113,'Preliminary SO66'!AV112)</f>
        <v>3225302</v>
      </c>
      <c r="BE113" s="24">
        <f t="shared" si="102"/>
        <v>3184080</v>
      </c>
      <c r="BF113" s="71">
        <f>'Weighting Factors'!E113</f>
        <v>0</v>
      </c>
      <c r="BG113" s="71">
        <f>Transportation!G113</f>
        <v>-46956</v>
      </c>
      <c r="BH113" s="24">
        <f>IF(ISNA(VLOOKUP($CW113,'Audit Values'!$A:$BW,2,FALSE)), 0, VLOOKUP($CW113,'Audit Values'!$A:$BW,75,FALSE))</f>
        <v>0</v>
      </c>
      <c r="BI113" s="24">
        <f t="shared" si="103"/>
        <v>-46956</v>
      </c>
      <c r="BJ113" s="24">
        <f t="shared" si="104"/>
        <v>3137124</v>
      </c>
      <c r="BK113" s="24">
        <f>SUM((U113+V113+AA113+AC113+AF113+AI113+AL113+AM113+AN113)*'Weighting Factors'!O$12)+(MAX(AO113,'Weighting Factors'!B113))</f>
        <v>3206220</v>
      </c>
      <c r="BL113" s="78">
        <f>'LOB%'!F111</f>
        <v>0.316</v>
      </c>
      <c r="BM113" s="24">
        <f t="shared" si="75"/>
        <v>1013166</v>
      </c>
      <c r="BN113" s="67">
        <v>1020798</v>
      </c>
      <c r="BO113" s="24">
        <f t="shared" si="105"/>
        <v>1013166</v>
      </c>
      <c r="BP113" s="89">
        <f t="shared" si="76"/>
        <v>0.316</v>
      </c>
      <c r="BQ113" s="58">
        <f t="shared" si="77"/>
        <v>0</v>
      </c>
      <c r="BR113" s="1" t="b">
        <f t="shared" si="78"/>
        <v>0</v>
      </c>
      <c r="BS113" s="76">
        <f t="shared" si="79"/>
        <v>0</v>
      </c>
      <c r="BT113" s="75">
        <f t="shared" si="106"/>
        <v>0</v>
      </c>
      <c r="BU113" s="58">
        <f t="shared" si="80"/>
        <v>0</v>
      </c>
      <c r="BV113" s="1" t="b">
        <f t="shared" si="81"/>
        <v>1</v>
      </c>
      <c r="BW113" s="1">
        <f t="shared" si="82"/>
        <v>14.973800000000001</v>
      </c>
      <c r="BX113" s="75">
        <f t="shared" si="107"/>
        <v>0.48007499999999997</v>
      </c>
      <c r="BY113" s="58">
        <f t="shared" si="83"/>
        <v>149.80000000000001</v>
      </c>
      <c r="BZ113" s="58">
        <f t="shared" si="84"/>
        <v>0</v>
      </c>
      <c r="CA113" s="61">
        <v>208</v>
      </c>
      <c r="CB113" s="102">
        <f t="shared" si="85"/>
        <v>0.56299999999999994</v>
      </c>
      <c r="CC113" s="105">
        <f>IF(CB113&lt;0.06,1,IF(CB113&gt;=18.29,52,MATCH(CB113-0.001,'Weighting Factors'!$W$5:$W$156)+1))</f>
        <v>26</v>
      </c>
      <c r="CD113" s="24">
        <f>VLOOKUP(CC113, 'Weighting Factors'!$U$5:$X$56,4)</f>
        <v>1070</v>
      </c>
      <c r="CE113" s="109">
        <f>('Weighting Factors'!$O$5/'Weighting Factors'!$O$14)</f>
        <v>1.2216</v>
      </c>
      <c r="CF113" s="100">
        <f t="shared" si="86"/>
        <v>125190</v>
      </c>
      <c r="CG113" s="100">
        <f>CF113*'Weighting Factors'!$Q$7</f>
        <v>125190</v>
      </c>
      <c r="CH113" s="100">
        <f t="shared" si="108"/>
        <v>152932</v>
      </c>
      <c r="CI113" s="58">
        <f>AK113/'Weighting Factors'!$O$5</f>
        <v>30.1</v>
      </c>
      <c r="CJ113" s="67">
        <v>0</v>
      </c>
      <c r="CK113" s="80">
        <v>0</v>
      </c>
      <c r="CL113" s="110">
        <v>0</v>
      </c>
      <c r="CM113" s="24">
        <f>SUM((AR113*'Weighting Factors'!$O$5)+'2024 Legal Max'!AX113)*CL113</f>
        <v>0</v>
      </c>
      <c r="CN113" s="24">
        <f t="shared" si="109"/>
        <v>0</v>
      </c>
      <c r="CO113" s="65">
        <f t="shared" si="74"/>
        <v>0.39929999999999999</v>
      </c>
      <c r="CP113" s="58">
        <f t="shared" si="87"/>
        <v>0</v>
      </c>
      <c r="CQ113" s="58">
        <f t="shared" si="88"/>
        <v>4.0999999999999996</v>
      </c>
      <c r="CR113" s="58">
        <f t="shared" si="89"/>
        <v>622.5</v>
      </c>
      <c r="CS113" s="24">
        <f>'Required Transfers'!L113</f>
        <v>95744</v>
      </c>
      <c r="CT113" s="24">
        <f>'Required Transfers'!O113</f>
        <v>0</v>
      </c>
      <c r="CU113" s="24">
        <f>'Required Transfers'!H113</f>
        <v>319018</v>
      </c>
      <c r="CV113" s="58">
        <f t="shared" si="90"/>
        <v>285.89999999999998</v>
      </c>
      <c r="CW113" s="27" t="s">
        <v>298</v>
      </c>
    </row>
    <row r="114" spans="1:101" ht="15" customHeight="1">
      <c r="A114" s="54">
        <v>312</v>
      </c>
      <c r="B114" s="1" t="s">
        <v>49</v>
      </c>
      <c r="C114" s="1" t="s">
        <v>619</v>
      </c>
      <c r="D114" s="58">
        <v>684.3</v>
      </c>
      <c r="E114" s="58"/>
      <c r="F114" s="58">
        <v>0</v>
      </c>
      <c r="G114" s="58">
        <f t="shared" si="91"/>
        <v>684.3</v>
      </c>
      <c r="H114" s="58">
        <v>729</v>
      </c>
      <c r="I114" s="58"/>
      <c r="J114" s="58">
        <v>0</v>
      </c>
      <c r="K114" s="58">
        <f t="shared" si="92"/>
        <v>729</v>
      </c>
      <c r="L114" s="1">
        <v>724.7</v>
      </c>
      <c r="N114" s="1">
        <v>0</v>
      </c>
      <c r="O114" s="58">
        <f t="shared" si="93"/>
        <v>724.7</v>
      </c>
      <c r="P114" s="58">
        <f>IF(ISNA(VLOOKUP($CW114,'Audit Values'!$A:$BZ,2,FALSE)),'Preliminary SO66'!C113,VLOOKUP($CW114,'Audit Values'!$A:$BZ,76,FALSE))</f>
        <v>724.5</v>
      </c>
      <c r="Q114" s="58">
        <f>IF(ISNA(VLOOKUP($CW114,'Audit Values'!$A:$BZ,2,FALSE)),'Preliminary SO66'!F113,VLOOKUP($CW114,'Audit Values'!$A:$BZ,4,FALSE))</f>
        <v>0</v>
      </c>
      <c r="R114" s="58">
        <f t="shared" si="97"/>
        <v>724.5</v>
      </c>
      <c r="S114" s="58">
        <f>IF('Military Provision'!I114="YES", MAX('2024 Legal Max'!O114,'2024 Legal Max'!K114,AVERAGE('2024 Legal Max'!G114,'2024 Legal Max'!K114,'2024 Legal Max'!O114)), MAX(O114, K114))</f>
        <v>729</v>
      </c>
      <c r="T114" s="58">
        <f>IF(ISNA(VLOOKUP($CW114,'Audit Values'!$A:$BX,2,FALSE)),'Preliminary SO66'!AL113,VLOOKUP($CW114,'Audit Values'!$A:$BX,59,FALSE))</f>
        <v>17.5</v>
      </c>
      <c r="U114" s="58">
        <f t="shared" si="98"/>
        <v>746.5</v>
      </c>
      <c r="V114" s="58">
        <f>'Low-High ENRL- 2023 HSubSB 113'!N117</f>
        <v>250.1</v>
      </c>
      <c r="W114" s="58">
        <f>IF(ISNA(VLOOKUP($CW114,'Audit Values'!$A:$BZ,2,FALSE)),'Preliminary SO66'!AM113,VLOOKUP($CW114,'Audit Values'!$A:$BZ,63,FALSE))</f>
        <v>42.5</v>
      </c>
      <c r="X114" s="58">
        <f>(W114/6)*'Weighting Factors'!$O$7</f>
        <v>2.8</v>
      </c>
      <c r="Y114" s="61">
        <f>IF(ISNA(VLOOKUP($CW114,'Audit Values'!$A:$BZ,2,FALSE)),'Preliminary SO66'!AN113,VLOOKUP($CW114,'Audit Values'!$A:$BZ,62,FALSE))</f>
        <v>13</v>
      </c>
      <c r="Z114" s="58">
        <f>Y114*'Weighting Factors'!$O$8</f>
        <v>2.4</v>
      </c>
      <c r="AA114" s="58">
        <f t="shared" si="99"/>
        <v>2.8</v>
      </c>
      <c r="AB114" s="106">
        <f>IF(ISNA(VLOOKUP($CW114,'Audit Values'!$A:$BZ,2,FALSE)),'Preliminary SO66'!AO113,VLOOKUP($CW114,'Audit Values'!$A:$BZ,61,FALSE))</f>
        <v>397.8</v>
      </c>
      <c r="AC114" s="58">
        <f>AB114/6*'Weighting Factors'!$O$6</f>
        <v>33.200000000000003</v>
      </c>
      <c r="AD114" s="24">
        <f>IF(ISNA(VLOOKUP($CW114,'Audit Values'!$A:$BX,2,FALSE)),'Preliminary SO66'!AS113,VLOOKUP($CW114,'Audit Values'!$A:$BX,64,FALSE))</f>
        <v>763</v>
      </c>
      <c r="AE114" s="24">
        <f>IF(ISNA(VLOOKUP($CW114,'Audit Values'!$A:$BX,2,FALSE)),'Preliminary SO66'!AP113,VLOOKUP($CW114,'Audit Values'!$A:$BX,65,FALSE))</f>
        <v>289</v>
      </c>
      <c r="AF114" s="58">
        <f>IF(A114=207, AE114,(AE114))*'Weighting Factors'!$O$9</f>
        <v>139.9</v>
      </c>
      <c r="AG114" s="58">
        <f t="shared" si="96"/>
        <v>5.8</v>
      </c>
      <c r="AH114" s="58">
        <f>IF(ISNA(VLOOKUP($CW114,'Audit Values'!$A:$BZ,2,FALSE)),'Preliminary SO66'!AG113,VLOOKUP($CW114,'Audit Values'!$A:$BZ,71,FALSE))</f>
        <v>9.9</v>
      </c>
      <c r="AI114" s="58">
        <f t="shared" si="100"/>
        <v>9.9</v>
      </c>
      <c r="AJ114" s="58">
        <f>IF(ISNA(VLOOKUP($CW114,'Audit Values'!$A:$BX,2,FALSE)),'Preliminary SO66'!AR113,VLOOKUP($CW114,'Audit Values'!$A:$BX,66,FALSE))</f>
        <v>379</v>
      </c>
      <c r="AK114" s="24">
        <f t="shared" si="101"/>
        <v>421318</v>
      </c>
      <c r="AL114" s="58">
        <f>AK114/'Weighting Factors'!$O$5</f>
        <v>82.8</v>
      </c>
      <c r="AM114" s="58">
        <f>CJ114/'Weighting Factors'!$O$5</f>
        <v>0</v>
      </c>
      <c r="AN114" s="58">
        <f>CN114/'Weighting Factors'!$O$5</f>
        <v>0</v>
      </c>
      <c r="AO114" s="24">
        <v>941876</v>
      </c>
      <c r="AP114" s="58">
        <f>AO114/'Weighting Factors'!$O$5</f>
        <v>185.1</v>
      </c>
      <c r="AQ114" s="58">
        <f>IF(ISNA(VLOOKUP($CW114,'Audit Values'!$A:$BX,2,FALSE)),'Preliminary SO66'!X113,VLOOKUP($CW114,'Audit Values'!$A:$BX,48,FALSE))</f>
        <v>0</v>
      </c>
      <c r="AR114" s="58">
        <f t="shared" si="94"/>
        <v>1450.3</v>
      </c>
      <c r="AS114" s="58">
        <f t="shared" si="95"/>
        <v>1265.2</v>
      </c>
      <c r="AT114" s="58">
        <f>IF(ISNA(VLOOKUP($CW114,'Audit Values'!$A$2:$BX$410,2,FALSE)),'Preliminary SO66'!AA113,VLOOKUP($CW114,'Audit Values'!$A$2:$BX$410,41,FALSE))</f>
        <v>24</v>
      </c>
      <c r="AU114" s="58">
        <f>IF(ISNA(VLOOKUP($CW114,'Audit Values'!$A$2:$BX$410,2,FALSE)),'Preliminary SO66'!AB113,VLOOKUP($CW114,'Audit Values'!$A$2:$BX$410,42,FALSE))</f>
        <v>0</v>
      </c>
      <c r="AV114" s="73">
        <v>0</v>
      </c>
      <c r="AW114" s="73">
        <v>0</v>
      </c>
      <c r="AX114" s="24">
        <f>SUM(AT114*'Weighting Factors'!$R$10)+('2024 Legal Max'!AU114*'Weighting Factors'!$R$11)+('2024 Legal Max'!AV114*'Weighting Factors'!$R$12)+('2024 Legal Max'!AW114*'Weighting Factors'!$R$12)</f>
        <v>134400</v>
      </c>
      <c r="AY114" s="54">
        <f>IF(ISNA(VLOOKUP($CW114,'Audit Values'!$A$2:$BX$429,2,FALSE)),"",IF(AND('Weighting Factors'!G114&gt;0,VLOOKUP($CW114,'Audit Values'!$A$2:$BX$429,51,FALSE)&lt;'Weighting Factors'!G114),'Weighting Factors'!G114,VLOOKUP($CW114,'Audit Values'!$A$2:$BX$429,51,FALSE)))</f>
        <v>16</v>
      </c>
      <c r="AZ114" s="54" t="str">
        <f>IF(ISNA(VLOOKUP($CW114,'Audit Values'!$A:$BY,2,FALSE)),"",VLOOKUP($CW114,'Audit Values'!$A:$BY,52,FALSE))</f>
        <v>A</v>
      </c>
      <c r="BA114" s="54" t="str">
        <f>IF('Weighting Factors'!F114="","",IF('Weighting Factors'!H114="Pending","PX","R"))</f>
        <v/>
      </c>
      <c r="BB114" s="60">
        <f>SUM((U114+V114+AA114+AC114+AF114+AI114+AL114+AM114+AQ114+AN114)*'Weighting Factors'!$O$5)+'2024 Legal Max'!AX114</f>
        <v>6571738</v>
      </c>
      <c r="BC114" s="24">
        <f>SUM((AR114+AN114)*'Weighting Factors'!$O$5)+AX114</f>
        <v>7513526</v>
      </c>
      <c r="BD114" s="67">
        <f>IF('Weighting Factors'!F114&gt;0,'Weighting Factors'!F114,'Preliminary SO66'!AV113)</f>
        <v>7834404</v>
      </c>
      <c r="BE114" s="24">
        <f t="shared" si="102"/>
        <v>7513526</v>
      </c>
      <c r="BF114" s="71">
        <f>'Weighting Factors'!E114</f>
        <v>0</v>
      </c>
      <c r="BG114" s="71">
        <f>Transportation!G114</f>
        <v>-68915</v>
      </c>
      <c r="BH114" s="24">
        <f>IF(ISNA(VLOOKUP($CW114,'Audit Values'!$A:$BW,2,FALSE)), 0, VLOOKUP($CW114,'Audit Values'!$A:$BW,75,FALSE))</f>
        <v>0</v>
      </c>
      <c r="BI114" s="24">
        <f t="shared" si="103"/>
        <v>-68915</v>
      </c>
      <c r="BJ114" s="24">
        <f t="shared" si="104"/>
        <v>7444611</v>
      </c>
      <c r="BK114" s="24">
        <f>SUM((U114+V114+AA114+AC114+AF114+AI114+AL114+AM114+AN114)*'Weighting Factors'!O$12)+(MAX(AO114,'Weighting Factors'!B114))</f>
        <v>7510193</v>
      </c>
      <c r="BL114" s="78">
        <f>'LOB%'!F112</f>
        <v>0.316</v>
      </c>
      <c r="BM114" s="24">
        <f t="shared" si="75"/>
        <v>2373221</v>
      </c>
      <c r="BN114" s="67">
        <v>2457225</v>
      </c>
      <c r="BO114" s="24">
        <f t="shared" si="105"/>
        <v>2373221</v>
      </c>
      <c r="BP114" s="89">
        <f t="shared" si="76"/>
        <v>0.316</v>
      </c>
      <c r="BQ114" s="58">
        <f t="shared" si="77"/>
        <v>0</v>
      </c>
      <c r="BR114" s="1" t="b">
        <f t="shared" si="78"/>
        <v>0</v>
      </c>
      <c r="BS114" s="76">
        <f t="shared" si="79"/>
        <v>0</v>
      </c>
      <c r="BT114" s="75">
        <f t="shared" si="106"/>
        <v>0</v>
      </c>
      <c r="BU114" s="58">
        <f t="shared" si="80"/>
        <v>0</v>
      </c>
      <c r="BV114" s="1" t="b">
        <f t="shared" si="81"/>
        <v>1</v>
      </c>
      <c r="BW114" s="1">
        <f t="shared" si="82"/>
        <v>552.54380000000003</v>
      </c>
      <c r="BX114" s="75">
        <f t="shared" si="107"/>
        <v>0.33248899999999998</v>
      </c>
      <c r="BY114" s="58">
        <f t="shared" si="83"/>
        <v>248.2</v>
      </c>
      <c r="BZ114" s="58">
        <f t="shared" si="84"/>
        <v>0</v>
      </c>
      <c r="CA114" s="61">
        <v>282</v>
      </c>
      <c r="CB114" s="102">
        <f t="shared" si="85"/>
        <v>1.3440000000000001</v>
      </c>
      <c r="CC114" s="105">
        <f>IF(CB114&lt;0.06,1,IF(CB114&gt;=18.29,52,MATCH(CB114-0.001,'Weighting Factors'!$W$5:$W$156)+1))</f>
        <v>34</v>
      </c>
      <c r="CD114" s="24">
        <f>VLOOKUP(CC114, 'Weighting Factors'!$U$5:$X$56,4)</f>
        <v>910</v>
      </c>
      <c r="CE114" s="109">
        <f>('Weighting Factors'!$O$5/'Weighting Factors'!$O$14)</f>
        <v>1.2216</v>
      </c>
      <c r="CF114" s="100">
        <f t="shared" si="86"/>
        <v>344890</v>
      </c>
      <c r="CG114" s="100">
        <f>CF114*'Weighting Factors'!$Q$7</f>
        <v>344890</v>
      </c>
      <c r="CH114" s="100">
        <f t="shared" si="108"/>
        <v>421318</v>
      </c>
      <c r="CI114" s="58">
        <f>AK114/'Weighting Factors'!$O$5</f>
        <v>82.8</v>
      </c>
      <c r="CJ114" s="67">
        <v>0</v>
      </c>
      <c r="CK114" s="80">
        <v>0</v>
      </c>
      <c r="CL114" s="110">
        <v>0</v>
      </c>
      <c r="CM114" s="24">
        <f>SUM((AR114*'Weighting Factors'!$O$5)+'2024 Legal Max'!AX114)*CL114</f>
        <v>0</v>
      </c>
      <c r="CN114" s="24">
        <f t="shared" si="109"/>
        <v>0</v>
      </c>
      <c r="CO114" s="65">
        <f t="shared" si="74"/>
        <v>0.37880000000000003</v>
      </c>
      <c r="CP114" s="58">
        <f t="shared" si="87"/>
        <v>0</v>
      </c>
      <c r="CQ114" s="58">
        <f t="shared" si="88"/>
        <v>5.8</v>
      </c>
      <c r="CR114" s="58">
        <f t="shared" si="89"/>
        <v>1450.3</v>
      </c>
      <c r="CS114" s="24">
        <f>'Required Transfers'!L114</f>
        <v>231626</v>
      </c>
      <c r="CT114" s="24">
        <f>'Required Transfers'!O114</f>
        <v>4746</v>
      </c>
      <c r="CU114" s="24">
        <f>'Required Transfers'!H114</f>
        <v>762182</v>
      </c>
      <c r="CV114" s="58">
        <f t="shared" si="90"/>
        <v>766</v>
      </c>
      <c r="CW114" s="27" t="s">
        <v>299</v>
      </c>
    </row>
    <row r="115" spans="1:101" ht="15" customHeight="1">
      <c r="A115" s="54">
        <v>313</v>
      </c>
      <c r="B115" s="1" t="s">
        <v>49</v>
      </c>
      <c r="C115" s="1" t="s">
        <v>620</v>
      </c>
      <c r="D115" s="58">
        <v>2188.5</v>
      </c>
      <c r="E115" s="58"/>
      <c r="F115" s="58">
        <v>0</v>
      </c>
      <c r="G115" s="58">
        <f t="shared" si="91"/>
        <v>2188.5</v>
      </c>
      <c r="H115" s="58">
        <v>2172.3000000000002</v>
      </c>
      <c r="I115" s="58"/>
      <c r="J115" s="58">
        <v>0</v>
      </c>
      <c r="K115" s="58">
        <f t="shared" si="92"/>
        <v>2172.3000000000002</v>
      </c>
      <c r="L115" s="1">
        <v>2226.5</v>
      </c>
      <c r="N115" s="1">
        <v>0</v>
      </c>
      <c r="O115" s="58">
        <f t="shared" si="93"/>
        <v>2226.5</v>
      </c>
      <c r="P115" s="58">
        <f>IF(ISNA(VLOOKUP($CW115,'Audit Values'!$A:$BZ,2,FALSE)),'Preliminary SO66'!C114,VLOOKUP($CW115,'Audit Values'!$A:$BZ,76,FALSE))</f>
        <v>2198.1</v>
      </c>
      <c r="Q115" s="58">
        <f>IF(ISNA(VLOOKUP($CW115,'Audit Values'!$A:$BZ,2,FALSE)),'Preliminary SO66'!F114,VLOOKUP($CW115,'Audit Values'!$A:$BZ,4,FALSE))</f>
        <v>0</v>
      </c>
      <c r="R115" s="58">
        <f t="shared" si="97"/>
        <v>2198.1</v>
      </c>
      <c r="S115" s="58">
        <f>IF('Military Provision'!I115="YES", MAX('2024 Legal Max'!O115,'2024 Legal Max'!K115,AVERAGE('2024 Legal Max'!G115,'2024 Legal Max'!K115,'2024 Legal Max'!O115)), MAX(O115, K115))</f>
        <v>2226.5</v>
      </c>
      <c r="T115" s="58">
        <f>IF(ISNA(VLOOKUP($CW115,'Audit Values'!$A:$BX,2,FALSE)),'Preliminary SO66'!AL114,VLOOKUP($CW115,'Audit Values'!$A:$BX,59,FALSE))</f>
        <v>28.5</v>
      </c>
      <c r="U115" s="58">
        <f t="shared" si="98"/>
        <v>2255</v>
      </c>
      <c r="V115" s="58">
        <f>'Low-High ENRL- 2023 HSubSB 113'!N118</f>
        <v>79</v>
      </c>
      <c r="W115" s="58">
        <f>IF(ISNA(VLOOKUP($CW115,'Audit Values'!$A:$BZ,2,FALSE)),'Preliminary SO66'!AM114,VLOOKUP($CW115,'Audit Values'!$A:$BZ,63,FALSE))</f>
        <v>26.6</v>
      </c>
      <c r="X115" s="58">
        <f>(W115/6)*'Weighting Factors'!$O$7</f>
        <v>1.8</v>
      </c>
      <c r="Y115" s="61">
        <f>IF(ISNA(VLOOKUP($CW115,'Audit Values'!$A:$BZ,2,FALSE)),'Preliminary SO66'!AN114,VLOOKUP($CW115,'Audit Values'!$A:$BZ,62,FALSE))</f>
        <v>12</v>
      </c>
      <c r="Z115" s="58">
        <f>Y115*'Weighting Factors'!$O$8</f>
        <v>2.2000000000000002</v>
      </c>
      <c r="AA115" s="58">
        <f t="shared" si="99"/>
        <v>2.2000000000000002</v>
      </c>
      <c r="AB115" s="106">
        <f>IF(ISNA(VLOOKUP($CW115,'Audit Values'!$A:$BZ,2,FALSE)),'Preliminary SO66'!AO114,VLOOKUP($CW115,'Audit Values'!$A:$BZ,61,FALSE))</f>
        <v>561.5</v>
      </c>
      <c r="AC115" s="58">
        <f>AB115/6*'Weighting Factors'!$O$6</f>
        <v>46.8</v>
      </c>
      <c r="AD115" s="24">
        <f>IF(ISNA(VLOOKUP($CW115,'Audit Values'!$A:$BX,2,FALSE)),'Preliminary SO66'!AS114,VLOOKUP($CW115,'Audit Values'!$A:$BX,64,FALSE))</f>
        <v>2267</v>
      </c>
      <c r="AE115" s="24">
        <f>IF(ISNA(VLOOKUP($CW115,'Audit Values'!$A:$BX,2,FALSE)),'Preliminary SO66'!AP114,VLOOKUP($CW115,'Audit Values'!$A:$BX,65,FALSE))</f>
        <v>678</v>
      </c>
      <c r="AF115" s="58">
        <f>IF(A115=207, AE115,(AE115))*'Weighting Factors'!$O$9</f>
        <v>328.2</v>
      </c>
      <c r="AG115" s="58">
        <f t="shared" si="96"/>
        <v>0</v>
      </c>
      <c r="AH115" s="58">
        <f>IF(ISNA(VLOOKUP($CW115,'Audit Values'!$A:$BZ,2,FALSE)),'Preliminary SO66'!AG114,VLOOKUP($CW115,'Audit Values'!$A:$BZ,71,FALSE))</f>
        <v>4</v>
      </c>
      <c r="AI115" s="58">
        <f t="shared" si="100"/>
        <v>4</v>
      </c>
      <c r="AJ115" s="58">
        <f>IF(ISNA(VLOOKUP($CW115,'Audit Values'!$A:$BX,2,FALSE)),'Preliminary SO66'!AR114,VLOOKUP($CW115,'Audit Values'!$A:$BX,66,FALSE))</f>
        <v>1039</v>
      </c>
      <c r="AK115" s="24">
        <f t="shared" si="101"/>
        <v>825008</v>
      </c>
      <c r="AL115" s="58">
        <f>AK115/'Weighting Factors'!$O$5</f>
        <v>162.1</v>
      </c>
      <c r="AM115" s="58">
        <f>CJ115/'Weighting Factors'!$O$5</f>
        <v>0</v>
      </c>
      <c r="AN115" s="58">
        <f>CN115/'Weighting Factors'!$O$5</f>
        <v>0</v>
      </c>
      <c r="AO115" s="24">
        <v>2720262</v>
      </c>
      <c r="AP115" s="58">
        <f>AO115/'Weighting Factors'!$O$5</f>
        <v>534.6</v>
      </c>
      <c r="AQ115" s="58">
        <f>IF(ISNA(VLOOKUP($CW115,'Audit Values'!$A:$BX,2,FALSE)),'Preliminary SO66'!X114,VLOOKUP($CW115,'Audit Values'!$A:$BX,48,FALSE))</f>
        <v>0</v>
      </c>
      <c r="AR115" s="58">
        <f t="shared" si="94"/>
        <v>3411.9</v>
      </c>
      <c r="AS115" s="58">
        <f t="shared" si="95"/>
        <v>2877.3</v>
      </c>
      <c r="AT115" s="58">
        <f>IF(ISNA(VLOOKUP($CW115,'Audit Values'!$A$2:$BX$410,2,FALSE)),'Preliminary SO66'!AA114,VLOOKUP($CW115,'Audit Values'!$A$2:$BX$410,41,FALSE))</f>
        <v>176</v>
      </c>
      <c r="AU115" s="58">
        <f>IF(ISNA(VLOOKUP($CW115,'Audit Values'!$A$2:$BX$410,2,FALSE)),'Preliminary SO66'!AB114,VLOOKUP($CW115,'Audit Values'!$A$2:$BX$410,42,FALSE))</f>
        <v>0</v>
      </c>
      <c r="AV115" s="73">
        <v>5</v>
      </c>
      <c r="AW115" s="73">
        <v>4.5</v>
      </c>
      <c r="AX115" s="24">
        <f>SUM(AT115*'Weighting Factors'!$R$10)+('2024 Legal Max'!AU115*'Weighting Factors'!$R$11)+('2024 Legal Max'!AV115*'Weighting Factors'!$R$12)+('2024 Legal Max'!AW115*'Weighting Factors'!$R$12)</f>
        <v>992336</v>
      </c>
      <c r="AY115" s="54">
        <f>IF(ISNA(VLOOKUP($CW115,'Audit Values'!$A$2:$BX$429,2,FALSE)),"",IF(AND('Weighting Factors'!G115&gt;0,VLOOKUP($CW115,'Audit Values'!$A$2:$BX$429,51,FALSE)&lt;'Weighting Factors'!G115),'Weighting Factors'!G115,VLOOKUP($CW115,'Audit Values'!$A$2:$BX$429,51,FALSE)))</f>
        <v>25</v>
      </c>
      <c r="AZ115" s="54" t="str">
        <f>IF(ISNA(VLOOKUP($CW115,'Audit Values'!$A:$BY,2,FALSE)),"",VLOOKUP($CW115,'Audit Values'!$A:$BY,52,FALSE))</f>
        <v>A</v>
      </c>
      <c r="BA115" s="54" t="str">
        <f>IF('Weighting Factors'!F115="","",IF('Weighting Factors'!H115="Pending","PX","R"))</f>
        <v/>
      </c>
      <c r="BB115" s="60">
        <f>SUM((U115+V115+AA115+AC115+AF115+AI115+AL115+AM115+AQ115+AN115)*'Weighting Factors'!$O$5)+'2024 Legal Max'!AX115</f>
        <v>15632038</v>
      </c>
      <c r="BC115" s="24">
        <f>SUM((AR115+AN115)*'Weighting Factors'!$O$5)+AX115</f>
        <v>18352083</v>
      </c>
      <c r="BD115" s="67">
        <f>IF('Weighting Factors'!F115&gt;0,'Weighting Factors'!F115,'Preliminary SO66'!AV114)</f>
        <v>18572714</v>
      </c>
      <c r="BE115" s="24">
        <f t="shared" si="102"/>
        <v>18352083</v>
      </c>
      <c r="BF115" s="71">
        <f>'Weighting Factors'!E115</f>
        <v>0</v>
      </c>
      <c r="BG115" s="71">
        <f>Transportation!G115</f>
        <v>0</v>
      </c>
      <c r="BH115" s="24">
        <f>IF(ISNA(VLOOKUP($CW115,'Audit Values'!$A:$BW,2,FALSE)), 0, VLOOKUP($CW115,'Audit Values'!$A:$BW,75,FALSE))</f>
        <v>-11555</v>
      </c>
      <c r="BI115" s="24">
        <f t="shared" si="103"/>
        <v>-11555</v>
      </c>
      <c r="BJ115" s="24">
        <f t="shared" si="104"/>
        <v>18340528</v>
      </c>
      <c r="BK115" s="24">
        <f>SUM((U115+V115+AA115+AC115+AF115+AI115+AL115+AM115+AN115)*'Weighting Factors'!O$12)+(MAX(AO115,'Weighting Factors'!B115))</f>
        <v>17561375</v>
      </c>
      <c r="BL115" s="78">
        <f>'LOB%'!F113</f>
        <v>0.33</v>
      </c>
      <c r="BM115" s="24">
        <f t="shared" si="75"/>
        <v>5795254</v>
      </c>
      <c r="BN115" s="67">
        <v>5908868</v>
      </c>
      <c r="BO115" s="24">
        <f t="shared" si="105"/>
        <v>5795254</v>
      </c>
      <c r="BP115" s="89">
        <f t="shared" si="76"/>
        <v>0.33</v>
      </c>
      <c r="BQ115" s="58">
        <f t="shared" si="77"/>
        <v>0</v>
      </c>
      <c r="BR115" s="1" t="b">
        <f t="shared" si="78"/>
        <v>0</v>
      </c>
      <c r="BS115" s="76">
        <f t="shared" si="79"/>
        <v>0</v>
      </c>
      <c r="BT115" s="75">
        <f t="shared" si="106"/>
        <v>0</v>
      </c>
      <c r="BU115" s="58">
        <f t="shared" si="80"/>
        <v>0</v>
      </c>
      <c r="BV115" s="1" t="b">
        <f t="shared" si="81"/>
        <v>0</v>
      </c>
      <c r="BW115" s="1">
        <f t="shared" si="82"/>
        <v>0</v>
      </c>
      <c r="BX115" s="75">
        <f t="shared" si="107"/>
        <v>0</v>
      </c>
      <c r="BY115" s="58">
        <f t="shared" si="83"/>
        <v>0</v>
      </c>
      <c r="BZ115" s="58">
        <f t="shared" si="84"/>
        <v>79</v>
      </c>
      <c r="CA115" s="61">
        <v>137.69999999999999</v>
      </c>
      <c r="CB115" s="102">
        <f t="shared" si="85"/>
        <v>7.5449999999999999</v>
      </c>
      <c r="CC115" s="105">
        <f>IF(CB115&lt;0.06,1,IF(CB115&gt;=18.29,52,MATCH(CB115-0.001,'Weighting Factors'!$W$5:$W$156)+1))</f>
        <v>47</v>
      </c>
      <c r="CD115" s="24">
        <f>VLOOKUP(CC115, 'Weighting Factors'!$U$5:$X$56,4)</f>
        <v>650</v>
      </c>
      <c r="CE115" s="109">
        <f>('Weighting Factors'!$O$5/'Weighting Factors'!$O$14)</f>
        <v>1.2216</v>
      </c>
      <c r="CF115" s="100">
        <f t="shared" si="86"/>
        <v>675350</v>
      </c>
      <c r="CG115" s="100">
        <f>CF115*'Weighting Factors'!$Q$7</f>
        <v>675350</v>
      </c>
      <c r="CH115" s="100">
        <f t="shared" si="108"/>
        <v>825008</v>
      </c>
      <c r="CI115" s="58">
        <f>AK115/'Weighting Factors'!$O$5</f>
        <v>162.1</v>
      </c>
      <c r="CJ115" s="67">
        <v>0</v>
      </c>
      <c r="CK115" s="80">
        <v>0</v>
      </c>
      <c r="CL115" s="110">
        <v>0</v>
      </c>
      <c r="CM115" s="24">
        <f>SUM((AR115*'Weighting Factors'!$O$5)+'2024 Legal Max'!AX115)*CL115</f>
        <v>0</v>
      </c>
      <c r="CN115" s="24">
        <f t="shared" si="109"/>
        <v>0</v>
      </c>
      <c r="CO115" s="65">
        <f t="shared" si="74"/>
        <v>0.29909999999999998</v>
      </c>
      <c r="CP115" s="58">
        <f t="shared" si="87"/>
        <v>0</v>
      </c>
      <c r="CQ115" s="58">
        <f t="shared" si="88"/>
        <v>0</v>
      </c>
      <c r="CR115" s="58">
        <f t="shared" si="89"/>
        <v>3411.9</v>
      </c>
      <c r="CS115" s="24">
        <f>'Required Transfers'!L115</f>
        <v>562140</v>
      </c>
      <c r="CT115" s="24">
        <f>'Required Transfers'!O115</f>
        <v>4057</v>
      </c>
      <c r="CU115" s="24">
        <f>'Required Transfers'!H115</f>
        <v>1690234</v>
      </c>
      <c r="CV115" s="58">
        <f t="shared" si="90"/>
        <v>2404.1999999999998</v>
      </c>
      <c r="CW115" s="27" t="s">
        <v>300</v>
      </c>
    </row>
    <row r="116" spans="1:101" ht="15" customHeight="1">
      <c r="A116" s="54">
        <v>314</v>
      </c>
      <c r="B116" s="1" t="s">
        <v>50</v>
      </c>
      <c r="C116" s="1" t="s">
        <v>621</v>
      </c>
      <c r="D116" s="58">
        <v>121</v>
      </c>
      <c r="E116" s="58"/>
      <c r="F116" s="58">
        <v>0</v>
      </c>
      <c r="G116" s="58">
        <f t="shared" si="91"/>
        <v>121</v>
      </c>
      <c r="H116" s="58">
        <v>114.6</v>
      </c>
      <c r="I116" s="58"/>
      <c r="J116" s="58">
        <v>0</v>
      </c>
      <c r="K116" s="58">
        <f t="shared" si="92"/>
        <v>114.6</v>
      </c>
      <c r="L116" s="1">
        <v>114.5</v>
      </c>
      <c r="N116" s="1">
        <v>0</v>
      </c>
      <c r="O116" s="58">
        <f t="shared" si="93"/>
        <v>114.5</v>
      </c>
      <c r="P116" s="58">
        <f>IF(ISNA(VLOOKUP($CW116,'Audit Values'!$A:$BZ,2,FALSE)),'Preliminary SO66'!C115,VLOOKUP($CW116,'Audit Values'!$A:$BZ,76,FALSE))</f>
        <v>96.9</v>
      </c>
      <c r="Q116" s="58">
        <f>IF(ISNA(VLOOKUP($CW116,'Audit Values'!$A:$BZ,2,FALSE)),'Preliminary SO66'!F115,VLOOKUP($CW116,'Audit Values'!$A:$BZ,4,FALSE))</f>
        <v>0</v>
      </c>
      <c r="R116" s="58">
        <f t="shared" si="97"/>
        <v>96.9</v>
      </c>
      <c r="S116" s="58">
        <f>IF('Military Provision'!I116="YES", MAX('2024 Legal Max'!O116,'2024 Legal Max'!K116,AVERAGE('2024 Legal Max'!G116,'2024 Legal Max'!K116,'2024 Legal Max'!O116)), MAX(O116, K116))</f>
        <v>114.6</v>
      </c>
      <c r="T116" s="58">
        <f>IF(ISNA(VLOOKUP($CW116,'Audit Values'!$A:$BX,2,FALSE)),'Preliminary SO66'!AL115,VLOOKUP($CW116,'Audit Values'!$A:$BX,59,FALSE))</f>
        <v>1</v>
      </c>
      <c r="U116" s="58">
        <f t="shared" si="98"/>
        <v>115.6</v>
      </c>
      <c r="V116" s="58">
        <f>'Low-High ENRL- 2023 HSubSB 113'!N119</f>
        <v>112.5</v>
      </c>
      <c r="W116" s="58">
        <f>IF(ISNA(VLOOKUP($CW116,'Audit Values'!$A:$BZ,2,FALSE)),'Preliminary SO66'!AM115,VLOOKUP($CW116,'Audit Values'!$A:$BZ,63,FALSE))</f>
        <v>0</v>
      </c>
      <c r="X116" s="58">
        <f>(W116/6)*'Weighting Factors'!$O$7</f>
        <v>0</v>
      </c>
      <c r="Y116" s="61">
        <f>IF(ISNA(VLOOKUP($CW116,'Audit Values'!$A:$BZ,2,FALSE)),'Preliminary SO66'!AN115,VLOOKUP($CW116,'Audit Values'!$A:$BZ,62,FALSE))</f>
        <v>0</v>
      </c>
      <c r="Z116" s="58">
        <f>Y116*'Weighting Factors'!$O$8</f>
        <v>0</v>
      </c>
      <c r="AA116" s="58">
        <f t="shared" si="99"/>
        <v>0</v>
      </c>
      <c r="AB116" s="106">
        <f>IF(ISNA(VLOOKUP($CW116,'Audit Values'!$A:$BZ,2,FALSE)),'Preliminary SO66'!AO115,VLOOKUP($CW116,'Audit Values'!$A:$BZ,61,FALSE))</f>
        <v>0</v>
      </c>
      <c r="AC116" s="58">
        <f>AB116/6*'Weighting Factors'!$O$6</f>
        <v>0</v>
      </c>
      <c r="AD116" s="24">
        <f>IF(ISNA(VLOOKUP($CW116,'Audit Values'!$A:$BX,2,FALSE)),'Preliminary SO66'!AS115,VLOOKUP($CW116,'Audit Values'!$A:$BX,64,FALSE))</f>
        <v>100</v>
      </c>
      <c r="AE116" s="24">
        <f>IF(ISNA(VLOOKUP($CW116,'Audit Values'!$A:$BX,2,FALSE)),'Preliminary SO66'!AP115,VLOOKUP($CW116,'Audit Values'!$A:$BX,65,FALSE))</f>
        <v>32</v>
      </c>
      <c r="AF116" s="58">
        <f>IF(A116=207, AE116,(AE116))*'Weighting Factors'!$O$9</f>
        <v>15.5</v>
      </c>
      <c r="AG116" s="58">
        <f t="shared" si="96"/>
        <v>0</v>
      </c>
      <c r="AH116" s="58">
        <f>IF(ISNA(VLOOKUP($CW116,'Audit Values'!$A:$BZ,2,FALSE)),'Preliminary SO66'!AG115,VLOOKUP($CW116,'Audit Values'!$A:$BZ,71,FALSE))</f>
        <v>0</v>
      </c>
      <c r="AI116" s="58">
        <f t="shared" si="100"/>
        <v>0</v>
      </c>
      <c r="AJ116" s="58">
        <f>IF(ISNA(VLOOKUP($CW116,'Audit Values'!$A:$BX,2,FALSE)),'Preliminary SO66'!AR115,VLOOKUP($CW116,'Audit Values'!$A:$BX,66,FALSE))</f>
        <v>34</v>
      </c>
      <c r="AK116" s="24">
        <f t="shared" si="101"/>
        <v>61471</v>
      </c>
      <c r="AL116" s="58">
        <f>AK116/'Weighting Factors'!$O$5</f>
        <v>12.1</v>
      </c>
      <c r="AM116" s="58">
        <f>CJ116/'Weighting Factors'!$O$5</f>
        <v>0</v>
      </c>
      <c r="AN116" s="58">
        <f>CN116/'Weighting Factors'!$O$5</f>
        <v>0</v>
      </c>
      <c r="AO116" s="24">
        <v>113465</v>
      </c>
      <c r="AP116" s="58">
        <f>AO116/'Weighting Factors'!$O$5</f>
        <v>22.3</v>
      </c>
      <c r="AQ116" s="58">
        <f>IF(ISNA(VLOOKUP($CW116,'Audit Values'!$A:$BX,2,FALSE)),'Preliminary SO66'!X115,VLOOKUP($CW116,'Audit Values'!$A:$BX,48,FALSE))</f>
        <v>0</v>
      </c>
      <c r="AR116" s="58">
        <f t="shared" si="94"/>
        <v>278</v>
      </c>
      <c r="AS116" s="58">
        <f t="shared" si="95"/>
        <v>255.7</v>
      </c>
      <c r="AT116" s="58">
        <f>IF(ISNA(VLOOKUP($CW116,'Audit Values'!$A$2:$BX$410,2,FALSE)),'Preliminary SO66'!AA115,VLOOKUP($CW116,'Audit Values'!$A$2:$BX$410,41,FALSE))</f>
        <v>5</v>
      </c>
      <c r="AU116" s="58">
        <f>IF(ISNA(VLOOKUP($CW116,'Audit Values'!$A$2:$BX$410,2,FALSE)),'Preliminary SO66'!AB115,VLOOKUP($CW116,'Audit Values'!$A$2:$BX$410,42,FALSE))</f>
        <v>0</v>
      </c>
      <c r="AV116" s="73">
        <v>0</v>
      </c>
      <c r="AW116" s="73">
        <v>0</v>
      </c>
      <c r="AX116" s="24">
        <f>SUM(AT116*'Weighting Factors'!$R$10)+('2024 Legal Max'!AU116*'Weighting Factors'!$R$11)+('2024 Legal Max'!AV116*'Weighting Factors'!$R$12)+('2024 Legal Max'!AW116*'Weighting Factors'!$R$12)</f>
        <v>28000</v>
      </c>
      <c r="AY116" s="54">
        <f>IF(ISNA(VLOOKUP($CW116,'Audit Values'!$A$2:$BX$429,2,FALSE)),"",IF(AND('Weighting Factors'!G116&gt;0,VLOOKUP($CW116,'Audit Values'!$A$2:$BX$429,51,FALSE)&lt;'Weighting Factors'!G116),'Weighting Factors'!G116,VLOOKUP($CW116,'Audit Values'!$A$2:$BX$429,51,FALSE)))</f>
        <v>8</v>
      </c>
      <c r="AZ116" s="54" t="str">
        <f>IF(ISNA(VLOOKUP($CW116,'Audit Values'!$A:$BY,2,FALSE)),"",VLOOKUP($CW116,'Audit Values'!$A:$BY,52,FALSE))</f>
        <v>A</v>
      </c>
      <c r="BA116" s="54" t="str">
        <f>IF('Weighting Factors'!F116="","",IF('Weighting Factors'!H116="Pending","PX","R"))</f>
        <v/>
      </c>
      <c r="BB116" s="60">
        <f>SUM((U116+V116+AA116+AC116+AF116+AI116+AL116+AM116+AQ116+AN116)*'Weighting Factors'!$O$5)+'2024 Legal Max'!AX116</f>
        <v>1329002</v>
      </c>
      <c r="BC116" s="24">
        <f>SUM((AR116+AN116)*'Weighting Factors'!$O$5)+AX116</f>
        <v>1442464</v>
      </c>
      <c r="BD116" s="67">
        <f>IF('Weighting Factors'!F116&gt;0,'Weighting Factors'!F116,'Preliminary SO66'!AV115)</f>
        <v>1624618</v>
      </c>
      <c r="BE116" s="24">
        <f t="shared" si="102"/>
        <v>1442464</v>
      </c>
      <c r="BF116" s="71">
        <f>'Weighting Factors'!E116</f>
        <v>0</v>
      </c>
      <c r="BG116" s="71">
        <f>Transportation!G116</f>
        <v>0</v>
      </c>
      <c r="BH116" s="24">
        <f>IF(ISNA(VLOOKUP($CW116,'Audit Values'!$A:$BW,2,FALSE)), 0, VLOOKUP($CW116,'Audit Values'!$A:$BW,75,FALSE))</f>
        <v>0</v>
      </c>
      <c r="BI116" s="24">
        <f t="shared" si="103"/>
        <v>0</v>
      </c>
      <c r="BJ116" s="24">
        <f t="shared" si="104"/>
        <v>1442464</v>
      </c>
      <c r="BK116" s="24">
        <f>SUM((U116+V116+AA116+AC116+AF116+AI116+AL116+AM116+AN116)*'Weighting Factors'!O$12)+(MAX(AO116,'Weighting Factors'!B116))</f>
        <v>1436030</v>
      </c>
      <c r="BL116" s="78">
        <f>'LOB%'!F114</f>
        <v>0.33</v>
      </c>
      <c r="BM116" s="24">
        <f t="shared" si="75"/>
        <v>473890</v>
      </c>
      <c r="BN116" s="67">
        <v>531456</v>
      </c>
      <c r="BO116" s="24">
        <f t="shared" si="105"/>
        <v>473890</v>
      </c>
      <c r="BP116" s="89">
        <f t="shared" si="76"/>
        <v>0.33</v>
      </c>
      <c r="BQ116" s="58">
        <f t="shared" si="77"/>
        <v>0</v>
      </c>
      <c r="BR116" s="1" t="b">
        <f t="shared" si="78"/>
        <v>1</v>
      </c>
      <c r="BS116" s="76">
        <f t="shared" si="79"/>
        <v>150.61799999999999</v>
      </c>
      <c r="BT116" s="75">
        <f t="shared" si="106"/>
        <v>0.97297999999999996</v>
      </c>
      <c r="BU116" s="58">
        <f t="shared" si="80"/>
        <v>112.5</v>
      </c>
      <c r="BV116" s="1" t="b">
        <f t="shared" si="81"/>
        <v>0</v>
      </c>
      <c r="BW116" s="1">
        <f t="shared" si="82"/>
        <v>0</v>
      </c>
      <c r="BX116" s="75">
        <f t="shared" si="107"/>
        <v>0</v>
      </c>
      <c r="BY116" s="58">
        <f t="shared" si="83"/>
        <v>0</v>
      </c>
      <c r="BZ116" s="58">
        <f t="shared" si="84"/>
        <v>0</v>
      </c>
      <c r="CA116" s="61">
        <v>372.8</v>
      </c>
      <c r="CB116" s="102">
        <f t="shared" si="85"/>
        <v>9.0999999999999998E-2</v>
      </c>
      <c r="CC116" s="105">
        <f>IF(CB116&lt;0.06,1,IF(CB116&gt;=18.29,52,MATCH(CB116-0.001,'Weighting Factors'!$W$5:$W$156)+1))</f>
        <v>5</v>
      </c>
      <c r="CD116" s="24">
        <f>VLOOKUP(CC116, 'Weighting Factors'!$U$5:$X$56,4)</f>
        <v>1480</v>
      </c>
      <c r="CE116" s="109">
        <f>('Weighting Factors'!$O$5/'Weighting Factors'!$O$14)</f>
        <v>1.2216</v>
      </c>
      <c r="CF116" s="100">
        <f t="shared" si="86"/>
        <v>50320</v>
      </c>
      <c r="CG116" s="100">
        <f>CF116*'Weighting Factors'!$Q$7</f>
        <v>50320</v>
      </c>
      <c r="CH116" s="100">
        <f t="shared" si="108"/>
        <v>61471</v>
      </c>
      <c r="CI116" s="58">
        <f>AK116/'Weighting Factors'!$O$5</f>
        <v>12.1</v>
      </c>
      <c r="CJ116" s="67">
        <v>0</v>
      </c>
      <c r="CK116" s="80">
        <v>0</v>
      </c>
      <c r="CL116" s="110">
        <v>0</v>
      </c>
      <c r="CM116" s="24">
        <f>SUM((AR116*'Weighting Factors'!$O$5)+'2024 Legal Max'!AX116)*CL116</f>
        <v>0</v>
      </c>
      <c r="CN116" s="24">
        <f t="shared" si="109"/>
        <v>0</v>
      </c>
      <c r="CO116" s="65">
        <f t="shared" si="74"/>
        <v>0.32</v>
      </c>
      <c r="CP116" s="58">
        <f t="shared" si="87"/>
        <v>0</v>
      </c>
      <c r="CQ116" s="58">
        <f t="shared" si="88"/>
        <v>0</v>
      </c>
      <c r="CR116" s="58">
        <f t="shared" si="89"/>
        <v>278</v>
      </c>
      <c r="CS116" s="24">
        <f>'Required Transfers'!L116</f>
        <v>26538</v>
      </c>
      <c r="CT116" s="24">
        <f>'Required Transfers'!O116</f>
        <v>0</v>
      </c>
      <c r="CU116" s="24">
        <f>'Required Transfers'!H116</f>
        <v>78864</v>
      </c>
      <c r="CV116" s="58">
        <f t="shared" si="90"/>
        <v>102.9</v>
      </c>
      <c r="CW116" s="27" t="s">
        <v>301</v>
      </c>
    </row>
    <row r="117" spans="1:101" ht="15" customHeight="1">
      <c r="A117" s="54">
        <v>315</v>
      </c>
      <c r="B117" s="1" t="s">
        <v>50</v>
      </c>
      <c r="C117" s="1" t="s">
        <v>622</v>
      </c>
      <c r="D117" s="58">
        <v>909.9</v>
      </c>
      <c r="E117" s="58"/>
      <c r="F117" s="58">
        <v>0</v>
      </c>
      <c r="G117" s="58">
        <f t="shared" si="91"/>
        <v>909.9</v>
      </c>
      <c r="H117" s="58">
        <v>942</v>
      </c>
      <c r="I117" s="58">
        <v>1</v>
      </c>
      <c r="J117" s="58">
        <v>0</v>
      </c>
      <c r="K117" s="58">
        <f t="shared" si="92"/>
        <v>941</v>
      </c>
      <c r="L117" s="1">
        <v>926.5</v>
      </c>
      <c r="N117" s="1">
        <v>0</v>
      </c>
      <c r="O117" s="58">
        <f t="shared" si="93"/>
        <v>926.5</v>
      </c>
      <c r="P117" s="58">
        <f>IF(ISNA(VLOOKUP($CW117,'Audit Values'!$A:$BZ,2,FALSE)),'Preliminary SO66'!C116,VLOOKUP($CW117,'Audit Values'!$A:$BZ,76,FALSE))</f>
        <v>908.1</v>
      </c>
      <c r="Q117" s="58">
        <f>IF(ISNA(VLOOKUP($CW117,'Audit Values'!$A:$BZ,2,FALSE)),'Preliminary SO66'!F116,VLOOKUP($CW117,'Audit Values'!$A:$BZ,4,FALSE))</f>
        <v>0</v>
      </c>
      <c r="R117" s="58">
        <f t="shared" si="97"/>
        <v>908.1</v>
      </c>
      <c r="S117" s="58">
        <f>IF('Military Provision'!I117="YES", MAX('2024 Legal Max'!O117,'2024 Legal Max'!K117,AVERAGE('2024 Legal Max'!G117,'2024 Legal Max'!K117,'2024 Legal Max'!O117)), MAX(O117, K117))</f>
        <v>941</v>
      </c>
      <c r="T117" s="58">
        <f>IF(ISNA(VLOOKUP($CW117,'Audit Values'!$A:$BX,2,FALSE)),'Preliminary SO66'!AL116,VLOOKUP($CW117,'Audit Values'!$A:$BX,59,FALSE))</f>
        <v>9</v>
      </c>
      <c r="U117" s="58">
        <f t="shared" si="98"/>
        <v>950</v>
      </c>
      <c r="V117" s="58">
        <f>'Low-High ENRL- 2023 HSubSB 113'!N120</f>
        <v>250.2</v>
      </c>
      <c r="W117" s="58">
        <f>IF(ISNA(VLOOKUP($CW117,'Audit Values'!$A:$BZ,2,FALSE)),'Preliminary SO66'!AM116,VLOOKUP($CW117,'Audit Values'!$A:$BZ,63,FALSE))</f>
        <v>117.8</v>
      </c>
      <c r="X117" s="58">
        <f>(W117/6)*'Weighting Factors'!$O$7</f>
        <v>7.8</v>
      </c>
      <c r="Y117" s="61">
        <f>IF(ISNA(VLOOKUP($CW117,'Audit Values'!$A:$BZ,2,FALSE)),'Preliminary SO66'!AN116,VLOOKUP($CW117,'Audit Values'!$A:$BZ,62,FALSE))</f>
        <v>64</v>
      </c>
      <c r="Z117" s="58">
        <f>Y117*'Weighting Factors'!$O$8</f>
        <v>11.8</v>
      </c>
      <c r="AA117" s="58">
        <f t="shared" si="99"/>
        <v>11.8</v>
      </c>
      <c r="AB117" s="106">
        <f>IF(ISNA(VLOOKUP($CW117,'Audit Values'!$A:$BZ,2,FALSE)),'Preliminary SO66'!AO116,VLOOKUP($CW117,'Audit Values'!$A:$BZ,61,FALSE))</f>
        <v>262.2</v>
      </c>
      <c r="AC117" s="58">
        <f>AB117/6*'Weighting Factors'!$O$6</f>
        <v>21.9</v>
      </c>
      <c r="AD117" s="24">
        <f>IF(ISNA(VLOOKUP($CW117,'Audit Values'!$A:$BX,2,FALSE)),'Preliminary SO66'!AS116,VLOOKUP($CW117,'Audit Values'!$A:$BX,64,FALSE))</f>
        <v>937</v>
      </c>
      <c r="AE117" s="24">
        <f>IF(ISNA(VLOOKUP($CW117,'Audit Values'!$A:$BX,2,FALSE)),'Preliminary SO66'!AP116,VLOOKUP($CW117,'Audit Values'!$A:$BX,65,FALSE))</f>
        <v>274</v>
      </c>
      <c r="AF117" s="58">
        <f>IF(A117=207, AE117,(AE117))*'Weighting Factors'!$O$9</f>
        <v>132.6</v>
      </c>
      <c r="AG117" s="58">
        <f t="shared" si="96"/>
        <v>0</v>
      </c>
      <c r="AH117" s="58">
        <f>IF(ISNA(VLOOKUP($CW117,'Audit Values'!$A:$BZ,2,FALSE)),'Preliminary SO66'!AG116,VLOOKUP($CW117,'Audit Values'!$A:$BZ,71,FALSE))</f>
        <v>0</v>
      </c>
      <c r="AI117" s="58">
        <f t="shared" si="100"/>
        <v>0</v>
      </c>
      <c r="AJ117" s="58">
        <f>IF(ISNA(VLOOKUP($CW117,'Audit Values'!$A:$BX,2,FALSE)),'Preliminary SO66'!AR116,VLOOKUP($CW117,'Audit Values'!$A:$BX,66,FALSE))</f>
        <v>174</v>
      </c>
      <c r="AK117" s="24">
        <f t="shared" si="101"/>
        <v>244442</v>
      </c>
      <c r="AL117" s="58">
        <f>AK117/'Weighting Factors'!$O$5</f>
        <v>48</v>
      </c>
      <c r="AM117" s="58">
        <f>CJ117/'Weighting Factors'!$O$5</f>
        <v>0</v>
      </c>
      <c r="AN117" s="58">
        <f>CN117/'Weighting Factors'!$O$5</f>
        <v>0</v>
      </c>
      <c r="AO117" s="24">
        <v>656710</v>
      </c>
      <c r="AP117" s="58">
        <f>AO117/'Weighting Factors'!$O$5</f>
        <v>129.1</v>
      </c>
      <c r="AQ117" s="58">
        <f>IF(ISNA(VLOOKUP($CW117,'Audit Values'!$A:$BX,2,FALSE)),'Preliminary SO66'!X116,VLOOKUP($CW117,'Audit Values'!$A:$BX,48,FALSE))</f>
        <v>0</v>
      </c>
      <c r="AR117" s="58">
        <f t="shared" si="94"/>
        <v>1543.6</v>
      </c>
      <c r="AS117" s="58">
        <f t="shared" si="95"/>
        <v>1414.5</v>
      </c>
      <c r="AT117" s="58">
        <f>IF(ISNA(VLOOKUP($CW117,'Audit Values'!$A$2:$BX$410,2,FALSE)),'Preliminary SO66'!AA116,VLOOKUP($CW117,'Audit Values'!$A$2:$BX$410,41,FALSE))</f>
        <v>0</v>
      </c>
      <c r="AU117" s="58">
        <f>IF(ISNA(VLOOKUP($CW117,'Audit Values'!$A$2:$BX$410,2,FALSE)),'Preliminary SO66'!AB116,VLOOKUP($CW117,'Audit Values'!$A$2:$BX$410,42,FALSE))</f>
        <v>0</v>
      </c>
      <c r="AV117" s="73">
        <v>0</v>
      </c>
      <c r="AW117" s="73">
        <v>0</v>
      </c>
      <c r="AX117" s="24">
        <f>SUM(AT117*'Weighting Factors'!$R$10)+('2024 Legal Max'!AU117*'Weighting Factors'!$R$11)+('2024 Legal Max'!AV117*'Weighting Factors'!$R$12)+('2024 Legal Max'!AW117*'Weighting Factors'!$R$12)</f>
        <v>0</v>
      </c>
      <c r="AY117" s="54">
        <f>IF(ISNA(VLOOKUP($CW117,'Audit Values'!$A$2:$BX$429,2,FALSE)),"",IF(AND('Weighting Factors'!G117&gt;0,VLOOKUP($CW117,'Audit Values'!$A$2:$BX$429,51,FALSE)&lt;'Weighting Factors'!G117),'Weighting Factors'!G117,VLOOKUP($CW117,'Audit Values'!$A$2:$BX$429,51,FALSE)))</f>
        <v>11</v>
      </c>
      <c r="AZ117" s="54" t="str">
        <f>IF(ISNA(VLOOKUP($CW117,'Audit Values'!$A:$BY,2,FALSE)),"",VLOOKUP($CW117,'Audit Values'!$A:$BY,52,FALSE))</f>
        <v>A</v>
      </c>
      <c r="BA117" s="54" t="str">
        <f>IF('Weighting Factors'!F117="","",IF('Weighting Factors'!H117="Pending","PX","R"))</f>
        <v/>
      </c>
      <c r="BB117" s="60">
        <f>SUM((U117+V117+AA117+AC117+AF117+AI117+AL117+AM117+AQ117+AN117)*'Weighting Factors'!$O$5)+'2024 Legal Max'!AX117</f>
        <v>7196976</v>
      </c>
      <c r="BC117" s="24">
        <f>SUM((AR117+AN117)*'Weighting Factors'!$O$5)+AX117</f>
        <v>7853837</v>
      </c>
      <c r="BD117" s="67">
        <f>IF('Weighting Factors'!F117&gt;0,'Weighting Factors'!F117,'Preliminary SO66'!AV116)</f>
        <v>8021232</v>
      </c>
      <c r="BE117" s="24">
        <f t="shared" si="102"/>
        <v>7853837</v>
      </c>
      <c r="BF117" s="71">
        <f>'Weighting Factors'!E117</f>
        <v>0</v>
      </c>
      <c r="BG117" s="71">
        <f>Transportation!G117</f>
        <v>0</v>
      </c>
      <c r="BH117" s="24">
        <f>IF(ISNA(VLOOKUP($CW117,'Audit Values'!$A:$BW,2,FALSE)), 0, VLOOKUP($CW117,'Audit Values'!$A:$BW,75,FALSE))</f>
        <v>0</v>
      </c>
      <c r="BI117" s="24">
        <f t="shared" si="103"/>
        <v>0</v>
      </c>
      <c r="BJ117" s="24">
        <f t="shared" si="104"/>
        <v>7853837</v>
      </c>
      <c r="BK117" s="24">
        <f>SUM((U117+V117+AA117+AC117+AF117+AI117+AL117+AM117+AN117)*'Weighting Factors'!O$12)+(MAX(AO117,'Weighting Factors'!B117))</f>
        <v>8342253</v>
      </c>
      <c r="BL117" s="78">
        <f>'LOB%'!F115</f>
        <v>0.33</v>
      </c>
      <c r="BM117" s="24">
        <f t="shared" si="75"/>
        <v>2752943</v>
      </c>
      <c r="BN117" s="67">
        <v>2787497</v>
      </c>
      <c r="BO117" s="24">
        <f t="shared" si="105"/>
        <v>2752943</v>
      </c>
      <c r="BP117" s="89">
        <f t="shared" si="76"/>
        <v>0.33</v>
      </c>
      <c r="BQ117" s="58">
        <f t="shared" si="77"/>
        <v>0</v>
      </c>
      <c r="BR117" s="1" t="b">
        <f t="shared" si="78"/>
        <v>0</v>
      </c>
      <c r="BS117" s="76">
        <f t="shared" si="79"/>
        <v>0</v>
      </c>
      <c r="BT117" s="75">
        <f t="shared" si="106"/>
        <v>0</v>
      </c>
      <c r="BU117" s="58">
        <f t="shared" si="80"/>
        <v>0</v>
      </c>
      <c r="BV117" s="1" t="b">
        <f t="shared" si="81"/>
        <v>1</v>
      </c>
      <c r="BW117" s="1">
        <f t="shared" si="82"/>
        <v>804.375</v>
      </c>
      <c r="BX117" s="75">
        <f t="shared" si="107"/>
        <v>0.26334999999999997</v>
      </c>
      <c r="BY117" s="58">
        <f t="shared" si="83"/>
        <v>250.2</v>
      </c>
      <c r="BZ117" s="58">
        <f t="shared" si="84"/>
        <v>0</v>
      </c>
      <c r="CA117" s="61">
        <v>463</v>
      </c>
      <c r="CB117" s="102">
        <f t="shared" si="85"/>
        <v>0.376</v>
      </c>
      <c r="CC117" s="105">
        <f>IF(CB117&lt;0.06,1,IF(CB117&gt;=18.29,52,MATCH(CB117-0.001,'Weighting Factors'!$W$5:$W$156)+1))</f>
        <v>22</v>
      </c>
      <c r="CD117" s="24">
        <f>VLOOKUP(CC117, 'Weighting Factors'!$U$5:$X$56,4)</f>
        <v>1150</v>
      </c>
      <c r="CE117" s="109">
        <f>('Weighting Factors'!$O$5/'Weighting Factors'!$O$14)</f>
        <v>1.2216</v>
      </c>
      <c r="CF117" s="100">
        <f t="shared" si="86"/>
        <v>200100</v>
      </c>
      <c r="CG117" s="100">
        <f>CF117*'Weighting Factors'!$Q$7</f>
        <v>200100</v>
      </c>
      <c r="CH117" s="100">
        <f t="shared" si="108"/>
        <v>244442</v>
      </c>
      <c r="CI117" s="58">
        <f>AK117/'Weighting Factors'!$O$5</f>
        <v>48</v>
      </c>
      <c r="CJ117" s="67">
        <v>0</v>
      </c>
      <c r="CK117" s="80">
        <v>0</v>
      </c>
      <c r="CL117" s="110">
        <v>0</v>
      </c>
      <c r="CM117" s="24">
        <f>SUM((AR117*'Weighting Factors'!$O$5)+'2024 Legal Max'!AX117)*CL117</f>
        <v>0</v>
      </c>
      <c r="CN117" s="24">
        <f t="shared" si="109"/>
        <v>0</v>
      </c>
      <c r="CO117" s="65">
        <f t="shared" si="74"/>
        <v>0.29239999999999999</v>
      </c>
      <c r="CP117" s="58">
        <f t="shared" si="87"/>
        <v>0</v>
      </c>
      <c r="CQ117" s="58">
        <f t="shared" si="88"/>
        <v>0</v>
      </c>
      <c r="CR117" s="58">
        <f t="shared" si="89"/>
        <v>1543.6</v>
      </c>
      <c r="CS117" s="24">
        <f>'Required Transfers'!L117</f>
        <v>237854</v>
      </c>
      <c r="CT117" s="24">
        <f>'Required Transfers'!O117</f>
        <v>21198</v>
      </c>
      <c r="CU117" s="24">
        <f>'Required Transfers'!H117</f>
        <v>674669</v>
      </c>
      <c r="CV117" s="58">
        <f t="shared" si="90"/>
        <v>917.1</v>
      </c>
      <c r="CW117" s="27" t="s">
        <v>302</v>
      </c>
    </row>
    <row r="118" spans="1:101" ht="15" customHeight="1">
      <c r="A118" s="54">
        <v>316</v>
      </c>
      <c r="B118" s="1" t="s">
        <v>50</v>
      </c>
      <c r="C118" s="1" t="s">
        <v>623</v>
      </c>
      <c r="D118" s="58">
        <v>165.2</v>
      </c>
      <c r="E118" s="58"/>
      <c r="F118" s="58">
        <v>0</v>
      </c>
      <c r="G118" s="58">
        <f t="shared" si="91"/>
        <v>165.2</v>
      </c>
      <c r="H118" s="58">
        <v>166</v>
      </c>
      <c r="I118" s="58"/>
      <c r="J118" s="58">
        <v>0</v>
      </c>
      <c r="K118" s="58">
        <f t="shared" si="92"/>
        <v>166</v>
      </c>
      <c r="L118" s="1">
        <v>150.5</v>
      </c>
      <c r="N118" s="1">
        <v>0</v>
      </c>
      <c r="O118" s="58">
        <f t="shared" si="93"/>
        <v>150.5</v>
      </c>
      <c r="P118" s="58">
        <f>IF(ISNA(VLOOKUP($CW118,'Audit Values'!$A:$BZ,2,FALSE)),'Preliminary SO66'!C117,VLOOKUP($CW118,'Audit Values'!$A:$BZ,76,FALSE))</f>
        <v>143.5</v>
      </c>
      <c r="Q118" s="58">
        <f>IF(ISNA(VLOOKUP($CW118,'Audit Values'!$A:$BZ,2,FALSE)),'Preliminary SO66'!F117,VLOOKUP($CW118,'Audit Values'!$A:$BZ,4,FALSE))</f>
        <v>0</v>
      </c>
      <c r="R118" s="58">
        <f t="shared" si="97"/>
        <v>143.5</v>
      </c>
      <c r="S118" s="58">
        <f>IF('Military Provision'!I118="YES", MAX('2024 Legal Max'!O118,'2024 Legal Max'!K118,AVERAGE('2024 Legal Max'!G118,'2024 Legal Max'!K118,'2024 Legal Max'!O118)), MAX(O118, K118))</f>
        <v>166</v>
      </c>
      <c r="T118" s="58">
        <f>IF(ISNA(VLOOKUP($CW118,'Audit Values'!$A:$BX,2,FALSE)),'Preliminary SO66'!AL117,VLOOKUP($CW118,'Audit Values'!$A:$BX,59,FALSE))</f>
        <v>3.5</v>
      </c>
      <c r="U118" s="58">
        <f t="shared" si="98"/>
        <v>169.5</v>
      </c>
      <c r="V118" s="58">
        <f>'Low-High ENRL- 2023 HSubSB 113'!N121</f>
        <v>140.69999999999999</v>
      </c>
      <c r="W118" s="58">
        <f>IF(ISNA(VLOOKUP($CW118,'Audit Values'!$A:$BZ,2,FALSE)),'Preliminary SO66'!AM117,VLOOKUP($CW118,'Audit Values'!$A:$BZ,63,FALSE))</f>
        <v>9.5</v>
      </c>
      <c r="X118" s="58">
        <f>(W118/6)*'Weighting Factors'!$O$7</f>
        <v>0.6</v>
      </c>
      <c r="Y118" s="61">
        <f>IF(ISNA(VLOOKUP($CW118,'Audit Values'!$A:$BZ,2,FALSE)),'Preliminary SO66'!AN117,VLOOKUP($CW118,'Audit Values'!$A:$BZ,62,FALSE))</f>
        <v>19</v>
      </c>
      <c r="Z118" s="58">
        <f>Y118*'Weighting Factors'!$O$8</f>
        <v>3.5</v>
      </c>
      <c r="AA118" s="58">
        <f t="shared" si="99"/>
        <v>3.5</v>
      </c>
      <c r="AB118" s="106">
        <f>IF(ISNA(VLOOKUP($CW118,'Audit Values'!$A:$BZ,2,FALSE)),'Preliminary SO66'!AO117,VLOOKUP($CW118,'Audit Values'!$A:$BZ,61,FALSE))</f>
        <v>17</v>
      </c>
      <c r="AC118" s="58">
        <f>AB118/6*'Weighting Factors'!$O$6</f>
        <v>1.4</v>
      </c>
      <c r="AD118" s="24">
        <f>IF(ISNA(VLOOKUP($CW118,'Audit Values'!$A:$BX,2,FALSE)),'Preliminary SO66'!AS117,VLOOKUP($CW118,'Audit Values'!$A:$BX,64,FALSE))</f>
        <v>151</v>
      </c>
      <c r="AE118" s="24">
        <f>IF(ISNA(VLOOKUP($CW118,'Audit Values'!$A:$BX,2,FALSE)),'Preliminary SO66'!AP117,VLOOKUP($CW118,'Audit Values'!$A:$BX,65,FALSE))</f>
        <v>92</v>
      </c>
      <c r="AF118" s="58">
        <f>IF(A118=207, AE118,(AE118))*'Weighting Factors'!$O$9</f>
        <v>44.5</v>
      </c>
      <c r="AG118" s="58">
        <f t="shared" si="96"/>
        <v>9.6999999999999993</v>
      </c>
      <c r="AH118" s="58">
        <f>IF(ISNA(VLOOKUP($CW118,'Audit Values'!$A:$BZ,2,FALSE)),'Preliminary SO66'!AG117,VLOOKUP($CW118,'Audit Values'!$A:$BZ,71,FALSE))</f>
        <v>9.5</v>
      </c>
      <c r="AI118" s="58">
        <f t="shared" si="100"/>
        <v>9.6999999999999993</v>
      </c>
      <c r="AJ118" s="58">
        <f>IF(ISNA(VLOOKUP($CW118,'Audit Values'!$A:$BX,2,FALSE)),'Preliminary SO66'!AR117,VLOOKUP($CW118,'Audit Values'!$A:$BX,66,FALSE))</f>
        <v>47</v>
      </c>
      <c r="AK118" s="24">
        <f t="shared" si="101"/>
        <v>74640</v>
      </c>
      <c r="AL118" s="58">
        <f>AK118/'Weighting Factors'!$O$5</f>
        <v>14.7</v>
      </c>
      <c r="AM118" s="58">
        <f>CJ118/'Weighting Factors'!$O$5</f>
        <v>0</v>
      </c>
      <c r="AN118" s="58">
        <f>CN118/'Weighting Factors'!$O$5</f>
        <v>0</v>
      </c>
      <c r="AO118" s="24">
        <v>166968</v>
      </c>
      <c r="AP118" s="58">
        <f>AO118/'Weighting Factors'!$O$5</f>
        <v>32.799999999999997</v>
      </c>
      <c r="AQ118" s="58">
        <f>IF(ISNA(VLOOKUP($CW118,'Audit Values'!$A:$BX,2,FALSE)),'Preliminary SO66'!X117,VLOOKUP($CW118,'Audit Values'!$A:$BX,48,FALSE))</f>
        <v>0</v>
      </c>
      <c r="AR118" s="58">
        <f t="shared" si="94"/>
        <v>416.8</v>
      </c>
      <c r="AS118" s="58">
        <f t="shared" si="95"/>
        <v>384</v>
      </c>
      <c r="AT118" s="58">
        <f>IF(ISNA(VLOOKUP($CW118,'Audit Values'!$A$2:$BX$410,2,FALSE)),'Preliminary SO66'!AA117,VLOOKUP($CW118,'Audit Values'!$A$2:$BX$410,41,FALSE))</f>
        <v>0</v>
      </c>
      <c r="AU118" s="58">
        <f>IF(ISNA(VLOOKUP($CW118,'Audit Values'!$A$2:$BX$410,2,FALSE)),'Preliminary SO66'!AB117,VLOOKUP($CW118,'Audit Values'!$A$2:$BX$410,42,FALSE))</f>
        <v>0</v>
      </c>
      <c r="AV118" s="73">
        <v>0</v>
      </c>
      <c r="AW118" s="73">
        <v>0</v>
      </c>
      <c r="AX118" s="24">
        <f>SUM(AT118*'Weighting Factors'!$R$10)+('2024 Legal Max'!AU118*'Weighting Factors'!$R$11)+('2024 Legal Max'!AV118*'Weighting Factors'!$R$12)+('2024 Legal Max'!AW118*'Weighting Factors'!$R$12)</f>
        <v>0</v>
      </c>
      <c r="AY118" s="54">
        <f>IF(ISNA(VLOOKUP($CW118,'Audit Values'!$A$2:$BX$429,2,FALSE)),"",IF(AND('Weighting Factors'!G118&gt;0,VLOOKUP($CW118,'Audit Values'!$A$2:$BX$429,51,FALSE)&lt;'Weighting Factors'!G118),'Weighting Factors'!G118,VLOOKUP($CW118,'Audit Values'!$A$2:$BX$429,51,FALSE)))</f>
        <v>21</v>
      </c>
      <c r="AZ118" s="54" t="str">
        <f>IF(ISNA(VLOOKUP($CW118,'Audit Values'!$A:$BY,2,FALSE)),"",VLOOKUP($CW118,'Audit Values'!$A:$BY,52,FALSE))</f>
        <v>A</v>
      </c>
      <c r="BA118" s="54" t="str">
        <f>IF('Weighting Factors'!F118="","",IF('Weighting Factors'!H118="Pending","PX","R"))</f>
        <v>R</v>
      </c>
      <c r="BB118" s="60">
        <f>SUM((U118+V118+AA118+AC118+AF118+AI118+AL118+AM118+AQ118+AN118)*'Weighting Factors'!$O$5)+'2024 Legal Max'!AX118</f>
        <v>1953792</v>
      </c>
      <c r="BC118" s="24">
        <f>SUM((AR118+AN118)*'Weighting Factors'!$O$5)+AX118</f>
        <v>2120678</v>
      </c>
      <c r="BD118" s="67">
        <f>IF('Weighting Factors'!F118&gt;0,'Weighting Factors'!F118,'Preliminary SO66'!AV117)</f>
        <v>2259072</v>
      </c>
      <c r="BE118" s="24">
        <f t="shared" si="102"/>
        <v>2120678</v>
      </c>
      <c r="BF118" s="71">
        <f>'Weighting Factors'!E118</f>
        <v>0</v>
      </c>
      <c r="BG118" s="71">
        <f>Transportation!G118</f>
        <v>0</v>
      </c>
      <c r="BH118" s="24">
        <f>IF(ISNA(VLOOKUP($CW118,'Audit Values'!$A:$BW,2,FALSE)), 0, VLOOKUP($CW118,'Audit Values'!$A:$BW,75,FALSE))</f>
        <v>0</v>
      </c>
      <c r="BI118" s="24">
        <f t="shared" si="103"/>
        <v>0</v>
      </c>
      <c r="BJ118" s="24">
        <f t="shared" si="104"/>
        <v>2120678</v>
      </c>
      <c r="BK118" s="24">
        <f>SUM((U118+V118+AA118+AC118+AF118+AI118+AL118+AM118+AN118)*'Weighting Factors'!O$12)+(MAX(AO118,'Weighting Factors'!B118))</f>
        <v>2322533</v>
      </c>
      <c r="BL118" s="78">
        <f>'LOB%'!F116</f>
        <v>0.316</v>
      </c>
      <c r="BM118" s="24">
        <f t="shared" si="75"/>
        <v>733920</v>
      </c>
      <c r="BN118" s="67">
        <v>693661</v>
      </c>
      <c r="BO118" s="24">
        <f t="shared" si="105"/>
        <v>693661</v>
      </c>
      <c r="BP118" s="89">
        <f t="shared" si="76"/>
        <v>0.29870000000000002</v>
      </c>
      <c r="BQ118" s="58">
        <f t="shared" si="77"/>
        <v>0</v>
      </c>
      <c r="BR118" s="1" t="b">
        <f t="shared" si="78"/>
        <v>1</v>
      </c>
      <c r="BS118" s="76">
        <f t="shared" si="79"/>
        <v>671.02300000000002</v>
      </c>
      <c r="BT118" s="75">
        <f t="shared" si="106"/>
        <v>0.83010600000000001</v>
      </c>
      <c r="BU118" s="58">
        <f t="shared" si="80"/>
        <v>140.69999999999999</v>
      </c>
      <c r="BV118" s="1" t="b">
        <f t="shared" si="81"/>
        <v>0</v>
      </c>
      <c r="BW118" s="1">
        <f t="shared" si="82"/>
        <v>0</v>
      </c>
      <c r="BX118" s="75">
        <f t="shared" si="107"/>
        <v>0</v>
      </c>
      <c r="BY118" s="58">
        <f t="shared" si="83"/>
        <v>0</v>
      </c>
      <c r="BZ118" s="58">
        <f t="shared" si="84"/>
        <v>0</v>
      </c>
      <c r="CA118" s="61">
        <v>242</v>
      </c>
      <c r="CB118" s="102">
        <f t="shared" si="85"/>
        <v>0.19400000000000001</v>
      </c>
      <c r="CC118" s="105">
        <f>IF(CB118&lt;0.06,1,IF(CB118&gt;=18.29,52,MATCH(CB118-0.001,'Weighting Factors'!$W$5:$W$156)+1))</f>
        <v>14</v>
      </c>
      <c r="CD118" s="24">
        <f>VLOOKUP(CC118, 'Weighting Factors'!$U$5:$X$56,4)</f>
        <v>1300</v>
      </c>
      <c r="CE118" s="109">
        <f>('Weighting Factors'!$O$5/'Weighting Factors'!$O$14)</f>
        <v>1.2216</v>
      </c>
      <c r="CF118" s="100">
        <f t="shared" si="86"/>
        <v>61100</v>
      </c>
      <c r="CG118" s="100">
        <f>CF118*'Weighting Factors'!$Q$7</f>
        <v>61100</v>
      </c>
      <c r="CH118" s="100">
        <f t="shared" si="108"/>
        <v>74640</v>
      </c>
      <c r="CI118" s="58">
        <f>AK118/'Weighting Factors'!$O$5</f>
        <v>14.7</v>
      </c>
      <c r="CJ118" s="67">
        <v>0</v>
      </c>
      <c r="CK118" s="80">
        <v>0</v>
      </c>
      <c r="CL118" s="110">
        <v>0</v>
      </c>
      <c r="CM118" s="24">
        <f>SUM((AR118*'Weighting Factors'!$O$5)+'2024 Legal Max'!AX118)*CL118</f>
        <v>0</v>
      </c>
      <c r="CN118" s="24">
        <f t="shared" si="109"/>
        <v>0</v>
      </c>
      <c r="CO118" s="65">
        <f t="shared" si="74"/>
        <v>0.60929999999999995</v>
      </c>
      <c r="CP118" s="58">
        <f t="shared" si="87"/>
        <v>9.6999999999999993</v>
      </c>
      <c r="CQ118" s="58">
        <f t="shared" si="88"/>
        <v>0</v>
      </c>
      <c r="CR118" s="58">
        <f t="shared" si="89"/>
        <v>416.8</v>
      </c>
      <c r="CS118" s="24">
        <f>'Required Transfers'!L118</f>
        <v>74707</v>
      </c>
      <c r="CT118" s="24">
        <f>'Required Transfers'!O118</f>
        <v>5896</v>
      </c>
      <c r="CU118" s="24">
        <f>'Required Transfers'!H118</f>
        <v>275770</v>
      </c>
      <c r="CV118" s="58">
        <f t="shared" si="90"/>
        <v>147</v>
      </c>
      <c r="CW118" s="27" t="s">
        <v>303</v>
      </c>
    </row>
    <row r="119" spans="1:101" ht="15" customHeight="1">
      <c r="A119" s="54">
        <v>320</v>
      </c>
      <c r="B119" s="1" t="s">
        <v>52</v>
      </c>
      <c r="C119" s="1" t="s">
        <v>624</v>
      </c>
      <c r="D119" s="58">
        <v>1525.5</v>
      </c>
      <c r="E119" s="58"/>
      <c r="F119" s="58">
        <v>0</v>
      </c>
      <c r="G119" s="58">
        <f t="shared" si="91"/>
        <v>1525.5</v>
      </c>
      <c r="H119" s="58">
        <v>1609.3</v>
      </c>
      <c r="I119" s="58"/>
      <c r="J119" s="58">
        <v>0</v>
      </c>
      <c r="K119" s="58">
        <f t="shared" si="92"/>
        <v>1609.3</v>
      </c>
      <c r="L119" s="1">
        <v>1582</v>
      </c>
      <c r="N119" s="1">
        <v>0</v>
      </c>
      <c r="O119" s="58">
        <f t="shared" si="93"/>
        <v>1582</v>
      </c>
      <c r="P119" s="58">
        <f>IF(ISNA(VLOOKUP($CW119,'Audit Values'!$A:$BZ,2,FALSE)),'Preliminary SO66'!C118,VLOOKUP($CW119,'Audit Values'!$A:$BZ,76,FALSE))</f>
        <v>1589.5</v>
      </c>
      <c r="Q119" s="58">
        <f>IF(ISNA(VLOOKUP($CW119,'Audit Values'!$A:$BZ,2,FALSE)),'Preliminary SO66'!F118,VLOOKUP($CW119,'Audit Values'!$A:$BZ,4,FALSE))</f>
        <v>0</v>
      </c>
      <c r="R119" s="58">
        <f t="shared" si="97"/>
        <v>1589.5</v>
      </c>
      <c r="S119" s="58">
        <f>IF('Military Provision'!I119="YES", MAX('2024 Legal Max'!O119,'2024 Legal Max'!K119,AVERAGE('2024 Legal Max'!G119,'2024 Legal Max'!K119,'2024 Legal Max'!O119)), MAX(O119, K119))</f>
        <v>1609.3</v>
      </c>
      <c r="T119" s="58">
        <f>IF(ISNA(VLOOKUP($CW119,'Audit Values'!$A:$BX,2,FALSE)),'Preliminary SO66'!AL118,VLOOKUP($CW119,'Audit Values'!$A:$BX,59,FALSE))</f>
        <v>0</v>
      </c>
      <c r="U119" s="58">
        <f t="shared" si="98"/>
        <v>1609.3</v>
      </c>
      <c r="V119" s="58">
        <f>'Low-High ENRL- 2023 HSubSB 113'!N122</f>
        <v>63.3</v>
      </c>
      <c r="W119" s="58">
        <f>IF(ISNA(VLOOKUP($CW119,'Audit Values'!$A:$BZ,2,FALSE)),'Preliminary SO66'!AM118,VLOOKUP($CW119,'Audit Values'!$A:$BZ,63,FALSE))</f>
        <v>9.4</v>
      </c>
      <c r="X119" s="58">
        <f>(W119/6)*'Weighting Factors'!$O$7</f>
        <v>0.6</v>
      </c>
      <c r="Y119" s="61">
        <f>IF(ISNA(VLOOKUP($CW119,'Audit Values'!$A:$BZ,2,FALSE)),'Preliminary SO66'!AN118,VLOOKUP($CW119,'Audit Values'!$A:$BZ,62,FALSE))</f>
        <v>7</v>
      </c>
      <c r="Z119" s="58">
        <f>Y119*'Weighting Factors'!$O$8</f>
        <v>1.3</v>
      </c>
      <c r="AA119" s="58">
        <f t="shared" si="99"/>
        <v>1.3</v>
      </c>
      <c r="AB119" s="106">
        <f>IF(ISNA(VLOOKUP($CW119,'Audit Values'!$A:$BZ,2,FALSE)),'Preliminary SO66'!AO118,VLOOKUP($CW119,'Audit Values'!$A:$BZ,61,FALSE))</f>
        <v>315.2</v>
      </c>
      <c r="AC119" s="58">
        <f>AB119/6*'Weighting Factors'!$O$6</f>
        <v>26.3</v>
      </c>
      <c r="AD119" s="24">
        <f>IF(ISNA(VLOOKUP($CW119,'Audit Values'!$A:$BX,2,FALSE)),'Preliminary SO66'!AS118,VLOOKUP($CW119,'Audit Values'!$A:$BX,64,FALSE))</f>
        <v>1614</v>
      </c>
      <c r="AE119" s="24">
        <f>IF(ISNA(VLOOKUP($CW119,'Audit Values'!$A:$BX,2,FALSE)),'Preliminary SO66'!AP118,VLOOKUP($CW119,'Audit Values'!$A:$BX,65,FALSE))</f>
        <v>402</v>
      </c>
      <c r="AF119" s="58">
        <f>IF(A119=207, AE119,(AE119))*'Weighting Factors'!$O$9</f>
        <v>194.6</v>
      </c>
      <c r="AG119" s="58">
        <f t="shared" si="96"/>
        <v>0</v>
      </c>
      <c r="AH119" s="58">
        <f>IF(ISNA(VLOOKUP($CW119,'Audit Values'!$A:$BZ,2,FALSE)),'Preliminary SO66'!AG118,VLOOKUP($CW119,'Audit Values'!$A:$BZ,71,FALSE))</f>
        <v>0</v>
      </c>
      <c r="AI119" s="58">
        <f t="shared" si="100"/>
        <v>0</v>
      </c>
      <c r="AJ119" s="58">
        <f>IF(ISNA(VLOOKUP($CW119,'Audit Values'!$A:$BX,2,FALSE)),'Preliminary SO66'!AR118,VLOOKUP($CW119,'Audit Values'!$A:$BX,66,FALSE))</f>
        <v>471</v>
      </c>
      <c r="AK119" s="24">
        <f t="shared" si="101"/>
        <v>466053</v>
      </c>
      <c r="AL119" s="58">
        <f>AK119/'Weighting Factors'!$O$5</f>
        <v>91.6</v>
      </c>
      <c r="AM119" s="58">
        <f>CJ119/'Weighting Factors'!$O$5</f>
        <v>0</v>
      </c>
      <c r="AN119" s="58">
        <f>CN119/'Weighting Factors'!$O$5</f>
        <v>0</v>
      </c>
      <c r="AO119" s="24">
        <v>1531065</v>
      </c>
      <c r="AP119" s="58">
        <f>AO119/'Weighting Factors'!$O$5</f>
        <v>300.89999999999998</v>
      </c>
      <c r="AQ119" s="58">
        <f>IF(ISNA(VLOOKUP($CW119,'Audit Values'!$A:$BX,2,FALSE)),'Preliminary SO66'!X118,VLOOKUP($CW119,'Audit Values'!$A:$BX,48,FALSE))</f>
        <v>0</v>
      </c>
      <c r="AR119" s="58">
        <f t="shared" si="94"/>
        <v>2287.3000000000002</v>
      </c>
      <c r="AS119" s="58">
        <f t="shared" si="95"/>
        <v>1986.4</v>
      </c>
      <c r="AT119" s="58">
        <f>IF(ISNA(VLOOKUP($CW119,'Audit Values'!$A$2:$BX$410,2,FALSE)),'Preliminary SO66'!AA118,VLOOKUP($CW119,'Audit Values'!$A$2:$BX$410,41,FALSE))</f>
        <v>17</v>
      </c>
      <c r="AU119" s="58">
        <f>IF(ISNA(VLOOKUP($CW119,'Audit Values'!$A$2:$BX$410,2,FALSE)),'Preliminary SO66'!AB118,VLOOKUP($CW119,'Audit Values'!$A$2:$BX$410,42,FALSE))</f>
        <v>3</v>
      </c>
      <c r="AV119" s="73">
        <v>9.5</v>
      </c>
      <c r="AW119" s="73">
        <v>0</v>
      </c>
      <c r="AX119" s="24">
        <f>SUM(AT119*'Weighting Factors'!$R$10)+('2024 Legal Max'!AU119*'Weighting Factors'!$R$11)+('2024 Legal Max'!AV119*'Weighting Factors'!$R$12)+('2024 Legal Max'!AW119*'Weighting Factors'!$R$12)</f>
        <v>110336</v>
      </c>
      <c r="AY119" s="54">
        <f>IF(ISNA(VLOOKUP($CW119,'Audit Values'!$A$2:$BX$429,2,FALSE)),"",IF(AND('Weighting Factors'!G119&gt;0,VLOOKUP($CW119,'Audit Values'!$A$2:$BX$429,51,FALSE)&lt;'Weighting Factors'!G119),'Weighting Factors'!G119,VLOOKUP($CW119,'Audit Values'!$A$2:$BX$429,51,FALSE)))</f>
        <v>8</v>
      </c>
      <c r="AZ119" s="54" t="str">
        <f>IF(ISNA(VLOOKUP($CW119,'Audit Values'!$A:$BY,2,FALSE)),"",VLOOKUP($CW119,'Audit Values'!$A:$BY,52,FALSE))</f>
        <v>A</v>
      </c>
      <c r="BA119" s="54" t="str">
        <f>IF('Weighting Factors'!F119="","",IF('Weighting Factors'!H119="Pending","PX","R"))</f>
        <v/>
      </c>
      <c r="BB119" s="60">
        <f>SUM((U119+V119+AA119+AC119+AF119+AI119+AL119+AM119+AQ119+AN119)*'Weighting Factors'!$O$5)+'2024 Legal Max'!AX119</f>
        <v>10217139</v>
      </c>
      <c r="BC119" s="24">
        <f>SUM((AR119+AN119)*'Weighting Factors'!$O$5)+AX119</f>
        <v>11748118</v>
      </c>
      <c r="BD119" s="67">
        <f>IF('Weighting Factors'!F119&gt;0,'Weighting Factors'!F119,'Preliminary SO66'!AV118)</f>
        <v>11891493</v>
      </c>
      <c r="BE119" s="24">
        <f t="shared" si="102"/>
        <v>11748118</v>
      </c>
      <c r="BF119" s="71">
        <f>'Weighting Factors'!E119</f>
        <v>0</v>
      </c>
      <c r="BG119" s="71">
        <f>Transportation!G119</f>
        <v>0</v>
      </c>
      <c r="BH119" s="24">
        <f>IF(ISNA(VLOOKUP($CW119,'Audit Values'!$A:$BW,2,FALSE)), 0, VLOOKUP($CW119,'Audit Values'!$A:$BW,75,FALSE))</f>
        <v>-12763</v>
      </c>
      <c r="BI119" s="24">
        <f t="shared" si="103"/>
        <v>-12763</v>
      </c>
      <c r="BJ119" s="24">
        <f t="shared" si="104"/>
        <v>11735355</v>
      </c>
      <c r="BK119" s="24">
        <f>SUM((U119+V119+AA119+AC119+AF119+AI119+AL119+AM119+AN119)*'Weighting Factors'!O$12)+(MAX(AO119,'Weighting Factors'!B119))</f>
        <v>11776916</v>
      </c>
      <c r="BL119" s="78">
        <f>'LOB%'!F117</f>
        <v>0.316</v>
      </c>
      <c r="BM119" s="24">
        <f t="shared" si="75"/>
        <v>3721505</v>
      </c>
      <c r="BN119" s="67">
        <v>3783300</v>
      </c>
      <c r="BO119" s="24">
        <f t="shared" si="105"/>
        <v>3721505</v>
      </c>
      <c r="BP119" s="89">
        <f t="shared" si="76"/>
        <v>0.316</v>
      </c>
      <c r="BQ119" s="58">
        <f t="shared" si="77"/>
        <v>0</v>
      </c>
      <c r="BR119" s="1" t="b">
        <f t="shared" si="78"/>
        <v>0</v>
      </c>
      <c r="BS119" s="76">
        <f t="shared" si="79"/>
        <v>0</v>
      </c>
      <c r="BT119" s="75">
        <f t="shared" si="106"/>
        <v>0</v>
      </c>
      <c r="BU119" s="58">
        <f t="shared" si="80"/>
        <v>0</v>
      </c>
      <c r="BV119" s="1" t="b">
        <f t="shared" si="81"/>
        <v>1</v>
      </c>
      <c r="BW119" s="1">
        <f t="shared" si="82"/>
        <v>1620.2588000000001</v>
      </c>
      <c r="BX119" s="75">
        <f t="shared" si="107"/>
        <v>3.9354E-2</v>
      </c>
      <c r="BY119" s="58">
        <f t="shared" si="83"/>
        <v>63.3</v>
      </c>
      <c r="BZ119" s="58">
        <f t="shared" si="84"/>
        <v>0</v>
      </c>
      <c r="CA119" s="61">
        <v>193</v>
      </c>
      <c r="CB119" s="102">
        <f t="shared" si="85"/>
        <v>2.44</v>
      </c>
      <c r="CC119" s="105">
        <f>IF(CB119&lt;0.06,1,IF(CB119&gt;=18.29,52,MATCH(CB119-0.001,'Weighting Factors'!$W$5:$W$156)+1))</f>
        <v>39</v>
      </c>
      <c r="CD119" s="24">
        <f>VLOOKUP(CC119, 'Weighting Factors'!$U$5:$X$56,4)</f>
        <v>810</v>
      </c>
      <c r="CE119" s="109">
        <f>('Weighting Factors'!$O$5/'Weighting Factors'!$O$14)</f>
        <v>1.2216</v>
      </c>
      <c r="CF119" s="100">
        <f t="shared" si="86"/>
        <v>381510</v>
      </c>
      <c r="CG119" s="100">
        <f>CF119*'Weighting Factors'!$Q$7</f>
        <v>381510</v>
      </c>
      <c r="CH119" s="100">
        <f t="shared" si="108"/>
        <v>466053</v>
      </c>
      <c r="CI119" s="58">
        <f>AK119/'Weighting Factors'!$O$5</f>
        <v>91.6</v>
      </c>
      <c r="CJ119" s="67">
        <v>0</v>
      </c>
      <c r="CK119" s="80">
        <v>0</v>
      </c>
      <c r="CL119" s="110">
        <v>0</v>
      </c>
      <c r="CM119" s="24">
        <f>SUM((AR119*'Weighting Factors'!$O$5)+'2024 Legal Max'!AX119)*CL119</f>
        <v>0</v>
      </c>
      <c r="CN119" s="24">
        <f t="shared" si="109"/>
        <v>0</v>
      </c>
      <c r="CO119" s="65">
        <f t="shared" si="74"/>
        <v>0.24909999999999999</v>
      </c>
      <c r="CP119" s="58">
        <f t="shared" si="87"/>
        <v>0</v>
      </c>
      <c r="CQ119" s="58">
        <f t="shared" si="88"/>
        <v>0</v>
      </c>
      <c r="CR119" s="58">
        <f t="shared" si="89"/>
        <v>2287.3000000000002</v>
      </c>
      <c r="CS119" s="24">
        <f>'Required Transfers'!L119</f>
        <v>316700</v>
      </c>
      <c r="CT119" s="24">
        <f>'Required Transfers'!O119</f>
        <v>2233</v>
      </c>
      <c r="CU119" s="24">
        <f>'Required Transfers'!H119</f>
        <v>990125</v>
      </c>
      <c r="CV119" s="58">
        <f t="shared" si="90"/>
        <v>1611.1</v>
      </c>
      <c r="CW119" s="27" t="s">
        <v>304</v>
      </c>
    </row>
    <row r="120" spans="1:101" ht="15" customHeight="1">
      <c r="A120" s="54">
        <v>321</v>
      </c>
      <c r="B120" s="1" t="s">
        <v>52</v>
      </c>
      <c r="C120" s="1" t="s">
        <v>625</v>
      </c>
      <c r="D120" s="58">
        <v>1029.3</v>
      </c>
      <c r="E120" s="58"/>
      <c r="F120" s="58">
        <v>0</v>
      </c>
      <c r="G120" s="58">
        <f t="shared" si="91"/>
        <v>1029.3</v>
      </c>
      <c r="H120" s="58">
        <v>1020</v>
      </c>
      <c r="I120" s="58"/>
      <c r="J120" s="58">
        <v>0</v>
      </c>
      <c r="K120" s="58">
        <f t="shared" si="92"/>
        <v>1020</v>
      </c>
      <c r="L120" s="1">
        <v>1014.5</v>
      </c>
      <c r="N120" s="1">
        <v>0</v>
      </c>
      <c r="O120" s="58">
        <f t="shared" si="93"/>
        <v>1014.5</v>
      </c>
      <c r="P120" s="58">
        <f>IF(ISNA(VLOOKUP($CW120,'Audit Values'!$A:$BZ,2,FALSE)),'Preliminary SO66'!C119,VLOOKUP($CW120,'Audit Values'!$A:$BZ,76,FALSE))</f>
        <v>1028</v>
      </c>
      <c r="Q120" s="58">
        <f>IF(ISNA(VLOOKUP($CW120,'Audit Values'!$A:$BZ,2,FALSE)),'Preliminary SO66'!F119,VLOOKUP($CW120,'Audit Values'!$A:$BZ,4,FALSE))</f>
        <v>0</v>
      </c>
      <c r="R120" s="58">
        <f t="shared" si="97"/>
        <v>1028</v>
      </c>
      <c r="S120" s="58">
        <f>IF('Military Provision'!I120="YES", MAX('2024 Legal Max'!O120,'2024 Legal Max'!K120,AVERAGE('2024 Legal Max'!G120,'2024 Legal Max'!K120,'2024 Legal Max'!O120)), MAX(O120, K120))</f>
        <v>1020</v>
      </c>
      <c r="T120" s="58">
        <f>IF(ISNA(VLOOKUP($CW120,'Audit Values'!$A:$BX,2,FALSE)),'Preliminary SO66'!AL119,VLOOKUP($CW120,'Audit Values'!$A:$BX,59,FALSE))</f>
        <v>13</v>
      </c>
      <c r="U120" s="58">
        <f t="shared" si="98"/>
        <v>1033</v>
      </c>
      <c r="V120" s="58">
        <f>'Low-High ENRL- 2023 HSubSB 113'!N123</f>
        <v>242.9</v>
      </c>
      <c r="W120" s="58">
        <f>IF(ISNA(VLOOKUP($CW120,'Audit Values'!$A:$BZ,2,FALSE)),'Preliminary SO66'!AM119,VLOOKUP($CW120,'Audit Values'!$A:$BZ,63,FALSE))</f>
        <v>0</v>
      </c>
      <c r="X120" s="58">
        <f>(W120/6)*'Weighting Factors'!$O$7</f>
        <v>0</v>
      </c>
      <c r="Y120" s="61">
        <f>IF(ISNA(VLOOKUP($CW120,'Audit Values'!$A:$BZ,2,FALSE)),'Preliminary SO66'!AN119,VLOOKUP($CW120,'Audit Values'!$A:$BZ,62,FALSE))</f>
        <v>4</v>
      </c>
      <c r="Z120" s="58">
        <f>Y120*'Weighting Factors'!$O$8</f>
        <v>0.7</v>
      </c>
      <c r="AA120" s="58">
        <f t="shared" si="99"/>
        <v>0.7</v>
      </c>
      <c r="AB120" s="106">
        <f>IF(ISNA(VLOOKUP($CW120,'Audit Values'!$A:$BZ,2,FALSE)),'Preliminary SO66'!AO119,VLOOKUP($CW120,'Audit Values'!$A:$BZ,61,FALSE))</f>
        <v>371</v>
      </c>
      <c r="AC120" s="58">
        <f>AB120/6*'Weighting Factors'!$O$6</f>
        <v>30.9</v>
      </c>
      <c r="AD120" s="24">
        <f>IF(ISNA(VLOOKUP($CW120,'Audit Values'!$A:$BX,2,FALSE)),'Preliminary SO66'!AS119,VLOOKUP($CW120,'Audit Values'!$A:$BX,64,FALSE))</f>
        <v>1072</v>
      </c>
      <c r="AE120" s="24">
        <f>IF(ISNA(VLOOKUP($CW120,'Audit Values'!$A:$BX,2,FALSE)),'Preliminary SO66'!AP119,VLOOKUP($CW120,'Audit Values'!$A:$BX,65,FALSE))</f>
        <v>331</v>
      </c>
      <c r="AF120" s="58">
        <f>IF(A120=207, AE120,(AE120))*'Weighting Factors'!$O$9</f>
        <v>160.19999999999999</v>
      </c>
      <c r="AG120" s="58">
        <f t="shared" si="96"/>
        <v>0</v>
      </c>
      <c r="AH120" s="58">
        <f>IF(ISNA(VLOOKUP($CW120,'Audit Values'!$A:$BZ,2,FALSE)),'Preliminary SO66'!AG119,VLOOKUP($CW120,'Audit Values'!$A:$BZ,71,FALSE))</f>
        <v>1.3</v>
      </c>
      <c r="AI120" s="58">
        <f t="shared" si="100"/>
        <v>1.3</v>
      </c>
      <c r="AJ120" s="58">
        <f>IF(ISNA(VLOOKUP($CW120,'Audit Values'!$A:$BX,2,FALSE)),'Preliminary SO66'!AR119,VLOOKUP($CW120,'Audit Values'!$A:$BX,66,FALSE))</f>
        <v>395</v>
      </c>
      <c r="AK120" s="24">
        <f t="shared" si="101"/>
        <v>439104</v>
      </c>
      <c r="AL120" s="58">
        <f>AK120/'Weighting Factors'!$O$5</f>
        <v>86.3</v>
      </c>
      <c r="AM120" s="58">
        <f>CJ120/'Weighting Factors'!$O$5</f>
        <v>0</v>
      </c>
      <c r="AN120" s="58">
        <f>CN120/'Weighting Factors'!$O$5</f>
        <v>0</v>
      </c>
      <c r="AO120" s="24">
        <v>1697225</v>
      </c>
      <c r="AP120" s="58">
        <f>AO120/'Weighting Factors'!$O$5</f>
        <v>333.6</v>
      </c>
      <c r="AQ120" s="58">
        <f>IF(ISNA(VLOOKUP($CW120,'Audit Values'!$A:$BX,2,FALSE)),'Preliminary SO66'!X119,VLOOKUP($CW120,'Audit Values'!$A:$BX,48,FALSE))</f>
        <v>0</v>
      </c>
      <c r="AR120" s="58">
        <f t="shared" si="94"/>
        <v>1888.9</v>
      </c>
      <c r="AS120" s="58">
        <f t="shared" si="95"/>
        <v>1555.3</v>
      </c>
      <c r="AT120" s="58">
        <f>IF(ISNA(VLOOKUP($CW120,'Audit Values'!$A$2:$BX$410,2,FALSE)),'Preliminary SO66'!AA119,VLOOKUP($CW120,'Audit Values'!$A$2:$BX$410,41,FALSE))</f>
        <v>0</v>
      </c>
      <c r="AU120" s="58">
        <f>IF(ISNA(VLOOKUP($CW120,'Audit Values'!$A$2:$BX$410,2,FALSE)),'Preliminary SO66'!AB119,VLOOKUP($CW120,'Audit Values'!$A$2:$BX$410,42,FALSE))</f>
        <v>0</v>
      </c>
      <c r="AV120" s="73">
        <v>0</v>
      </c>
      <c r="AW120" s="73">
        <v>0</v>
      </c>
      <c r="AX120" s="24">
        <f>SUM(AT120*'Weighting Factors'!$R$10)+('2024 Legal Max'!AU120*'Weighting Factors'!$R$11)+('2024 Legal Max'!AV120*'Weighting Factors'!$R$12)+('2024 Legal Max'!AW120*'Weighting Factors'!$R$12)</f>
        <v>0</v>
      </c>
      <c r="AY120" s="54">
        <f>IF(ISNA(VLOOKUP($CW120,'Audit Values'!$A$2:$BX$429,2,FALSE)),"",IF(AND('Weighting Factors'!G120&gt;0,VLOOKUP($CW120,'Audit Values'!$A$2:$BX$429,51,FALSE)&lt;'Weighting Factors'!G120),'Weighting Factors'!G120,VLOOKUP($CW120,'Audit Values'!$A$2:$BX$429,51,FALSE)))</f>
        <v>7</v>
      </c>
      <c r="AZ120" s="54" t="str">
        <f>IF(ISNA(VLOOKUP($CW120,'Audit Values'!$A:$BY,2,FALSE)),"",VLOOKUP($CW120,'Audit Values'!$A:$BY,52,FALSE))</f>
        <v>A</v>
      </c>
      <c r="BA120" s="54" t="str">
        <f>IF('Weighting Factors'!F120="","",IF('Weighting Factors'!H120="Pending","PX","R"))</f>
        <v/>
      </c>
      <c r="BB120" s="60">
        <f>SUM((U120+V120+AA120+AC120+AF120+AI120+AL120+AM120+AQ120+AN120)*'Weighting Factors'!$O$5)+'2024 Legal Max'!AX120</f>
        <v>7913366</v>
      </c>
      <c r="BC120" s="24">
        <f>SUM((AR120+AN120)*'Weighting Factors'!$O$5)+AX120</f>
        <v>9610723</v>
      </c>
      <c r="BD120" s="67">
        <f>IF('Weighting Factors'!F120&gt;0,'Weighting Factors'!F120,'Preliminary SO66'!AV119)</f>
        <v>9884966</v>
      </c>
      <c r="BE120" s="24">
        <f t="shared" si="102"/>
        <v>9610723</v>
      </c>
      <c r="BF120" s="71">
        <f>'Weighting Factors'!E120</f>
        <v>0</v>
      </c>
      <c r="BG120" s="71">
        <f>Transportation!G120</f>
        <v>-149186</v>
      </c>
      <c r="BH120" s="24">
        <f>IF(ISNA(VLOOKUP($CW120,'Audit Values'!$A:$BW,2,FALSE)), 0, VLOOKUP($CW120,'Audit Values'!$A:$BW,75,FALSE))</f>
        <v>0</v>
      </c>
      <c r="BI120" s="24">
        <f t="shared" si="103"/>
        <v>-149186</v>
      </c>
      <c r="BJ120" s="24">
        <f t="shared" si="104"/>
        <v>9461537</v>
      </c>
      <c r="BK120" s="24">
        <f>SUM((U120+V120+AA120+AC120+AF120+AI120+AL120+AM120+AN120)*'Weighting Factors'!O$12)+(MAX(AO120,'Weighting Factors'!B120))</f>
        <v>9719462</v>
      </c>
      <c r="BL120" s="78">
        <f>'LOB%'!F118</f>
        <v>0.33</v>
      </c>
      <c r="BM120" s="24">
        <f t="shared" si="75"/>
        <v>3207422</v>
      </c>
      <c r="BN120" s="67">
        <v>3297987</v>
      </c>
      <c r="BO120" s="24">
        <f t="shared" si="105"/>
        <v>3207422</v>
      </c>
      <c r="BP120" s="89">
        <f t="shared" si="76"/>
        <v>0.33</v>
      </c>
      <c r="BQ120" s="58">
        <f t="shared" si="77"/>
        <v>0</v>
      </c>
      <c r="BR120" s="1" t="b">
        <f t="shared" si="78"/>
        <v>0</v>
      </c>
      <c r="BS120" s="76">
        <f t="shared" si="79"/>
        <v>0</v>
      </c>
      <c r="BT120" s="75">
        <f t="shared" si="106"/>
        <v>0</v>
      </c>
      <c r="BU120" s="58">
        <f t="shared" si="80"/>
        <v>0</v>
      </c>
      <c r="BV120" s="1" t="b">
        <f t="shared" si="81"/>
        <v>1</v>
      </c>
      <c r="BW120" s="1">
        <f t="shared" si="82"/>
        <v>907.08749999999998</v>
      </c>
      <c r="BX120" s="75">
        <f t="shared" si="107"/>
        <v>0.235151</v>
      </c>
      <c r="BY120" s="58">
        <f t="shared" si="83"/>
        <v>242.9</v>
      </c>
      <c r="BZ120" s="58">
        <f t="shared" si="84"/>
        <v>0</v>
      </c>
      <c r="CA120" s="61">
        <v>311</v>
      </c>
      <c r="CB120" s="102">
        <f t="shared" si="85"/>
        <v>1.27</v>
      </c>
      <c r="CC120" s="105">
        <f>IF(CB120&lt;0.06,1,IF(CB120&gt;=18.29,52,MATCH(CB120-0.001,'Weighting Factors'!$W$5:$W$156)+1))</f>
        <v>34</v>
      </c>
      <c r="CD120" s="24">
        <f>VLOOKUP(CC120, 'Weighting Factors'!$U$5:$X$56,4)</f>
        <v>910</v>
      </c>
      <c r="CE120" s="109">
        <f>('Weighting Factors'!$O$5/'Weighting Factors'!$O$14)</f>
        <v>1.2216</v>
      </c>
      <c r="CF120" s="100">
        <f t="shared" si="86"/>
        <v>359450</v>
      </c>
      <c r="CG120" s="100">
        <f>CF120*'Weighting Factors'!$Q$7</f>
        <v>359450</v>
      </c>
      <c r="CH120" s="100">
        <f t="shared" si="108"/>
        <v>439104</v>
      </c>
      <c r="CI120" s="58">
        <f>AK120/'Weighting Factors'!$O$5</f>
        <v>86.3</v>
      </c>
      <c r="CJ120" s="67">
        <v>0</v>
      </c>
      <c r="CK120" s="80">
        <v>0</v>
      </c>
      <c r="CL120" s="110">
        <v>0</v>
      </c>
      <c r="CM120" s="24">
        <f>SUM((AR120*'Weighting Factors'!$O$5)+'2024 Legal Max'!AX120)*CL120</f>
        <v>0</v>
      </c>
      <c r="CN120" s="24">
        <f t="shared" si="109"/>
        <v>0</v>
      </c>
      <c r="CO120" s="65">
        <f t="shared" si="74"/>
        <v>0.30880000000000002</v>
      </c>
      <c r="CP120" s="58">
        <f t="shared" si="87"/>
        <v>0</v>
      </c>
      <c r="CQ120" s="58">
        <f t="shared" si="88"/>
        <v>0</v>
      </c>
      <c r="CR120" s="58">
        <f t="shared" si="89"/>
        <v>1888.9</v>
      </c>
      <c r="CS120" s="24">
        <f>'Required Transfers'!L120</f>
        <v>273914</v>
      </c>
      <c r="CT120" s="24">
        <f>'Required Transfers'!O120</f>
        <v>1283</v>
      </c>
      <c r="CU120" s="24">
        <f>'Required Transfers'!H120</f>
        <v>821712</v>
      </c>
      <c r="CV120" s="58">
        <f t="shared" si="90"/>
        <v>1041</v>
      </c>
      <c r="CW120" s="27" t="s">
        <v>305</v>
      </c>
    </row>
    <row r="121" spans="1:101" ht="15" customHeight="1">
      <c r="A121" s="54">
        <v>322</v>
      </c>
      <c r="B121" s="1" t="s">
        <v>52</v>
      </c>
      <c r="C121" s="1" t="s">
        <v>626</v>
      </c>
      <c r="D121" s="58">
        <v>284</v>
      </c>
      <c r="E121" s="58"/>
      <c r="F121" s="58">
        <v>0</v>
      </c>
      <c r="G121" s="58">
        <f t="shared" si="91"/>
        <v>284</v>
      </c>
      <c r="H121" s="58">
        <v>294</v>
      </c>
      <c r="I121" s="58"/>
      <c r="J121" s="58">
        <v>0</v>
      </c>
      <c r="K121" s="58">
        <f t="shared" si="92"/>
        <v>294</v>
      </c>
      <c r="L121" s="1">
        <v>299.3</v>
      </c>
      <c r="N121" s="1">
        <v>0</v>
      </c>
      <c r="O121" s="58">
        <f t="shared" si="93"/>
        <v>299.3</v>
      </c>
      <c r="P121" s="58">
        <f>IF(ISNA(VLOOKUP($CW121,'Audit Values'!$A:$BZ,2,FALSE)),'Preliminary SO66'!C120,VLOOKUP($CW121,'Audit Values'!$A:$BZ,76,FALSE))</f>
        <v>311</v>
      </c>
      <c r="Q121" s="58">
        <f>IF(ISNA(VLOOKUP($CW121,'Audit Values'!$A:$BZ,2,FALSE)),'Preliminary SO66'!F120,VLOOKUP($CW121,'Audit Values'!$A:$BZ,4,FALSE))</f>
        <v>0</v>
      </c>
      <c r="R121" s="58">
        <f t="shared" si="97"/>
        <v>311</v>
      </c>
      <c r="S121" s="58">
        <f>IF('Military Provision'!I121="YES", MAX('2024 Legal Max'!O121,'2024 Legal Max'!K121,AVERAGE('2024 Legal Max'!G121,'2024 Legal Max'!K121,'2024 Legal Max'!O121)), MAX(O121, K121))</f>
        <v>299.3</v>
      </c>
      <c r="T121" s="58">
        <f>IF(ISNA(VLOOKUP($CW121,'Audit Values'!$A:$BX,2,FALSE)),'Preliminary SO66'!AL120,VLOOKUP($CW121,'Audit Values'!$A:$BX,59,FALSE))</f>
        <v>6</v>
      </c>
      <c r="U121" s="58">
        <f t="shared" si="98"/>
        <v>305.3</v>
      </c>
      <c r="V121" s="58">
        <f>'Low-High ENRL- 2023 HSubSB 113'!N124</f>
        <v>147.4</v>
      </c>
      <c r="W121" s="58">
        <f>IF(ISNA(VLOOKUP($CW121,'Audit Values'!$A:$BZ,2,FALSE)),'Preliminary SO66'!AM120,VLOOKUP($CW121,'Audit Values'!$A:$BZ,63,FALSE))</f>
        <v>0.3</v>
      </c>
      <c r="X121" s="58">
        <f>(W121/6)*'Weighting Factors'!$O$7</f>
        <v>0</v>
      </c>
      <c r="Y121" s="61">
        <f>IF(ISNA(VLOOKUP($CW121,'Audit Values'!$A:$BZ,2,FALSE)),'Preliminary SO66'!AN120,VLOOKUP($CW121,'Audit Values'!$A:$BZ,62,FALSE))</f>
        <v>3</v>
      </c>
      <c r="Z121" s="58">
        <f>Y121*'Weighting Factors'!$O$8</f>
        <v>0.6</v>
      </c>
      <c r="AA121" s="58">
        <f t="shared" si="99"/>
        <v>0.6</v>
      </c>
      <c r="AB121" s="106">
        <f>IF(ISNA(VLOOKUP($CW121,'Audit Values'!$A:$BZ,2,FALSE)),'Preliminary SO66'!AO120,VLOOKUP($CW121,'Audit Values'!$A:$BZ,61,FALSE))</f>
        <v>131.5</v>
      </c>
      <c r="AC121" s="58">
        <f>AB121/6*'Weighting Factors'!$O$6</f>
        <v>11</v>
      </c>
      <c r="AD121" s="24">
        <f>IF(ISNA(VLOOKUP($CW121,'Audit Values'!$A:$BX,2,FALSE)),'Preliminary SO66'!AS120,VLOOKUP($CW121,'Audit Values'!$A:$BX,64,FALSE))</f>
        <v>327</v>
      </c>
      <c r="AE121" s="24">
        <f>IF(ISNA(VLOOKUP($CW121,'Audit Values'!$A:$BX,2,FALSE)),'Preliminary SO66'!AP120,VLOOKUP($CW121,'Audit Values'!$A:$BX,65,FALSE))</f>
        <v>116</v>
      </c>
      <c r="AF121" s="58">
        <f>IF(A121=207, AE121,(AE121))*'Weighting Factors'!$O$9</f>
        <v>56.1</v>
      </c>
      <c r="AG121" s="58">
        <f t="shared" si="96"/>
        <v>0.4</v>
      </c>
      <c r="AH121" s="58">
        <f>IF(ISNA(VLOOKUP($CW121,'Audit Values'!$A:$BZ,2,FALSE)),'Preliminary SO66'!AG120,VLOOKUP($CW121,'Audit Values'!$A:$BZ,71,FALSE))</f>
        <v>3.3</v>
      </c>
      <c r="AI121" s="58">
        <f t="shared" si="100"/>
        <v>3.3</v>
      </c>
      <c r="AJ121" s="58">
        <f>IF(ISNA(VLOOKUP($CW121,'Audit Values'!$A:$BX,2,FALSE)),'Preliminary SO66'!AR120,VLOOKUP($CW121,'Audit Values'!$A:$BX,66,FALSE))</f>
        <v>164</v>
      </c>
      <c r="AK121" s="24">
        <f t="shared" si="101"/>
        <v>206353</v>
      </c>
      <c r="AL121" s="58">
        <f>AK121/'Weighting Factors'!$O$5</f>
        <v>40.6</v>
      </c>
      <c r="AM121" s="58">
        <f>CJ121/'Weighting Factors'!$O$5</f>
        <v>0</v>
      </c>
      <c r="AN121" s="58">
        <f>CN121/'Weighting Factors'!$O$5</f>
        <v>0</v>
      </c>
      <c r="AO121" s="24">
        <v>191629</v>
      </c>
      <c r="AP121" s="58">
        <f>AO121/'Weighting Factors'!$O$5</f>
        <v>37.700000000000003</v>
      </c>
      <c r="AQ121" s="58">
        <f>IF(ISNA(VLOOKUP($CW121,'Audit Values'!$A:$BX,2,FALSE)),'Preliminary SO66'!X120,VLOOKUP($CW121,'Audit Values'!$A:$BX,48,FALSE))</f>
        <v>0</v>
      </c>
      <c r="AR121" s="58">
        <f t="shared" si="94"/>
        <v>602</v>
      </c>
      <c r="AS121" s="58">
        <f t="shared" si="95"/>
        <v>564.29999999999995</v>
      </c>
      <c r="AT121" s="58">
        <f>IF(ISNA(VLOOKUP($CW121,'Audit Values'!$A$2:$BX$410,2,FALSE)),'Preliminary SO66'!AA120,VLOOKUP($CW121,'Audit Values'!$A$2:$BX$410,41,FALSE))</f>
        <v>0</v>
      </c>
      <c r="AU121" s="58">
        <f>IF(ISNA(VLOOKUP($CW121,'Audit Values'!$A$2:$BX$410,2,FALSE)),'Preliminary SO66'!AB120,VLOOKUP($CW121,'Audit Values'!$A$2:$BX$410,42,FALSE))</f>
        <v>0</v>
      </c>
      <c r="AV121" s="73">
        <v>0</v>
      </c>
      <c r="AW121" s="73">
        <v>0</v>
      </c>
      <c r="AX121" s="24">
        <f>SUM(AT121*'Weighting Factors'!$R$10)+('2024 Legal Max'!AU121*'Weighting Factors'!$R$11)+('2024 Legal Max'!AV121*'Weighting Factors'!$R$12)+('2024 Legal Max'!AW121*'Weighting Factors'!$R$12)</f>
        <v>0</v>
      </c>
      <c r="AY121" s="54">
        <f>IF(ISNA(VLOOKUP($CW121,'Audit Values'!$A$2:$BX$429,2,FALSE)),"",IF(AND('Weighting Factors'!G121&gt;0,VLOOKUP($CW121,'Audit Values'!$A$2:$BX$429,51,FALSE)&lt;'Weighting Factors'!G121),'Weighting Factors'!G121,VLOOKUP($CW121,'Audit Values'!$A$2:$BX$429,51,FALSE)))</f>
        <v>15</v>
      </c>
      <c r="AZ121" s="54" t="str">
        <f>IF(ISNA(VLOOKUP($CW121,'Audit Values'!$A:$BY,2,FALSE)),"",VLOOKUP($CW121,'Audit Values'!$A:$BY,52,FALSE))</f>
        <v>A</v>
      </c>
      <c r="BA121" s="54" t="str">
        <f>IF('Weighting Factors'!F121="","",IF('Weighting Factors'!H121="Pending","PX","R"))</f>
        <v/>
      </c>
      <c r="BB121" s="60">
        <f>SUM((U121+V121+AA121+AC121+AF121+AI121+AL121+AM121+AQ121+AN121)*'Weighting Factors'!$O$5)+'2024 Legal Max'!AX121</f>
        <v>2871158</v>
      </c>
      <c r="BC121" s="24">
        <f>SUM((AR121+AN121)*'Weighting Factors'!$O$5)+AX121</f>
        <v>3062976</v>
      </c>
      <c r="BD121" s="67">
        <f>IF('Weighting Factors'!F121&gt;0,'Weighting Factors'!F121,'Preliminary SO66'!AV120)</f>
        <v>3141830</v>
      </c>
      <c r="BE121" s="24">
        <f t="shared" si="102"/>
        <v>3062976</v>
      </c>
      <c r="BF121" s="71">
        <f>'Weighting Factors'!E121</f>
        <v>0</v>
      </c>
      <c r="BG121" s="71">
        <f>Transportation!G121</f>
        <v>-26783</v>
      </c>
      <c r="BH121" s="24">
        <f>IF(ISNA(VLOOKUP($CW121,'Audit Values'!$A:$BW,2,FALSE)), 0, VLOOKUP($CW121,'Audit Values'!$A:$BW,75,FALSE))</f>
        <v>-3545</v>
      </c>
      <c r="BI121" s="24">
        <f t="shared" si="103"/>
        <v>-30328</v>
      </c>
      <c r="BJ121" s="24">
        <f t="shared" si="104"/>
        <v>3032648</v>
      </c>
      <c r="BK121" s="24">
        <f>SUM((U121+V121+AA121+AC121+AF121+AI121+AL121+AM121+AN121)*'Weighting Factors'!O$12)+(MAX(AO121,'Weighting Factors'!B121))</f>
        <v>3189203</v>
      </c>
      <c r="BL121" s="78">
        <f>'LOB%'!F119</f>
        <v>0.316</v>
      </c>
      <c r="BM121" s="24">
        <f t="shared" si="75"/>
        <v>1007788</v>
      </c>
      <c r="BN121" s="67">
        <v>1005832</v>
      </c>
      <c r="BO121" s="24">
        <f t="shared" si="105"/>
        <v>1005832</v>
      </c>
      <c r="BP121" s="89">
        <f t="shared" si="76"/>
        <v>0.31540000000000001</v>
      </c>
      <c r="BQ121" s="58">
        <f t="shared" si="77"/>
        <v>0</v>
      </c>
      <c r="BR121" s="1" t="b">
        <f t="shared" si="78"/>
        <v>0</v>
      </c>
      <c r="BS121" s="76">
        <f t="shared" si="79"/>
        <v>0</v>
      </c>
      <c r="BT121" s="75">
        <f t="shared" si="106"/>
        <v>0</v>
      </c>
      <c r="BU121" s="58">
        <f t="shared" si="80"/>
        <v>0</v>
      </c>
      <c r="BV121" s="1" t="b">
        <f t="shared" si="81"/>
        <v>1</v>
      </c>
      <c r="BW121" s="1">
        <f t="shared" si="82"/>
        <v>6.5587999999999997</v>
      </c>
      <c r="BX121" s="75">
        <f t="shared" si="107"/>
        <v>0.48238599999999998</v>
      </c>
      <c r="BY121" s="58">
        <f t="shared" si="83"/>
        <v>147.30000000000001</v>
      </c>
      <c r="BZ121" s="58">
        <f t="shared" si="84"/>
        <v>0</v>
      </c>
      <c r="CA121" s="61">
        <v>256.39999999999998</v>
      </c>
      <c r="CB121" s="102">
        <f t="shared" si="85"/>
        <v>0.64</v>
      </c>
      <c r="CC121" s="105">
        <f>IF(CB121&lt;0.06,1,IF(CB121&gt;=18.29,52,MATCH(CB121-0.001,'Weighting Factors'!$W$5:$W$156)+1))</f>
        <v>28</v>
      </c>
      <c r="CD121" s="24">
        <f>VLOOKUP(CC121, 'Weighting Factors'!$U$5:$X$56,4)</f>
        <v>1030</v>
      </c>
      <c r="CE121" s="109">
        <f>('Weighting Factors'!$O$5/'Weighting Factors'!$O$14)</f>
        <v>1.2216</v>
      </c>
      <c r="CF121" s="100">
        <f t="shared" si="86"/>
        <v>168920</v>
      </c>
      <c r="CG121" s="100">
        <f>CF121*'Weighting Factors'!$Q$7</f>
        <v>168920</v>
      </c>
      <c r="CH121" s="100">
        <f t="shared" si="108"/>
        <v>206353</v>
      </c>
      <c r="CI121" s="58">
        <f>AK121/'Weighting Factors'!$O$5</f>
        <v>40.6</v>
      </c>
      <c r="CJ121" s="67">
        <v>0</v>
      </c>
      <c r="CK121" s="80">
        <v>0</v>
      </c>
      <c r="CL121" s="110">
        <v>0</v>
      </c>
      <c r="CM121" s="24">
        <f>SUM((AR121*'Weighting Factors'!$O$5)+'2024 Legal Max'!AX121)*CL121</f>
        <v>0</v>
      </c>
      <c r="CN121" s="24">
        <f t="shared" si="109"/>
        <v>0</v>
      </c>
      <c r="CO121" s="65">
        <f t="shared" si="74"/>
        <v>0.35470000000000002</v>
      </c>
      <c r="CP121" s="58">
        <f t="shared" si="87"/>
        <v>0</v>
      </c>
      <c r="CQ121" s="58">
        <f t="shared" si="88"/>
        <v>0.4</v>
      </c>
      <c r="CR121" s="58">
        <f t="shared" si="89"/>
        <v>602</v>
      </c>
      <c r="CS121" s="24">
        <f>'Required Transfers'!L121</f>
        <v>94649</v>
      </c>
      <c r="CT121" s="24">
        <f>'Required Transfers'!O121</f>
        <v>1006</v>
      </c>
      <c r="CU121" s="24">
        <f>'Required Transfers'!H121</f>
        <v>302227</v>
      </c>
      <c r="CV121" s="58">
        <f t="shared" si="90"/>
        <v>317</v>
      </c>
      <c r="CW121" s="27" t="s">
        <v>306</v>
      </c>
    </row>
    <row r="122" spans="1:101" ht="15" customHeight="1">
      <c r="A122" s="54">
        <v>323</v>
      </c>
      <c r="B122" s="1" t="s">
        <v>52</v>
      </c>
      <c r="C122" s="1" t="s">
        <v>627</v>
      </c>
      <c r="D122" s="58">
        <v>1153.5</v>
      </c>
      <c r="E122" s="58"/>
      <c r="F122" s="58">
        <v>0</v>
      </c>
      <c r="G122" s="58">
        <f t="shared" si="91"/>
        <v>1153.5</v>
      </c>
      <c r="H122" s="58">
        <v>1214</v>
      </c>
      <c r="I122" s="58"/>
      <c r="J122" s="58">
        <v>0</v>
      </c>
      <c r="K122" s="58">
        <f t="shared" si="92"/>
        <v>1214</v>
      </c>
      <c r="L122" s="1">
        <v>1296.5</v>
      </c>
      <c r="N122" s="1">
        <v>0</v>
      </c>
      <c r="O122" s="58">
        <f t="shared" si="93"/>
        <v>1296.5</v>
      </c>
      <c r="P122" s="58">
        <f>IF(ISNA(VLOOKUP($CW122,'Audit Values'!$A:$BZ,2,FALSE)),'Preliminary SO66'!C121,VLOOKUP($CW122,'Audit Values'!$A:$BZ,76,FALSE))</f>
        <v>1283</v>
      </c>
      <c r="Q122" s="58">
        <f>IF(ISNA(VLOOKUP($CW122,'Audit Values'!$A:$BZ,2,FALSE)),'Preliminary SO66'!F121,VLOOKUP($CW122,'Audit Values'!$A:$BZ,4,FALSE))</f>
        <v>0</v>
      </c>
      <c r="R122" s="58">
        <f t="shared" si="97"/>
        <v>1283</v>
      </c>
      <c r="S122" s="58">
        <f>IF('Military Provision'!I122="YES", MAX('2024 Legal Max'!O122,'2024 Legal Max'!K122,AVERAGE('2024 Legal Max'!G122,'2024 Legal Max'!K122,'2024 Legal Max'!O122)), MAX(O122, K122))</f>
        <v>1296.5</v>
      </c>
      <c r="T122" s="58">
        <f>IF(ISNA(VLOOKUP($CW122,'Audit Values'!$A:$BX,2,FALSE)),'Preliminary SO66'!AL121,VLOOKUP($CW122,'Audit Values'!$A:$BX,59,FALSE))</f>
        <v>11</v>
      </c>
      <c r="U122" s="58">
        <f t="shared" si="98"/>
        <v>1307.5</v>
      </c>
      <c r="V122" s="58">
        <f>'Low-High ENRL- 2023 HSubSB 113'!N125</f>
        <v>185.5</v>
      </c>
      <c r="W122" s="58">
        <f>IF(ISNA(VLOOKUP($CW122,'Audit Values'!$A:$BZ,2,FALSE)),'Preliminary SO66'!AM121,VLOOKUP($CW122,'Audit Values'!$A:$BZ,63,FALSE))</f>
        <v>1.1000000000000001</v>
      </c>
      <c r="X122" s="58">
        <f>(W122/6)*'Weighting Factors'!$O$7</f>
        <v>0.1</v>
      </c>
      <c r="Y122" s="61">
        <f>IF(ISNA(VLOOKUP($CW122,'Audit Values'!$A:$BZ,2,FALSE)),'Preliminary SO66'!AN121,VLOOKUP($CW122,'Audit Values'!$A:$BZ,62,FALSE))</f>
        <v>6</v>
      </c>
      <c r="Z122" s="58">
        <f>Y122*'Weighting Factors'!$O$8</f>
        <v>1.1000000000000001</v>
      </c>
      <c r="AA122" s="58">
        <f t="shared" si="99"/>
        <v>1.1000000000000001</v>
      </c>
      <c r="AB122" s="106">
        <f>IF(ISNA(VLOOKUP($CW122,'Audit Values'!$A:$BZ,2,FALSE)),'Preliminary SO66'!AO121,VLOOKUP($CW122,'Audit Values'!$A:$BZ,61,FALSE))</f>
        <v>181.7</v>
      </c>
      <c r="AC122" s="58">
        <f>AB122/6*'Weighting Factors'!$O$6</f>
        <v>15.1</v>
      </c>
      <c r="AD122" s="24">
        <f>IF(ISNA(VLOOKUP($CW122,'Audit Values'!$A:$BX,2,FALSE)),'Preliminary SO66'!AS121,VLOOKUP($CW122,'Audit Values'!$A:$BX,64,FALSE))</f>
        <v>1313</v>
      </c>
      <c r="AE122" s="24">
        <f>IF(ISNA(VLOOKUP($CW122,'Audit Values'!$A:$BX,2,FALSE)),'Preliminary SO66'!AP121,VLOOKUP($CW122,'Audit Values'!$A:$BX,65,FALSE))</f>
        <v>276</v>
      </c>
      <c r="AF122" s="58">
        <f>IF(A122=207, AE122,(AE122))*'Weighting Factors'!$O$9</f>
        <v>133.6</v>
      </c>
      <c r="AG122" s="58">
        <f t="shared" si="96"/>
        <v>0</v>
      </c>
      <c r="AH122" s="58">
        <f>IF(ISNA(VLOOKUP($CW122,'Audit Values'!$A:$BZ,2,FALSE)),'Preliminary SO66'!AG121,VLOOKUP($CW122,'Audit Values'!$A:$BZ,71,FALSE))</f>
        <v>0</v>
      </c>
      <c r="AI122" s="58">
        <f t="shared" si="100"/>
        <v>0</v>
      </c>
      <c r="AJ122" s="58">
        <f>IF(ISNA(VLOOKUP($CW122,'Audit Values'!$A:$BX,2,FALSE)),'Preliminary SO66'!AR121,VLOOKUP($CW122,'Audit Values'!$A:$BX,66,FALSE))</f>
        <v>897.5</v>
      </c>
      <c r="AK122" s="24">
        <f t="shared" si="101"/>
        <v>822290</v>
      </c>
      <c r="AL122" s="58">
        <f>AK122/'Weighting Factors'!$O$5</f>
        <v>161.6</v>
      </c>
      <c r="AM122" s="58">
        <f>CJ122/'Weighting Factors'!$O$5</f>
        <v>0</v>
      </c>
      <c r="AN122" s="58">
        <f>CN122/'Weighting Factors'!$O$5</f>
        <v>0</v>
      </c>
      <c r="AO122" s="24">
        <v>1237186</v>
      </c>
      <c r="AP122" s="58">
        <f>AO122/'Weighting Factors'!$O$5</f>
        <v>243.2</v>
      </c>
      <c r="AQ122" s="58">
        <f>IF(ISNA(VLOOKUP($CW122,'Audit Values'!$A:$BX,2,FALSE)),'Preliminary SO66'!X121,VLOOKUP($CW122,'Audit Values'!$A:$BX,48,FALSE))</f>
        <v>0</v>
      </c>
      <c r="AR122" s="58">
        <f t="shared" si="94"/>
        <v>2047.6</v>
      </c>
      <c r="AS122" s="58">
        <f t="shared" si="95"/>
        <v>1804.4</v>
      </c>
      <c r="AT122" s="58">
        <f>IF(ISNA(VLOOKUP($CW122,'Audit Values'!$A$2:$BX$410,2,FALSE)),'Preliminary SO66'!AA121,VLOOKUP($CW122,'Audit Values'!$A$2:$BX$410,41,FALSE))</f>
        <v>4</v>
      </c>
      <c r="AU122" s="58">
        <f>IF(ISNA(VLOOKUP($CW122,'Audit Values'!$A$2:$BX$410,2,FALSE)),'Preliminary SO66'!AB121,VLOOKUP($CW122,'Audit Values'!$A$2:$BX$410,42,FALSE))</f>
        <v>0</v>
      </c>
      <c r="AV122" s="73">
        <v>0</v>
      </c>
      <c r="AW122" s="73">
        <v>0</v>
      </c>
      <c r="AX122" s="24">
        <f>SUM(AT122*'Weighting Factors'!$R$10)+('2024 Legal Max'!AU122*'Weighting Factors'!$R$11)+('2024 Legal Max'!AV122*'Weighting Factors'!$R$12)+('2024 Legal Max'!AW122*'Weighting Factors'!$R$12)</f>
        <v>22400</v>
      </c>
      <c r="AY122" s="54">
        <f>IF(ISNA(VLOOKUP($CW122,'Audit Values'!$A$2:$BX$429,2,FALSE)),"",IF(AND('Weighting Factors'!G122&gt;0,VLOOKUP($CW122,'Audit Values'!$A$2:$BX$429,51,FALSE)&lt;'Weighting Factors'!G122),'Weighting Factors'!G122,VLOOKUP($CW122,'Audit Values'!$A$2:$BX$429,51,FALSE)))</f>
        <v>25</v>
      </c>
      <c r="AZ122" s="54" t="str">
        <f>IF(ISNA(VLOOKUP($CW122,'Audit Values'!$A:$BY,2,FALSE)),"",VLOOKUP($CW122,'Audit Values'!$A:$BY,52,FALSE))</f>
        <v>A</v>
      </c>
      <c r="BA122" s="54" t="str">
        <f>IF('Weighting Factors'!F122="","",IF('Weighting Factors'!H122="Pending","PX","R"))</f>
        <v/>
      </c>
      <c r="BB122" s="60">
        <f>SUM((U122+V122+AA122+AC122+AF122+AI122+AL122+AM122+AQ122+AN122)*'Weighting Factors'!$O$5)+'2024 Legal Max'!AX122</f>
        <v>9203187</v>
      </c>
      <c r="BC122" s="24">
        <f>SUM((AR122+AN122)*'Weighting Factors'!$O$5)+AX122</f>
        <v>10440589</v>
      </c>
      <c r="BD122" s="67">
        <f>IF('Weighting Factors'!F122&gt;0,'Weighting Factors'!F122,'Preliminary SO66'!AV121)</f>
        <v>10678714</v>
      </c>
      <c r="BE122" s="24">
        <f t="shared" si="102"/>
        <v>10440589</v>
      </c>
      <c r="BF122" s="71">
        <f>'Weighting Factors'!E122</f>
        <v>0</v>
      </c>
      <c r="BG122" s="71">
        <f>Transportation!G122</f>
        <v>-108902</v>
      </c>
      <c r="BH122" s="24">
        <f>IF(ISNA(VLOOKUP($CW122,'Audit Values'!$A:$BW,2,FALSE)), 0, VLOOKUP($CW122,'Audit Values'!$A:$BW,75,FALSE))</f>
        <v>0</v>
      </c>
      <c r="BI122" s="24">
        <f t="shared" si="103"/>
        <v>-108902</v>
      </c>
      <c r="BJ122" s="24">
        <f t="shared" si="104"/>
        <v>10331687</v>
      </c>
      <c r="BK122" s="24">
        <f>SUM((U122+V122+AA122+AC122+AF122+AI122+AL122+AM122+AN122)*'Weighting Factors'!O$12)+(MAX(AO122,'Weighting Factors'!B122))</f>
        <v>10544281</v>
      </c>
      <c r="BL122" s="78">
        <f>'LOB%'!F120</f>
        <v>0.316</v>
      </c>
      <c r="BM122" s="24">
        <f t="shared" si="75"/>
        <v>3331993</v>
      </c>
      <c r="BN122" s="67">
        <v>3404150</v>
      </c>
      <c r="BO122" s="24">
        <f t="shared" si="105"/>
        <v>3331993</v>
      </c>
      <c r="BP122" s="89">
        <f t="shared" si="76"/>
        <v>0.316</v>
      </c>
      <c r="BQ122" s="58">
        <f t="shared" si="77"/>
        <v>0</v>
      </c>
      <c r="BR122" s="1" t="b">
        <f t="shared" si="78"/>
        <v>0</v>
      </c>
      <c r="BS122" s="76">
        <f t="shared" si="79"/>
        <v>0</v>
      </c>
      <c r="BT122" s="75">
        <f t="shared" si="106"/>
        <v>0</v>
      </c>
      <c r="BU122" s="58">
        <f t="shared" si="80"/>
        <v>0</v>
      </c>
      <c r="BV122" s="1" t="b">
        <f t="shared" si="81"/>
        <v>1</v>
      </c>
      <c r="BW122" s="1">
        <f t="shared" si="82"/>
        <v>1246.7813000000001</v>
      </c>
      <c r="BX122" s="75">
        <f t="shared" si="107"/>
        <v>0.14188999999999999</v>
      </c>
      <c r="BY122" s="58">
        <f t="shared" si="83"/>
        <v>185.5</v>
      </c>
      <c r="BZ122" s="58">
        <f t="shared" si="84"/>
        <v>0</v>
      </c>
      <c r="CA122" s="61">
        <v>233</v>
      </c>
      <c r="CB122" s="102">
        <f t="shared" si="85"/>
        <v>3.8519999999999999</v>
      </c>
      <c r="CC122" s="105">
        <f>IF(CB122&lt;0.06,1,IF(CB122&gt;=18.29,52,MATCH(CB122-0.001,'Weighting Factors'!$W$5:$W$156)+1))</f>
        <v>42</v>
      </c>
      <c r="CD122" s="24">
        <f>VLOOKUP(CC122, 'Weighting Factors'!$U$5:$X$56,4)</f>
        <v>750</v>
      </c>
      <c r="CE122" s="109">
        <f>('Weighting Factors'!$O$5/'Weighting Factors'!$O$14)</f>
        <v>1.2216</v>
      </c>
      <c r="CF122" s="100">
        <f t="shared" si="86"/>
        <v>673125</v>
      </c>
      <c r="CG122" s="100">
        <f>CF122*'Weighting Factors'!$Q$7</f>
        <v>673125</v>
      </c>
      <c r="CH122" s="100">
        <f t="shared" si="108"/>
        <v>822290</v>
      </c>
      <c r="CI122" s="58">
        <f>AK122/'Weighting Factors'!$O$5</f>
        <v>161.6</v>
      </c>
      <c r="CJ122" s="67">
        <v>0</v>
      </c>
      <c r="CK122" s="80">
        <v>0</v>
      </c>
      <c r="CL122" s="110">
        <v>4.4000000000000003E-3</v>
      </c>
      <c r="CM122" s="24">
        <f>SUM((AR122*'Weighting Factors'!$O$5)+'2024 Legal Max'!AX122)*CL122</f>
        <v>45939</v>
      </c>
      <c r="CN122" s="24">
        <f t="shared" si="109"/>
        <v>0</v>
      </c>
      <c r="CO122" s="65">
        <f t="shared" si="74"/>
        <v>0.2102</v>
      </c>
      <c r="CP122" s="58">
        <f t="shared" si="87"/>
        <v>0</v>
      </c>
      <c r="CQ122" s="58">
        <f t="shared" si="88"/>
        <v>0</v>
      </c>
      <c r="CR122" s="58">
        <f t="shared" si="89"/>
        <v>2047.6</v>
      </c>
      <c r="CS122" s="24">
        <f>'Required Transfers'!L122</f>
        <v>218579</v>
      </c>
      <c r="CT122" s="24">
        <f>'Required Transfers'!O122</f>
        <v>1666</v>
      </c>
      <c r="CU122" s="24">
        <f>'Required Transfers'!H122</f>
        <v>679757</v>
      </c>
      <c r="CV122" s="58">
        <f t="shared" si="90"/>
        <v>1298</v>
      </c>
      <c r="CW122" s="27" t="s">
        <v>307</v>
      </c>
    </row>
    <row r="123" spans="1:101" ht="15" customHeight="1">
      <c r="A123" s="54">
        <v>325</v>
      </c>
      <c r="B123" s="1" t="s">
        <v>53</v>
      </c>
      <c r="C123" s="1" t="s">
        <v>628</v>
      </c>
      <c r="D123" s="58">
        <v>579.5</v>
      </c>
      <c r="E123" s="58"/>
      <c r="F123" s="58">
        <v>0</v>
      </c>
      <c r="G123" s="58">
        <f t="shared" si="91"/>
        <v>579.5</v>
      </c>
      <c r="H123" s="58">
        <v>560</v>
      </c>
      <c r="I123" s="58"/>
      <c r="J123" s="58">
        <v>0</v>
      </c>
      <c r="K123" s="58">
        <f t="shared" si="92"/>
        <v>560</v>
      </c>
      <c r="L123" s="1">
        <v>564</v>
      </c>
      <c r="N123" s="1">
        <v>0</v>
      </c>
      <c r="O123" s="58">
        <f t="shared" si="93"/>
        <v>564</v>
      </c>
      <c r="P123" s="58">
        <f>IF(ISNA(VLOOKUP($CW123,'Audit Values'!$A:$BZ,2,FALSE)),'Preliminary SO66'!C122,VLOOKUP($CW123,'Audit Values'!$A:$BZ,76,FALSE))</f>
        <v>551.5</v>
      </c>
      <c r="Q123" s="58">
        <f>IF(ISNA(VLOOKUP($CW123,'Audit Values'!$A:$BZ,2,FALSE)),'Preliminary SO66'!F122,VLOOKUP($CW123,'Audit Values'!$A:$BZ,4,FALSE))</f>
        <v>0</v>
      </c>
      <c r="R123" s="58">
        <f t="shared" si="97"/>
        <v>551.5</v>
      </c>
      <c r="S123" s="58">
        <f>IF('Military Provision'!I123="YES", MAX('2024 Legal Max'!O123,'2024 Legal Max'!K123,AVERAGE('2024 Legal Max'!G123,'2024 Legal Max'!K123,'2024 Legal Max'!O123)), MAX(O123, K123))</f>
        <v>564</v>
      </c>
      <c r="T123" s="58">
        <f>IF(ISNA(VLOOKUP($CW123,'Audit Values'!$A:$BX,2,FALSE)),'Preliminary SO66'!AL122,VLOOKUP($CW123,'Audit Values'!$A:$BX,59,FALSE))</f>
        <v>4</v>
      </c>
      <c r="U123" s="58">
        <f t="shared" si="98"/>
        <v>568</v>
      </c>
      <c r="V123" s="58">
        <f>'Low-High ENRL- 2023 HSubSB 113'!N126</f>
        <v>223.3</v>
      </c>
      <c r="W123" s="58">
        <f>IF(ISNA(VLOOKUP($CW123,'Audit Values'!$A:$BZ,2,FALSE)),'Preliminary SO66'!AM122,VLOOKUP($CW123,'Audit Values'!$A:$BZ,63,FALSE))</f>
        <v>0</v>
      </c>
      <c r="X123" s="58">
        <f>(W123/6)*'Weighting Factors'!$O$7</f>
        <v>0</v>
      </c>
      <c r="Y123" s="61">
        <f>IF(ISNA(VLOOKUP($CW123,'Audit Values'!$A:$BZ,2,FALSE)),'Preliminary SO66'!AN122,VLOOKUP($CW123,'Audit Values'!$A:$BZ,62,FALSE))</f>
        <v>2</v>
      </c>
      <c r="Z123" s="58">
        <f>Y123*'Weighting Factors'!$O$8</f>
        <v>0.4</v>
      </c>
      <c r="AA123" s="58">
        <f t="shared" si="99"/>
        <v>0.4</v>
      </c>
      <c r="AB123" s="106">
        <f>IF(ISNA(VLOOKUP($CW123,'Audit Values'!$A:$BZ,2,FALSE)),'Preliminary SO66'!AO122,VLOOKUP($CW123,'Audit Values'!$A:$BZ,61,FALSE))</f>
        <v>234.9</v>
      </c>
      <c r="AC123" s="58">
        <f>AB123/6*'Weighting Factors'!$O$6</f>
        <v>19.600000000000001</v>
      </c>
      <c r="AD123" s="24">
        <f>IF(ISNA(VLOOKUP($CW123,'Audit Values'!$A:$BX,2,FALSE)),'Preliminary SO66'!AS122,VLOOKUP($CW123,'Audit Values'!$A:$BX,64,FALSE))</f>
        <v>563</v>
      </c>
      <c r="AE123" s="24">
        <f>IF(ISNA(VLOOKUP($CW123,'Audit Values'!$A:$BX,2,FALSE)),'Preliminary SO66'!AP122,VLOOKUP($CW123,'Audit Values'!$A:$BX,65,FALSE))</f>
        <v>224</v>
      </c>
      <c r="AF123" s="58">
        <f>IF(A123=207, AE123,(AE123))*'Weighting Factors'!$O$9</f>
        <v>108.4</v>
      </c>
      <c r="AG123" s="58">
        <f t="shared" si="96"/>
        <v>7.5</v>
      </c>
      <c r="AH123" s="58">
        <f>IF(ISNA(VLOOKUP($CW123,'Audit Values'!$A:$BZ,2,FALSE)),'Preliminary SO66'!AG122,VLOOKUP($CW123,'Audit Values'!$A:$BZ,71,FALSE))</f>
        <v>8.1999999999999993</v>
      </c>
      <c r="AI123" s="58">
        <f t="shared" si="100"/>
        <v>8.1999999999999993</v>
      </c>
      <c r="AJ123" s="58">
        <f>IF(ISNA(VLOOKUP($CW123,'Audit Values'!$A:$BX,2,FALSE)),'Preliminary SO66'!AR122,VLOOKUP($CW123,'Audit Values'!$A:$BX,66,FALSE))</f>
        <v>101.5</v>
      </c>
      <c r="AK123" s="24">
        <f t="shared" si="101"/>
        <v>150031</v>
      </c>
      <c r="AL123" s="58">
        <f>AK123/'Weighting Factors'!$O$5</f>
        <v>29.5</v>
      </c>
      <c r="AM123" s="58">
        <f>CJ123/'Weighting Factors'!$O$5</f>
        <v>0</v>
      </c>
      <c r="AN123" s="58">
        <f>CN123/'Weighting Factors'!$O$5</f>
        <v>0</v>
      </c>
      <c r="AO123" s="24">
        <v>705426</v>
      </c>
      <c r="AP123" s="58">
        <f>AO123/'Weighting Factors'!$O$5</f>
        <v>138.6</v>
      </c>
      <c r="AQ123" s="58">
        <f>IF(ISNA(VLOOKUP($CW123,'Audit Values'!$A:$BX,2,FALSE)),'Preliminary SO66'!X122,VLOOKUP($CW123,'Audit Values'!$A:$BX,48,FALSE))</f>
        <v>0</v>
      </c>
      <c r="AR123" s="58">
        <f t="shared" si="94"/>
        <v>1096</v>
      </c>
      <c r="AS123" s="58">
        <f t="shared" si="95"/>
        <v>957.4</v>
      </c>
      <c r="AT123" s="58">
        <f>IF(ISNA(VLOOKUP($CW123,'Audit Values'!$A$2:$BX$410,2,FALSE)),'Preliminary SO66'!AA122,VLOOKUP($CW123,'Audit Values'!$A$2:$BX$410,41,FALSE))</f>
        <v>0</v>
      </c>
      <c r="AU123" s="58">
        <f>IF(ISNA(VLOOKUP($CW123,'Audit Values'!$A$2:$BX$410,2,FALSE)),'Preliminary SO66'!AB122,VLOOKUP($CW123,'Audit Values'!$A$2:$BX$410,42,FALSE))</f>
        <v>0</v>
      </c>
      <c r="AV123" s="73">
        <v>0</v>
      </c>
      <c r="AW123" s="73">
        <v>0</v>
      </c>
      <c r="AX123" s="24">
        <f>SUM(AT123*'Weighting Factors'!$R$10)+('2024 Legal Max'!AU123*'Weighting Factors'!$R$11)+('2024 Legal Max'!AV123*'Weighting Factors'!$R$12)+('2024 Legal Max'!AW123*'Weighting Factors'!$R$12)</f>
        <v>0</v>
      </c>
      <c r="AY123" s="54">
        <f>IF(ISNA(VLOOKUP($CW123,'Audit Values'!$A$2:$BX$429,2,FALSE)),"",IF(AND('Weighting Factors'!G123&gt;0,VLOOKUP($CW123,'Audit Values'!$A$2:$BX$429,51,FALSE)&lt;'Weighting Factors'!G123),'Weighting Factors'!G123,VLOOKUP($CW123,'Audit Values'!$A$2:$BX$429,51,FALSE)))</f>
        <v>16</v>
      </c>
      <c r="AZ123" s="54" t="str">
        <f>IF(ISNA(VLOOKUP($CW123,'Audit Values'!$A:$BY,2,FALSE)),"",VLOOKUP($CW123,'Audit Values'!$A:$BY,52,FALSE))</f>
        <v>A</v>
      </c>
      <c r="BA123" s="54" t="str">
        <f>IF('Weighting Factors'!F123="","",IF('Weighting Factors'!H123="Pending","PX","R"))</f>
        <v>R</v>
      </c>
      <c r="BB123" s="60">
        <f>SUM((U123+V123+AA123+AC123+AF123+AI123+AL123+AM123+AQ123+AN123)*'Weighting Factors'!$O$5)+'2024 Legal Max'!AX123</f>
        <v>4871251</v>
      </c>
      <c r="BC123" s="24">
        <f>SUM((AR123+AN123)*'Weighting Factors'!$O$5)+AX123</f>
        <v>5576448</v>
      </c>
      <c r="BD123" s="67">
        <f>IF('Weighting Factors'!F123&gt;0,'Weighting Factors'!F123,'Preliminary SO66'!AV122)</f>
        <v>5615117</v>
      </c>
      <c r="BE123" s="24">
        <f t="shared" si="102"/>
        <v>5576448</v>
      </c>
      <c r="BF123" s="71">
        <f>'Weighting Factors'!E123</f>
        <v>0</v>
      </c>
      <c r="BG123" s="71">
        <f>Transportation!G123</f>
        <v>0</v>
      </c>
      <c r="BH123" s="24">
        <f>IF(ISNA(VLOOKUP($CW123,'Audit Values'!$A:$BW,2,FALSE)), 0, VLOOKUP($CW123,'Audit Values'!$A:$BW,75,FALSE))</f>
        <v>0</v>
      </c>
      <c r="BI123" s="24">
        <f t="shared" si="103"/>
        <v>0</v>
      </c>
      <c r="BJ123" s="24">
        <f t="shared" si="104"/>
        <v>5576448</v>
      </c>
      <c r="BK123" s="24">
        <f>SUM((U123+V123+AA123+AC123+AF123+AI123+AL123+AM123+AN123)*'Weighting Factors'!O$12)+(MAX(AO123,'Weighting Factors'!B123))</f>
        <v>5695308</v>
      </c>
      <c r="BL123" s="78">
        <f>'LOB%'!F121</f>
        <v>0.316</v>
      </c>
      <c r="BM123" s="24">
        <f t="shared" si="75"/>
        <v>1799717</v>
      </c>
      <c r="BN123" s="67">
        <v>1779832</v>
      </c>
      <c r="BO123" s="24">
        <f t="shared" si="105"/>
        <v>1779832</v>
      </c>
      <c r="BP123" s="89">
        <f t="shared" si="76"/>
        <v>0.3125</v>
      </c>
      <c r="BQ123" s="58">
        <f t="shared" si="77"/>
        <v>0</v>
      </c>
      <c r="BR123" s="1" t="b">
        <f t="shared" si="78"/>
        <v>0</v>
      </c>
      <c r="BS123" s="76">
        <f t="shared" si="79"/>
        <v>0</v>
      </c>
      <c r="BT123" s="75">
        <f t="shared" si="106"/>
        <v>0</v>
      </c>
      <c r="BU123" s="58">
        <f t="shared" si="80"/>
        <v>0</v>
      </c>
      <c r="BV123" s="1" t="b">
        <f t="shared" si="81"/>
        <v>1</v>
      </c>
      <c r="BW123" s="1">
        <f t="shared" si="82"/>
        <v>331.65</v>
      </c>
      <c r="BX123" s="75">
        <f t="shared" si="107"/>
        <v>0.39313399999999998</v>
      </c>
      <c r="BY123" s="58">
        <f t="shared" si="83"/>
        <v>223.3</v>
      </c>
      <c r="BZ123" s="58">
        <f t="shared" si="84"/>
        <v>0</v>
      </c>
      <c r="CA123" s="61">
        <v>353</v>
      </c>
      <c r="CB123" s="102">
        <f t="shared" si="85"/>
        <v>0.28799999999999998</v>
      </c>
      <c r="CC123" s="105">
        <f>IF(CB123&lt;0.06,1,IF(CB123&gt;=18.29,52,MATCH(CB123-0.001,'Weighting Factors'!$W$5:$W$156)+1))</f>
        <v>19</v>
      </c>
      <c r="CD123" s="24">
        <f>VLOOKUP(CC123, 'Weighting Factors'!$U$5:$X$56,4)</f>
        <v>1210</v>
      </c>
      <c r="CE123" s="109">
        <f>('Weighting Factors'!$O$5/'Weighting Factors'!$O$14)</f>
        <v>1.2216</v>
      </c>
      <c r="CF123" s="100">
        <f t="shared" si="86"/>
        <v>122815</v>
      </c>
      <c r="CG123" s="100">
        <f>CF123*'Weighting Factors'!$Q$7</f>
        <v>122815</v>
      </c>
      <c r="CH123" s="100">
        <f t="shared" si="108"/>
        <v>150031</v>
      </c>
      <c r="CI123" s="58">
        <f>AK123/'Weighting Factors'!$O$5</f>
        <v>29.5</v>
      </c>
      <c r="CJ123" s="67">
        <v>0</v>
      </c>
      <c r="CK123" s="80">
        <v>0</v>
      </c>
      <c r="CL123" s="110">
        <v>0</v>
      </c>
      <c r="CM123" s="24">
        <f>SUM((AR123*'Weighting Factors'!$O$5)+'2024 Legal Max'!AX123)*CL123</f>
        <v>0</v>
      </c>
      <c r="CN123" s="24">
        <f t="shared" si="109"/>
        <v>0</v>
      </c>
      <c r="CO123" s="65">
        <f t="shared" si="74"/>
        <v>0.39789999999999998</v>
      </c>
      <c r="CP123" s="58">
        <f t="shared" si="87"/>
        <v>0</v>
      </c>
      <c r="CQ123" s="58">
        <f t="shared" si="88"/>
        <v>7.5</v>
      </c>
      <c r="CR123" s="58">
        <f t="shared" si="89"/>
        <v>1096</v>
      </c>
      <c r="CS123" s="24">
        <f>'Required Transfers'!L123</f>
        <v>176737</v>
      </c>
      <c r="CT123" s="24">
        <f>'Required Transfers'!O123</f>
        <v>712</v>
      </c>
      <c r="CU123" s="24">
        <f>'Required Transfers'!H123</f>
        <v>593261</v>
      </c>
      <c r="CV123" s="58">
        <f t="shared" si="90"/>
        <v>555.5</v>
      </c>
      <c r="CW123" s="27" t="s">
        <v>308</v>
      </c>
    </row>
    <row r="124" spans="1:101" ht="15" customHeight="1">
      <c r="A124" s="54">
        <v>326</v>
      </c>
      <c r="B124" s="1" t="s">
        <v>53</v>
      </c>
      <c r="C124" s="1" t="s">
        <v>629</v>
      </c>
      <c r="D124" s="58">
        <v>132.6</v>
      </c>
      <c r="E124" s="58"/>
      <c r="F124" s="58">
        <v>0</v>
      </c>
      <c r="G124" s="58">
        <f t="shared" si="91"/>
        <v>132.6</v>
      </c>
      <c r="H124" s="58">
        <v>127</v>
      </c>
      <c r="I124" s="58"/>
      <c r="J124" s="58">
        <v>0</v>
      </c>
      <c r="K124" s="58">
        <f t="shared" si="92"/>
        <v>127</v>
      </c>
      <c r="L124" s="1">
        <v>115.6</v>
      </c>
      <c r="N124" s="1">
        <v>0</v>
      </c>
      <c r="O124" s="58">
        <f t="shared" si="93"/>
        <v>115.6</v>
      </c>
      <c r="P124" s="58">
        <f>IF(ISNA(VLOOKUP($CW124,'Audit Values'!$A:$BZ,2,FALSE)),'Preliminary SO66'!C123,VLOOKUP($CW124,'Audit Values'!$A:$BZ,76,FALSE))</f>
        <v>109.7</v>
      </c>
      <c r="Q124" s="58">
        <f>IF(ISNA(VLOOKUP($CW124,'Audit Values'!$A:$BZ,2,FALSE)),'Preliminary SO66'!F123,VLOOKUP($CW124,'Audit Values'!$A:$BZ,4,FALSE))</f>
        <v>0</v>
      </c>
      <c r="R124" s="58">
        <f t="shared" si="97"/>
        <v>109.7</v>
      </c>
      <c r="S124" s="58">
        <f>IF('Military Provision'!I124="YES", MAX('2024 Legal Max'!O124,'2024 Legal Max'!K124,AVERAGE('2024 Legal Max'!G124,'2024 Legal Max'!K124,'2024 Legal Max'!O124)), MAX(O124, K124))</f>
        <v>127</v>
      </c>
      <c r="T124" s="58">
        <f>IF(ISNA(VLOOKUP($CW124,'Audit Values'!$A:$BX,2,FALSE)),'Preliminary SO66'!AL123,VLOOKUP($CW124,'Audit Values'!$A:$BX,59,FALSE))</f>
        <v>1.5</v>
      </c>
      <c r="U124" s="58">
        <f t="shared" si="98"/>
        <v>128.5</v>
      </c>
      <c r="V124" s="58">
        <f>'Low-High ENRL- 2023 HSubSB 113'!N127</f>
        <v>120.6</v>
      </c>
      <c r="W124" s="58">
        <f>IF(ISNA(VLOOKUP($CW124,'Audit Values'!$A:$BZ,2,FALSE)),'Preliminary SO66'!AM123,VLOOKUP($CW124,'Audit Values'!$A:$BZ,63,FALSE))</f>
        <v>0</v>
      </c>
      <c r="X124" s="58">
        <f>(W124/6)*'Weighting Factors'!$O$7</f>
        <v>0</v>
      </c>
      <c r="Y124" s="61">
        <f>IF(ISNA(VLOOKUP($CW124,'Audit Values'!$A:$BZ,2,FALSE)),'Preliminary SO66'!AN123,VLOOKUP($CW124,'Audit Values'!$A:$BZ,62,FALSE))</f>
        <v>0</v>
      </c>
      <c r="Z124" s="58">
        <f>Y124*'Weighting Factors'!$O$8</f>
        <v>0</v>
      </c>
      <c r="AA124" s="58">
        <f t="shared" si="99"/>
        <v>0</v>
      </c>
      <c r="AB124" s="106">
        <f>IF(ISNA(VLOOKUP($CW124,'Audit Values'!$A:$BZ,2,FALSE)),'Preliminary SO66'!AO123,VLOOKUP($CW124,'Audit Values'!$A:$BZ,61,FALSE))</f>
        <v>48</v>
      </c>
      <c r="AC124" s="58">
        <f>AB124/6*'Weighting Factors'!$O$6</f>
        <v>4</v>
      </c>
      <c r="AD124" s="24">
        <f>IF(ISNA(VLOOKUP($CW124,'Audit Values'!$A:$BX,2,FALSE)),'Preliminary SO66'!AS123,VLOOKUP($CW124,'Audit Values'!$A:$BX,64,FALSE))</f>
        <v>114</v>
      </c>
      <c r="AE124" s="24">
        <f>IF(ISNA(VLOOKUP($CW124,'Audit Values'!$A:$BX,2,FALSE)),'Preliminary SO66'!AP123,VLOOKUP($CW124,'Audit Values'!$A:$BX,65,FALSE))</f>
        <v>55</v>
      </c>
      <c r="AF124" s="58">
        <f>IF(A124=207, AE124,(AE124))*'Weighting Factors'!$O$9</f>
        <v>26.6</v>
      </c>
      <c r="AG124" s="58">
        <f t="shared" si="96"/>
        <v>5.0999999999999996</v>
      </c>
      <c r="AH124" s="58">
        <f>IF(ISNA(VLOOKUP($CW124,'Audit Values'!$A:$BZ,2,FALSE)),'Preliminary SO66'!AG123,VLOOKUP($CW124,'Audit Values'!$A:$BZ,71,FALSE))</f>
        <v>5.0999999999999996</v>
      </c>
      <c r="AI124" s="58">
        <f t="shared" si="100"/>
        <v>5.0999999999999996</v>
      </c>
      <c r="AJ124" s="58">
        <f>IF(ISNA(VLOOKUP($CW124,'Audit Values'!$A:$BX,2,FALSE)),'Preliminary SO66'!AR123,VLOOKUP($CW124,'Audit Values'!$A:$BX,66,FALSE))</f>
        <v>40</v>
      </c>
      <c r="AK124" s="24">
        <f t="shared" si="101"/>
        <v>68898</v>
      </c>
      <c r="AL124" s="58">
        <f>AK124/'Weighting Factors'!$O$5</f>
        <v>13.5</v>
      </c>
      <c r="AM124" s="58">
        <f>CJ124/'Weighting Factors'!$O$5</f>
        <v>0</v>
      </c>
      <c r="AN124" s="58">
        <f>CN124/'Weighting Factors'!$O$5</f>
        <v>0</v>
      </c>
      <c r="AO124" s="24">
        <v>143948</v>
      </c>
      <c r="AP124" s="58">
        <f>AO124/'Weighting Factors'!$O$5</f>
        <v>28.3</v>
      </c>
      <c r="AQ124" s="58">
        <f>IF(ISNA(VLOOKUP($CW124,'Audit Values'!$A:$BX,2,FALSE)),'Preliminary SO66'!X123,VLOOKUP($CW124,'Audit Values'!$A:$BX,48,FALSE))</f>
        <v>0</v>
      </c>
      <c r="AR124" s="58">
        <f t="shared" si="94"/>
        <v>326.60000000000002</v>
      </c>
      <c r="AS124" s="58">
        <f t="shared" si="95"/>
        <v>298.3</v>
      </c>
      <c r="AT124" s="58">
        <f>IF(ISNA(VLOOKUP($CW124,'Audit Values'!$A$2:$BX$410,2,FALSE)),'Preliminary SO66'!AA123,VLOOKUP($CW124,'Audit Values'!$A$2:$BX$410,41,FALSE))</f>
        <v>0</v>
      </c>
      <c r="AU124" s="58">
        <f>IF(ISNA(VLOOKUP($CW124,'Audit Values'!$A$2:$BX$410,2,FALSE)),'Preliminary SO66'!AB123,VLOOKUP($CW124,'Audit Values'!$A$2:$BX$410,42,FALSE))</f>
        <v>0</v>
      </c>
      <c r="AV124" s="73">
        <v>0</v>
      </c>
      <c r="AW124" s="73">
        <v>0</v>
      </c>
      <c r="AX124" s="24">
        <f>SUM(AT124*'Weighting Factors'!$R$10)+('2024 Legal Max'!AU124*'Weighting Factors'!$R$11)+('2024 Legal Max'!AV124*'Weighting Factors'!$R$12)+('2024 Legal Max'!AW124*'Weighting Factors'!$R$12)</f>
        <v>0</v>
      </c>
      <c r="AY124" s="54">
        <f>IF(ISNA(VLOOKUP($CW124,'Audit Values'!$A$2:$BX$429,2,FALSE)),"",IF(AND('Weighting Factors'!G124&gt;0,VLOOKUP($CW124,'Audit Values'!$A$2:$BX$429,51,FALSE)&lt;'Weighting Factors'!G124),'Weighting Factors'!G124,VLOOKUP($CW124,'Audit Values'!$A$2:$BX$429,51,FALSE)))</f>
        <v>3</v>
      </c>
      <c r="AZ124" s="54" t="str">
        <f>IF(ISNA(VLOOKUP($CW124,'Audit Values'!$A:$BY,2,FALSE)),"",VLOOKUP($CW124,'Audit Values'!$A:$BY,52,FALSE))</f>
        <v>A</v>
      </c>
      <c r="BA124" s="54" t="str">
        <f>IF('Weighting Factors'!F124="","",IF('Weighting Factors'!H124="Pending","PX","R"))</f>
        <v/>
      </c>
      <c r="BB124" s="60">
        <f>SUM((U124+V124+AA124+AC124+AF124+AI124+AL124+AM124+AQ124+AN124)*'Weighting Factors'!$O$5)+'2024 Legal Max'!AX124</f>
        <v>1517750</v>
      </c>
      <c r="BC124" s="24">
        <f>SUM((AR124+AN124)*'Weighting Factors'!$O$5)+AX124</f>
        <v>1661741</v>
      </c>
      <c r="BD124" s="67">
        <f>IF('Weighting Factors'!F124&gt;0,'Weighting Factors'!F124,'Preliminary SO66'!AV123)</f>
        <v>1703462</v>
      </c>
      <c r="BE124" s="24">
        <f t="shared" si="102"/>
        <v>1661741</v>
      </c>
      <c r="BF124" s="71">
        <f>'Weighting Factors'!E124</f>
        <v>0</v>
      </c>
      <c r="BG124" s="71">
        <f>Transportation!G124</f>
        <v>0</v>
      </c>
      <c r="BH124" s="24">
        <f>IF(ISNA(VLOOKUP($CW124,'Audit Values'!$A:$BW,2,FALSE)), 0, VLOOKUP($CW124,'Audit Values'!$A:$BW,75,FALSE))</f>
        <v>0</v>
      </c>
      <c r="BI124" s="24">
        <f t="shared" si="103"/>
        <v>0</v>
      </c>
      <c r="BJ124" s="24">
        <f t="shared" si="104"/>
        <v>1661741</v>
      </c>
      <c r="BK124" s="24">
        <f>SUM((U124+V124+AA124+AC124+AF124+AI124+AL124+AM124+AN124)*'Weighting Factors'!O$12)+(MAX(AO124,'Weighting Factors'!B124))</f>
        <v>1755156</v>
      </c>
      <c r="BL124" s="78">
        <f>'LOB%'!F122</f>
        <v>0.316</v>
      </c>
      <c r="BM124" s="24">
        <f t="shared" si="75"/>
        <v>554629</v>
      </c>
      <c r="BN124" s="67">
        <v>564735</v>
      </c>
      <c r="BO124" s="24">
        <f t="shared" si="105"/>
        <v>554629</v>
      </c>
      <c r="BP124" s="89">
        <f t="shared" si="76"/>
        <v>0.316</v>
      </c>
      <c r="BQ124" s="58">
        <f t="shared" si="77"/>
        <v>0</v>
      </c>
      <c r="BR124" s="1" t="b">
        <f t="shared" si="78"/>
        <v>1</v>
      </c>
      <c r="BS124" s="76">
        <f t="shared" si="79"/>
        <v>275.16800000000001</v>
      </c>
      <c r="BT124" s="75">
        <f t="shared" si="106"/>
        <v>0.93878499999999998</v>
      </c>
      <c r="BU124" s="58">
        <f t="shared" si="80"/>
        <v>120.6</v>
      </c>
      <c r="BV124" s="1" t="b">
        <f t="shared" si="81"/>
        <v>0</v>
      </c>
      <c r="BW124" s="1">
        <f t="shared" si="82"/>
        <v>0</v>
      </c>
      <c r="BX124" s="75">
        <f t="shared" si="107"/>
        <v>0</v>
      </c>
      <c r="BY124" s="58">
        <f t="shared" si="83"/>
        <v>0</v>
      </c>
      <c r="BZ124" s="58">
        <f t="shared" si="84"/>
        <v>0</v>
      </c>
      <c r="CA124" s="61">
        <v>332.1</v>
      </c>
      <c r="CB124" s="102">
        <f t="shared" si="85"/>
        <v>0.12</v>
      </c>
      <c r="CC124" s="105">
        <f>IF(CB124&lt;0.06,1,IF(CB124&gt;=18.29,52,MATCH(CB124-0.001,'Weighting Factors'!$W$5:$W$156)+1))</f>
        <v>8</v>
      </c>
      <c r="CD124" s="24">
        <f>VLOOKUP(CC124, 'Weighting Factors'!$U$5:$X$56,4)</f>
        <v>1410</v>
      </c>
      <c r="CE124" s="109">
        <f>('Weighting Factors'!$O$5/'Weighting Factors'!$O$14)</f>
        <v>1.2216</v>
      </c>
      <c r="CF124" s="100">
        <f t="shared" si="86"/>
        <v>56400</v>
      </c>
      <c r="CG124" s="100">
        <f>CF124*'Weighting Factors'!$Q$7</f>
        <v>56400</v>
      </c>
      <c r="CH124" s="100">
        <f t="shared" si="108"/>
        <v>68898</v>
      </c>
      <c r="CI124" s="58">
        <f>AK124/'Weighting Factors'!$O$5</f>
        <v>13.5</v>
      </c>
      <c r="CJ124" s="67">
        <v>0</v>
      </c>
      <c r="CK124" s="80">
        <v>0</v>
      </c>
      <c r="CL124" s="110">
        <v>0</v>
      </c>
      <c r="CM124" s="24">
        <f>SUM((AR124*'Weighting Factors'!$O$5)+'2024 Legal Max'!AX124)*CL124</f>
        <v>0</v>
      </c>
      <c r="CN124" s="24">
        <f t="shared" si="109"/>
        <v>0</v>
      </c>
      <c r="CO124" s="65">
        <f t="shared" si="74"/>
        <v>0.48249999999999998</v>
      </c>
      <c r="CP124" s="58">
        <f t="shared" si="87"/>
        <v>0</v>
      </c>
      <c r="CQ124" s="58">
        <f t="shared" si="88"/>
        <v>5.0999999999999996</v>
      </c>
      <c r="CR124" s="58">
        <f t="shared" si="89"/>
        <v>326.60000000000002</v>
      </c>
      <c r="CS124" s="24">
        <f>'Required Transfers'!L124</f>
        <v>45369</v>
      </c>
      <c r="CT124" s="24">
        <f>'Required Transfers'!O124</f>
        <v>0</v>
      </c>
      <c r="CU124" s="24">
        <f>'Required Transfers'!H124</f>
        <v>161290</v>
      </c>
      <c r="CV124" s="58">
        <f t="shared" si="90"/>
        <v>111.2</v>
      </c>
      <c r="CW124" s="27" t="s">
        <v>309</v>
      </c>
    </row>
    <row r="125" spans="1:101" ht="15" customHeight="1">
      <c r="A125" s="54">
        <v>327</v>
      </c>
      <c r="B125" s="1" t="s">
        <v>54</v>
      </c>
      <c r="C125" s="1" t="s">
        <v>630</v>
      </c>
      <c r="D125" s="58">
        <v>575.6</v>
      </c>
      <c r="E125" s="58"/>
      <c r="F125" s="58">
        <v>0</v>
      </c>
      <c r="G125" s="58">
        <f t="shared" si="91"/>
        <v>575.6</v>
      </c>
      <c r="H125" s="58">
        <v>633.70000000000005</v>
      </c>
      <c r="I125" s="58"/>
      <c r="J125" s="58">
        <v>0</v>
      </c>
      <c r="K125" s="58">
        <f t="shared" si="92"/>
        <v>633.70000000000005</v>
      </c>
      <c r="L125" s="1">
        <v>643.1</v>
      </c>
      <c r="N125" s="1">
        <v>0</v>
      </c>
      <c r="O125" s="58">
        <f t="shared" si="93"/>
        <v>643.1</v>
      </c>
      <c r="P125" s="58">
        <f>IF(ISNA(VLOOKUP($CW125,'Audit Values'!$A:$BZ,2,FALSE)),'Preliminary SO66'!C124,VLOOKUP($CW125,'Audit Values'!$A:$BZ,76,FALSE))</f>
        <v>641.79999999999995</v>
      </c>
      <c r="Q125" s="58">
        <f>IF(ISNA(VLOOKUP($CW125,'Audit Values'!$A:$BZ,2,FALSE)),'Preliminary SO66'!F124,VLOOKUP($CW125,'Audit Values'!$A:$BZ,4,FALSE))</f>
        <v>0</v>
      </c>
      <c r="R125" s="58">
        <f t="shared" si="97"/>
        <v>641.79999999999995</v>
      </c>
      <c r="S125" s="58">
        <f>IF('Military Provision'!I125="YES", MAX('2024 Legal Max'!O125,'2024 Legal Max'!K125,AVERAGE('2024 Legal Max'!G125,'2024 Legal Max'!K125,'2024 Legal Max'!O125)), MAX(O125, K125))</f>
        <v>643.1</v>
      </c>
      <c r="T125" s="58">
        <f>IF(ISNA(VLOOKUP($CW125,'Audit Values'!$A:$BX,2,FALSE)),'Preliminary SO66'!AL124,VLOOKUP($CW125,'Audit Values'!$A:$BX,59,FALSE))</f>
        <v>0</v>
      </c>
      <c r="U125" s="58">
        <f t="shared" si="98"/>
        <v>643.1</v>
      </c>
      <c r="V125" s="58">
        <f>'Low-High ENRL- 2023 HSubSB 113'!N128</f>
        <v>238.5</v>
      </c>
      <c r="W125" s="58">
        <f>IF(ISNA(VLOOKUP($CW125,'Audit Values'!$A:$BZ,2,FALSE)),'Preliminary SO66'!AM124,VLOOKUP($CW125,'Audit Values'!$A:$BZ,63,FALSE))</f>
        <v>0</v>
      </c>
      <c r="X125" s="58">
        <f>(W125/6)*'Weighting Factors'!$O$7</f>
        <v>0</v>
      </c>
      <c r="Y125" s="61">
        <f>IF(ISNA(VLOOKUP($CW125,'Audit Values'!$A:$BZ,2,FALSE)),'Preliminary SO66'!AN124,VLOOKUP($CW125,'Audit Values'!$A:$BZ,62,FALSE))</f>
        <v>1</v>
      </c>
      <c r="Z125" s="58">
        <f>Y125*'Weighting Factors'!$O$8</f>
        <v>0.2</v>
      </c>
      <c r="AA125" s="58">
        <f t="shared" si="99"/>
        <v>0.2</v>
      </c>
      <c r="AB125" s="106">
        <f>IF(ISNA(VLOOKUP($CW125,'Audit Values'!$A:$BZ,2,FALSE)),'Preliminary SO66'!AO124,VLOOKUP($CW125,'Audit Values'!$A:$BZ,61,FALSE))</f>
        <v>60.9</v>
      </c>
      <c r="AC125" s="58">
        <f>AB125/6*'Weighting Factors'!$O$6</f>
        <v>5.0999999999999996</v>
      </c>
      <c r="AD125" s="24">
        <f>IF(ISNA(VLOOKUP($CW125,'Audit Values'!$A:$BX,2,FALSE)),'Preliminary SO66'!AS124,VLOOKUP($CW125,'Audit Values'!$A:$BX,64,FALSE))</f>
        <v>646</v>
      </c>
      <c r="AE125" s="24">
        <f>IF(ISNA(VLOOKUP($CW125,'Audit Values'!$A:$BX,2,FALSE)),'Preliminary SO66'!AP124,VLOOKUP($CW125,'Audit Values'!$A:$BX,65,FALSE))</f>
        <v>171</v>
      </c>
      <c r="AF125" s="58">
        <f>IF(A125=207, AE125,(AE125))*'Weighting Factors'!$O$9</f>
        <v>82.8</v>
      </c>
      <c r="AG125" s="58">
        <f t="shared" si="96"/>
        <v>0</v>
      </c>
      <c r="AH125" s="58">
        <f>IF(ISNA(VLOOKUP($CW125,'Audit Values'!$A:$BZ,2,FALSE)),'Preliminary SO66'!AG124,VLOOKUP($CW125,'Audit Values'!$A:$BZ,71,FALSE))</f>
        <v>0</v>
      </c>
      <c r="AI125" s="58">
        <f t="shared" si="100"/>
        <v>0</v>
      </c>
      <c r="AJ125" s="58">
        <f>IF(ISNA(VLOOKUP($CW125,'Audit Values'!$A:$BX,2,FALSE)),'Preliminary SO66'!AR124,VLOOKUP($CW125,'Audit Values'!$A:$BX,66,FALSE))</f>
        <v>276</v>
      </c>
      <c r="AK125" s="24">
        <f t="shared" si="101"/>
        <v>347276</v>
      </c>
      <c r="AL125" s="58">
        <f>AK125/'Weighting Factors'!$O$5</f>
        <v>68.3</v>
      </c>
      <c r="AM125" s="58">
        <f>CJ125/'Weighting Factors'!$O$5</f>
        <v>0</v>
      </c>
      <c r="AN125" s="58">
        <f>CN125/'Weighting Factors'!$O$5</f>
        <v>0</v>
      </c>
      <c r="AO125" s="24">
        <v>653300</v>
      </c>
      <c r="AP125" s="58">
        <f>AO125/'Weighting Factors'!$O$5</f>
        <v>128.4</v>
      </c>
      <c r="AQ125" s="58">
        <f>IF(ISNA(VLOOKUP($CW125,'Audit Values'!$A:$BX,2,FALSE)),'Preliminary SO66'!X124,VLOOKUP($CW125,'Audit Values'!$A:$BX,48,FALSE))</f>
        <v>0</v>
      </c>
      <c r="AR125" s="58">
        <f t="shared" si="94"/>
        <v>1166.4000000000001</v>
      </c>
      <c r="AS125" s="58">
        <f t="shared" si="95"/>
        <v>1038</v>
      </c>
      <c r="AT125" s="58">
        <f>IF(ISNA(VLOOKUP($CW125,'Audit Values'!$A$2:$BX$410,2,FALSE)),'Preliminary SO66'!AA124,VLOOKUP($CW125,'Audit Values'!$A$2:$BX$410,41,FALSE))</f>
        <v>0</v>
      </c>
      <c r="AU125" s="58">
        <f>IF(ISNA(VLOOKUP($CW125,'Audit Values'!$A$2:$BX$410,2,FALSE)),'Preliminary SO66'!AB124,VLOOKUP($CW125,'Audit Values'!$A$2:$BX$410,42,FALSE))</f>
        <v>0</v>
      </c>
      <c r="AV125" s="73">
        <v>0</v>
      </c>
      <c r="AW125" s="73">
        <v>0</v>
      </c>
      <c r="AX125" s="24">
        <f>SUM(AT125*'Weighting Factors'!$R$10)+('2024 Legal Max'!AU125*'Weighting Factors'!$R$11)+('2024 Legal Max'!AV125*'Weighting Factors'!$R$12)+('2024 Legal Max'!AW125*'Weighting Factors'!$R$12)</f>
        <v>0</v>
      </c>
      <c r="AY125" s="54">
        <f>IF(ISNA(VLOOKUP($CW125,'Audit Values'!$A$2:$BX$429,2,FALSE)),"",IF(AND('Weighting Factors'!G125&gt;0,VLOOKUP($CW125,'Audit Values'!$A$2:$BX$429,51,FALSE)&lt;'Weighting Factors'!G125),'Weighting Factors'!G125,VLOOKUP($CW125,'Audit Values'!$A$2:$BX$429,51,FALSE)))</f>
        <v>5</v>
      </c>
      <c r="AZ125" s="54" t="str">
        <f>IF(ISNA(VLOOKUP($CW125,'Audit Values'!$A:$BY,2,FALSE)),"",VLOOKUP($CW125,'Audit Values'!$A:$BY,52,FALSE))</f>
        <v>A</v>
      </c>
      <c r="BA125" s="54" t="str">
        <f>IF('Weighting Factors'!F125="","",IF('Weighting Factors'!H125="Pending","PX","R"))</f>
        <v/>
      </c>
      <c r="BB125" s="60">
        <f>SUM((U125+V125+AA125+AC125+AF125+AI125+AL125+AM125+AQ125+AN125)*'Weighting Factors'!$O$5)+'2024 Legal Max'!AX125</f>
        <v>5281344</v>
      </c>
      <c r="BC125" s="24">
        <f>SUM((AR125+AN125)*'Weighting Factors'!$O$5)+AX125</f>
        <v>5934643</v>
      </c>
      <c r="BD125" s="67">
        <f>IF('Weighting Factors'!F125&gt;0,'Weighting Factors'!F125,'Preliminary SO66'!AV124)</f>
        <v>6153936</v>
      </c>
      <c r="BE125" s="24">
        <f t="shared" si="102"/>
        <v>5934643</v>
      </c>
      <c r="BF125" s="71">
        <f>'Weighting Factors'!E125</f>
        <v>0</v>
      </c>
      <c r="BG125" s="71">
        <f>Transportation!G125</f>
        <v>-15674</v>
      </c>
      <c r="BH125" s="24">
        <f>IF(ISNA(VLOOKUP($CW125,'Audit Values'!$A:$BW,2,FALSE)), 0, VLOOKUP($CW125,'Audit Values'!$A:$BW,75,FALSE))</f>
        <v>0</v>
      </c>
      <c r="BI125" s="24">
        <f t="shared" si="103"/>
        <v>-15674</v>
      </c>
      <c r="BJ125" s="24">
        <f t="shared" si="104"/>
        <v>5918969</v>
      </c>
      <c r="BK125" s="24">
        <f>SUM((U125+V125+AA125+AC125+AF125+AI125+AL125+AM125+AN125)*'Weighting Factors'!O$12)+(MAX(AO125,'Weighting Factors'!B125))</f>
        <v>6007304</v>
      </c>
      <c r="BL125" s="78">
        <f>'LOB%'!F123</f>
        <v>0.33</v>
      </c>
      <c r="BM125" s="24">
        <f t="shared" si="75"/>
        <v>1982410</v>
      </c>
      <c r="BN125" s="67">
        <v>1992964</v>
      </c>
      <c r="BO125" s="24">
        <f t="shared" si="105"/>
        <v>1982410</v>
      </c>
      <c r="BP125" s="89">
        <f t="shared" si="76"/>
        <v>0.33</v>
      </c>
      <c r="BQ125" s="58">
        <f t="shared" si="77"/>
        <v>0</v>
      </c>
      <c r="BR125" s="1" t="b">
        <f t="shared" si="78"/>
        <v>0</v>
      </c>
      <c r="BS125" s="76">
        <f t="shared" si="79"/>
        <v>0</v>
      </c>
      <c r="BT125" s="75">
        <f t="shared" si="106"/>
        <v>0</v>
      </c>
      <c r="BU125" s="58">
        <f t="shared" si="80"/>
        <v>0</v>
      </c>
      <c r="BV125" s="1" t="b">
        <f t="shared" si="81"/>
        <v>1</v>
      </c>
      <c r="BW125" s="1">
        <f t="shared" si="82"/>
        <v>424.58629999999999</v>
      </c>
      <c r="BX125" s="75">
        <f t="shared" si="107"/>
        <v>0.36761899999999997</v>
      </c>
      <c r="BY125" s="58">
        <f t="shared" si="83"/>
        <v>236.4</v>
      </c>
      <c r="BZ125" s="58">
        <f t="shared" si="84"/>
        <v>0</v>
      </c>
      <c r="CA125" s="61">
        <v>425.3</v>
      </c>
      <c r="CB125" s="102">
        <f t="shared" si="85"/>
        <v>0.64900000000000002</v>
      </c>
      <c r="CC125" s="105">
        <f>IF(CB125&lt;0.06,1,IF(CB125&gt;=18.29,52,MATCH(CB125-0.001,'Weighting Factors'!$W$5:$W$156)+1))</f>
        <v>28</v>
      </c>
      <c r="CD125" s="24">
        <f>VLOOKUP(CC125, 'Weighting Factors'!$U$5:$X$56,4)</f>
        <v>1030</v>
      </c>
      <c r="CE125" s="109">
        <f>('Weighting Factors'!$O$5/'Weighting Factors'!$O$14)</f>
        <v>1.2216</v>
      </c>
      <c r="CF125" s="100">
        <f t="shared" si="86"/>
        <v>284280</v>
      </c>
      <c r="CG125" s="100">
        <f>CF125*'Weighting Factors'!$Q$7</f>
        <v>284280</v>
      </c>
      <c r="CH125" s="100">
        <f t="shared" si="108"/>
        <v>347276</v>
      </c>
      <c r="CI125" s="58">
        <f>AK125/'Weighting Factors'!$O$5</f>
        <v>68.3</v>
      </c>
      <c r="CJ125" s="67">
        <v>0</v>
      </c>
      <c r="CK125" s="80">
        <v>0</v>
      </c>
      <c r="CL125" s="110">
        <v>0</v>
      </c>
      <c r="CM125" s="24">
        <f>SUM((AR125*'Weighting Factors'!$O$5)+'2024 Legal Max'!AX125)*CL125</f>
        <v>0</v>
      </c>
      <c r="CN125" s="24">
        <f t="shared" si="109"/>
        <v>0</v>
      </c>
      <c r="CO125" s="65">
        <f t="shared" si="74"/>
        <v>0.26469999999999999</v>
      </c>
      <c r="CP125" s="58">
        <f t="shared" si="87"/>
        <v>0</v>
      </c>
      <c r="CQ125" s="58">
        <f t="shared" si="88"/>
        <v>0</v>
      </c>
      <c r="CR125" s="58">
        <f t="shared" si="89"/>
        <v>1166.4000000000001</v>
      </c>
      <c r="CS125" s="24">
        <f>'Required Transfers'!L125</f>
        <v>140751</v>
      </c>
      <c r="CT125" s="24">
        <f>'Required Transfers'!O125</f>
        <v>396</v>
      </c>
      <c r="CU125" s="24">
        <f>'Required Transfers'!H125</f>
        <v>421286</v>
      </c>
      <c r="CV125" s="58">
        <f t="shared" si="90"/>
        <v>641.79999999999995</v>
      </c>
      <c r="CW125" s="27" t="s">
        <v>310</v>
      </c>
    </row>
    <row r="126" spans="1:101" ht="15" customHeight="1">
      <c r="A126" s="54">
        <v>329</v>
      </c>
      <c r="B126" s="1" t="s">
        <v>55</v>
      </c>
      <c r="C126" s="1" t="s">
        <v>55</v>
      </c>
      <c r="D126" s="58">
        <v>410.9</v>
      </c>
      <c r="E126" s="58"/>
      <c r="F126" s="58">
        <v>0</v>
      </c>
      <c r="G126" s="58">
        <f t="shared" si="91"/>
        <v>410.9</v>
      </c>
      <c r="H126" s="58">
        <v>381.6</v>
      </c>
      <c r="I126" s="58"/>
      <c r="J126" s="58">
        <v>0</v>
      </c>
      <c r="K126" s="58">
        <f t="shared" si="92"/>
        <v>381.6</v>
      </c>
      <c r="L126" s="1">
        <v>383</v>
      </c>
      <c r="N126" s="1">
        <v>0</v>
      </c>
      <c r="O126" s="58">
        <f t="shared" si="93"/>
        <v>383</v>
      </c>
      <c r="P126" s="58">
        <f>IF(ISNA(VLOOKUP($CW126,'Audit Values'!$A:$BZ,2,FALSE)),'Preliminary SO66'!C125,VLOOKUP($CW126,'Audit Values'!$A:$BZ,76,FALSE))</f>
        <v>378.7</v>
      </c>
      <c r="Q126" s="58">
        <f>IF(ISNA(VLOOKUP($CW126,'Audit Values'!$A:$BZ,2,FALSE)),'Preliminary SO66'!F125,VLOOKUP($CW126,'Audit Values'!$A:$BZ,4,FALSE))</f>
        <v>0</v>
      </c>
      <c r="R126" s="58">
        <f t="shared" si="97"/>
        <v>378.7</v>
      </c>
      <c r="S126" s="58">
        <f>IF('Military Provision'!I126="YES", MAX('2024 Legal Max'!O126,'2024 Legal Max'!K126,AVERAGE('2024 Legal Max'!G126,'2024 Legal Max'!K126,'2024 Legal Max'!O126)), MAX(O126, K126))</f>
        <v>383</v>
      </c>
      <c r="T126" s="58">
        <f>IF(ISNA(VLOOKUP($CW126,'Audit Values'!$A:$BX,2,FALSE)),'Preliminary SO66'!AL125,VLOOKUP($CW126,'Audit Values'!$A:$BX,59,FALSE))</f>
        <v>8</v>
      </c>
      <c r="U126" s="58">
        <f t="shared" si="98"/>
        <v>391</v>
      </c>
      <c r="V126" s="58">
        <f>'Low-High ENRL- 2023 HSubSB 113'!N129</f>
        <v>177.2</v>
      </c>
      <c r="W126" s="58">
        <f>IF(ISNA(VLOOKUP($CW126,'Audit Values'!$A:$BZ,2,FALSE)),'Preliminary SO66'!AM125,VLOOKUP($CW126,'Audit Values'!$A:$BZ,63,FALSE))</f>
        <v>0</v>
      </c>
      <c r="X126" s="58">
        <f>(W126/6)*'Weighting Factors'!$O$7</f>
        <v>0</v>
      </c>
      <c r="Y126" s="61">
        <f>IF(ISNA(VLOOKUP($CW126,'Audit Values'!$A:$BZ,2,FALSE)),'Preliminary SO66'!AN125,VLOOKUP($CW126,'Audit Values'!$A:$BZ,62,FALSE))</f>
        <v>3</v>
      </c>
      <c r="Z126" s="58">
        <f>Y126*'Weighting Factors'!$O$8</f>
        <v>0.6</v>
      </c>
      <c r="AA126" s="58">
        <f t="shared" si="99"/>
        <v>0.6</v>
      </c>
      <c r="AB126" s="106">
        <f>IF(ISNA(VLOOKUP($CW126,'Audit Values'!$A:$BZ,2,FALSE)),'Preliminary SO66'!AO125,VLOOKUP($CW126,'Audit Values'!$A:$BZ,61,FALSE))</f>
        <v>175.4</v>
      </c>
      <c r="AC126" s="58">
        <f>AB126/6*'Weighting Factors'!$O$6</f>
        <v>14.6</v>
      </c>
      <c r="AD126" s="24">
        <f>IF(ISNA(VLOOKUP($CW126,'Audit Values'!$A:$BX,2,FALSE)),'Preliminary SO66'!AS125,VLOOKUP($CW126,'Audit Values'!$A:$BX,64,FALSE))</f>
        <v>399</v>
      </c>
      <c r="AE126" s="24">
        <f>IF(ISNA(VLOOKUP($CW126,'Audit Values'!$A:$BX,2,FALSE)),'Preliminary SO66'!AP125,VLOOKUP($CW126,'Audit Values'!$A:$BX,65,FALSE))</f>
        <v>106</v>
      </c>
      <c r="AF126" s="58">
        <f>IF(A126=207, AE126,(AE126))*'Weighting Factors'!$O$9</f>
        <v>51.3</v>
      </c>
      <c r="AG126" s="58">
        <f t="shared" si="96"/>
        <v>0</v>
      </c>
      <c r="AH126" s="58">
        <f>IF(ISNA(VLOOKUP($CW126,'Audit Values'!$A:$BZ,2,FALSE)),'Preliminary SO66'!AG125,VLOOKUP($CW126,'Audit Values'!$A:$BZ,71,FALSE))</f>
        <v>0</v>
      </c>
      <c r="AI126" s="58">
        <f t="shared" si="100"/>
        <v>0</v>
      </c>
      <c r="AJ126" s="58">
        <f>IF(ISNA(VLOOKUP($CW126,'Audit Values'!$A:$BX,2,FALSE)),'Preliminary SO66'!AR125,VLOOKUP($CW126,'Audit Values'!$A:$BX,66,FALSE))</f>
        <v>229</v>
      </c>
      <c r="AK126" s="24">
        <f t="shared" si="101"/>
        <v>299329</v>
      </c>
      <c r="AL126" s="58">
        <f>AK126/'Weighting Factors'!$O$5</f>
        <v>58.8</v>
      </c>
      <c r="AM126" s="58">
        <f>CJ126/'Weighting Factors'!$O$5</f>
        <v>0</v>
      </c>
      <c r="AN126" s="58">
        <f>CN126/'Weighting Factors'!$O$5</f>
        <v>0</v>
      </c>
      <c r="AO126" s="24">
        <v>376027</v>
      </c>
      <c r="AP126" s="58">
        <f>AO126/'Weighting Factors'!$O$5</f>
        <v>73.900000000000006</v>
      </c>
      <c r="AQ126" s="58">
        <f>IF(ISNA(VLOOKUP($CW126,'Audit Values'!$A:$BX,2,FALSE)),'Preliminary SO66'!X125,VLOOKUP($CW126,'Audit Values'!$A:$BX,48,FALSE))</f>
        <v>0</v>
      </c>
      <c r="AR126" s="58">
        <f t="shared" si="94"/>
        <v>767.4</v>
      </c>
      <c r="AS126" s="58">
        <f t="shared" si="95"/>
        <v>693.5</v>
      </c>
      <c r="AT126" s="58">
        <f>IF(ISNA(VLOOKUP($CW126,'Audit Values'!$A$2:$BX$410,2,FALSE)),'Preliminary SO66'!AA125,VLOOKUP($CW126,'Audit Values'!$A$2:$BX$410,41,FALSE))</f>
        <v>1</v>
      </c>
      <c r="AU126" s="58">
        <f>IF(ISNA(VLOOKUP($CW126,'Audit Values'!$A$2:$BX$410,2,FALSE)),'Preliminary SO66'!AB125,VLOOKUP($CW126,'Audit Values'!$A$2:$BX$410,42,FALSE))</f>
        <v>0</v>
      </c>
      <c r="AV126" s="73">
        <v>0</v>
      </c>
      <c r="AW126" s="73">
        <v>0</v>
      </c>
      <c r="AX126" s="24">
        <f>SUM(AT126*'Weighting Factors'!$R$10)+('2024 Legal Max'!AU126*'Weighting Factors'!$R$11)+('2024 Legal Max'!AV126*'Weighting Factors'!$R$12)+('2024 Legal Max'!AW126*'Weighting Factors'!$R$12)</f>
        <v>5600</v>
      </c>
      <c r="AY126" s="54">
        <f>IF(ISNA(VLOOKUP($CW126,'Audit Values'!$A$2:$BX$429,2,FALSE)),"",IF(AND('Weighting Factors'!G126&gt;0,VLOOKUP($CW126,'Audit Values'!$A$2:$BX$429,51,FALSE)&lt;'Weighting Factors'!G126),'Weighting Factors'!G126,VLOOKUP($CW126,'Audit Values'!$A$2:$BX$429,51,FALSE)))</f>
        <v>4</v>
      </c>
      <c r="AZ126" s="54" t="str">
        <f>IF(ISNA(VLOOKUP($CW126,'Audit Values'!$A:$BY,2,FALSE)),"",VLOOKUP($CW126,'Audit Values'!$A:$BY,52,FALSE))</f>
        <v>A</v>
      </c>
      <c r="BA126" s="54" t="str">
        <f>IF('Weighting Factors'!F126="","",IF('Weighting Factors'!H126="Pending","PX","R"))</f>
        <v/>
      </c>
      <c r="BB126" s="60">
        <f>SUM((U126+V126+AA126+AC126+AF126+AI126+AL126+AM126+AQ126+AN126)*'Weighting Factors'!$O$5)+'2024 Legal Max'!AX126</f>
        <v>3534128</v>
      </c>
      <c r="BC126" s="24">
        <f>SUM((AR126+AN126)*'Weighting Factors'!$O$5)+AX126</f>
        <v>3910131</v>
      </c>
      <c r="BD126" s="67">
        <f>IF('Weighting Factors'!F126&gt;0,'Weighting Factors'!F126,'Preliminary SO66'!AV125)</f>
        <v>4043893</v>
      </c>
      <c r="BE126" s="24">
        <f t="shared" si="102"/>
        <v>3910131</v>
      </c>
      <c r="BF126" s="71">
        <f>'Weighting Factors'!E126</f>
        <v>0</v>
      </c>
      <c r="BG126" s="71">
        <f>Transportation!G126</f>
        <v>0</v>
      </c>
      <c r="BH126" s="24">
        <f>IF(ISNA(VLOOKUP($CW126,'Audit Values'!$A:$BW,2,FALSE)), 0, VLOOKUP($CW126,'Audit Values'!$A:$BW,75,FALSE))</f>
        <v>-4254</v>
      </c>
      <c r="BI126" s="24">
        <f t="shared" si="103"/>
        <v>-4254</v>
      </c>
      <c r="BJ126" s="24">
        <f t="shared" si="104"/>
        <v>3905877</v>
      </c>
      <c r="BK126" s="24">
        <f>SUM((U126+V126+AA126+AC126+AF126+AI126+AL126+AM126+AN126)*'Weighting Factors'!O$12)+(MAX(AO126,'Weighting Factors'!B126))</f>
        <v>4114035</v>
      </c>
      <c r="BL126" s="78">
        <f>'LOB%'!F124</f>
        <v>0.33</v>
      </c>
      <c r="BM126" s="24">
        <f t="shared" si="75"/>
        <v>1357632</v>
      </c>
      <c r="BN126" s="67">
        <v>1385887</v>
      </c>
      <c r="BO126" s="24">
        <f t="shared" si="105"/>
        <v>1357632</v>
      </c>
      <c r="BP126" s="89">
        <f t="shared" si="76"/>
        <v>0.33</v>
      </c>
      <c r="BQ126" s="58">
        <f t="shared" si="77"/>
        <v>0</v>
      </c>
      <c r="BR126" s="1" t="b">
        <f t="shared" si="78"/>
        <v>0</v>
      </c>
      <c r="BS126" s="76">
        <f t="shared" si="79"/>
        <v>0</v>
      </c>
      <c r="BT126" s="75">
        <f t="shared" si="106"/>
        <v>0</v>
      </c>
      <c r="BU126" s="58">
        <f t="shared" si="80"/>
        <v>0</v>
      </c>
      <c r="BV126" s="1" t="b">
        <f t="shared" si="81"/>
        <v>1</v>
      </c>
      <c r="BW126" s="1">
        <f t="shared" si="82"/>
        <v>112.6125</v>
      </c>
      <c r="BX126" s="75">
        <f t="shared" si="107"/>
        <v>0.45326899999999998</v>
      </c>
      <c r="BY126" s="58">
        <f t="shared" si="83"/>
        <v>177.2</v>
      </c>
      <c r="BZ126" s="58">
        <f t="shared" si="84"/>
        <v>0</v>
      </c>
      <c r="CA126" s="61">
        <v>397</v>
      </c>
      <c r="CB126" s="102">
        <f t="shared" si="85"/>
        <v>0.57699999999999996</v>
      </c>
      <c r="CC126" s="105">
        <f>IF(CB126&lt;0.06,1,IF(CB126&gt;=18.29,52,MATCH(CB126-0.001,'Weighting Factors'!$W$5:$W$156)+1))</f>
        <v>26</v>
      </c>
      <c r="CD126" s="24">
        <f>VLOOKUP(CC126, 'Weighting Factors'!$U$5:$X$56,4)</f>
        <v>1070</v>
      </c>
      <c r="CE126" s="109">
        <f>('Weighting Factors'!$O$5/'Weighting Factors'!$O$14)</f>
        <v>1.2216</v>
      </c>
      <c r="CF126" s="100">
        <f t="shared" si="86"/>
        <v>245030</v>
      </c>
      <c r="CG126" s="100">
        <f>CF126*'Weighting Factors'!$Q$7</f>
        <v>245030</v>
      </c>
      <c r="CH126" s="100">
        <f t="shared" si="108"/>
        <v>299329</v>
      </c>
      <c r="CI126" s="58">
        <f>AK126/'Weighting Factors'!$O$5</f>
        <v>58.8</v>
      </c>
      <c r="CJ126" s="67">
        <v>0</v>
      </c>
      <c r="CK126" s="80">
        <v>0</v>
      </c>
      <c r="CL126" s="110">
        <v>0</v>
      </c>
      <c r="CM126" s="24">
        <f>SUM((AR126*'Weighting Factors'!$O$5)+'2024 Legal Max'!AX126)*CL126</f>
        <v>0</v>
      </c>
      <c r="CN126" s="24">
        <f t="shared" si="109"/>
        <v>0</v>
      </c>
      <c r="CO126" s="65">
        <f t="shared" si="74"/>
        <v>0.26569999999999999</v>
      </c>
      <c r="CP126" s="58">
        <f t="shared" si="87"/>
        <v>0</v>
      </c>
      <c r="CQ126" s="58">
        <f t="shared" si="88"/>
        <v>0</v>
      </c>
      <c r="CR126" s="58">
        <f t="shared" si="89"/>
        <v>767.4</v>
      </c>
      <c r="CS126" s="24">
        <f>'Required Transfers'!L126</f>
        <v>91776</v>
      </c>
      <c r="CT126" s="24">
        <f>'Required Transfers'!O126</f>
        <v>1086</v>
      </c>
      <c r="CU126" s="24">
        <f>'Required Transfers'!H126</f>
        <v>261014</v>
      </c>
      <c r="CV126" s="58">
        <f t="shared" si="90"/>
        <v>387.7</v>
      </c>
      <c r="CW126" s="27" t="s">
        <v>311</v>
      </c>
    </row>
    <row r="127" spans="1:101" ht="15" customHeight="1">
      <c r="A127" s="54">
        <v>330</v>
      </c>
      <c r="B127" s="1" t="s">
        <v>55</v>
      </c>
      <c r="C127" s="1" t="s">
        <v>632</v>
      </c>
      <c r="D127" s="58">
        <v>430</v>
      </c>
      <c r="E127" s="58"/>
      <c r="F127" s="58">
        <v>0</v>
      </c>
      <c r="G127" s="58">
        <f t="shared" si="91"/>
        <v>430</v>
      </c>
      <c r="H127" s="58">
        <v>438.5</v>
      </c>
      <c r="I127" s="58"/>
      <c r="J127" s="58">
        <v>0</v>
      </c>
      <c r="K127" s="58">
        <f t="shared" si="92"/>
        <v>438.5</v>
      </c>
      <c r="L127" s="1">
        <v>439.3</v>
      </c>
      <c r="N127" s="1">
        <v>0</v>
      </c>
      <c r="O127" s="58">
        <f t="shared" si="93"/>
        <v>439.3</v>
      </c>
      <c r="P127" s="58">
        <f>IF(ISNA(VLOOKUP($CW127,'Audit Values'!$A:$BZ,2,FALSE)),'Preliminary SO66'!C126,VLOOKUP($CW127,'Audit Values'!$A:$BZ,76,FALSE))</f>
        <v>426.8</v>
      </c>
      <c r="Q127" s="58">
        <f>IF(ISNA(VLOOKUP($CW127,'Audit Values'!$A:$BZ,2,FALSE)),'Preliminary SO66'!F126,VLOOKUP($CW127,'Audit Values'!$A:$BZ,4,FALSE))</f>
        <v>0</v>
      </c>
      <c r="R127" s="58">
        <f t="shared" si="97"/>
        <v>426.8</v>
      </c>
      <c r="S127" s="58">
        <f>IF('Military Provision'!I127="YES", MAX('2024 Legal Max'!O127,'2024 Legal Max'!K127,AVERAGE('2024 Legal Max'!G127,'2024 Legal Max'!K127,'2024 Legal Max'!O127)), MAX(O127, K127))</f>
        <v>439.3</v>
      </c>
      <c r="T127" s="58">
        <f>IF(ISNA(VLOOKUP($CW127,'Audit Values'!$A:$BX,2,FALSE)),'Preliminary SO66'!AL126,VLOOKUP($CW127,'Audit Values'!$A:$BX,59,FALSE))</f>
        <v>8</v>
      </c>
      <c r="U127" s="58">
        <f t="shared" si="98"/>
        <v>447.3</v>
      </c>
      <c r="V127" s="58">
        <f>'Low-High ENRL- 2023 HSubSB 113'!N130</f>
        <v>194.2</v>
      </c>
      <c r="W127" s="58">
        <f>IF(ISNA(VLOOKUP($CW127,'Audit Values'!$A:$BZ,2,FALSE)),'Preliminary SO66'!AM126,VLOOKUP($CW127,'Audit Values'!$A:$BZ,63,FALSE))</f>
        <v>0</v>
      </c>
      <c r="X127" s="58">
        <f>(W127/6)*'Weighting Factors'!$O$7</f>
        <v>0</v>
      </c>
      <c r="Y127" s="61">
        <f>IF(ISNA(VLOOKUP($CW127,'Audit Values'!$A:$BZ,2,FALSE)),'Preliminary SO66'!AN126,VLOOKUP($CW127,'Audit Values'!$A:$BZ,62,FALSE))</f>
        <v>0</v>
      </c>
      <c r="Z127" s="58">
        <f>Y127*'Weighting Factors'!$O$8</f>
        <v>0</v>
      </c>
      <c r="AA127" s="58">
        <f t="shared" si="99"/>
        <v>0</v>
      </c>
      <c r="AB127" s="106">
        <f>IF(ISNA(VLOOKUP($CW127,'Audit Values'!$A:$BZ,2,FALSE)),'Preliminary SO66'!AO126,VLOOKUP($CW127,'Audit Values'!$A:$BZ,61,FALSE))</f>
        <v>231.9</v>
      </c>
      <c r="AC127" s="58">
        <f>AB127/6*'Weighting Factors'!$O$6</f>
        <v>19.3</v>
      </c>
      <c r="AD127" s="24">
        <f>IF(ISNA(VLOOKUP($CW127,'Audit Values'!$A:$BX,2,FALSE)),'Preliminary SO66'!AS126,VLOOKUP($CW127,'Audit Values'!$A:$BX,64,FALSE))</f>
        <v>445</v>
      </c>
      <c r="AE127" s="24">
        <f>IF(ISNA(VLOOKUP($CW127,'Audit Values'!$A:$BX,2,FALSE)),'Preliminary SO66'!AP126,VLOOKUP($CW127,'Audit Values'!$A:$BX,65,FALSE))</f>
        <v>130</v>
      </c>
      <c r="AF127" s="58">
        <f>IF(A127=207, AE127,(AE127))*'Weighting Factors'!$O$9</f>
        <v>62.9</v>
      </c>
      <c r="AG127" s="58">
        <f t="shared" si="96"/>
        <v>0</v>
      </c>
      <c r="AH127" s="58">
        <f>IF(ISNA(VLOOKUP($CW127,'Audit Values'!$A:$BZ,2,FALSE)),'Preliminary SO66'!AG126,VLOOKUP($CW127,'Audit Values'!$A:$BZ,71,FALSE))</f>
        <v>0</v>
      </c>
      <c r="AI127" s="58">
        <f t="shared" si="100"/>
        <v>0</v>
      </c>
      <c r="AJ127" s="58">
        <f>IF(ISNA(VLOOKUP($CW127,'Audit Values'!$A:$BX,2,FALSE)),'Preliminary SO66'!AR126,VLOOKUP($CW127,'Audit Values'!$A:$BX,66,FALSE))</f>
        <v>304</v>
      </c>
      <c r="AK127" s="24">
        <f t="shared" si="101"/>
        <v>367653</v>
      </c>
      <c r="AL127" s="58">
        <f>AK127/'Weighting Factors'!$O$5</f>
        <v>72.3</v>
      </c>
      <c r="AM127" s="58">
        <f>CJ127/'Weighting Factors'!$O$5</f>
        <v>0</v>
      </c>
      <c r="AN127" s="58">
        <f>CN127/'Weighting Factors'!$O$5</f>
        <v>0</v>
      </c>
      <c r="AO127" s="24">
        <v>691338</v>
      </c>
      <c r="AP127" s="58">
        <f>AO127/'Weighting Factors'!$O$5</f>
        <v>135.9</v>
      </c>
      <c r="AQ127" s="58">
        <f>IF(ISNA(VLOOKUP($CW127,'Audit Values'!$A:$BX,2,FALSE)),'Preliminary SO66'!X126,VLOOKUP($CW127,'Audit Values'!$A:$BX,48,FALSE))</f>
        <v>0</v>
      </c>
      <c r="AR127" s="58">
        <f t="shared" si="94"/>
        <v>931.9</v>
      </c>
      <c r="AS127" s="58">
        <f t="shared" si="95"/>
        <v>796</v>
      </c>
      <c r="AT127" s="58">
        <f>IF(ISNA(VLOOKUP($CW127,'Audit Values'!$A$2:$BX$410,2,FALSE)),'Preliminary SO66'!AA126,VLOOKUP($CW127,'Audit Values'!$A$2:$BX$410,41,FALSE))</f>
        <v>0</v>
      </c>
      <c r="AU127" s="58">
        <f>IF(ISNA(VLOOKUP($CW127,'Audit Values'!$A$2:$BX$410,2,FALSE)),'Preliminary SO66'!AB126,VLOOKUP($CW127,'Audit Values'!$A$2:$BX$410,42,FALSE))</f>
        <v>0</v>
      </c>
      <c r="AV127" s="73">
        <v>0</v>
      </c>
      <c r="AW127" s="73">
        <v>0</v>
      </c>
      <c r="AX127" s="24">
        <f>SUM(AT127*'Weighting Factors'!$R$10)+('2024 Legal Max'!AU127*'Weighting Factors'!$R$11)+('2024 Legal Max'!AV127*'Weighting Factors'!$R$12)+('2024 Legal Max'!AW127*'Weighting Factors'!$R$12)</f>
        <v>0</v>
      </c>
      <c r="AY127" s="54">
        <f>IF(ISNA(VLOOKUP($CW127,'Audit Values'!$A$2:$BX$429,2,FALSE)),"",IF(AND('Weighting Factors'!G127&gt;0,VLOOKUP($CW127,'Audit Values'!$A$2:$BX$429,51,FALSE)&lt;'Weighting Factors'!G127),'Weighting Factors'!G127,VLOOKUP($CW127,'Audit Values'!$A$2:$BX$429,51,FALSE)))</f>
        <v>2</v>
      </c>
      <c r="AZ127" s="54" t="str">
        <f>IF(ISNA(VLOOKUP($CW127,'Audit Values'!$A:$BY,2,FALSE)),"",VLOOKUP($CW127,'Audit Values'!$A:$BY,52,FALSE))</f>
        <v>A</v>
      </c>
      <c r="BA127" s="54" t="str">
        <f>IF('Weighting Factors'!F127="","",IF('Weighting Factors'!H127="Pending","PX","R"))</f>
        <v/>
      </c>
      <c r="BB127" s="60">
        <f>SUM((U127+V127+AA127+AC127+AF127+AI127+AL127+AM127+AQ127+AN127)*'Weighting Factors'!$O$5)+'2024 Legal Max'!AX127</f>
        <v>4050048</v>
      </c>
      <c r="BC127" s="24">
        <f>SUM((AR127+AN127)*'Weighting Factors'!$O$5)+AX127</f>
        <v>4741507</v>
      </c>
      <c r="BD127" s="67">
        <f>IF('Weighting Factors'!F127&gt;0,'Weighting Factors'!F127,'Preliminary SO66'!AV126)</f>
        <v>5002528</v>
      </c>
      <c r="BE127" s="24">
        <f t="shared" si="102"/>
        <v>4741507</v>
      </c>
      <c r="BF127" s="71">
        <f>'Weighting Factors'!E127</f>
        <v>0</v>
      </c>
      <c r="BG127" s="71">
        <f>Transportation!G127</f>
        <v>0</v>
      </c>
      <c r="BH127" s="24">
        <f>IF(ISNA(VLOOKUP($CW127,'Audit Values'!$A:$BW,2,FALSE)), 0, VLOOKUP($CW127,'Audit Values'!$A:$BW,75,FALSE))</f>
        <v>0</v>
      </c>
      <c r="BI127" s="24">
        <f t="shared" si="103"/>
        <v>0</v>
      </c>
      <c r="BJ127" s="24">
        <f t="shared" si="104"/>
        <v>4741507</v>
      </c>
      <c r="BK127" s="24">
        <f>SUM((U127+V127+AA127+AC127+AF127+AI127+AL127+AM127+AN127)*'Weighting Factors'!O$12)+(MAX(AO127,'Weighting Factors'!B127))</f>
        <v>4797106</v>
      </c>
      <c r="BL127" s="78">
        <f>'LOB%'!F125</f>
        <v>0.316</v>
      </c>
      <c r="BM127" s="24">
        <f t="shared" si="75"/>
        <v>1515885</v>
      </c>
      <c r="BN127" s="67">
        <v>1594904</v>
      </c>
      <c r="BO127" s="24">
        <f t="shared" si="105"/>
        <v>1515885</v>
      </c>
      <c r="BP127" s="89">
        <f t="shared" si="76"/>
        <v>0.316</v>
      </c>
      <c r="BQ127" s="58">
        <f t="shared" si="77"/>
        <v>0</v>
      </c>
      <c r="BR127" s="1" t="b">
        <f t="shared" si="78"/>
        <v>0</v>
      </c>
      <c r="BS127" s="76">
        <f t="shared" si="79"/>
        <v>0</v>
      </c>
      <c r="BT127" s="75">
        <f t="shared" si="106"/>
        <v>0</v>
      </c>
      <c r="BU127" s="58">
        <f t="shared" si="80"/>
        <v>0</v>
      </c>
      <c r="BV127" s="1" t="b">
        <f t="shared" si="81"/>
        <v>1</v>
      </c>
      <c r="BW127" s="1">
        <f t="shared" si="82"/>
        <v>182.28380000000001</v>
      </c>
      <c r="BX127" s="75">
        <f t="shared" si="107"/>
        <v>0.434141</v>
      </c>
      <c r="BY127" s="58">
        <f t="shared" si="83"/>
        <v>194.2</v>
      </c>
      <c r="BZ127" s="58">
        <f t="shared" si="84"/>
        <v>0</v>
      </c>
      <c r="CA127" s="61">
        <v>370</v>
      </c>
      <c r="CB127" s="102">
        <f t="shared" si="85"/>
        <v>0.82199999999999995</v>
      </c>
      <c r="CC127" s="105">
        <f>IF(CB127&lt;0.06,1,IF(CB127&gt;=18.29,52,MATCH(CB127-0.001,'Weighting Factors'!$W$5:$W$156)+1))</f>
        <v>30</v>
      </c>
      <c r="CD127" s="24">
        <f>VLOOKUP(CC127, 'Weighting Factors'!$U$5:$X$56,4)</f>
        <v>990</v>
      </c>
      <c r="CE127" s="109">
        <f>('Weighting Factors'!$O$5/'Weighting Factors'!$O$14)</f>
        <v>1.2216</v>
      </c>
      <c r="CF127" s="100">
        <f t="shared" si="86"/>
        <v>300960</v>
      </c>
      <c r="CG127" s="100">
        <f>CF127*'Weighting Factors'!$Q$7</f>
        <v>300960</v>
      </c>
      <c r="CH127" s="100">
        <f t="shared" si="108"/>
        <v>367653</v>
      </c>
      <c r="CI127" s="58">
        <f>AK127/'Weighting Factors'!$O$5</f>
        <v>72.3</v>
      </c>
      <c r="CJ127" s="67">
        <v>0</v>
      </c>
      <c r="CK127" s="80">
        <v>0</v>
      </c>
      <c r="CL127" s="110">
        <v>0</v>
      </c>
      <c r="CM127" s="24">
        <f>SUM((AR127*'Weighting Factors'!$O$5)+'2024 Legal Max'!AX127)*CL127</f>
        <v>0</v>
      </c>
      <c r="CN127" s="24">
        <f t="shared" si="109"/>
        <v>0</v>
      </c>
      <c r="CO127" s="65">
        <f t="shared" si="74"/>
        <v>0.29210000000000003</v>
      </c>
      <c r="CP127" s="58">
        <f t="shared" si="87"/>
        <v>0</v>
      </c>
      <c r="CQ127" s="58">
        <f t="shared" si="88"/>
        <v>0</v>
      </c>
      <c r="CR127" s="58">
        <f t="shared" si="89"/>
        <v>931.9</v>
      </c>
      <c r="CS127" s="24">
        <f>'Required Transfers'!L127</f>
        <v>103232</v>
      </c>
      <c r="CT127" s="24">
        <f>'Required Transfers'!O127</f>
        <v>0</v>
      </c>
      <c r="CU127" s="24">
        <f>'Required Transfers'!H127</f>
        <v>320035</v>
      </c>
      <c r="CV127" s="58">
        <f t="shared" si="90"/>
        <v>434.8</v>
      </c>
      <c r="CW127" s="27" t="s">
        <v>312</v>
      </c>
    </row>
    <row r="128" spans="1:101" ht="15" customHeight="1">
      <c r="A128" s="54">
        <v>331</v>
      </c>
      <c r="B128" s="1" t="s">
        <v>56</v>
      </c>
      <c r="C128" s="1" t="s">
        <v>633</v>
      </c>
      <c r="D128" s="58">
        <v>768.9</v>
      </c>
      <c r="E128" s="58">
        <v>3</v>
      </c>
      <c r="F128" s="58">
        <v>0</v>
      </c>
      <c r="G128" s="58">
        <f t="shared" si="91"/>
        <v>765.9</v>
      </c>
      <c r="H128" s="58">
        <v>815.3</v>
      </c>
      <c r="I128" s="58">
        <v>1</v>
      </c>
      <c r="J128" s="58">
        <v>0</v>
      </c>
      <c r="K128" s="58">
        <f t="shared" si="92"/>
        <v>814.3</v>
      </c>
      <c r="L128" s="1">
        <v>839.1</v>
      </c>
      <c r="N128" s="1">
        <v>0</v>
      </c>
      <c r="O128" s="58">
        <f t="shared" si="93"/>
        <v>839.1</v>
      </c>
      <c r="P128" s="58">
        <f>IF(ISNA(VLOOKUP($CW128,'Audit Values'!$A:$BZ,2,FALSE)),'Preliminary SO66'!C127,VLOOKUP($CW128,'Audit Values'!$A:$BZ,76,FALSE))</f>
        <v>808.7</v>
      </c>
      <c r="Q128" s="58">
        <f>IF(ISNA(VLOOKUP($CW128,'Audit Values'!$A:$BZ,2,FALSE)),'Preliminary SO66'!F127,VLOOKUP($CW128,'Audit Values'!$A:$BZ,4,FALSE))</f>
        <v>0</v>
      </c>
      <c r="R128" s="58">
        <f t="shared" si="97"/>
        <v>808.7</v>
      </c>
      <c r="S128" s="58">
        <f>IF('Military Provision'!I128="YES", MAX('2024 Legal Max'!O128,'2024 Legal Max'!K128,AVERAGE('2024 Legal Max'!G128,'2024 Legal Max'!K128,'2024 Legal Max'!O128)), MAX(O128, K128))</f>
        <v>839.1</v>
      </c>
      <c r="T128" s="58">
        <f>IF(ISNA(VLOOKUP($CW128,'Audit Values'!$A:$BX,2,FALSE)),'Preliminary SO66'!AL127,VLOOKUP($CW128,'Audit Values'!$A:$BX,59,FALSE))</f>
        <v>13.5</v>
      </c>
      <c r="U128" s="58">
        <f t="shared" si="98"/>
        <v>852.6</v>
      </c>
      <c r="V128" s="58">
        <f>'Low-High ENRL- 2023 HSubSB 113'!N131</f>
        <v>252.7</v>
      </c>
      <c r="W128" s="58">
        <f>IF(ISNA(VLOOKUP($CW128,'Audit Values'!$A:$BZ,2,FALSE)),'Preliminary SO66'!AM127,VLOOKUP($CW128,'Audit Values'!$A:$BZ,63,FALSE))</f>
        <v>9.9</v>
      </c>
      <c r="X128" s="58">
        <f>(W128/6)*'Weighting Factors'!$O$7</f>
        <v>0.7</v>
      </c>
      <c r="Y128" s="61">
        <f>IF(ISNA(VLOOKUP($CW128,'Audit Values'!$A:$BZ,2,FALSE)),'Preliminary SO66'!AN127,VLOOKUP($CW128,'Audit Values'!$A:$BZ,62,FALSE))</f>
        <v>11</v>
      </c>
      <c r="Z128" s="58">
        <f>Y128*'Weighting Factors'!$O$8</f>
        <v>2</v>
      </c>
      <c r="AA128" s="58">
        <f t="shared" si="99"/>
        <v>2</v>
      </c>
      <c r="AB128" s="106">
        <f>IF(ISNA(VLOOKUP($CW128,'Audit Values'!$A:$BZ,2,FALSE)),'Preliminary SO66'!AO127,VLOOKUP($CW128,'Audit Values'!$A:$BZ,61,FALSE))</f>
        <v>331.5</v>
      </c>
      <c r="AC128" s="58">
        <f>AB128/6*'Weighting Factors'!$O$6</f>
        <v>27.6</v>
      </c>
      <c r="AD128" s="24">
        <f>IF(ISNA(VLOOKUP($CW128,'Audit Values'!$A:$BX,2,FALSE)),'Preliminary SO66'!AS127,VLOOKUP($CW128,'Audit Values'!$A:$BX,64,FALSE))</f>
        <v>858</v>
      </c>
      <c r="AE128" s="24">
        <f>IF(ISNA(VLOOKUP($CW128,'Audit Values'!$A:$BX,2,FALSE)),'Preliminary SO66'!AP127,VLOOKUP($CW128,'Audit Values'!$A:$BX,65,FALSE))</f>
        <v>375</v>
      </c>
      <c r="AF128" s="58">
        <f>IF(A128=207, AE128,(AE128))*'Weighting Factors'!$O$9</f>
        <v>181.5</v>
      </c>
      <c r="AG128" s="58">
        <f t="shared" si="96"/>
        <v>22.9</v>
      </c>
      <c r="AH128" s="58">
        <f>IF(ISNA(VLOOKUP($CW128,'Audit Values'!$A:$BZ,2,FALSE)),'Preliminary SO66'!AG127,VLOOKUP($CW128,'Audit Values'!$A:$BZ,71,FALSE))</f>
        <v>25.2</v>
      </c>
      <c r="AI128" s="58">
        <f t="shared" si="100"/>
        <v>25.2</v>
      </c>
      <c r="AJ128" s="58">
        <f>IF(ISNA(VLOOKUP($CW128,'Audit Values'!$A:$BX,2,FALSE)),'Preliminary SO66'!AR127,VLOOKUP($CW128,'Audit Values'!$A:$BX,66,FALSE))</f>
        <v>232.2</v>
      </c>
      <c r="AK128" s="24">
        <f t="shared" si="101"/>
        <v>320531</v>
      </c>
      <c r="AL128" s="58">
        <f>AK128/'Weighting Factors'!$O$5</f>
        <v>63</v>
      </c>
      <c r="AM128" s="58">
        <f>CJ128/'Weighting Factors'!$O$5</f>
        <v>0</v>
      </c>
      <c r="AN128" s="58">
        <f>CN128/'Weighting Factors'!$O$5</f>
        <v>0</v>
      </c>
      <c r="AO128" s="24">
        <v>1134066</v>
      </c>
      <c r="AP128" s="58">
        <f>AO128/'Weighting Factors'!$O$5</f>
        <v>222.9</v>
      </c>
      <c r="AQ128" s="58">
        <f>IF(ISNA(VLOOKUP($CW128,'Audit Values'!$A:$BX,2,FALSE)),'Preliminary SO66'!X127,VLOOKUP($CW128,'Audit Values'!$A:$BX,48,FALSE))</f>
        <v>0</v>
      </c>
      <c r="AR128" s="58">
        <f t="shared" si="94"/>
        <v>1627.5</v>
      </c>
      <c r="AS128" s="58">
        <f t="shared" si="95"/>
        <v>1404.6</v>
      </c>
      <c r="AT128" s="58">
        <f>IF(ISNA(VLOOKUP($CW128,'Audit Values'!$A$2:$BX$410,2,FALSE)),'Preliminary SO66'!AA127,VLOOKUP($CW128,'Audit Values'!$A$2:$BX$410,41,FALSE))</f>
        <v>15</v>
      </c>
      <c r="AU128" s="58">
        <f>IF(ISNA(VLOOKUP($CW128,'Audit Values'!$A$2:$BX$410,2,FALSE)),'Preliminary SO66'!AB127,VLOOKUP($CW128,'Audit Values'!$A$2:$BX$410,42,FALSE))</f>
        <v>2.6</v>
      </c>
      <c r="AV128" s="73">
        <v>29</v>
      </c>
      <c r="AW128" s="73">
        <v>2</v>
      </c>
      <c r="AX128" s="24">
        <f>SUM(AT128*'Weighting Factors'!$R$10)+('2024 Legal Max'!AU128*'Weighting Factors'!$R$11)+('2024 Legal Max'!AV128*'Weighting Factors'!$R$12)+('2024 Legal Max'!AW128*'Weighting Factors'!$R$12)</f>
        <v>113259</v>
      </c>
      <c r="AY128" s="54">
        <f>IF(ISNA(VLOOKUP($CW128,'Audit Values'!$A$2:$BX$429,2,FALSE)),"",IF(AND('Weighting Factors'!G128&gt;0,VLOOKUP($CW128,'Audit Values'!$A$2:$BX$429,51,FALSE)&lt;'Weighting Factors'!G128),'Weighting Factors'!G128,VLOOKUP($CW128,'Audit Values'!$A$2:$BX$429,51,FALSE)))</f>
        <v>8</v>
      </c>
      <c r="AZ128" s="54" t="str">
        <f>IF(ISNA(VLOOKUP($CW128,'Audit Values'!$A:$BY,2,FALSE)),"",VLOOKUP($CW128,'Audit Values'!$A:$BY,52,FALSE))</f>
        <v>A</v>
      </c>
      <c r="BA128" s="54" t="str">
        <f>IF('Weighting Factors'!F128="","",IF('Weighting Factors'!H128="Pending","PX","R"))</f>
        <v/>
      </c>
      <c r="BB128" s="60">
        <f>SUM((U128+V128+AA128+AC128+AF128+AI128+AL128+AM128+AQ128+AN128)*'Weighting Factors'!$O$5)+'2024 Legal Max'!AX128</f>
        <v>7259864</v>
      </c>
      <c r="BC128" s="24">
        <f>SUM((AR128+AN128)*'Weighting Factors'!$O$5)+AX128</f>
        <v>8393979</v>
      </c>
      <c r="BD128" s="67">
        <f>IF('Weighting Factors'!F128&gt;0,'Weighting Factors'!F128,'Preliminary SO66'!AV127)</f>
        <v>8845804</v>
      </c>
      <c r="BE128" s="24">
        <f t="shared" si="102"/>
        <v>8393979</v>
      </c>
      <c r="BF128" s="71">
        <f>'Weighting Factors'!E128</f>
        <v>0</v>
      </c>
      <c r="BG128" s="71">
        <f>Transportation!G128</f>
        <v>0</v>
      </c>
      <c r="BH128" s="24">
        <f>IF(ISNA(VLOOKUP($CW128,'Audit Values'!$A:$BW,2,FALSE)), 0, VLOOKUP($CW128,'Audit Values'!$A:$BW,75,FALSE))</f>
        <v>-355</v>
      </c>
      <c r="BI128" s="24">
        <f t="shared" si="103"/>
        <v>-355</v>
      </c>
      <c r="BJ128" s="24">
        <f t="shared" si="104"/>
        <v>8393624</v>
      </c>
      <c r="BK128" s="24">
        <f>SUM((U128+V128+AA128+AC128+AF128+AI128+AL128+AM128+AN128)*'Weighting Factors'!O$12)+(MAX(AO128,'Weighting Factors'!B128))</f>
        <v>8437509</v>
      </c>
      <c r="BL128" s="78">
        <f>'LOB%'!F126</f>
        <v>0.33</v>
      </c>
      <c r="BM128" s="24">
        <f t="shared" si="75"/>
        <v>2784378</v>
      </c>
      <c r="BN128" s="67">
        <v>2914686</v>
      </c>
      <c r="BO128" s="24">
        <f t="shared" si="105"/>
        <v>2784378</v>
      </c>
      <c r="BP128" s="89">
        <f t="shared" si="76"/>
        <v>0.33</v>
      </c>
      <c r="BQ128" s="58">
        <f t="shared" si="77"/>
        <v>0</v>
      </c>
      <c r="BR128" s="1" t="b">
        <f t="shared" si="78"/>
        <v>0</v>
      </c>
      <c r="BS128" s="76">
        <f t="shared" si="79"/>
        <v>0</v>
      </c>
      <c r="BT128" s="75">
        <f t="shared" si="106"/>
        <v>0</v>
      </c>
      <c r="BU128" s="58">
        <f t="shared" si="80"/>
        <v>0</v>
      </c>
      <c r="BV128" s="1" t="b">
        <f t="shared" si="81"/>
        <v>1</v>
      </c>
      <c r="BW128" s="1">
        <f t="shared" si="82"/>
        <v>683.84249999999997</v>
      </c>
      <c r="BX128" s="75">
        <f t="shared" si="107"/>
        <v>0.29644100000000001</v>
      </c>
      <c r="BY128" s="58">
        <f t="shared" si="83"/>
        <v>252.7</v>
      </c>
      <c r="BZ128" s="58">
        <f t="shared" si="84"/>
        <v>0</v>
      </c>
      <c r="CA128" s="61">
        <v>565.5</v>
      </c>
      <c r="CB128" s="102">
        <f t="shared" si="85"/>
        <v>0.41099999999999998</v>
      </c>
      <c r="CC128" s="105">
        <f>IF(CB128&lt;0.06,1,IF(CB128&gt;=18.29,52,MATCH(CB128-0.001,'Weighting Factors'!$W$5:$W$156)+1))</f>
        <v>23</v>
      </c>
      <c r="CD128" s="24">
        <f>VLOOKUP(CC128, 'Weighting Factors'!$U$5:$X$56,4)</f>
        <v>1130</v>
      </c>
      <c r="CE128" s="109">
        <f>('Weighting Factors'!$O$5/'Weighting Factors'!$O$14)</f>
        <v>1.2216</v>
      </c>
      <c r="CF128" s="100">
        <f t="shared" si="86"/>
        <v>262386</v>
      </c>
      <c r="CG128" s="100">
        <f>CF128*'Weighting Factors'!$Q$7</f>
        <v>262386</v>
      </c>
      <c r="CH128" s="100">
        <f t="shared" si="108"/>
        <v>320531</v>
      </c>
      <c r="CI128" s="58">
        <f>AK128/'Weighting Factors'!$O$5</f>
        <v>63</v>
      </c>
      <c r="CJ128" s="67">
        <v>0</v>
      </c>
      <c r="CK128" s="80">
        <v>0</v>
      </c>
      <c r="CL128" s="110">
        <v>0</v>
      </c>
      <c r="CM128" s="24">
        <f>SUM((AR128*'Weighting Factors'!$O$5)+'2024 Legal Max'!AX128)*CL128</f>
        <v>0</v>
      </c>
      <c r="CN128" s="24">
        <f t="shared" si="109"/>
        <v>0</v>
      </c>
      <c r="CO128" s="65">
        <f t="shared" si="74"/>
        <v>0.43709999999999999</v>
      </c>
      <c r="CP128" s="58">
        <f t="shared" si="87"/>
        <v>0</v>
      </c>
      <c r="CQ128" s="58">
        <f t="shared" si="88"/>
        <v>22.9</v>
      </c>
      <c r="CR128" s="58">
        <f t="shared" si="89"/>
        <v>1627.5</v>
      </c>
      <c r="CS128" s="24">
        <f>'Required Transfers'!L128</f>
        <v>313243</v>
      </c>
      <c r="CT128" s="24">
        <f>'Required Transfers'!O128</f>
        <v>3341</v>
      </c>
      <c r="CU128" s="24">
        <f>'Required Transfers'!H128</f>
        <v>1051690</v>
      </c>
      <c r="CV128" s="58">
        <f t="shared" si="90"/>
        <v>845</v>
      </c>
      <c r="CW128" s="27" t="s">
        <v>313</v>
      </c>
    </row>
    <row r="129" spans="1:101" ht="15" customHeight="1">
      <c r="A129" s="54">
        <v>332</v>
      </c>
      <c r="B129" s="1" t="s">
        <v>56</v>
      </c>
      <c r="C129" s="1" t="s">
        <v>634</v>
      </c>
      <c r="D129" s="58">
        <v>179.2</v>
      </c>
      <c r="E129" s="58"/>
      <c r="F129" s="58">
        <v>0</v>
      </c>
      <c r="G129" s="58">
        <f t="shared" si="91"/>
        <v>179.2</v>
      </c>
      <c r="H129" s="58">
        <v>209</v>
      </c>
      <c r="I129" s="58"/>
      <c r="J129" s="58">
        <v>0</v>
      </c>
      <c r="K129" s="58">
        <f t="shared" si="92"/>
        <v>209</v>
      </c>
      <c r="L129" s="1">
        <v>199</v>
      </c>
      <c r="N129" s="1">
        <v>0</v>
      </c>
      <c r="O129" s="58">
        <f t="shared" si="93"/>
        <v>199</v>
      </c>
      <c r="P129" s="58">
        <f>IF(ISNA(VLOOKUP($CW129,'Audit Values'!$A:$BZ,2,FALSE)),'Preliminary SO66'!C128,VLOOKUP($CW129,'Audit Values'!$A:$BZ,76,FALSE))</f>
        <v>206.1</v>
      </c>
      <c r="Q129" s="58">
        <f>IF(ISNA(VLOOKUP($CW129,'Audit Values'!$A:$BZ,2,FALSE)),'Preliminary SO66'!F128,VLOOKUP($CW129,'Audit Values'!$A:$BZ,4,FALSE))</f>
        <v>0</v>
      </c>
      <c r="R129" s="58">
        <f t="shared" si="97"/>
        <v>206.1</v>
      </c>
      <c r="S129" s="58">
        <f>IF('Military Provision'!I129="YES", MAX('2024 Legal Max'!O129,'2024 Legal Max'!K129,AVERAGE('2024 Legal Max'!G129,'2024 Legal Max'!K129,'2024 Legal Max'!O129)), MAX(O129, K129))</f>
        <v>209</v>
      </c>
      <c r="T129" s="58">
        <f>IF(ISNA(VLOOKUP($CW129,'Audit Values'!$A:$BX,2,FALSE)),'Preliminary SO66'!AL128,VLOOKUP($CW129,'Audit Values'!$A:$BX,59,FALSE))</f>
        <v>7</v>
      </c>
      <c r="U129" s="58">
        <f t="shared" si="98"/>
        <v>216</v>
      </c>
      <c r="V129" s="58">
        <f>'Low-High ENRL- 2023 HSubSB 113'!N132</f>
        <v>152.69999999999999</v>
      </c>
      <c r="W129" s="58">
        <f>IF(ISNA(VLOOKUP($CW129,'Audit Values'!$A:$BZ,2,FALSE)),'Preliminary SO66'!AM128,VLOOKUP($CW129,'Audit Values'!$A:$BZ,63,FALSE))</f>
        <v>0</v>
      </c>
      <c r="X129" s="58">
        <f>(W129/6)*'Weighting Factors'!$O$7</f>
        <v>0</v>
      </c>
      <c r="Y129" s="61">
        <f>IF(ISNA(VLOOKUP($CW129,'Audit Values'!$A:$BZ,2,FALSE)),'Preliminary SO66'!AN128,VLOOKUP($CW129,'Audit Values'!$A:$BZ,62,FALSE))</f>
        <v>0</v>
      </c>
      <c r="Z129" s="58">
        <f>Y129*'Weighting Factors'!$O$8</f>
        <v>0</v>
      </c>
      <c r="AA129" s="58">
        <f t="shared" si="99"/>
        <v>0</v>
      </c>
      <c r="AB129" s="106">
        <f>IF(ISNA(VLOOKUP($CW129,'Audit Values'!$A:$BZ,2,FALSE)),'Preliminary SO66'!AO128,VLOOKUP($CW129,'Audit Values'!$A:$BZ,61,FALSE))</f>
        <v>52.9</v>
      </c>
      <c r="AC129" s="58">
        <f>AB129/6*'Weighting Factors'!$O$6</f>
        <v>4.4000000000000004</v>
      </c>
      <c r="AD129" s="24">
        <f>IF(ISNA(VLOOKUP($CW129,'Audit Values'!$A:$BX,2,FALSE)),'Preliminary SO66'!AS128,VLOOKUP($CW129,'Audit Values'!$A:$BX,64,FALSE))</f>
        <v>222</v>
      </c>
      <c r="AE129" s="24">
        <f>IF(ISNA(VLOOKUP($CW129,'Audit Values'!$A:$BX,2,FALSE)),'Preliminary SO66'!AP128,VLOOKUP($CW129,'Audit Values'!$A:$BX,65,FALSE))</f>
        <v>55</v>
      </c>
      <c r="AF129" s="58">
        <f>IF(A129=207, AE129,(AE129))*'Weighting Factors'!$O$9</f>
        <v>26.6</v>
      </c>
      <c r="AG129" s="58">
        <f t="shared" si="96"/>
        <v>0</v>
      </c>
      <c r="AH129" s="58">
        <f>IF(ISNA(VLOOKUP($CW129,'Audit Values'!$A:$BZ,2,FALSE)),'Preliminary SO66'!AG128,VLOOKUP($CW129,'Audit Values'!$A:$BZ,71,FALSE))</f>
        <v>0</v>
      </c>
      <c r="AI129" s="58">
        <f t="shared" si="100"/>
        <v>0</v>
      </c>
      <c r="AJ129" s="58">
        <f>IF(ISNA(VLOOKUP($CW129,'Audit Values'!$A:$BX,2,FALSE)),'Preliminary SO66'!AR128,VLOOKUP($CW129,'Audit Values'!$A:$BX,66,FALSE))</f>
        <v>92</v>
      </c>
      <c r="AK129" s="24">
        <f t="shared" si="101"/>
        <v>135989</v>
      </c>
      <c r="AL129" s="58">
        <f>AK129/'Weighting Factors'!$O$5</f>
        <v>26.7</v>
      </c>
      <c r="AM129" s="58">
        <f>CJ129/'Weighting Factors'!$O$5</f>
        <v>0</v>
      </c>
      <c r="AN129" s="58">
        <f>CN129/'Weighting Factors'!$O$5</f>
        <v>0</v>
      </c>
      <c r="AO129" s="24">
        <v>272499</v>
      </c>
      <c r="AP129" s="58">
        <f>AO129/'Weighting Factors'!$O$5</f>
        <v>53.6</v>
      </c>
      <c r="AQ129" s="58">
        <f>IF(ISNA(VLOOKUP($CW129,'Audit Values'!$A:$BX,2,FALSE)),'Preliminary SO66'!X128,VLOOKUP($CW129,'Audit Values'!$A:$BX,48,FALSE))</f>
        <v>0</v>
      </c>
      <c r="AR129" s="58">
        <f t="shared" si="94"/>
        <v>480</v>
      </c>
      <c r="AS129" s="58">
        <f t="shared" si="95"/>
        <v>426.4</v>
      </c>
      <c r="AT129" s="58">
        <f>IF(ISNA(VLOOKUP($CW129,'Audit Values'!$A$2:$BX$410,2,FALSE)),'Preliminary SO66'!AA128,VLOOKUP($CW129,'Audit Values'!$A$2:$BX$410,41,FALSE))</f>
        <v>0</v>
      </c>
      <c r="AU129" s="58">
        <f>IF(ISNA(VLOOKUP($CW129,'Audit Values'!$A$2:$BX$410,2,FALSE)),'Preliminary SO66'!AB128,VLOOKUP($CW129,'Audit Values'!$A$2:$BX$410,42,FALSE))</f>
        <v>0</v>
      </c>
      <c r="AV129" s="73">
        <v>0</v>
      </c>
      <c r="AW129" s="73">
        <v>0</v>
      </c>
      <c r="AX129" s="24">
        <f>SUM(AT129*'Weighting Factors'!$R$10)+('2024 Legal Max'!AU129*'Weighting Factors'!$R$11)+('2024 Legal Max'!AV129*'Weighting Factors'!$R$12)+('2024 Legal Max'!AW129*'Weighting Factors'!$R$12)</f>
        <v>0</v>
      </c>
      <c r="AY129" s="54">
        <f>IF(ISNA(VLOOKUP($CW129,'Audit Values'!$A$2:$BX$429,2,FALSE)),"",IF(AND('Weighting Factors'!G129&gt;0,VLOOKUP($CW129,'Audit Values'!$A$2:$BX$429,51,FALSE)&lt;'Weighting Factors'!G129),'Weighting Factors'!G129,VLOOKUP($CW129,'Audit Values'!$A$2:$BX$429,51,FALSE)))</f>
        <v>16</v>
      </c>
      <c r="AZ129" s="54" t="str">
        <f>IF(ISNA(VLOOKUP($CW129,'Audit Values'!$A:$BY,2,FALSE)),"",VLOOKUP($CW129,'Audit Values'!$A:$BY,52,FALSE))</f>
        <v>A</v>
      </c>
      <c r="BA129" s="54" t="str">
        <f>IF('Weighting Factors'!F129="","",IF('Weighting Factors'!H129="Pending","PX","R"))</f>
        <v/>
      </c>
      <c r="BB129" s="60">
        <f>SUM((U129+V129+AA129+AC129+AF129+AI129+AL129+AM129+AQ129+AN129)*'Weighting Factors'!$O$5)+'2024 Legal Max'!AX129</f>
        <v>2169523</v>
      </c>
      <c r="BC129" s="24">
        <f>SUM((AR129+AN129)*'Weighting Factors'!$O$5)+AX129</f>
        <v>2442240</v>
      </c>
      <c r="BD129" s="67">
        <f>IF('Weighting Factors'!F129&gt;0,'Weighting Factors'!F129,'Preliminary SO66'!AV128)</f>
        <v>2509910</v>
      </c>
      <c r="BE129" s="24">
        <f t="shared" si="102"/>
        <v>2442240</v>
      </c>
      <c r="BF129" s="71">
        <f>'Weighting Factors'!E129</f>
        <v>0</v>
      </c>
      <c r="BG129" s="71">
        <f>Transportation!G129</f>
        <v>0</v>
      </c>
      <c r="BH129" s="24">
        <f>IF(ISNA(VLOOKUP($CW129,'Audit Values'!$A:$BW,2,FALSE)), 0, VLOOKUP($CW129,'Audit Values'!$A:$BW,75,FALSE))</f>
        <v>0</v>
      </c>
      <c r="BI129" s="24">
        <f t="shared" si="103"/>
        <v>0</v>
      </c>
      <c r="BJ129" s="24">
        <f t="shared" si="104"/>
        <v>2442240</v>
      </c>
      <c r="BK129" s="24">
        <f>SUM((U129+V129+AA129+AC129+AF129+AI129+AL129+AM129+AN129)*'Weighting Factors'!O$12)+(MAX(AO129,'Weighting Factors'!B129))</f>
        <v>2471870</v>
      </c>
      <c r="BL129" s="78">
        <f>'LOB%'!F127</f>
        <v>0.316</v>
      </c>
      <c r="BM129" s="24">
        <f t="shared" si="75"/>
        <v>781111</v>
      </c>
      <c r="BN129" s="67">
        <v>802541</v>
      </c>
      <c r="BO129" s="24">
        <f t="shared" si="105"/>
        <v>781111</v>
      </c>
      <c r="BP129" s="89">
        <f t="shared" si="76"/>
        <v>0.316</v>
      </c>
      <c r="BQ129" s="58">
        <f t="shared" si="77"/>
        <v>0</v>
      </c>
      <c r="BR129" s="1" t="b">
        <f t="shared" si="78"/>
        <v>1</v>
      </c>
      <c r="BS129" s="76">
        <f t="shared" si="79"/>
        <v>1119.98</v>
      </c>
      <c r="BT129" s="75">
        <f t="shared" si="106"/>
        <v>0.706847</v>
      </c>
      <c r="BU129" s="58">
        <f t="shared" si="80"/>
        <v>152.69999999999999</v>
      </c>
      <c r="BV129" s="1" t="b">
        <f t="shared" si="81"/>
        <v>0</v>
      </c>
      <c r="BW129" s="1">
        <f t="shared" si="82"/>
        <v>0</v>
      </c>
      <c r="BX129" s="75">
        <f t="shared" si="107"/>
        <v>0</v>
      </c>
      <c r="BY129" s="58">
        <f t="shared" si="83"/>
        <v>0</v>
      </c>
      <c r="BZ129" s="58">
        <f t="shared" si="84"/>
        <v>0</v>
      </c>
      <c r="CA129" s="61">
        <v>323.5</v>
      </c>
      <c r="CB129" s="102">
        <f t="shared" si="85"/>
        <v>0.28399999999999997</v>
      </c>
      <c r="CC129" s="105">
        <f>IF(CB129&lt;0.06,1,IF(CB129&gt;=18.29,52,MATCH(CB129-0.001,'Weighting Factors'!$W$5:$W$156)+1))</f>
        <v>19</v>
      </c>
      <c r="CD129" s="24">
        <f>VLOOKUP(CC129, 'Weighting Factors'!$U$5:$X$56,4)</f>
        <v>1210</v>
      </c>
      <c r="CE129" s="109">
        <f>('Weighting Factors'!$O$5/'Weighting Factors'!$O$14)</f>
        <v>1.2216</v>
      </c>
      <c r="CF129" s="100">
        <f t="shared" si="86"/>
        <v>111320</v>
      </c>
      <c r="CG129" s="100">
        <f>CF129*'Weighting Factors'!$Q$7</f>
        <v>111320</v>
      </c>
      <c r="CH129" s="100">
        <f t="shared" si="108"/>
        <v>135989</v>
      </c>
      <c r="CI129" s="58">
        <f>AK129/'Weighting Factors'!$O$5</f>
        <v>26.7</v>
      </c>
      <c r="CJ129" s="67">
        <v>0</v>
      </c>
      <c r="CK129" s="80">
        <v>0</v>
      </c>
      <c r="CL129" s="110">
        <v>0</v>
      </c>
      <c r="CM129" s="24">
        <f>SUM((AR129*'Weighting Factors'!$O$5)+'2024 Legal Max'!AX129)*CL129</f>
        <v>0</v>
      </c>
      <c r="CN129" s="24">
        <f t="shared" si="109"/>
        <v>0</v>
      </c>
      <c r="CO129" s="65">
        <f t="shared" si="74"/>
        <v>0.2477</v>
      </c>
      <c r="CP129" s="58">
        <f t="shared" si="87"/>
        <v>0</v>
      </c>
      <c r="CQ129" s="58">
        <f t="shared" si="88"/>
        <v>0</v>
      </c>
      <c r="CR129" s="58">
        <f t="shared" si="89"/>
        <v>480</v>
      </c>
      <c r="CS129" s="24">
        <f>'Required Transfers'!L129</f>
        <v>43898</v>
      </c>
      <c r="CT129" s="24">
        <f>'Required Transfers'!O129</f>
        <v>0</v>
      </c>
      <c r="CU129" s="24">
        <f>'Required Transfers'!H129</f>
        <v>135341</v>
      </c>
      <c r="CV129" s="58">
        <f t="shared" si="90"/>
        <v>213.1</v>
      </c>
      <c r="CW129" s="27" t="s">
        <v>314</v>
      </c>
    </row>
    <row r="130" spans="1:101" ht="15" customHeight="1">
      <c r="A130" s="54">
        <v>333</v>
      </c>
      <c r="B130" s="1" t="s">
        <v>57</v>
      </c>
      <c r="C130" s="1" t="s">
        <v>635</v>
      </c>
      <c r="D130" s="58">
        <v>1054.9000000000001</v>
      </c>
      <c r="E130" s="58"/>
      <c r="F130" s="58">
        <v>0</v>
      </c>
      <c r="G130" s="58">
        <f t="shared" si="91"/>
        <v>1054.9000000000001</v>
      </c>
      <c r="H130" s="58">
        <v>1101.8</v>
      </c>
      <c r="I130" s="58"/>
      <c r="J130" s="58">
        <v>0</v>
      </c>
      <c r="K130" s="58">
        <f t="shared" si="92"/>
        <v>1101.8</v>
      </c>
      <c r="L130" s="1">
        <v>1076.5999999999999</v>
      </c>
      <c r="N130" s="1">
        <v>0</v>
      </c>
      <c r="O130" s="58">
        <f t="shared" si="93"/>
        <v>1076.5999999999999</v>
      </c>
      <c r="P130" s="58">
        <f>IF(ISNA(VLOOKUP($CW130,'Audit Values'!$A:$BZ,2,FALSE)),'Preliminary SO66'!C129,VLOOKUP($CW130,'Audit Values'!$A:$BZ,76,FALSE))</f>
        <v>1072.2</v>
      </c>
      <c r="Q130" s="58">
        <f>IF(ISNA(VLOOKUP($CW130,'Audit Values'!$A:$BZ,2,FALSE)),'Preliminary SO66'!F129,VLOOKUP($CW130,'Audit Values'!$A:$BZ,4,FALSE))</f>
        <v>0</v>
      </c>
      <c r="R130" s="58">
        <f t="shared" si="97"/>
        <v>1072.2</v>
      </c>
      <c r="S130" s="58">
        <f>IF('Military Provision'!I130="YES", MAX('2024 Legal Max'!O130,'2024 Legal Max'!K130,AVERAGE('2024 Legal Max'!G130,'2024 Legal Max'!K130,'2024 Legal Max'!O130)), MAX(O130, K130))</f>
        <v>1101.8</v>
      </c>
      <c r="T130" s="58">
        <f>IF(ISNA(VLOOKUP($CW130,'Audit Values'!$A:$BX,2,FALSE)),'Preliminary SO66'!AL129,VLOOKUP($CW130,'Audit Values'!$A:$BX,59,FALSE))</f>
        <v>15.5</v>
      </c>
      <c r="U130" s="58">
        <f t="shared" si="98"/>
        <v>1117.3</v>
      </c>
      <c r="V130" s="58">
        <f>'Low-High ENRL- 2023 HSubSB 113'!N133</f>
        <v>230.7</v>
      </c>
      <c r="W130" s="58">
        <f>IF(ISNA(VLOOKUP($CW130,'Audit Values'!$A:$BZ,2,FALSE)),'Preliminary SO66'!AM129,VLOOKUP($CW130,'Audit Values'!$A:$BZ,63,FALSE))</f>
        <v>7.2</v>
      </c>
      <c r="X130" s="58">
        <f>(W130/6)*'Weighting Factors'!$O$7</f>
        <v>0.5</v>
      </c>
      <c r="Y130" s="61">
        <f>IF(ISNA(VLOOKUP($CW130,'Audit Values'!$A:$BZ,2,FALSE)),'Preliminary SO66'!AN129,VLOOKUP($CW130,'Audit Values'!$A:$BZ,62,FALSE))</f>
        <v>15</v>
      </c>
      <c r="Z130" s="58">
        <f>Y130*'Weighting Factors'!$O$8</f>
        <v>2.8</v>
      </c>
      <c r="AA130" s="58">
        <f t="shared" si="99"/>
        <v>2.8</v>
      </c>
      <c r="AB130" s="106">
        <f>IF(ISNA(VLOOKUP($CW130,'Audit Values'!$A:$BZ,2,FALSE)),'Preliminary SO66'!AO129,VLOOKUP($CW130,'Audit Values'!$A:$BZ,61,FALSE))</f>
        <v>222.1</v>
      </c>
      <c r="AC130" s="58">
        <f>AB130/6*'Weighting Factors'!$O$6</f>
        <v>18.5</v>
      </c>
      <c r="AD130" s="24">
        <f>IF(ISNA(VLOOKUP($CW130,'Audit Values'!$A:$BX,2,FALSE)),'Preliminary SO66'!AS129,VLOOKUP($CW130,'Audit Values'!$A:$BX,64,FALSE))</f>
        <v>1111</v>
      </c>
      <c r="AE130" s="24">
        <f>IF(ISNA(VLOOKUP($CW130,'Audit Values'!$A:$BX,2,FALSE)),'Preliminary SO66'!AP129,VLOOKUP($CW130,'Audit Values'!$A:$BX,65,FALSE))</f>
        <v>504</v>
      </c>
      <c r="AF130" s="58">
        <f>IF(A130=207, AE130,(AE130))*'Weighting Factors'!$O$9</f>
        <v>243.9</v>
      </c>
      <c r="AG130" s="58">
        <f t="shared" si="96"/>
        <v>36.6</v>
      </c>
      <c r="AH130" s="58">
        <f>IF(ISNA(VLOOKUP($CW130,'Audit Values'!$A:$BZ,2,FALSE)),'Preliminary SO66'!AG129,VLOOKUP($CW130,'Audit Values'!$A:$BZ,71,FALSE))</f>
        <v>37.4</v>
      </c>
      <c r="AI130" s="58">
        <f t="shared" si="100"/>
        <v>37.4</v>
      </c>
      <c r="AJ130" s="58">
        <f>IF(ISNA(VLOOKUP($CW130,'Audit Values'!$A:$BX,2,FALSE)),'Preliminary SO66'!AR129,VLOOKUP($CW130,'Audit Values'!$A:$BX,66,FALSE))</f>
        <v>200</v>
      </c>
      <c r="AK130" s="24">
        <f t="shared" si="101"/>
        <v>256536</v>
      </c>
      <c r="AL130" s="58">
        <f>AK130/'Weighting Factors'!$O$5</f>
        <v>50.4</v>
      </c>
      <c r="AM130" s="58">
        <f>CJ130/'Weighting Factors'!$O$5</f>
        <v>0</v>
      </c>
      <c r="AN130" s="58">
        <f>CN130/'Weighting Factors'!$O$5</f>
        <v>0</v>
      </c>
      <c r="AO130" s="24">
        <v>1080222</v>
      </c>
      <c r="AP130" s="58">
        <f>AO130/'Weighting Factors'!$O$5</f>
        <v>212.3</v>
      </c>
      <c r="AQ130" s="58">
        <f>IF(ISNA(VLOOKUP($CW130,'Audit Values'!$A:$BX,2,FALSE)),'Preliminary SO66'!X129,VLOOKUP($CW130,'Audit Values'!$A:$BX,48,FALSE))</f>
        <v>0</v>
      </c>
      <c r="AR130" s="58">
        <f t="shared" si="94"/>
        <v>1913.3</v>
      </c>
      <c r="AS130" s="58">
        <f t="shared" si="95"/>
        <v>1701</v>
      </c>
      <c r="AT130" s="58">
        <f>IF(ISNA(VLOOKUP($CW130,'Audit Values'!$A$2:$BX$410,2,FALSE)),'Preliminary SO66'!AA129,VLOOKUP($CW130,'Audit Values'!$A$2:$BX$410,41,FALSE))</f>
        <v>9</v>
      </c>
      <c r="AU130" s="58">
        <f>IF(ISNA(VLOOKUP($CW130,'Audit Values'!$A$2:$BX$410,2,FALSE)),'Preliminary SO66'!AB129,VLOOKUP($CW130,'Audit Values'!$A$2:$BX$410,42,FALSE))</f>
        <v>1.2</v>
      </c>
      <c r="AV130" s="73">
        <v>0</v>
      </c>
      <c r="AW130" s="73">
        <v>0</v>
      </c>
      <c r="AX130" s="24">
        <f>SUM(AT130*'Weighting Factors'!$R$10)+('2024 Legal Max'!AU130*'Weighting Factors'!$R$11)+('2024 Legal Max'!AV130*'Weighting Factors'!$R$12)+('2024 Legal Max'!AW130*'Weighting Factors'!$R$12)</f>
        <v>53760</v>
      </c>
      <c r="AY130" s="54">
        <f>IF(ISNA(VLOOKUP($CW130,'Audit Values'!$A$2:$BX$429,2,FALSE)),"",IF(AND('Weighting Factors'!G130&gt;0,VLOOKUP($CW130,'Audit Values'!$A$2:$BX$429,51,FALSE)&lt;'Weighting Factors'!G130),'Weighting Factors'!G130,VLOOKUP($CW130,'Audit Values'!$A$2:$BX$429,51,FALSE)))</f>
        <v>10</v>
      </c>
      <c r="AZ130" s="54" t="str">
        <f>IF(ISNA(VLOOKUP($CW130,'Audit Values'!$A:$BY,2,FALSE)),"",VLOOKUP($CW130,'Audit Values'!$A:$BY,52,FALSE))</f>
        <v>A</v>
      </c>
      <c r="BA130" s="54" t="str">
        <f>IF('Weighting Factors'!F130="","",IF('Weighting Factors'!H130="Pending","PX","R"))</f>
        <v/>
      </c>
      <c r="BB130" s="60">
        <f>SUM((U130+V130+AA130+AC130+AF130+AI130+AL130+AM130+AQ130+AN130)*'Weighting Factors'!$O$5)+'2024 Legal Max'!AX130</f>
        <v>8708448</v>
      </c>
      <c r="BC130" s="24">
        <f>SUM((AR130+AN130)*'Weighting Factors'!$O$5)+AX130</f>
        <v>9788630</v>
      </c>
      <c r="BD130" s="67">
        <f>IF('Weighting Factors'!F130&gt;0,'Weighting Factors'!F130,'Preliminary SO66'!AV129)</f>
        <v>9804228</v>
      </c>
      <c r="BE130" s="24">
        <f t="shared" si="102"/>
        <v>9788630</v>
      </c>
      <c r="BF130" s="71">
        <f>'Weighting Factors'!E130</f>
        <v>0</v>
      </c>
      <c r="BG130" s="71">
        <f>Transportation!G130</f>
        <v>0</v>
      </c>
      <c r="BH130" s="24">
        <f>IF(ISNA(VLOOKUP($CW130,'Audit Values'!$A:$BW,2,FALSE)), 0, VLOOKUP($CW130,'Audit Values'!$A:$BW,75,FALSE))</f>
        <v>-3545</v>
      </c>
      <c r="BI130" s="24">
        <f t="shared" si="103"/>
        <v>-3545</v>
      </c>
      <c r="BJ130" s="24">
        <f t="shared" si="104"/>
        <v>9785085</v>
      </c>
      <c r="BK130" s="24">
        <f>SUM((U130+V130+AA130+AC130+AF130+AI130+AL130+AM130+AN130)*'Weighting Factors'!O$12)+(MAX(AO130,'Weighting Factors'!B130))</f>
        <v>9948548</v>
      </c>
      <c r="BL130" s="78">
        <f>'LOB%'!F128</f>
        <v>0.33</v>
      </c>
      <c r="BM130" s="24">
        <f t="shared" si="75"/>
        <v>3283021</v>
      </c>
      <c r="BN130" s="67">
        <v>3297319</v>
      </c>
      <c r="BO130" s="24">
        <f t="shared" si="105"/>
        <v>3283021</v>
      </c>
      <c r="BP130" s="89">
        <f t="shared" si="76"/>
        <v>0.33</v>
      </c>
      <c r="BQ130" s="58">
        <f t="shared" si="77"/>
        <v>0</v>
      </c>
      <c r="BR130" s="1" t="b">
        <f t="shared" si="78"/>
        <v>0</v>
      </c>
      <c r="BS130" s="76">
        <f t="shared" si="79"/>
        <v>0</v>
      </c>
      <c r="BT130" s="75">
        <f t="shared" si="106"/>
        <v>0</v>
      </c>
      <c r="BU130" s="58">
        <f t="shared" si="80"/>
        <v>0</v>
      </c>
      <c r="BV130" s="1" t="b">
        <f t="shared" si="81"/>
        <v>1</v>
      </c>
      <c r="BW130" s="1">
        <f t="shared" si="82"/>
        <v>1011.4088</v>
      </c>
      <c r="BX130" s="75">
        <f t="shared" si="107"/>
        <v>0.20651</v>
      </c>
      <c r="BY130" s="58">
        <f t="shared" si="83"/>
        <v>230.7</v>
      </c>
      <c r="BZ130" s="58">
        <f t="shared" si="84"/>
        <v>0</v>
      </c>
      <c r="CA130" s="61">
        <v>336</v>
      </c>
      <c r="CB130" s="102">
        <f t="shared" si="85"/>
        <v>0.59499999999999997</v>
      </c>
      <c r="CC130" s="105">
        <f>IF(CB130&lt;0.06,1,IF(CB130&gt;=18.29,52,MATCH(CB130-0.001,'Weighting Factors'!$W$5:$W$156)+1))</f>
        <v>27</v>
      </c>
      <c r="CD130" s="24">
        <f>VLOOKUP(CC130, 'Weighting Factors'!$U$5:$X$56,4)</f>
        <v>1050</v>
      </c>
      <c r="CE130" s="109">
        <f>('Weighting Factors'!$O$5/'Weighting Factors'!$O$14)</f>
        <v>1.2216</v>
      </c>
      <c r="CF130" s="100">
        <f t="shared" si="86"/>
        <v>210000</v>
      </c>
      <c r="CG130" s="100">
        <f>CF130*'Weighting Factors'!$Q$7</f>
        <v>210000</v>
      </c>
      <c r="CH130" s="100">
        <f t="shared" si="108"/>
        <v>256536</v>
      </c>
      <c r="CI130" s="58">
        <f>AK130/'Weighting Factors'!$O$5</f>
        <v>50.4</v>
      </c>
      <c r="CJ130" s="67">
        <v>0</v>
      </c>
      <c r="CK130" s="80">
        <v>0</v>
      </c>
      <c r="CL130" s="110">
        <v>0</v>
      </c>
      <c r="CM130" s="24">
        <f>SUM((AR130*'Weighting Factors'!$O$5)+'2024 Legal Max'!AX130)*CL130</f>
        <v>0</v>
      </c>
      <c r="CN130" s="24">
        <f t="shared" si="109"/>
        <v>0</v>
      </c>
      <c r="CO130" s="65">
        <f t="shared" si="74"/>
        <v>0.4536</v>
      </c>
      <c r="CP130" s="58">
        <f t="shared" si="87"/>
        <v>0</v>
      </c>
      <c r="CQ130" s="58">
        <f t="shared" si="88"/>
        <v>36.6</v>
      </c>
      <c r="CR130" s="58">
        <f t="shared" si="89"/>
        <v>1913.3</v>
      </c>
      <c r="CS130" s="24">
        <f>'Required Transfers'!L130</f>
        <v>421868</v>
      </c>
      <c r="CT130" s="24">
        <f>'Required Transfers'!O130</f>
        <v>4925</v>
      </c>
      <c r="CU130" s="24">
        <f>'Required Transfers'!H130</f>
        <v>1431254</v>
      </c>
      <c r="CV130" s="58">
        <f t="shared" si="90"/>
        <v>1097.9000000000001</v>
      </c>
      <c r="CW130" s="27" t="s">
        <v>315</v>
      </c>
    </row>
    <row r="131" spans="1:101" ht="15" customHeight="1">
      <c r="A131" s="54">
        <v>334</v>
      </c>
      <c r="B131" s="1" t="s">
        <v>57</v>
      </c>
      <c r="C131" s="1" t="s">
        <v>636</v>
      </c>
      <c r="D131" s="58">
        <v>156</v>
      </c>
      <c r="E131" s="58"/>
      <c r="F131" s="58">
        <v>0</v>
      </c>
      <c r="G131" s="58">
        <f t="shared" si="91"/>
        <v>156</v>
      </c>
      <c r="H131" s="58">
        <v>153</v>
      </c>
      <c r="I131" s="58"/>
      <c r="J131" s="58">
        <v>0</v>
      </c>
      <c r="K131" s="58">
        <f t="shared" si="92"/>
        <v>153</v>
      </c>
      <c r="L131" s="1">
        <v>154.5</v>
      </c>
      <c r="N131" s="1">
        <v>0</v>
      </c>
      <c r="O131" s="58">
        <f t="shared" si="93"/>
        <v>154.5</v>
      </c>
      <c r="P131" s="58">
        <f>IF(ISNA(VLOOKUP($CW131,'Audit Values'!$A:$BZ,2,FALSE)),'Preliminary SO66'!C130,VLOOKUP($CW131,'Audit Values'!$A:$BZ,76,FALSE))</f>
        <v>120</v>
      </c>
      <c r="Q131" s="58">
        <f>IF(ISNA(VLOOKUP($CW131,'Audit Values'!$A:$BZ,2,FALSE)),'Preliminary SO66'!F130,VLOOKUP($CW131,'Audit Values'!$A:$BZ,4,FALSE))</f>
        <v>0</v>
      </c>
      <c r="R131" s="58">
        <f t="shared" si="97"/>
        <v>120</v>
      </c>
      <c r="S131" s="58">
        <f>IF('Military Provision'!I131="YES", MAX('2024 Legal Max'!O131,'2024 Legal Max'!K131,AVERAGE('2024 Legal Max'!G131,'2024 Legal Max'!K131,'2024 Legal Max'!O131)), MAX(O131, K131))</f>
        <v>154.5</v>
      </c>
      <c r="T131" s="58">
        <f>IF(ISNA(VLOOKUP($CW131,'Audit Values'!$A:$BX,2,FALSE)),'Preliminary SO66'!AL130,VLOOKUP($CW131,'Audit Values'!$A:$BX,59,FALSE))</f>
        <v>0</v>
      </c>
      <c r="U131" s="58">
        <f t="shared" si="98"/>
        <v>154.5</v>
      </c>
      <c r="V131" s="58">
        <f>'Low-High ENRL- 2023 HSubSB 113'!N134</f>
        <v>134.4</v>
      </c>
      <c r="W131" s="58">
        <f>IF(ISNA(VLOOKUP($CW131,'Audit Values'!$A:$BZ,2,FALSE)),'Preliminary SO66'!AM130,VLOOKUP($CW131,'Audit Values'!$A:$BZ,63,FALSE))</f>
        <v>0</v>
      </c>
      <c r="X131" s="58">
        <f>(W131/6)*'Weighting Factors'!$O$7</f>
        <v>0</v>
      </c>
      <c r="Y131" s="61">
        <f>IF(ISNA(VLOOKUP($CW131,'Audit Values'!$A:$BZ,2,FALSE)),'Preliminary SO66'!AN130,VLOOKUP($CW131,'Audit Values'!$A:$BZ,62,FALSE))</f>
        <v>0</v>
      </c>
      <c r="Z131" s="58">
        <f>Y131*'Weighting Factors'!$O$8</f>
        <v>0</v>
      </c>
      <c r="AA131" s="58">
        <f t="shared" si="99"/>
        <v>0</v>
      </c>
      <c r="AB131" s="106">
        <f>IF(ISNA(VLOOKUP($CW131,'Audit Values'!$A:$BZ,2,FALSE)),'Preliminary SO66'!AO130,VLOOKUP($CW131,'Audit Values'!$A:$BZ,61,FALSE))</f>
        <v>32.799999999999997</v>
      </c>
      <c r="AC131" s="58">
        <f>AB131/6*'Weighting Factors'!$O$6</f>
        <v>2.7</v>
      </c>
      <c r="AD131" s="24">
        <f>IF(ISNA(VLOOKUP($CW131,'Audit Values'!$A:$BX,2,FALSE)),'Preliminary SO66'!AS130,VLOOKUP($CW131,'Audit Values'!$A:$BX,64,FALSE))</f>
        <v>122</v>
      </c>
      <c r="AE131" s="24">
        <f>IF(ISNA(VLOOKUP($CW131,'Audit Values'!$A:$BX,2,FALSE)),'Preliminary SO66'!AP130,VLOOKUP($CW131,'Audit Values'!$A:$BX,65,FALSE))</f>
        <v>81</v>
      </c>
      <c r="AF131" s="58">
        <f>IF(A131=207, AE131,(AE131))*'Weighting Factors'!$O$9</f>
        <v>39.200000000000003</v>
      </c>
      <c r="AG131" s="58">
        <f t="shared" si="96"/>
        <v>8.5</v>
      </c>
      <c r="AH131" s="58">
        <f>IF(ISNA(VLOOKUP($CW131,'Audit Values'!$A:$BZ,2,FALSE)),'Preliminary SO66'!AG130,VLOOKUP($CW131,'Audit Values'!$A:$BZ,71,FALSE))</f>
        <v>8.1999999999999993</v>
      </c>
      <c r="AI131" s="58">
        <f t="shared" si="100"/>
        <v>8.5</v>
      </c>
      <c r="AJ131" s="58">
        <f>IF(ISNA(VLOOKUP($CW131,'Audit Values'!$A:$BX,2,FALSE)),'Preliminary SO66'!AR130,VLOOKUP($CW131,'Audit Values'!$A:$BX,66,FALSE))</f>
        <v>17</v>
      </c>
      <c r="AK131" s="24">
        <f t="shared" si="101"/>
        <v>32812</v>
      </c>
      <c r="AL131" s="58">
        <f>AK131/'Weighting Factors'!$O$5</f>
        <v>6.4</v>
      </c>
      <c r="AM131" s="58">
        <f>CJ131/'Weighting Factors'!$O$5</f>
        <v>0</v>
      </c>
      <c r="AN131" s="58">
        <f>CN131/'Weighting Factors'!$O$5</f>
        <v>0</v>
      </c>
      <c r="AO131" s="24">
        <v>227174</v>
      </c>
      <c r="AP131" s="58">
        <f>AO131/'Weighting Factors'!$O$5</f>
        <v>44.6</v>
      </c>
      <c r="AQ131" s="58">
        <f>IF(ISNA(VLOOKUP($CW131,'Audit Values'!$A:$BX,2,FALSE)),'Preliminary SO66'!X130,VLOOKUP($CW131,'Audit Values'!$A:$BX,48,FALSE))</f>
        <v>0</v>
      </c>
      <c r="AR131" s="58">
        <f t="shared" si="94"/>
        <v>390.3</v>
      </c>
      <c r="AS131" s="58">
        <f t="shared" si="95"/>
        <v>345.7</v>
      </c>
      <c r="AT131" s="58">
        <f>IF(ISNA(VLOOKUP($CW131,'Audit Values'!$A$2:$BX$410,2,FALSE)),'Preliminary SO66'!AA130,VLOOKUP($CW131,'Audit Values'!$A$2:$BX$410,41,FALSE))</f>
        <v>4</v>
      </c>
      <c r="AU131" s="58">
        <f>IF(ISNA(VLOOKUP($CW131,'Audit Values'!$A$2:$BX$410,2,FALSE)),'Preliminary SO66'!AB130,VLOOKUP($CW131,'Audit Values'!$A$2:$BX$410,42,FALSE))</f>
        <v>0</v>
      </c>
      <c r="AV131" s="73">
        <v>25.5</v>
      </c>
      <c r="AW131" s="73">
        <v>0</v>
      </c>
      <c r="AX131" s="24">
        <f>SUM(AT131*'Weighting Factors'!$R$10)+('2024 Legal Max'!AU131*'Weighting Factors'!$R$11)+('2024 Legal Max'!AV131*'Weighting Factors'!$R$12)+('2024 Legal Max'!AW131*'Weighting Factors'!$R$12)</f>
        <v>40480</v>
      </c>
      <c r="AY131" s="54">
        <f>IF(ISNA(VLOOKUP($CW131,'Audit Values'!$A$2:$BX$429,2,FALSE)),"",IF(AND('Weighting Factors'!G131&gt;0,VLOOKUP($CW131,'Audit Values'!$A$2:$BX$429,51,FALSE)&lt;'Weighting Factors'!G131),'Weighting Factors'!G131,VLOOKUP($CW131,'Audit Values'!$A$2:$BX$429,51,FALSE)))</f>
        <v>12</v>
      </c>
      <c r="AZ131" s="54" t="str">
        <f>IF(ISNA(VLOOKUP($CW131,'Audit Values'!$A:$BY,2,FALSE)),"",VLOOKUP($CW131,'Audit Values'!$A:$BY,52,FALSE))</f>
        <v>A</v>
      </c>
      <c r="BA131" s="54" t="str">
        <f>IF('Weighting Factors'!F131="","",IF('Weighting Factors'!H131="Pending","PX","R"))</f>
        <v/>
      </c>
      <c r="BB131" s="60">
        <f>SUM((U131+V131+AA131+AC131+AF131+AI131+AL131+AM131+AQ131+AN131)*'Weighting Factors'!$O$5)+'2024 Legal Max'!AX131</f>
        <v>1799402</v>
      </c>
      <c r="BC131" s="24">
        <f>SUM((AR131+AN131)*'Weighting Factors'!$O$5)+AX131</f>
        <v>2026326</v>
      </c>
      <c r="BD131" s="67">
        <f>IF('Weighting Factors'!F131&gt;0,'Weighting Factors'!F131,'Preliminary SO66'!AV130)</f>
        <v>2133375</v>
      </c>
      <c r="BE131" s="24">
        <f t="shared" si="102"/>
        <v>2026326</v>
      </c>
      <c r="BF131" s="71">
        <f>'Weighting Factors'!E131</f>
        <v>0</v>
      </c>
      <c r="BG131" s="71">
        <f>Transportation!G131</f>
        <v>0</v>
      </c>
      <c r="BH131" s="24">
        <f>IF(ISNA(VLOOKUP($CW131,'Audit Values'!$A:$BW,2,FALSE)), 0, VLOOKUP($CW131,'Audit Values'!$A:$BW,75,FALSE))</f>
        <v>-4536</v>
      </c>
      <c r="BI131" s="24">
        <f t="shared" si="103"/>
        <v>-4536</v>
      </c>
      <c r="BJ131" s="24">
        <f t="shared" si="104"/>
        <v>2021790</v>
      </c>
      <c r="BK131" s="24">
        <f>SUM((U131+V131+AA131+AC131+AF131+AI131+AL131+AM131+AN131)*'Weighting Factors'!O$12)+(MAX(AO131,'Weighting Factors'!B131))</f>
        <v>2105422</v>
      </c>
      <c r="BL131" s="78">
        <f>'LOB%'!F129</f>
        <v>0.33</v>
      </c>
      <c r="BM131" s="24">
        <f t="shared" si="75"/>
        <v>694789</v>
      </c>
      <c r="BN131" s="67">
        <v>716577</v>
      </c>
      <c r="BO131" s="24">
        <f t="shared" si="105"/>
        <v>694789</v>
      </c>
      <c r="BP131" s="89">
        <f t="shared" si="76"/>
        <v>0.33</v>
      </c>
      <c r="BQ131" s="58">
        <f t="shared" si="77"/>
        <v>0</v>
      </c>
      <c r="BR131" s="1" t="b">
        <f t="shared" si="78"/>
        <v>1</v>
      </c>
      <c r="BS131" s="76">
        <f t="shared" si="79"/>
        <v>526.19799999999998</v>
      </c>
      <c r="BT131" s="75">
        <f t="shared" si="106"/>
        <v>0.86986699999999995</v>
      </c>
      <c r="BU131" s="58">
        <f t="shared" si="80"/>
        <v>134.4</v>
      </c>
      <c r="BV131" s="1" t="b">
        <f t="shared" si="81"/>
        <v>0</v>
      </c>
      <c r="BW131" s="1">
        <f t="shared" si="82"/>
        <v>0</v>
      </c>
      <c r="BX131" s="75">
        <f t="shared" si="107"/>
        <v>0</v>
      </c>
      <c r="BY131" s="58">
        <f t="shared" si="83"/>
        <v>0</v>
      </c>
      <c r="BZ131" s="58">
        <f t="shared" si="84"/>
        <v>0</v>
      </c>
      <c r="CA131" s="61">
        <v>273</v>
      </c>
      <c r="CB131" s="102">
        <f t="shared" si="85"/>
        <v>6.2E-2</v>
      </c>
      <c r="CC131" s="105">
        <f>IF(CB131&lt;0.06,1,IF(CB131&gt;=18.29,52,MATCH(CB131-0.001,'Weighting Factors'!$W$5:$W$156)+1))</f>
        <v>2</v>
      </c>
      <c r="CD131" s="24">
        <f>VLOOKUP(CC131, 'Weighting Factors'!$U$5:$X$56,4)</f>
        <v>1580</v>
      </c>
      <c r="CE131" s="109">
        <f>('Weighting Factors'!$O$5/'Weighting Factors'!$O$14)</f>
        <v>1.2216</v>
      </c>
      <c r="CF131" s="100">
        <f t="shared" si="86"/>
        <v>26860</v>
      </c>
      <c r="CG131" s="100">
        <f>CF131*'Weighting Factors'!$Q$7</f>
        <v>26860</v>
      </c>
      <c r="CH131" s="100">
        <f t="shared" si="108"/>
        <v>32812</v>
      </c>
      <c r="CI131" s="58">
        <f>AK131/'Weighting Factors'!$O$5</f>
        <v>6.4</v>
      </c>
      <c r="CJ131" s="67">
        <v>0</v>
      </c>
      <c r="CK131" s="80">
        <v>0</v>
      </c>
      <c r="CL131" s="110">
        <v>0</v>
      </c>
      <c r="CM131" s="24">
        <f>SUM((AR131*'Weighting Factors'!$O$5)+'2024 Legal Max'!AX131)*CL131</f>
        <v>0</v>
      </c>
      <c r="CN131" s="24">
        <f t="shared" si="109"/>
        <v>0</v>
      </c>
      <c r="CO131" s="65">
        <f t="shared" si="74"/>
        <v>0.66390000000000005</v>
      </c>
      <c r="CP131" s="58">
        <f t="shared" si="87"/>
        <v>8.5</v>
      </c>
      <c r="CQ131" s="58">
        <f t="shared" si="88"/>
        <v>0</v>
      </c>
      <c r="CR131" s="58">
        <f t="shared" si="89"/>
        <v>390.3</v>
      </c>
      <c r="CS131" s="24">
        <f>'Required Transfers'!L131</f>
        <v>69757</v>
      </c>
      <c r="CT131" s="24">
        <f>'Required Transfers'!O131</f>
        <v>0</v>
      </c>
      <c r="CU131" s="24">
        <f>'Required Transfers'!H131</f>
        <v>242698</v>
      </c>
      <c r="CV131" s="58">
        <f t="shared" si="90"/>
        <v>128.30000000000001</v>
      </c>
      <c r="CW131" s="27" t="s">
        <v>316</v>
      </c>
    </row>
    <row r="132" spans="1:101" ht="15" customHeight="1">
      <c r="A132" s="54">
        <v>335</v>
      </c>
      <c r="B132" s="1" t="s">
        <v>58</v>
      </c>
      <c r="C132" s="1" t="s">
        <v>637</v>
      </c>
      <c r="D132" s="58">
        <v>299</v>
      </c>
      <c r="E132" s="58"/>
      <c r="F132" s="58">
        <v>0</v>
      </c>
      <c r="G132" s="58">
        <f t="shared" si="91"/>
        <v>299</v>
      </c>
      <c r="H132" s="58">
        <v>349.1</v>
      </c>
      <c r="I132" s="58"/>
      <c r="J132" s="58">
        <v>0</v>
      </c>
      <c r="K132" s="58">
        <f t="shared" si="92"/>
        <v>349.1</v>
      </c>
      <c r="L132" s="1">
        <v>362.9</v>
      </c>
      <c r="N132" s="1">
        <v>0</v>
      </c>
      <c r="O132" s="58">
        <f t="shared" si="93"/>
        <v>362.9</v>
      </c>
      <c r="P132" s="58">
        <f>IF(ISNA(VLOOKUP($CW132,'Audit Values'!$A:$BZ,2,FALSE)),'Preliminary SO66'!C131,VLOOKUP($CW132,'Audit Values'!$A:$BZ,76,FALSE))</f>
        <v>455.7</v>
      </c>
      <c r="Q132" s="58">
        <f>IF(ISNA(VLOOKUP($CW132,'Audit Values'!$A:$BZ,2,FALSE)),'Preliminary SO66'!F131,VLOOKUP($CW132,'Audit Values'!$A:$BZ,4,FALSE))</f>
        <v>0</v>
      </c>
      <c r="R132" s="58">
        <f t="shared" si="97"/>
        <v>455.7</v>
      </c>
      <c r="S132" s="58">
        <f>IF('Military Provision'!I132="YES", MAX('2024 Legal Max'!O132,'2024 Legal Max'!K132,AVERAGE('2024 Legal Max'!G132,'2024 Legal Max'!K132,'2024 Legal Max'!O132)), MAX(O132, K132))</f>
        <v>362.9</v>
      </c>
      <c r="T132" s="58">
        <f>IF(ISNA(VLOOKUP($CW132,'Audit Values'!$A:$BX,2,FALSE)),'Preliminary SO66'!AL131,VLOOKUP($CW132,'Audit Values'!$A:$BX,59,FALSE))</f>
        <v>17.5</v>
      </c>
      <c r="U132" s="58">
        <f t="shared" si="98"/>
        <v>380.4</v>
      </c>
      <c r="V132" s="58">
        <f>'Low-High ENRL- 2023 HSubSB 113'!N135</f>
        <v>176.4</v>
      </c>
      <c r="W132" s="58">
        <f>IF(ISNA(VLOOKUP($CW132,'Audit Values'!$A:$BZ,2,FALSE)),'Preliminary SO66'!AM131,VLOOKUP($CW132,'Audit Values'!$A:$BZ,63,FALSE))</f>
        <v>0</v>
      </c>
      <c r="X132" s="58">
        <f>(W132/6)*'Weighting Factors'!$O$7</f>
        <v>0</v>
      </c>
      <c r="Y132" s="61">
        <f>IF(ISNA(VLOOKUP($CW132,'Audit Values'!$A:$BZ,2,FALSE)),'Preliminary SO66'!AN131,VLOOKUP($CW132,'Audit Values'!$A:$BZ,62,FALSE))</f>
        <v>0</v>
      </c>
      <c r="Z132" s="58">
        <f>Y132*'Weighting Factors'!$O$8</f>
        <v>0</v>
      </c>
      <c r="AA132" s="58">
        <f t="shared" si="99"/>
        <v>0</v>
      </c>
      <c r="AB132" s="106">
        <f>IF(ISNA(VLOOKUP($CW132,'Audit Values'!$A:$BZ,2,FALSE)),'Preliminary SO66'!AO131,VLOOKUP($CW132,'Audit Values'!$A:$BZ,61,FALSE))</f>
        <v>170.3</v>
      </c>
      <c r="AC132" s="58">
        <f>AB132/6*'Weighting Factors'!$O$6</f>
        <v>14.2</v>
      </c>
      <c r="AD132" s="24">
        <f>IF(ISNA(VLOOKUP($CW132,'Audit Values'!$A:$BX,2,FALSE)),'Preliminary SO66'!AS131,VLOOKUP($CW132,'Audit Values'!$A:$BX,64,FALSE))</f>
        <v>495</v>
      </c>
      <c r="AE132" s="24">
        <f>IF(ISNA(VLOOKUP($CW132,'Audit Values'!$A:$BX,2,FALSE)),'Preliminary SO66'!AP131,VLOOKUP($CW132,'Audit Values'!$A:$BX,65,FALSE))</f>
        <v>196</v>
      </c>
      <c r="AF132" s="58">
        <f>IF(A132=207, AE132,(AE132))*'Weighting Factors'!$O$9</f>
        <v>94.9</v>
      </c>
      <c r="AG132" s="58">
        <f t="shared" si="96"/>
        <v>6.3</v>
      </c>
      <c r="AH132" s="58">
        <f>IF(ISNA(VLOOKUP($CW132,'Audit Values'!$A:$BZ,2,FALSE)),'Preliminary SO66'!AG131,VLOOKUP($CW132,'Audit Values'!$A:$BZ,71,FALSE))</f>
        <v>6.5</v>
      </c>
      <c r="AI132" s="58">
        <f t="shared" si="100"/>
        <v>6.5</v>
      </c>
      <c r="AJ132" s="58">
        <f>IF(ISNA(VLOOKUP($CW132,'Audit Values'!$A:$BX,2,FALSE)),'Preliminary SO66'!AR131,VLOOKUP($CW132,'Audit Values'!$A:$BX,66,FALSE))</f>
        <v>245</v>
      </c>
      <c r="AK132" s="24">
        <f t="shared" si="101"/>
        <v>278342</v>
      </c>
      <c r="AL132" s="58">
        <f>AK132/'Weighting Factors'!$O$5</f>
        <v>54.7</v>
      </c>
      <c r="AM132" s="58">
        <f>CJ132/'Weighting Factors'!$O$5</f>
        <v>0</v>
      </c>
      <c r="AN132" s="58">
        <f>CN132/'Weighting Factors'!$O$5</f>
        <v>0</v>
      </c>
      <c r="AO132" s="24">
        <v>263642</v>
      </c>
      <c r="AP132" s="58">
        <f>AO132/'Weighting Factors'!$O$5</f>
        <v>51.8</v>
      </c>
      <c r="AQ132" s="58">
        <f>IF(ISNA(VLOOKUP($CW132,'Audit Values'!$A:$BX,2,FALSE)),'Preliminary SO66'!X131,VLOOKUP($CW132,'Audit Values'!$A:$BX,48,FALSE))</f>
        <v>0</v>
      </c>
      <c r="AR132" s="58">
        <f t="shared" si="94"/>
        <v>778.9</v>
      </c>
      <c r="AS132" s="58">
        <f t="shared" si="95"/>
        <v>727.1</v>
      </c>
      <c r="AT132" s="58">
        <f>IF(ISNA(VLOOKUP($CW132,'Audit Values'!$A$2:$BX$410,2,FALSE)),'Preliminary SO66'!AA131,VLOOKUP($CW132,'Audit Values'!$A$2:$BX$410,41,FALSE))</f>
        <v>0</v>
      </c>
      <c r="AU132" s="58">
        <f>IF(ISNA(VLOOKUP($CW132,'Audit Values'!$A$2:$BX$410,2,FALSE)),'Preliminary SO66'!AB131,VLOOKUP($CW132,'Audit Values'!$A$2:$BX$410,42,FALSE))</f>
        <v>0</v>
      </c>
      <c r="AV132" s="73">
        <v>0</v>
      </c>
      <c r="AW132" s="73">
        <v>0</v>
      </c>
      <c r="AX132" s="24">
        <f>SUM(AT132*'Weighting Factors'!$R$10)+('2024 Legal Max'!AU132*'Weighting Factors'!$R$11)+('2024 Legal Max'!AV132*'Weighting Factors'!$R$12)+('2024 Legal Max'!AW132*'Weighting Factors'!$R$12)</f>
        <v>0</v>
      </c>
      <c r="AY132" s="54">
        <f>IF(ISNA(VLOOKUP($CW132,'Audit Values'!$A$2:$BX$429,2,FALSE)),"",IF(AND('Weighting Factors'!G132&gt;0,VLOOKUP($CW132,'Audit Values'!$A$2:$BX$429,51,FALSE)&lt;'Weighting Factors'!G132),'Weighting Factors'!G132,VLOOKUP($CW132,'Audit Values'!$A$2:$BX$429,51,FALSE)))</f>
        <v>14</v>
      </c>
      <c r="AZ132" s="54" t="str">
        <f>IF(ISNA(VLOOKUP($CW132,'Audit Values'!$A:$BY,2,FALSE)),"",VLOOKUP($CW132,'Audit Values'!$A:$BY,52,FALSE))</f>
        <v>A</v>
      </c>
      <c r="BA132" s="54" t="str">
        <f>IF('Weighting Factors'!F132="","",IF('Weighting Factors'!H132="Pending","PX","R"))</f>
        <v/>
      </c>
      <c r="BB132" s="60">
        <f>SUM((U132+V132+AA132+AC132+AF132+AI132+AL132+AM132+AQ132+AN132)*'Weighting Factors'!$O$5)+'2024 Legal Max'!AX132</f>
        <v>3699485</v>
      </c>
      <c r="BC132" s="24">
        <f>SUM((AR132+AN132)*'Weighting Factors'!$O$5)+AX132</f>
        <v>3963043</v>
      </c>
      <c r="BD132" s="67">
        <f>IF('Weighting Factors'!F132&gt;0,'Weighting Factors'!F132,'Preliminary SO66'!AV131)</f>
        <v>4015450</v>
      </c>
      <c r="BE132" s="24">
        <f t="shared" si="102"/>
        <v>3963043</v>
      </c>
      <c r="BF132" s="71">
        <f>'Weighting Factors'!E132</f>
        <v>0</v>
      </c>
      <c r="BG132" s="71">
        <f>Transportation!G132</f>
        <v>0</v>
      </c>
      <c r="BH132" s="24">
        <f>IF(ISNA(VLOOKUP($CW132,'Audit Values'!$A:$BW,2,FALSE)), 0, VLOOKUP($CW132,'Audit Values'!$A:$BW,75,FALSE))</f>
        <v>0</v>
      </c>
      <c r="BI132" s="24">
        <f t="shared" si="103"/>
        <v>0</v>
      </c>
      <c r="BJ132" s="24">
        <f t="shared" si="104"/>
        <v>3963043</v>
      </c>
      <c r="BK132" s="24">
        <f>SUM((U132+V132+AA132+AC132+AF132+AI132+AL132+AM132+AN132)*'Weighting Factors'!O$12)+(MAX(AO132,'Weighting Factors'!B132))</f>
        <v>4051071</v>
      </c>
      <c r="BL132" s="78">
        <f>'LOB%'!F130</f>
        <v>0.316</v>
      </c>
      <c r="BM132" s="24">
        <f t="shared" si="75"/>
        <v>1280138</v>
      </c>
      <c r="BN132" s="67">
        <v>1284910</v>
      </c>
      <c r="BO132" s="24">
        <f t="shared" si="105"/>
        <v>1280138</v>
      </c>
      <c r="BP132" s="89">
        <f t="shared" si="76"/>
        <v>0.316</v>
      </c>
      <c r="BQ132" s="58">
        <f t="shared" si="77"/>
        <v>0</v>
      </c>
      <c r="BR132" s="1" t="b">
        <f t="shared" si="78"/>
        <v>0</v>
      </c>
      <c r="BS132" s="76">
        <f t="shared" si="79"/>
        <v>0</v>
      </c>
      <c r="BT132" s="75">
        <f t="shared" si="106"/>
        <v>0</v>
      </c>
      <c r="BU132" s="58">
        <f t="shared" si="80"/>
        <v>0</v>
      </c>
      <c r="BV132" s="1" t="b">
        <f t="shared" si="81"/>
        <v>1</v>
      </c>
      <c r="BW132" s="1">
        <f t="shared" si="82"/>
        <v>99.495000000000005</v>
      </c>
      <c r="BX132" s="75">
        <f t="shared" si="107"/>
        <v>0.45687</v>
      </c>
      <c r="BY132" s="58">
        <f t="shared" si="83"/>
        <v>173.8</v>
      </c>
      <c r="BZ132" s="58">
        <f t="shared" si="84"/>
        <v>0</v>
      </c>
      <c r="CA132" s="61">
        <v>213</v>
      </c>
      <c r="CB132" s="102">
        <f t="shared" si="85"/>
        <v>1.1499999999999999</v>
      </c>
      <c r="CC132" s="105">
        <f>IF(CB132&lt;0.06,1,IF(CB132&gt;=18.29,52,MATCH(CB132-0.001,'Weighting Factors'!$W$5:$W$156)+1))</f>
        <v>33</v>
      </c>
      <c r="CD132" s="24">
        <f>VLOOKUP(CC132, 'Weighting Factors'!$U$5:$X$56,4)</f>
        <v>930</v>
      </c>
      <c r="CE132" s="109">
        <f>('Weighting Factors'!$O$5/'Weighting Factors'!$O$14)</f>
        <v>1.2216</v>
      </c>
      <c r="CF132" s="100">
        <f t="shared" si="86"/>
        <v>227850</v>
      </c>
      <c r="CG132" s="100">
        <f>CF132*'Weighting Factors'!$Q$7</f>
        <v>227850</v>
      </c>
      <c r="CH132" s="100">
        <f t="shared" si="108"/>
        <v>278342</v>
      </c>
      <c r="CI132" s="58">
        <f>AK132/'Weighting Factors'!$O$5</f>
        <v>54.7</v>
      </c>
      <c r="CJ132" s="67">
        <v>0</v>
      </c>
      <c r="CK132" s="80">
        <v>0</v>
      </c>
      <c r="CL132" s="110">
        <v>0</v>
      </c>
      <c r="CM132" s="24">
        <f>SUM((AR132*'Weighting Factors'!$O$5)+'2024 Legal Max'!AX132)*CL132</f>
        <v>0</v>
      </c>
      <c r="CN132" s="24">
        <f t="shared" si="109"/>
        <v>0</v>
      </c>
      <c r="CO132" s="65">
        <f t="shared" ref="CO132:CO195" si="110">AE132/AD132</f>
        <v>0.39600000000000002</v>
      </c>
      <c r="CP132" s="58">
        <f t="shared" si="87"/>
        <v>0</v>
      </c>
      <c r="CQ132" s="58">
        <f t="shared" si="88"/>
        <v>6.3</v>
      </c>
      <c r="CR132" s="58">
        <f t="shared" si="89"/>
        <v>778.9</v>
      </c>
      <c r="CS132" s="24">
        <f>'Required Transfers'!L132</f>
        <v>159505</v>
      </c>
      <c r="CT132" s="24">
        <f>'Required Transfers'!O132</f>
        <v>0</v>
      </c>
      <c r="CU132" s="24">
        <f>'Required Transfers'!H132</f>
        <v>515923</v>
      </c>
      <c r="CV132" s="58">
        <f t="shared" si="90"/>
        <v>473.2</v>
      </c>
      <c r="CW132" s="27" t="s">
        <v>317</v>
      </c>
    </row>
    <row r="133" spans="1:101" ht="15" customHeight="1">
      <c r="A133" s="54">
        <v>336</v>
      </c>
      <c r="B133" s="1" t="s">
        <v>58</v>
      </c>
      <c r="C133" s="1" t="s">
        <v>638</v>
      </c>
      <c r="D133" s="58">
        <v>975.1</v>
      </c>
      <c r="E133" s="58"/>
      <c r="F133" s="58">
        <v>0</v>
      </c>
      <c r="G133" s="58">
        <f t="shared" si="91"/>
        <v>975.1</v>
      </c>
      <c r="H133" s="58">
        <v>1003.7</v>
      </c>
      <c r="I133" s="58"/>
      <c r="J133" s="58">
        <v>0</v>
      </c>
      <c r="K133" s="58">
        <f t="shared" si="92"/>
        <v>1003.7</v>
      </c>
      <c r="L133" s="1">
        <v>1004.6</v>
      </c>
      <c r="N133" s="1">
        <v>0</v>
      </c>
      <c r="O133" s="58">
        <f t="shared" si="93"/>
        <v>1004.6</v>
      </c>
      <c r="P133" s="58">
        <f>IF(ISNA(VLOOKUP($CW133,'Audit Values'!$A:$BZ,2,FALSE)),'Preliminary SO66'!C132,VLOOKUP($CW133,'Audit Values'!$A:$BZ,76,FALSE))</f>
        <v>1007.6</v>
      </c>
      <c r="Q133" s="58">
        <f>IF(ISNA(VLOOKUP($CW133,'Audit Values'!$A:$BZ,2,FALSE)),'Preliminary SO66'!F132,VLOOKUP($CW133,'Audit Values'!$A:$BZ,4,FALSE))</f>
        <v>0</v>
      </c>
      <c r="R133" s="58">
        <f t="shared" si="97"/>
        <v>1007.6</v>
      </c>
      <c r="S133" s="58">
        <f>IF('Military Provision'!I133="YES", MAX('2024 Legal Max'!O133,'2024 Legal Max'!K133,AVERAGE('2024 Legal Max'!G133,'2024 Legal Max'!K133,'2024 Legal Max'!O133)), MAX(O133, K133))</f>
        <v>1004.6</v>
      </c>
      <c r="T133" s="58">
        <f>IF(ISNA(VLOOKUP($CW133,'Audit Values'!$A:$BX,2,FALSE)),'Preliminary SO66'!AL132,VLOOKUP($CW133,'Audit Values'!$A:$BX,59,FALSE))</f>
        <v>14</v>
      </c>
      <c r="U133" s="58">
        <f t="shared" si="98"/>
        <v>1018.6</v>
      </c>
      <c r="V133" s="58">
        <f>'Low-High ENRL- 2023 HSubSB 113'!N136</f>
        <v>244.5</v>
      </c>
      <c r="W133" s="58">
        <f>IF(ISNA(VLOOKUP($CW133,'Audit Values'!$A:$BZ,2,FALSE)),'Preliminary SO66'!AM132,VLOOKUP($CW133,'Audit Values'!$A:$BZ,63,FALSE))</f>
        <v>172.9</v>
      </c>
      <c r="X133" s="58">
        <f>(W133/6)*'Weighting Factors'!$O$7</f>
        <v>11.4</v>
      </c>
      <c r="Y133" s="61">
        <f>IF(ISNA(VLOOKUP($CW133,'Audit Values'!$A:$BZ,2,FALSE)),'Preliminary SO66'!AN132,VLOOKUP($CW133,'Audit Values'!$A:$BZ,62,FALSE))</f>
        <v>62</v>
      </c>
      <c r="Z133" s="58">
        <f>Y133*'Weighting Factors'!$O$8</f>
        <v>11.5</v>
      </c>
      <c r="AA133" s="58">
        <f t="shared" si="99"/>
        <v>11.5</v>
      </c>
      <c r="AB133" s="106">
        <f>IF(ISNA(VLOOKUP($CW133,'Audit Values'!$A:$BZ,2,FALSE)),'Preliminary SO66'!AO132,VLOOKUP($CW133,'Audit Values'!$A:$BZ,61,FALSE))</f>
        <v>242.5</v>
      </c>
      <c r="AC133" s="58">
        <f>AB133/6*'Weighting Factors'!$O$6</f>
        <v>20.2</v>
      </c>
      <c r="AD133" s="24">
        <f>IF(ISNA(VLOOKUP($CW133,'Audit Values'!$A:$BX,2,FALSE)),'Preliminary SO66'!AS132,VLOOKUP($CW133,'Audit Values'!$A:$BX,64,FALSE))</f>
        <v>1045</v>
      </c>
      <c r="AE133" s="24">
        <f>IF(ISNA(VLOOKUP($CW133,'Audit Values'!$A:$BX,2,FALSE)),'Preliminary SO66'!AP132,VLOOKUP($CW133,'Audit Values'!$A:$BX,65,FALSE))</f>
        <v>429</v>
      </c>
      <c r="AF133" s="58">
        <f>IF(A133=207, AE133,(AE133))*'Weighting Factors'!$O$9</f>
        <v>207.6</v>
      </c>
      <c r="AG133" s="58">
        <f t="shared" si="96"/>
        <v>18.2</v>
      </c>
      <c r="AH133" s="58">
        <f>IF(ISNA(VLOOKUP($CW133,'Audit Values'!$A:$BZ,2,FALSE)),'Preliminary SO66'!AG132,VLOOKUP($CW133,'Audit Values'!$A:$BZ,71,FALSE))</f>
        <v>26.3</v>
      </c>
      <c r="AI133" s="58">
        <f t="shared" si="100"/>
        <v>26.3</v>
      </c>
      <c r="AJ133" s="58">
        <f>IF(ISNA(VLOOKUP($CW133,'Audit Values'!$A:$BX,2,FALSE)),'Preliminary SO66'!AR132,VLOOKUP($CW133,'Audit Values'!$A:$BX,66,FALSE))</f>
        <v>352</v>
      </c>
      <c r="AK133" s="24">
        <f t="shared" si="101"/>
        <v>356903</v>
      </c>
      <c r="AL133" s="58">
        <f>AK133/'Weighting Factors'!$O$5</f>
        <v>70.099999999999994</v>
      </c>
      <c r="AM133" s="58">
        <f>CJ133/'Weighting Factors'!$O$5</f>
        <v>0</v>
      </c>
      <c r="AN133" s="58">
        <f>CN133/'Weighting Factors'!$O$5</f>
        <v>0</v>
      </c>
      <c r="AO133" s="24">
        <v>654945</v>
      </c>
      <c r="AP133" s="58">
        <f>AO133/'Weighting Factors'!$O$5</f>
        <v>128.69999999999999</v>
      </c>
      <c r="AQ133" s="58">
        <f>IF(ISNA(VLOOKUP($CW133,'Audit Values'!$A:$BX,2,FALSE)),'Preliminary SO66'!X132,VLOOKUP($CW133,'Audit Values'!$A:$BX,48,FALSE))</f>
        <v>1</v>
      </c>
      <c r="AR133" s="58">
        <f t="shared" si="94"/>
        <v>1728.5</v>
      </c>
      <c r="AS133" s="58">
        <f t="shared" si="95"/>
        <v>1599.8</v>
      </c>
      <c r="AT133" s="58">
        <f>IF(ISNA(VLOOKUP($CW133,'Audit Values'!$A$2:$BX$410,2,FALSE)),'Preliminary SO66'!AA132,VLOOKUP($CW133,'Audit Values'!$A$2:$BX$410,41,FALSE))</f>
        <v>6</v>
      </c>
      <c r="AU133" s="58">
        <f>IF(ISNA(VLOOKUP($CW133,'Audit Values'!$A$2:$BX$410,2,FALSE)),'Preliminary SO66'!AB132,VLOOKUP($CW133,'Audit Values'!$A$2:$BX$410,42,FALSE))</f>
        <v>3.5</v>
      </c>
      <c r="AV133" s="73">
        <v>150.5</v>
      </c>
      <c r="AW133" s="73">
        <v>24</v>
      </c>
      <c r="AX133" s="24">
        <f>SUM(AT133*'Weighting Factors'!$R$10)+('2024 Legal Max'!AU133*'Weighting Factors'!$R$11)+('2024 Legal Max'!AV133*'Weighting Factors'!$R$12)+('2024 Legal Max'!AW133*'Weighting Factors'!$R$12)</f>
        <v>167121</v>
      </c>
      <c r="AY133" s="54">
        <f>IF(ISNA(VLOOKUP($CW133,'Audit Values'!$A$2:$BX$429,2,FALSE)),"",IF(AND('Weighting Factors'!G133&gt;0,VLOOKUP($CW133,'Audit Values'!$A$2:$BX$429,51,FALSE)&lt;'Weighting Factors'!G133),'Weighting Factors'!G133,VLOOKUP($CW133,'Audit Values'!$A$2:$BX$429,51,FALSE)))</f>
        <v>8</v>
      </c>
      <c r="AZ133" s="54" t="str">
        <f>IF(ISNA(VLOOKUP($CW133,'Audit Values'!$A:$BY,2,FALSE)),"",VLOOKUP($CW133,'Audit Values'!$A:$BY,52,FALSE))</f>
        <v>A</v>
      </c>
      <c r="BA133" s="54" t="str">
        <f>IF('Weighting Factors'!F133="","",IF('Weighting Factors'!H133="Pending","PX","R"))</f>
        <v/>
      </c>
      <c r="BB133" s="60">
        <f>SUM((U133+V133+AA133+AC133+AF133+AI133+AL133+AM133+AQ133+AN133)*'Weighting Factors'!$O$5)+'2024 Legal Max'!AX133</f>
        <v>8306903</v>
      </c>
      <c r="BC133" s="24">
        <f>SUM((AR133+AN133)*'Weighting Factors'!$O$5)+AX133</f>
        <v>8961729</v>
      </c>
      <c r="BD133" s="67">
        <f>IF('Weighting Factors'!F133&gt;0,'Weighting Factors'!F133,'Preliminary SO66'!AV132)</f>
        <v>9313061</v>
      </c>
      <c r="BE133" s="24">
        <f t="shared" si="102"/>
        <v>8961729</v>
      </c>
      <c r="BF133" s="71">
        <f>'Weighting Factors'!E133</f>
        <v>0</v>
      </c>
      <c r="BG133" s="71">
        <f>Transportation!G133</f>
        <v>0</v>
      </c>
      <c r="BH133" s="24">
        <f>IF(ISNA(VLOOKUP($CW133,'Audit Values'!$A:$BW,2,FALSE)), 0, VLOOKUP($CW133,'Audit Values'!$A:$BW,75,FALSE))</f>
        <v>0</v>
      </c>
      <c r="BI133" s="24">
        <f t="shared" si="103"/>
        <v>0</v>
      </c>
      <c r="BJ133" s="24">
        <f t="shared" si="104"/>
        <v>8961729</v>
      </c>
      <c r="BK133" s="24">
        <f>SUM((U133+V133+AA133+AC133+AF133+AI133+AL133+AM133+AN133)*'Weighting Factors'!O$12)+(MAX(AO133,'Weighting Factors'!B133))</f>
        <v>9237808</v>
      </c>
      <c r="BL133" s="78">
        <f>'LOB%'!F131</f>
        <v>0.33</v>
      </c>
      <c r="BM133" s="24">
        <f t="shared" ref="BM133:BM196" si="111">BK133*BL133</f>
        <v>3048477</v>
      </c>
      <c r="BN133" s="67">
        <v>2650580</v>
      </c>
      <c r="BO133" s="24">
        <f t="shared" si="105"/>
        <v>2650580</v>
      </c>
      <c r="BP133" s="89">
        <f t="shared" ref="BP133:BP196" si="112">BO133/BK133</f>
        <v>0.28689999999999999</v>
      </c>
      <c r="BQ133" s="58">
        <f t="shared" ref="BQ133:BQ196" si="113">ROUND(IF(U133&lt;=99.9,(U133*1.014331),0),1)</f>
        <v>0</v>
      </c>
      <c r="BR133" s="1" t="b">
        <f t="shared" ref="BR133:BR196" si="114">AND(U133&gt;99.9,U133&lt;=299.9)</f>
        <v>0</v>
      </c>
      <c r="BS133" s="76">
        <f t="shared" ref="BS133:BS196" si="115">IF(BR133=TRUE,ROUND((U133-100)*9.655,3),0)</f>
        <v>0</v>
      </c>
      <c r="BT133" s="75">
        <f t="shared" si="106"/>
        <v>0</v>
      </c>
      <c r="BU133" s="58">
        <f t="shared" ref="BU133:BU196" si="116">ROUND(BT133*U133,1)</f>
        <v>0</v>
      </c>
      <c r="BV133" s="1" t="b">
        <f t="shared" ref="BV133:BV196" si="117">AND(U133&gt;299.9,U133&lt;=1621.9)</f>
        <v>1</v>
      </c>
      <c r="BW133" s="1">
        <f t="shared" ref="BW133:BW196" si="118">IF(BV133=TRUE,ROUND((U133-300)*1.2375,4),0)</f>
        <v>889.26750000000004</v>
      </c>
      <c r="BX133" s="75">
        <f t="shared" si="107"/>
        <v>0.24004300000000001</v>
      </c>
      <c r="BY133" s="58">
        <f t="shared" ref="BY133:BY196" si="119">ROUND(BX133*U133,1)</f>
        <v>244.5</v>
      </c>
      <c r="BZ133" s="58">
        <f t="shared" ref="BZ133:BZ196" si="120">ROUND(IF(U133&gt;=1622,(U133*0.03504),0),1)</f>
        <v>0</v>
      </c>
      <c r="CA133" s="61">
        <v>164.5</v>
      </c>
      <c r="CB133" s="102">
        <f t="shared" ref="CB133:CB196" si="121">AJ133/CA133</f>
        <v>2.14</v>
      </c>
      <c r="CC133" s="105">
        <f>IF(CB133&lt;0.06,1,IF(CB133&gt;=18.29,52,MATCH(CB133-0.001,'Weighting Factors'!$W$5:$W$156)+1))</f>
        <v>38</v>
      </c>
      <c r="CD133" s="24">
        <f>VLOOKUP(CC133, 'Weighting Factors'!$U$5:$X$56,4)</f>
        <v>830</v>
      </c>
      <c r="CE133" s="109">
        <f>('Weighting Factors'!$O$5/'Weighting Factors'!$O$14)</f>
        <v>1.2216</v>
      </c>
      <c r="CF133" s="100">
        <f t="shared" ref="CF133:CF196" si="122">AJ133*CD133</f>
        <v>292160</v>
      </c>
      <c r="CG133" s="100">
        <f>CF133*'Weighting Factors'!$Q$7</f>
        <v>292160</v>
      </c>
      <c r="CH133" s="100">
        <f t="shared" si="108"/>
        <v>356903</v>
      </c>
      <c r="CI133" s="58">
        <f>AK133/'Weighting Factors'!$O$5</f>
        <v>70.099999999999994</v>
      </c>
      <c r="CJ133" s="67">
        <v>0</v>
      </c>
      <c r="CK133" s="80">
        <v>0</v>
      </c>
      <c r="CL133" s="110">
        <v>0</v>
      </c>
      <c r="CM133" s="24">
        <f>SUM((AR133*'Weighting Factors'!$O$5)+'2024 Legal Max'!AX133)*CL133</f>
        <v>0</v>
      </c>
      <c r="CN133" s="24">
        <f t="shared" si="109"/>
        <v>0</v>
      </c>
      <c r="CO133" s="65">
        <f t="shared" si="110"/>
        <v>0.41049999999999998</v>
      </c>
      <c r="CP133" s="58">
        <f t="shared" ref="CP133:CP196" si="123">IF(CO133&gt;=50%,AE133*10.5%,0)</f>
        <v>0</v>
      </c>
      <c r="CQ133" s="58">
        <f t="shared" ref="CQ133:CQ196" si="124">IF(AND(CO133&gt;35%,CO133&lt;50%),AE133*(CO133-35%)*0.7,0)</f>
        <v>18.2</v>
      </c>
      <c r="CR133" s="58">
        <f t="shared" ref="CR133:CR196" si="125">AS133+AP133</f>
        <v>1728.5</v>
      </c>
      <c r="CS133" s="24">
        <f>'Required Transfers'!L133</f>
        <v>321250</v>
      </c>
      <c r="CT133" s="24">
        <f>'Required Transfers'!O133</f>
        <v>17759</v>
      </c>
      <c r="CU133" s="24">
        <f>'Required Transfers'!H133</f>
        <v>1190083</v>
      </c>
      <c r="CV133" s="58">
        <f t="shared" ref="CV133:CV196" si="126">SUM(R133+T133+AT133+AU133+AV133/6+AW133/6)</f>
        <v>1060.2</v>
      </c>
      <c r="CW133" s="27" t="s">
        <v>318</v>
      </c>
    </row>
    <row r="134" spans="1:101" ht="15" customHeight="1">
      <c r="A134" s="54">
        <v>337</v>
      </c>
      <c r="B134" s="1" t="s">
        <v>58</v>
      </c>
      <c r="C134" s="1" t="s">
        <v>639</v>
      </c>
      <c r="D134" s="58">
        <v>802</v>
      </c>
      <c r="E134" s="58"/>
      <c r="F134" s="58">
        <v>0</v>
      </c>
      <c r="G134" s="58">
        <f t="shared" ref="G134:G197" si="127">SUM(D134-E134+F134)</f>
        <v>802</v>
      </c>
      <c r="H134" s="58">
        <v>803.5</v>
      </c>
      <c r="I134" s="58"/>
      <c r="J134" s="58">
        <v>0</v>
      </c>
      <c r="K134" s="58">
        <f t="shared" ref="K134:K197" si="128">SUM(H134-I134+J134)</f>
        <v>803.5</v>
      </c>
      <c r="L134" s="1">
        <v>821.5</v>
      </c>
      <c r="N134" s="1">
        <v>0</v>
      </c>
      <c r="O134" s="58">
        <f t="shared" ref="O134:O197" si="129">SUM(L134-M134+N134)</f>
        <v>821.5</v>
      </c>
      <c r="P134" s="58">
        <f>IF(ISNA(VLOOKUP($CW134,'Audit Values'!$A:$BZ,2,FALSE)),'Preliminary SO66'!C133,VLOOKUP($CW134,'Audit Values'!$A:$BZ,76,FALSE))</f>
        <v>823.1</v>
      </c>
      <c r="Q134" s="58">
        <f>IF(ISNA(VLOOKUP($CW134,'Audit Values'!$A:$BZ,2,FALSE)),'Preliminary SO66'!F133,VLOOKUP($CW134,'Audit Values'!$A:$BZ,4,FALSE))</f>
        <v>0</v>
      </c>
      <c r="R134" s="58">
        <f t="shared" si="97"/>
        <v>823.1</v>
      </c>
      <c r="S134" s="58">
        <f>IF('Military Provision'!I134="YES", MAX('2024 Legal Max'!O134,'2024 Legal Max'!K134,AVERAGE('2024 Legal Max'!G134,'2024 Legal Max'!K134,'2024 Legal Max'!O134)), MAX(O134, K134))</f>
        <v>821.5</v>
      </c>
      <c r="T134" s="58">
        <f>IF(ISNA(VLOOKUP($CW134,'Audit Values'!$A:$BX,2,FALSE)),'Preliminary SO66'!AL133,VLOOKUP($CW134,'Audit Values'!$A:$BX,59,FALSE))</f>
        <v>9</v>
      </c>
      <c r="U134" s="58">
        <f t="shared" si="98"/>
        <v>830.5</v>
      </c>
      <c r="V134" s="58">
        <f>'Low-High ENRL- 2023 HSubSB 113'!N137</f>
        <v>252.4</v>
      </c>
      <c r="W134" s="58">
        <f>IF(ISNA(VLOOKUP($CW134,'Audit Values'!$A:$BZ,2,FALSE)),'Preliminary SO66'!AM133,VLOOKUP($CW134,'Audit Values'!$A:$BZ,63,FALSE))</f>
        <v>0.8</v>
      </c>
      <c r="X134" s="58">
        <f>(W134/6)*'Weighting Factors'!$O$7</f>
        <v>0.1</v>
      </c>
      <c r="Y134" s="61">
        <f>IF(ISNA(VLOOKUP($CW134,'Audit Values'!$A:$BZ,2,FALSE)),'Preliminary SO66'!AN133,VLOOKUP($CW134,'Audit Values'!$A:$BZ,62,FALSE))</f>
        <v>2</v>
      </c>
      <c r="Z134" s="58">
        <f>Y134*'Weighting Factors'!$O$8</f>
        <v>0.4</v>
      </c>
      <c r="AA134" s="58">
        <f t="shared" si="99"/>
        <v>0.4</v>
      </c>
      <c r="AB134" s="106">
        <f>IF(ISNA(VLOOKUP($CW134,'Audit Values'!$A:$BZ,2,FALSE)),'Preliminary SO66'!AO133,VLOOKUP($CW134,'Audit Values'!$A:$BZ,61,FALSE))</f>
        <v>178.6</v>
      </c>
      <c r="AC134" s="58">
        <f>AB134/6*'Weighting Factors'!$O$6</f>
        <v>14.9</v>
      </c>
      <c r="AD134" s="24">
        <f>IF(ISNA(VLOOKUP($CW134,'Audit Values'!$A:$BX,2,FALSE)),'Preliminary SO66'!AS133,VLOOKUP($CW134,'Audit Values'!$A:$BX,64,FALSE))</f>
        <v>849</v>
      </c>
      <c r="AE134" s="24">
        <f>IF(ISNA(VLOOKUP($CW134,'Audit Values'!$A:$BX,2,FALSE)),'Preliminary SO66'!AP133,VLOOKUP($CW134,'Audit Values'!$A:$BX,65,FALSE))</f>
        <v>361</v>
      </c>
      <c r="AF134" s="58">
        <f>IF(A134=207, AE134,(AE134))*'Weighting Factors'!$O$9</f>
        <v>174.7</v>
      </c>
      <c r="AG134" s="58">
        <f t="shared" si="96"/>
        <v>19</v>
      </c>
      <c r="AH134" s="58">
        <f>IF(ISNA(VLOOKUP($CW134,'Audit Values'!$A:$BZ,2,FALSE)),'Preliminary SO66'!AG133,VLOOKUP($CW134,'Audit Values'!$A:$BZ,71,FALSE))</f>
        <v>25.3</v>
      </c>
      <c r="AI134" s="58">
        <f t="shared" si="100"/>
        <v>25.3</v>
      </c>
      <c r="AJ134" s="58">
        <f>IF(ISNA(VLOOKUP($CW134,'Audit Values'!$A:$BX,2,FALSE)),'Preliminary SO66'!AR133,VLOOKUP($CW134,'Audit Values'!$A:$BX,66,FALSE))</f>
        <v>580</v>
      </c>
      <c r="AK134" s="24">
        <f t="shared" si="101"/>
        <v>545567</v>
      </c>
      <c r="AL134" s="58">
        <f>AK134/'Weighting Factors'!$O$5</f>
        <v>107.2</v>
      </c>
      <c r="AM134" s="58">
        <f>CJ134/'Weighting Factors'!$O$5</f>
        <v>0</v>
      </c>
      <c r="AN134" s="58">
        <f>CN134/'Weighting Factors'!$O$5</f>
        <v>0</v>
      </c>
      <c r="AO134" s="24">
        <v>678883</v>
      </c>
      <c r="AP134" s="58">
        <f>AO134/'Weighting Factors'!$O$5</f>
        <v>133.4</v>
      </c>
      <c r="AQ134" s="58">
        <f>IF(ISNA(VLOOKUP($CW134,'Audit Values'!$A:$BX,2,FALSE)),'Preliminary SO66'!X133,VLOOKUP($CW134,'Audit Values'!$A:$BX,48,FALSE))</f>
        <v>0</v>
      </c>
      <c r="AR134" s="58">
        <f t="shared" ref="AR134:AR197" si="130">SUM(U134+V134+AA134+AC134+AF134+AI134+AL134+AM134+AP134+AQ134)</f>
        <v>1538.8</v>
      </c>
      <c r="AS134" s="58">
        <f t="shared" ref="AS134:AS197" si="131">SUM(U134+V134+AA134+AC134+AF134+AI134+AL134+AM134+AN134+AQ134)</f>
        <v>1405.4</v>
      </c>
      <c r="AT134" s="58">
        <f>IF(ISNA(VLOOKUP($CW134,'Audit Values'!$A$2:$BX$410,2,FALSE)),'Preliminary SO66'!AA133,VLOOKUP($CW134,'Audit Values'!$A$2:$BX$410,41,FALSE))</f>
        <v>1</v>
      </c>
      <c r="AU134" s="58">
        <f>IF(ISNA(VLOOKUP($CW134,'Audit Values'!$A$2:$BX$410,2,FALSE)),'Preliminary SO66'!AB133,VLOOKUP($CW134,'Audit Values'!$A$2:$BX$410,42,FALSE))</f>
        <v>0</v>
      </c>
      <c r="AV134" s="73">
        <v>0</v>
      </c>
      <c r="AW134" s="73">
        <v>0</v>
      </c>
      <c r="AX134" s="24">
        <f>SUM(AT134*'Weighting Factors'!$R$10)+('2024 Legal Max'!AU134*'Weighting Factors'!$R$11)+('2024 Legal Max'!AV134*'Weighting Factors'!$R$12)+('2024 Legal Max'!AW134*'Weighting Factors'!$R$12)</f>
        <v>5600</v>
      </c>
      <c r="AY134" s="54">
        <v>8</v>
      </c>
      <c r="AZ134" s="54" t="str">
        <f>IF(ISNA(VLOOKUP($CW134,'Audit Values'!$A:$BY,2,FALSE)),"",VLOOKUP($CW134,'Audit Values'!$A:$BY,52,FALSE))</f>
        <v>A</v>
      </c>
      <c r="BA134" s="54" t="str">
        <f>IF('Weighting Factors'!F134="","",IF('Weighting Factors'!H134="Pending","PX","R"))</f>
        <v>R</v>
      </c>
      <c r="BB134" s="60">
        <f>SUM((U134+V134+AA134+AC134+AF134+AI134+AL134+AM134+AQ134+AN134)*'Weighting Factors'!$O$5)+'2024 Legal Max'!AX134</f>
        <v>7156275</v>
      </c>
      <c r="BC134" s="24">
        <f>SUM((AR134+AN134)*'Weighting Factors'!$O$5)+AX134</f>
        <v>7835014</v>
      </c>
      <c r="BD134" s="67">
        <f>IF('Weighting Factors'!F134&gt;0,'Weighting Factors'!F134,'Preliminary SO66'!AV133)</f>
        <v>8094506</v>
      </c>
      <c r="BE134" s="24">
        <f t="shared" si="102"/>
        <v>7835014</v>
      </c>
      <c r="BF134" s="71">
        <f>'Weighting Factors'!E134</f>
        <v>0</v>
      </c>
      <c r="BG134" s="71">
        <f>Transportation!G134</f>
        <v>0</v>
      </c>
      <c r="BH134" s="24">
        <f>IF(ISNA(VLOOKUP($CW134,'Audit Values'!$A:$BW,2,FALSE)), 0, VLOOKUP($CW134,'Audit Values'!$A:$BW,75,FALSE))</f>
        <v>0</v>
      </c>
      <c r="BI134" s="24">
        <f t="shared" si="103"/>
        <v>0</v>
      </c>
      <c r="BJ134" s="24">
        <f t="shared" si="104"/>
        <v>7835014</v>
      </c>
      <c r="BK134" s="24">
        <f>SUM((U134+V134+AA134+AC134+AF134+AI134+AL134+AM134+AN134)*'Weighting Factors'!O$12)+(MAX(AO134,'Weighting Factors'!B134))</f>
        <v>8192940</v>
      </c>
      <c r="BL134" s="78">
        <f>'LOB%'!F132</f>
        <v>0.316</v>
      </c>
      <c r="BM134" s="24">
        <f t="shared" si="111"/>
        <v>2588969</v>
      </c>
      <c r="BN134" s="67">
        <v>2575071</v>
      </c>
      <c r="BO134" s="24">
        <f t="shared" si="105"/>
        <v>2575071</v>
      </c>
      <c r="BP134" s="89">
        <f t="shared" si="112"/>
        <v>0.31430000000000002</v>
      </c>
      <c r="BQ134" s="58">
        <f t="shared" si="113"/>
        <v>0</v>
      </c>
      <c r="BR134" s="1" t="b">
        <f t="shared" si="114"/>
        <v>0</v>
      </c>
      <c r="BS134" s="76">
        <f t="shared" si="115"/>
        <v>0</v>
      </c>
      <c r="BT134" s="75">
        <f t="shared" si="106"/>
        <v>0</v>
      </c>
      <c r="BU134" s="58">
        <f t="shared" si="116"/>
        <v>0</v>
      </c>
      <c r="BV134" s="1" t="b">
        <f t="shared" si="117"/>
        <v>1</v>
      </c>
      <c r="BW134" s="1">
        <f t="shared" si="118"/>
        <v>656.49379999999996</v>
      </c>
      <c r="BX134" s="75">
        <f t="shared" si="107"/>
        <v>0.30395</v>
      </c>
      <c r="BY134" s="58">
        <f t="shared" si="119"/>
        <v>252.4</v>
      </c>
      <c r="BZ134" s="58">
        <f t="shared" si="120"/>
        <v>0</v>
      </c>
      <c r="CA134" s="61">
        <v>169</v>
      </c>
      <c r="CB134" s="102">
        <f t="shared" si="121"/>
        <v>3.4319999999999999</v>
      </c>
      <c r="CC134" s="105">
        <f>IF(CB134&lt;0.06,1,IF(CB134&gt;=18.29,52,MATCH(CB134-0.001,'Weighting Factors'!$W$5:$W$156)+1))</f>
        <v>41</v>
      </c>
      <c r="CD134" s="24">
        <f>VLOOKUP(CC134, 'Weighting Factors'!$U$5:$X$56,4)</f>
        <v>770</v>
      </c>
      <c r="CE134" s="109">
        <f>('Weighting Factors'!$O$5/'Weighting Factors'!$O$14)</f>
        <v>1.2216</v>
      </c>
      <c r="CF134" s="100">
        <f t="shared" si="122"/>
        <v>446600</v>
      </c>
      <c r="CG134" s="100">
        <f>CF134*'Weighting Factors'!$Q$7</f>
        <v>446600</v>
      </c>
      <c r="CH134" s="100">
        <f t="shared" si="108"/>
        <v>545567</v>
      </c>
      <c r="CI134" s="58">
        <f>AK134/'Weighting Factors'!$O$5</f>
        <v>107.2</v>
      </c>
      <c r="CJ134" s="67">
        <v>0</v>
      </c>
      <c r="CK134" s="80">
        <v>0</v>
      </c>
      <c r="CL134" s="110">
        <v>0</v>
      </c>
      <c r="CM134" s="24">
        <f>SUM((AR134*'Weighting Factors'!$O$5)+'2024 Legal Max'!AX134)*CL134</f>
        <v>0</v>
      </c>
      <c r="CN134" s="24">
        <f t="shared" si="109"/>
        <v>0</v>
      </c>
      <c r="CO134" s="65">
        <f t="shared" si="110"/>
        <v>0.42520000000000002</v>
      </c>
      <c r="CP134" s="58">
        <f t="shared" si="123"/>
        <v>0</v>
      </c>
      <c r="CQ134" s="58">
        <f t="shared" si="124"/>
        <v>19</v>
      </c>
      <c r="CR134" s="58">
        <f t="shared" si="125"/>
        <v>1538.8</v>
      </c>
      <c r="CS134" s="24">
        <f>'Required Transfers'!L134</f>
        <v>294073</v>
      </c>
      <c r="CT134" s="24">
        <f>'Required Transfers'!O134</f>
        <v>773</v>
      </c>
      <c r="CU134" s="24">
        <f>'Required Transfers'!H134</f>
        <v>1017600</v>
      </c>
      <c r="CV134" s="58">
        <f t="shared" si="126"/>
        <v>833.1</v>
      </c>
      <c r="CW134" s="27" t="s">
        <v>319</v>
      </c>
    </row>
    <row r="135" spans="1:101" ht="15" customHeight="1">
      <c r="A135" s="54">
        <v>338</v>
      </c>
      <c r="B135" s="1" t="s">
        <v>59</v>
      </c>
      <c r="C135" s="1" t="s">
        <v>640</v>
      </c>
      <c r="D135" s="58">
        <v>378</v>
      </c>
      <c r="E135" s="58"/>
      <c r="F135" s="58">
        <v>0</v>
      </c>
      <c r="G135" s="58">
        <f t="shared" si="127"/>
        <v>378</v>
      </c>
      <c r="H135" s="58">
        <v>382</v>
      </c>
      <c r="I135" s="58"/>
      <c r="J135" s="58">
        <v>0</v>
      </c>
      <c r="K135" s="58">
        <f t="shared" si="128"/>
        <v>382</v>
      </c>
      <c r="L135" s="1">
        <v>374.5</v>
      </c>
      <c r="N135" s="1">
        <v>0</v>
      </c>
      <c r="O135" s="58">
        <f t="shared" si="129"/>
        <v>374.5</v>
      </c>
      <c r="P135" s="58">
        <f>IF(ISNA(VLOOKUP($CW135,'Audit Values'!$A:$BZ,2,FALSE)),'Preliminary SO66'!C134,VLOOKUP($CW135,'Audit Values'!$A:$BZ,76,FALSE))</f>
        <v>366</v>
      </c>
      <c r="Q135" s="58">
        <f>IF(ISNA(VLOOKUP($CW135,'Audit Values'!$A:$BZ,2,FALSE)),'Preliminary SO66'!F134,VLOOKUP($CW135,'Audit Values'!$A:$BZ,4,FALSE))</f>
        <v>0</v>
      </c>
      <c r="R135" s="58">
        <f t="shared" si="97"/>
        <v>366</v>
      </c>
      <c r="S135" s="58">
        <f>IF('Military Provision'!I135="YES", MAX('2024 Legal Max'!O135,'2024 Legal Max'!K135,AVERAGE('2024 Legal Max'!G135,'2024 Legal Max'!K135,'2024 Legal Max'!O135)), MAX(O135, K135))</f>
        <v>382</v>
      </c>
      <c r="T135" s="58">
        <f>IF(ISNA(VLOOKUP($CW135,'Audit Values'!$A:$BX,2,FALSE)),'Preliminary SO66'!AL134,VLOOKUP($CW135,'Audit Values'!$A:$BX,59,FALSE))</f>
        <v>3</v>
      </c>
      <c r="U135" s="58">
        <f t="shared" si="98"/>
        <v>385</v>
      </c>
      <c r="V135" s="58">
        <f>'Low-High ENRL- 2023 HSubSB 113'!N138</f>
        <v>175.3</v>
      </c>
      <c r="W135" s="58">
        <f>IF(ISNA(VLOOKUP($CW135,'Audit Values'!$A:$BZ,2,FALSE)),'Preliminary SO66'!AM134,VLOOKUP($CW135,'Audit Values'!$A:$BZ,63,FALSE))</f>
        <v>0</v>
      </c>
      <c r="X135" s="58">
        <f>(W135/6)*'Weighting Factors'!$O$7</f>
        <v>0</v>
      </c>
      <c r="Y135" s="61">
        <f>IF(ISNA(VLOOKUP($CW135,'Audit Values'!$A:$BZ,2,FALSE)),'Preliminary SO66'!AN134,VLOOKUP($CW135,'Audit Values'!$A:$BZ,62,FALSE))</f>
        <v>0</v>
      </c>
      <c r="Z135" s="58">
        <f>Y135*'Weighting Factors'!$O$8</f>
        <v>0</v>
      </c>
      <c r="AA135" s="58">
        <f t="shared" si="99"/>
        <v>0</v>
      </c>
      <c r="AB135" s="106">
        <f>IF(ISNA(VLOOKUP($CW135,'Audit Values'!$A:$BZ,2,FALSE)),'Preliminary SO66'!AO134,VLOOKUP($CW135,'Audit Values'!$A:$BZ,61,FALSE))</f>
        <v>153.19999999999999</v>
      </c>
      <c r="AC135" s="58">
        <f>AB135/6*'Weighting Factors'!$O$6</f>
        <v>12.8</v>
      </c>
      <c r="AD135" s="24">
        <f>IF(ISNA(VLOOKUP($CW135,'Audit Values'!$A:$BX,2,FALSE)),'Preliminary SO66'!AS134,VLOOKUP($CW135,'Audit Values'!$A:$BX,64,FALSE))</f>
        <v>376</v>
      </c>
      <c r="AE135" s="24">
        <f>IF(ISNA(VLOOKUP($CW135,'Audit Values'!$A:$BX,2,FALSE)),'Preliminary SO66'!AP134,VLOOKUP($CW135,'Audit Values'!$A:$BX,65,FALSE))</f>
        <v>108</v>
      </c>
      <c r="AF135" s="58">
        <f>IF(A135=207, AE135,(AE135))*'Weighting Factors'!$O$9</f>
        <v>52.3</v>
      </c>
      <c r="AG135" s="58">
        <f t="shared" si="96"/>
        <v>0</v>
      </c>
      <c r="AH135" s="58">
        <f>IF(ISNA(VLOOKUP($CW135,'Audit Values'!$A:$BZ,2,FALSE)),'Preliminary SO66'!AG134,VLOOKUP($CW135,'Audit Values'!$A:$BZ,71,FALSE))</f>
        <v>0</v>
      </c>
      <c r="AI135" s="58">
        <f t="shared" si="100"/>
        <v>0</v>
      </c>
      <c r="AJ135" s="58">
        <f>IF(ISNA(VLOOKUP($CW135,'Audit Values'!$A:$BX,2,FALSE)),'Preliminary SO66'!AR134,VLOOKUP($CW135,'Audit Values'!$A:$BX,66,FALSE))</f>
        <v>120</v>
      </c>
      <c r="AK135" s="24">
        <f t="shared" si="101"/>
        <v>139262</v>
      </c>
      <c r="AL135" s="58">
        <f>AK135/'Weighting Factors'!$O$5</f>
        <v>27.4</v>
      </c>
      <c r="AM135" s="58">
        <f>CJ135/'Weighting Factors'!$O$5</f>
        <v>0</v>
      </c>
      <c r="AN135" s="58">
        <f>CN135/'Weighting Factors'!$O$5</f>
        <v>0</v>
      </c>
      <c r="AO135" s="24">
        <v>513547</v>
      </c>
      <c r="AP135" s="58">
        <f>AO135/'Weighting Factors'!$O$5</f>
        <v>100.9</v>
      </c>
      <c r="AQ135" s="58">
        <f>IF(ISNA(VLOOKUP($CW135,'Audit Values'!$A:$BX,2,FALSE)),'Preliminary SO66'!X134,VLOOKUP($CW135,'Audit Values'!$A:$BX,48,FALSE))</f>
        <v>0</v>
      </c>
      <c r="AR135" s="58">
        <f t="shared" si="130"/>
        <v>753.7</v>
      </c>
      <c r="AS135" s="58">
        <f t="shared" si="131"/>
        <v>652.79999999999995</v>
      </c>
      <c r="AT135" s="58">
        <f>IF(ISNA(VLOOKUP($CW135,'Audit Values'!$A$2:$BX$410,2,FALSE)),'Preliminary SO66'!AA134,VLOOKUP($CW135,'Audit Values'!$A$2:$BX$410,41,FALSE))</f>
        <v>0</v>
      </c>
      <c r="AU135" s="58">
        <f>IF(ISNA(VLOOKUP($CW135,'Audit Values'!$A$2:$BX$410,2,FALSE)),'Preliminary SO66'!AB134,VLOOKUP($CW135,'Audit Values'!$A$2:$BX$410,42,FALSE))</f>
        <v>0</v>
      </c>
      <c r="AV135" s="73">
        <v>0</v>
      </c>
      <c r="AW135" s="73">
        <v>0</v>
      </c>
      <c r="AX135" s="24">
        <f>SUM(AT135*'Weighting Factors'!$R$10)+('2024 Legal Max'!AU135*'Weighting Factors'!$R$11)+('2024 Legal Max'!AV135*'Weighting Factors'!$R$12)+('2024 Legal Max'!AW135*'Weighting Factors'!$R$12)</f>
        <v>0</v>
      </c>
      <c r="AY135" s="54">
        <f>IF(ISNA(VLOOKUP($CW135,'Audit Values'!$A$2:$BX$429,2,FALSE)),"",IF(AND('Weighting Factors'!G135&gt;0,VLOOKUP($CW135,'Audit Values'!$A$2:$BX$429,51,FALSE)&lt;'Weighting Factors'!G135),'Weighting Factors'!G135,VLOOKUP($CW135,'Audit Values'!$A$2:$BX$429,51,FALSE)))</f>
        <v>6</v>
      </c>
      <c r="AZ135" s="54" t="str">
        <f>IF(ISNA(VLOOKUP($CW135,'Audit Values'!$A:$BY,2,FALSE)),"",VLOOKUP($CW135,'Audit Values'!$A:$BY,52,FALSE))</f>
        <v>A</v>
      </c>
      <c r="BA135" s="54" t="str">
        <f>IF('Weighting Factors'!F135="","",IF('Weighting Factors'!H135="Pending","PX","R"))</f>
        <v/>
      </c>
      <c r="BB135" s="60">
        <f>SUM((U135+V135+AA135+AC135+AF135+AI135+AL135+AM135+AQ135+AN135)*'Weighting Factors'!$O$5)+'2024 Legal Max'!AX135</f>
        <v>3321446</v>
      </c>
      <c r="BC135" s="24">
        <f>SUM((AR135+AN135)*'Weighting Factors'!$O$5)+AX135</f>
        <v>3834826</v>
      </c>
      <c r="BD135" s="67">
        <f>IF('Weighting Factors'!F135&gt;0,'Weighting Factors'!F135,'Preliminary SO66'!AV134)</f>
        <v>4078541</v>
      </c>
      <c r="BE135" s="24">
        <f t="shared" si="102"/>
        <v>3834826</v>
      </c>
      <c r="BF135" s="71">
        <f>'Weighting Factors'!E135</f>
        <v>0</v>
      </c>
      <c r="BG135" s="71">
        <f>Transportation!G135</f>
        <v>0</v>
      </c>
      <c r="BH135" s="24">
        <f>IF(ISNA(VLOOKUP($CW135,'Audit Values'!$A:$BW,2,FALSE)), 0, VLOOKUP($CW135,'Audit Values'!$A:$BW,75,FALSE))</f>
        <v>-3545</v>
      </c>
      <c r="BI135" s="24">
        <f t="shared" si="103"/>
        <v>-3545</v>
      </c>
      <c r="BJ135" s="24">
        <f t="shared" si="104"/>
        <v>3831281</v>
      </c>
      <c r="BK135" s="24">
        <f>SUM((U135+V135+AA135+AC135+AF135+AI135+AL135+AM135+AN135)*'Weighting Factors'!O$12)+(MAX(AO135,'Weighting Factors'!B135))</f>
        <v>3880689</v>
      </c>
      <c r="BL135" s="78">
        <f>'LOB%'!F133</f>
        <v>0.33</v>
      </c>
      <c r="BM135" s="24">
        <f t="shared" si="111"/>
        <v>1280627</v>
      </c>
      <c r="BN135" s="67">
        <v>1361343</v>
      </c>
      <c r="BO135" s="24">
        <f t="shared" si="105"/>
        <v>1280627</v>
      </c>
      <c r="BP135" s="89">
        <f t="shared" si="112"/>
        <v>0.33</v>
      </c>
      <c r="BQ135" s="58">
        <f t="shared" si="113"/>
        <v>0</v>
      </c>
      <c r="BR135" s="1" t="b">
        <f t="shared" si="114"/>
        <v>0</v>
      </c>
      <c r="BS135" s="76">
        <f t="shared" si="115"/>
        <v>0</v>
      </c>
      <c r="BT135" s="75">
        <f t="shared" si="106"/>
        <v>0</v>
      </c>
      <c r="BU135" s="58">
        <f t="shared" si="116"/>
        <v>0</v>
      </c>
      <c r="BV135" s="1" t="b">
        <f t="shared" si="117"/>
        <v>1</v>
      </c>
      <c r="BW135" s="1">
        <f t="shared" si="118"/>
        <v>105.1875</v>
      </c>
      <c r="BX135" s="75">
        <f t="shared" si="107"/>
        <v>0.45530799999999999</v>
      </c>
      <c r="BY135" s="58">
        <f t="shared" si="119"/>
        <v>175.3</v>
      </c>
      <c r="BZ135" s="58">
        <f t="shared" si="120"/>
        <v>0</v>
      </c>
      <c r="CA135" s="61">
        <v>115</v>
      </c>
      <c r="CB135" s="102">
        <f t="shared" si="121"/>
        <v>1.0429999999999999</v>
      </c>
      <c r="CC135" s="105">
        <f>IF(CB135&lt;0.06,1,IF(CB135&gt;=18.29,52,MATCH(CB135-0.001,'Weighting Factors'!$W$5:$W$156)+1))</f>
        <v>32</v>
      </c>
      <c r="CD135" s="24">
        <f>VLOOKUP(CC135, 'Weighting Factors'!$U$5:$X$56,4)</f>
        <v>950</v>
      </c>
      <c r="CE135" s="109">
        <f>('Weighting Factors'!$O$5/'Weighting Factors'!$O$14)</f>
        <v>1.2216</v>
      </c>
      <c r="CF135" s="100">
        <f t="shared" si="122"/>
        <v>114000</v>
      </c>
      <c r="CG135" s="100">
        <f>CF135*'Weighting Factors'!$Q$7</f>
        <v>114000</v>
      </c>
      <c r="CH135" s="100">
        <f t="shared" si="108"/>
        <v>139262</v>
      </c>
      <c r="CI135" s="58">
        <f>AK135/'Weighting Factors'!$O$5</f>
        <v>27.4</v>
      </c>
      <c r="CJ135" s="67">
        <v>0</v>
      </c>
      <c r="CK135" s="80">
        <v>0</v>
      </c>
      <c r="CL135" s="110">
        <v>0</v>
      </c>
      <c r="CM135" s="24">
        <f>SUM((AR135*'Weighting Factors'!$O$5)+'2024 Legal Max'!AX135)*CL135</f>
        <v>0</v>
      </c>
      <c r="CN135" s="24">
        <f t="shared" si="109"/>
        <v>0</v>
      </c>
      <c r="CO135" s="65">
        <f t="shared" si="110"/>
        <v>0.28720000000000001</v>
      </c>
      <c r="CP135" s="58">
        <f t="shared" si="123"/>
        <v>0</v>
      </c>
      <c r="CQ135" s="58">
        <f t="shared" si="124"/>
        <v>0</v>
      </c>
      <c r="CR135" s="58">
        <f t="shared" si="125"/>
        <v>753.7</v>
      </c>
      <c r="CS135" s="24">
        <f>'Required Transfers'!L135</f>
        <v>89260</v>
      </c>
      <c r="CT135" s="24">
        <f>'Required Transfers'!O135</f>
        <v>0</v>
      </c>
      <c r="CU135" s="24">
        <f>'Required Transfers'!H135</f>
        <v>266102</v>
      </c>
      <c r="CV135" s="58">
        <f t="shared" si="126"/>
        <v>369</v>
      </c>
      <c r="CW135" s="27" t="s">
        <v>320</v>
      </c>
    </row>
    <row r="136" spans="1:101" ht="15" customHeight="1">
      <c r="A136" s="54">
        <v>339</v>
      </c>
      <c r="B136" s="1" t="s">
        <v>59</v>
      </c>
      <c r="C136" s="1" t="s">
        <v>641</v>
      </c>
      <c r="D136" s="58">
        <v>435</v>
      </c>
      <c r="E136" s="58"/>
      <c r="F136" s="58">
        <v>0</v>
      </c>
      <c r="G136" s="58">
        <f t="shared" si="127"/>
        <v>435</v>
      </c>
      <c r="H136" s="58">
        <v>428.5</v>
      </c>
      <c r="I136" s="58"/>
      <c r="J136" s="58">
        <v>0</v>
      </c>
      <c r="K136" s="58">
        <f t="shared" si="128"/>
        <v>428.5</v>
      </c>
      <c r="L136" s="1">
        <v>418.5</v>
      </c>
      <c r="N136" s="1">
        <v>0</v>
      </c>
      <c r="O136" s="58">
        <f t="shared" si="129"/>
        <v>418.5</v>
      </c>
      <c r="P136" s="58">
        <f>IF(ISNA(VLOOKUP($CW136,'Audit Values'!$A:$BZ,2,FALSE)),'Preliminary SO66'!C135,VLOOKUP($CW136,'Audit Values'!$A:$BZ,76,FALSE))</f>
        <v>436.5</v>
      </c>
      <c r="Q136" s="58">
        <f>IF(ISNA(VLOOKUP($CW136,'Audit Values'!$A:$BZ,2,FALSE)),'Preliminary SO66'!F135,VLOOKUP($CW136,'Audit Values'!$A:$BZ,4,FALSE))</f>
        <v>0</v>
      </c>
      <c r="R136" s="58">
        <f t="shared" si="97"/>
        <v>436.5</v>
      </c>
      <c r="S136" s="58">
        <f>IF('Military Provision'!I136="YES", MAX('2024 Legal Max'!O136,'2024 Legal Max'!K136,AVERAGE('2024 Legal Max'!G136,'2024 Legal Max'!K136,'2024 Legal Max'!O136)), MAX(O136, K136))</f>
        <v>428.5</v>
      </c>
      <c r="T136" s="58">
        <f>IF(ISNA(VLOOKUP($CW136,'Audit Values'!$A:$BX,2,FALSE)),'Preliminary SO66'!AL135,VLOOKUP($CW136,'Audit Values'!$A:$BX,59,FALSE))</f>
        <v>5.5</v>
      </c>
      <c r="U136" s="58">
        <f t="shared" si="98"/>
        <v>434</v>
      </c>
      <c r="V136" s="58">
        <f>'Low-High ENRL- 2023 HSubSB 113'!N139</f>
        <v>190.4</v>
      </c>
      <c r="W136" s="58">
        <f>IF(ISNA(VLOOKUP($CW136,'Audit Values'!$A:$BZ,2,FALSE)),'Preliminary SO66'!AM135,VLOOKUP($CW136,'Audit Values'!$A:$BZ,63,FALSE))</f>
        <v>0</v>
      </c>
      <c r="X136" s="58">
        <f>(W136/6)*'Weighting Factors'!$O$7</f>
        <v>0</v>
      </c>
      <c r="Y136" s="61">
        <f>IF(ISNA(VLOOKUP($CW136,'Audit Values'!$A:$BZ,2,FALSE)),'Preliminary SO66'!AN135,VLOOKUP($CW136,'Audit Values'!$A:$BZ,62,FALSE))</f>
        <v>0</v>
      </c>
      <c r="Z136" s="58">
        <f>Y136*'Weighting Factors'!$O$8</f>
        <v>0</v>
      </c>
      <c r="AA136" s="58">
        <f t="shared" si="99"/>
        <v>0</v>
      </c>
      <c r="AB136" s="106">
        <f>IF(ISNA(VLOOKUP($CW136,'Audit Values'!$A:$BZ,2,FALSE)),'Preliminary SO66'!AO135,VLOOKUP($CW136,'Audit Values'!$A:$BZ,61,FALSE))</f>
        <v>135</v>
      </c>
      <c r="AC136" s="58">
        <f>AB136/6*'Weighting Factors'!$O$6</f>
        <v>11.3</v>
      </c>
      <c r="AD136" s="24">
        <f>IF(ISNA(VLOOKUP($CW136,'Audit Values'!$A:$BX,2,FALSE)),'Preliminary SO66'!AS135,VLOOKUP($CW136,'Audit Values'!$A:$BX,64,FALSE))</f>
        <v>449</v>
      </c>
      <c r="AE136" s="24">
        <f>IF(ISNA(VLOOKUP($CW136,'Audit Values'!$A:$BX,2,FALSE)),'Preliminary SO66'!AP135,VLOOKUP($CW136,'Audit Values'!$A:$BX,65,FALSE))</f>
        <v>133</v>
      </c>
      <c r="AF136" s="58">
        <f>IF(A136=207, AE136,(AE136))*'Weighting Factors'!$O$9</f>
        <v>64.400000000000006</v>
      </c>
      <c r="AG136" s="58">
        <f t="shared" si="96"/>
        <v>0</v>
      </c>
      <c r="AH136" s="58">
        <f>IF(ISNA(VLOOKUP($CW136,'Audit Values'!$A:$BZ,2,FALSE)),'Preliminary SO66'!AG135,VLOOKUP($CW136,'Audit Values'!$A:$BZ,71,FALSE))</f>
        <v>0</v>
      </c>
      <c r="AI136" s="58">
        <f t="shared" si="100"/>
        <v>0</v>
      </c>
      <c r="AJ136" s="58">
        <f>IF(ISNA(VLOOKUP($CW136,'Audit Values'!$A:$BX,2,FALSE)),'Preliminary SO66'!AR135,VLOOKUP($CW136,'Audit Values'!$A:$BX,66,FALSE))</f>
        <v>203.5</v>
      </c>
      <c r="AK136" s="24">
        <f t="shared" si="101"/>
        <v>216278</v>
      </c>
      <c r="AL136" s="58">
        <f>AK136/'Weighting Factors'!$O$5</f>
        <v>42.5</v>
      </c>
      <c r="AM136" s="58">
        <f>CJ136/'Weighting Factors'!$O$5</f>
        <v>0</v>
      </c>
      <c r="AN136" s="58">
        <f>CN136/'Weighting Factors'!$O$5</f>
        <v>0</v>
      </c>
      <c r="AO136" s="24">
        <v>674693</v>
      </c>
      <c r="AP136" s="58">
        <f>AO136/'Weighting Factors'!$O$5</f>
        <v>132.6</v>
      </c>
      <c r="AQ136" s="58">
        <f>IF(ISNA(VLOOKUP($CW136,'Audit Values'!$A:$BX,2,FALSE)),'Preliminary SO66'!X135,VLOOKUP($CW136,'Audit Values'!$A:$BX,48,FALSE))</f>
        <v>0</v>
      </c>
      <c r="AR136" s="58">
        <f t="shared" si="130"/>
        <v>875.2</v>
      </c>
      <c r="AS136" s="58">
        <f t="shared" si="131"/>
        <v>742.6</v>
      </c>
      <c r="AT136" s="58">
        <f>IF(ISNA(VLOOKUP($CW136,'Audit Values'!$A$2:$BX$410,2,FALSE)),'Preliminary SO66'!AA135,VLOOKUP($CW136,'Audit Values'!$A$2:$BX$410,41,FALSE))</f>
        <v>1</v>
      </c>
      <c r="AU136" s="58">
        <f>IF(ISNA(VLOOKUP($CW136,'Audit Values'!$A$2:$BX$410,2,FALSE)),'Preliminary SO66'!AB135,VLOOKUP($CW136,'Audit Values'!$A$2:$BX$410,42,FALSE))</f>
        <v>0</v>
      </c>
      <c r="AV136" s="73">
        <v>0</v>
      </c>
      <c r="AW136" s="73">
        <v>0</v>
      </c>
      <c r="AX136" s="24">
        <f>SUM(AT136*'Weighting Factors'!$R$10)+('2024 Legal Max'!AU136*'Weighting Factors'!$R$11)+('2024 Legal Max'!AV136*'Weighting Factors'!$R$12)+('2024 Legal Max'!AW136*'Weighting Factors'!$R$12)</f>
        <v>5600</v>
      </c>
      <c r="AY136" s="54">
        <f>IF(ISNA(VLOOKUP($CW136,'Audit Values'!$A$2:$BX$429,2,FALSE)),"",IF(AND('Weighting Factors'!G136&gt;0,VLOOKUP($CW136,'Audit Values'!$A$2:$BX$429,51,FALSE)&lt;'Weighting Factors'!G136),'Weighting Factors'!G136,VLOOKUP($CW136,'Audit Values'!$A$2:$BX$429,51,FALSE)))</f>
        <v>18</v>
      </c>
      <c r="AZ136" s="54" t="str">
        <f>IF(ISNA(VLOOKUP($CW136,'Audit Values'!$A:$BY,2,FALSE)),"",VLOOKUP($CW136,'Audit Values'!$A:$BY,52,FALSE))</f>
        <v>A</v>
      </c>
      <c r="BA136" s="54" t="str">
        <f>IF('Weighting Factors'!F136="","",IF('Weighting Factors'!H136="Pending","PX","R"))</f>
        <v/>
      </c>
      <c r="BB136" s="60">
        <f>SUM((U136+V136+AA136+AC136+AF136+AI136+AL136+AM136+AQ136+AN136)*'Weighting Factors'!$O$5)+'2024 Legal Max'!AX136</f>
        <v>3783949</v>
      </c>
      <c r="BC136" s="24">
        <f>SUM((AR136+AN136)*'Weighting Factors'!$O$5)+AX136</f>
        <v>4458618</v>
      </c>
      <c r="BD136" s="67">
        <f>IF('Weighting Factors'!F136&gt;0,'Weighting Factors'!F136,'Preliminary SO66'!AV135)</f>
        <v>4624998</v>
      </c>
      <c r="BE136" s="24">
        <f t="shared" si="102"/>
        <v>4458618</v>
      </c>
      <c r="BF136" s="71">
        <f>'Weighting Factors'!E136</f>
        <v>0</v>
      </c>
      <c r="BG136" s="71">
        <f>Transportation!G136</f>
        <v>0</v>
      </c>
      <c r="BH136" s="24">
        <f>IF(ISNA(VLOOKUP($CW136,'Audit Values'!$A:$BW,2,FALSE)), 0, VLOOKUP($CW136,'Audit Values'!$A:$BW,75,FALSE))</f>
        <v>-3545</v>
      </c>
      <c r="BI136" s="24">
        <f t="shared" si="103"/>
        <v>-3545</v>
      </c>
      <c r="BJ136" s="24">
        <f t="shared" si="104"/>
        <v>4455073</v>
      </c>
      <c r="BK136" s="24">
        <f>SUM((U136+V136+AA136+AC136+AF136+AI136+AL136+AM136+AN136)*'Weighting Factors'!O$12)+(MAX(AO136,'Weighting Factors'!B136))</f>
        <v>4505024</v>
      </c>
      <c r="BL136" s="78">
        <f>'LOB%'!F134</f>
        <v>0.33</v>
      </c>
      <c r="BM136" s="24">
        <f t="shared" si="111"/>
        <v>1486658</v>
      </c>
      <c r="BN136" s="67">
        <v>1539923</v>
      </c>
      <c r="BO136" s="24">
        <f t="shared" si="105"/>
        <v>1486658</v>
      </c>
      <c r="BP136" s="89">
        <f t="shared" si="112"/>
        <v>0.33</v>
      </c>
      <c r="BQ136" s="58">
        <f t="shared" si="113"/>
        <v>0</v>
      </c>
      <c r="BR136" s="1" t="b">
        <f t="shared" si="114"/>
        <v>0</v>
      </c>
      <c r="BS136" s="76">
        <f t="shared" si="115"/>
        <v>0</v>
      </c>
      <c r="BT136" s="75">
        <f t="shared" si="106"/>
        <v>0</v>
      </c>
      <c r="BU136" s="58">
        <f t="shared" si="116"/>
        <v>0</v>
      </c>
      <c r="BV136" s="1" t="b">
        <f t="shared" si="117"/>
        <v>1</v>
      </c>
      <c r="BW136" s="1">
        <f t="shared" si="118"/>
        <v>165.82499999999999</v>
      </c>
      <c r="BX136" s="75">
        <f t="shared" si="107"/>
        <v>0.43865999999999999</v>
      </c>
      <c r="BY136" s="58">
        <f t="shared" si="119"/>
        <v>190.4</v>
      </c>
      <c r="BZ136" s="58">
        <f t="shared" si="120"/>
        <v>0</v>
      </c>
      <c r="CA136" s="61">
        <v>114</v>
      </c>
      <c r="CB136" s="102">
        <f t="shared" si="121"/>
        <v>1.7849999999999999</v>
      </c>
      <c r="CC136" s="105">
        <f>IF(CB136&lt;0.06,1,IF(CB136&gt;=18.29,52,MATCH(CB136-0.001,'Weighting Factors'!$W$5:$W$156)+1))</f>
        <v>36</v>
      </c>
      <c r="CD136" s="24">
        <f>VLOOKUP(CC136, 'Weighting Factors'!$U$5:$X$56,4)</f>
        <v>870</v>
      </c>
      <c r="CE136" s="109">
        <f>('Weighting Factors'!$O$5/'Weighting Factors'!$O$14)</f>
        <v>1.2216</v>
      </c>
      <c r="CF136" s="100">
        <f t="shared" si="122"/>
        <v>177045</v>
      </c>
      <c r="CG136" s="100">
        <f>CF136*'Weighting Factors'!$Q$7</f>
        <v>177045</v>
      </c>
      <c r="CH136" s="100">
        <f t="shared" si="108"/>
        <v>216278</v>
      </c>
      <c r="CI136" s="58">
        <f>AK136/'Weighting Factors'!$O$5</f>
        <v>42.5</v>
      </c>
      <c r="CJ136" s="67">
        <v>0</v>
      </c>
      <c r="CK136" s="80">
        <v>0</v>
      </c>
      <c r="CL136" s="110">
        <v>0</v>
      </c>
      <c r="CM136" s="24">
        <f>SUM((AR136*'Weighting Factors'!$O$5)+'2024 Legal Max'!AX136)*CL136</f>
        <v>0</v>
      </c>
      <c r="CN136" s="24">
        <f t="shared" si="109"/>
        <v>0</v>
      </c>
      <c r="CO136" s="65">
        <f t="shared" si="110"/>
        <v>0.29620000000000002</v>
      </c>
      <c r="CP136" s="58">
        <f t="shared" si="123"/>
        <v>0</v>
      </c>
      <c r="CQ136" s="58">
        <f t="shared" si="124"/>
        <v>0</v>
      </c>
      <c r="CR136" s="58">
        <f t="shared" si="125"/>
        <v>875.2</v>
      </c>
      <c r="CS136" s="24">
        <f>'Required Transfers'!L136</f>
        <v>110013</v>
      </c>
      <c r="CT136" s="24">
        <f>'Required Transfers'!O136</f>
        <v>0</v>
      </c>
      <c r="CU136" s="24">
        <f>'Required Transfers'!H136</f>
        <v>327667</v>
      </c>
      <c r="CV136" s="58">
        <f t="shared" si="126"/>
        <v>443</v>
      </c>
      <c r="CW136" s="27" t="s">
        <v>321</v>
      </c>
    </row>
    <row r="137" spans="1:101" ht="15" customHeight="1">
      <c r="A137" s="54">
        <v>340</v>
      </c>
      <c r="B137" s="1" t="s">
        <v>59</v>
      </c>
      <c r="C137" s="1" t="s">
        <v>642</v>
      </c>
      <c r="D137" s="58">
        <v>826.5</v>
      </c>
      <c r="E137" s="58"/>
      <c r="F137" s="58">
        <v>0</v>
      </c>
      <c r="G137" s="58">
        <f t="shared" si="127"/>
        <v>826.5</v>
      </c>
      <c r="H137" s="58">
        <v>792.5</v>
      </c>
      <c r="I137" s="58"/>
      <c r="J137" s="58">
        <v>0</v>
      </c>
      <c r="K137" s="58">
        <f t="shared" si="128"/>
        <v>792.5</v>
      </c>
      <c r="L137" s="1">
        <v>817.5</v>
      </c>
      <c r="N137" s="1">
        <v>0</v>
      </c>
      <c r="O137" s="58">
        <f t="shared" si="129"/>
        <v>817.5</v>
      </c>
      <c r="P137" s="58">
        <f>IF(ISNA(VLOOKUP($CW137,'Audit Values'!$A:$BZ,2,FALSE)),'Preliminary SO66'!C136,VLOOKUP($CW137,'Audit Values'!$A:$BZ,76,FALSE))</f>
        <v>835.4</v>
      </c>
      <c r="Q137" s="58">
        <f>IF(ISNA(VLOOKUP($CW137,'Audit Values'!$A:$BZ,2,FALSE)),'Preliminary SO66'!F136,VLOOKUP($CW137,'Audit Values'!$A:$BZ,4,FALSE))</f>
        <v>0</v>
      </c>
      <c r="R137" s="58">
        <f t="shared" si="97"/>
        <v>835.4</v>
      </c>
      <c r="S137" s="58">
        <f>IF('Military Provision'!I137="YES", MAX('2024 Legal Max'!O137,'2024 Legal Max'!K137,AVERAGE('2024 Legal Max'!G137,'2024 Legal Max'!K137,'2024 Legal Max'!O137)), MAX(O137, K137))</f>
        <v>817.5</v>
      </c>
      <c r="T137" s="58">
        <f>IF(ISNA(VLOOKUP($CW137,'Audit Values'!$A:$BX,2,FALSE)),'Preliminary SO66'!AL136,VLOOKUP($CW137,'Audit Values'!$A:$BX,59,FALSE))</f>
        <v>0</v>
      </c>
      <c r="U137" s="58">
        <f t="shared" si="98"/>
        <v>817.5</v>
      </c>
      <c r="V137" s="58">
        <f>'Low-High ENRL- 2023 HSubSB 113'!N140</f>
        <v>252.1</v>
      </c>
      <c r="W137" s="58">
        <f>IF(ISNA(VLOOKUP($CW137,'Audit Values'!$A:$BZ,2,FALSE)),'Preliminary SO66'!AM136,VLOOKUP($CW137,'Audit Values'!$A:$BZ,63,FALSE))</f>
        <v>0</v>
      </c>
      <c r="X137" s="58">
        <f>(W137/6)*'Weighting Factors'!$O$7</f>
        <v>0</v>
      </c>
      <c r="Y137" s="61">
        <f>IF(ISNA(VLOOKUP($CW137,'Audit Values'!$A:$BZ,2,FALSE)),'Preliminary SO66'!AN136,VLOOKUP($CW137,'Audit Values'!$A:$BZ,62,FALSE))</f>
        <v>1</v>
      </c>
      <c r="Z137" s="58">
        <f>Y137*'Weighting Factors'!$O$8</f>
        <v>0.2</v>
      </c>
      <c r="AA137" s="58">
        <f t="shared" si="99"/>
        <v>0.2</v>
      </c>
      <c r="AB137" s="106">
        <f>IF(ISNA(VLOOKUP($CW137,'Audit Values'!$A:$BZ,2,FALSE)),'Preliminary SO66'!AO136,VLOOKUP($CW137,'Audit Values'!$A:$BZ,61,FALSE))</f>
        <v>222</v>
      </c>
      <c r="AC137" s="58">
        <f>AB137/6*'Weighting Factors'!$O$6</f>
        <v>18.5</v>
      </c>
      <c r="AD137" s="24">
        <f>IF(ISNA(VLOOKUP($CW137,'Audit Values'!$A:$BX,2,FALSE)),'Preliminary SO66'!AS136,VLOOKUP($CW137,'Audit Values'!$A:$BX,64,FALSE))</f>
        <v>846</v>
      </c>
      <c r="AE137" s="24">
        <f>IF(ISNA(VLOOKUP($CW137,'Audit Values'!$A:$BX,2,FALSE)),'Preliminary SO66'!AP136,VLOOKUP($CW137,'Audit Values'!$A:$BX,65,FALSE))</f>
        <v>212</v>
      </c>
      <c r="AF137" s="58">
        <f>IF(A137=207, AE137,(AE137))*'Weighting Factors'!$O$9</f>
        <v>102.6</v>
      </c>
      <c r="AG137" s="58">
        <f t="shared" si="96"/>
        <v>0</v>
      </c>
      <c r="AH137" s="58">
        <f>IF(ISNA(VLOOKUP($CW137,'Audit Values'!$A:$BZ,2,FALSE)),'Preliminary SO66'!AG136,VLOOKUP($CW137,'Audit Values'!$A:$BZ,71,FALSE))</f>
        <v>0</v>
      </c>
      <c r="AI137" s="58">
        <f t="shared" si="100"/>
        <v>0</v>
      </c>
      <c r="AJ137" s="58">
        <f>IF(ISNA(VLOOKUP($CW137,'Audit Values'!$A:$BX,2,FALSE)),'Preliminary SO66'!AR136,VLOOKUP($CW137,'Audit Values'!$A:$BX,66,FALSE))</f>
        <v>438</v>
      </c>
      <c r="AK137" s="24">
        <f t="shared" si="101"/>
        <v>358491</v>
      </c>
      <c r="AL137" s="58">
        <f>AK137/'Weighting Factors'!$O$5</f>
        <v>70.5</v>
      </c>
      <c r="AM137" s="58">
        <f>CJ137/'Weighting Factors'!$O$5</f>
        <v>0</v>
      </c>
      <c r="AN137" s="58">
        <f>CN137/'Weighting Factors'!$O$5</f>
        <v>0</v>
      </c>
      <c r="AO137" s="24">
        <v>1079448</v>
      </c>
      <c r="AP137" s="58">
        <f>AO137/'Weighting Factors'!$O$5</f>
        <v>212.2</v>
      </c>
      <c r="AQ137" s="58">
        <f>IF(ISNA(VLOOKUP($CW137,'Audit Values'!$A:$BX,2,FALSE)),'Preliminary SO66'!X136,VLOOKUP($CW137,'Audit Values'!$A:$BX,48,FALSE))</f>
        <v>0</v>
      </c>
      <c r="AR137" s="58">
        <f t="shared" si="130"/>
        <v>1473.6</v>
      </c>
      <c r="AS137" s="58">
        <f t="shared" si="131"/>
        <v>1261.4000000000001</v>
      </c>
      <c r="AT137" s="58">
        <f>IF(ISNA(VLOOKUP($CW137,'Audit Values'!$A$2:$BX$410,2,FALSE)),'Preliminary SO66'!AA136,VLOOKUP($CW137,'Audit Values'!$A$2:$BX$410,41,FALSE))</f>
        <v>742</v>
      </c>
      <c r="AU137" s="58">
        <f>IF(ISNA(VLOOKUP($CW137,'Audit Values'!$A$2:$BX$410,2,FALSE)),'Preliminary SO66'!AB136,VLOOKUP($CW137,'Audit Values'!$A$2:$BX$410,42,FALSE))</f>
        <v>35.200000000000003</v>
      </c>
      <c r="AV137" s="73">
        <v>70</v>
      </c>
      <c r="AW137" s="73">
        <v>0</v>
      </c>
      <c r="AX137" s="24">
        <f>SUM(AT137*'Weighting Factors'!$R$10)+('2024 Legal Max'!AU137*'Weighting Factors'!$R$11)+('2024 Legal Max'!AV137*'Weighting Factors'!$R$12)+('2024 Legal Max'!AW137*'Weighting Factors'!$R$12)</f>
        <v>4303390</v>
      </c>
      <c r="AY137" s="54">
        <v>14</v>
      </c>
      <c r="AZ137" s="54" t="str">
        <f>IF(ISNA(VLOOKUP($CW137,'Audit Values'!$A:$BY,2,FALSE)),"",VLOOKUP($CW137,'Audit Values'!$A:$BY,52,FALSE))</f>
        <v>A</v>
      </c>
      <c r="BA137" s="54" t="str">
        <f>IF('Weighting Factors'!F137="","",IF('Weighting Factors'!H137="Pending","PX","R"))</f>
        <v>R</v>
      </c>
      <c r="BB137" s="60">
        <f>SUM((U137+V137+AA137+AC137+AF137+AI137+AL137+AM137+AQ137+AN137)*'Weighting Factors'!$O$5)+'2024 Legal Max'!AX137</f>
        <v>10721393</v>
      </c>
      <c r="BC137" s="24">
        <f>SUM((AR137+AN137)*'Weighting Factors'!$O$5)+AX137</f>
        <v>11801067</v>
      </c>
      <c r="BD137" s="67">
        <f>IF('Weighting Factors'!F137&gt;0,'Weighting Factors'!F137,'Preliminary SO66'!AV136)</f>
        <v>12600932</v>
      </c>
      <c r="BE137" s="24">
        <f t="shared" si="102"/>
        <v>11801067</v>
      </c>
      <c r="BF137" s="71">
        <f>'Weighting Factors'!E137</f>
        <v>0</v>
      </c>
      <c r="BG137" s="71">
        <f>Transportation!G137</f>
        <v>0</v>
      </c>
      <c r="BH137" s="24">
        <f>IF(ISNA(VLOOKUP($CW137,'Audit Values'!$A:$BW,2,FALSE)), 0, VLOOKUP($CW137,'Audit Values'!$A:$BW,75,FALSE))</f>
        <v>-1064</v>
      </c>
      <c r="BI137" s="24">
        <f t="shared" si="103"/>
        <v>-1064</v>
      </c>
      <c r="BJ137" s="24">
        <f t="shared" si="104"/>
        <v>11800003</v>
      </c>
      <c r="BK137" s="24">
        <f>SUM((U137+V137+AA137+AC137+AF137+AI137+AL137+AM137+AN137)*'Weighting Factors'!O$12)+(MAX(AO137,'Weighting Factors'!B137))</f>
        <v>7585749</v>
      </c>
      <c r="BL137" s="78">
        <f>'LOB%'!F135</f>
        <v>0.33</v>
      </c>
      <c r="BM137" s="24">
        <f t="shared" si="111"/>
        <v>2503297</v>
      </c>
      <c r="BN137" s="67">
        <v>2572525</v>
      </c>
      <c r="BO137" s="24">
        <f t="shared" si="105"/>
        <v>2503297</v>
      </c>
      <c r="BP137" s="89">
        <f t="shared" si="112"/>
        <v>0.33</v>
      </c>
      <c r="BQ137" s="58">
        <f t="shared" si="113"/>
        <v>0</v>
      </c>
      <c r="BR137" s="1" t="b">
        <f t="shared" si="114"/>
        <v>0</v>
      </c>
      <c r="BS137" s="76">
        <f t="shared" si="115"/>
        <v>0</v>
      </c>
      <c r="BT137" s="75">
        <f t="shared" si="106"/>
        <v>0</v>
      </c>
      <c r="BU137" s="58">
        <f t="shared" si="116"/>
        <v>0</v>
      </c>
      <c r="BV137" s="1" t="b">
        <f t="shared" si="117"/>
        <v>1</v>
      </c>
      <c r="BW137" s="1">
        <f t="shared" si="118"/>
        <v>640.40629999999999</v>
      </c>
      <c r="BX137" s="75">
        <f t="shared" si="107"/>
        <v>0.30836599999999997</v>
      </c>
      <c r="BY137" s="58">
        <f t="shared" si="119"/>
        <v>252.1</v>
      </c>
      <c r="BZ137" s="58">
        <f t="shared" si="120"/>
        <v>0</v>
      </c>
      <c r="CA137" s="61">
        <v>68</v>
      </c>
      <c r="CB137" s="102">
        <f t="shared" si="121"/>
        <v>6.4409999999999998</v>
      </c>
      <c r="CC137" s="105">
        <f>IF(CB137&lt;0.06,1,IF(CB137&gt;=18.29,52,MATCH(CB137-0.001,'Weighting Factors'!$W$5:$W$156)+1))</f>
        <v>46</v>
      </c>
      <c r="CD137" s="24">
        <f>VLOOKUP(CC137, 'Weighting Factors'!$U$5:$X$56,4)</f>
        <v>670</v>
      </c>
      <c r="CE137" s="109">
        <f>('Weighting Factors'!$O$5/'Weighting Factors'!$O$14)</f>
        <v>1.2216</v>
      </c>
      <c r="CF137" s="100">
        <f t="shared" si="122"/>
        <v>293460</v>
      </c>
      <c r="CG137" s="100">
        <f>CF137*'Weighting Factors'!$Q$7</f>
        <v>293460</v>
      </c>
      <c r="CH137" s="100">
        <f t="shared" si="108"/>
        <v>358491</v>
      </c>
      <c r="CI137" s="58">
        <f>AK137/'Weighting Factors'!$O$5</f>
        <v>70.5</v>
      </c>
      <c r="CJ137" s="67">
        <v>0</v>
      </c>
      <c r="CK137" s="80">
        <v>0</v>
      </c>
      <c r="CL137" s="110">
        <v>0</v>
      </c>
      <c r="CM137" s="24">
        <f>SUM((AR137*'Weighting Factors'!$O$5)+'2024 Legal Max'!AX137)*CL137</f>
        <v>0</v>
      </c>
      <c r="CN137" s="24">
        <f t="shared" si="109"/>
        <v>0</v>
      </c>
      <c r="CO137" s="65">
        <f t="shared" si="110"/>
        <v>0.25059999999999999</v>
      </c>
      <c r="CP137" s="58">
        <f t="shared" si="123"/>
        <v>0</v>
      </c>
      <c r="CQ137" s="58">
        <f t="shared" si="124"/>
        <v>0</v>
      </c>
      <c r="CR137" s="58">
        <f t="shared" si="125"/>
        <v>1473.6</v>
      </c>
      <c r="CS137" s="24">
        <f>'Required Transfers'!L137</f>
        <v>174229</v>
      </c>
      <c r="CT137" s="24">
        <f>'Required Transfers'!O137</f>
        <v>250</v>
      </c>
      <c r="CU137" s="24">
        <f>'Required Transfers'!H137</f>
        <v>522029</v>
      </c>
      <c r="CV137" s="58">
        <f t="shared" si="126"/>
        <v>1624.3</v>
      </c>
      <c r="CW137" s="27" t="s">
        <v>322</v>
      </c>
    </row>
    <row r="138" spans="1:101" ht="15" customHeight="1">
      <c r="A138" s="54">
        <v>341</v>
      </c>
      <c r="B138" s="1" t="s">
        <v>59</v>
      </c>
      <c r="C138" s="1" t="s">
        <v>643</v>
      </c>
      <c r="D138" s="58">
        <v>552.5</v>
      </c>
      <c r="E138" s="58"/>
      <c r="F138" s="58">
        <v>0</v>
      </c>
      <c r="G138" s="58">
        <f t="shared" si="127"/>
        <v>552.5</v>
      </c>
      <c r="H138" s="58">
        <v>569</v>
      </c>
      <c r="I138" s="58"/>
      <c r="J138" s="58">
        <v>0</v>
      </c>
      <c r="K138" s="58">
        <f t="shared" si="128"/>
        <v>569</v>
      </c>
      <c r="L138" s="1">
        <v>522.9</v>
      </c>
      <c r="N138" s="1">
        <v>0</v>
      </c>
      <c r="O138" s="58">
        <f t="shared" si="129"/>
        <v>522.9</v>
      </c>
      <c r="P138" s="58">
        <f>IF(ISNA(VLOOKUP($CW138,'Audit Values'!$A:$BZ,2,FALSE)),'Preliminary SO66'!C137,VLOOKUP($CW138,'Audit Values'!$A:$BZ,76,FALSE))</f>
        <v>508.5</v>
      </c>
      <c r="Q138" s="58">
        <f>IF(ISNA(VLOOKUP($CW138,'Audit Values'!$A:$BZ,2,FALSE)),'Preliminary SO66'!F137,VLOOKUP($CW138,'Audit Values'!$A:$BZ,4,FALSE))</f>
        <v>0</v>
      </c>
      <c r="R138" s="58">
        <f t="shared" si="97"/>
        <v>508.5</v>
      </c>
      <c r="S138" s="58">
        <f>IF('Military Provision'!I138="YES", MAX('2024 Legal Max'!O138,'2024 Legal Max'!K138,AVERAGE('2024 Legal Max'!G138,'2024 Legal Max'!K138,'2024 Legal Max'!O138)), MAX(O138, K138))</f>
        <v>569</v>
      </c>
      <c r="T138" s="58">
        <f>IF(ISNA(VLOOKUP($CW138,'Audit Values'!$A:$BX,2,FALSE)),'Preliminary SO66'!AL137,VLOOKUP($CW138,'Audit Values'!$A:$BX,59,FALSE))</f>
        <v>12</v>
      </c>
      <c r="U138" s="58">
        <f t="shared" si="98"/>
        <v>581</v>
      </c>
      <c r="V138" s="58">
        <f>'Low-High ENRL- 2023 HSubSB 113'!N141</f>
        <v>225.8</v>
      </c>
      <c r="W138" s="58">
        <f>IF(ISNA(VLOOKUP($CW138,'Audit Values'!$A:$BZ,2,FALSE)),'Preliminary SO66'!AM137,VLOOKUP($CW138,'Audit Values'!$A:$BZ,63,FALSE))</f>
        <v>0</v>
      </c>
      <c r="X138" s="58">
        <f>(W138/6)*'Weighting Factors'!$O$7</f>
        <v>0</v>
      </c>
      <c r="Y138" s="61">
        <f>IF(ISNA(VLOOKUP($CW138,'Audit Values'!$A:$BZ,2,FALSE)),'Preliminary SO66'!AN137,VLOOKUP($CW138,'Audit Values'!$A:$BZ,62,FALSE))</f>
        <v>0</v>
      </c>
      <c r="Z138" s="58">
        <f>Y138*'Weighting Factors'!$O$8</f>
        <v>0</v>
      </c>
      <c r="AA138" s="58">
        <f t="shared" si="99"/>
        <v>0</v>
      </c>
      <c r="AB138" s="106">
        <f>IF(ISNA(VLOOKUP($CW138,'Audit Values'!$A:$BZ,2,FALSE)),'Preliminary SO66'!AO137,VLOOKUP($CW138,'Audit Values'!$A:$BZ,61,FALSE))</f>
        <v>16.2</v>
      </c>
      <c r="AC138" s="58">
        <f>AB138/6*'Weighting Factors'!$O$6</f>
        <v>1.4</v>
      </c>
      <c r="AD138" s="24">
        <f>IF(ISNA(VLOOKUP($CW138,'Audit Values'!$A:$BX,2,FALSE)),'Preliminary SO66'!AS137,VLOOKUP($CW138,'Audit Values'!$A:$BX,64,FALSE))</f>
        <v>534</v>
      </c>
      <c r="AE138" s="24">
        <f>IF(ISNA(VLOOKUP($CW138,'Audit Values'!$A:$BX,2,FALSE)),'Preliminary SO66'!AP137,VLOOKUP($CW138,'Audit Values'!$A:$BX,65,FALSE))</f>
        <v>196</v>
      </c>
      <c r="AF138" s="58">
        <f>IF(A138=207, AE138,(AE138))*'Weighting Factors'!$O$9</f>
        <v>94.9</v>
      </c>
      <c r="AG138" s="58">
        <f t="shared" si="96"/>
        <v>2.2999999999999998</v>
      </c>
      <c r="AH138" s="58">
        <f>IF(ISNA(VLOOKUP($CW138,'Audit Values'!$A:$BZ,2,FALSE)),'Preliminary SO66'!AG137,VLOOKUP($CW138,'Audit Values'!$A:$BZ,71,FALSE))</f>
        <v>2.6</v>
      </c>
      <c r="AI138" s="58">
        <f t="shared" si="100"/>
        <v>2.6</v>
      </c>
      <c r="AJ138" s="58">
        <f>IF(ISNA(VLOOKUP($CW138,'Audit Values'!$A:$BX,2,FALSE)),'Preliminary SO66'!AR137,VLOOKUP($CW138,'Audit Values'!$A:$BX,66,FALSE))</f>
        <v>234.5</v>
      </c>
      <c r="AK138" s="24">
        <f t="shared" si="101"/>
        <v>232037</v>
      </c>
      <c r="AL138" s="58">
        <f>AK138/'Weighting Factors'!$O$5</f>
        <v>45.6</v>
      </c>
      <c r="AM138" s="58">
        <f>CJ138/'Weighting Factors'!$O$5</f>
        <v>0</v>
      </c>
      <c r="AN138" s="58">
        <f>CN138/'Weighting Factors'!$O$5</f>
        <v>0</v>
      </c>
      <c r="AO138" s="24">
        <v>903268</v>
      </c>
      <c r="AP138" s="58">
        <f>AO138/'Weighting Factors'!$O$5</f>
        <v>177.5</v>
      </c>
      <c r="AQ138" s="58">
        <f>IF(ISNA(VLOOKUP($CW138,'Audit Values'!$A:$BX,2,FALSE)),'Preliminary SO66'!X137,VLOOKUP($CW138,'Audit Values'!$A:$BX,48,FALSE))</f>
        <v>0</v>
      </c>
      <c r="AR138" s="58">
        <f t="shared" si="130"/>
        <v>1128.8</v>
      </c>
      <c r="AS138" s="58">
        <f t="shared" si="131"/>
        <v>951.3</v>
      </c>
      <c r="AT138" s="58">
        <f>IF(ISNA(VLOOKUP($CW138,'Audit Values'!$A$2:$BX$410,2,FALSE)),'Preliminary SO66'!AA137,VLOOKUP($CW138,'Audit Values'!$A$2:$BX$410,41,FALSE))</f>
        <v>0</v>
      </c>
      <c r="AU138" s="58">
        <f>IF(ISNA(VLOOKUP($CW138,'Audit Values'!$A$2:$BX$410,2,FALSE)),'Preliminary SO66'!AB137,VLOOKUP($CW138,'Audit Values'!$A$2:$BX$410,42,FALSE))</f>
        <v>0</v>
      </c>
      <c r="AV138" s="73">
        <v>0</v>
      </c>
      <c r="AW138" s="73">
        <v>0</v>
      </c>
      <c r="AX138" s="24">
        <f>SUM(AT138*'Weighting Factors'!$R$10)+('2024 Legal Max'!AU138*'Weighting Factors'!$R$11)+('2024 Legal Max'!AV138*'Weighting Factors'!$R$12)+('2024 Legal Max'!AW138*'Weighting Factors'!$R$12)</f>
        <v>0</v>
      </c>
      <c r="AY138" s="54">
        <f>IF(ISNA(VLOOKUP($CW138,'Audit Values'!$A$2:$BX$429,2,FALSE)),"",IF(AND('Weighting Factors'!G138&gt;0,VLOOKUP($CW138,'Audit Values'!$A$2:$BX$429,51,FALSE)&lt;'Weighting Factors'!G138),'Weighting Factors'!G138,VLOOKUP($CW138,'Audit Values'!$A$2:$BX$429,51,FALSE)))</f>
        <v>17</v>
      </c>
      <c r="AZ138" s="54" t="str">
        <f>IF(ISNA(VLOOKUP($CW138,'Audit Values'!$A:$BY,2,FALSE)),"",VLOOKUP($CW138,'Audit Values'!$A:$BY,52,FALSE))</f>
        <v>A</v>
      </c>
      <c r="BA138" s="54" t="str">
        <f>IF('Weighting Factors'!F138="","",IF('Weighting Factors'!H138="Pending","PX","R"))</f>
        <v/>
      </c>
      <c r="BB138" s="60">
        <f>SUM((U138+V138+AA138+AC138+AF138+AI138+AL138+AM138+AQ138+AN138)*'Weighting Factors'!$O$5)+'2024 Legal Max'!AX138</f>
        <v>4840214</v>
      </c>
      <c r="BC138" s="24">
        <f>SUM((AR138+AN138)*'Weighting Factors'!$O$5)+AX138</f>
        <v>5743334</v>
      </c>
      <c r="BD138" s="67">
        <f>IF('Weighting Factors'!F138&gt;0,'Weighting Factors'!F138,'Preliminary SO66'!AV137)</f>
        <v>6127482</v>
      </c>
      <c r="BE138" s="24">
        <f t="shared" si="102"/>
        <v>5743334</v>
      </c>
      <c r="BF138" s="71">
        <f>'Weighting Factors'!E138</f>
        <v>0</v>
      </c>
      <c r="BG138" s="71">
        <f>Transportation!G138</f>
        <v>0</v>
      </c>
      <c r="BH138" s="24">
        <f>IF(ISNA(VLOOKUP($CW138,'Audit Values'!$A:$BW,2,FALSE)), 0, VLOOKUP($CW138,'Audit Values'!$A:$BW,75,FALSE))</f>
        <v>0</v>
      </c>
      <c r="BI138" s="24">
        <f t="shared" si="103"/>
        <v>0</v>
      </c>
      <c r="BJ138" s="24">
        <f t="shared" si="104"/>
        <v>5743334</v>
      </c>
      <c r="BK138" s="24">
        <f>SUM((U138+V138+AA138+AC138+AF138+AI138+AL138+AM138+AN138)*'Weighting Factors'!O$12)+(MAX(AO138,'Weighting Factors'!B138))</f>
        <v>5810073</v>
      </c>
      <c r="BL138" s="78">
        <f>'LOB%'!F136</f>
        <v>0.33</v>
      </c>
      <c r="BM138" s="24">
        <f t="shared" si="111"/>
        <v>1917324</v>
      </c>
      <c r="BN138" s="67">
        <v>2042956</v>
      </c>
      <c r="BO138" s="24">
        <f t="shared" si="105"/>
        <v>1917324</v>
      </c>
      <c r="BP138" s="89">
        <f t="shared" si="112"/>
        <v>0.33</v>
      </c>
      <c r="BQ138" s="58">
        <f t="shared" si="113"/>
        <v>0</v>
      </c>
      <c r="BR138" s="1" t="b">
        <f t="shared" si="114"/>
        <v>0</v>
      </c>
      <c r="BS138" s="76">
        <f t="shared" si="115"/>
        <v>0</v>
      </c>
      <c r="BT138" s="75">
        <f t="shared" si="106"/>
        <v>0</v>
      </c>
      <c r="BU138" s="58">
        <f t="shared" si="116"/>
        <v>0</v>
      </c>
      <c r="BV138" s="1" t="b">
        <f t="shared" si="117"/>
        <v>1</v>
      </c>
      <c r="BW138" s="1">
        <f t="shared" si="118"/>
        <v>347.73750000000001</v>
      </c>
      <c r="BX138" s="75">
        <f t="shared" si="107"/>
        <v>0.38871699999999998</v>
      </c>
      <c r="BY138" s="58">
        <f t="shared" si="119"/>
        <v>225.8</v>
      </c>
      <c r="BZ138" s="58">
        <f t="shared" si="120"/>
        <v>0</v>
      </c>
      <c r="CA138" s="61">
        <v>97</v>
      </c>
      <c r="CB138" s="102">
        <f t="shared" si="121"/>
        <v>2.4180000000000001</v>
      </c>
      <c r="CC138" s="105">
        <f>IF(CB138&lt;0.06,1,IF(CB138&gt;=18.29,52,MATCH(CB138-0.001,'Weighting Factors'!$W$5:$W$156)+1))</f>
        <v>39</v>
      </c>
      <c r="CD138" s="24">
        <f>VLOOKUP(CC138, 'Weighting Factors'!$U$5:$X$56,4)</f>
        <v>810</v>
      </c>
      <c r="CE138" s="109">
        <f>('Weighting Factors'!$O$5/'Weighting Factors'!$O$14)</f>
        <v>1.2216</v>
      </c>
      <c r="CF138" s="100">
        <f t="shared" si="122"/>
        <v>189945</v>
      </c>
      <c r="CG138" s="100">
        <f>CF138*'Weighting Factors'!$Q$7</f>
        <v>189945</v>
      </c>
      <c r="CH138" s="100">
        <f t="shared" si="108"/>
        <v>232037</v>
      </c>
      <c r="CI138" s="58">
        <f>AK138/'Weighting Factors'!$O$5</f>
        <v>45.6</v>
      </c>
      <c r="CJ138" s="67">
        <v>0</v>
      </c>
      <c r="CK138" s="80">
        <v>0</v>
      </c>
      <c r="CL138" s="110">
        <v>0</v>
      </c>
      <c r="CM138" s="24">
        <f>SUM((AR138*'Weighting Factors'!$O$5)+'2024 Legal Max'!AX138)*CL138</f>
        <v>0</v>
      </c>
      <c r="CN138" s="24">
        <f t="shared" si="109"/>
        <v>0</v>
      </c>
      <c r="CO138" s="65">
        <f t="shared" si="110"/>
        <v>0.36699999999999999</v>
      </c>
      <c r="CP138" s="58">
        <f t="shared" si="123"/>
        <v>0</v>
      </c>
      <c r="CQ138" s="58">
        <f t="shared" si="124"/>
        <v>2.2999999999999998</v>
      </c>
      <c r="CR138" s="58">
        <f t="shared" si="125"/>
        <v>1128.8</v>
      </c>
      <c r="CS138" s="24">
        <f>'Required Transfers'!L138</f>
        <v>162973</v>
      </c>
      <c r="CT138" s="24">
        <f>'Required Transfers'!O138</f>
        <v>0</v>
      </c>
      <c r="CU138" s="24">
        <f>'Required Transfers'!H138</f>
        <v>496080</v>
      </c>
      <c r="CV138" s="58">
        <f t="shared" si="126"/>
        <v>520.5</v>
      </c>
      <c r="CW138" s="27" t="s">
        <v>323</v>
      </c>
    </row>
    <row r="139" spans="1:101" ht="15" customHeight="1">
      <c r="A139" s="54">
        <v>342</v>
      </c>
      <c r="B139" s="1" t="s">
        <v>59</v>
      </c>
      <c r="C139" s="1" t="s">
        <v>644</v>
      </c>
      <c r="D139" s="58">
        <v>442</v>
      </c>
      <c r="E139" s="58"/>
      <c r="F139" s="58">
        <v>0</v>
      </c>
      <c r="G139" s="58">
        <f t="shared" si="127"/>
        <v>442</v>
      </c>
      <c r="H139" s="58">
        <v>431</v>
      </c>
      <c r="I139" s="58"/>
      <c r="J139" s="58">
        <v>0</v>
      </c>
      <c r="K139" s="58">
        <f t="shared" si="128"/>
        <v>431</v>
      </c>
      <c r="L139" s="1">
        <v>420</v>
      </c>
      <c r="N139" s="1">
        <v>0</v>
      </c>
      <c r="O139" s="58">
        <f t="shared" si="129"/>
        <v>420</v>
      </c>
      <c r="P139" s="58">
        <f>IF(ISNA(VLOOKUP($CW139,'Audit Values'!$A:$BZ,2,FALSE)),'Preliminary SO66'!C138,VLOOKUP($CW139,'Audit Values'!$A:$BZ,76,FALSE))</f>
        <v>409.5</v>
      </c>
      <c r="Q139" s="58">
        <f>IF(ISNA(VLOOKUP($CW139,'Audit Values'!$A:$BZ,2,FALSE)),'Preliminary SO66'!F138,VLOOKUP($CW139,'Audit Values'!$A:$BZ,4,FALSE))</f>
        <v>0</v>
      </c>
      <c r="R139" s="58">
        <f t="shared" si="97"/>
        <v>409.5</v>
      </c>
      <c r="S139" s="58">
        <f>IF('Military Provision'!I139="YES", MAX('2024 Legal Max'!O139,'2024 Legal Max'!K139,AVERAGE('2024 Legal Max'!G139,'2024 Legal Max'!K139,'2024 Legal Max'!O139)), MAX(O139, K139))</f>
        <v>431</v>
      </c>
      <c r="T139" s="58">
        <f>IF(ISNA(VLOOKUP($CW139,'Audit Values'!$A:$BX,2,FALSE)),'Preliminary SO66'!AL138,VLOOKUP($CW139,'Audit Values'!$A:$BX,59,FALSE))</f>
        <v>12</v>
      </c>
      <c r="U139" s="58">
        <f t="shared" si="98"/>
        <v>443</v>
      </c>
      <c r="V139" s="58">
        <f>'Low-High ENRL- 2023 HSubSB 113'!N142</f>
        <v>193</v>
      </c>
      <c r="W139" s="58">
        <f>IF(ISNA(VLOOKUP($CW139,'Audit Values'!$A:$BZ,2,FALSE)),'Preliminary SO66'!AM138,VLOOKUP($CW139,'Audit Values'!$A:$BZ,63,FALSE))</f>
        <v>0</v>
      </c>
      <c r="X139" s="58">
        <f>(W139/6)*'Weighting Factors'!$O$7</f>
        <v>0</v>
      </c>
      <c r="Y139" s="61">
        <f>IF(ISNA(VLOOKUP($CW139,'Audit Values'!$A:$BZ,2,FALSE)),'Preliminary SO66'!AN138,VLOOKUP($CW139,'Audit Values'!$A:$BZ,62,FALSE))</f>
        <v>0</v>
      </c>
      <c r="Z139" s="58">
        <f>Y139*'Weighting Factors'!$O$8</f>
        <v>0</v>
      </c>
      <c r="AA139" s="58">
        <f t="shared" si="99"/>
        <v>0</v>
      </c>
      <c r="AB139" s="106">
        <f>IF(ISNA(VLOOKUP($CW139,'Audit Values'!$A:$BZ,2,FALSE)),'Preliminary SO66'!AO138,VLOOKUP($CW139,'Audit Values'!$A:$BZ,61,FALSE))</f>
        <v>134.30000000000001</v>
      </c>
      <c r="AC139" s="58">
        <f>AB139/6*'Weighting Factors'!$O$6</f>
        <v>11.2</v>
      </c>
      <c r="AD139" s="24">
        <f>IF(ISNA(VLOOKUP($CW139,'Audit Values'!$A:$BX,2,FALSE)),'Preliminary SO66'!AS138,VLOOKUP($CW139,'Audit Values'!$A:$BX,64,FALSE))</f>
        <v>438</v>
      </c>
      <c r="AE139" s="24">
        <f>IF(ISNA(VLOOKUP($CW139,'Audit Values'!$A:$BX,2,FALSE)),'Preliminary SO66'!AP138,VLOOKUP($CW139,'Audit Values'!$A:$BX,65,FALSE))</f>
        <v>172</v>
      </c>
      <c r="AF139" s="58">
        <f>IF(A139=207, AE139,(AE139))*'Weighting Factors'!$O$9</f>
        <v>83.2</v>
      </c>
      <c r="AG139" s="58">
        <f t="shared" si="96"/>
        <v>5.0999999999999996</v>
      </c>
      <c r="AH139" s="58">
        <f>IF(ISNA(VLOOKUP($CW139,'Audit Values'!$A:$BZ,2,FALSE)),'Preliminary SO66'!AG138,VLOOKUP($CW139,'Audit Values'!$A:$BZ,71,FALSE))</f>
        <v>6.3</v>
      </c>
      <c r="AI139" s="58">
        <f t="shared" si="100"/>
        <v>6.3</v>
      </c>
      <c r="AJ139" s="58">
        <f>IF(ISNA(VLOOKUP($CW139,'Audit Values'!$A:$BX,2,FALSE)),'Preliminary SO66'!AR138,VLOOKUP($CW139,'Audit Values'!$A:$BX,66,FALSE))</f>
        <v>204</v>
      </c>
      <c r="AK139" s="24">
        <f t="shared" si="101"/>
        <v>206841</v>
      </c>
      <c r="AL139" s="58">
        <f>AK139/'Weighting Factors'!$O$5</f>
        <v>40.700000000000003</v>
      </c>
      <c r="AM139" s="58">
        <f>CJ139/'Weighting Factors'!$O$5</f>
        <v>0</v>
      </c>
      <c r="AN139" s="58">
        <f>CN139/'Weighting Factors'!$O$5</f>
        <v>0</v>
      </c>
      <c r="AO139" s="24">
        <v>679323</v>
      </c>
      <c r="AP139" s="58">
        <f>AO139/'Weighting Factors'!$O$5</f>
        <v>133.5</v>
      </c>
      <c r="AQ139" s="58">
        <f>IF(ISNA(VLOOKUP($CW139,'Audit Values'!$A:$BX,2,FALSE)),'Preliminary SO66'!X138,VLOOKUP($CW139,'Audit Values'!$A:$BX,48,FALSE))</f>
        <v>0</v>
      </c>
      <c r="AR139" s="58">
        <f t="shared" si="130"/>
        <v>910.9</v>
      </c>
      <c r="AS139" s="58">
        <f t="shared" si="131"/>
        <v>777.4</v>
      </c>
      <c r="AT139" s="58">
        <f>IF(ISNA(VLOOKUP($CW139,'Audit Values'!$A$2:$BX$410,2,FALSE)),'Preliminary SO66'!AA138,VLOOKUP($CW139,'Audit Values'!$A$2:$BX$410,41,FALSE))</f>
        <v>0</v>
      </c>
      <c r="AU139" s="58">
        <f>IF(ISNA(VLOOKUP($CW139,'Audit Values'!$A$2:$BX$410,2,FALSE)),'Preliminary SO66'!AB138,VLOOKUP($CW139,'Audit Values'!$A$2:$BX$410,42,FALSE))</f>
        <v>0</v>
      </c>
      <c r="AV139" s="73">
        <v>0</v>
      </c>
      <c r="AW139" s="73">
        <v>0</v>
      </c>
      <c r="AX139" s="24">
        <f>SUM(AT139*'Weighting Factors'!$R$10)+('2024 Legal Max'!AU139*'Weighting Factors'!$R$11)+('2024 Legal Max'!AV139*'Weighting Factors'!$R$12)+('2024 Legal Max'!AW139*'Weighting Factors'!$R$12)</f>
        <v>0</v>
      </c>
      <c r="AY139" s="54">
        <f>IF(ISNA(VLOOKUP($CW139,'Audit Values'!$A$2:$BX$429,2,FALSE)),"",IF(AND('Weighting Factors'!G139&gt;0,VLOOKUP($CW139,'Audit Values'!$A$2:$BX$429,51,FALSE)&lt;'Weighting Factors'!G139),'Weighting Factors'!G139,VLOOKUP($CW139,'Audit Values'!$A$2:$BX$429,51,FALSE)))</f>
        <v>7</v>
      </c>
      <c r="AZ139" s="54" t="str">
        <f>IF(ISNA(VLOOKUP($CW139,'Audit Values'!$A:$BY,2,FALSE)),"",VLOOKUP($CW139,'Audit Values'!$A:$BY,52,FALSE))</f>
        <v>A</v>
      </c>
      <c r="BA139" s="54" t="str">
        <f>IF('Weighting Factors'!F139="","",IF('Weighting Factors'!H139="Pending","PX","R"))</f>
        <v/>
      </c>
      <c r="BB139" s="60">
        <f>SUM((U139+V139+AA139+AC139+AF139+AI139+AL139+AM139+AQ139+AN139)*'Weighting Factors'!$O$5)+'2024 Legal Max'!AX139</f>
        <v>3955411</v>
      </c>
      <c r="BC139" s="24">
        <f>SUM((AR139+AN139)*'Weighting Factors'!$O$5)+AX139</f>
        <v>4634659</v>
      </c>
      <c r="BD139" s="67">
        <f>IF('Weighting Factors'!F139&gt;0,'Weighting Factors'!F139,'Preliminary SO66'!AV138)</f>
        <v>4812746</v>
      </c>
      <c r="BE139" s="24">
        <f t="shared" si="102"/>
        <v>4634659</v>
      </c>
      <c r="BF139" s="71">
        <f>'Weighting Factors'!E139</f>
        <v>0</v>
      </c>
      <c r="BG139" s="71">
        <f>Transportation!G139</f>
        <v>0</v>
      </c>
      <c r="BH139" s="24">
        <f>IF(ISNA(VLOOKUP($CW139,'Audit Values'!$A:$BW,2,FALSE)), 0, VLOOKUP($CW139,'Audit Values'!$A:$BW,75,FALSE))</f>
        <v>0</v>
      </c>
      <c r="BI139" s="24">
        <f t="shared" si="103"/>
        <v>0</v>
      </c>
      <c r="BJ139" s="24">
        <f t="shared" si="104"/>
        <v>4634659</v>
      </c>
      <c r="BK139" s="24">
        <f>SUM((U139+V139+AA139+AC139+AF139+AI139+AL139+AM139+AN139)*'Weighting Factors'!O$12)+(MAX(AO139,'Weighting Factors'!B139))</f>
        <v>4689152</v>
      </c>
      <c r="BL139" s="78">
        <f>'LOB%'!F137</f>
        <v>0.316</v>
      </c>
      <c r="BM139" s="24">
        <f t="shared" si="111"/>
        <v>1481772</v>
      </c>
      <c r="BN139" s="67">
        <v>1527946</v>
      </c>
      <c r="BO139" s="24">
        <f t="shared" si="105"/>
        <v>1481772</v>
      </c>
      <c r="BP139" s="89">
        <f t="shared" si="112"/>
        <v>0.316</v>
      </c>
      <c r="BQ139" s="58">
        <f t="shared" si="113"/>
        <v>0</v>
      </c>
      <c r="BR139" s="1" t="b">
        <f t="shared" si="114"/>
        <v>0</v>
      </c>
      <c r="BS139" s="76">
        <f t="shared" si="115"/>
        <v>0</v>
      </c>
      <c r="BT139" s="75">
        <f t="shared" si="106"/>
        <v>0</v>
      </c>
      <c r="BU139" s="58">
        <f t="shared" si="116"/>
        <v>0</v>
      </c>
      <c r="BV139" s="1" t="b">
        <f t="shared" si="117"/>
        <v>1</v>
      </c>
      <c r="BW139" s="1">
        <f t="shared" si="118"/>
        <v>176.96250000000001</v>
      </c>
      <c r="BX139" s="75">
        <f t="shared" si="107"/>
        <v>0.43560199999999999</v>
      </c>
      <c r="BY139" s="58">
        <f t="shared" si="119"/>
        <v>193</v>
      </c>
      <c r="BZ139" s="58">
        <f t="shared" si="120"/>
        <v>0</v>
      </c>
      <c r="CA139" s="61">
        <v>90</v>
      </c>
      <c r="CB139" s="102">
        <f t="shared" si="121"/>
        <v>2.2669999999999999</v>
      </c>
      <c r="CC139" s="105">
        <f>IF(CB139&lt;0.06,1,IF(CB139&gt;=18.29,52,MATCH(CB139-0.001,'Weighting Factors'!$W$5:$W$156)+1))</f>
        <v>38</v>
      </c>
      <c r="CD139" s="24">
        <f>VLOOKUP(CC139, 'Weighting Factors'!$U$5:$X$56,4)</f>
        <v>830</v>
      </c>
      <c r="CE139" s="109">
        <f>('Weighting Factors'!$O$5/'Weighting Factors'!$O$14)</f>
        <v>1.2216</v>
      </c>
      <c r="CF139" s="100">
        <f t="shared" si="122"/>
        <v>169320</v>
      </c>
      <c r="CG139" s="100">
        <f>CF139*'Weighting Factors'!$Q$7</f>
        <v>169320</v>
      </c>
      <c r="CH139" s="100">
        <f t="shared" si="108"/>
        <v>206841</v>
      </c>
      <c r="CI139" s="58">
        <f>AK139/'Weighting Factors'!$O$5</f>
        <v>40.700000000000003</v>
      </c>
      <c r="CJ139" s="67">
        <v>0</v>
      </c>
      <c r="CK139" s="80">
        <v>0</v>
      </c>
      <c r="CL139" s="110">
        <v>0</v>
      </c>
      <c r="CM139" s="24">
        <f>SUM((AR139*'Weighting Factors'!$O$5)+'2024 Legal Max'!AX139)*CL139</f>
        <v>0</v>
      </c>
      <c r="CN139" s="24">
        <f t="shared" si="109"/>
        <v>0</v>
      </c>
      <c r="CO139" s="65">
        <f t="shared" si="110"/>
        <v>0.39269999999999999</v>
      </c>
      <c r="CP139" s="58">
        <f t="shared" si="123"/>
        <v>0</v>
      </c>
      <c r="CQ139" s="58">
        <f t="shared" si="124"/>
        <v>5.0999999999999996</v>
      </c>
      <c r="CR139" s="58">
        <f t="shared" si="125"/>
        <v>910.9</v>
      </c>
      <c r="CS139" s="24">
        <f>'Required Transfers'!L139</f>
        <v>137212</v>
      </c>
      <c r="CT139" s="24">
        <f>'Required Transfers'!O139</f>
        <v>0</v>
      </c>
      <c r="CU139" s="24">
        <f>'Required Transfers'!H139</f>
        <v>455376</v>
      </c>
      <c r="CV139" s="58">
        <f t="shared" si="126"/>
        <v>421.5</v>
      </c>
      <c r="CW139" s="27" t="s">
        <v>324</v>
      </c>
    </row>
    <row r="140" spans="1:101" ht="15" customHeight="1">
      <c r="A140" s="54">
        <v>343</v>
      </c>
      <c r="B140" s="1" t="s">
        <v>59</v>
      </c>
      <c r="C140" s="1" t="s">
        <v>645</v>
      </c>
      <c r="D140" s="58">
        <v>723</v>
      </c>
      <c r="E140" s="58"/>
      <c r="F140" s="58">
        <v>0</v>
      </c>
      <c r="G140" s="58">
        <f t="shared" si="127"/>
        <v>723</v>
      </c>
      <c r="H140" s="58">
        <v>733.1</v>
      </c>
      <c r="I140" s="58"/>
      <c r="J140" s="58">
        <v>0</v>
      </c>
      <c r="K140" s="58">
        <f t="shared" si="128"/>
        <v>733.1</v>
      </c>
      <c r="L140" s="1">
        <v>729.3</v>
      </c>
      <c r="N140" s="1">
        <v>0</v>
      </c>
      <c r="O140" s="58">
        <f t="shared" si="129"/>
        <v>729.3</v>
      </c>
      <c r="P140" s="58">
        <f>IF(ISNA(VLOOKUP($CW140,'Audit Values'!$A:$BZ,2,FALSE)),'Preliminary SO66'!C139,VLOOKUP($CW140,'Audit Values'!$A:$BZ,76,FALSE))</f>
        <v>751.1</v>
      </c>
      <c r="Q140" s="58">
        <f>IF(ISNA(VLOOKUP($CW140,'Audit Values'!$A:$BZ,2,FALSE)),'Preliminary SO66'!F139,VLOOKUP($CW140,'Audit Values'!$A:$BZ,4,FALSE))</f>
        <v>0</v>
      </c>
      <c r="R140" s="58">
        <f t="shared" si="97"/>
        <v>751.1</v>
      </c>
      <c r="S140" s="58">
        <f>IF('Military Provision'!I140="YES", MAX('2024 Legal Max'!O140,'2024 Legal Max'!K140,AVERAGE('2024 Legal Max'!G140,'2024 Legal Max'!K140,'2024 Legal Max'!O140)), MAX(O140, K140))</f>
        <v>733.1</v>
      </c>
      <c r="T140" s="58">
        <f>IF(ISNA(VLOOKUP($CW140,'Audit Values'!$A:$BX,2,FALSE)),'Preliminary SO66'!AL139,VLOOKUP($CW140,'Audit Values'!$A:$BX,59,FALSE))</f>
        <v>1.5</v>
      </c>
      <c r="U140" s="58">
        <f t="shared" si="98"/>
        <v>734.6</v>
      </c>
      <c r="V140" s="58">
        <f>'Low-High ENRL- 2023 HSubSB 113'!N143</f>
        <v>247.2</v>
      </c>
      <c r="W140" s="58">
        <f>IF(ISNA(VLOOKUP($CW140,'Audit Values'!$A:$BZ,2,FALSE)),'Preliminary SO66'!AM139,VLOOKUP($CW140,'Audit Values'!$A:$BZ,63,FALSE))</f>
        <v>0</v>
      </c>
      <c r="X140" s="58">
        <f>(W140/6)*'Weighting Factors'!$O$7</f>
        <v>0</v>
      </c>
      <c r="Y140" s="61">
        <f>IF(ISNA(VLOOKUP($CW140,'Audit Values'!$A:$BZ,2,FALSE)),'Preliminary SO66'!AN139,VLOOKUP($CW140,'Audit Values'!$A:$BZ,62,FALSE))</f>
        <v>1</v>
      </c>
      <c r="Z140" s="58">
        <f>Y140*'Weighting Factors'!$O$8</f>
        <v>0.2</v>
      </c>
      <c r="AA140" s="58">
        <f t="shared" si="99"/>
        <v>0.2</v>
      </c>
      <c r="AB140" s="106">
        <f>IF(ISNA(VLOOKUP($CW140,'Audit Values'!$A:$BZ,2,FALSE)),'Preliminary SO66'!AO139,VLOOKUP($CW140,'Audit Values'!$A:$BZ,61,FALSE))</f>
        <v>136.80000000000001</v>
      </c>
      <c r="AC140" s="58">
        <f>AB140/6*'Weighting Factors'!$O$6</f>
        <v>11.4</v>
      </c>
      <c r="AD140" s="24">
        <f>IF(ISNA(VLOOKUP($CW140,'Audit Values'!$A:$BX,2,FALSE)),'Preliminary SO66'!AS139,VLOOKUP($CW140,'Audit Values'!$A:$BX,64,FALSE))</f>
        <v>763</v>
      </c>
      <c r="AE140" s="24">
        <f>IF(ISNA(VLOOKUP($CW140,'Audit Values'!$A:$BX,2,FALSE)),'Preliminary SO66'!AP139,VLOOKUP($CW140,'Audit Values'!$A:$BX,65,FALSE))</f>
        <v>256</v>
      </c>
      <c r="AF140" s="58">
        <f>IF(A140=207, AE140,(AE140))*'Weighting Factors'!$O$9</f>
        <v>123.9</v>
      </c>
      <c r="AG140" s="58">
        <f t="shared" si="96"/>
        <v>0</v>
      </c>
      <c r="AH140" s="58">
        <f>IF(ISNA(VLOOKUP($CW140,'Audit Values'!$A:$BZ,2,FALSE)),'Preliminary SO66'!AG139,VLOOKUP($CW140,'Audit Values'!$A:$BZ,71,FALSE))</f>
        <v>1.3</v>
      </c>
      <c r="AI140" s="58">
        <f t="shared" si="100"/>
        <v>1.3</v>
      </c>
      <c r="AJ140" s="58">
        <f>IF(ISNA(VLOOKUP($CW140,'Audit Values'!$A:$BX,2,FALSE)),'Preliminary SO66'!AR139,VLOOKUP($CW140,'Audit Values'!$A:$BX,66,FALSE))</f>
        <v>427.5</v>
      </c>
      <c r="AK140" s="24">
        <f t="shared" si="101"/>
        <v>412565</v>
      </c>
      <c r="AL140" s="58">
        <f>AK140/'Weighting Factors'!$O$5</f>
        <v>81.099999999999994</v>
      </c>
      <c r="AM140" s="58">
        <f>CJ140/'Weighting Factors'!$O$5</f>
        <v>0</v>
      </c>
      <c r="AN140" s="58">
        <f>CN140/'Weighting Factors'!$O$5</f>
        <v>0</v>
      </c>
      <c r="AO140" s="24">
        <v>909607</v>
      </c>
      <c r="AP140" s="58">
        <f>AO140/'Weighting Factors'!$O$5</f>
        <v>178.8</v>
      </c>
      <c r="AQ140" s="58">
        <f>IF(ISNA(VLOOKUP($CW140,'Audit Values'!$A:$BX,2,FALSE)),'Preliminary SO66'!X139,VLOOKUP($CW140,'Audit Values'!$A:$BX,48,FALSE))</f>
        <v>0</v>
      </c>
      <c r="AR140" s="58">
        <f t="shared" si="130"/>
        <v>1378.5</v>
      </c>
      <c r="AS140" s="58">
        <f t="shared" si="131"/>
        <v>1199.7</v>
      </c>
      <c r="AT140" s="58">
        <f>IF(ISNA(VLOOKUP($CW140,'Audit Values'!$A$2:$BX$410,2,FALSE)),'Preliminary SO66'!AA139,VLOOKUP($CW140,'Audit Values'!$A$2:$BX$410,41,FALSE))</f>
        <v>14</v>
      </c>
      <c r="AU140" s="58">
        <f>IF(ISNA(VLOOKUP($CW140,'Audit Values'!$A$2:$BX$410,2,FALSE)),'Preliminary SO66'!AB139,VLOOKUP($CW140,'Audit Values'!$A$2:$BX$410,42,FALSE))</f>
        <v>0</v>
      </c>
      <c r="AV140" s="73">
        <v>0</v>
      </c>
      <c r="AW140" s="73">
        <v>0</v>
      </c>
      <c r="AX140" s="24">
        <f>SUM(AT140*'Weighting Factors'!$R$10)+('2024 Legal Max'!AU140*'Weighting Factors'!$R$11)+('2024 Legal Max'!AV140*'Weighting Factors'!$R$12)+('2024 Legal Max'!AW140*'Weighting Factors'!$R$12)</f>
        <v>78400</v>
      </c>
      <c r="AY140" s="54">
        <f>IF(ISNA(VLOOKUP($CW140,'Audit Values'!$A$2:$BX$429,2,FALSE)),"",IF(AND('Weighting Factors'!G140&gt;0,VLOOKUP($CW140,'Audit Values'!$A$2:$BX$429,51,FALSE)&lt;'Weighting Factors'!G140),'Weighting Factors'!G140,VLOOKUP($CW140,'Audit Values'!$A$2:$BX$429,51,FALSE)))</f>
        <v>7</v>
      </c>
      <c r="AZ140" s="54" t="str">
        <f>IF(ISNA(VLOOKUP($CW140,'Audit Values'!$A:$BY,2,FALSE)),"",VLOOKUP($CW140,'Audit Values'!$A:$BY,52,FALSE))</f>
        <v>A</v>
      </c>
      <c r="BA140" s="54" t="str">
        <f>IF('Weighting Factors'!F140="","",IF('Weighting Factors'!H140="Pending","PX","R"))</f>
        <v/>
      </c>
      <c r="BB140" s="60">
        <f>SUM((U140+V140+AA140+AC140+AF140+AI140+AL140+AM140+AQ140+AN140)*'Weighting Factors'!$O$5)+'2024 Legal Max'!AX140</f>
        <v>6182474</v>
      </c>
      <c r="BC140" s="24">
        <f>SUM((AR140+AN140)*'Weighting Factors'!$O$5)+AX140</f>
        <v>7092208</v>
      </c>
      <c r="BD140" s="67">
        <f>IF('Weighting Factors'!F140&gt;0,'Weighting Factors'!F140,'Preliminary SO66'!AV139)</f>
        <v>7273314</v>
      </c>
      <c r="BE140" s="24">
        <f t="shared" si="102"/>
        <v>7092208</v>
      </c>
      <c r="BF140" s="71">
        <f>'Weighting Factors'!E140</f>
        <v>0</v>
      </c>
      <c r="BG140" s="71">
        <f>Transportation!G140</f>
        <v>0</v>
      </c>
      <c r="BH140" s="24">
        <f>IF(ISNA(VLOOKUP($CW140,'Audit Values'!$A:$BW,2,FALSE)), 0, VLOOKUP($CW140,'Audit Values'!$A:$BW,75,FALSE))</f>
        <v>-3545</v>
      </c>
      <c r="BI140" s="24">
        <f t="shared" si="103"/>
        <v>-3545</v>
      </c>
      <c r="BJ140" s="24">
        <f t="shared" si="104"/>
        <v>7088663</v>
      </c>
      <c r="BK140" s="24">
        <f>SUM((U140+V140+AA140+AC140+AF140+AI140+AL140+AM140+AN140)*'Weighting Factors'!O$12)+(MAX(AO140,'Weighting Factors'!B140))</f>
        <v>7167805</v>
      </c>
      <c r="BL140" s="78">
        <f>'LOB%'!F138</f>
        <v>0.33</v>
      </c>
      <c r="BM140" s="24">
        <f t="shared" si="111"/>
        <v>2365376</v>
      </c>
      <c r="BN140" s="67">
        <v>2396053</v>
      </c>
      <c r="BO140" s="24">
        <f t="shared" si="105"/>
        <v>2365376</v>
      </c>
      <c r="BP140" s="89">
        <f t="shared" si="112"/>
        <v>0.33</v>
      </c>
      <c r="BQ140" s="58">
        <f t="shared" si="113"/>
        <v>0</v>
      </c>
      <c r="BR140" s="1" t="b">
        <f t="shared" si="114"/>
        <v>0</v>
      </c>
      <c r="BS140" s="76">
        <f t="shared" si="115"/>
        <v>0</v>
      </c>
      <c r="BT140" s="75">
        <f t="shared" si="106"/>
        <v>0</v>
      </c>
      <c r="BU140" s="58">
        <f t="shared" si="116"/>
        <v>0</v>
      </c>
      <c r="BV140" s="1" t="b">
        <f t="shared" si="117"/>
        <v>1</v>
      </c>
      <c r="BW140" s="1">
        <f t="shared" si="118"/>
        <v>537.8175</v>
      </c>
      <c r="BX140" s="75">
        <f t="shared" si="107"/>
        <v>0.336532</v>
      </c>
      <c r="BY140" s="58">
        <f t="shared" si="119"/>
        <v>247.2</v>
      </c>
      <c r="BZ140" s="58">
        <f t="shared" si="120"/>
        <v>0</v>
      </c>
      <c r="CA140" s="61">
        <v>153.1</v>
      </c>
      <c r="CB140" s="102">
        <f t="shared" si="121"/>
        <v>2.7919999999999998</v>
      </c>
      <c r="CC140" s="105">
        <f>IF(CB140&lt;0.06,1,IF(CB140&gt;=18.29,52,MATCH(CB140-0.001,'Weighting Factors'!$W$5:$W$156)+1))</f>
        <v>40</v>
      </c>
      <c r="CD140" s="24">
        <f>VLOOKUP(CC140, 'Weighting Factors'!$U$5:$X$56,4)</f>
        <v>790</v>
      </c>
      <c r="CE140" s="109">
        <f>('Weighting Factors'!$O$5/'Weighting Factors'!$O$14)</f>
        <v>1.2216</v>
      </c>
      <c r="CF140" s="100">
        <f t="shared" si="122"/>
        <v>337725</v>
      </c>
      <c r="CG140" s="100">
        <f>CF140*'Weighting Factors'!$Q$7</f>
        <v>337725</v>
      </c>
      <c r="CH140" s="100">
        <f t="shared" si="108"/>
        <v>412565</v>
      </c>
      <c r="CI140" s="58">
        <f>AK140/'Weighting Factors'!$O$5</f>
        <v>81.099999999999994</v>
      </c>
      <c r="CJ140" s="67">
        <v>0</v>
      </c>
      <c r="CK140" s="80">
        <v>0</v>
      </c>
      <c r="CL140" s="110">
        <v>4.5999999999999999E-3</v>
      </c>
      <c r="CM140" s="24">
        <f>SUM((AR140*'Weighting Factors'!$O$5)+'2024 Legal Max'!AX140)*CL140</f>
        <v>32624</v>
      </c>
      <c r="CN140" s="24">
        <f t="shared" si="109"/>
        <v>0</v>
      </c>
      <c r="CO140" s="65">
        <f t="shared" si="110"/>
        <v>0.33550000000000002</v>
      </c>
      <c r="CP140" s="58">
        <f t="shared" si="123"/>
        <v>0</v>
      </c>
      <c r="CQ140" s="58">
        <f t="shared" si="124"/>
        <v>0</v>
      </c>
      <c r="CR140" s="58">
        <f t="shared" si="125"/>
        <v>1378.5</v>
      </c>
      <c r="CS140" s="24">
        <f>'Required Transfers'!L140</f>
        <v>212884</v>
      </c>
      <c r="CT140" s="24">
        <f>'Required Transfers'!O140</f>
        <v>237</v>
      </c>
      <c r="CU140" s="24">
        <f>'Required Transfers'!H140</f>
        <v>637018</v>
      </c>
      <c r="CV140" s="58">
        <f t="shared" si="126"/>
        <v>766.6</v>
      </c>
      <c r="CW140" s="27" t="s">
        <v>325</v>
      </c>
    </row>
    <row r="141" spans="1:101" ht="15" customHeight="1">
      <c r="A141" s="54">
        <v>344</v>
      </c>
      <c r="B141" s="1" t="s">
        <v>60</v>
      </c>
      <c r="C141" s="1" t="s">
        <v>646</v>
      </c>
      <c r="D141" s="58">
        <v>331.4</v>
      </c>
      <c r="E141" s="58"/>
      <c r="F141" s="58">
        <v>0</v>
      </c>
      <c r="G141" s="58">
        <f t="shared" si="127"/>
        <v>331.4</v>
      </c>
      <c r="H141" s="58">
        <v>343</v>
      </c>
      <c r="I141" s="58"/>
      <c r="J141" s="58">
        <v>0</v>
      </c>
      <c r="K141" s="58">
        <f t="shared" si="128"/>
        <v>343</v>
      </c>
      <c r="L141" s="1">
        <v>328.5</v>
      </c>
      <c r="N141" s="1">
        <v>0</v>
      </c>
      <c r="O141" s="58">
        <f t="shared" si="129"/>
        <v>328.5</v>
      </c>
      <c r="P141" s="58">
        <f>IF(ISNA(VLOOKUP($CW141,'Audit Values'!$A:$BZ,2,FALSE)),'Preliminary SO66'!C140,VLOOKUP($CW141,'Audit Values'!$A:$BZ,76,FALSE))</f>
        <v>321.2</v>
      </c>
      <c r="Q141" s="58">
        <f>IF(ISNA(VLOOKUP($CW141,'Audit Values'!$A:$BZ,2,FALSE)),'Preliminary SO66'!F140,VLOOKUP($CW141,'Audit Values'!$A:$BZ,4,FALSE))</f>
        <v>0</v>
      </c>
      <c r="R141" s="58">
        <f t="shared" si="97"/>
        <v>321.2</v>
      </c>
      <c r="S141" s="58">
        <f>IF('Military Provision'!I141="YES", MAX('2024 Legal Max'!O141,'2024 Legal Max'!K141,AVERAGE('2024 Legal Max'!G141,'2024 Legal Max'!K141,'2024 Legal Max'!O141)), MAX(O141, K141))</f>
        <v>343</v>
      </c>
      <c r="T141" s="58">
        <f>IF(ISNA(VLOOKUP($CW141,'Audit Values'!$A:$BX,2,FALSE)),'Preliminary SO66'!AL140,VLOOKUP($CW141,'Audit Values'!$A:$BX,59,FALSE))</f>
        <v>10</v>
      </c>
      <c r="U141" s="58">
        <f t="shared" si="98"/>
        <v>353</v>
      </c>
      <c r="V141" s="58">
        <f>'Low-High ENRL- 2023 HSubSB 113'!N144</f>
        <v>164.7</v>
      </c>
      <c r="W141" s="58">
        <f>IF(ISNA(VLOOKUP($CW141,'Audit Values'!$A:$BZ,2,FALSE)),'Preliminary SO66'!AM140,VLOOKUP($CW141,'Audit Values'!$A:$BZ,63,FALSE))</f>
        <v>0</v>
      </c>
      <c r="X141" s="58">
        <f>(W141/6)*'Weighting Factors'!$O$7</f>
        <v>0</v>
      </c>
      <c r="Y141" s="61">
        <f>IF(ISNA(VLOOKUP($CW141,'Audit Values'!$A:$BZ,2,FALSE)),'Preliminary SO66'!AN140,VLOOKUP($CW141,'Audit Values'!$A:$BZ,62,FALSE))</f>
        <v>0</v>
      </c>
      <c r="Z141" s="58">
        <f>Y141*'Weighting Factors'!$O$8</f>
        <v>0</v>
      </c>
      <c r="AA141" s="58">
        <f t="shared" si="99"/>
        <v>0</v>
      </c>
      <c r="AB141" s="106">
        <f>IF(ISNA(VLOOKUP($CW141,'Audit Values'!$A:$BZ,2,FALSE)),'Preliminary SO66'!AO140,VLOOKUP($CW141,'Audit Values'!$A:$BZ,61,FALSE))</f>
        <v>84</v>
      </c>
      <c r="AC141" s="58">
        <f>AB141/6*'Weighting Factors'!$O$6</f>
        <v>7</v>
      </c>
      <c r="AD141" s="24">
        <f>IF(ISNA(VLOOKUP($CW141,'Audit Values'!$A:$BX,2,FALSE)),'Preliminary SO66'!AS140,VLOOKUP($CW141,'Audit Values'!$A:$BX,64,FALSE))</f>
        <v>349</v>
      </c>
      <c r="AE141" s="24">
        <f>IF(ISNA(VLOOKUP($CW141,'Audit Values'!$A:$BX,2,FALSE)),'Preliminary SO66'!AP140,VLOOKUP($CW141,'Audit Values'!$A:$BX,65,FALSE))</f>
        <v>161</v>
      </c>
      <c r="AF141" s="58">
        <f>IF(A141=207, AE141,(AE141))*'Weighting Factors'!$O$9</f>
        <v>77.900000000000006</v>
      </c>
      <c r="AG141" s="58">
        <f t="shared" si="96"/>
        <v>12.5</v>
      </c>
      <c r="AH141" s="58">
        <f>IF(ISNA(VLOOKUP($CW141,'Audit Values'!$A:$BZ,2,FALSE)),'Preliminary SO66'!AG140,VLOOKUP($CW141,'Audit Values'!$A:$BZ,71,FALSE))</f>
        <v>12</v>
      </c>
      <c r="AI141" s="58">
        <f t="shared" si="100"/>
        <v>12.5</v>
      </c>
      <c r="AJ141" s="58">
        <f>IF(ISNA(VLOOKUP($CW141,'Audit Values'!$A:$BX,2,FALSE)),'Preliminary SO66'!AR140,VLOOKUP($CW141,'Audit Values'!$A:$BX,66,FALSE))</f>
        <v>50</v>
      </c>
      <c r="AK141" s="24">
        <f t="shared" si="101"/>
        <v>65356</v>
      </c>
      <c r="AL141" s="58">
        <f>AK141/'Weighting Factors'!$O$5</f>
        <v>12.8</v>
      </c>
      <c r="AM141" s="58">
        <f>CJ141/'Weighting Factors'!$O$5</f>
        <v>0</v>
      </c>
      <c r="AN141" s="58">
        <f>CN141/'Weighting Factors'!$O$5</f>
        <v>0</v>
      </c>
      <c r="AO141" s="24">
        <v>422452</v>
      </c>
      <c r="AP141" s="58">
        <f>AO141/'Weighting Factors'!$O$5</f>
        <v>83</v>
      </c>
      <c r="AQ141" s="58">
        <f>IF(ISNA(VLOOKUP($CW141,'Audit Values'!$A:$BX,2,FALSE)),'Preliminary SO66'!X140,VLOOKUP($CW141,'Audit Values'!$A:$BX,48,FALSE))</f>
        <v>0</v>
      </c>
      <c r="AR141" s="58">
        <f t="shared" si="130"/>
        <v>710.9</v>
      </c>
      <c r="AS141" s="58">
        <f t="shared" si="131"/>
        <v>627.9</v>
      </c>
      <c r="AT141" s="58">
        <f>IF(ISNA(VLOOKUP($CW141,'Audit Values'!$A$2:$BX$410,2,FALSE)),'Preliminary SO66'!AA140,VLOOKUP($CW141,'Audit Values'!$A$2:$BX$410,41,FALSE))</f>
        <v>0</v>
      </c>
      <c r="AU141" s="58">
        <f>IF(ISNA(VLOOKUP($CW141,'Audit Values'!$A$2:$BX$410,2,FALSE)),'Preliminary SO66'!AB140,VLOOKUP($CW141,'Audit Values'!$A$2:$BX$410,42,FALSE))</f>
        <v>0</v>
      </c>
      <c r="AV141" s="73">
        <v>0</v>
      </c>
      <c r="AW141" s="73">
        <v>0</v>
      </c>
      <c r="AX141" s="24">
        <f>SUM(AT141*'Weighting Factors'!$R$10)+('2024 Legal Max'!AU141*'Weighting Factors'!$R$11)+('2024 Legal Max'!AV141*'Weighting Factors'!$R$12)+('2024 Legal Max'!AW141*'Weighting Factors'!$R$12)</f>
        <v>0</v>
      </c>
      <c r="AY141" s="54">
        <f>IF(ISNA(VLOOKUP($CW141,'Audit Values'!$A$2:$BX$429,2,FALSE)),"",IF(AND('Weighting Factors'!G141&gt;0,VLOOKUP($CW141,'Audit Values'!$A$2:$BX$429,51,FALSE)&lt;'Weighting Factors'!G141),'Weighting Factors'!G141,VLOOKUP($CW141,'Audit Values'!$A$2:$BX$429,51,FALSE)))</f>
        <v>14</v>
      </c>
      <c r="AZ141" s="54" t="str">
        <f>IF(ISNA(VLOOKUP($CW141,'Audit Values'!$A:$BY,2,FALSE)),"",VLOOKUP($CW141,'Audit Values'!$A:$BY,52,FALSE))</f>
        <v>A</v>
      </c>
      <c r="BA141" s="54" t="str">
        <f>IF('Weighting Factors'!F141="","",IF('Weighting Factors'!H141="Pending","PX","R"))</f>
        <v/>
      </c>
      <c r="BB141" s="60">
        <f>SUM((U141+V141+AA141+AC141+AF141+AI141+AL141+AM141+AQ141+AN141)*'Weighting Factors'!$O$5)+'2024 Legal Max'!AX141</f>
        <v>3194755</v>
      </c>
      <c r="BC141" s="24">
        <f>SUM((AR141+AN141)*'Weighting Factors'!$O$5)+AX141</f>
        <v>3617059</v>
      </c>
      <c r="BD141" s="67">
        <f>IF('Weighting Factors'!F141&gt;0,'Weighting Factors'!F141,'Preliminary SO66'!AV140)</f>
        <v>3733066</v>
      </c>
      <c r="BE141" s="24">
        <f t="shared" si="102"/>
        <v>3617059</v>
      </c>
      <c r="BF141" s="71">
        <f>'Weighting Factors'!E141</f>
        <v>0</v>
      </c>
      <c r="BG141" s="71">
        <f>Transportation!G141</f>
        <v>0</v>
      </c>
      <c r="BH141" s="24">
        <f>IF(ISNA(VLOOKUP($CW141,'Audit Values'!$A:$BW,2,FALSE)), 0, VLOOKUP($CW141,'Audit Values'!$A:$BW,75,FALSE))</f>
        <v>0</v>
      </c>
      <c r="BI141" s="24">
        <f t="shared" si="103"/>
        <v>0</v>
      </c>
      <c r="BJ141" s="24">
        <f t="shared" si="104"/>
        <v>3617059</v>
      </c>
      <c r="BK141" s="24">
        <f>SUM((U141+V141+AA141+AC141+AF141+AI141+AL141+AM141+AN141)*'Weighting Factors'!O$12)+(MAX(AO141,'Weighting Factors'!B141))</f>
        <v>3661160</v>
      </c>
      <c r="BL141" s="78">
        <f>'LOB%'!F139</f>
        <v>0.33</v>
      </c>
      <c r="BM141" s="24">
        <f t="shared" si="111"/>
        <v>1208183</v>
      </c>
      <c r="BN141" s="67">
        <v>1246889</v>
      </c>
      <c r="BO141" s="24">
        <f t="shared" si="105"/>
        <v>1208183</v>
      </c>
      <c r="BP141" s="89">
        <f t="shared" si="112"/>
        <v>0.33</v>
      </c>
      <c r="BQ141" s="58">
        <f t="shared" si="113"/>
        <v>0</v>
      </c>
      <c r="BR141" s="1" t="b">
        <f t="shared" si="114"/>
        <v>0</v>
      </c>
      <c r="BS141" s="76">
        <f t="shared" si="115"/>
        <v>0</v>
      </c>
      <c r="BT141" s="75">
        <f t="shared" si="106"/>
        <v>0</v>
      </c>
      <c r="BU141" s="58">
        <f t="shared" si="116"/>
        <v>0</v>
      </c>
      <c r="BV141" s="1" t="b">
        <f t="shared" si="117"/>
        <v>1</v>
      </c>
      <c r="BW141" s="1">
        <f t="shared" si="118"/>
        <v>65.587500000000006</v>
      </c>
      <c r="BX141" s="75">
        <f t="shared" si="107"/>
        <v>0.46617999999999998</v>
      </c>
      <c r="BY141" s="58">
        <f t="shared" si="119"/>
        <v>164.6</v>
      </c>
      <c r="BZ141" s="58">
        <f t="shared" si="120"/>
        <v>0</v>
      </c>
      <c r="CA141" s="61">
        <v>92.5</v>
      </c>
      <c r="CB141" s="102">
        <f t="shared" si="121"/>
        <v>0.54100000000000004</v>
      </c>
      <c r="CC141" s="105">
        <f>IF(CB141&lt;0.06,1,IF(CB141&gt;=18.29,52,MATCH(CB141-0.001,'Weighting Factors'!$W$5:$W$156)+1))</f>
        <v>26</v>
      </c>
      <c r="CD141" s="24">
        <f>VLOOKUP(CC141, 'Weighting Factors'!$U$5:$X$56,4)</f>
        <v>1070</v>
      </c>
      <c r="CE141" s="109">
        <f>('Weighting Factors'!$O$5/'Weighting Factors'!$O$14)</f>
        <v>1.2216</v>
      </c>
      <c r="CF141" s="100">
        <f t="shared" si="122"/>
        <v>53500</v>
      </c>
      <c r="CG141" s="100">
        <f>CF141*'Weighting Factors'!$Q$7</f>
        <v>53500</v>
      </c>
      <c r="CH141" s="100">
        <f t="shared" si="108"/>
        <v>65356</v>
      </c>
      <c r="CI141" s="58">
        <f>AK141/'Weighting Factors'!$O$5</f>
        <v>12.8</v>
      </c>
      <c r="CJ141" s="67">
        <v>0</v>
      </c>
      <c r="CK141" s="80">
        <v>0</v>
      </c>
      <c r="CL141" s="110">
        <v>0</v>
      </c>
      <c r="CM141" s="24">
        <f>SUM((AR141*'Weighting Factors'!$O$5)+'2024 Legal Max'!AX141)*CL141</f>
        <v>0</v>
      </c>
      <c r="CN141" s="24">
        <f t="shared" si="109"/>
        <v>0</v>
      </c>
      <c r="CO141" s="65">
        <f t="shared" si="110"/>
        <v>0.46129999999999999</v>
      </c>
      <c r="CP141" s="58">
        <f t="shared" si="123"/>
        <v>0</v>
      </c>
      <c r="CQ141" s="58">
        <f t="shared" si="124"/>
        <v>12.5</v>
      </c>
      <c r="CR141" s="58">
        <f t="shared" si="125"/>
        <v>710.9</v>
      </c>
      <c r="CS141" s="24">
        <f>'Required Transfers'!L141</f>
        <v>134229</v>
      </c>
      <c r="CT141" s="24">
        <f>'Required Transfers'!O141</f>
        <v>0</v>
      </c>
      <c r="CU141" s="24">
        <f>'Required Transfers'!H141</f>
        <v>459955</v>
      </c>
      <c r="CV141" s="58">
        <f t="shared" si="126"/>
        <v>331.2</v>
      </c>
      <c r="CW141" s="27" t="s">
        <v>326</v>
      </c>
    </row>
    <row r="142" spans="1:101" ht="15" customHeight="1">
      <c r="A142" s="54">
        <v>345</v>
      </c>
      <c r="B142" s="1" t="s">
        <v>61</v>
      </c>
      <c r="C142" s="1" t="s">
        <v>647</v>
      </c>
      <c r="D142" s="58">
        <v>3701.9</v>
      </c>
      <c r="E142" s="58"/>
      <c r="F142" s="58">
        <v>0</v>
      </c>
      <c r="G142" s="58">
        <f t="shared" si="127"/>
        <v>3701.9</v>
      </c>
      <c r="H142" s="58">
        <v>3667.1</v>
      </c>
      <c r="I142" s="58"/>
      <c r="J142" s="58">
        <v>0</v>
      </c>
      <c r="K142" s="58">
        <f t="shared" si="128"/>
        <v>3667.1</v>
      </c>
      <c r="L142" s="1">
        <v>3665.3</v>
      </c>
      <c r="N142" s="1">
        <v>0</v>
      </c>
      <c r="O142" s="58">
        <f t="shared" si="129"/>
        <v>3665.3</v>
      </c>
      <c r="P142" s="58">
        <f>IF(ISNA(VLOOKUP($CW142,'Audit Values'!$A:$BZ,2,FALSE)),'Preliminary SO66'!C141,VLOOKUP($CW142,'Audit Values'!$A:$BZ,76,FALSE))</f>
        <v>3569.2</v>
      </c>
      <c r="Q142" s="58">
        <f>IF(ISNA(VLOOKUP($CW142,'Audit Values'!$A:$BZ,2,FALSE)),'Preliminary SO66'!F141,VLOOKUP($CW142,'Audit Values'!$A:$BZ,4,FALSE))</f>
        <v>0</v>
      </c>
      <c r="R142" s="58">
        <f t="shared" si="97"/>
        <v>3569.2</v>
      </c>
      <c r="S142" s="58">
        <f>IF('Military Provision'!I142="YES", MAX('2024 Legal Max'!O142,'2024 Legal Max'!K142,AVERAGE('2024 Legal Max'!G142,'2024 Legal Max'!K142,'2024 Legal Max'!O142)), MAX(O142, K142))</f>
        <v>3667.1</v>
      </c>
      <c r="T142" s="58">
        <f>IF(ISNA(VLOOKUP($CW142,'Audit Values'!$A:$BX,2,FALSE)),'Preliminary SO66'!AL141,VLOOKUP($CW142,'Audit Values'!$A:$BX,59,FALSE))</f>
        <v>59.5</v>
      </c>
      <c r="U142" s="58">
        <f t="shared" si="98"/>
        <v>3726.6</v>
      </c>
      <c r="V142" s="58">
        <f>'Low-High ENRL- 2023 HSubSB 113'!N145</f>
        <v>130.6</v>
      </c>
      <c r="W142" s="58">
        <f>IF(ISNA(VLOOKUP($CW142,'Audit Values'!$A:$BZ,2,FALSE)),'Preliminary SO66'!AM141,VLOOKUP($CW142,'Audit Values'!$A:$BZ,63,FALSE))</f>
        <v>12.1</v>
      </c>
      <c r="X142" s="58">
        <f>(W142/6)*'Weighting Factors'!$O$7</f>
        <v>0.8</v>
      </c>
      <c r="Y142" s="61">
        <f>IF(ISNA(VLOOKUP($CW142,'Audit Values'!$A:$BZ,2,FALSE)),'Preliminary SO66'!AN141,VLOOKUP($CW142,'Audit Values'!$A:$BZ,62,FALSE))</f>
        <v>20</v>
      </c>
      <c r="Z142" s="58">
        <f>Y142*'Weighting Factors'!$O$8</f>
        <v>3.7</v>
      </c>
      <c r="AA142" s="58">
        <f t="shared" si="99"/>
        <v>3.7</v>
      </c>
      <c r="AB142" s="106">
        <f>IF(ISNA(VLOOKUP($CW142,'Audit Values'!$A:$BZ,2,FALSE)),'Preliminary SO66'!AO141,VLOOKUP($CW142,'Audit Values'!$A:$BZ,61,FALSE))</f>
        <v>1292.5999999999999</v>
      </c>
      <c r="AC142" s="58">
        <f>AB142/6*'Weighting Factors'!$O$6</f>
        <v>107.7</v>
      </c>
      <c r="AD142" s="24">
        <f>IF(ISNA(VLOOKUP($CW142,'Audit Values'!$A:$BX,2,FALSE)),'Preliminary SO66'!AS141,VLOOKUP($CW142,'Audit Values'!$A:$BX,64,FALSE))</f>
        <v>3722</v>
      </c>
      <c r="AE142" s="24">
        <f>IF(ISNA(VLOOKUP($CW142,'Audit Values'!$A:$BX,2,FALSE)),'Preliminary SO66'!AP141,VLOOKUP($CW142,'Audit Values'!$A:$BX,65,FALSE))</f>
        <v>1231</v>
      </c>
      <c r="AF142" s="58">
        <f>IF(A142=207, AE142,(AE142))*'Weighting Factors'!$O$9</f>
        <v>595.79999999999995</v>
      </c>
      <c r="AG142" s="58">
        <f t="shared" si="96"/>
        <v>0</v>
      </c>
      <c r="AH142" s="58">
        <f>IF(ISNA(VLOOKUP($CW142,'Audit Values'!$A:$BZ,2,FALSE)),'Preliminary SO66'!AG141,VLOOKUP($CW142,'Audit Values'!$A:$BZ,71,FALSE))</f>
        <v>35.4</v>
      </c>
      <c r="AI142" s="58">
        <f t="shared" si="100"/>
        <v>35.4</v>
      </c>
      <c r="AJ142" s="58">
        <f>IF(ISNA(VLOOKUP($CW142,'Audit Values'!$A:$BX,2,FALSE)),'Preliminary SO66'!AR141,VLOOKUP($CW142,'Audit Values'!$A:$BX,66,FALSE))</f>
        <v>1573</v>
      </c>
      <c r="AK142" s="24">
        <f t="shared" si="101"/>
        <v>1056867</v>
      </c>
      <c r="AL142" s="58">
        <f>AK142/'Weighting Factors'!$O$5</f>
        <v>207.7</v>
      </c>
      <c r="AM142" s="58">
        <f>CJ142/'Weighting Factors'!$O$5</f>
        <v>0</v>
      </c>
      <c r="AN142" s="58">
        <f>CN142/'Weighting Factors'!$O$5</f>
        <v>0</v>
      </c>
      <c r="AO142" s="24">
        <v>5501725</v>
      </c>
      <c r="AP142" s="58">
        <f>AO142/'Weighting Factors'!$O$5</f>
        <v>1081.3</v>
      </c>
      <c r="AQ142" s="58">
        <f>IF(ISNA(VLOOKUP($CW142,'Audit Values'!$A:$BX,2,FALSE)),'Preliminary SO66'!X141,VLOOKUP($CW142,'Audit Values'!$A:$BX,48,FALSE))</f>
        <v>0</v>
      </c>
      <c r="AR142" s="58">
        <f t="shared" si="130"/>
        <v>5888.8</v>
      </c>
      <c r="AS142" s="58">
        <f t="shared" si="131"/>
        <v>4807.5</v>
      </c>
      <c r="AT142" s="58">
        <f>IF(ISNA(VLOOKUP($CW142,'Audit Values'!$A$2:$BX$410,2,FALSE)),'Preliminary SO66'!AA141,VLOOKUP($CW142,'Audit Values'!$A$2:$BX$410,41,FALSE))</f>
        <v>26</v>
      </c>
      <c r="AU142" s="58">
        <f>IF(ISNA(VLOOKUP($CW142,'Audit Values'!$A$2:$BX$410,2,FALSE)),'Preliminary SO66'!AB141,VLOOKUP($CW142,'Audit Values'!$A$2:$BX$410,42,FALSE))</f>
        <v>1.5</v>
      </c>
      <c r="AV142" s="73">
        <v>0</v>
      </c>
      <c r="AW142" s="73">
        <v>0</v>
      </c>
      <c r="AX142" s="24">
        <f>SUM(AT142*'Weighting Factors'!$R$10)+('2024 Legal Max'!AU142*'Weighting Factors'!$R$11)+('2024 Legal Max'!AV142*'Weighting Factors'!$R$12)+('2024 Legal Max'!AW142*'Weighting Factors'!$R$12)</f>
        <v>149800</v>
      </c>
      <c r="AY142" s="54">
        <f>IF(ISNA(VLOOKUP($CW142,'Audit Values'!$A$2:$BX$429,2,FALSE)),"",IF(AND('Weighting Factors'!G142&gt;0,VLOOKUP($CW142,'Audit Values'!$A$2:$BX$429,51,FALSE)&lt;'Weighting Factors'!G142),'Weighting Factors'!G142,VLOOKUP($CW142,'Audit Values'!$A$2:$BX$429,51,FALSE)))</f>
        <v>14</v>
      </c>
      <c r="AZ142" s="54" t="str">
        <f>IF(ISNA(VLOOKUP($CW142,'Audit Values'!$A:$BY,2,FALSE)),"",VLOOKUP($CW142,'Audit Values'!$A:$BY,52,FALSE))</f>
        <v>A</v>
      </c>
      <c r="BA142" s="54" t="str">
        <f>IF('Weighting Factors'!F142="","",IF('Weighting Factors'!H142="Pending","PX","R"))</f>
        <v/>
      </c>
      <c r="BB142" s="60">
        <f>SUM((U142+V142+AA142+AC142+AF142+AI142+AL142+AM142+AQ142+AN142)*'Weighting Factors'!$O$5)+'2024 Legal Max'!AX142</f>
        <v>24610360</v>
      </c>
      <c r="BC142" s="24">
        <f>SUM((AR142+AN142)*'Weighting Factors'!$O$5)+AX142</f>
        <v>30112014</v>
      </c>
      <c r="BD142" s="67">
        <f>IF('Weighting Factors'!F142&gt;0,'Weighting Factors'!F142,'Preliminary SO66'!AV141)</f>
        <v>30945795</v>
      </c>
      <c r="BE142" s="24">
        <f t="shared" si="102"/>
        <v>30112014</v>
      </c>
      <c r="BF142" s="71">
        <f>'Weighting Factors'!E142</f>
        <v>0</v>
      </c>
      <c r="BG142" s="71">
        <f>Transportation!G142</f>
        <v>0</v>
      </c>
      <c r="BH142" s="24">
        <f>IF(ISNA(VLOOKUP($CW142,'Audit Values'!$A:$BW,2,FALSE)), 0, VLOOKUP($CW142,'Audit Values'!$A:$BW,75,FALSE))</f>
        <v>-355</v>
      </c>
      <c r="BI142" s="24">
        <f t="shared" si="103"/>
        <v>-355</v>
      </c>
      <c r="BJ142" s="24">
        <f t="shared" si="104"/>
        <v>30111659</v>
      </c>
      <c r="BK142" s="24">
        <f>SUM((U142+V142+AA142+AC142+AF142+AI142+AL142+AM142+AN142)*'Weighting Factors'!O$12)+(MAX(AO142,'Weighting Factors'!B142))</f>
        <v>30298810</v>
      </c>
      <c r="BL142" s="78">
        <f>'LOB%'!F140</f>
        <v>0.33</v>
      </c>
      <c r="BM142" s="24">
        <f t="shared" si="111"/>
        <v>9998607</v>
      </c>
      <c r="BN142" s="67">
        <v>10284520</v>
      </c>
      <c r="BO142" s="24">
        <f t="shared" si="105"/>
        <v>9998607</v>
      </c>
      <c r="BP142" s="89">
        <f t="shared" si="112"/>
        <v>0.33</v>
      </c>
      <c r="BQ142" s="58">
        <f t="shared" si="113"/>
        <v>0</v>
      </c>
      <c r="BR142" s="1" t="b">
        <f t="shared" si="114"/>
        <v>0</v>
      </c>
      <c r="BS142" s="76">
        <f t="shared" si="115"/>
        <v>0</v>
      </c>
      <c r="BT142" s="75">
        <f t="shared" si="106"/>
        <v>0</v>
      </c>
      <c r="BU142" s="58">
        <f t="shared" si="116"/>
        <v>0</v>
      </c>
      <c r="BV142" s="1" t="b">
        <f t="shared" si="117"/>
        <v>0</v>
      </c>
      <c r="BW142" s="1">
        <f t="shared" si="118"/>
        <v>0</v>
      </c>
      <c r="BX142" s="75">
        <f t="shared" si="107"/>
        <v>0</v>
      </c>
      <c r="BY142" s="58">
        <f t="shared" si="119"/>
        <v>0</v>
      </c>
      <c r="BZ142" s="58">
        <f t="shared" si="120"/>
        <v>130.6</v>
      </c>
      <c r="CA142" s="61">
        <v>84</v>
      </c>
      <c r="CB142" s="102">
        <f t="shared" si="121"/>
        <v>18.725999999999999</v>
      </c>
      <c r="CC142" s="105">
        <f>IF(CB142&lt;0.06,1,IF(CB142&gt;=18.29,52,MATCH(CB142-0.001,'Weighting Factors'!$W$5:$W$156)+1))</f>
        <v>52</v>
      </c>
      <c r="CD142" s="24">
        <f>VLOOKUP(CC142, 'Weighting Factors'!$U$5:$X$56,4)</f>
        <v>550</v>
      </c>
      <c r="CE142" s="109">
        <f>('Weighting Factors'!$O$5/'Weighting Factors'!$O$14)</f>
        <v>1.2216</v>
      </c>
      <c r="CF142" s="100">
        <f t="shared" si="122"/>
        <v>865150</v>
      </c>
      <c r="CG142" s="100">
        <f>CF142*'Weighting Factors'!$Q$7</f>
        <v>865150</v>
      </c>
      <c r="CH142" s="100">
        <f t="shared" si="108"/>
        <v>1056867</v>
      </c>
      <c r="CI142" s="58">
        <f>AK142/'Weighting Factors'!$O$5</f>
        <v>207.7</v>
      </c>
      <c r="CJ142" s="67">
        <v>0</v>
      </c>
      <c r="CK142" s="80">
        <v>0</v>
      </c>
      <c r="CL142" s="110">
        <v>0</v>
      </c>
      <c r="CM142" s="24">
        <f>SUM((AR142*'Weighting Factors'!$O$5)+'2024 Legal Max'!AX142)*CL142</f>
        <v>0</v>
      </c>
      <c r="CN142" s="24">
        <f t="shared" si="109"/>
        <v>0</v>
      </c>
      <c r="CO142" s="65">
        <f t="shared" si="110"/>
        <v>0.33069999999999999</v>
      </c>
      <c r="CP142" s="58">
        <f t="shared" si="123"/>
        <v>0</v>
      </c>
      <c r="CQ142" s="58">
        <f t="shared" si="124"/>
        <v>0</v>
      </c>
      <c r="CR142" s="58">
        <f t="shared" si="125"/>
        <v>5888.8</v>
      </c>
      <c r="CS142" s="24">
        <f>'Required Transfers'!L142</f>
        <v>1021858</v>
      </c>
      <c r="CT142" s="24">
        <f>'Required Transfers'!O142</f>
        <v>5999</v>
      </c>
      <c r="CU142" s="24">
        <f>'Required Transfers'!H142</f>
        <v>3211546</v>
      </c>
      <c r="CV142" s="58">
        <f t="shared" si="126"/>
        <v>3656.2</v>
      </c>
      <c r="CW142" s="27" t="s">
        <v>327</v>
      </c>
    </row>
    <row r="143" spans="1:101" ht="15" customHeight="1">
      <c r="A143" s="54">
        <v>346</v>
      </c>
      <c r="B143" s="1" t="s">
        <v>60</v>
      </c>
      <c r="C143" s="1" t="s">
        <v>648</v>
      </c>
      <c r="D143" s="58">
        <v>550.5</v>
      </c>
      <c r="E143" s="58"/>
      <c r="F143" s="58">
        <v>0</v>
      </c>
      <c r="G143" s="58">
        <f t="shared" si="127"/>
        <v>550.5</v>
      </c>
      <c r="H143" s="58">
        <v>521</v>
      </c>
      <c r="I143" s="58"/>
      <c r="J143" s="58">
        <v>0</v>
      </c>
      <c r="K143" s="58">
        <f t="shared" si="128"/>
        <v>521</v>
      </c>
      <c r="L143" s="1">
        <v>539.79999999999995</v>
      </c>
      <c r="N143" s="1">
        <v>0</v>
      </c>
      <c r="O143" s="58">
        <f t="shared" si="129"/>
        <v>539.79999999999995</v>
      </c>
      <c r="P143" s="58">
        <f>IF(ISNA(VLOOKUP($CW143,'Audit Values'!$A:$BZ,2,FALSE)),'Preliminary SO66'!C142,VLOOKUP($CW143,'Audit Values'!$A:$BZ,76,FALSE))</f>
        <v>555.79999999999995</v>
      </c>
      <c r="Q143" s="58">
        <f>IF(ISNA(VLOOKUP($CW143,'Audit Values'!$A:$BZ,2,FALSE)),'Preliminary SO66'!F142,VLOOKUP($CW143,'Audit Values'!$A:$BZ,4,FALSE))</f>
        <v>0</v>
      </c>
      <c r="R143" s="58">
        <f t="shared" si="97"/>
        <v>555.79999999999995</v>
      </c>
      <c r="S143" s="58">
        <f>IF('Military Provision'!I143="YES", MAX('2024 Legal Max'!O143,'2024 Legal Max'!K143,AVERAGE('2024 Legal Max'!G143,'2024 Legal Max'!K143,'2024 Legal Max'!O143)), MAX(O143, K143))</f>
        <v>539.79999999999995</v>
      </c>
      <c r="T143" s="58">
        <f>IF(ISNA(VLOOKUP($CW143,'Audit Values'!$A:$BX,2,FALSE)),'Preliminary SO66'!AL142,VLOOKUP($CW143,'Audit Values'!$A:$BX,59,FALSE))</f>
        <v>11</v>
      </c>
      <c r="U143" s="58">
        <f t="shared" si="98"/>
        <v>550.79999999999995</v>
      </c>
      <c r="V143" s="58">
        <f>'Low-High ENRL- 2023 HSubSB 113'!N146</f>
        <v>219.8</v>
      </c>
      <c r="W143" s="58">
        <f>IF(ISNA(VLOOKUP($CW143,'Audit Values'!$A:$BZ,2,FALSE)),'Preliminary SO66'!AM142,VLOOKUP($CW143,'Audit Values'!$A:$BZ,63,FALSE))</f>
        <v>0.3</v>
      </c>
      <c r="X143" s="58">
        <f>(W143/6)*'Weighting Factors'!$O$7</f>
        <v>0</v>
      </c>
      <c r="Y143" s="61">
        <f>IF(ISNA(VLOOKUP($CW143,'Audit Values'!$A:$BZ,2,FALSE)),'Preliminary SO66'!AN142,VLOOKUP($CW143,'Audit Values'!$A:$BZ,62,FALSE))</f>
        <v>4</v>
      </c>
      <c r="Z143" s="58">
        <f>Y143*'Weighting Factors'!$O$8</f>
        <v>0.7</v>
      </c>
      <c r="AA143" s="58">
        <f t="shared" si="99"/>
        <v>0.7</v>
      </c>
      <c r="AB143" s="106">
        <f>IF(ISNA(VLOOKUP($CW143,'Audit Values'!$A:$BZ,2,FALSE)),'Preliminary SO66'!AO142,VLOOKUP($CW143,'Audit Values'!$A:$BZ,61,FALSE))</f>
        <v>211.1</v>
      </c>
      <c r="AC143" s="58">
        <f>AB143/6*'Weighting Factors'!$O$6</f>
        <v>17.600000000000001</v>
      </c>
      <c r="AD143" s="24">
        <f>IF(ISNA(VLOOKUP($CW143,'Audit Values'!$A:$BX,2,FALSE)),'Preliminary SO66'!AS142,VLOOKUP($CW143,'Audit Values'!$A:$BX,64,FALSE))</f>
        <v>582</v>
      </c>
      <c r="AE143" s="24">
        <f>IF(ISNA(VLOOKUP($CW143,'Audit Values'!$A:$BX,2,FALSE)),'Preliminary SO66'!AP142,VLOOKUP($CW143,'Audit Values'!$A:$BX,65,FALSE))</f>
        <v>296</v>
      </c>
      <c r="AF143" s="58">
        <f>IF(A143=207, AE143,(AE143))*'Weighting Factors'!$O$9</f>
        <v>143.30000000000001</v>
      </c>
      <c r="AG143" s="58">
        <f t="shared" si="96"/>
        <v>31.1</v>
      </c>
      <c r="AH143" s="58">
        <f>IF(ISNA(VLOOKUP($CW143,'Audit Values'!$A:$BZ,2,FALSE)),'Preliminary SO66'!AG142,VLOOKUP($CW143,'Audit Values'!$A:$BZ,71,FALSE))</f>
        <v>25.5</v>
      </c>
      <c r="AI143" s="58">
        <f t="shared" si="100"/>
        <v>31.1</v>
      </c>
      <c r="AJ143" s="58">
        <f>IF(ISNA(VLOOKUP($CW143,'Audit Values'!$A:$BX,2,FALSE)),'Preliminary SO66'!AR142,VLOOKUP($CW143,'Audit Values'!$A:$BX,66,FALSE))</f>
        <v>315</v>
      </c>
      <c r="AK143" s="24">
        <f t="shared" si="101"/>
        <v>365564</v>
      </c>
      <c r="AL143" s="58">
        <f>AK143/'Weighting Factors'!$O$5</f>
        <v>71.8</v>
      </c>
      <c r="AM143" s="58">
        <f>CJ143/'Weighting Factors'!$O$5</f>
        <v>0</v>
      </c>
      <c r="AN143" s="58">
        <f>CN143/'Weighting Factors'!$O$5</f>
        <v>0</v>
      </c>
      <c r="AO143" s="24">
        <v>838776</v>
      </c>
      <c r="AP143" s="58">
        <f>AO143/'Weighting Factors'!$O$5</f>
        <v>164.9</v>
      </c>
      <c r="AQ143" s="58">
        <f>IF(ISNA(VLOOKUP($CW143,'Audit Values'!$A:$BX,2,FALSE)),'Preliminary SO66'!X142,VLOOKUP($CW143,'Audit Values'!$A:$BX,48,FALSE))</f>
        <v>0</v>
      </c>
      <c r="AR143" s="58">
        <f t="shared" si="130"/>
        <v>1200</v>
      </c>
      <c r="AS143" s="58">
        <f t="shared" si="131"/>
        <v>1035.0999999999999</v>
      </c>
      <c r="AT143" s="58">
        <f>IF(ISNA(VLOOKUP($CW143,'Audit Values'!$A$2:$BX$410,2,FALSE)),'Preliminary SO66'!AA142,VLOOKUP($CW143,'Audit Values'!$A$2:$BX$410,41,FALSE))</f>
        <v>1</v>
      </c>
      <c r="AU143" s="58">
        <f>IF(ISNA(VLOOKUP($CW143,'Audit Values'!$A$2:$BX$410,2,FALSE)),'Preliminary SO66'!AB142,VLOOKUP($CW143,'Audit Values'!$A$2:$BX$410,42,FALSE))</f>
        <v>0.8</v>
      </c>
      <c r="AV143" s="73">
        <v>0</v>
      </c>
      <c r="AW143" s="73">
        <v>0</v>
      </c>
      <c r="AX143" s="24">
        <f>SUM(AT143*'Weighting Factors'!$R$10)+('2024 Legal Max'!AU143*'Weighting Factors'!$R$11)+('2024 Legal Max'!AV143*'Weighting Factors'!$R$12)+('2024 Legal Max'!AW143*'Weighting Factors'!$R$12)</f>
        <v>7840</v>
      </c>
      <c r="AY143" s="54">
        <f>IF(ISNA(VLOOKUP($CW143,'Audit Values'!$A$2:$BX$429,2,FALSE)),"",IF(AND('Weighting Factors'!G143&gt;0,VLOOKUP($CW143,'Audit Values'!$A$2:$BX$429,51,FALSE)&lt;'Weighting Factors'!G143),'Weighting Factors'!G143,VLOOKUP($CW143,'Audit Values'!$A$2:$BX$429,51,FALSE)))</f>
        <v>14</v>
      </c>
      <c r="AZ143" s="54" t="str">
        <f>IF(ISNA(VLOOKUP($CW143,'Audit Values'!$A:$BY,2,FALSE)),"",VLOOKUP($CW143,'Audit Values'!$A:$BY,52,FALSE))</f>
        <v>A</v>
      </c>
      <c r="BA143" s="54" t="str">
        <f>IF('Weighting Factors'!F143="","",IF('Weighting Factors'!H143="Pending","PX","R"))</f>
        <v/>
      </c>
      <c r="BB143" s="60">
        <f>SUM((U143+V143+AA143+AC143+AF143+AI143+AL143+AM143+AQ143+AN143)*'Weighting Factors'!$O$5)+'2024 Legal Max'!AX143</f>
        <v>5274429</v>
      </c>
      <c r="BC143" s="24">
        <f>SUM((AR143+AN143)*'Weighting Factors'!$O$5)+AX143</f>
        <v>6113440</v>
      </c>
      <c r="BD143" s="67">
        <f>IF('Weighting Factors'!F143&gt;0,'Weighting Factors'!F143,'Preliminary SO66'!AV142)</f>
        <v>6226960</v>
      </c>
      <c r="BE143" s="24">
        <f t="shared" si="102"/>
        <v>6113440</v>
      </c>
      <c r="BF143" s="71">
        <f>'Weighting Factors'!E143</f>
        <v>0</v>
      </c>
      <c r="BG143" s="71">
        <f>Transportation!G143</f>
        <v>0</v>
      </c>
      <c r="BH143" s="24">
        <f>IF(ISNA(VLOOKUP($CW143,'Audit Values'!$A:$BW,2,FALSE)), 0, VLOOKUP($CW143,'Audit Values'!$A:$BW,75,FALSE))</f>
        <v>-3545</v>
      </c>
      <c r="BI143" s="24">
        <f t="shared" si="103"/>
        <v>-3545</v>
      </c>
      <c r="BJ143" s="24">
        <f t="shared" si="104"/>
        <v>6109895</v>
      </c>
      <c r="BK143" s="24">
        <f>SUM((U143+V143+AA143+AC143+AF143+AI143+AL143+AM143+AN143)*'Weighting Factors'!O$12)+(MAX(AO143,'Weighting Factors'!B143))</f>
        <v>6177822</v>
      </c>
      <c r="BL143" s="78">
        <f>'LOB%'!F141</f>
        <v>0.316</v>
      </c>
      <c r="BM143" s="24">
        <f t="shared" si="111"/>
        <v>1952192</v>
      </c>
      <c r="BN143" s="67">
        <v>1984225</v>
      </c>
      <c r="BO143" s="24">
        <f t="shared" si="105"/>
        <v>1952192</v>
      </c>
      <c r="BP143" s="89">
        <f t="shared" si="112"/>
        <v>0.316</v>
      </c>
      <c r="BQ143" s="58">
        <f t="shared" si="113"/>
        <v>0</v>
      </c>
      <c r="BR143" s="1" t="b">
        <f t="shared" si="114"/>
        <v>0</v>
      </c>
      <c r="BS143" s="76">
        <f t="shared" si="115"/>
        <v>0</v>
      </c>
      <c r="BT143" s="75">
        <f t="shared" si="106"/>
        <v>0</v>
      </c>
      <c r="BU143" s="58">
        <f t="shared" si="116"/>
        <v>0</v>
      </c>
      <c r="BV143" s="1" t="b">
        <f t="shared" si="117"/>
        <v>1</v>
      </c>
      <c r="BW143" s="1">
        <f t="shared" si="118"/>
        <v>310.36500000000001</v>
      </c>
      <c r="BX143" s="75">
        <f t="shared" si="107"/>
        <v>0.39897700000000003</v>
      </c>
      <c r="BY143" s="58">
        <f t="shared" si="119"/>
        <v>219.8</v>
      </c>
      <c r="BZ143" s="58">
        <f t="shared" si="120"/>
        <v>0</v>
      </c>
      <c r="CA143" s="61">
        <v>302</v>
      </c>
      <c r="CB143" s="102">
        <f t="shared" si="121"/>
        <v>1.0429999999999999</v>
      </c>
      <c r="CC143" s="105">
        <f>IF(CB143&lt;0.06,1,IF(CB143&gt;=18.29,52,MATCH(CB143-0.001,'Weighting Factors'!$W$5:$W$156)+1))</f>
        <v>32</v>
      </c>
      <c r="CD143" s="24">
        <f>VLOOKUP(CC143, 'Weighting Factors'!$U$5:$X$56,4)</f>
        <v>950</v>
      </c>
      <c r="CE143" s="109">
        <f>('Weighting Factors'!$O$5/'Weighting Factors'!$O$14)</f>
        <v>1.2216</v>
      </c>
      <c r="CF143" s="100">
        <f t="shared" si="122"/>
        <v>299250</v>
      </c>
      <c r="CG143" s="100">
        <f>CF143*'Weighting Factors'!$Q$7</f>
        <v>299250</v>
      </c>
      <c r="CH143" s="100">
        <f t="shared" si="108"/>
        <v>365564</v>
      </c>
      <c r="CI143" s="58">
        <f>AK143/'Weighting Factors'!$O$5</f>
        <v>71.8</v>
      </c>
      <c r="CJ143" s="67">
        <v>0</v>
      </c>
      <c r="CK143" s="80">
        <v>0</v>
      </c>
      <c r="CL143" s="110">
        <v>0</v>
      </c>
      <c r="CM143" s="24">
        <f>SUM((AR143*'Weighting Factors'!$O$5)+'2024 Legal Max'!AX143)*CL143</f>
        <v>0</v>
      </c>
      <c r="CN143" s="24">
        <f t="shared" si="109"/>
        <v>0</v>
      </c>
      <c r="CO143" s="65">
        <f t="shared" si="110"/>
        <v>0.50860000000000005</v>
      </c>
      <c r="CP143" s="58">
        <f t="shared" si="123"/>
        <v>31.1</v>
      </c>
      <c r="CQ143" s="58">
        <f t="shared" si="124"/>
        <v>0</v>
      </c>
      <c r="CR143" s="58">
        <f t="shared" si="125"/>
        <v>1200</v>
      </c>
      <c r="CS143" s="24">
        <f>'Required Transfers'!L143</f>
        <v>235239</v>
      </c>
      <c r="CT143" s="24">
        <f>'Required Transfers'!O143</f>
        <v>1171</v>
      </c>
      <c r="CU143" s="24">
        <f>'Required Transfers'!H143</f>
        <v>887347</v>
      </c>
      <c r="CV143" s="58">
        <f t="shared" si="126"/>
        <v>568.6</v>
      </c>
      <c r="CW143" s="27" t="s">
        <v>328</v>
      </c>
    </row>
    <row r="144" spans="1:101" ht="15" customHeight="1">
      <c r="A144" s="54">
        <v>347</v>
      </c>
      <c r="B144" s="1" t="s">
        <v>62</v>
      </c>
      <c r="C144" s="1" t="s">
        <v>649</v>
      </c>
      <c r="D144" s="58">
        <v>271</v>
      </c>
      <c r="E144" s="58"/>
      <c r="F144" s="58">
        <v>0</v>
      </c>
      <c r="G144" s="58">
        <f t="shared" si="127"/>
        <v>271</v>
      </c>
      <c r="H144" s="58">
        <v>284.5</v>
      </c>
      <c r="I144" s="58">
        <v>1</v>
      </c>
      <c r="J144" s="58">
        <v>0</v>
      </c>
      <c r="K144" s="58">
        <f t="shared" si="128"/>
        <v>283.5</v>
      </c>
      <c r="L144" s="1">
        <v>272.5</v>
      </c>
      <c r="N144" s="1">
        <v>0</v>
      </c>
      <c r="O144" s="58">
        <f t="shared" si="129"/>
        <v>272.5</v>
      </c>
      <c r="P144" s="58">
        <f>IF(ISNA(VLOOKUP($CW144,'Audit Values'!$A:$BZ,2,FALSE)),'Preliminary SO66'!C143,VLOOKUP($CW144,'Audit Values'!$A:$BZ,76,FALSE))</f>
        <v>273</v>
      </c>
      <c r="Q144" s="58">
        <f>IF(ISNA(VLOOKUP($CW144,'Audit Values'!$A:$BZ,2,FALSE)),'Preliminary SO66'!F143,VLOOKUP($CW144,'Audit Values'!$A:$BZ,4,FALSE))</f>
        <v>0</v>
      </c>
      <c r="R144" s="58">
        <f t="shared" si="97"/>
        <v>273</v>
      </c>
      <c r="S144" s="58">
        <f>IF('Military Provision'!I144="YES", MAX('2024 Legal Max'!O144,'2024 Legal Max'!K144,AVERAGE('2024 Legal Max'!G144,'2024 Legal Max'!K144,'2024 Legal Max'!O144)), MAX(O144, K144))</f>
        <v>283.5</v>
      </c>
      <c r="T144" s="58">
        <f>IF(ISNA(VLOOKUP($CW144,'Audit Values'!$A:$BX,2,FALSE)),'Preliminary SO66'!AL143,VLOOKUP($CW144,'Audit Values'!$A:$BX,59,FALSE))</f>
        <v>5</v>
      </c>
      <c r="U144" s="58">
        <f t="shared" si="98"/>
        <v>288.5</v>
      </c>
      <c r="V144" s="58">
        <f>'Low-High ENRL- 2023 HSubSB 113'!N147</f>
        <v>149.19999999999999</v>
      </c>
      <c r="W144" s="58">
        <f>IF(ISNA(VLOOKUP($CW144,'Audit Values'!$A:$BZ,2,FALSE)),'Preliminary SO66'!AM143,VLOOKUP($CW144,'Audit Values'!$A:$BZ,63,FALSE))</f>
        <v>66</v>
      </c>
      <c r="X144" s="58">
        <f>(W144/6)*'Weighting Factors'!$O$7</f>
        <v>4.3</v>
      </c>
      <c r="Y144" s="61">
        <f>IF(ISNA(VLOOKUP($CW144,'Audit Values'!$A:$BZ,2,FALSE)),'Preliminary SO66'!AN143,VLOOKUP($CW144,'Audit Values'!$A:$BZ,62,FALSE))</f>
        <v>21</v>
      </c>
      <c r="Z144" s="58">
        <f>Y144*'Weighting Factors'!$O$8</f>
        <v>3.9</v>
      </c>
      <c r="AA144" s="58">
        <f t="shared" si="99"/>
        <v>4.3</v>
      </c>
      <c r="AB144" s="106">
        <f>IF(ISNA(VLOOKUP($CW144,'Audit Values'!$A:$BZ,2,FALSE)),'Preliminary SO66'!AO143,VLOOKUP($CW144,'Audit Values'!$A:$BZ,61,FALSE))</f>
        <v>81.099999999999994</v>
      </c>
      <c r="AC144" s="58">
        <f>AB144/6*'Weighting Factors'!$O$6</f>
        <v>6.8</v>
      </c>
      <c r="AD144" s="24">
        <f>IF(ISNA(VLOOKUP($CW144,'Audit Values'!$A:$BX,2,FALSE)),'Preliminary SO66'!AS143,VLOOKUP($CW144,'Audit Values'!$A:$BX,64,FALSE))</f>
        <v>286</v>
      </c>
      <c r="AE144" s="24">
        <f>IF(ISNA(VLOOKUP($CW144,'Audit Values'!$A:$BX,2,FALSE)),'Preliminary SO66'!AP143,VLOOKUP($CW144,'Audit Values'!$A:$BX,65,FALSE))</f>
        <v>129</v>
      </c>
      <c r="AF144" s="58">
        <f>IF(A144=207, AE144,(AE144))*'Weighting Factors'!$O$9</f>
        <v>62.4</v>
      </c>
      <c r="AG144" s="58">
        <f t="shared" si="96"/>
        <v>9.1</v>
      </c>
      <c r="AH144" s="58">
        <f>IF(ISNA(VLOOKUP($CW144,'Audit Values'!$A:$BZ,2,FALSE)),'Preliminary SO66'!AG143,VLOOKUP($CW144,'Audit Values'!$A:$BZ,71,FALSE))</f>
        <v>8.9</v>
      </c>
      <c r="AI144" s="58">
        <f t="shared" si="100"/>
        <v>9.1</v>
      </c>
      <c r="AJ144" s="58">
        <f>IF(ISNA(VLOOKUP($CW144,'Audit Values'!$A:$BX,2,FALSE)),'Preliminary SO66'!AR143,VLOOKUP($CW144,'Audit Values'!$A:$BX,66,FALSE))</f>
        <v>115</v>
      </c>
      <c r="AK144" s="24">
        <f t="shared" si="101"/>
        <v>164366</v>
      </c>
      <c r="AL144" s="58">
        <f>AK144/'Weighting Factors'!$O$5</f>
        <v>32.299999999999997</v>
      </c>
      <c r="AM144" s="58">
        <f>CJ144/'Weighting Factors'!$O$5</f>
        <v>0</v>
      </c>
      <c r="AN144" s="58">
        <f>CN144/'Weighting Factors'!$O$5</f>
        <v>0</v>
      </c>
      <c r="AO144" s="24">
        <v>321939</v>
      </c>
      <c r="AP144" s="58">
        <f>AO144/'Weighting Factors'!$O$5</f>
        <v>63.3</v>
      </c>
      <c r="AQ144" s="58">
        <f>IF(ISNA(VLOOKUP($CW144,'Audit Values'!$A:$BX,2,FALSE)),'Preliminary SO66'!X143,VLOOKUP($CW144,'Audit Values'!$A:$BX,48,FALSE))</f>
        <v>0</v>
      </c>
      <c r="AR144" s="58">
        <f t="shared" si="130"/>
        <v>615.9</v>
      </c>
      <c r="AS144" s="58">
        <f t="shared" si="131"/>
        <v>552.6</v>
      </c>
      <c r="AT144" s="58">
        <f>IF(ISNA(VLOOKUP($CW144,'Audit Values'!$A$2:$BX$410,2,FALSE)),'Preliminary SO66'!AA143,VLOOKUP($CW144,'Audit Values'!$A$2:$BX$410,41,FALSE))</f>
        <v>0</v>
      </c>
      <c r="AU144" s="58">
        <f>IF(ISNA(VLOOKUP($CW144,'Audit Values'!$A$2:$BX$410,2,FALSE)),'Preliminary SO66'!AB143,VLOOKUP($CW144,'Audit Values'!$A$2:$BX$410,42,FALSE))</f>
        <v>0</v>
      </c>
      <c r="AV144" s="73">
        <v>0</v>
      </c>
      <c r="AW144" s="73">
        <v>0</v>
      </c>
      <c r="AX144" s="24">
        <f>SUM(AT144*'Weighting Factors'!$R$10)+('2024 Legal Max'!AU144*'Weighting Factors'!$R$11)+('2024 Legal Max'!AV144*'Weighting Factors'!$R$12)+('2024 Legal Max'!AW144*'Weighting Factors'!$R$12)</f>
        <v>0</v>
      </c>
      <c r="AY144" s="54">
        <f>IF(ISNA(VLOOKUP($CW144,'Audit Values'!$A$2:$BX$429,2,FALSE)),"",IF(AND('Weighting Factors'!G144&gt;0,VLOOKUP($CW144,'Audit Values'!$A$2:$BX$429,51,FALSE)&lt;'Weighting Factors'!G144),'Weighting Factors'!G144,VLOOKUP($CW144,'Audit Values'!$A$2:$BX$429,51,FALSE)))</f>
        <v>8</v>
      </c>
      <c r="AZ144" s="54" t="str">
        <f>IF(ISNA(VLOOKUP($CW144,'Audit Values'!$A:$BY,2,FALSE)),"",VLOOKUP($CW144,'Audit Values'!$A:$BY,52,FALSE))</f>
        <v>A</v>
      </c>
      <c r="BA144" s="54" t="str">
        <f>IF('Weighting Factors'!F144="","",IF('Weighting Factors'!H144="Pending","PX","R"))</f>
        <v/>
      </c>
      <c r="BB144" s="60">
        <f>SUM((U144+V144+AA144+AC144+AF144+AI144+AL144+AM144+AQ144+AN144)*'Weighting Factors'!$O$5)+'2024 Legal Max'!AX144</f>
        <v>2811629</v>
      </c>
      <c r="BC144" s="24">
        <f>SUM((AR144+AN144)*'Weighting Factors'!$O$5)+AX144</f>
        <v>3133699</v>
      </c>
      <c r="BD144" s="67">
        <f>IF('Weighting Factors'!F144&gt;0,'Weighting Factors'!F144,'Preliminary SO66'!AV143)</f>
        <v>3319411</v>
      </c>
      <c r="BE144" s="24">
        <f t="shared" si="102"/>
        <v>3133699</v>
      </c>
      <c r="BF144" s="71">
        <f>'Weighting Factors'!E144</f>
        <v>0</v>
      </c>
      <c r="BG144" s="71">
        <f>Transportation!G144</f>
        <v>0</v>
      </c>
      <c r="BH144" s="24">
        <f>IF(ISNA(VLOOKUP($CW144,'Audit Values'!$A:$BW,2,FALSE)), 0, VLOOKUP($CW144,'Audit Values'!$A:$BW,75,FALSE))</f>
        <v>0</v>
      </c>
      <c r="BI144" s="24">
        <f t="shared" si="103"/>
        <v>0</v>
      </c>
      <c r="BJ144" s="24">
        <f t="shared" si="104"/>
        <v>3133699</v>
      </c>
      <c r="BK144" s="24">
        <f>SUM((U144+V144+AA144+AC144+AF144+AI144+AL144+AM144+AN144)*'Weighting Factors'!O$12)+(MAX(AO144,'Weighting Factors'!B144))</f>
        <v>3239090</v>
      </c>
      <c r="BL144" s="78">
        <f>'LOB%'!F142</f>
        <v>0.33</v>
      </c>
      <c r="BM144" s="24">
        <f t="shared" si="111"/>
        <v>1068900</v>
      </c>
      <c r="BN144" s="67">
        <v>1108448</v>
      </c>
      <c r="BO144" s="24">
        <f t="shared" si="105"/>
        <v>1068900</v>
      </c>
      <c r="BP144" s="89">
        <f t="shared" si="112"/>
        <v>0.33</v>
      </c>
      <c r="BQ144" s="58">
        <f t="shared" si="113"/>
        <v>0</v>
      </c>
      <c r="BR144" s="1" t="b">
        <f t="shared" si="114"/>
        <v>1</v>
      </c>
      <c r="BS144" s="76">
        <f t="shared" si="115"/>
        <v>1819.9680000000001</v>
      </c>
      <c r="BT144" s="75">
        <f t="shared" si="106"/>
        <v>0.51466900000000004</v>
      </c>
      <c r="BU144" s="58">
        <f t="shared" si="116"/>
        <v>148.5</v>
      </c>
      <c r="BV144" s="1" t="b">
        <f t="shared" si="117"/>
        <v>0</v>
      </c>
      <c r="BW144" s="1">
        <f t="shared" si="118"/>
        <v>0</v>
      </c>
      <c r="BX144" s="75">
        <f t="shared" si="107"/>
        <v>0</v>
      </c>
      <c r="BY144" s="58">
        <f t="shared" si="119"/>
        <v>0</v>
      </c>
      <c r="BZ144" s="58">
        <f t="shared" si="120"/>
        <v>0</v>
      </c>
      <c r="CA144" s="61">
        <v>340</v>
      </c>
      <c r="CB144" s="102">
        <f t="shared" si="121"/>
        <v>0.33800000000000002</v>
      </c>
      <c r="CC144" s="105">
        <f>IF(CB144&lt;0.06,1,IF(CB144&gt;=18.29,52,MATCH(CB144-0.001,'Weighting Factors'!$W$5:$W$156)+1))</f>
        <v>21</v>
      </c>
      <c r="CD144" s="24">
        <f>VLOOKUP(CC144, 'Weighting Factors'!$U$5:$X$56,4)</f>
        <v>1170</v>
      </c>
      <c r="CE144" s="109">
        <f>('Weighting Factors'!$O$5/'Weighting Factors'!$O$14)</f>
        <v>1.2216</v>
      </c>
      <c r="CF144" s="100">
        <f t="shared" si="122"/>
        <v>134550</v>
      </c>
      <c r="CG144" s="100">
        <f>CF144*'Weighting Factors'!$Q$7</f>
        <v>134550</v>
      </c>
      <c r="CH144" s="100">
        <f t="shared" si="108"/>
        <v>164366</v>
      </c>
      <c r="CI144" s="58">
        <f>AK144/'Weighting Factors'!$O$5</f>
        <v>32.299999999999997</v>
      </c>
      <c r="CJ144" s="67">
        <v>0</v>
      </c>
      <c r="CK144" s="80">
        <v>0</v>
      </c>
      <c r="CL144" s="110">
        <v>0</v>
      </c>
      <c r="CM144" s="24">
        <f>SUM((AR144*'Weighting Factors'!$O$5)+'2024 Legal Max'!AX144)*CL144</f>
        <v>0</v>
      </c>
      <c r="CN144" s="24">
        <f t="shared" si="109"/>
        <v>0</v>
      </c>
      <c r="CO144" s="65">
        <f t="shared" si="110"/>
        <v>0.45100000000000001</v>
      </c>
      <c r="CP144" s="58">
        <f t="shared" si="123"/>
        <v>0</v>
      </c>
      <c r="CQ144" s="58">
        <f t="shared" si="124"/>
        <v>9.1</v>
      </c>
      <c r="CR144" s="58">
        <f t="shared" si="125"/>
        <v>615.9</v>
      </c>
      <c r="CS144" s="24">
        <f>'Required Transfers'!L144</f>
        <v>109135</v>
      </c>
      <c r="CT144" s="24">
        <f>'Required Transfers'!O144</f>
        <v>7482</v>
      </c>
      <c r="CU144" s="24">
        <f>'Required Transfers'!H144</f>
        <v>363792</v>
      </c>
      <c r="CV144" s="58">
        <f t="shared" si="126"/>
        <v>278</v>
      </c>
      <c r="CW144" s="27" t="s">
        <v>329</v>
      </c>
    </row>
    <row r="145" spans="1:101" ht="15" customHeight="1">
      <c r="A145" s="54">
        <v>348</v>
      </c>
      <c r="B145" s="1" t="s">
        <v>63</v>
      </c>
      <c r="C145" s="1" t="s">
        <v>650</v>
      </c>
      <c r="D145" s="58">
        <v>1255.4000000000001</v>
      </c>
      <c r="E145" s="58"/>
      <c r="F145" s="58">
        <v>0</v>
      </c>
      <c r="G145" s="58">
        <f t="shared" si="127"/>
        <v>1255.4000000000001</v>
      </c>
      <c r="H145" s="58">
        <v>1223.3</v>
      </c>
      <c r="I145" s="58"/>
      <c r="J145" s="58">
        <v>0</v>
      </c>
      <c r="K145" s="58">
        <f t="shared" si="128"/>
        <v>1223.3</v>
      </c>
      <c r="L145" s="1">
        <v>1261.7</v>
      </c>
      <c r="N145" s="1">
        <v>0</v>
      </c>
      <c r="O145" s="58">
        <f t="shared" si="129"/>
        <v>1261.7</v>
      </c>
      <c r="P145" s="58">
        <f>IF(ISNA(VLOOKUP($CW145,'Audit Values'!$A:$BZ,2,FALSE)),'Preliminary SO66'!C144,VLOOKUP($CW145,'Audit Values'!$A:$BZ,76,FALSE))</f>
        <v>1306.3</v>
      </c>
      <c r="Q145" s="58">
        <f>IF(ISNA(VLOOKUP($CW145,'Audit Values'!$A:$BZ,2,FALSE)),'Preliminary SO66'!F144,VLOOKUP($CW145,'Audit Values'!$A:$BZ,4,FALSE))</f>
        <v>0</v>
      </c>
      <c r="R145" s="58">
        <f t="shared" si="97"/>
        <v>1306.3</v>
      </c>
      <c r="S145" s="58">
        <f>IF('Military Provision'!I145="YES", MAX('2024 Legal Max'!O145,'2024 Legal Max'!K145,AVERAGE('2024 Legal Max'!G145,'2024 Legal Max'!K145,'2024 Legal Max'!O145)), MAX(O145, K145))</f>
        <v>1261.7</v>
      </c>
      <c r="T145" s="58">
        <f>IF(ISNA(VLOOKUP($CW145,'Audit Values'!$A:$BX,2,FALSE)),'Preliminary SO66'!AL144,VLOOKUP($CW145,'Audit Values'!$A:$BX,59,FALSE))</f>
        <v>26.5</v>
      </c>
      <c r="U145" s="58">
        <f t="shared" si="98"/>
        <v>1288.2</v>
      </c>
      <c r="V145" s="58">
        <f>'Low-High ENRL- 2023 HSubSB 113'!N148</f>
        <v>194.9</v>
      </c>
      <c r="W145" s="58">
        <f>IF(ISNA(VLOOKUP($CW145,'Audit Values'!$A:$BZ,2,FALSE)),'Preliminary SO66'!AM144,VLOOKUP($CW145,'Audit Values'!$A:$BZ,63,FALSE))</f>
        <v>0</v>
      </c>
      <c r="X145" s="58">
        <f>(W145/6)*'Weighting Factors'!$O$7</f>
        <v>0</v>
      </c>
      <c r="Y145" s="61">
        <f>IF(ISNA(VLOOKUP($CW145,'Audit Values'!$A:$BZ,2,FALSE)),'Preliminary SO66'!AN144,VLOOKUP($CW145,'Audit Values'!$A:$BZ,62,FALSE))</f>
        <v>6</v>
      </c>
      <c r="Z145" s="58">
        <f>Y145*'Weighting Factors'!$O$8</f>
        <v>1.1000000000000001</v>
      </c>
      <c r="AA145" s="58">
        <f t="shared" si="99"/>
        <v>1.1000000000000001</v>
      </c>
      <c r="AB145" s="106">
        <f>IF(ISNA(VLOOKUP($CW145,'Audit Values'!$A:$BZ,2,FALSE)),'Preliminary SO66'!AO144,VLOOKUP($CW145,'Audit Values'!$A:$BZ,61,FALSE))</f>
        <v>348</v>
      </c>
      <c r="AC145" s="58">
        <f>AB145/6*'Weighting Factors'!$O$6</f>
        <v>29</v>
      </c>
      <c r="AD145" s="24">
        <f>IF(ISNA(VLOOKUP($CW145,'Audit Values'!$A:$BX,2,FALSE)),'Preliminary SO66'!AS144,VLOOKUP($CW145,'Audit Values'!$A:$BX,64,FALSE))</f>
        <v>1387</v>
      </c>
      <c r="AE145" s="24">
        <f>IF(ISNA(VLOOKUP($CW145,'Audit Values'!$A:$BX,2,FALSE)),'Preliminary SO66'!AP144,VLOOKUP($CW145,'Audit Values'!$A:$BX,65,FALSE))</f>
        <v>327</v>
      </c>
      <c r="AF145" s="58">
        <f>IF(A145=207, AE145,(AE145))*'Weighting Factors'!$O$9</f>
        <v>158.30000000000001</v>
      </c>
      <c r="AG145" s="58">
        <f t="shared" si="96"/>
        <v>0</v>
      </c>
      <c r="AH145" s="58">
        <f>IF(ISNA(VLOOKUP($CW145,'Audit Values'!$A:$BZ,2,FALSE)),'Preliminary SO66'!AG144,VLOOKUP($CW145,'Audit Values'!$A:$BZ,71,FALSE))</f>
        <v>0</v>
      </c>
      <c r="AI145" s="58">
        <f t="shared" si="100"/>
        <v>0</v>
      </c>
      <c r="AJ145" s="58">
        <f>IF(ISNA(VLOOKUP($CW145,'Audit Values'!$A:$BX,2,FALSE)),'Preliminary SO66'!AR144,VLOOKUP($CW145,'Audit Values'!$A:$BX,66,FALSE))</f>
        <v>555</v>
      </c>
      <c r="AK145" s="24">
        <f t="shared" si="101"/>
        <v>508491</v>
      </c>
      <c r="AL145" s="58">
        <f>AK145/'Weighting Factors'!$O$5</f>
        <v>99.9</v>
      </c>
      <c r="AM145" s="58">
        <f>CJ145/'Weighting Factors'!$O$5</f>
        <v>0</v>
      </c>
      <c r="AN145" s="58">
        <f>CN145/'Weighting Factors'!$O$5</f>
        <v>0</v>
      </c>
      <c r="AO145" s="24">
        <v>1465213</v>
      </c>
      <c r="AP145" s="58">
        <f>AO145/'Weighting Factors'!$O$5</f>
        <v>288</v>
      </c>
      <c r="AQ145" s="58">
        <f>IF(ISNA(VLOOKUP($CW145,'Audit Values'!$A:$BX,2,FALSE)),'Preliminary SO66'!X144,VLOOKUP($CW145,'Audit Values'!$A:$BX,48,FALSE))</f>
        <v>0</v>
      </c>
      <c r="AR145" s="58">
        <f t="shared" si="130"/>
        <v>2059.4</v>
      </c>
      <c r="AS145" s="58">
        <f t="shared" si="131"/>
        <v>1771.4</v>
      </c>
      <c r="AT145" s="58">
        <f>IF(ISNA(VLOOKUP($CW145,'Audit Values'!$A$2:$BX$410,2,FALSE)),'Preliminary SO66'!AA144,VLOOKUP($CW145,'Audit Values'!$A$2:$BX$410,41,FALSE))</f>
        <v>18</v>
      </c>
      <c r="AU145" s="58">
        <f>IF(ISNA(VLOOKUP($CW145,'Audit Values'!$A$2:$BX$410,2,FALSE)),'Preliminary SO66'!AB144,VLOOKUP($CW145,'Audit Values'!$A$2:$BX$410,42,FALSE))</f>
        <v>10.4</v>
      </c>
      <c r="AV145" s="73">
        <v>0</v>
      </c>
      <c r="AW145" s="73">
        <v>0</v>
      </c>
      <c r="AX145" s="24">
        <f>SUM(AT145*'Weighting Factors'!$R$10)+('2024 Legal Max'!AU145*'Weighting Factors'!$R$11)+('2024 Legal Max'!AV145*'Weighting Factors'!$R$12)+('2024 Legal Max'!AW145*'Weighting Factors'!$R$12)</f>
        <v>129920</v>
      </c>
      <c r="AY145" s="54">
        <f>IF(ISNA(VLOOKUP($CW145,'Audit Values'!$A$2:$BX$429,2,FALSE)),"",IF(AND('Weighting Factors'!G145&gt;0,VLOOKUP($CW145,'Audit Values'!$A$2:$BX$429,51,FALSE)&lt;'Weighting Factors'!G145),'Weighting Factors'!G145,VLOOKUP($CW145,'Audit Values'!$A$2:$BX$429,51,FALSE)))</f>
        <v>15</v>
      </c>
      <c r="AZ145" s="54" t="str">
        <f>IF(ISNA(VLOOKUP($CW145,'Audit Values'!$A:$BY,2,FALSE)),"",VLOOKUP($CW145,'Audit Values'!$A:$BY,52,FALSE))</f>
        <v>A</v>
      </c>
      <c r="BA145" s="54" t="str">
        <f>IF('Weighting Factors'!F145="","",IF('Weighting Factors'!H145="Pending","PX","R"))</f>
        <v>R</v>
      </c>
      <c r="BB145" s="60">
        <f>SUM((U145+V145+AA145+AC145+AF145+AI145+AL145+AM145+AQ145+AN145)*'Weighting Factors'!$O$5)+'2024 Legal Max'!AX145</f>
        <v>9142803</v>
      </c>
      <c r="BC145" s="24">
        <f>SUM((AR145+AN145)*'Weighting Factors'!$O$5)+AX145</f>
        <v>10608147</v>
      </c>
      <c r="BD145" s="67">
        <f>IF('Weighting Factors'!F145&gt;0,'Weighting Factors'!F145,'Preliminary SO66'!AV144)</f>
        <v>10679939</v>
      </c>
      <c r="BE145" s="24">
        <f t="shared" si="102"/>
        <v>10608147</v>
      </c>
      <c r="BF145" s="71">
        <f>'Weighting Factors'!E145</f>
        <v>0</v>
      </c>
      <c r="BG145" s="71">
        <f>Transportation!G145</f>
        <v>0</v>
      </c>
      <c r="BH145" s="24">
        <f>IF(ISNA(VLOOKUP($CW145,'Audit Values'!$A:$BW,2,FALSE)), 0, VLOOKUP($CW145,'Audit Values'!$A:$BW,75,FALSE))</f>
        <v>-5600</v>
      </c>
      <c r="BI145" s="24">
        <f t="shared" si="103"/>
        <v>-5600</v>
      </c>
      <c r="BJ145" s="24">
        <f t="shared" si="104"/>
        <v>10602547</v>
      </c>
      <c r="BK145" s="24">
        <f>SUM((U145+V145+AA145+AC145+AF145+AI145+AL145+AM145+AN145)*'Weighting Factors'!O$12)+(MAX(AO145,'Weighting Factors'!B145))</f>
        <v>10602094</v>
      </c>
      <c r="BL145" s="78">
        <f>'LOB%'!F143</f>
        <v>0.33</v>
      </c>
      <c r="BM145" s="24">
        <f t="shared" si="111"/>
        <v>3498691</v>
      </c>
      <c r="BN145" s="67">
        <v>3331003</v>
      </c>
      <c r="BO145" s="24">
        <f t="shared" si="105"/>
        <v>3331003</v>
      </c>
      <c r="BP145" s="89">
        <f t="shared" si="112"/>
        <v>0.31419999999999998</v>
      </c>
      <c r="BQ145" s="58">
        <f t="shared" si="113"/>
        <v>0</v>
      </c>
      <c r="BR145" s="1" t="b">
        <f t="shared" si="114"/>
        <v>0</v>
      </c>
      <c r="BS145" s="76">
        <f t="shared" si="115"/>
        <v>0</v>
      </c>
      <c r="BT145" s="75">
        <f t="shared" si="106"/>
        <v>0</v>
      </c>
      <c r="BU145" s="58">
        <f t="shared" si="116"/>
        <v>0</v>
      </c>
      <c r="BV145" s="1" t="b">
        <f t="shared" si="117"/>
        <v>1</v>
      </c>
      <c r="BW145" s="1">
        <f t="shared" si="118"/>
        <v>1222.8975</v>
      </c>
      <c r="BX145" s="75">
        <f t="shared" si="107"/>
        <v>0.148447</v>
      </c>
      <c r="BY145" s="58">
        <f t="shared" si="119"/>
        <v>191.2</v>
      </c>
      <c r="BZ145" s="58">
        <f t="shared" si="120"/>
        <v>0</v>
      </c>
      <c r="CA145" s="61">
        <v>139</v>
      </c>
      <c r="CB145" s="102">
        <f t="shared" si="121"/>
        <v>3.9929999999999999</v>
      </c>
      <c r="CC145" s="105">
        <f>IF(CB145&lt;0.06,1,IF(CB145&gt;=18.29,52,MATCH(CB145-0.001,'Weighting Factors'!$W$5:$W$156)+1))</f>
        <v>42</v>
      </c>
      <c r="CD145" s="24">
        <f>VLOOKUP(CC145, 'Weighting Factors'!$U$5:$X$56,4)</f>
        <v>750</v>
      </c>
      <c r="CE145" s="109">
        <f>('Weighting Factors'!$O$5/'Weighting Factors'!$O$14)</f>
        <v>1.2216</v>
      </c>
      <c r="CF145" s="100">
        <f t="shared" si="122"/>
        <v>416250</v>
      </c>
      <c r="CG145" s="100">
        <f>CF145*'Weighting Factors'!$Q$7</f>
        <v>416250</v>
      </c>
      <c r="CH145" s="100">
        <f t="shared" si="108"/>
        <v>508491</v>
      </c>
      <c r="CI145" s="58">
        <f>AK145/'Weighting Factors'!$O$5</f>
        <v>99.9</v>
      </c>
      <c r="CJ145" s="67">
        <v>0</v>
      </c>
      <c r="CK145" s="80">
        <v>0</v>
      </c>
      <c r="CL145" s="110">
        <v>2.7400000000000001E-2</v>
      </c>
      <c r="CM145" s="24">
        <f>SUM((AR145*'Weighting Factors'!$O$5)+'2024 Legal Max'!AX145)*CL145</f>
        <v>290663</v>
      </c>
      <c r="CN145" s="24">
        <f t="shared" si="109"/>
        <v>0</v>
      </c>
      <c r="CO145" s="65">
        <f t="shared" si="110"/>
        <v>0.23580000000000001</v>
      </c>
      <c r="CP145" s="58">
        <f t="shared" si="123"/>
        <v>0</v>
      </c>
      <c r="CQ145" s="58">
        <f t="shared" si="124"/>
        <v>0</v>
      </c>
      <c r="CR145" s="58">
        <f t="shared" si="125"/>
        <v>2059.4</v>
      </c>
      <c r="CS145" s="24">
        <f>'Required Transfers'!L145</f>
        <v>259485</v>
      </c>
      <c r="CT145" s="24">
        <f>'Required Transfers'!O145</f>
        <v>1666</v>
      </c>
      <c r="CU145" s="24">
        <f>'Required Transfers'!H145</f>
        <v>805430</v>
      </c>
      <c r="CV145" s="58">
        <f t="shared" si="126"/>
        <v>1361.2</v>
      </c>
      <c r="CW145" s="27" t="s">
        <v>330</v>
      </c>
    </row>
    <row r="146" spans="1:101" ht="15" customHeight="1">
      <c r="A146" s="54">
        <v>349</v>
      </c>
      <c r="B146" s="1" t="s">
        <v>64</v>
      </c>
      <c r="C146" s="1" t="s">
        <v>651</v>
      </c>
      <c r="D146" s="58">
        <v>256</v>
      </c>
      <c r="E146" s="58"/>
      <c r="F146" s="58">
        <v>0</v>
      </c>
      <c r="G146" s="58">
        <f t="shared" si="127"/>
        <v>256</v>
      </c>
      <c r="H146" s="58">
        <v>253.5</v>
      </c>
      <c r="I146" s="58"/>
      <c r="J146" s="58">
        <v>0</v>
      </c>
      <c r="K146" s="58">
        <f t="shared" si="128"/>
        <v>253.5</v>
      </c>
      <c r="L146" s="1">
        <v>248.3</v>
      </c>
      <c r="N146" s="1">
        <v>0</v>
      </c>
      <c r="O146" s="58">
        <f t="shared" si="129"/>
        <v>248.3</v>
      </c>
      <c r="P146" s="58">
        <f>IF(ISNA(VLOOKUP($CW146,'Audit Values'!$A:$BZ,2,FALSE)),'Preliminary SO66'!C145,VLOOKUP($CW146,'Audit Values'!$A:$BZ,76,FALSE))</f>
        <v>235.2</v>
      </c>
      <c r="Q146" s="58">
        <f>IF(ISNA(VLOOKUP($CW146,'Audit Values'!$A:$BZ,2,FALSE)),'Preliminary SO66'!F145,VLOOKUP($CW146,'Audit Values'!$A:$BZ,4,FALSE))</f>
        <v>0</v>
      </c>
      <c r="R146" s="58">
        <f t="shared" si="97"/>
        <v>235.2</v>
      </c>
      <c r="S146" s="58">
        <f>IF('Military Provision'!I146="YES", MAX('2024 Legal Max'!O146,'2024 Legal Max'!K146,AVERAGE('2024 Legal Max'!G146,'2024 Legal Max'!K146,'2024 Legal Max'!O146)), MAX(O146, K146))</f>
        <v>253.5</v>
      </c>
      <c r="T146" s="58">
        <f>IF(ISNA(VLOOKUP($CW146,'Audit Values'!$A:$BX,2,FALSE)),'Preliminary SO66'!AL145,VLOOKUP($CW146,'Audit Values'!$A:$BX,59,FALSE))</f>
        <v>6.5</v>
      </c>
      <c r="U146" s="58">
        <f t="shared" si="98"/>
        <v>260</v>
      </c>
      <c r="V146" s="58">
        <f>'Low-High ENRL- 2023 HSubSB 113'!N149</f>
        <v>153.5</v>
      </c>
      <c r="W146" s="58">
        <f>IF(ISNA(VLOOKUP($CW146,'Audit Values'!$A:$BZ,2,FALSE)),'Preliminary SO66'!AM145,VLOOKUP($CW146,'Audit Values'!$A:$BZ,63,FALSE))</f>
        <v>29.1</v>
      </c>
      <c r="X146" s="58">
        <f>(W146/6)*'Weighting Factors'!$O$7</f>
        <v>1.9</v>
      </c>
      <c r="Y146" s="61">
        <f>IF(ISNA(VLOOKUP($CW146,'Audit Values'!$A:$BZ,2,FALSE)),'Preliminary SO66'!AN145,VLOOKUP($CW146,'Audit Values'!$A:$BZ,62,FALSE))</f>
        <v>18</v>
      </c>
      <c r="Z146" s="58">
        <f>Y146*'Weighting Factors'!$O$8</f>
        <v>3.3</v>
      </c>
      <c r="AA146" s="58">
        <f t="shared" si="99"/>
        <v>3.3</v>
      </c>
      <c r="AB146" s="106">
        <f>IF(ISNA(VLOOKUP($CW146,'Audit Values'!$A:$BZ,2,FALSE)),'Preliminary SO66'!AO145,VLOOKUP($CW146,'Audit Values'!$A:$BZ,61,FALSE))</f>
        <v>103.6</v>
      </c>
      <c r="AC146" s="58">
        <f>AB146/6*'Weighting Factors'!$O$6</f>
        <v>8.6</v>
      </c>
      <c r="AD146" s="24">
        <f>IF(ISNA(VLOOKUP($CW146,'Audit Values'!$A:$BX,2,FALSE)),'Preliminary SO66'!AS145,VLOOKUP($CW146,'Audit Values'!$A:$BX,64,FALSE))</f>
        <v>253</v>
      </c>
      <c r="AE146" s="24">
        <f>IF(ISNA(VLOOKUP($CW146,'Audit Values'!$A:$BX,2,FALSE)),'Preliminary SO66'!AP145,VLOOKUP($CW146,'Audit Values'!$A:$BX,65,FALSE))</f>
        <v>131</v>
      </c>
      <c r="AF146" s="58">
        <f>IF(A146=207, AE146,(AE146))*'Weighting Factors'!$O$9</f>
        <v>63.4</v>
      </c>
      <c r="AG146" s="58">
        <f t="shared" si="96"/>
        <v>13.8</v>
      </c>
      <c r="AH146" s="58">
        <f>IF(ISNA(VLOOKUP($CW146,'Audit Values'!$A:$BZ,2,FALSE)),'Preliminary SO66'!AG145,VLOOKUP($CW146,'Audit Values'!$A:$BZ,71,FALSE))</f>
        <v>13.7</v>
      </c>
      <c r="AI146" s="58">
        <f t="shared" si="100"/>
        <v>13.8</v>
      </c>
      <c r="AJ146" s="58">
        <f>IF(ISNA(VLOOKUP($CW146,'Audit Values'!$A:$BX,2,FALSE)),'Preliminary SO66'!AR145,VLOOKUP($CW146,'Audit Values'!$A:$BX,66,FALSE))</f>
        <v>24</v>
      </c>
      <c r="AK146" s="24">
        <f t="shared" si="101"/>
        <v>43391</v>
      </c>
      <c r="AL146" s="58">
        <f>AK146/'Weighting Factors'!$O$5</f>
        <v>8.5</v>
      </c>
      <c r="AM146" s="58">
        <f>CJ146/'Weighting Factors'!$O$5</f>
        <v>0</v>
      </c>
      <c r="AN146" s="58">
        <f>CN146/'Weighting Factors'!$O$5</f>
        <v>0</v>
      </c>
      <c r="AO146" s="24">
        <v>349725</v>
      </c>
      <c r="AP146" s="58">
        <f>AO146/'Weighting Factors'!$O$5</f>
        <v>68.7</v>
      </c>
      <c r="AQ146" s="58">
        <f>IF(ISNA(VLOOKUP($CW146,'Audit Values'!$A:$BX,2,FALSE)),'Preliminary SO66'!X145,VLOOKUP($CW146,'Audit Values'!$A:$BX,48,FALSE))</f>
        <v>0</v>
      </c>
      <c r="AR146" s="58">
        <f t="shared" si="130"/>
        <v>579.79999999999995</v>
      </c>
      <c r="AS146" s="58">
        <f t="shared" si="131"/>
        <v>511.1</v>
      </c>
      <c r="AT146" s="58">
        <f>IF(ISNA(VLOOKUP($CW146,'Audit Values'!$A$2:$BX$410,2,FALSE)),'Preliminary SO66'!AA145,VLOOKUP($CW146,'Audit Values'!$A$2:$BX$410,41,FALSE))</f>
        <v>0</v>
      </c>
      <c r="AU146" s="58">
        <f>IF(ISNA(VLOOKUP($CW146,'Audit Values'!$A$2:$BX$410,2,FALSE)),'Preliminary SO66'!AB145,VLOOKUP($CW146,'Audit Values'!$A$2:$BX$410,42,FALSE))</f>
        <v>0</v>
      </c>
      <c r="AV146" s="73">
        <v>0</v>
      </c>
      <c r="AW146" s="73">
        <v>0</v>
      </c>
      <c r="AX146" s="24">
        <f>SUM(AT146*'Weighting Factors'!$R$10)+('2024 Legal Max'!AU146*'Weighting Factors'!$R$11)+('2024 Legal Max'!AV146*'Weighting Factors'!$R$12)+('2024 Legal Max'!AW146*'Weighting Factors'!$R$12)</f>
        <v>0</v>
      </c>
      <c r="AY146" s="54">
        <f>IF(ISNA(VLOOKUP($CW146,'Audit Values'!$A$2:$BX$429,2,FALSE)),"",IF(AND('Weighting Factors'!G146&gt;0,VLOOKUP($CW146,'Audit Values'!$A$2:$BX$429,51,FALSE)&lt;'Weighting Factors'!G146),'Weighting Factors'!G146,VLOOKUP($CW146,'Audit Values'!$A$2:$BX$429,51,FALSE)))</f>
        <v>29</v>
      </c>
      <c r="AZ146" s="54" t="str">
        <f>IF(ISNA(VLOOKUP($CW146,'Audit Values'!$A:$BY,2,FALSE)),"",VLOOKUP($CW146,'Audit Values'!$A:$BY,52,FALSE))</f>
        <v>A</v>
      </c>
      <c r="BA146" s="54" t="str">
        <f>IF('Weighting Factors'!F146="","",IF('Weighting Factors'!H146="Pending","PX","R"))</f>
        <v>R</v>
      </c>
      <c r="BB146" s="60">
        <f>SUM((U146+V146+AA146+AC146+AF146+AI146+AL146+AM146+AQ146+AN146)*'Weighting Factors'!$O$5)+'2024 Legal Max'!AX146</f>
        <v>2600477</v>
      </c>
      <c r="BC146" s="24">
        <f>SUM((AR146+AN146)*'Weighting Factors'!$O$5)+AX146</f>
        <v>2950022</v>
      </c>
      <c r="BD146" s="67">
        <f>IF('Weighting Factors'!F146&gt;0,'Weighting Factors'!F146,'Preliminary SO66'!AV145)</f>
        <v>2960707</v>
      </c>
      <c r="BE146" s="24">
        <f t="shared" si="102"/>
        <v>2950022</v>
      </c>
      <c r="BF146" s="71">
        <f>'Weighting Factors'!E146</f>
        <v>0</v>
      </c>
      <c r="BG146" s="71">
        <f>Transportation!G146</f>
        <v>0</v>
      </c>
      <c r="BH146" s="24">
        <f>IF(ISNA(VLOOKUP($CW146,'Audit Values'!$A:$BW,2,FALSE)), 0, VLOOKUP($CW146,'Audit Values'!$A:$BW,75,FALSE))</f>
        <v>0</v>
      </c>
      <c r="BI146" s="24">
        <f t="shared" si="103"/>
        <v>0</v>
      </c>
      <c r="BJ146" s="24">
        <f t="shared" si="104"/>
        <v>2950022</v>
      </c>
      <c r="BK146" s="24">
        <f>SUM((U146+V146+AA146+AC146+AF146+AI146+AL146+AM146+AN146)*'Weighting Factors'!O$12)+(MAX(AO146,'Weighting Factors'!B146))</f>
        <v>2985979</v>
      </c>
      <c r="BL146" s="78">
        <f>'LOB%'!F144</f>
        <v>0.316</v>
      </c>
      <c r="BM146" s="24">
        <f t="shared" si="111"/>
        <v>943569</v>
      </c>
      <c r="BN146" s="67">
        <v>892923</v>
      </c>
      <c r="BO146" s="24">
        <f t="shared" si="105"/>
        <v>892923</v>
      </c>
      <c r="BP146" s="89">
        <f t="shared" si="112"/>
        <v>0.29899999999999999</v>
      </c>
      <c r="BQ146" s="58">
        <f t="shared" si="113"/>
        <v>0</v>
      </c>
      <c r="BR146" s="1" t="b">
        <f t="shared" si="114"/>
        <v>1</v>
      </c>
      <c r="BS146" s="76">
        <f t="shared" si="115"/>
        <v>1544.8</v>
      </c>
      <c r="BT146" s="75">
        <f t="shared" si="106"/>
        <v>0.59021500000000005</v>
      </c>
      <c r="BU146" s="58">
        <f t="shared" si="116"/>
        <v>153.5</v>
      </c>
      <c r="BV146" s="1" t="b">
        <f t="shared" si="117"/>
        <v>0</v>
      </c>
      <c r="BW146" s="1">
        <f t="shared" si="118"/>
        <v>0</v>
      </c>
      <c r="BX146" s="75">
        <f t="shared" si="107"/>
        <v>0</v>
      </c>
      <c r="BY146" s="58">
        <f t="shared" si="119"/>
        <v>0</v>
      </c>
      <c r="BZ146" s="58">
        <f t="shared" si="120"/>
        <v>0</v>
      </c>
      <c r="CA146" s="61">
        <v>242</v>
      </c>
      <c r="CB146" s="102">
        <f t="shared" si="121"/>
        <v>9.9000000000000005E-2</v>
      </c>
      <c r="CC146" s="105">
        <f>IF(CB146&lt;0.06,1,IF(CB146&gt;=18.29,52,MATCH(CB146-0.001,'Weighting Factors'!$W$5:$W$156)+1))</f>
        <v>5</v>
      </c>
      <c r="CD146" s="24">
        <f>VLOOKUP(CC146, 'Weighting Factors'!$U$5:$X$56,4)</f>
        <v>1480</v>
      </c>
      <c r="CE146" s="109">
        <f>('Weighting Factors'!$O$5/'Weighting Factors'!$O$14)</f>
        <v>1.2216</v>
      </c>
      <c r="CF146" s="100">
        <f t="shared" si="122"/>
        <v>35520</v>
      </c>
      <c r="CG146" s="100">
        <f>CF146*'Weighting Factors'!$Q$7</f>
        <v>35520</v>
      </c>
      <c r="CH146" s="100">
        <f t="shared" si="108"/>
        <v>43391</v>
      </c>
      <c r="CI146" s="58">
        <f>AK146/'Weighting Factors'!$O$5</f>
        <v>8.5</v>
      </c>
      <c r="CJ146" s="67">
        <v>0</v>
      </c>
      <c r="CK146" s="80">
        <v>0</v>
      </c>
      <c r="CL146" s="110">
        <v>0</v>
      </c>
      <c r="CM146" s="24">
        <f>SUM((AR146*'Weighting Factors'!$O$5)+'2024 Legal Max'!AX146)*CL146</f>
        <v>0</v>
      </c>
      <c r="CN146" s="24">
        <f t="shared" si="109"/>
        <v>0</v>
      </c>
      <c r="CO146" s="65">
        <f t="shared" si="110"/>
        <v>0.51780000000000004</v>
      </c>
      <c r="CP146" s="58">
        <f t="shared" si="123"/>
        <v>13.8</v>
      </c>
      <c r="CQ146" s="58">
        <f t="shared" si="124"/>
        <v>0</v>
      </c>
      <c r="CR146" s="58">
        <f t="shared" si="125"/>
        <v>579.79999999999995</v>
      </c>
      <c r="CS146" s="24">
        <f>'Required Transfers'!L146</f>
        <v>98757</v>
      </c>
      <c r="CT146" s="24">
        <f>'Required Transfers'!O146</f>
        <v>5179</v>
      </c>
      <c r="CU146" s="24">
        <f>'Required Transfers'!H146</f>
        <v>392794</v>
      </c>
      <c r="CV146" s="58">
        <f t="shared" si="126"/>
        <v>241.7</v>
      </c>
      <c r="CW146" s="27" t="s">
        <v>331</v>
      </c>
    </row>
    <row r="147" spans="1:101" ht="15" customHeight="1">
      <c r="A147" s="54">
        <v>350</v>
      </c>
      <c r="B147" s="1" t="s">
        <v>64</v>
      </c>
      <c r="C147" s="1" t="s">
        <v>652</v>
      </c>
      <c r="D147" s="58">
        <v>307</v>
      </c>
      <c r="E147" s="58"/>
      <c r="F147" s="58">
        <v>0</v>
      </c>
      <c r="G147" s="58">
        <f t="shared" si="127"/>
        <v>307</v>
      </c>
      <c r="H147" s="58">
        <v>303.5</v>
      </c>
      <c r="I147" s="58"/>
      <c r="J147" s="58">
        <v>0</v>
      </c>
      <c r="K147" s="58">
        <f t="shared" si="128"/>
        <v>303.5</v>
      </c>
      <c r="L147" s="1">
        <v>304</v>
      </c>
      <c r="N147" s="1">
        <v>0</v>
      </c>
      <c r="O147" s="58">
        <f t="shared" si="129"/>
        <v>304</v>
      </c>
      <c r="P147" s="58">
        <f>IF(ISNA(VLOOKUP($CW147,'Audit Values'!$A:$BZ,2,FALSE)),'Preliminary SO66'!C146,VLOOKUP($CW147,'Audit Values'!$A:$BZ,76,FALSE))</f>
        <v>308.60000000000002</v>
      </c>
      <c r="Q147" s="58">
        <f>IF(ISNA(VLOOKUP($CW147,'Audit Values'!$A:$BZ,2,FALSE)),'Preliminary SO66'!F146,VLOOKUP($CW147,'Audit Values'!$A:$BZ,4,FALSE))</f>
        <v>0</v>
      </c>
      <c r="R147" s="58">
        <f t="shared" si="97"/>
        <v>308.60000000000002</v>
      </c>
      <c r="S147" s="58">
        <f>IF('Military Provision'!I147="YES", MAX('2024 Legal Max'!O147,'2024 Legal Max'!K147,AVERAGE('2024 Legal Max'!G147,'2024 Legal Max'!K147,'2024 Legal Max'!O147)), MAX(O147, K147))</f>
        <v>304</v>
      </c>
      <c r="T147" s="58">
        <f>IF(ISNA(VLOOKUP($CW147,'Audit Values'!$A:$BX,2,FALSE)),'Preliminary SO66'!AL146,VLOOKUP($CW147,'Audit Values'!$A:$BX,59,FALSE))</f>
        <v>5</v>
      </c>
      <c r="U147" s="58">
        <f t="shared" si="98"/>
        <v>309</v>
      </c>
      <c r="V147" s="58">
        <f>'Low-High ENRL- 2023 HSubSB 113'!N150</f>
        <v>148.69999999999999</v>
      </c>
      <c r="W147" s="58">
        <f>IF(ISNA(VLOOKUP($CW147,'Audit Values'!$A:$BZ,2,FALSE)),'Preliminary SO66'!AM146,VLOOKUP($CW147,'Audit Values'!$A:$BZ,63,FALSE))</f>
        <v>83.6</v>
      </c>
      <c r="X147" s="58">
        <f>(W147/6)*'Weighting Factors'!$O$7</f>
        <v>5.5</v>
      </c>
      <c r="Y147" s="61">
        <f>IF(ISNA(VLOOKUP($CW147,'Audit Values'!$A:$BZ,2,FALSE)),'Preliminary SO66'!AN146,VLOOKUP($CW147,'Audit Values'!$A:$BZ,62,FALSE))</f>
        <v>26</v>
      </c>
      <c r="Z147" s="58">
        <f>Y147*'Weighting Factors'!$O$8</f>
        <v>4.8</v>
      </c>
      <c r="AA147" s="58">
        <f t="shared" si="99"/>
        <v>5.5</v>
      </c>
      <c r="AB147" s="106">
        <f>IF(ISNA(VLOOKUP($CW147,'Audit Values'!$A:$BZ,2,FALSE)),'Preliminary SO66'!AO146,VLOOKUP($CW147,'Audit Values'!$A:$BZ,61,FALSE))</f>
        <v>111.6</v>
      </c>
      <c r="AC147" s="58">
        <f>AB147/6*'Weighting Factors'!$O$6</f>
        <v>9.3000000000000007</v>
      </c>
      <c r="AD147" s="24">
        <f>IF(ISNA(VLOOKUP($CW147,'Audit Values'!$A:$BX,2,FALSE)),'Preliminary SO66'!AS146,VLOOKUP($CW147,'Audit Values'!$A:$BX,64,FALSE))</f>
        <v>326</v>
      </c>
      <c r="AE147" s="24">
        <f>IF(ISNA(VLOOKUP($CW147,'Audit Values'!$A:$BX,2,FALSE)),'Preliminary SO66'!AP146,VLOOKUP($CW147,'Audit Values'!$A:$BX,65,FALSE))</f>
        <v>129</v>
      </c>
      <c r="AF147" s="58">
        <f>IF(A147=207, AE147,(AE147))*'Weighting Factors'!$O$9</f>
        <v>62.4</v>
      </c>
      <c r="AG147" s="58">
        <f t="shared" si="96"/>
        <v>4.0999999999999996</v>
      </c>
      <c r="AH147" s="58">
        <f>IF(ISNA(VLOOKUP($CW147,'Audit Values'!$A:$BZ,2,FALSE)),'Preliminary SO66'!AG146,VLOOKUP($CW147,'Audit Values'!$A:$BZ,71,FALSE))</f>
        <v>4.2</v>
      </c>
      <c r="AI147" s="58">
        <f t="shared" si="100"/>
        <v>4.2</v>
      </c>
      <c r="AJ147" s="58">
        <f>IF(ISNA(VLOOKUP($CW147,'Audit Values'!$A:$BX,2,FALSE)),'Preliminary SO66'!AR146,VLOOKUP($CW147,'Audit Values'!$A:$BX,66,FALSE))</f>
        <v>55.5</v>
      </c>
      <c r="AK147" s="24">
        <f t="shared" si="101"/>
        <v>88138</v>
      </c>
      <c r="AL147" s="58">
        <f>AK147/'Weighting Factors'!$O$5</f>
        <v>17.3</v>
      </c>
      <c r="AM147" s="58">
        <f>CJ147/'Weighting Factors'!$O$5</f>
        <v>0</v>
      </c>
      <c r="AN147" s="58">
        <f>CN147/'Weighting Factors'!$O$5</f>
        <v>0</v>
      </c>
      <c r="AO147" s="24">
        <v>431383</v>
      </c>
      <c r="AP147" s="58">
        <f>AO147/'Weighting Factors'!$O$5</f>
        <v>84.8</v>
      </c>
      <c r="AQ147" s="58">
        <f>IF(ISNA(VLOOKUP($CW147,'Audit Values'!$A:$BX,2,FALSE)),'Preliminary SO66'!X146,VLOOKUP($CW147,'Audit Values'!$A:$BX,48,FALSE))</f>
        <v>0</v>
      </c>
      <c r="AR147" s="58">
        <f t="shared" si="130"/>
        <v>641.20000000000005</v>
      </c>
      <c r="AS147" s="58">
        <f t="shared" si="131"/>
        <v>556.4</v>
      </c>
      <c r="AT147" s="58">
        <f>IF(ISNA(VLOOKUP($CW147,'Audit Values'!$A$2:$BX$410,2,FALSE)),'Preliminary SO66'!AA146,VLOOKUP($CW147,'Audit Values'!$A$2:$BX$410,41,FALSE))</f>
        <v>0</v>
      </c>
      <c r="AU147" s="58">
        <f>IF(ISNA(VLOOKUP($CW147,'Audit Values'!$A$2:$BX$410,2,FALSE)),'Preliminary SO66'!AB146,VLOOKUP($CW147,'Audit Values'!$A$2:$BX$410,42,FALSE))</f>
        <v>0</v>
      </c>
      <c r="AV147" s="73">
        <v>0</v>
      </c>
      <c r="AW147" s="73">
        <v>0</v>
      </c>
      <c r="AX147" s="24">
        <f>SUM(AT147*'Weighting Factors'!$R$10)+('2024 Legal Max'!AU147*'Weighting Factors'!$R$11)+('2024 Legal Max'!AV147*'Weighting Factors'!$R$12)+('2024 Legal Max'!AW147*'Weighting Factors'!$R$12)</f>
        <v>0</v>
      </c>
      <c r="AY147" s="54">
        <f>IF(ISNA(VLOOKUP($CW147,'Audit Values'!$A$2:$BX$429,2,FALSE)),"",IF(AND('Weighting Factors'!G147&gt;0,VLOOKUP($CW147,'Audit Values'!$A$2:$BX$429,51,FALSE)&lt;'Weighting Factors'!G147),'Weighting Factors'!G147,VLOOKUP($CW147,'Audit Values'!$A$2:$BX$429,51,FALSE)))</f>
        <v>17</v>
      </c>
      <c r="AZ147" s="54" t="str">
        <f>IF(ISNA(VLOOKUP($CW147,'Audit Values'!$A:$BY,2,FALSE)),"",VLOOKUP($CW147,'Audit Values'!$A:$BY,52,FALSE))</f>
        <v>A</v>
      </c>
      <c r="BA147" s="54" t="str">
        <f>IF('Weighting Factors'!F147="","",IF('Weighting Factors'!H147="Pending","PX","R"))</f>
        <v/>
      </c>
      <c r="BB147" s="60">
        <f>SUM((U147+V147+AA147+AC147+AF147+AI147+AL147+AM147+AQ147+AN147)*'Weighting Factors'!$O$5)+'2024 Legal Max'!AX147</f>
        <v>2830963</v>
      </c>
      <c r="BC147" s="24">
        <f>SUM((AR147+AN147)*'Weighting Factors'!$O$5)+AX147</f>
        <v>3262426</v>
      </c>
      <c r="BD147" s="67">
        <f>IF('Weighting Factors'!F147&gt;0,'Weighting Factors'!F147,'Preliminary SO66'!AV146)</f>
        <v>3384029</v>
      </c>
      <c r="BE147" s="24">
        <f t="shared" si="102"/>
        <v>3262426</v>
      </c>
      <c r="BF147" s="71">
        <f>'Weighting Factors'!E147</f>
        <v>0</v>
      </c>
      <c r="BG147" s="71">
        <f>Transportation!G147</f>
        <v>0</v>
      </c>
      <c r="BH147" s="24">
        <f>IF(ISNA(VLOOKUP($CW147,'Audit Values'!$A:$BW,2,FALSE)), 0, VLOOKUP($CW147,'Audit Values'!$A:$BW,75,FALSE))</f>
        <v>0</v>
      </c>
      <c r="BI147" s="24">
        <f t="shared" si="103"/>
        <v>0</v>
      </c>
      <c r="BJ147" s="24">
        <f t="shared" si="104"/>
        <v>3262426</v>
      </c>
      <c r="BK147" s="24">
        <f>SUM((U147+V147+AA147+AC147+AF147+AI147+AL147+AM147+AN147)*'Weighting Factors'!O$12)+(MAX(AO147,'Weighting Factors'!B147))</f>
        <v>3301294</v>
      </c>
      <c r="BL147" s="78">
        <f>'LOB%'!F145</f>
        <v>0.33</v>
      </c>
      <c r="BM147" s="24">
        <f t="shared" si="111"/>
        <v>1089427</v>
      </c>
      <c r="BN147" s="67">
        <v>1129721</v>
      </c>
      <c r="BO147" s="24">
        <f t="shared" si="105"/>
        <v>1089427</v>
      </c>
      <c r="BP147" s="89">
        <f t="shared" si="112"/>
        <v>0.33</v>
      </c>
      <c r="BQ147" s="58">
        <f t="shared" si="113"/>
        <v>0</v>
      </c>
      <c r="BR147" s="1" t="b">
        <f t="shared" si="114"/>
        <v>0</v>
      </c>
      <c r="BS147" s="76">
        <f t="shared" si="115"/>
        <v>0</v>
      </c>
      <c r="BT147" s="75">
        <f t="shared" si="106"/>
        <v>0</v>
      </c>
      <c r="BU147" s="58">
        <f t="shared" si="116"/>
        <v>0</v>
      </c>
      <c r="BV147" s="1" t="b">
        <f t="shared" si="117"/>
        <v>1</v>
      </c>
      <c r="BW147" s="1">
        <f t="shared" si="118"/>
        <v>11.137499999999999</v>
      </c>
      <c r="BX147" s="75">
        <f t="shared" si="107"/>
        <v>0.48112899999999997</v>
      </c>
      <c r="BY147" s="58">
        <f t="shared" si="119"/>
        <v>148.69999999999999</v>
      </c>
      <c r="BZ147" s="58">
        <f t="shared" si="120"/>
        <v>0</v>
      </c>
      <c r="CA147" s="61">
        <v>308.3</v>
      </c>
      <c r="CB147" s="102">
        <f t="shared" si="121"/>
        <v>0.18</v>
      </c>
      <c r="CC147" s="105">
        <f>IF(CB147&lt;0.06,1,IF(CB147&gt;=18.29,52,MATCH(CB147-0.001,'Weighting Factors'!$W$5:$W$156)+1))</f>
        <v>14</v>
      </c>
      <c r="CD147" s="24">
        <f>VLOOKUP(CC147, 'Weighting Factors'!$U$5:$X$56,4)</f>
        <v>1300</v>
      </c>
      <c r="CE147" s="109">
        <f>('Weighting Factors'!$O$5/'Weighting Factors'!$O$14)</f>
        <v>1.2216</v>
      </c>
      <c r="CF147" s="100">
        <f t="shared" si="122"/>
        <v>72150</v>
      </c>
      <c r="CG147" s="100">
        <f>CF147*'Weighting Factors'!$Q$7</f>
        <v>72150</v>
      </c>
      <c r="CH147" s="100">
        <f t="shared" si="108"/>
        <v>88138</v>
      </c>
      <c r="CI147" s="58">
        <f>AK147/'Weighting Factors'!$O$5</f>
        <v>17.3</v>
      </c>
      <c r="CJ147" s="67">
        <v>0</v>
      </c>
      <c r="CK147" s="80">
        <v>0</v>
      </c>
      <c r="CL147" s="110">
        <v>0</v>
      </c>
      <c r="CM147" s="24">
        <f>SUM((AR147*'Weighting Factors'!$O$5)+'2024 Legal Max'!AX147)*CL147</f>
        <v>0</v>
      </c>
      <c r="CN147" s="24">
        <f t="shared" si="109"/>
        <v>0</v>
      </c>
      <c r="CO147" s="65">
        <f t="shared" si="110"/>
        <v>0.3957</v>
      </c>
      <c r="CP147" s="58">
        <f t="shared" si="123"/>
        <v>0</v>
      </c>
      <c r="CQ147" s="58">
        <f t="shared" si="124"/>
        <v>4.0999999999999996</v>
      </c>
      <c r="CR147" s="58">
        <f t="shared" si="125"/>
        <v>641.20000000000005</v>
      </c>
      <c r="CS147" s="24">
        <f>'Required Transfers'!L147</f>
        <v>106873</v>
      </c>
      <c r="CT147" s="24">
        <f>'Required Transfers'!O147</f>
        <v>9369</v>
      </c>
      <c r="CU147" s="24">
        <f>'Required Transfers'!H147</f>
        <v>338861</v>
      </c>
      <c r="CV147" s="58">
        <f t="shared" si="126"/>
        <v>313.60000000000002</v>
      </c>
      <c r="CW147" s="27" t="s">
        <v>332</v>
      </c>
    </row>
    <row r="148" spans="1:101" ht="15" customHeight="1">
      <c r="A148" s="54">
        <v>351</v>
      </c>
      <c r="B148" s="1" t="s">
        <v>64</v>
      </c>
      <c r="C148" s="1" t="s">
        <v>653</v>
      </c>
      <c r="D148" s="58">
        <v>182</v>
      </c>
      <c r="E148" s="58"/>
      <c r="F148" s="58">
        <v>0</v>
      </c>
      <c r="G148" s="58">
        <f t="shared" si="127"/>
        <v>182</v>
      </c>
      <c r="H148" s="58">
        <v>186</v>
      </c>
      <c r="I148" s="58"/>
      <c r="J148" s="58">
        <v>0</v>
      </c>
      <c r="K148" s="58">
        <f t="shared" si="128"/>
        <v>186</v>
      </c>
      <c r="L148" s="1">
        <v>184</v>
      </c>
      <c r="N148" s="1">
        <v>0</v>
      </c>
      <c r="O148" s="58">
        <f t="shared" si="129"/>
        <v>184</v>
      </c>
      <c r="P148" s="58">
        <f>IF(ISNA(VLOOKUP($CW148,'Audit Values'!$A:$BZ,2,FALSE)),'Preliminary SO66'!C147,VLOOKUP($CW148,'Audit Values'!$A:$BZ,76,FALSE))</f>
        <v>164.5</v>
      </c>
      <c r="Q148" s="58">
        <f>IF(ISNA(VLOOKUP($CW148,'Audit Values'!$A:$BZ,2,FALSE)),'Preliminary SO66'!F147,VLOOKUP($CW148,'Audit Values'!$A:$BZ,4,FALSE))</f>
        <v>0</v>
      </c>
      <c r="R148" s="58">
        <f t="shared" si="97"/>
        <v>164.5</v>
      </c>
      <c r="S148" s="58">
        <f>IF('Military Provision'!I148="YES", MAX('2024 Legal Max'!O148,'2024 Legal Max'!K148,AVERAGE('2024 Legal Max'!G148,'2024 Legal Max'!K148,'2024 Legal Max'!O148)), MAX(O148, K148))</f>
        <v>186</v>
      </c>
      <c r="T148" s="58">
        <f>IF(ISNA(VLOOKUP($CW148,'Audit Values'!$A:$BX,2,FALSE)),'Preliminary SO66'!AL147,VLOOKUP($CW148,'Audit Values'!$A:$BX,59,FALSE))</f>
        <v>5.5</v>
      </c>
      <c r="U148" s="58">
        <f t="shared" si="98"/>
        <v>191.5</v>
      </c>
      <c r="V148" s="58">
        <f>'Low-High ENRL- 2023 HSubSB 113'!N151</f>
        <v>147.80000000000001</v>
      </c>
      <c r="W148" s="58">
        <f>IF(ISNA(VLOOKUP($CW148,'Audit Values'!$A:$BZ,2,FALSE)),'Preliminary SO66'!AM147,VLOOKUP($CW148,'Audit Values'!$A:$BZ,63,FALSE))</f>
        <v>68.099999999999994</v>
      </c>
      <c r="X148" s="58">
        <f>(W148/6)*'Weighting Factors'!$O$7</f>
        <v>4.5</v>
      </c>
      <c r="Y148" s="61">
        <f>IF(ISNA(VLOOKUP($CW148,'Audit Values'!$A:$BZ,2,FALSE)),'Preliminary SO66'!AN147,VLOOKUP($CW148,'Audit Values'!$A:$BZ,62,FALSE))</f>
        <v>28</v>
      </c>
      <c r="Z148" s="58">
        <f>Y148*'Weighting Factors'!$O$8</f>
        <v>5.2</v>
      </c>
      <c r="AA148" s="58">
        <f t="shared" si="99"/>
        <v>5.2</v>
      </c>
      <c r="AB148" s="106">
        <f>IF(ISNA(VLOOKUP($CW148,'Audit Values'!$A:$BZ,2,FALSE)),'Preliminary SO66'!AO147,VLOOKUP($CW148,'Audit Values'!$A:$BZ,61,FALSE))</f>
        <v>5.9</v>
      </c>
      <c r="AC148" s="58">
        <f>AB148/6*'Weighting Factors'!$O$6</f>
        <v>0.5</v>
      </c>
      <c r="AD148" s="24">
        <f>IF(ISNA(VLOOKUP($CW148,'Audit Values'!$A:$BX,2,FALSE)),'Preliminary SO66'!AS147,VLOOKUP($CW148,'Audit Values'!$A:$BX,64,FALSE))</f>
        <v>178</v>
      </c>
      <c r="AE148" s="24">
        <f>IF(ISNA(VLOOKUP($CW148,'Audit Values'!$A:$BX,2,FALSE)),'Preliminary SO66'!AP147,VLOOKUP($CW148,'Audit Values'!$A:$BX,65,FALSE))</f>
        <v>98</v>
      </c>
      <c r="AF148" s="58">
        <f>IF(A148=207, AE148,(AE148))*'Weighting Factors'!$O$9</f>
        <v>47.4</v>
      </c>
      <c r="AG148" s="58">
        <f t="shared" si="96"/>
        <v>10.3</v>
      </c>
      <c r="AH148" s="58">
        <f>IF(ISNA(VLOOKUP($CW148,'Audit Values'!$A:$BZ,2,FALSE)),'Preliminary SO66'!AG147,VLOOKUP($CW148,'Audit Values'!$A:$BZ,71,FALSE))</f>
        <v>10.3</v>
      </c>
      <c r="AI148" s="58">
        <f t="shared" si="100"/>
        <v>10.3</v>
      </c>
      <c r="AJ148" s="58">
        <f>IF(ISNA(VLOOKUP($CW148,'Audit Values'!$A:$BX,2,FALSE)),'Preliminary SO66'!AR147,VLOOKUP($CW148,'Audit Values'!$A:$BX,66,FALSE))</f>
        <v>49</v>
      </c>
      <c r="AK148" s="24">
        <f t="shared" si="101"/>
        <v>83203</v>
      </c>
      <c r="AL148" s="58">
        <f>AK148/'Weighting Factors'!$O$5</f>
        <v>16.399999999999999</v>
      </c>
      <c r="AM148" s="58">
        <f>CJ148/'Weighting Factors'!$O$5</f>
        <v>0</v>
      </c>
      <c r="AN148" s="58">
        <f>CN148/'Weighting Factors'!$O$5</f>
        <v>0</v>
      </c>
      <c r="AO148" s="24">
        <v>262159</v>
      </c>
      <c r="AP148" s="58">
        <f>AO148/'Weighting Factors'!$O$5</f>
        <v>51.5</v>
      </c>
      <c r="AQ148" s="58">
        <f>IF(ISNA(VLOOKUP($CW148,'Audit Values'!$A:$BX,2,FALSE)),'Preliminary SO66'!X147,VLOOKUP($CW148,'Audit Values'!$A:$BX,48,FALSE))</f>
        <v>0</v>
      </c>
      <c r="AR148" s="58">
        <f t="shared" si="130"/>
        <v>470.6</v>
      </c>
      <c r="AS148" s="58">
        <f t="shared" si="131"/>
        <v>419.1</v>
      </c>
      <c r="AT148" s="58">
        <f>IF(ISNA(VLOOKUP($CW148,'Audit Values'!$A$2:$BX$410,2,FALSE)),'Preliminary SO66'!AA147,VLOOKUP($CW148,'Audit Values'!$A$2:$BX$410,41,FALSE))</f>
        <v>0</v>
      </c>
      <c r="AU148" s="58">
        <f>IF(ISNA(VLOOKUP($CW148,'Audit Values'!$A$2:$BX$410,2,FALSE)),'Preliminary SO66'!AB147,VLOOKUP($CW148,'Audit Values'!$A$2:$BX$410,42,FALSE))</f>
        <v>0</v>
      </c>
      <c r="AV148" s="73">
        <v>0</v>
      </c>
      <c r="AW148" s="73">
        <v>0</v>
      </c>
      <c r="AX148" s="24">
        <f>SUM(AT148*'Weighting Factors'!$R$10)+('2024 Legal Max'!AU148*'Weighting Factors'!$R$11)+('2024 Legal Max'!AV148*'Weighting Factors'!$R$12)+('2024 Legal Max'!AW148*'Weighting Factors'!$R$12)</f>
        <v>0</v>
      </c>
      <c r="AY148" s="54">
        <f>IF(ISNA(VLOOKUP($CW148,'Audit Values'!$A$2:$BX$429,2,FALSE)),"",IF(AND('Weighting Factors'!G148&gt;0,VLOOKUP($CW148,'Audit Values'!$A$2:$BX$429,51,FALSE)&lt;'Weighting Factors'!G148),'Weighting Factors'!G148,VLOOKUP($CW148,'Audit Values'!$A$2:$BX$429,51,FALSE)))</f>
        <v>17</v>
      </c>
      <c r="AZ148" s="54" t="str">
        <f>IF(ISNA(VLOOKUP($CW148,'Audit Values'!$A:$BY,2,FALSE)),"",VLOOKUP($CW148,'Audit Values'!$A:$BY,52,FALSE))</f>
        <v>A</v>
      </c>
      <c r="BA148" s="54" t="str">
        <f>IF('Weighting Factors'!F148="","",IF('Weighting Factors'!H148="Pending","PX","R"))</f>
        <v/>
      </c>
      <c r="BB148" s="60">
        <f>SUM((U148+V148+AA148+AC148+AF148+AI148+AL148+AM148+AQ148+AN148)*'Weighting Factors'!$O$5)+'2024 Legal Max'!AX148</f>
        <v>2132381</v>
      </c>
      <c r="BC148" s="24">
        <f>SUM((AR148+AN148)*'Weighting Factors'!$O$5)+AX148</f>
        <v>2394413</v>
      </c>
      <c r="BD148" s="67">
        <f>IF('Weighting Factors'!F148&gt;0,'Weighting Factors'!F148,'Preliminary SO66'!AV147)</f>
        <v>2596406</v>
      </c>
      <c r="BE148" s="24">
        <f t="shared" si="102"/>
        <v>2394413</v>
      </c>
      <c r="BF148" s="71">
        <f>'Weighting Factors'!E148</f>
        <v>0</v>
      </c>
      <c r="BG148" s="71">
        <f>Transportation!G148</f>
        <v>0</v>
      </c>
      <c r="BH148" s="24">
        <f>IF(ISNA(VLOOKUP($CW148,'Audit Values'!$A:$BW,2,FALSE)), 0, VLOOKUP($CW148,'Audit Values'!$A:$BW,75,FALSE))</f>
        <v>0</v>
      </c>
      <c r="BI148" s="24">
        <f t="shared" si="103"/>
        <v>0</v>
      </c>
      <c r="BJ148" s="24">
        <f t="shared" si="104"/>
        <v>2394413</v>
      </c>
      <c r="BK148" s="24">
        <f>SUM((U148+V148+AA148+AC148+AF148+AI148+AL148+AM148+AN148)*'Weighting Factors'!O$12)+(MAX(AO148,'Weighting Factors'!B148))</f>
        <v>2470053</v>
      </c>
      <c r="BL148" s="78">
        <f>'LOB%'!F146</f>
        <v>0.33</v>
      </c>
      <c r="BM148" s="24">
        <f t="shared" si="111"/>
        <v>815117</v>
      </c>
      <c r="BN148" s="67">
        <v>867033</v>
      </c>
      <c r="BO148" s="24">
        <f t="shared" si="105"/>
        <v>815117</v>
      </c>
      <c r="BP148" s="89">
        <f t="shared" si="112"/>
        <v>0.33</v>
      </c>
      <c r="BQ148" s="58">
        <f t="shared" si="113"/>
        <v>0</v>
      </c>
      <c r="BR148" s="1" t="b">
        <f t="shared" si="114"/>
        <v>1</v>
      </c>
      <c r="BS148" s="76">
        <f t="shared" si="115"/>
        <v>883.43299999999999</v>
      </c>
      <c r="BT148" s="75">
        <f t="shared" si="106"/>
        <v>0.77178999999999998</v>
      </c>
      <c r="BU148" s="58">
        <f t="shared" si="116"/>
        <v>147.80000000000001</v>
      </c>
      <c r="BV148" s="1" t="b">
        <f t="shared" si="117"/>
        <v>0</v>
      </c>
      <c r="BW148" s="1">
        <f t="shared" si="118"/>
        <v>0</v>
      </c>
      <c r="BX148" s="75">
        <f t="shared" si="107"/>
        <v>0</v>
      </c>
      <c r="BY148" s="58">
        <f t="shared" si="119"/>
        <v>0</v>
      </c>
      <c r="BZ148" s="58">
        <f t="shared" si="120"/>
        <v>0</v>
      </c>
      <c r="CA148" s="61">
        <v>360</v>
      </c>
      <c r="CB148" s="102">
        <f t="shared" si="121"/>
        <v>0.13600000000000001</v>
      </c>
      <c r="CC148" s="105">
        <f>IF(CB148&lt;0.06,1,IF(CB148&gt;=18.29,52,MATCH(CB148-0.001,'Weighting Factors'!$W$5:$W$156)+1))</f>
        <v>9</v>
      </c>
      <c r="CD148" s="24">
        <f>VLOOKUP(CC148, 'Weighting Factors'!$U$5:$X$56,4)</f>
        <v>1390</v>
      </c>
      <c r="CE148" s="109">
        <f>('Weighting Factors'!$O$5/'Weighting Factors'!$O$14)</f>
        <v>1.2216</v>
      </c>
      <c r="CF148" s="100">
        <f t="shared" si="122"/>
        <v>68110</v>
      </c>
      <c r="CG148" s="100">
        <f>CF148*'Weighting Factors'!$Q$7</f>
        <v>68110</v>
      </c>
      <c r="CH148" s="100">
        <f t="shared" si="108"/>
        <v>83203</v>
      </c>
      <c r="CI148" s="58">
        <f>AK148/'Weighting Factors'!$O$5</f>
        <v>16.399999999999999</v>
      </c>
      <c r="CJ148" s="67">
        <v>0</v>
      </c>
      <c r="CK148" s="80">
        <v>0</v>
      </c>
      <c r="CL148" s="110">
        <v>0</v>
      </c>
      <c r="CM148" s="24">
        <f>SUM((AR148*'Weighting Factors'!$O$5)+'2024 Legal Max'!AX148)*CL148</f>
        <v>0</v>
      </c>
      <c r="CN148" s="24">
        <f t="shared" si="109"/>
        <v>0</v>
      </c>
      <c r="CO148" s="65">
        <f t="shared" si="110"/>
        <v>0.55059999999999998</v>
      </c>
      <c r="CP148" s="58">
        <f t="shared" si="123"/>
        <v>10.3</v>
      </c>
      <c r="CQ148" s="58">
        <f t="shared" si="124"/>
        <v>0</v>
      </c>
      <c r="CR148" s="58">
        <f t="shared" si="125"/>
        <v>470.6</v>
      </c>
      <c r="CS148" s="24">
        <f>'Required Transfers'!L148</f>
        <v>83060</v>
      </c>
      <c r="CT148" s="24">
        <f>'Required Transfers'!O148</f>
        <v>9129</v>
      </c>
      <c r="CU148" s="24">
        <f>'Required Transfers'!H148</f>
        <v>293578</v>
      </c>
      <c r="CV148" s="58">
        <f t="shared" si="126"/>
        <v>170</v>
      </c>
      <c r="CW148" s="27" t="s">
        <v>333</v>
      </c>
    </row>
    <row r="149" spans="1:101" ht="15" customHeight="1">
      <c r="A149" s="54">
        <v>352</v>
      </c>
      <c r="B149" s="1" t="s">
        <v>65</v>
      </c>
      <c r="C149" s="1" t="s">
        <v>654</v>
      </c>
      <c r="D149" s="58">
        <v>869</v>
      </c>
      <c r="E149" s="58"/>
      <c r="F149" s="58">
        <v>0</v>
      </c>
      <c r="G149" s="58">
        <f t="shared" si="127"/>
        <v>869</v>
      </c>
      <c r="H149" s="58">
        <v>865</v>
      </c>
      <c r="I149" s="58"/>
      <c r="J149" s="58">
        <v>0</v>
      </c>
      <c r="K149" s="58">
        <f t="shared" si="128"/>
        <v>865</v>
      </c>
      <c r="L149" s="1">
        <v>879</v>
      </c>
      <c r="N149" s="1">
        <v>0</v>
      </c>
      <c r="O149" s="58">
        <f t="shared" si="129"/>
        <v>879</v>
      </c>
      <c r="P149" s="58">
        <f>IF(ISNA(VLOOKUP($CW149,'Audit Values'!$A:$BZ,2,FALSE)),'Preliminary SO66'!C148,VLOOKUP($CW149,'Audit Values'!$A:$BZ,76,FALSE))</f>
        <v>838.7</v>
      </c>
      <c r="Q149" s="58">
        <f>IF(ISNA(VLOOKUP($CW149,'Audit Values'!$A:$BZ,2,FALSE)),'Preliminary SO66'!F148,VLOOKUP($CW149,'Audit Values'!$A:$BZ,4,FALSE))</f>
        <v>0</v>
      </c>
      <c r="R149" s="58">
        <f t="shared" si="97"/>
        <v>838.7</v>
      </c>
      <c r="S149" s="58">
        <f>IF('Military Provision'!I149="YES", MAX('2024 Legal Max'!O149,'2024 Legal Max'!K149,AVERAGE('2024 Legal Max'!G149,'2024 Legal Max'!K149,'2024 Legal Max'!O149)), MAX(O149, K149))</f>
        <v>879</v>
      </c>
      <c r="T149" s="58">
        <f>IF(ISNA(VLOOKUP($CW149,'Audit Values'!$A:$BX,2,FALSE)),'Preliminary SO66'!AL148,VLOOKUP($CW149,'Audit Values'!$A:$BX,59,FALSE))</f>
        <v>13</v>
      </c>
      <c r="U149" s="58">
        <f t="shared" si="98"/>
        <v>892</v>
      </c>
      <c r="V149" s="58">
        <f>'Low-High ENRL- 2023 HSubSB 113'!N152</f>
        <v>252.5</v>
      </c>
      <c r="W149" s="58">
        <f>IF(ISNA(VLOOKUP($CW149,'Audit Values'!$A:$BZ,2,FALSE)),'Preliminary SO66'!AM148,VLOOKUP($CW149,'Audit Values'!$A:$BZ,63,FALSE))</f>
        <v>113.6</v>
      </c>
      <c r="X149" s="58">
        <f>(W149/6)*'Weighting Factors'!$O$7</f>
        <v>7.5</v>
      </c>
      <c r="Y149" s="61">
        <f>IF(ISNA(VLOOKUP($CW149,'Audit Values'!$A:$BZ,2,FALSE)),'Preliminary SO66'!AN148,VLOOKUP($CW149,'Audit Values'!$A:$BZ,62,FALSE))</f>
        <v>40</v>
      </c>
      <c r="Z149" s="58">
        <f>Y149*'Weighting Factors'!$O$8</f>
        <v>7.4</v>
      </c>
      <c r="AA149" s="58">
        <f t="shared" si="99"/>
        <v>7.5</v>
      </c>
      <c r="AB149" s="106">
        <f>IF(ISNA(VLOOKUP($CW149,'Audit Values'!$A:$BZ,2,FALSE)),'Preliminary SO66'!AO148,VLOOKUP($CW149,'Audit Values'!$A:$BZ,61,FALSE))</f>
        <v>227.1</v>
      </c>
      <c r="AC149" s="58">
        <f>AB149/6*'Weighting Factors'!$O$6</f>
        <v>18.899999999999999</v>
      </c>
      <c r="AD149" s="24">
        <f>IF(ISNA(VLOOKUP($CW149,'Audit Values'!$A:$BX,2,FALSE)),'Preliminary SO66'!AS148,VLOOKUP($CW149,'Audit Values'!$A:$BX,64,FALSE))</f>
        <v>876</v>
      </c>
      <c r="AE149" s="24">
        <f>IF(ISNA(VLOOKUP($CW149,'Audit Values'!$A:$BX,2,FALSE)),'Preliminary SO66'!AP148,VLOOKUP($CW149,'Audit Values'!$A:$BX,65,FALSE))</f>
        <v>402</v>
      </c>
      <c r="AF149" s="58">
        <f>IF(A149=207, AE149,(AE149))*'Weighting Factors'!$O$9</f>
        <v>194.6</v>
      </c>
      <c r="AG149" s="58">
        <f t="shared" si="96"/>
        <v>30.6</v>
      </c>
      <c r="AH149" s="58">
        <f>IF(ISNA(VLOOKUP($CW149,'Audit Values'!$A:$BZ,2,FALSE)),'Preliminary SO66'!AG148,VLOOKUP($CW149,'Audit Values'!$A:$BZ,71,FALSE))</f>
        <v>31.3</v>
      </c>
      <c r="AI149" s="58">
        <f t="shared" si="100"/>
        <v>31.3</v>
      </c>
      <c r="AJ149" s="58">
        <f>IF(ISNA(VLOOKUP($CW149,'Audit Values'!$A:$BX,2,FALSE)),'Preliminary SO66'!AR148,VLOOKUP($CW149,'Audit Values'!$A:$BX,66,FALSE))</f>
        <v>133</v>
      </c>
      <c r="AK149" s="24">
        <f t="shared" si="101"/>
        <v>222588</v>
      </c>
      <c r="AL149" s="58">
        <f>AK149/'Weighting Factors'!$O$5</f>
        <v>43.7</v>
      </c>
      <c r="AM149" s="58">
        <f>CJ149/'Weighting Factors'!$O$5</f>
        <v>0</v>
      </c>
      <c r="AN149" s="58">
        <f>CN149/'Weighting Factors'!$O$5</f>
        <v>0</v>
      </c>
      <c r="AO149" s="24">
        <v>853748</v>
      </c>
      <c r="AP149" s="58">
        <f>AO149/'Weighting Factors'!$O$5</f>
        <v>167.8</v>
      </c>
      <c r="AQ149" s="58">
        <f>IF(ISNA(VLOOKUP($CW149,'Audit Values'!$A:$BX,2,FALSE)),'Preliminary SO66'!X148,VLOOKUP($CW149,'Audit Values'!$A:$BX,48,FALSE))</f>
        <v>0</v>
      </c>
      <c r="AR149" s="58">
        <f t="shared" si="130"/>
        <v>1608.3</v>
      </c>
      <c r="AS149" s="58">
        <f t="shared" si="131"/>
        <v>1440.5</v>
      </c>
      <c r="AT149" s="58">
        <f>IF(ISNA(VLOOKUP($CW149,'Audit Values'!$A$2:$BX$410,2,FALSE)),'Preliminary SO66'!AA148,VLOOKUP($CW149,'Audit Values'!$A$2:$BX$410,41,FALSE))</f>
        <v>1</v>
      </c>
      <c r="AU149" s="58">
        <f>IF(ISNA(VLOOKUP($CW149,'Audit Values'!$A$2:$BX$410,2,FALSE)),'Preliminary SO66'!AB148,VLOOKUP($CW149,'Audit Values'!$A$2:$BX$410,42,FALSE))</f>
        <v>1.2</v>
      </c>
      <c r="AV149" s="73">
        <v>3</v>
      </c>
      <c r="AW149" s="73">
        <v>0</v>
      </c>
      <c r="AX149" s="24">
        <f>SUM(AT149*'Weighting Factors'!$R$10)+('2024 Legal Max'!AU149*'Weighting Factors'!$R$11)+('2024 Legal Max'!AV149*'Weighting Factors'!$R$12)+('2024 Legal Max'!AW149*'Weighting Factors'!$R$12)</f>
        <v>11087</v>
      </c>
      <c r="AY149" s="54">
        <f>IF(ISNA(VLOOKUP($CW149,'Audit Values'!$A$2:$BX$429,2,FALSE)),"",IF(AND('Weighting Factors'!G149&gt;0,VLOOKUP($CW149,'Audit Values'!$A$2:$BX$429,51,FALSE)&lt;'Weighting Factors'!G149),'Weighting Factors'!G149,VLOOKUP($CW149,'Audit Values'!$A$2:$BX$429,51,FALSE)))</f>
        <v>25</v>
      </c>
      <c r="AZ149" s="54" t="str">
        <f>IF(ISNA(VLOOKUP($CW149,'Audit Values'!$A:$BY,2,FALSE)),"",VLOOKUP($CW149,'Audit Values'!$A:$BY,52,FALSE))</f>
        <v>A</v>
      </c>
      <c r="BA149" s="54" t="str">
        <f>IF('Weighting Factors'!F149="","",IF('Weighting Factors'!H149="Pending","PX","R"))</f>
        <v/>
      </c>
      <c r="BB149" s="60">
        <f>SUM((U149+V149+AA149+AC149+AF149+AI149+AL149+AM149+AQ149+AN149)*'Weighting Factors'!$O$5)+'2024 Legal Max'!AX149</f>
        <v>7340351</v>
      </c>
      <c r="BC149" s="24">
        <f>SUM((AR149+AN149)*'Weighting Factors'!$O$5)+AX149</f>
        <v>8194117</v>
      </c>
      <c r="BD149" s="67">
        <f>IF('Weighting Factors'!F149&gt;0,'Weighting Factors'!F149,'Preliminary SO66'!AV148)</f>
        <v>8605301</v>
      </c>
      <c r="BE149" s="24">
        <f t="shared" si="102"/>
        <v>8194117</v>
      </c>
      <c r="BF149" s="71">
        <f>'Weighting Factors'!E149</f>
        <v>0</v>
      </c>
      <c r="BG149" s="71">
        <f>Transportation!G149</f>
        <v>0</v>
      </c>
      <c r="BH149" s="24">
        <f>IF(ISNA(VLOOKUP($CW149,'Audit Values'!$A:$BW,2,FALSE)), 0, VLOOKUP($CW149,'Audit Values'!$A:$BW,75,FALSE))</f>
        <v>0</v>
      </c>
      <c r="BI149" s="24">
        <f t="shared" si="103"/>
        <v>0</v>
      </c>
      <c r="BJ149" s="24">
        <f t="shared" si="104"/>
        <v>8194117</v>
      </c>
      <c r="BK149" s="24">
        <f>SUM((U149+V149+AA149+AC149+AF149+AI149+AL149+AM149+AN149)*'Weighting Factors'!O$12)+(MAX(AO149,'Weighting Factors'!B149))</f>
        <v>8283847</v>
      </c>
      <c r="BL149" s="78">
        <f>'LOB%'!F147</f>
        <v>0.316</v>
      </c>
      <c r="BM149" s="24">
        <f t="shared" si="111"/>
        <v>2617696</v>
      </c>
      <c r="BN149" s="67">
        <v>2740348</v>
      </c>
      <c r="BO149" s="24">
        <f t="shared" si="105"/>
        <v>2617696</v>
      </c>
      <c r="BP149" s="89">
        <f t="shared" si="112"/>
        <v>0.316</v>
      </c>
      <c r="BQ149" s="58">
        <f t="shared" si="113"/>
        <v>0</v>
      </c>
      <c r="BR149" s="1" t="b">
        <f t="shared" si="114"/>
        <v>0</v>
      </c>
      <c r="BS149" s="76">
        <f t="shared" si="115"/>
        <v>0</v>
      </c>
      <c r="BT149" s="75">
        <f t="shared" si="106"/>
        <v>0</v>
      </c>
      <c r="BU149" s="58">
        <f t="shared" si="116"/>
        <v>0</v>
      </c>
      <c r="BV149" s="1" t="b">
        <f t="shared" si="117"/>
        <v>1</v>
      </c>
      <c r="BW149" s="1">
        <f t="shared" si="118"/>
        <v>732.6</v>
      </c>
      <c r="BX149" s="75">
        <f t="shared" si="107"/>
        <v>0.283055</v>
      </c>
      <c r="BY149" s="58">
        <f t="shared" si="119"/>
        <v>252.5</v>
      </c>
      <c r="BZ149" s="58">
        <f t="shared" si="120"/>
        <v>0</v>
      </c>
      <c r="CA149" s="61">
        <v>914.2</v>
      </c>
      <c r="CB149" s="102">
        <f t="shared" si="121"/>
        <v>0.14499999999999999</v>
      </c>
      <c r="CC149" s="105">
        <f>IF(CB149&lt;0.06,1,IF(CB149&gt;=18.29,52,MATCH(CB149-0.001,'Weighting Factors'!$W$5:$W$156)+1))</f>
        <v>10</v>
      </c>
      <c r="CD149" s="24">
        <f>VLOOKUP(CC149, 'Weighting Factors'!$U$5:$X$56,4)</f>
        <v>1370</v>
      </c>
      <c r="CE149" s="109">
        <f>('Weighting Factors'!$O$5/'Weighting Factors'!$O$14)</f>
        <v>1.2216</v>
      </c>
      <c r="CF149" s="100">
        <f t="shared" si="122"/>
        <v>182210</v>
      </c>
      <c r="CG149" s="100">
        <f>CF149*'Weighting Factors'!$Q$7</f>
        <v>182210</v>
      </c>
      <c r="CH149" s="100">
        <f t="shared" si="108"/>
        <v>222588</v>
      </c>
      <c r="CI149" s="58">
        <f>AK149/'Weighting Factors'!$O$5</f>
        <v>43.7</v>
      </c>
      <c r="CJ149" s="67">
        <v>0</v>
      </c>
      <c r="CK149" s="80">
        <v>0</v>
      </c>
      <c r="CL149" s="110">
        <v>0</v>
      </c>
      <c r="CM149" s="24">
        <f>SUM((AR149*'Weighting Factors'!$O$5)+'2024 Legal Max'!AX149)*CL149</f>
        <v>0</v>
      </c>
      <c r="CN149" s="24">
        <f t="shared" si="109"/>
        <v>0</v>
      </c>
      <c r="CO149" s="65">
        <f t="shared" si="110"/>
        <v>0.45889999999999997</v>
      </c>
      <c r="CP149" s="58">
        <f t="shared" si="123"/>
        <v>0</v>
      </c>
      <c r="CQ149" s="58">
        <f t="shared" si="124"/>
        <v>30.6</v>
      </c>
      <c r="CR149" s="58">
        <f t="shared" si="125"/>
        <v>1608.3</v>
      </c>
      <c r="CS149" s="24">
        <f>'Required Transfers'!L149</f>
        <v>319359</v>
      </c>
      <c r="CT149" s="24">
        <f>'Required Transfers'!O149</f>
        <v>12303</v>
      </c>
      <c r="CU149" s="24">
        <f>'Required Transfers'!H149</f>
        <v>1149379</v>
      </c>
      <c r="CV149" s="58">
        <f t="shared" si="126"/>
        <v>854.4</v>
      </c>
      <c r="CW149" s="27" t="s">
        <v>334</v>
      </c>
    </row>
    <row r="150" spans="1:101" ht="15" customHeight="1">
      <c r="A150" s="54">
        <v>353</v>
      </c>
      <c r="B150" s="1" t="s">
        <v>66</v>
      </c>
      <c r="C150" s="1" t="s">
        <v>655</v>
      </c>
      <c r="D150" s="58">
        <v>1435.1</v>
      </c>
      <c r="E150" s="58"/>
      <c r="F150" s="58">
        <v>0</v>
      </c>
      <c r="G150" s="58">
        <f t="shared" si="127"/>
        <v>1435.1</v>
      </c>
      <c r="H150" s="58">
        <v>1420.9</v>
      </c>
      <c r="I150" s="58"/>
      <c r="J150" s="58">
        <v>0</v>
      </c>
      <c r="K150" s="58">
        <f t="shared" si="128"/>
        <v>1420.9</v>
      </c>
      <c r="L150" s="1">
        <v>1452</v>
      </c>
      <c r="N150" s="1">
        <v>0</v>
      </c>
      <c r="O150" s="58">
        <f t="shared" si="129"/>
        <v>1452</v>
      </c>
      <c r="P150" s="58">
        <f>IF(ISNA(VLOOKUP($CW150,'Audit Values'!$A:$BZ,2,FALSE)),'Preliminary SO66'!C149,VLOOKUP($CW150,'Audit Values'!$A:$BZ,76,FALSE))</f>
        <v>1435.6</v>
      </c>
      <c r="Q150" s="58">
        <f>IF(ISNA(VLOOKUP($CW150,'Audit Values'!$A:$BZ,2,FALSE)),'Preliminary SO66'!F149,VLOOKUP($CW150,'Audit Values'!$A:$BZ,4,FALSE))</f>
        <v>0</v>
      </c>
      <c r="R150" s="58">
        <f t="shared" si="97"/>
        <v>1435.6</v>
      </c>
      <c r="S150" s="58">
        <f>IF('Military Provision'!I150="YES", MAX('2024 Legal Max'!O150,'2024 Legal Max'!K150,AVERAGE('2024 Legal Max'!G150,'2024 Legal Max'!K150,'2024 Legal Max'!O150)), MAX(O150, K150))</f>
        <v>1452</v>
      </c>
      <c r="T150" s="58">
        <f>IF(ISNA(VLOOKUP($CW150,'Audit Values'!$A:$BX,2,FALSE)),'Preliminary SO66'!AL149,VLOOKUP($CW150,'Audit Values'!$A:$BX,59,FALSE))</f>
        <v>10</v>
      </c>
      <c r="U150" s="58">
        <f t="shared" si="98"/>
        <v>1462</v>
      </c>
      <c r="V150" s="58">
        <f>'Low-High ENRL- 2023 HSubSB 113'!N153</f>
        <v>130.69999999999999</v>
      </c>
      <c r="W150" s="58">
        <f>IF(ISNA(VLOOKUP($CW150,'Audit Values'!$A:$BZ,2,FALSE)),'Preliminary SO66'!AM149,VLOOKUP($CW150,'Audit Values'!$A:$BZ,63,FALSE))</f>
        <v>8.4</v>
      </c>
      <c r="X150" s="58">
        <f>(W150/6)*'Weighting Factors'!$O$7</f>
        <v>0.6</v>
      </c>
      <c r="Y150" s="61">
        <f>IF(ISNA(VLOOKUP($CW150,'Audit Values'!$A:$BZ,2,FALSE)),'Preliminary SO66'!AN149,VLOOKUP($CW150,'Audit Values'!$A:$BZ,62,FALSE))</f>
        <v>26</v>
      </c>
      <c r="Z150" s="58">
        <f>Y150*'Weighting Factors'!$O$8</f>
        <v>4.8</v>
      </c>
      <c r="AA150" s="58">
        <f t="shared" si="99"/>
        <v>4.8</v>
      </c>
      <c r="AB150" s="106">
        <f>IF(ISNA(VLOOKUP($CW150,'Audit Values'!$A:$BZ,2,FALSE)),'Preliminary SO66'!AO149,VLOOKUP($CW150,'Audit Values'!$A:$BZ,61,FALSE))</f>
        <v>481.5</v>
      </c>
      <c r="AC150" s="58">
        <f>AB150/6*'Weighting Factors'!$O$6</f>
        <v>40.1</v>
      </c>
      <c r="AD150" s="24">
        <f>IF(ISNA(VLOOKUP($CW150,'Audit Values'!$A:$BX,2,FALSE)),'Preliminary SO66'!AS149,VLOOKUP($CW150,'Audit Values'!$A:$BX,64,FALSE))</f>
        <v>1471</v>
      </c>
      <c r="AE150" s="24">
        <f>IF(ISNA(VLOOKUP($CW150,'Audit Values'!$A:$BX,2,FALSE)),'Preliminary SO66'!AP149,VLOOKUP($CW150,'Audit Values'!$A:$BX,65,FALSE))</f>
        <v>806</v>
      </c>
      <c r="AF150" s="58">
        <f>IF(A150=207, AE150,(AE150))*'Weighting Factors'!$O$9</f>
        <v>390.1</v>
      </c>
      <c r="AG150" s="58">
        <f t="shared" si="96"/>
        <v>84.6</v>
      </c>
      <c r="AH150" s="58">
        <f>IF(ISNA(VLOOKUP($CW150,'Audit Values'!$A:$BZ,2,FALSE)),'Preliminary SO66'!AG149,VLOOKUP($CW150,'Audit Values'!$A:$BZ,71,FALSE))</f>
        <v>77.099999999999994</v>
      </c>
      <c r="AI150" s="58">
        <f t="shared" si="100"/>
        <v>84.6</v>
      </c>
      <c r="AJ150" s="58">
        <f>IF(ISNA(VLOOKUP($CW150,'Audit Values'!$A:$BX,2,FALSE)),'Preliminary SO66'!AR149,VLOOKUP($CW150,'Audit Values'!$A:$BX,66,FALSE))</f>
        <v>174</v>
      </c>
      <c r="AK150" s="24">
        <f t="shared" si="101"/>
        <v>214684</v>
      </c>
      <c r="AL150" s="58">
        <f>AK150/'Weighting Factors'!$O$5</f>
        <v>42.2</v>
      </c>
      <c r="AM150" s="58">
        <f>CJ150/'Weighting Factors'!$O$5</f>
        <v>0</v>
      </c>
      <c r="AN150" s="58">
        <f>CN150/'Weighting Factors'!$O$5</f>
        <v>0</v>
      </c>
      <c r="AO150" s="24">
        <v>2067109</v>
      </c>
      <c r="AP150" s="58">
        <f>AO150/'Weighting Factors'!$O$5</f>
        <v>406.3</v>
      </c>
      <c r="AQ150" s="58">
        <f>IF(ISNA(VLOOKUP($CW150,'Audit Values'!$A:$BX,2,FALSE)),'Preliminary SO66'!X149,VLOOKUP($CW150,'Audit Values'!$A:$BX,48,FALSE))</f>
        <v>0</v>
      </c>
      <c r="AR150" s="58">
        <f t="shared" si="130"/>
        <v>2560.8000000000002</v>
      </c>
      <c r="AS150" s="58">
        <f t="shared" si="131"/>
        <v>2154.5</v>
      </c>
      <c r="AT150" s="58">
        <f>IF(ISNA(VLOOKUP($CW150,'Audit Values'!$A$2:$BX$410,2,FALSE)),'Preliminary SO66'!AA149,VLOOKUP($CW150,'Audit Values'!$A$2:$BX$410,41,FALSE))</f>
        <v>6</v>
      </c>
      <c r="AU150" s="58">
        <f>IF(ISNA(VLOOKUP($CW150,'Audit Values'!$A$2:$BX$410,2,FALSE)),'Preliminary SO66'!AB149,VLOOKUP($CW150,'Audit Values'!$A$2:$BX$410,42,FALSE))</f>
        <v>3</v>
      </c>
      <c r="AV150" s="73">
        <v>0</v>
      </c>
      <c r="AW150" s="73">
        <v>0</v>
      </c>
      <c r="AX150" s="24">
        <f>SUM(AT150*'Weighting Factors'!$R$10)+('2024 Legal Max'!AU150*'Weighting Factors'!$R$11)+('2024 Legal Max'!AV150*'Weighting Factors'!$R$12)+('2024 Legal Max'!AW150*'Weighting Factors'!$R$12)</f>
        <v>42000</v>
      </c>
      <c r="AY150" s="54">
        <f>IF(ISNA(VLOOKUP($CW150,'Audit Values'!$A$2:$BX$429,2,FALSE)),"",IF(AND('Weighting Factors'!G150&gt;0,VLOOKUP($CW150,'Audit Values'!$A$2:$BX$429,51,FALSE)&lt;'Weighting Factors'!G150),'Weighting Factors'!G150,VLOOKUP($CW150,'Audit Values'!$A$2:$BX$429,51,FALSE)))</f>
        <v>9</v>
      </c>
      <c r="AZ150" s="54" t="str">
        <f>IF(ISNA(VLOOKUP($CW150,'Audit Values'!$A:$BY,2,FALSE)),"",VLOOKUP($CW150,'Audit Values'!$A:$BY,52,FALSE))</f>
        <v>A</v>
      </c>
      <c r="BA150" s="54" t="str">
        <f>IF('Weighting Factors'!F150="","",IF('Weighting Factors'!H150="Pending","PX","R"))</f>
        <v/>
      </c>
      <c r="BB150" s="60">
        <f>SUM((U150+V150+AA150+AC150+AF150+AI150+AL150+AM150+AQ150+AN150)*'Weighting Factors'!$O$5)+'2024 Legal Max'!AX150</f>
        <v>11004096</v>
      </c>
      <c r="BC150" s="24">
        <f>SUM((AR150+AN150)*'Weighting Factors'!$O$5)+AX150</f>
        <v>13071350</v>
      </c>
      <c r="BD150" s="67">
        <f>IF('Weighting Factors'!F150&gt;0,'Weighting Factors'!F150,'Preliminary SO66'!AV149)</f>
        <v>13245082</v>
      </c>
      <c r="BE150" s="24">
        <f t="shared" si="102"/>
        <v>13071350</v>
      </c>
      <c r="BF150" s="71">
        <f>'Weighting Factors'!E150</f>
        <v>0</v>
      </c>
      <c r="BG150" s="71">
        <f>Transportation!G150</f>
        <v>0</v>
      </c>
      <c r="BH150" s="24">
        <f>IF(ISNA(VLOOKUP($CW150,'Audit Values'!$A:$BW,2,FALSE)), 0, VLOOKUP($CW150,'Audit Values'!$A:$BW,75,FALSE))</f>
        <v>0</v>
      </c>
      <c r="BI150" s="24">
        <f t="shared" si="103"/>
        <v>0</v>
      </c>
      <c r="BJ150" s="24">
        <f t="shared" si="104"/>
        <v>13071350</v>
      </c>
      <c r="BK150" s="24">
        <f>SUM((U150+V150+AA150+AC150+AF150+AI150+AL150+AM150+AN150)*'Weighting Factors'!O$12)+(MAX(AO150,'Weighting Factors'!B150))</f>
        <v>13180020</v>
      </c>
      <c r="BL150" s="78">
        <f>'LOB%'!F148</f>
        <v>0.316</v>
      </c>
      <c r="BM150" s="24">
        <f t="shared" si="111"/>
        <v>4164886</v>
      </c>
      <c r="BN150" s="67">
        <v>4233125</v>
      </c>
      <c r="BO150" s="24">
        <f t="shared" si="105"/>
        <v>4164886</v>
      </c>
      <c r="BP150" s="89">
        <f t="shared" si="112"/>
        <v>0.316</v>
      </c>
      <c r="BQ150" s="58">
        <f t="shared" si="113"/>
        <v>0</v>
      </c>
      <c r="BR150" s="1" t="b">
        <f t="shared" si="114"/>
        <v>0</v>
      </c>
      <c r="BS150" s="76">
        <f t="shared" si="115"/>
        <v>0</v>
      </c>
      <c r="BT150" s="75">
        <f t="shared" si="106"/>
        <v>0</v>
      </c>
      <c r="BU150" s="58">
        <f t="shared" si="116"/>
        <v>0</v>
      </c>
      <c r="BV150" s="1" t="b">
        <f t="shared" si="117"/>
        <v>1</v>
      </c>
      <c r="BW150" s="1">
        <f t="shared" si="118"/>
        <v>1437.9749999999999</v>
      </c>
      <c r="BX150" s="75">
        <f t="shared" si="107"/>
        <v>8.9398000000000005E-2</v>
      </c>
      <c r="BY150" s="58">
        <f t="shared" si="119"/>
        <v>130.69999999999999</v>
      </c>
      <c r="BZ150" s="58">
        <f t="shared" si="120"/>
        <v>0</v>
      </c>
      <c r="CA150" s="61">
        <v>228.5</v>
      </c>
      <c r="CB150" s="102">
        <f t="shared" si="121"/>
        <v>0.76100000000000001</v>
      </c>
      <c r="CC150" s="105">
        <f>IF(CB150&lt;0.06,1,IF(CB150&gt;=18.29,52,MATCH(CB150-0.001,'Weighting Factors'!$W$5:$W$156)+1))</f>
        <v>29</v>
      </c>
      <c r="CD150" s="24">
        <f>VLOOKUP(CC150, 'Weighting Factors'!$U$5:$X$56,4)</f>
        <v>1010</v>
      </c>
      <c r="CE150" s="109">
        <f>('Weighting Factors'!$O$5/'Weighting Factors'!$O$14)</f>
        <v>1.2216</v>
      </c>
      <c r="CF150" s="100">
        <f t="shared" si="122"/>
        <v>175740</v>
      </c>
      <c r="CG150" s="100">
        <f>CF150*'Weighting Factors'!$Q$7</f>
        <v>175740</v>
      </c>
      <c r="CH150" s="100">
        <f t="shared" si="108"/>
        <v>214684</v>
      </c>
      <c r="CI150" s="58">
        <f>AK150/'Weighting Factors'!$O$5</f>
        <v>42.2</v>
      </c>
      <c r="CJ150" s="67">
        <v>0</v>
      </c>
      <c r="CK150" s="80">
        <v>0</v>
      </c>
      <c r="CL150" s="110">
        <v>0</v>
      </c>
      <c r="CM150" s="24">
        <f>SUM((AR150*'Weighting Factors'!$O$5)+'2024 Legal Max'!AX150)*CL150</f>
        <v>0</v>
      </c>
      <c r="CN150" s="24">
        <f t="shared" si="109"/>
        <v>0</v>
      </c>
      <c r="CO150" s="65">
        <f t="shared" si="110"/>
        <v>0.54790000000000005</v>
      </c>
      <c r="CP150" s="58">
        <f t="shared" si="123"/>
        <v>84.6</v>
      </c>
      <c r="CQ150" s="58">
        <f t="shared" si="124"/>
        <v>0</v>
      </c>
      <c r="CR150" s="58">
        <f t="shared" si="125"/>
        <v>2560.8000000000002</v>
      </c>
      <c r="CS150" s="24">
        <f>'Required Transfers'!L150</f>
        <v>636811</v>
      </c>
      <c r="CT150" s="24">
        <f>'Required Transfers'!O150</f>
        <v>7913</v>
      </c>
      <c r="CU150" s="24">
        <f>'Required Transfers'!H150</f>
        <v>2415274</v>
      </c>
      <c r="CV150" s="58">
        <f t="shared" si="126"/>
        <v>1454.6</v>
      </c>
      <c r="CW150" s="27" t="s">
        <v>335</v>
      </c>
    </row>
    <row r="151" spans="1:101" ht="15" customHeight="1">
      <c r="A151" s="54">
        <v>355</v>
      </c>
      <c r="B151" s="1" t="s">
        <v>67</v>
      </c>
      <c r="C151" s="1" t="s">
        <v>656</v>
      </c>
      <c r="D151" s="58">
        <v>413</v>
      </c>
      <c r="E151" s="58"/>
      <c r="F151" s="58">
        <v>0</v>
      </c>
      <c r="G151" s="58">
        <f t="shared" si="127"/>
        <v>413</v>
      </c>
      <c r="H151" s="58">
        <v>409.2</v>
      </c>
      <c r="I151" s="58"/>
      <c r="J151" s="58">
        <v>0</v>
      </c>
      <c r="K151" s="58">
        <f t="shared" si="128"/>
        <v>409.2</v>
      </c>
      <c r="L151" s="1">
        <v>428.1</v>
      </c>
      <c r="N151" s="1">
        <v>0</v>
      </c>
      <c r="O151" s="58">
        <f t="shared" si="129"/>
        <v>428.1</v>
      </c>
      <c r="P151" s="58">
        <f>IF(ISNA(VLOOKUP($CW151,'Audit Values'!$A:$BZ,2,FALSE)),'Preliminary SO66'!C150,VLOOKUP($CW151,'Audit Values'!$A:$BZ,76,FALSE))</f>
        <v>431.7</v>
      </c>
      <c r="Q151" s="58">
        <f>IF(ISNA(VLOOKUP($CW151,'Audit Values'!$A:$BZ,2,FALSE)),'Preliminary SO66'!F150,VLOOKUP($CW151,'Audit Values'!$A:$BZ,4,FALSE))</f>
        <v>0</v>
      </c>
      <c r="R151" s="58">
        <f t="shared" si="97"/>
        <v>431.7</v>
      </c>
      <c r="S151" s="58">
        <f>IF('Military Provision'!I151="YES", MAX('2024 Legal Max'!O151,'2024 Legal Max'!K151,AVERAGE('2024 Legal Max'!G151,'2024 Legal Max'!K151,'2024 Legal Max'!O151)), MAX(O151, K151))</f>
        <v>428.1</v>
      </c>
      <c r="T151" s="58">
        <f>IF(ISNA(VLOOKUP($CW151,'Audit Values'!$A:$BX,2,FALSE)),'Preliminary SO66'!AL150,VLOOKUP($CW151,'Audit Values'!$A:$BX,59,FALSE))</f>
        <v>0.5</v>
      </c>
      <c r="U151" s="58">
        <f t="shared" si="98"/>
        <v>428.6</v>
      </c>
      <c r="V151" s="58">
        <f>'Low-High ENRL- 2023 HSubSB 113'!N154</f>
        <v>191.1</v>
      </c>
      <c r="W151" s="58">
        <f>IF(ISNA(VLOOKUP($CW151,'Audit Values'!$A:$BZ,2,FALSE)),'Preliminary SO66'!AM150,VLOOKUP($CW151,'Audit Values'!$A:$BZ,63,FALSE))</f>
        <v>0</v>
      </c>
      <c r="X151" s="58">
        <f>(W151/6)*'Weighting Factors'!$O$7</f>
        <v>0</v>
      </c>
      <c r="Y151" s="61">
        <f>IF(ISNA(VLOOKUP($CW151,'Audit Values'!$A:$BZ,2,FALSE)),'Preliminary SO66'!AN150,VLOOKUP($CW151,'Audit Values'!$A:$BZ,62,FALSE))</f>
        <v>0</v>
      </c>
      <c r="Z151" s="58">
        <f>Y151*'Weighting Factors'!$O$8</f>
        <v>0</v>
      </c>
      <c r="AA151" s="58">
        <f t="shared" si="99"/>
        <v>0</v>
      </c>
      <c r="AB151" s="106">
        <f>IF(ISNA(VLOOKUP($CW151,'Audit Values'!$A:$BZ,2,FALSE)),'Preliminary SO66'!AO150,VLOOKUP($CW151,'Audit Values'!$A:$BZ,61,FALSE))</f>
        <v>182.5</v>
      </c>
      <c r="AC151" s="58">
        <f>AB151/6*'Weighting Factors'!$O$6</f>
        <v>15.2</v>
      </c>
      <c r="AD151" s="24">
        <f>IF(ISNA(VLOOKUP($CW151,'Audit Values'!$A:$BX,2,FALSE)),'Preliminary SO66'!AS150,VLOOKUP($CW151,'Audit Values'!$A:$BX,64,FALSE))</f>
        <v>474</v>
      </c>
      <c r="AE151" s="24">
        <f>IF(ISNA(VLOOKUP($CW151,'Audit Values'!$A:$BX,2,FALSE)),'Preliminary SO66'!AP150,VLOOKUP($CW151,'Audit Values'!$A:$BX,65,FALSE))</f>
        <v>160</v>
      </c>
      <c r="AF151" s="58">
        <f>IF(A151=207, AE151,(AE151))*'Weighting Factors'!$O$9</f>
        <v>77.400000000000006</v>
      </c>
      <c r="AG151" s="58">
        <f t="shared" si="96"/>
        <v>0</v>
      </c>
      <c r="AH151" s="58">
        <f>IF(ISNA(VLOOKUP($CW151,'Audit Values'!$A:$BZ,2,FALSE)),'Preliminary SO66'!AG150,VLOOKUP($CW151,'Audit Values'!$A:$BZ,71,FALSE))</f>
        <v>1</v>
      </c>
      <c r="AI151" s="58">
        <f t="shared" si="100"/>
        <v>1</v>
      </c>
      <c r="AJ151" s="58">
        <f>IF(ISNA(VLOOKUP($CW151,'Audit Values'!$A:$BX,2,FALSE)),'Preliminary SO66'!AR150,VLOOKUP($CW151,'Audit Values'!$A:$BX,66,FALSE))</f>
        <v>53</v>
      </c>
      <c r="AK151" s="24">
        <f t="shared" si="101"/>
        <v>75751</v>
      </c>
      <c r="AL151" s="58">
        <f>AK151/'Weighting Factors'!$O$5</f>
        <v>14.9</v>
      </c>
      <c r="AM151" s="58">
        <f>CJ151/'Weighting Factors'!$O$5</f>
        <v>0</v>
      </c>
      <c r="AN151" s="58">
        <f>CN151/'Weighting Factors'!$O$5</f>
        <v>0</v>
      </c>
      <c r="AO151" s="24">
        <v>554692</v>
      </c>
      <c r="AP151" s="58">
        <f>AO151/'Weighting Factors'!$O$5</f>
        <v>109</v>
      </c>
      <c r="AQ151" s="58">
        <f>IF(ISNA(VLOOKUP($CW151,'Audit Values'!$A:$BX,2,FALSE)),'Preliminary SO66'!X150,VLOOKUP($CW151,'Audit Values'!$A:$BX,48,FALSE))</f>
        <v>1</v>
      </c>
      <c r="AR151" s="58">
        <f t="shared" si="130"/>
        <v>838.2</v>
      </c>
      <c r="AS151" s="58">
        <f t="shared" si="131"/>
        <v>729.2</v>
      </c>
      <c r="AT151" s="58">
        <f>IF(ISNA(VLOOKUP($CW151,'Audit Values'!$A$2:$BX$410,2,FALSE)),'Preliminary SO66'!AA150,VLOOKUP($CW151,'Audit Values'!$A$2:$BX$410,41,FALSE))</f>
        <v>0</v>
      </c>
      <c r="AU151" s="58">
        <f>IF(ISNA(VLOOKUP($CW151,'Audit Values'!$A$2:$BX$410,2,FALSE)),'Preliminary SO66'!AB150,VLOOKUP($CW151,'Audit Values'!$A$2:$BX$410,42,FALSE))</f>
        <v>0</v>
      </c>
      <c r="AV151" s="73">
        <v>0</v>
      </c>
      <c r="AW151" s="73">
        <v>0</v>
      </c>
      <c r="AX151" s="24">
        <f>SUM(AT151*'Weighting Factors'!$R$10)+('2024 Legal Max'!AU151*'Weighting Factors'!$R$11)+('2024 Legal Max'!AV151*'Weighting Factors'!$R$12)+('2024 Legal Max'!AW151*'Weighting Factors'!$R$12)</f>
        <v>0</v>
      </c>
      <c r="AY151" s="54">
        <f>IF(ISNA(VLOOKUP($CW151,'Audit Values'!$A$2:$BX$429,2,FALSE)),"",IF(AND('Weighting Factors'!G151&gt;0,VLOOKUP($CW151,'Audit Values'!$A$2:$BX$429,51,FALSE)&lt;'Weighting Factors'!G151),'Weighting Factors'!G151,VLOOKUP($CW151,'Audit Values'!$A$2:$BX$429,51,FALSE)))</f>
        <v>15</v>
      </c>
      <c r="AZ151" s="54" t="str">
        <f>IF(ISNA(VLOOKUP($CW151,'Audit Values'!$A:$BY,2,FALSE)),"",VLOOKUP($CW151,'Audit Values'!$A:$BY,52,FALSE))</f>
        <v>A</v>
      </c>
      <c r="BA151" s="54" t="str">
        <f>IF('Weighting Factors'!F151="","",IF('Weighting Factors'!H151="Pending","PX","R"))</f>
        <v/>
      </c>
      <c r="BB151" s="60">
        <f>SUM((U151+V151+AA151+AC151+AF151+AI151+AL151+AM151+AQ151+AN151)*'Weighting Factors'!$O$5)+'2024 Legal Max'!AX151</f>
        <v>3710170</v>
      </c>
      <c r="BC151" s="24">
        <f>SUM((AR151+AN151)*'Weighting Factors'!$O$5)+AX151</f>
        <v>4264762</v>
      </c>
      <c r="BD151" s="67">
        <f>IF('Weighting Factors'!F151&gt;0,'Weighting Factors'!F151,'Preliminary SO66'!AV150)</f>
        <v>4658064</v>
      </c>
      <c r="BE151" s="24">
        <f t="shared" si="102"/>
        <v>4264762</v>
      </c>
      <c r="BF151" s="71">
        <f>'Weighting Factors'!E151</f>
        <v>0</v>
      </c>
      <c r="BG151" s="71">
        <f>Transportation!G151</f>
        <v>0</v>
      </c>
      <c r="BH151" s="24">
        <f>IF(ISNA(VLOOKUP($CW151,'Audit Values'!$A:$BW,2,FALSE)), 0, VLOOKUP($CW151,'Audit Values'!$A:$BW,75,FALSE))</f>
        <v>0</v>
      </c>
      <c r="BI151" s="24">
        <f t="shared" si="103"/>
        <v>0</v>
      </c>
      <c r="BJ151" s="24">
        <f t="shared" si="104"/>
        <v>4264762</v>
      </c>
      <c r="BK151" s="24">
        <f>SUM((U151+V151+AA151+AC151+AF151+AI151+AL151+AM151+AN151)*'Weighting Factors'!O$12)+(MAX(AO151,'Weighting Factors'!B151))</f>
        <v>4310748</v>
      </c>
      <c r="BL151" s="78">
        <f>'LOB%'!F149</f>
        <v>0.33</v>
      </c>
      <c r="BM151" s="24">
        <f t="shared" si="111"/>
        <v>1422547</v>
      </c>
      <c r="BN151" s="67">
        <v>1553617</v>
      </c>
      <c r="BO151" s="24">
        <f t="shared" si="105"/>
        <v>1422547</v>
      </c>
      <c r="BP151" s="89">
        <f t="shared" si="112"/>
        <v>0.33</v>
      </c>
      <c r="BQ151" s="58">
        <f t="shared" si="113"/>
        <v>0</v>
      </c>
      <c r="BR151" s="1" t="b">
        <f t="shared" si="114"/>
        <v>0</v>
      </c>
      <c r="BS151" s="76">
        <f t="shared" si="115"/>
        <v>0</v>
      </c>
      <c r="BT151" s="75">
        <f t="shared" si="106"/>
        <v>0</v>
      </c>
      <c r="BU151" s="58">
        <f t="shared" si="116"/>
        <v>0</v>
      </c>
      <c r="BV151" s="1" t="b">
        <f t="shared" si="117"/>
        <v>1</v>
      </c>
      <c r="BW151" s="1">
        <f t="shared" si="118"/>
        <v>159.14250000000001</v>
      </c>
      <c r="BX151" s="75">
        <f t="shared" si="107"/>
        <v>0.44049500000000003</v>
      </c>
      <c r="BY151" s="58">
        <f t="shared" si="119"/>
        <v>188.8</v>
      </c>
      <c r="BZ151" s="58">
        <f t="shared" si="120"/>
        <v>0</v>
      </c>
      <c r="CA151" s="61">
        <v>154</v>
      </c>
      <c r="CB151" s="102">
        <f t="shared" si="121"/>
        <v>0.34399999999999997</v>
      </c>
      <c r="CC151" s="105">
        <f>IF(CB151&lt;0.06,1,IF(CB151&gt;=18.29,52,MATCH(CB151-0.001,'Weighting Factors'!$W$5:$W$156)+1))</f>
        <v>21</v>
      </c>
      <c r="CD151" s="24">
        <f>VLOOKUP(CC151, 'Weighting Factors'!$U$5:$X$56,4)</f>
        <v>1170</v>
      </c>
      <c r="CE151" s="109">
        <f>('Weighting Factors'!$O$5/'Weighting Factors'!$O$14)</f>
        <v>1.2216</v>
      </c>
      <c r="CF151" s="100">
        <f t="shared" si="122"/>
        <v>62010</v>
      </c>
      <c r="CG151" s="100">
        <f>CF151*'Weighting Factors'!$Q$7</f>
        <v>62010</v>
      </c>
      <c r="CH151" s="100">
        <f t="shared" si="108"/>
        <v>75751</v>
      </c>
      <c r="CI151" s="58">
        <f>AK151/'Weighting Factors'!$O$5</f>
        <v>14.9</v>
      </c>
      <c r="CJ151" s="67">
        <v>0</v>
      </c>
      <c r="CK151" s="80">
        <v>0</v>
      </c>
      <c r="CL151" s="110">
        <v>0</v>
      </c>
      <c r="CM151" s="24">
        <f>SUM((AR151*'Weighting Factors'!$O$5)+'2024 Legal Max'!AX151)*CL151</f>
        <v>0</v>
      </c>
      <c r="CN151" s="24">
        <f t="shared" si="109"/>
        <v>0</v>
      </c>
      <c r="CO151" s="65">
        <f t="shared" si="110"/>
        <v>0.33760000000000001</v>
      </c>
      <c r="CP151" s="58">
        <f t="shared" si="123"/>
        <v>0</v>
      </c>
      <c r="CQ151" s="58">
        <f t="shared" si="124"/>
        <v>0</v>
      </c>
      <c r="CR151" s="58">
        <f t="shared" si="125"/>
        <v>838.2</v>
      </c>
      <c r="CS151" s="24">
        <f>'Required Transfers'!L151</f>
        <v>131586</v>
      </c>
      <c r="CT151" s="24">
        <f>'Required Transfers'!O151</f>
        <v>0</v>
      </c>
      <c r="CU151" s="24">
        <f>'Required Transfers'!H151</f>
        <v>398899</v>
      </c>
      <c r="CV151" s="58">
        <f t="shared" si="126"/>
        <v>432.2</v>
      </c>
      <c r="CW151" s="27" t="s">
        <v>336</v>
      </c>
    </row>
    <row r="152" spans="1:101" ht="15" customHeight="1">
      <c r="A152" s="54">
        <v>356</v>
      </c>
      <c r="B152" s="1" t="s">
        <v>66</v>
      </c>
      <c r="C152" s="1" t="s">
        <v>657</v>
      </c>
      <c r="D152" s="58">
        <v>398.1</v>
      </c>
      <c r="E152" s="58"/>
      <c r="F152" s="58">
        <v>0</v>
      </c>
      <c r="G152" s="58">
        <f t="shared" si="127"/>
        <v>398.1</v>
      </c>
      <c r="H152" s="58">
        <v>382.7</v>
      </c>
      <c r="I152" s="58"/>
      <c r="J152" s="58">
        <v>0</v>
      </c>
      <c r="K152" s="58">
        <f t="shared" si="128"/>
        <v>382.7</v>
      </c>
      <c r="L152" s="1">
        <v>388.5</v>
      </c>
      <c r="N152" s="1">
        <v>0</v>
      </c>
      <c r="O152" s="58">
        <f t="shared" si="129"/>
        <v>388.5</v>
      </c>
      <c r="P152" s="58">
        <f>IF(ISNA(VLOOKUP($CW152,'Audit Values'!$A:$BZ,2,FALSE)),'Preliminary SO66'!C151,VLOOKUP($CW152,'Audit Values'!$A:$BZ,76,FALSE))</f>
        <v>362.1</v>
      </c>
      <c r="Q152" s="58">
        <f>IF(ISNA(VLOOKUP($CW152,'Audit Values'!$A:$BZ,2,FALSE)),'Preliminary SO66'!F151,VLOOKUP($CW152,'Audit Values'!$A:$BZ,4,FALSE))</f>
        <v>0</v>
      </c>
      <c r="R152" s="58">
        <f t="shared" si="97"/>
        <v>362.1</v>
      </c>
      <c r="S152" s="58">
        <f>IF('Military Provision'!I152="YES", MAX('2024 Legal Max'!O152,'2024 Legal Max'!K152,AVERAGE('2024 Legal Max'!G152,'2024 Legal Max'!K152,'2024 Legal Max'!O152)), MAX(O152, K152))</f>
        <v>388.5</v>
      </c>
      <c r="T152" s="58">
        <f>IF(ISNA(VLOOKUP($CW152,'Audit Values'!$A:$BX,2,FALSE)),'Preliminary SO66'!AL151,VLOOKUP($CW152,'Audit Values'!$A:$BX,59,FALSE))</f>
        <v>4</v>
      </c>
      <c r="U152" s="58">
        <f t="shared" si="98"/>
        <v>392.5</v>
      </c>
      <c r="V152" s="58">
        <f>'Low-High ENRL- 2023 HSubSB 113'!N155</f>
        <v>177.7</v>
      </c>
      <c r="W152" s="58">
        <f>IF(ISNA(VLOOKUP($CW152,'Audit Values'!$A:$BZ,2,FALSE)),'Preliminary SO66'!AM151,VLOOKUP($CW152,'Audit Values'!$A:$BZ,63,FALSE))</f>
        <v>0</v>
      </c>
      <c r="X152" s="58">
        <f>(W152/6)*'Weighting Factors'!$O$7</f>
        <v>0</v>
      </c>
      <c r="Y152" s="61">
        <f>IF(ISNA(VLOOKUP($CW152,'Audit Values'!$A:$BZ,2,FALSE)),'Preliminary SO66'!AN151,VLOOKUP($CW152,'Audit Values'!$A:$BZ,62,FALSE))</f>
        <v>0</v>
      </c>
      <c r="Z152" s="58">
        <f>Y152*'Weighting Factors'!$O$8</f>
        <v>0</v>
      </c>
      <c r="AA152" s="58">
        <f t="shared" si="99"/>
        <v>0</v>
      </c>
      <c r="AB152" s="106">
        <f>IF(ISNA(VLOOKUP($CW152,'Audit Values'!$A:$BZ,2,FALSE)),'Preliminary SO66'!AO151,VLOOKUP($CW152,'Audit Values'!$A:$BZ,61,FALSE))</f>
        <v>102.6</v>
      </c>
      <c r="AC152" s="58">
        <f>AB152/6*'Weighting Factors'!$O$6</f>
        <v>8.6</v>
      </c>
      <c r="AD152" s="24">
        <f>IF(ISNA(VLOOKUP($CW152,'Audit Values'!$A:$BX,2,FALSE)),'Preliminary SO66'!AS151,VLOOKUP($CW152,'Audit Values'!$A:$BX,64,FALSE))</f>
        <v>435</v>
      </c>
      <c r="AE152" s="24">
        <f>IF(ISNA(VLOOKUP($CW152,'Audit Values'!$A:$BX,2,FALSE)),'Preliminary SO66'!AP151,VLOOKUP($CW152,'Audit Values'!$A:$BX,65,FALSE))</f>
        <v>115</v>
      </c>
      <c r="AF152" s="58">
        <f>IF(A152=207, AE152,(AE152))*'Weighting Factors'!$O$9</f>
        <v>55.7</v>
      </c>
      <c r="AG152" s="58">
        <f t="shared" ref="AG152:AG215" si="132">MAX(CP152,CQ152)</f>
        <v>0</v>
      </c>
      <c r="AH152" s="58">
        <f>IF(ISNA(VLOOKUP($CW152,'Audit Values'!$A:$BZ,2,FALSE)),'Preliminary SO66'!AG151,VLOOKUP($CW152,'Audit Values'!$A:$BZ,71,FALSE))</f>
        <v>0</v>
      </c>
      <c r="AI152" s="58">
        <f t="shared" si="100"/>
        <v>0</v>
      </c>
      <c r="AJ152" s="58">
        <f>IF(ISNA(VLOOKUP($CW152,'Audit Values'!$A:$BX,2,FALSE)),'Preliminary SO66'!AR151,VLOOKUP($CW152,'Audit Values'!$A:$BX,66,FALSE))</f>
        <v>133.19999999999999</v>
      </c>
      <c r="AK152" s="24">
        <f t="shared" si="101"/>
        <v>161090</v>
      </c>
      <c r="AL152" s="58">
        <f>AK152/'Weighting Factors'!$O$5</f>
        <v>31.7</v>
      </c>
      <c r="AM152" s="58">
        <f>CJ152/'Weighting Factors'!$O$5</f>
        <v>0</v>
      </c>
      <c r="AN152" s="58">
        <f>CN152/'Weighting Factors'!$O$5</f>
        <v>0</v>
      </c>
      <c r="AO152" s="24">
        <v>472649</v>
      </c>
      <c r="AP152" s="58">
        <f>AO152/'Weighting Factors'!$O$5</f>
        <v>92.9</v>
      </c>
      <c r="AQ152" s="58">
        <f>IF(ISNA(VLOOKUP($CW152,'Audit Values'!$A:$BX,2,FALSE)),'Preliminary SO66'!X151,VLOOKUP($CW152,'Audit Values'!$A:$BX,48,FALSE))</f>
        <v>0</v>
      </c>
      <c r="AR152" s="58">
        <f t="shared" si="130"/>
        <v>759.1</v>
      </c>
      <c r="AS152" s="58">
        <f t="shared" si="131"/>
        <v>666.2</v>
      </c>
      <c r="AT152" s="58">
        <f>IF(ISNA(VLOOKUP($CW152,'Audit Values'!$A$2:$BX$410,2,FALSE)),'Preliminary SO66'!AA151,VLOOKUP($CW152,'Audit Values'!$A$2:$BX$410,41,FALSE))</f>
        <v>3</v>
      </c>
      <c r="AU152" s="58">
        <f>IF(ISNA(VLOOKUP($CW152,'Audit Values'!$A$2:$BX$410,2,FALSE)),'Preliminary SO66'!AB151,VLOOKUP($CW152,'Audit Values'!$A$2:$BX$410,42,FALSE))</f>
        <v>0</v>
      </c>
      <c r="AV152" s="73">
        <v>0</v>
      </c>
      <c r="AW152" s="73">
        <v>0</v>
      </c>
      <c r="AX152" s="24">
        <f>SUM(AT152*'Weighting Factors'!$R$10)+('2024 Legal Max'!AU152*'Weighting Factors'!$R$11)+('2024 Legal Max'!AV152*'Weighting Factors'!$R$12)+('2024 Legal Max'!AW152*'Weighting Factors'!$R$12)</f>
        <v>16800</v>
      </c>
      <c r="AY152" s="54">
        <f>IF(ISNA(VLOOKUP($CW152,'Audit Values'!$A$2:$BX$429,2,FALSE)),"",IF(AND('Weighting Factors'!G152&gt;0,VLOOKUP($CW152,'Audit Values'!$A$2:$BX$429,51,FALSE)&lt;'Weighting Factors'!G152),'Weighting Factors'!G152,VLOOKUP($CW152,'Audit Values'!$A$2:$BX$429,51,FALSE)))</f>
        <v>6</v>
      </c>
      <c r="AZ152" s="54" t="str">
        <f>IF(ISNA(VLOOKUP($CW152,'Audit Values'!$A:$BY,2,FALSE)),"",VLOOKUP($CW152,'Audit Values'!$A:$BY,52,FALSE))</f>
        <v>A</v>
      </c>
      <c r="BA152" s="54" t="str">
        <f>IF('Weighting Factors'!F152="","",IF('Weighting Factors'!H152="Pending","PX","R"))</f>
        <v/>
      </c>
      <c r="BB152" s="60">
        <f>SUM((U152+V152+AA152+AC152+AF152+AI152+AL152+AM152+AQ152+AN152)*'Weighting Factors'!$O$5)+'2024 Legal Max'!AX152</f>
        <v>3406426</v>
      </c>
      <c r="BC152" s="24">
        <f>SUM((AR152+AN152)*'Weighting Factors'!$O$5)+AX152</f>
        <v>3879101</v>
      </c>
      <c r="BD152" s="67">
        <f>IF('Weighting Factors'!F152&gt;0,'Weighting Factors'!F152,'Preliminary SO66'!AV151)</f>
        <v>4020550</v>
      </c>
      <c r="BE152" s="24">
        <f t="shared" si="102"/>
        <v>3879101</v>
      </c>
      <c r="BF152" s="71">
        <f>'Weighting Factors'!E152</f>
        <v>0</v>
      </c>
      <c r="BG152" s="71">
        <f>Transportation!G152</f>
        <v>0</v>
      </c>
      <c r="BH152" s="24">
        <f>IF(ISNA(VLOOKUP($CW152,'Audit Values'!$A:$BW,2,FALSE)), 0, VLOOKUP($CW152,'Audit Values'!$A:$BW,75,FALSE))</f>
        <v>0</v>
      </c>
      <c r="BI152" s="24">
        <f t="shared" si="103"/>
        <v>0</v>
      </c>
      <c r="BJ152" s="24">
        <f t="shared" si="104"/>
        <v>3879101</v>
      </c>
      <c r="BK152" s="24">
        <f>SUM((U152+V152+AA152+AC152+AF152+AI152+AL152+AM152+AN152)*'Weighting Factors'!O$12)+(MAX(AO152,'Weighting Factors'!B152))</f>
        <v>3947542</v>
      </c>
      <c r="BL152" s="78">
        <f>'LOB%'!F150</f>
        <v>0.316</v>
      </c>
      <c r="BM152" s="24">
        <f t="shared" si="111"/>
        <v>1247423</v>
      </c>
      <c r="BN152" s="67">
        <v>1286215</v>
      </c>
      <c r="BO152" s="24">
        <f t="shared" si="105"/>
        <v>1247423</v>
      </c>
      <c r="BP152" s="89">
        <f t="shared" si="112"/>
        <v>0.316</v>
      </c>
      <c r="BQ152" s="58">
        <f t="shared" si="113"/>
        <v>0</v>
      </c>
      <c r="BR152" s="1" t="b">
        <f t="shared" si="114"/>
        <v>0</v>
      </c>
      <c r="BS152" s="76">
        <f t="shared" si="115"/>
        <v>0</v>
      </c>
      <c r="BT152" s="75">
        <f t="shared" si="106"/>
        <v>0</v>
      </c>
      <c r="BU152" s="58">
        <f t="shared" si="116"/>
        <v>0</v>
      </c>
      <c r="BV152" s="1" t="b">
        <f t="shared" si="117"/>
        <v>1</v>
      </c>
      <c r="BW152" s="1">
        <f t="shared" si="118"/>
        <v>114.4688</v>
      </c>
      <c r="BX152" s="75">
        <f t="shared" si="107"/>
        <v>0.45275900000000002</v>
      </c>
      <c r="BY152" s="58">
        <f t="shared" si="119"/>
        <v>177.7</v>
      </c>
      <c r="BZ152" s="58">
        <f t="shared" si="120"/>
        <v>0</v>
      </c>
      <c r="CA152" s="61">
        <v>158.19999999999999</v>
      </c>
      <c r="CB152" s="102">
        <f t="shared" si="121"/>
        <v>0.84199999999999997</v>
      </c>
      <c r="CC152" s="105">
        <f>IF(CB152&lt;0.06,1,IF(CB152&gt;=18.29,52,MATCH(CB152-0.001,'Weighting Factors'!$W$5:$W$156)+1))</f>
        <v>30</v>
      </c>
      <c r="CD152" s="24">
        <f>VLOOKUP(CC152, 'Weighting Factors'!$U$5:$X$56,4)</f>
        <v>990</v>
      </c>
      <c r="CE152" s="109">
        <f>('Weighting Factors'!$O$5/'Weighting Factors'!$O$14)</f>
        <v>1.2216</v>
      </c>
      <c r="CF152" s="100">
        <f t="shared" si="122"/>
        <v>131868</v>
      </c>
      <c r="CG152" s="100">
        <f>CF152*'Weighting Factors'!$Q$7</f>
        <v>131868</v>
      </c>
      <c r="CH152" s="100">
        <f t="shared" si="108"/>
        <v>161090</v>
      </c>
      <c r="CI152" s="58">
        <f>AK152/'Weighting Factors'!$O$5</f>
        <v>31.7</v>
      </c>
      <c r="CJ152" s="67">
        <v>0</v>
      </c>
      <c r="CK152" s="80">
        <v>0</v>
      </c>
      <c r="CL152" s="110">
        <v>0</v>
      </c>
      <c r="CM152" s="24">
        <f>SUM((AR152*'Weighting Factors'!$O$5)+'2024 Legal Max'!AX152)*CL152</f>
        <v>0</v>
      </c>
      <c r="CN152" s="24">
        <f t="shared" si="109"/>
        <v>0</v>
      </c>
      <c r="CO152" s="65">
        <f t="shared" si="110"/>
        <v>0.26440000000000002</v>
      </c>
      <c r="CP152" s="58">
        <f t="shared" si="123"/>
        <v>0</v>
      </c>
      <c r="CQ152" s="58">
        <f t="shared" si="124"/>
        <v>0</v>
      </c>
      <c r="CR152" s="58">
        <f t="shared" si="125"/>
        <v>759.1</v>
      </c>
      <c r="CS152" s="24">
        <f>'Required Transfers'!L152</f>
        <v>92060</v>
      </c>
      <c r="CT152" s="24">
        <f>'Required Transfers'!O152</f>
        <v>0</v>
      </c>
      <c r="CU152" s="24">
        <f>'Required Transfers'!H152</f>
        <v>283402</v>
      </c>
      <c r="CV152" s="58">
        <f t="shared" si="126"/>
        <v>369.1</v>
      </c>
      <c r="CW152" s="27" t="s">
        <v>337</v>
      </c>
    </row>
    <row r="153" spans="1:101" ht="15" customHeight="1">
      <c r="A153" s="54">
        <v>357</v>
      </c>
      <c r="B153" s="1" t="s">
        <v>66</v>
      </c>
      <c r="C153" s="1" t="s">
        <v>658</v>
      </c>
      <c r="D153" s="58">
        <v>566.20000000000005</v>
      </c>
      <c r="E153" s="58"/>
      <c r="F153" s="58">
        <v>0</v>
      </c>
      <c r="G153" s="58">
        <f t="shared" si="127"/>
        <v>566.20000000000005</v>
      </c>
      <c r="H153" s="58">
        <v>568.20000000000005</v>
      </c>
      <c r="I153" s="58">
        <v>1</v>
      </c>
      <c r="J153" s="58">
        <v>0</v>
      </c>
      <c r="K153" s="58">
        <f t="shared" si="128"/>
        <v>567.20000000000005</v>
      </c>
      <c r="L153" s="1">
        <v>537.70000000000005</v>
      </c>
      <c r="N153" s="1">
        <v>0</v>
      </c>
      <c r="O153" s="58">
        <f t="shared" si="129"/>
        <v>537.70000000000005</v>
      </c>
      <c r="P153" s="58">
        <f>IF(ISNA(VLOOKUP($CW153,'Audit Values'!$A:$BZ,2,FALSE)),'Preliminary SO66'!C152,VLOOKUP($CW153,'Audit Values'!$A:$BZ,76,FALSE))</f>
        <v>529.70000000000005</v>
      </c>
      <c r="Q153" s="58">
        <f>IF(ISNA(VLOOKUP($CW153,'Audit Values'!$A:$BZ,2,FALSE)),'Preliminary SO66'!F152,VLOOKUP($CW153,'Audit Values'!$A:$BZ,4,FALSE))</f>
        <v>0</v>
      </c>
      <c r="R153" s="58">
        <f t="shared" si="97"/>
        <v>529.70000000000005</v>
      </c>
      <c r="S153" s="58">
        <f>IF('Military Provision'!I153="YES", MAX('2024 Legal Max'!O153,'2024 Legal Max'!K153,AVERAGE('2024 Legal Max'!G153,'2024 Legal Max'!K153,'2024 Legal Max'!O153)), MAX(O153, K153))</f>
        <v>567.20000000000005</v>
      </c>
      <c r="T153" s="58">
        <f>IF(ISNA(VLOOKUP($CW153,'Audit Values'!$A:$BX,2,FALSE)),'Preliminary SO66'!AL152,VLOOKUP($CW153,'Audit Values'!$A:$BX,59,FALSE))</f>
        <v>10.5</v>
      </c>
      <c r="U153" s="58">
        <f t="shared" si="98"/>
        <v>577.70000000000005</v>
      </c>
      <c r="V153" s="58">
        <f>'Low-High ENRL- 2023 HSubSB 113'!N156</f>
        <v>225.2</v>
      </c>
      <c r="W153" s="58">
        <f>IF(ISNA(VLOOKUP($CW153,'Audit Values'!$A:$BZ,2,FALSE)),'Preliminary SO66'!AM152,VLOOKUP($CW153,'Audit Values'!$A:$BZ,63,FALSE))</f>
        <v>1.9</v>
      </c>
      <c r="X153" s="58">
        <f>(W153/6)*'Weighting Factors'!$O$7</f>
        <v>0.1</v>
      </c>
      <c r="Y153" s="61">
        <f>IF(ISNA(VLOOKUP($CW153,'Audit Values'!$A:$BZ,2,FALSE)),'Preliminary SO66'!AN152,VLOOKUP($CW153,'Audit Values'!$A:$BZ,62,FALSE))</f>
        <v>3</v>
      </c>
      <c r="Z153" s="58">
        <f>Y153*'Weighting Factors'!$O$8</f>
        <v>0.6</v>
      </c>
      <c r="AA153" s="58">
        <f t="shared" si="99"/>
        <v>0.6</v>
      </c>
      <c r="AB153" s="106">
        <f>IF(ISNA(VLOOKUP($CW153,'Audit Values'!$A:$BZ,2,FALSE)),'Preliminary SO66'!AO152,VLOOKUP($CW153,'Audit Values'!$A:$BZ,61,FALSE))</f>
        <v>124.6</v>
      </c>
      <c r="AC153" s="58">
        <f>AB153/6*'Weighting Factors'!$O$6</f>
        <v>10.4</v>
      </c>
      <c r="AD153" s="24">
        <f>IF(ISNA(VLOOKUP($CW153,'Audit Values'!$A:$BX,2,FALSE)),'Preliminary SO66'!AS152,VLOOKUP($CW153,'Audit Values'!$A:$BX,64,FALSE))</f>
        <v>558</v>
      </c>
      <c r="AE153" s="24">
        <f>IF(ISNA(VLOOKUP($CW153,'Audit Values'!$A:$BX,2,FALSE)),'Preliminary SO66'!AP152,VLOOKUP($CW153,'Audit Values'!$A:$BX,65,FALSE))</f>
        <v>222</v>
      </c>
      <c r="AF153" s="58">
        <f>IF(A153=207, AE153,(AE153))*'Weighting Factors'!$O$9</f>
        <v>107.4</v>
      </c>
      <c r="AG153" s="58">
        <f t="shared" si="132"/>
        <v>7.4</v>
      </c>
      <c r="AH153" s="58">
        <f>IF(ISNA(VLOOKUP($CW153,'Audit Values'!$A:$BZ,2,FALSE)),'Preliminary SO66'!AG152,VLOOKUP($CW153,'Audit Values'!$A:$BZ,71,FALSE))</f>
        <v>10.3</v>
      </c>
      <c r="AI153" s="58">
        <f t="shared" si="100"/>
        <v>10.3</v>
      </c>
      <c r="AJ153" s="58">
        <f>IF(ISNA(VLOOKUP($CW153,'Audit Values'!$A:$BX,2,FALSE)),'Preliminary SO66'!AR152,VLOOKUP($CW153,'Audit Values'!$A:$BX,66,FALSE))</f>
        <v>160</v>
      </c>
      <c r="AK153" s="24">
        <f t="shared" si="101"/>
        <v>166138</v>
      </c>
      <c r="AL153" s="58">
        <f>AK153/'Weighting Factors'!$O$5</f>
        <v>32.700000000000003</v>
      </c>
      <c r="AM153" s="58">
        <f>CJ153/'Weighting Factors'!$O$5</f>
        <v>0</v>
      </c>
      <c r="AN153" s="58">
        <f>CN153/'Weighting Factors'!$O$5</f>
        <v>0</v>
      </c>
      <c r="AO153" s="24">
        <v>905585</v>
      </c>
      <c r="AP153" s="58">
        <f>AO153/'Weighting Factors'!$O$5</f>
        <v>178</v>
      </c>
      <c r="AQ153" s="58">
        <f>IF(ISNA(VLOOKUP($CW153,'Audit Values'!$A:$BX,2,FALSE)),'Preliminary SO66'!X152,VLOOKUP($CW153,'Audit Values'!$A:$BX,48,FALSE))</f>
        <v>0</v>
      </c>
      <c r="AR153" s="58">
        <f t="shared" si="130"/>
        <v>1142.3</v>
      </c>
      <c r="AS153" s="58">
        <f t="shared" si="131"/>
        <v>964.3</v>
      </c>
      <c r="AT153" s="58">
        <f>IF(ISNA(VLOOKUP($CW153,'Audit Values'!$A$2:$BX$410,2,FALSE)),'Preliminary SO66'!AA152,VLOOKUP($CW153,'Audit Values'!$A$2:$BX$410,41,FALSE))</f>
        <v>5</v>
      </c>
      <c r="AU153" s="58">
        <f>IF(ISNA(VLOOKUP($CW153,'Audit Values'!$A$2:$BX$410,2,FALSE)),'Preliminary SO66'!AB152,VLOOKUP($CW153,'Audit Values'!$A$2:$BX$410,42,FALSE))</f>
        <v>0.3</v>
      </c>
      <c r="AV153" s="73">
        <v>21.5</v>
      </c>
      <c r="AW153" s="73">
        <v>0</v>
      </c>
      <c r="AX153" s="24">
        <f>SUM(AT153*'Weighting Factors'!$R$10)+('2024 Legal Max'!AU153*'Weighting Factors'!$R$11)+('2024 Legal Max'!AV153*'Weighting Factors'!$R$12)+('2024 Legal Max'!AW153*'Weighting Factors'!$R$12)</f>
        <v>44084</v>
      </c>
      <c r="AY153" s="54">
        <f>IF(ISNA(VLOOKUP($CW153,'Audit Values'!$A$2:$BX$429,2,FALSE)),"",IF(AND('Weighting Factors'!G153&gt;0,VLOOKUP($CW153,'Audit Values'!$A$2:$BX$429,51,FALSE)&lt;'Weighting Factors'!G153),'Weighting Factors'!G153,VLOOKUP($CW153,'Audit Values'!$A$2:$BX$429,51,FALSE)))</f>
        <v>25</v>
      </c>
      <c r="AZ153" s="54" t="str">
        <f>IF(ISNA(VLOOKUP($CW153,'Audit Values'!$A:$BY,2,FALSE)),"",VLOOKUP($CW153,'Audit Values'!$A:$BY,52,FALSE))</f>
        <v>A</v>
      </c>
      <c r="BA153" s="54" t="str">
        <f>IF('Weighting Factors'!F153="","",IF('Weighting Factors'!H153="Pending","PX","R"))</f>
        <v/>
      </c>
      <c r="BB153" s="60">
        <f>SUM((U153+V153+AA153+AC153+AF153+AI153+AL153+AM153+AQ153+AN153)*'Weighting Factors'!$O$5)+'2024 Legal Max'!AX153</f>
        <v>4950442</v>
      </c>
      <c r="BC153" s="24">
        <f>SUM((AR153+AN153)*'Weighting Factors'!$O$5)+AX153</f>
        <v>5856106</v>
      </c>
      <c r="BD153" s="67">
        <f>IF('Weighting Factors'!F153&gt;0,'Weighting Factors'!F153,'Preliminary SO66'!AV152)</f>
        <v>6009662</v>
      </c>
      <c r="BE153" s="24">
        <f t="shared" si="102"/>
        <v>5856106</v>
      </c>
      <c r="BF153" s="71">
        <f>'Weighting Factors'!E153</f>
        <v>0</v>
      </c>
      <c r="BG153" s="71">
        <f>Transportation!G153</f>
        <v>-6193</v>
      </c>
      <c r="BH153" s="24">
        <f>IF(ISNA(VLOOKUP($CW153,'Audit Values'!$A:$BW,2,FALSE)), 0, VLOOKUP($CW153,'Audit Values'!$A:$BW,75,FALSE))</f>
        <v>-355</v>
      </c>
      <c r="BI153" s="24">
        <f t="shared" si="103"/>
        <v>-6548</v>
      </c>
      <c r="BJ153" s="24">
        <f t="shared" si="104"/>
        <v>5849558</v>
      </c>
      <c r="BK153" s="24">
        <f>SUM((U153+V153+AA153+AC153+AF153+AI153+AL153+AM153+AN153)*'Weighting Factors'!O$12)+(MAX(AO153,'Weighting Factors'!B153))</f>
        <v>5919512</v>
      </c>
      <c r="BL153" s="78">
        <f>'LOB%'!F151</f>
        <v>0.33</v>
      </c>
      <c r="BM153" s="24">
        <f t="shared" si="111"/>
        <v>1953439</v>
      </c>
      <c r="BN153" s="67">
        <v>1999567</v>
      </c>
      <c r="BO153" s="24">
        <f t="shared" si="105"/>
        <v>1953439</v>
      </c>
      <c r="BP153" s="89">
        <f t="shared" si="112"/>
        <v>0.33</v>
      </c>
      <c r="BQ153" s="58">
        <f t="shared" si="113"/>
        <v>0</v>
      </c>
      <c r="BR153" s="1" t="b">
        <f t="shared" si="114"/>
        <v>0</v>
      </c>
      <c r="BS153" s="76">
        <f t="shared" si="115"/>
        <v>0</v>
      </c>
      <c r="BT153" s="75">
        <f t="shared" si="106"/>
        <v>0</v>
      </c>
      <c r="BU153" s="58">
        <f t="shared" si="116"/>
        <v>0</v>
      </c>
      <c r="BV153" s="1" t="b">
        <f t="shared" si="117"/>
        <v>1</v>
      </c>
      <c r="BW153" s="1">
        <f t="shared" si="118"/>
        <v>343.65379999999999</v>
      </c>
      <c r="BX153" s="75">
        <f t="shared" si="107"/>
        <v>0.38983800000000002</v>
      </c>
      <c r="BY153" s="58">
        <f t="shared" si="119"/>
        <v>225.2</v>
      </c>
      <c r="BZ153" s="58">
        <f t="shared" si="120"/>
        <v>0</v>
      </c>
      <c r="CA153" s="61">
        <v>84</v>
      </c>
      <c r="CB153" s="102">
        <f t="shared" si="121"/>
        <v>1.905</v>
      </c>
      <c r="CC153" s="105">
        <f>IF(CB153&lt;0.06,1,IF(CB153&gt;=18.29,52,MATCH(CB153-0.001,'Weighting Factors'!$W$5:$W$156)+1))</f>
        <v>37</v>
      </c>
      <c r="CD153" s="24">
        <f>VLOOKUP(CC153, 'Weighting Factors'!$U$5:$X$56,4)</f>
        <v>850</v>
      </c>
      <c r="CE153" s="109">
        <f>('Weighting Factors'!$O$5/'Weighting Factors'!$O$14)</f>
        <v>1.2216</v>
      </c>
      <c r="CF153" s="100">
        <f t="shared" si="122"/>
        <v>136000</v>
      </c>
      <c r="CG153" s="100">
        <f>CF153*'Weighting Factors'!$Q$7</f>
        <v>136000</v>
      </c>
      <c r="CH153" s="100">
        <f t="shared" si="108"/>
        <v>166138</v>
      </c>
      <c r="CI153" s="58">
        <f>AK153/'Weighting Factors'!$O$5</f>
        <v>32.700000000000003</v>
      </c>
      <c r="CJ153" s="67">
        <v>0</v>
      </c>
      <c r="CK153" s="80">
        <v>0</v>
      </c>
      <c r="CL153" s="110">
        <v>0</v>
      </c>
      <c r="CM153" s="24">
        <f>SUM((AR153*'Weighting Factors'!$O$5)+'2024 Legal Max'!AX153)*CL153</f>
        <v>0</v>
      </c>
      <c r="CN153" s="24">
        <f t="shared" si="109"/>
        <v>0</v>
      </c>
      <c r="CO153" s="65">
        <f t="shared" si="110"/>
        <v>0.39779999999999999</v>
      </c>
      <c r="CP153" s="58">
        <f t="shared" si="123"/>
        <v>0</v>
      </c>
      <c r="CQ153" s="58">
        <f t="shared" si="124"/>
        <v>7.4</v>
      </c>
      <c r="CR153" s="58">
        <f t="shared" si="125"/>
        <v>1142.3</v>
      </c>
      <c r="CS153" s="24">
        <f>'Required Transfers'!L153</f>
        <v>185381</v>
      </c>
      <c r="CT153" s="24">
        <f>'Required Transfers'!O153</f>
        <v>977</v>
      </c>
      <c r="CU153" s="24">
        <f>'Required Transfers'!H153</f>
        <v>598858</v>
      </c>
      <c r="CV153" s="58">
        <f t="shared" si="126"/>
        <v>549.1</v>
      </c>
      <c r="CW153" s="27" t="s">
        <v>338</v>
      </c>
    </row>
    <row r="154" spans="1:101" ht="15" customHeight="1">
      <c r="A154" s="54">
        <v>358</v>
      </c>
      <c r="B154" s="1" t="s">
        <v>66</v>
      </c>
      <c r="C154" s="1" t="s">
        <v>659</v>
      </c>
      <c r="D154" s="58">
        <v>323.3</v>
      </c>
      <c r="E154" s="58"/>
      <c r="F154" s="58">
        <v>0</v>
      </c>
      <c r="G154" s="58">
        <f t="shared" si="127"/>
        <v>323.3</v>
      </c>
      <c r="H154" s="58">
        <v>373.4</v>
      </c>
      <c r="I154" s="58"/>
      <c r="J154" s="58">
        <v>0</v>
      </c>
      <c r="K154" s="58">
        <f t="shared" si="128"/>
        <v>373.4</v>
      </c>
      <c r="L154" s="1">
        <v>381.7</v>
      </c>
      <c r="N154" s="1">
        <v>0</v>
      </c>
      <c r="O154" s="58">
        <f t="shared" si="129"/>
        <v>381.7</v>
      </c>
      <c r="P154" s="58">
        <f>IF(ISNA(VLOOKUP($CW154,'Audit Values'!$A:$BZ,2,FALSE)),'Preliminary SO66'!C153,VLOOKUP($CW154,'Audit Values'!$A:$BZ,76,FALSE))</f>
        <v>374.7</v>
      </c>
      <c r="Q154" s="58">
        <f>IF(ISNA(VLOOKUP($CW154,'Audit Values'!$A:$BZ,2,FALSE)),'Preliminary SO66'!F153,VLOOKUP($CW154,'Audit Values'!$A:$BZ,4,FALSE))</f>
        <v>0</v>
      </c>
      <c r="R154" s="58">
        <f t="shared" si="97"/>
        <v>374.7</v>
      </c>
      <c r="S154" s="58">
        <f>IF('Military Provision'!I154="YES", MAX('2024 Legal Max'!O154,'2024 Legal Max'!K154,AVERAGE('2024 Legal Max'!G154,'2024 Legal Max'!K154,'2024 Legal Max'!O154)), MAX(O154, K154))</f>
        <v>381.7</v>
      </c>
      <c r="T154" s="58">
        <f>IF(ISNA(VLOOKUP($CW154,'Audit Values'!$A:$BX,2,FALSE)),'Preliminary SO66'!AL153,VLOOKUP($CW154,'Audit Values'!$A:$BX,59,FALSE))</f>
        <v>4.5</v>
      </c>
      <c r="U154" s="58">
        <f t="shared" si="98"/>
        <v>386.2</v>
      </c>
      <c r="V154" s="58">
        <f>'Low-High ENRL- 2023 HSubSB 113'!N157</f>
        <v>175.7</v>
      </c>
      <c r="W154" s="58">
        <f>IF(ISNA(VLOOKUP($CW154,'Audit Values'!$A:$BZ,2,FALSE)),'Preliminary SO66'!AM153,VLOOKUP($CW154,'Audit Values'!$A:$BZ,63,FALSE))</f>
        <v>0.7</v>
      </c>
      <c r="X154" s="58">
        <f>(W154/6)*'Weighting Factors'!$O$7</f>
        <v>0</v>
      </c>
      <c r="Y154" s="61">
        <f>IF(ISNA(VLOOKUP($CW154,'Audit Values'!$A:$BZ,2,FALSE)),'Preliminary SO66'!AN153,VLOOKUP($CW154,'Audit Values'!$A:$BZ,62,FALSE))</f>
        <v>3</v>
      </c>
      <c r="Z154" s="58">
        <f>Y154*'Weighting Factors'!$O$8</f>
        <v>0.6</v>
      </c>
      <c r="AA154" s="58">
        <f t="shared" si="99"/>
        <v>0.6</v>
      </c>
      <c r="AB154" s="106">
        <f>IF(ISNA(VLOOKUP($CW154,'Audit Values'!$A:$BZ,2,FALSE)),'Preliminary SO66'!AO153,VLOOKUP($CW154,'Audit Values'!$A:$BZ,61,FALSE))</f>
        <v>111.2</v>
      </c>
      <c r="AC154" s="58">
        <f>AB154/6*'Weighting Factors'!$O$6</f>
        <v>9.3000000000000007</v>
      </c>
      <c r="AD154" s="24">
        <f>IF(ISNA(VLOOKUP($CW154,'Audit Values'!$A:$BX,2,FALSE)),'Preliminary SO66'!AS153,VLOOKUP($CW154,'Audit Values'!$A:$BX,64,FALSE))</f>
        <v>398</v>
      </c>
      <c r="AE154" s="24">
        <f>IF(ISNA(VLOOKUP($CW154,'Audit Values'!$A:$BX,2,FALSE)),'Preliminary SO66'!AP153,VLOOKUP($CW154,'Audit Values'!$A:$BX,65,FALSE))</f>
        <v>134</v>
      </c>
      <c r="AF154" s="58">
        <f>IF(A154=207, AE154,(AE154))*'Weighting Factors'!$O$9</f>
        <v>64.900000000000006</v>
      </c>
      <c r="AG154" s="58">
        <f t="shared" si="132"/>
        <v>0</v>
      </c>
      <c r="AH154" s="58">
        <f>IF(ISNA(VLOOKUP($CW154,'Audit Values'!$A:$BZ,2,FALSE)),'Preliminary SO66'!AG153,VLOOKUP($CW154,'Audit Values'!$A:$BZ,71,FALSE))</f>
        <v>1.4</v>
      </c>
      <c r="AI154" s="58">
        <f t="shared" si="100"/>
        <v>1.4</v>
      </c>
      <c r="AJ154" s="58">
        <f>IF(ISNA(VLOOKUP($CW154,'Audit Values'!$A:$BX,2,FALSE)),'Preliminary SO66'!AR153,VLOOKUP($CW154,'Audit Values'!$A:$BX,66,FALSE))</f>
        <v>62</v>
      </c>
      <c r="AK154" s="24">
        <f t="shared" si="101"/>
        <v>84071</v>
      </c>
      <c r="AL154" s="58">
        <f>AK154/'Weighting Factors'!$O$5</f>
        <v>16.5</v>
      </c>
      <c r="AM154" s="58">
        <f>CJ154/'Weighting Factors'!$O$5</f>
        <v>0</v>
      </c>
      <c r="AN154" s="58">
        <f>CN154/'Weighting Factors'!$O$5</f>
        <v>0</v>
      </c>
      <c r="AO154" s="24">
        <v>597116</v>
      </c>
      <c r="AP154" s="58">
        <f>AO154/'Weighting Factors'!$O$5</f>
        <v>117.4</v>
      </c>
      <c r="AQ154" s="58">
        <f>IF(ISNA(VLOOKUP($CW154,'Audit Values'!$A:$BX,2,FALSE)),'Preliminary SO66'!X153,VLOOKUP($CW154,'Audit Values'!$A:$BX,48,FALSE))</f>
        <v>0</v>
      </c>
      <c r="AR154" s="58">
        <f t="shared" si="130"/>
        <v>772</v>
      </c>
      <c r="AS154" s="58">
        <f t="shared" si="131"/>
        <v>654.6</v>
      </c>
      <c r="AT154" s="58">
        <f>IF(ISNA(VLOOKUP($CW154,'Audit Values'!$A$2:$BX$410,2,FALSE)),'Preliminary SO66'!AA153,VLOOKUP($CW154,'Audit Values'!$A$2:$BX$410,41,FALSE))</f>
        <v>42</v>
      </c>
      <c r="AU154" s="58">
        <f>IF(ISNA(VLOOKUP($CW154,'Audit Values'!$A$2:$BX$410,2,FALSE)),'Preliminary SO66'!AB153,VLOOKUP($CW154,'Audit Values'!$A$2:$BX$410,42,FALSE))</f>
        <v>7.2</v>
      </c>
      <c r="AV154" s="73">
        <v>41.5</v>
      </c>
      <c r="AW154" s="73">
        <v>0</v>
      </c>
      <c r="AX154" s="24">
        <f>SUM(AT154*'Weighting Factors'!$R$10)+('2024 Legal Max'!AU154*'Weighting Factors'!$R$11)+('2024 Legal Max'!AV154*'Weighting Factors'!$R$12)+('2024 Legal Max'!AW154*'Weighting Factors'!$R$12)</f>
        <v>284784</v>
      </c>
      <c r="AY154" s="54">
        <f>IF(ISNA(VLOOKUP($CW154,'Audit Values'!$A$2:$BX$429,2,FALSE)),"",IF(AND('Weighting Factors'!G154&gt;0,VLOOKUP($CW154,'Audit Values'!$A$2:$BX$429,51,FALSE)&lt;'Weighting Factors'!G154),'Weighting Factors'!G154,VLOOKUP($CW154,'Audit Values'!$A$2:$BX$429,51,FALSE)))</f>
        <v>18</v>
      </c>
      <c r="AZ154" s="54" t="str">
        <f>IF(ISNA(VLOOKUP($CW154,'Audit Values'!$A:$BY,2,FALSE)),"",VLOOKUP($CW154,'Audit Values'!$A:$BY,52,FALSE))</f>
        <v>A</v>
      </c>
      <c r="BA154" s="54" t="str">
        <f>IF('Weighting Factors'!F154="","",IF('Weighting Factors'!H154="Pending","PX","R"))</f>
        <v/>
      </c>
      <c r="BB154" s="60">
        <f>SUM((U154+V154+AA154+AC154+AF154+AI154+AL154+AM154+AQ154+AN154)*'Weighting Factors'!$O$5)+'2024 Legal Max'!AX154</f>
        <v>3615389</v>
      </c>
      <c r="BC154" s="24">
        <f>SUM((AR154+AN154)*'Weighting Factors'!$O$5)+AX154</f>
        <v>4212720</v>
      </c>
      <c r="BD154" s="67">
        <f>IF('Weighting Factors'!F154&gt;0,'Weighting Factors'!F154,'Preliminary SO66'!AV153)</f>
        <v>4614345</v>
      </c>
      <c r="BE154" s="24">
        <f t="shared" si="102"/>
        <v>4212720</v>
      </c>
      <c r="BF154" s="71">
        <f>'Weighting Factors'!E154</f>
        <v>0</v>
      </c>
      <c r="BG154" s="71">
        <f>Transportation!G154</f>
        <v>0</v>
      </c>
      <c r="BH154" s="24">
        <f>IF(ISNA(VLOOKUP($CW154,'Audit Values'!$A:$BW,2,FALSE)), 0, VLOOKUP($CW154,'Audit Values'!$A:$BW,75,FALSE))</f>
        <v>-5777</v>
      </c>
      <c r="BI154" s="24">
        <f t="shared" si="103"/>
        <v>-5777</v>
      </c>
      <c r="BJ154" s="24">
        <f t="shared" si="104"/>
        <v>4206943</v>
      </c>
      <c r="BK154" s="24">
        <f>SUM((U154+V154+AA154+AC154+AF154+AI154+AL154+AM154+AN154)*'Weighting Factors'!O$12)+(MAX(AO154,'Weighting Factors'!B154))</f>
        <v>3973543</v>
      </c>
      <c r="BL154" s="78">
        <f>'LOB%'!F152</f>
        <v>0.316</v>
      </c>
      <c r="BM154" s="24">
        <f t="shared" si="111"/>
        <v>1255640</v>
      </c>
      <c r="BN154" s="67">
        <v>1328916</v>
      </c>
      <c r="BO154" s="24">
        <f t="shared" si="105"/>
        <v>1255640</v>
      </c>
      <c r="BP154" s="89">
        <f t="shared" si="112"/>
        <v>0.316</v>
      </c>
      <c r="BQ154" s="58">
        <f t="shared" si="113"/>
        <v>0</v>
      </c>
      <c r="BR154" s="1" t="b">
        <f t="shared" si="114"/>
        <v>0</v>
      </c>
      <c r="BS154" s="76">
        <f t="shared" si="115"/>
        <v>0</v>
      </c>
      <c r="BT154" s="75">
        <f t="shared" si="106"/>
        <v>0</v>
      </c>
      <c r="BU154" s="58">
        <f t="shared" si="116"/>
        <v>0</v>
      </c>
      <c r="BV154" s="1" t="b">
        <f t="shared" si="117"/>
        <v>1</v>
      </c>
      <c r="BW154" s="1">
        <f t="shared" si="118"/>
        <v>106.6725</v>
      </c>
      <c r="BX154" s="75">
        <f t="shared" si="107"/>
        <v>0.45490000000000003</v>
      </c>
      <c r="BY154" s="58">
        <f t="shared" si="119"/>
        <v>175.7</v>
      </c>
      <c r="BZ154" s="58">
        <f t="shared" si="120"/>
        <v>0</v>
      </c>
      <c r="CA154" s="61">
        <v>136</v>
      </c>
      <c r="CB154" s="102">
        <f t="shared" si="121"/>
        <v>0.45600000000000002</v>
      </c>
      <c r="CC154" s="105">
        <f>IF(CB154&lt;0.06,1,IF(CB154&gt;=18.29,52,MATCH(CB154-0.001,'Weighting Factors'!$W$5:$W$156)+1))</f>
        <v>24</v>
      </c>
      <c r="CD154" s="24">
        <f>VLOOKUP(CC154, 'Weighting Factors'!$U$5:$X$56,4)</f>
        <v>1110</v>
      </c>
      <c r="CE154" s="109">
        <f>('Weighting Factors'!$O$5/'Weighting Factors'!$O$14)</f>
        <v>1.2216</v>
      </c>
      <c r="CF154" s="100">
        <f t="shared" si="122"/>
        <v>68820</v>
      </c>
      <c r="CG154" s="100">
        <f>CF154*'Weighting Factors'!$Q$7</f>
        <v>68820</v>
      </c>
      <c r="CH154" s="100">
        <f t="shared" si="108"/>
        <v>84071</v>
      </c>
      <c r="CI154" s="58">
        <f>AK154/'Weighting Factors'!$O$5</f>
        <v>16.5</v>
      </c>
      <c r="CJ154" s="67">
        <v>0</v>
      </c>
      <c r="CK154" s="80">
        <v>0</v>
      </c>
      <c r="CL154" s="110">
        <v>0</v>
      </c>
      <c r="CM154" s="24">
        <f>SUM((AR154*'Weighting Factors'!$O$5)+'2024 Legal Max'!AX154)*CL154</f>
        <v>0</v>
      </c>
      <c r="CN154" s="24">
        <f t="shared" si="109"/>
        <v>0</v>
      </c>
      <c r="CO154" s="65">
        <f t="shared" si="110"/>
        <v>0.3367</v>
      </c>
      <c r="CP154" s="58">
        <f t="shared" si="123"/>
        <v>0</v>
      </c>
      <c r="CQ154" s="58">
        <f t="shared" si="124"/>
        <v>0</v>
      </c>
      <c r="CR154" s="58">
        <f t="shared" si="125"/>
        <v>772</v>
      </c>
      <c r="CS154" s="24">
        <f>'Required Transfers'!L154</f>
        <v>106227</v>
      </c>
      <c r="CT154" s="24">
        <f>'Required Transfers'!O154</f>
        <v>1005</v>
      </c>
      <c r="CU154" s="24">
        <f>'Required Transfers'!H154</f>
        <v>337334</v>
      </c>
      <c r="CV154" s="58">
        <f t="shared" si="126"/>
        <v>435.3</v>
      </c>
      <c r="CW154" s="27" t="s">
        <v>339</v>
      </c>
    </row>
    <row r="155" spans="1:101" ht="15" customHeight="1">
      <c r="A155" s="54">
        <v>359</v>
      </c>
      <c r="B155" s="1" t="s">
        <v>66</v>
      </c>
      <c r="C155" s="1" t="s">
        <v>660</v>
      </c>
      <c r="D155" s="58">
        <v>160.9</v>
      </c>
      <c r="E155" s="58"/>
      <c r="F155" s="58">
        <v>0</v>
      </c>
      <c r="G155" s="58">
        <f t="shared" si="127"/>
        <v>160.9</v>
      </c>
      <c r="H155" s="58">
        <v>161.5</v>
      </c>
      <c r="I155" s="58"/>
      <c r="J155" s="58">
        <v>0</v>
      </c>
      <c r="K155" s="58">
        <f t="shared" si="128"/>
        <v>161.5</v>
      </c>
      <c r="L155" s="1">
        <v>140</v>
      </c>
      <c r="N155" s="1">
        <v>0</v>
      </c>
      <c r="O155" s="58">
        <f t="shared" si="129"/>
        <v>140</v>
      </c>
      <c r="P155" s="58">
        <f>IF(ISNA(VLOOKUP($CW155,'Audit Values'!$A:$BZ,2,FALSE)),'Preliminary SO66'!C154,VLOOKUP($CW155,'Audit Values'!$A:$BZ,76,FALSE))</f>
        <v>129.5</v>
      </c>
      <c r="Q155" s="58">
        <f>IF(ISNA(VLOOKUP($CW155,'Audit Values'!$A:$BZ,2,FALSE)),'Preliminary SO66'!F154,VLOOKUP($CW155,'Audit Values'!$A:$BZ,4,FALSE))</f>
        <v>0</v>
      </c>
      <c r="R155" s="58">
        <f t="shared" si="97"/>
        <v>129.5</v>
      </c>
      <c r="S155" s="58">
        <f>IF('Military Provision'!I155="YES", MAX('2024 Legal Max'!O155,'2024 Legal Max'!K155,AVERAGE('2024 Legal Max'!G155,'2024 Legal Max'!K155,'2024 Legal Max'!O155)), MAX(O155, K155))</f>
        <v>161.5</v>
      </c>
      <c r="T155" s="58">
        <f>IF(ISNA(VLOOKUP($CW155,'Audit Values'!$A:$BX,2,FALSE)),'Preliminary SO66'!AL154,VLOOKUP($CW155,'Audit Values'!$A:$BX,59,FALSE))</f>
        <v>2.5</v>
      </c>
      <c r="U155" s="58">
        <f t="shared" si="98"/>
        <v>164</v>
      </c>
      <c r="V155" s="58">
        <f>'Low-High ENRL- 2023 HSubSB 113'!N158</f>
        <v>138.5</v>
      </c>
      <c r="W155" s="58">
        <f>IF(ISNA(VLOOKUP($CW155,'Audit Values'!$A:$BZ,2,FALSE)),'Preliminary SO66'!AM154,VLOOKUP($CW155,'Audit Values'!$A:$BZ,63,FALSE))</f>
        <v>0</v>
      </c>
      <c r="X155" s="58">
        <f>(W155/6)*'Weighting Factors'!$O$7</f>
        <v>0</v>
      </c>
      <c r="Y155" s="61">
        <f>IF(ISNA(VLOOKUP($CW155,'Audit Values'!$A:$BZ,2,FALSE)),'Preliminary SO66'!AN154,VLOOKUP($CW155,'Audit Values'!$A:$BZ,62,FALSE))</f>
        <v>0</v>
      </c>
      <c r="Z155" s="58">
        <f>Y155*'Weighting Factors'!$O$8</f>
        <v>0</v>
      </c>
      <c r="AA155" s="58">
        <f t="shared" si="99"/>
        <v>0</v>
      </c>
      <c r="AB155" s="106">
        <f>IF(ISNA(VLOOKUP($CW155,'Audit Values'!$A:$BZ,2,FALSE)),'Preliminary SO66'!AO154,VLOOKUP($CW155,'Audit Values'!$A:$BZ,61,FALSE))</f>
        <v>39.9</v>
      </c>
      <c r="AC155" s="58">
        <f>AB155/6*'Weighting Factors'!$O$6</f>
        <v>3.3</v>
      </c>
      <c r="AD155" s="24">
        <f>IF(ISNA(VLOOKUP($CW155,'Audit Values'!$A:$BX,2,FALSE)),'Preliminary SO66'!AS154,VLOOKUP($CW155,'Audit Values'!$A:$BX,64,FALSE))</f>
        <v>135</v>
      </c>
      <c r="AE155" s="24">
        <f>IF(ISNA(VLOOKUP($CW155,'Audit Values'!$A:$BX,2,FALSE)),'Preliminary SO66'!AP154,VLOOKUP($CW155,'Audit Values'!$A:$BX,65,FALSE))</f>
        <v>52</v>
      </c>
      <c r="AF155" s="58">
        <f>IF(A155=207, AE155,(AE155))*'Weighting Factors'!$O$9</f>
        <v>25.2</v>
      </c>
      <c r="AG155" s="58">
        <f t="shared" si="132"/>
        <v>1.3</v>
      </c>
      <c r="AH155" s="58">
        <f>IF(ISNA(VLOOKUP($CW155,'Audit Values'!$A:$BZ,2,FALSE)),'Preliminary SO66'!AG154,VLOOKUP($CW155,'Audit Values'!$A:$BZ,71,FALSE))</f>
        <v>2.7</v>
      </c>
      <c r="AI155" s="58">
        <f t="shared" si="100"/>
        <v>2.7</v>
      </c>
      <c r="AJ155" s="58">
        <f>IF(ISNA(VLOOKUP($CW155,'Audit Values'!$A:$BX,2,FALSE)),'Preliminary SO66'!AR154,VLOOKUP($CW155,'Audit Values'!$A:$BX,66,FALSE))</f>
        <v>29.5</v>
      </c>
      <c r="AK155" s="24">
        <f t="shared" si="101"/>
        <v>47569</v>
      </c>
      <c r="AL155" s="58">
        <f>AK155/'Weighting Factors'!$O$5</f>
        <v>9.3000000000000007</v>
      </c>
      <c r="AM155" s="58">
        <f>CJ155/'Weighting Factors'!$O$5</f>
        <v>0</v>
      </c>
      <c r="AN155" s="58">
        <f>CN155/'Weighting Factors'!$O$5</f>
        <v>0</v>
      </c>
      <c r="AO155" s="24">
        <v>294165</v>
      </c>
      <c r="AP155" s="58">
        <f>AO155/'Weighting Factors'!$O$5</f>
        <v>57.8</v>
      </c>
      <c r="AQ155" s="58">
        <f>IF(ISNA(VLOOKUP($CW155,'Audit Values'!$A:$BX,2,FALSE)),'Preliminary SO66'!X154,VLOOKUP($CW155,'Audit Values'!$A:$BX,48,FALSE))</f>
        <v>0</v>
      </c>
      <c r="AR155" s="58">
        <f t="shared" si="130"/>
        <v>400.8</v>
      </c>
      <c r="AS155" s="58">
        <f t="shared" si="131"/>
        <v>343</v>
      </c>
      <c r="AT155" s="58">
        <f>IF(ISNA(VLOOKUP($CW155,'Audit Values'!$A$2:$BX$410,2,FALSE)),'Preliminary SO66'!AA154,VLOOKUP($CW155,'Audit Values'!$A$2:$BX$410,41,FALSE))</f>
        <v>0</v>
      </c>
      <c r="AU155" s="58">
        <f>IF(ISNA(VLOOKUP($CW155,'Audit Values'!$A$2:$BX$410,2,FALSE)),'Preliminary SO66'!AB154,VLOOKUP($CW155,'Audit Values'!$A$2:$BX$410,42,FALSE))</f>
        <v>0</v>
      </c>
      <c r="AV155" s="73">
        <v>0</v>
      </c>
      <c r="AW155" s="73">
        <v>0</v>
      </c>
      <c r="AX155" s="24">
        <f>SUM(AT155*'Weighting Factors'!$R$10)+('2024 Legal Max'!AU155*'Weighting Factors'!$R$11)+('2024 Legal Max'!AV155*'Weighting Factors'!$R$12)+('2024 Legal Max'!AW155*'Weighting Factors'!$R$12)</f>
        <v>0</v>
      </c>
      <c r="AY155" s="54">
        <f>IF(ISNA(VLOOKUP($CW155,'Audit Values'!$A$2:$BX$429,2,FALSE)),"",IF(AND('Weighting Factors'!G155&gt;0,VLOOKUP($CW155,'Audit Values'!$A$2:$BX$429,51,FALSE)&lt;'Weighting Factors'!G155),'Weighting Factors'!G155,VLOOKUP($CW155,'Audit Values'!$A$2:$BX$429,51,FALSE)))</f>
        <v>17</v>
      </c>
      <c r="AZ155" s="54" t="str">
        <f>IF(ISNA(VLOOKUP($CW155,'Audit Values'!$A:$BY,2,FALSE)),"",VLOOKUP($CW155,'Audit Values'!$A:$BY,52,FALSE))</f>
        <v>A</v>
      </c>
      <c r="BA155" s="54" t="str">
        <f>IF('Weighting Factors'!F155="","",IF('Weighting Factors'!H155="Pending","PX","R"))</f>
        <v/>
      </c>
      <c r="BB155" s="60">
        <f>SUM((U155+V155+AA155+AC155+AF155+AI155+AL155+AM155+AQ155+AN155)*'Weighting Factors'!$O$5)+'2024 Legal Max'!AX155</f>
        <v>1745184</v>
      </c>
      <c r="BC155" s="24">
        <f>SUM((AR155+AN155)*'Weighting Factors'!$O$5)+AX155</f>
        <v>2039270</v>
      </c>
      <c r="BD155" s="67">
        <f>IF('Weighting Factors'!F155&gt;0,'Weighting Factors'!F155,'Preliminary SO66'!AV154)</f>
        <v>2110502</v>
      </c>
      <c r="BE155" s="24">
        <f t="shared" si="102"/>
        <v>2039270</v>
      </c>
      <c r="BF155" s="71">
        <f>'Weighting Factors'!E155</f>
        <v>0</v>
      </c>
      <c r="BG155" s="71">
        <f>Transportation!G155</f>
        <v>0</v>
      </c>
      <c r="BH155" s="24">
        <f>IF(ISNA(VLOOKUP($CW155,'Audit Values'!$A:$BW,2,FALSE)), 0, VLOOKUP($CW155,'Audit Values'!$A:$BW,75,FALSE))</f>
        <v>0</v>
      </c>
      <c r="BI155" s="24">
        <f t="shared" si="103"/>
        <v>0</v>
      </c>
      <c r="BJ155" s="24">
        <f t="shared" si="104"/>
        <v>2039270</v>
      </c>
      <c r="BK155" s="24">
        <f>SUM((U155+V155+AA155+AC155+AF155+AI155+AL155+AM155+AN155)*'Weighting Factors'!O$12)+(MAX(AO155,'Weighting Factors'!B155))</f>
        <v>2063359</v>
      </c>
      <c r="BL155" s="78">
        <f>'LOB%'!F153</f>
        <v>0.316</v>
      </c>
      <c r="BM155" s="24">
        <f t="shared" si="111"/>
        <v>652021</v>
      </c>
      <c r="BN155" s="67">
        <v>674555</v>
      </c>
      <c r="BO155" s="24">
        <f t="shared" si="105"/>
        <v>652021</v>
      </c>
      <c r="BP155" s="89">
        <f t="shared" si="112"/>
        <v>0.316</v>
      </c>
      <c r="BQ155" s="58">
        <f t="shared" si="113"/>
        <v>0</v>
      </c>
      <c r="BR155" s="1" t="b">
        <f t="shared" si="114"/>
        <v>1</v>
      </c>
      <c r="BS155" s="76">
        <f t="shared" si="115"/>
        <v>617.91999999999996</v>
      </c>
      <c r="BT155" s="75">
        <f t="shared" si="106"/>
        <v>0.84468500000000002</v>
      </c>
      <c r="BU155" s="58">
        <f t="shared" si="116"/>
        <v>138.5</v>
      </c>
      <c r="BV155" s="1" t="b">
        <f t="shared" si="117"/>
        <v>0</v>
      </c>
      <c r="BW155" s="1">
        <f t="shared" si="118"/>
        <v>0</v>
      </c>
      <c r="BX155" s="75">
        <f t="shared" si="107"/>
        <v>0</v>
      </c>
      <c r="BY155" s="58">
        <f t="shared" si="119"/>
        <v>0</v>
      </c>
      <c r="BZ155" s="58">
        <f t="shared" si="120"/>
        <v>0</v>
      </c>
      <c r="CA155" s="61">
        <v>174</v>
      </c>
      <c r="CB155" s="102">
        <f t="shared" si="121"/>
        <v>0.17</v>
      </c>
      <c r="CC155" s="105">
        <f>IF(CB155&lt;0.06,1,IF(CB155&gt;=18.29,52,MATCH(CB155-0.001,'Weighting Factors'!$W$5:$W$156)+1))</f>
        <v>13</v>
      </c>
      <c r="CD155" s="24">
        <f>VLOOKUP(CC155, 'Weighting Factors'!$U$5:$X$56,4)</f>
        <v>1320</v>
      </c>
      <c r="CE155" s="109">
        <f>('Weighting Factors'!$O$5/'Weighting Factors'!$O$14)</f>
        <v>1.2216</v>
      </c>
      <c r="CF155" s="100">
        <f t="shared" si="122"/>
        <v>38940</v>
      </c>
      <c r="CG155" s="100">
        <f>CF155*'Weighting Factors'!$Q$7</f>
        <v>38940</v>
      </c>
      <c r="CH155" s="100">
        <f t="shared" si="108"/>
        <v>47569</v>
      </c>
      <c r="CI155" s="58">
        <f>AK155/'Weighting Factors'!$O$5</f>
        <v>9.3000000000000007</v>
      </c>
      <c r="CJ155" s="67">
        <v>0</v>
      </c>
      <c r="CK155" s="80">
        <v>0</v>
      </c>
      <c r="CL155" s="110">
        <v>0</v>
      </c>
      <c r="CM155" s="24">
        <f>SUM((AR155*'Weighting Factors'!$O$5)+'2024 Legal Max'!AX155)*CL155</f>
        <v>0</v>
      </c>
      <c r="CN155" s="24">
        <f t="shared" si="109"/>
        <v>0</v>
      </c>
      <c r="CO155" s="65">
        <f t="shared" si="110"/>
        <v>0.38519999999999999</v>
      </c>
      <c r="CP155" s="58">
        <f t="shared" si="123"/>
        <v>0</v>
      </c>
      <c r="CQ155" s="58">
        <f t="shared" si="124"/>
        <v>1.3</v>
      </c>
      <c r="CR155" s="58">
        <f t="shared" si="125"/>
        <v>400.8</v>
      </c>
      <c r="CS155" s="24">
        <f>'Required Transfers'!L155</f>
        <v>41273</v>
      </c>
      <c r="CT155" s="24">
        <f>'Required Transfers'!O155</f>
        <v>0</v>
      </c>
      <c r="CU155" s="24">
        <f>'Required Transfers'!H155</f>
        <v>141955</v>
      </c>
      <c r="CV155" s="58">
        <f t="shared" si="126"/>
        <v>132</v>
      </c>
      <c r="CW155" s="27" t="s">
        <v>340</v>
      </c>
    </row>
    <row r="156" spans="1:101" ht="15" customHeight="1">
      <c r="A156" s="54">
        <v>360</v>
      </c>
      <c r="B156" s="1" t="s">
        <v>66</v>
      </c>
      <c r="C156" s="1" t="s">
        <v>661</v>
      </c>
      <c r="D156" s="58">
        <v>225.3</v>
      </c>
      <c r="E156" s="58"/>
      <c r="F156" s="58">
        <v>0</v>
      </c>
      <c r="G156" s="58">
        <f t="shared" si="127"/>
        <v>225.3</v>
      </c>
      <c r="H156" s="58">
        <v>225.9</v>
      </c>
      <c r="I156" s="58"/>
      <c r="J156" s="58">
        <v>0</v>
      </c>
      <c r="K156" s="58">
        <f t="shared" si="128"/>
        <v>225.9</v>
      </c>
      <c r="L156" s="1">
        <v>224.7</v>
      </c>
      <c r="N156" s="1">
        <v>0</v>
      </c>
      <c r="O156" s="58">
        <f t="shared" si="129"/>
        <v>224.7</v>
      </c>
      <c r="P156" s="58">
        <f>IF(ISNA(VLOOKUP($CW156,'Audit Values'!$A:$BZ,2,FALSE)),'Preliminary SO66'!C155,VLOOKUP($CW156,'Audit Values'!$A:$BZ,76,FALSE))</f>
        <v>222.5</v>
      </c>
      <c r="Q156" s="58">
        <f>IF(ISNA(VLOOKUP($CW156,'Audit Values'!$A:$BZ,2,FALSE)),'Preliminary SO66'!F155,VLOOKUP($CW156,'Audit Values'!$A:$BZ,4,FALSE))</f>
        <v>0</v>
      </c>
      <c r="R156" s="58">
        <f t="shared" si="97"/>
        <v>222.5</v>
      </c>
      <c r="S156" s="58">
        <f>IF('Military Provision'!I156="YES", MAX('2024 Legal Max'!O156,'2024 Legal Max'!K156,AVERAGE('2024 Legal Max'!G156,'2024 Legal Max'!K156,'2024 Legal Max'!O156)), MAX(O156, K156))</f>
        <v>225.9</v>
      </c>
      <c r="T156" s="58">
        <f>IF(ISNA(VLOOKUP($CW156,'Audit Values'!$A:$BX,2,FALSE)),'Preliminary SO66'!AL155,VLOOKUP($CW156,'Audit Values'!$A:$BX,59,FALSE))</f>
        <v>3.5</v>
      </c>
      <c r="U156" s="58">
        <f t="shared" si="98"/>
        <v>229.4</v>
      </c>
      <c r="V156" s="58">
        <f>'Low-High ENRL- 2023 HSubSB 113'!N159</f>
        <v>154</v>
      </c>
      <c r="W156" s="58">
        <f>IF(ISNA(VLOOKUP($CW156,'Audit Values'!$A:$BZ,2,FALSE)),'Preliminary SO66'!AM155,VLOOKUP($CW156,'Audit Values'!$A:$BZ,63,FALSE))</f>
        <v>0</v>
      </c>
      <c r="X156" s="58">
        <f>(W156/6)*'Weighting Factors'!$O$7</f>
        <v>0</v>
      </c>
      <c r="Y156" s="61">
        <f>IF(ISNA(VLOOKUP($CW156,'Audit Values'!$A:$BZ,2,FALSE)),'Preliminary SO66'!AN155,VLOOKUP($CW156,'Audit Values'!$A:$BZ,62,FALSE))</f>
        <v>0</v>
      </c>
      <c r="Z156" s="58">
        <f>Y156*'Weighting Factors'!$O$8</f>
        <v>0</v>
      </c>
      <c r="AA156" s="58">
        <f t="shared" si="99"/>
        <v>0</v>
      </c>
      <c r="AB156" s="106">
        <f>IF(ISNA(VLOOKUP($CW156,'Audit Values'!$A:$BZ,2,FALSE)),'Preliminary SO66'!AO155,VLOOKUP($CW156,'Audit Values'!$A:$BZ,61,FALSE))</f>
        <v>29.4</v>
      </c>
      <c r="AC156" s="58">
        <f>AB156/6*'Weighting Factors'!$O$6</f>
        <v>2.5</v>
      </c>
      <c r="AD156" s="24">
        <f>IF(ISNA(VLOOKUP($CW156,'Audit Values'!$A:$BX,2,FALSE)),'Preliminary SO66'!AS155,VLOOKUP($CW156,'Audit Values'!$A:$BX,64,FALSE))</f>
        <v>233</v>
      </c>
      <c r="AE156" s="24">
        <f>IF(ISNA(VLOOKUP($CW156,'Audit Values'!$A:$BX,2,FALSE)),'Preliminary SO66'!AP155,VLOOKUP($CW156,'Audit Values'!$A:$BX,65,FALSE))</f>
        <v>140</v>
      </c>
      <c r="AF156" s="58">
        <f>IF(A156=207, AE156,(AE156))*'Weighting Factors'!$O$9</f>
        <v>67.8</v>
      </c>
      <c r="AG156" s="58">
        <f t="shared" si="132"/>
        <v>14.7</v>
      </c>
      <c r="AH156" s="58">
        <f>IF(ISNA(VLOOKUP($CW156,'Audit Values'!$A:$BZ,2,FALSE)),'Preliminary SO66'!AG155,VLOOKUP($CW156,'Audit Values'!$A:$BZ,71,FALSE))</f>
        <v>14.7</v>
      </c>
      <c r="AI156" s="58">
        <f t="shared" si="100"/>
        <v>14.7</v>
      </c>
      <c r="AJ156" s="58">
        <f>IF(ISNA(VLOOKUP($CW156,'Audit Values'!$A:$BX,2,FALSE)),'Preliminary SO66'!AR155,VLOOKUP($CW156,'Audit Values'!$A:$BX,66,FALSE))</f>
        <v>42</v>
      </c>
      <c r="AK156" s="24">
        <f t="shared" si="101"/>
        <v>65160</v>
      </c>
      <c r="AL156" s="58">
        <f>AK156/'Weighting Factors'!$O$5</f>
        <v>12.8</v>
      </c>
      <c r="AM156" s="58">
        <f>CJ156/'Weighting Factors'!$O$5</f>
        <v>0</v>
      </c>
      <c r="AN156" s="58">
        <f>CN156/'Weighting Factors'!$O$5</f>
        <v>0</v>
      </c>
      <c r="AO156" s="24">
        <v>395821</v>
      </c>
      <c r="AP156" s="58">
        <f>AO156/'Weighting Factors'!$O$5</f>
        <v>77.8</v>
      </c>
      <c r="AQ156" s="58">
        <f>IF(ISNA(VLOOKUP($CW156,'Audit Values'!$A:$BX,2,FALSE)),'Preliminary SO66'!X155,VLOOKUP($CW156,'Audit Values'!$A:$BX,48,FALSE))</f>
        <v>0</v>
      </c>
      <c r="AR156" s="58">
        <f t="shared" si="130"/>
        <v>559</v>
      </c>
      <c r="AS156" s="58">
        <f t="shared" si="131"/>
        <v>481.2</v>
      </c>
      <c r="AT156" s="58">
        <f>IF(ISNA(VLOOKUP($CW156,'Audit Values'!$A$2:$BX$410,2,FALSE)),'Preliminary SO66'!AA155,VLOOKUP($CW156,'Audit Values'!$A$2:$BX$410,41,FALSE))</f>
        <v>1</v>
      </c>
      <c r="AU156" s="58">
        <f>IF(ISNA(VLOOKUP($CW156,'Audit Values'!$A$2:$BX$410,2,FALSE)),'Preliminary SO66'!AB155,VLOOKUP($CW156,'Audit Values'!$A$2:$BX$410,42,FALSE))</f>
        <v>0</v>
      </c>
      <c r="AV156" s="73">
        <v>0</v>
      </c>
      <c r="AW156" s="73">
        <v>0</v>
      </c>
      <c r="AX156" s="24">
        <f>SUM(AT156*'Weighting Factors'!$R$10)+('2024 Legal Max'!AU156*'Weighting Factors'!$R$11)+('2024 Legal Max'!AV156*'Weighting Factors'!$R$12)+('2024 Legal Max'!AW156*'Weighting Factors'!$R$12)</f>
        <v>5600</v>
      </c>
      <c r="AY156" s="54">
        <f>IF(ISNA(VLOOKUP($CW156,'Audit Values'!$A$2:$BX$429,2,FALSE)),"",IF(AND('Weighting Factors'!G156&gt;0,VLOOKUP($CW156,'Audit Values'!$A$2:$BX$429,51,FALSE)&lt;'Weighting Factors'!G156),'Weighting Factors'!G156,VLOOKUP($CW156,'Audit Values'!$A$2:$BX$429,51,FALSE)))</f>
        <v>17</v>
      </c>
      <c r="AZ156" s="54" t="str">
        <f>IF(ISNA(VLOOKUP($CW156,'Audit Values'!$A:$BY,2,FALSE)),"",VLOOKUP($CW156,'Audit Values'!$A:$BY,52,FALSE))</f>
        <v>A</v>
      </c>
      <c r="BA156" s="54" t="str">
        <f>IF('Weighting Factors'!F156="","",IF('Weighting Factors'!H156="Pending","PX","R"))</f>
        <v/>
      </c>
      <c r="BB156" s="60">
        <f>SUM((U156+V156+AA156+AC156+AF156+AI156+AL156+AM156+AQ156+AN156)*'Weighting Factors'!$O$5)+'2024 Legal Max'!AX156</f>
        <v>2453946</v>
      </c>
      <c r="BC156" s="24">
        <f>SUM((AR156+AN156)*'Weighting Factors'!$O$5)+AX156</f>
        <v>2849792</v>
      </c>
      <c r="BD156" s="67">
        <f>IF('Weighting Factors'!F156&gt;0,'Weighting Factors'!F156,'Preliminary SO66'!AV155)</f>
        <v>2987696</v>
      </c>
      <c r="BE156" s="24">
        <f t="shared" si="102"/>
        <v>2849792</v>
      </c>
      <c r="BF156" s="71">
        <f>'Weighting Factors'!E156</f>
        <v>0</v>
      </c>
      <c r="BG156" s="71">
        <f>Transportation!G156</f>
        <v>-19708</v>
      </c>
      <c r="BH156" s="24">
        <f>IF(ISNA(VLOOKUP($CW156,'Audit Values'!$A:$BW,2,FALSE)), 0, VLOOKUP($CW156,'Audit Values'!$A:$BW,75,FALSE))</f>
        <v>0</v>
      </c>
      <c r="BI156" s="24">
        <f t="shared" si="103"/>
        <v>-19708</v>
      </c>
      <c r="BJ156" s="24">
        <f t="shared" si="104"/>
        <v>2830084</v>
      </c>
      <c r="BK156" s="24">
        <f>SUM((U156+V156+AA156+AC156+AF156+AI156+AL156+AM156+AN156)*'Weighting Factors'!O$12)+(MAX(AO156,'Weighting Factors'!B156))</f>
        <v>2877851</v>
      </c>
      <c r="BL156" s="78">
        <f>'LOB%'!F154</f>
        <v>0.33</v>
      </c>
      <c r="BM156" s="24">
        <f t="shared" si="111"/>
        <v>949691</v>
      </c>
      <c r="BN156" s="67">
        <v>984317</v>
      </c>
      <c r="BO156" s="24">
        <f t="shared" si="105"/>
        <v>949691</v>
      </c>
      <c r="BP156" s="89">
        <f t="shared" si="112"/>
        <v>0.33</v>
      </c>
      <c r="BQ156" s="58">
        <f t="shared" si="113"/>
        <v>0</v>
      </c>
      <c r="BR156" s="1" t="b">
        <f t="shared" si="114"/>
        <v>1</v>
      </c>
      <c r="BS156" s="76">
        <f t="shared" si="115"/>
        <v>1249.357</v>
      </c>
      <c r="BT156" s="75">
        <f t="shared" si="106"/>
        <v>0.67132700000000001</v>
      </c>
      <c r="BU156" s="58">
        <f t="shared" si="116"/>
        <v>154</v>
      </c>
      <c r="BV156" s="1" t="b">
        <f t="shared" si="117"/>
        <v>0</v>
      </c>
      <c r="BW156" s="1">
        <f t="shared" si="118"/>
        <v>0</v>
      </c>
      <c r="BX156" s="75">
        <f t="shared" si="107"/>
        <v>0</v>
      </c>
      <c r="BY156" s="58">
        <f t="shared" si="119"/>
        <v>0</v>
      </c>
      <c r="BZ156" s="58">
        <f t="shared" si="120"/>
        <v>0</v>
      </c>
      <c r="CA156" s="61">
        <v>194</v>
      </c>
      <c r="CB156" s="102">
        <f t="shared" si="121"/>
        <v>0.216</v>
      </c>
      <c r="CC156" s="105">
        <f>IF(CB156&lt;0.06,1,IF(CB156&gt;=18.29,52,MATCH(CB156-0.001,'Weighting Factors'!$W$5:$W$156)+1))</f>
        <v>16</v>
      </c>
      <c r="CD156" s="24">
        <f>VLOOKUP(CC156, 'Weighting Factors'!$U$5:$X$56,4)</f>
        <v>1270</v>
      </c>
      <c r="CE156" s="109">
        <f>('Weighting Factors'!$O$5/'Weighting Factors'!$O$14)</f>
        <v>1.2216</v>
      </c>
      <c r="CF156" s="100">
        <f t="shared" si="122"/>
        <v>53340</v>
      </c>
      <c r="CG156" s="100">
        <f>CF156*'Weighting Factors'!$Q$7</f>
        <v>53340</v>
      </c>
      <c r="CH156" s="100">
        <f t="shared" si="108"/>
        <v>65160</v>
      </c>
      <c r="CI156" s="58">
        <f>AK156/'Weighting Factors'!$O$5</f>
        <v>12.8</v>
      </c>
      <c r="CJ156" s="67">
        <v>0</v>
      </c>
      <c r="CK156" s="80">
        <v>0</v>
      </c>
      <c r="CL156" s="110">
        <v>0</v>
      </c>
      <c r="CM156" s="24">
        <f>SUM((AR156*'Weighting Factors'!$O$5)+'2024 Legal Max'!AX156)*CL156</f>
        <v>0</v>
      </c>
      <c r="CN156" s="24">
        <f t="shared" si="109"/>
        <v>0</v>
      </c>
      <c r="CO156" s="65">
        <f t="shared" si="110"/>
        <v>0.60089999999999999</v>
      </c>
      <c r="CP156" s="58">
        <f t="shared" si="123"/>
        <v>14.7</v>
      </c>
      <c r="CQ156" s="58">
        <f t="shared" si="124"/>
        <v>0</v>
      </c>
      <c r="CR156" s="58">
        <f t="shared" si="125"/>
        <v>559</v>
      </c>
      <c r="CS156" s="24">
        <f>'Required Transfers'!L156</f>
        <v>115957</v>
      </c>
      <c r="CT156" s="24">
        <f>'Required Transfers'!O156</f>
        <v>0</v>
      </c>
      <c r="CU156" s="24">
        <f>'Required Transfers'!H156</f>
        <v>419760</v>
      </c>
      <c r="CV156" s="58">
        <f t="shared" si="126"/>
        <v>227</v>
      </c>
      <c r="CW156" s="27" t="s">
        <v>341</v>
      </c>
    </row>
    <row r="157" spans="1:101" ht="15" customHeight="1">
      <c r="A157" s="54">
        <v>361</v>
      </c>
      <c r="B157" s="1" t="s">
        <v>68</v>
      </c>
      <c r="C157" s="1" t="s">
        <v>807</v>
      </c>
      <c r="D157" s="58">
        <v>732.2</v>
      </c>
      <c r="E157" s="58"/>
      <c r="F157" s="58">
        <v>0</v>
      </c>
      <c r="G157" s="58">
        <f t="shared" si="127"/>
        <v>732.2</v>
      </c>
      <c r="H157" s="58">
        <v>738.9</v>
      </c>
      <c r="I157" s="58">
        <v>1</v>
      </c>
      <c r="J157" s="58">
        <v>0</v>
      </c>
      <c r="K157" s="58">
        <f t="shared" si="128"/>
        <v>737.9</v>
      </c>
      <c r="L157" s="1">
        <v>768.1</v>
      </c>
      <c r="N157" s="1">
        <v>0</v>
      </c>
      <c r="O157" s="58">
        <f t="shared" si="129"/>
        <v>768.1</v>
      </c>
      <c r="P157" s="58">
        <f>IF(ISNA(VLOOKUP($CW157,'Audit Values'!$A:$BZ,2,FALSE)),'Preliminary SO66'!C156,VLOOKUP($CW157,'Audit Values'!$A:$BZ,76,FALSE))</f>
        <v>781.9</v>
      </c>
      <c r="Q157" s="58">
        <f>IF(ISNA(VLOOKUP($CW157,'Audit Values'!$A:$BZ,2,FALSE)),'Preliminary SO66'!F156,VLOOKUP($CW157,'Audit Values'!$A:$BZ,4,FALSE))</f>
        <v>0</v>
      </c>
      <c r="R157" s="58">
        <f t="shared" si="97"/>
        <v>781.9</v>
      </c>
      <c r="S157" s="58">
        <f>IF('Military Provision'!I157="YES", MAX('2024 Legal Max'!O157,'2024 Legal Max'!K157,AVERAGE('2024 Legal Max'!G157,'2024 Legal Max'!K157,'2024 Legal Max'!O157)), MAX(O157, K157))</f>
        <v>768.1</v>
      </c>
      <c r="T157" s="58">
        <f>IF(ISNA(VLOOKUP($CW157,'Audit Values'!$A:$BX,2,FALSE)),'Preliminary SO66'!AL156,VLOOKUP($CW157,'Audit Values'!$A:$BX,59,FALSE))</f>
        <v>13</v>
      </c>
      <c r="U157" s="58">
        <f t="shared" si="98"/>
        <v>781.1</v>
      </c>
      <c r="V157" s="58">
        <f>'Low-High ENRL- 2023 HSubSB 113'!N160</f>
        <v>250.5</v>
      </c>
      <c r="W157" s="58">
        <f>IF(ISNA(VLOOKUP($CW157,'Audit Values'!$A:$BZ,2,FALSE)),'Preliminary SO66'!AM156,VLOOKUP($CW157,'Audit Values'!$A:$BZ,63,FALSE))</f>
        <v>153.4</v>
      </c>
      <c r="X157" s="58">
        <f>(W157/6)*'Weighting Factors'!$O$7</f>
        <v>10.1</v>
      </c>
      <c r="Y157" s="61">
        <f>IF(ISNA(VLOOKUP($CW157,'Audit Values'!$A:$BZ,2,FALSE)),'Preliminary SO66'!AN156,VLOOKUP($CW157,'Audit Values'!$A:$BZ,62,FALSE))</f>
        <v>69</v>
      </c>
      <c r="Z157" s="58">
        <f>Y157*'Weighting Factors'!$O$8</f>
        <v>12.8</v>
      </c>
      <c r="AA157" s="58">
        <f t="shared" si="99"/>
        <v>12.8</v>
      </c>
      <c r="AB157" s="106">
        <f>IF(ISNA(VLOOKUP($CW157,'Audit Values'!$A:$BZ,2,FALSE)),'Preliminary SO66'!AO156,VLOOKUP($CW157,'Audit Values'!$A:$BZ,61,FALSE))</f>
        <v>135.69999999999999</v>
      </c>
      <c r="AC157" s="58">
        <f>AB157/6*'Weighting Factors'!$O$6</f>
        <v>11.3</v>
      </c>
      <c r="AD157" s="24">
        <f>IF(ISNA(VLOOKUP($CW157,'Audit Values'!$A:$BX,2,FALSE)),'Preliminary SO66'!AS156,VLOOKUP($CW157,'Audit Values'!$A:$BX,64,FALSE))</f>
        <v>819</v>
      </c>
      <c r="AE157" s="24">
        <f>IF(ISNA(VLOOKUP($CW157,'Audit Values'!$A:$BX,2,FALSE)),'Preliminary SO66'!AP156,VLOOKUP($CW157,'Audit Values'!$A:$BX,65,FALSE))</f>
        <v>440</v>
      </c>
      <c r="AF157" s="58">
        <f>IF(A157=207, AE157,(AE157))*'Weighting Factors'!$O$9</f>
        <v>213</v>
      </c>
      <c r="AG157" s="58">
        <f t="shared" si="132"/>
        <v>46.2</v>
      </c>
      <c r="AH157" s="58">
        <f>IF(ISNA(VLOOKUP($CW157,'Audit Values'!$A:$BZ,2,FALSE)),'Preliminary SO66'!AG156,VLOOKUP($CW157,'Audit Values'!$A:$BZ,71,FALSE))</f>
        <v>46.2</v>
      </c>
      <c r="AI157" s="58">
        <f t="shared" si="100"/>
        <v>46.2</v>
      </c>
      <c r="AJ157" s="58">
        <f>IF(ISNA(VLOOKUP($CW157,'Audit Values'!$A:$BX,2,FALSE)),'Preliminary SO66'!AR156,VLOOKUP($CW157,'Audit Values'!$A:$BX,66,FALSE))</f>
        <v>417.5</v>
      </c>
      <c r="AK157" s="24">
        <f t="shared" si="101"/>
        <v>525319</v>
      </c>
      <c r="AL157" s="58">
        <f>AK157/'Weighting Factors'!$O$5</f>
        <v>103.2</v>
      </c>
      <c r="AM157" s="58">
        <f>CJ157/'Weighting Factors'!$O$5</f>
        <v>0</v>
      </c>
      <c r="AN157" s="58">
        <f>CN157/'Weighting Factors'!$O$5</f>
        <v>0</v>
      </c>
      <c r="AO157" s="24">
        <v>1142986</v>
      </c>
      <c r="AP157" s="58">
        <f>AO157/'Weighting Factors'!$O$5</f>
        <v>224.6</v>
      </c>
      <c r="AQ157" s="58">
        <f>IF(ISNA(VLOOKUP($CW157,'Audit Values'!$A:$BX,2,FALSE)),'Preliminary SO66'!X156,VLOOKUP($CW157,'Audit Values'!$A:$BX,48,FALSE))</f>
        <v>0</v>
      </c>
      <c r="AR157" s="58">
        <f t="shared" si="130"/>
        <v>1642.7</v>
      </c>
      <c r="AS157" s="58">
        <f t="shared" si="131"/>
        <v>1418.1</v>
      </c>
      <c r="AT157" s="58">
        <f>IF(ISNA(VLOOKUP($CW157,'Audit Values'!$A$2:$BX$410,2,FALSE)),'Preliminary SO66'!AA156,VLOOKUP($CW157,'Audit Values'!$A$2:$BX$410,41,FALSE))</f>
        <v>3</v>
      </c>
      <c r="AU157" s="58">
        <f>IF(ISNA(VLOOKUP($CW157,'Audit Values'!$A$2:$BX$410,2,FALSE)),'Preliminary SO66'!AB156,VLOOKUP($CW157,'Audit Values'!$A$2:$BX$410,42,FALSE))</f>
        <v>2.2000000000000002</v>
      </c>
      <c r="AV157" s="73">
        <v>14</v>
      </c>
      <c r="AW157" s="73">
        <v>0</v>
      </c>
      <c r="AX157" s="24">
        <f>SUM(AT157*'Weighting Factors'!$R$10)+('2024 Legal Max'!AU157*'Weighting Factors'!$R$11)+('2024 Legal Max'!AV157*'Weighting Factors'!$R$12)+('2024 Legal Max'!AW157*'Weighting Factors'!$R$12)</f>
        <v>32886</v>
      </c>
      <c r="AY157" s="54">
        <f>IF(ISNA(VLOOKUP($CW157,'Audit Values'!$A$2:$BX$429,2,FALSE)),"",IF(AND('Weighting Factors'!G157&gt;0,VLOOKUP($CW157,'Audit Values'!$A$2:$BX$429,51,FALSE)&lt;'Weighting Factors'!G157),'Weighting Factors'!G157,VLOOKUP($CW157,'Audit Values'!$A$2:$BX$429,51,FALSE)))</f>
        <v>16</v>
      </c>
      <c r="AZ157" s="54" t="str">
        <f>IF(ISNA(VLOOKUP($CW157,'Audit Values'!$A:$BY,2,FALSE)),"",VLOOKUP($CW157,'Audit Values'!$A:$BY,52,FALSE))</f>
        <v>A</v>
      </c>
      <c r="BA157" s="54" t="str">
        <f>IF('Weighting Factors'!F157="","",IF('Weighting Factors'!H157="Pending","PX","R"))</f>
        <v>R</v>
      </c>
      <c r="BB157" s="60">
        <f>SUM((U157+V157+AA157+AC157+AF157+AI157+AL157+AM157+AQ157+AN157)*'Weighting Factors'!$O$5)+'2024 Legal Max'!AX157</f>
        <v>7248179</v>
      </c>
      <c r="BC157" s="24">
        <f>SUM((AR157+AN157)*'Weighting Factors'!$O$5)+AX157</f>
        <v>8390944</v>
      </c>
      <c r="BD157" s="67">
        <f>IF('Weighting Factors'!F157&gt;0,'Weighting Factors'!F157,'Preliminary SO66'!AV156)</f>
        <v>8645685</v>
      </c>
      <c r="BE157" s="24">
        <f t="shared" si="102"/>
        <v>8390944</v>
      </c>
      <c r="BF157" s="71">
        <f>'Weighting Factors'!E157</f>
        <v>0</v>
      </c>
      <c r="BG157" s="71">
        <f>Transportation!G157</f>
        <v>0</v>
      </c>
      <c r="BH157" s="24">
        <f>IF(ISNA(VLOOKUP($CW157,'Audit Values'!$A:$BW,2,FALSE)), 0, VLOOKUP($CW157,'Audit Values'!$A:$BW,75,FALSE))</f>
        <v>-3545</v>
      </c>
      <c r="BI157" s="24">
        <f t="shared" si="103"/>
        <v>-3545</v>
      </c>
      <c r="BJ157" s="24">
        <f t="shared" si="104"/>
        <v>8387399</v>
      </c>
      <c r="BK157" s="24">
        <f>SUM((U157+V157+AA157+AC157+AF157+AI157+AL157+AM157+AN157)*'Weighting Factors'!O$12)+(MAX(AO157,'Weighting Factors'!B157))</f>
        <v>8457546</v>
      </c>
      <c r="BL157" s="78">
        <f>'LOB%'!F155</f>
        <v>0.33</v>
      </c>
      <c r="BM157" s="24">
        <f t="shared" si="111"/>
        <v>2790990</v>
      </c>
      <c r="BN157" s="67">
        <v>2846751</v>
      </c>
      <c r="BO157" s="24">
        <f t="shared" si="105"/>
        <v>2790990</v>
      </c>
      <c r="BP157" s="89">
        <f t="shared" si="112"/>
        <v>0.33</v>
      </c>
      <c r="BQ157" s="58">
        <f t="shared" si="113"/>
        <v>0</v>
      </c>
      <c r="BR157" s="1" t="b">
        <f t="shared" si="114"/>
        <v>0</v>
      </c>
      <c r="BS157" s="76">
        <f t="shared" si="115"/>
        <v>0</v>
      </c>
      <c r="BT157" s="75">
        <f t="shared" si="106"/>
        <v>0</v>
      </c>
      <c r="BU157" s="58">
        <f t="shared" si="116"/>
        <v>0</v>
      </c>
      <c r="BV157" s="1" t="b">
        <f t="shared" si="117"/>
        <v>1</v>
      </c>
      <c r="BW157" s="1">
        <f t="shared" si="118"/>
        <v>595.36130000000003</v>
      </c>
      <c r="BX157" s="75">
        <f t="shared" si="107"/>
        <v>0.32073299999999999</v>
      </c>
      <c r="BY157" s="58">
        <f t="shared" si="119"/>
        <v>250.5</v>
      </c>
      <c r="BZ157" s="58">
        <f t="shared" si="120"/>
        <v>0</v>
      </c>
      <c r="CA157" s="61">
        <v>597.5</v>
      </c>
      <c r="CB157" s="102">
        <f t="shared" si="121"/>
        <v>0.69899999999999995</v>
      </c>
      <c r="CC157" s="105">
        <f>IF(CB157&lt;0.06,1,IF(CB157&gt;=18.29,52,MATCH(CB157-0.001,'Weighting Factors'!$W$5:$W$156)+1))</f>
        <v>28</v>
      </c>
      <c r="CD157" s="24">
        <f>VLOOKUP(CC157, 'Weighting Factors'!$U$5:$X$56,4)</f>
        <v>1030</v>
      </c>
      <c r="CE157" s="109">
        <f>('Weighting Factors'!$O$5/'Weighting Factors'!$O$14)</f>
        <v>1.2216</v>
      </c>
      <c r="CF157" s="100">
        <f t="shared" si="122"/>
        <v>430025</v>
      </c>
      <c r="CG157" s="100">
        <f>CF157*'Weighting Factors'!$Q$7</f>
        <v>430025</v>
      </c>
      <c r="CH157" s="100">
        <f t="shared" si="108"/>
        <v>525319</v>
      </c>
      <c r="CI157" s="58">
        <f>AK157/'Weighting Factors'!$O$5</f>
        <v>103.2</v>
      </c>
      <c r="CJ157" s="67">
        <v>0</v>
      </c>
      <c r="CK157" s="80">
        <v>0</v>
      </c>
      <c r="CL157" s="110">
        <v>0</v>
      </c>
      <c r="CM157" s="24">
        <f>SUM((AR157*'Weighting Factors'!$O$5)+'2024 Legal Max'!AX157)*CL157</f>
        <v>0</v>
      </c>
      <c r="CN157" s="24">
        <f t="shared" si="109"/>
        <v>0</v>
      </c>
      <c r="CO157" s="65">
        <f t="shared" si="110"/>
        <v>0.53720000000000001</v>
      </c>
      <c r="CP157" s="58">
        <f t="shared" si="123"/>
        <v>46.2</v>
      </c>
      <c r="CQ157" s="58">
        <f t="shared" si="124"/>
        <v>0</v>
      </c>
      <c r="CR157" s="58">
        <f t="shared" si="125"/>
        <v>1642.7</v>
      </c>
      <c r="CS157" s="24">
        <f>'Required Transfers'!L157</f>
        <v>364782</v>
      </c>
      <c r="CT157" s="24">
        <f>'Required Transfers'!O157</f>
        <v>22049</v>
      </c>
      <c r="CU157" s="24">
        <f>'Required Transfers'!H157</f>
        <v>1318810</v>
      </c>
      <c r="CV157" s="58">
        <f t="shared" si="126"/>
        <v>802.4</v>
      </c>
      <c r="CW157" s="27" t="s">
        <v>342</v>
      </c>
    </row>
    <row r="158" spans="1:101" ht="15" customHeight="1">
      <c r="A158" s="54">
        <v>362</v>
      </c>
      <c r="B158" s="1" t="s">
        <v>60</v>
      </c>
      <c r="C158" s="1" t="s">
        <v>663</v>
      </c>
      <c r="D158" s="58">
        <v>810.3</v>
      </c>
      <c r="E158" s="58"/>
      <c r="F158" s="58">
        <v>0</v>
      </c>
      <c r="G158" s="58">
        <f t="shared" si="127"/>
        <v>810.3</v>
      </c>
      <c r="H158" s="58">
        <v>843.9</v>
      </c>
      <c r="I158" s="58"/>
      <c r="J158" s="58">
        <v>0</v>
      </c>
      <c r="K158" s="58">
        <f t="shared" si="128"/>
        <v>843.9</v>
      </c>
      <c r="L158" s="1">
        <v>804.6</v>
      </c>
      <c r="N158" s="1">
        <v>0</v>
      </c>
      <c r="O158" s="58">
        <f t="shared" si="129"/>
        <v>804.6</v>
      </c>
      <c r="P158" s="58">
        <f>IF(ISNA(VLOOKUP($CW158,'Audit Values'!$A:$BZ,2,FALSE)),'Preliminary SO66'!C157,VLOOKUP($CW158,'Audit Values'!$A:$BZ,76,FALSE))</f>
        <v>826.3</v>
      </c>
      <c r="Q158" s="58">
        <f>IF(ISNA(VLOOKUP($CW158,'Audit Values'!$A:$BZ,2,FALSE)),'Preliminary SO66'!F157,VLOOKUP($CW158,'Audit Values'!$A:$BZ,4,FALSE))</f>
        <v>0</v>
      </c>
      <c r="R158" s="58">
        <f t="shared" si="97"/>
        <v>826.3</v>
      </c>
      <c r="S158" s="58">
        <f>IF('Military Provision'!I158="YES", MAX('2024 Legal Max'!O158,'2024 Legal Max'!K158,AVERAGE('2024 Legal Max'!G158,'2024 Legal Max'!K158,'2024 Legal Max'!O158)), MAX(O158, K158))</f>
        <v>843.9</v>
      </c>
      <c r="T158" s="58">
        <f>IF(ISNA(VLOOKUP($CW158,'Audit Values'!$A:$BX,2,FALSE)),'Preliminary SO66'!AL157,VLOOKUP($CW158,'Audit Values'!$A:$BX,59,FALSE))</f>
        <v>18</v>
      </c>
      <c r="U158" s="58">
        <f t="shared" si="98"/>
        <v>861.9</v>
      </c>
      <c r="V158" s="58">
        <f>'Low-High ENRL- 2023 HSubSB 113'!N161</f>
        <v>252.8</v>
      </c>
      <c r="W158" s="58">
        <f>IF(ISNA(VLOOKUP($CW158,'Audit Values'!$A:$BZ,2,FALSE)),'Preliminary SO66'!AM157,VLOOKUP($CW158,'Audit Values'!$A:$BZ,63,FALSE))</f>
        <v>0.3</v>
      </c>
      <c r="X158" s="58">
        <f>(W158/6)*'Weighting Factors'!$O$7</f>
        <v>0</v>
      </c>
      <c r="Y158" s="61">
        <f>IF(ISNA(VLOOKUP($CW158,'Audit Values'!$A:$BZ,2,FALSE)),'Preliminary SO66'!AN157,VLOOKUP($CW158,'Audit Values'!$A:$BZ,62,FALSE))</f>
        <v>1</v>
      </c>
      <c r="Z158" s="58">
        <f>Y158*'Weighting Factors'!$O$8</f>
        <v>0.2</v>
      </c>
      <c r="AA158" s="58">
        <f t="shared" si="99"/>
        <v>0.2</v>
      </c>
      <c r="AB158" s="106">
        <f>IF(ISNA(VLOOKUP($CW158,'Audit Values'!$A:$BZ,2,FALSE)),'Preliminary SO66'!AO157,VLOOKUP($CW158,'Audit Values'!$A:$BZ,61,FALSE))</f>
        <v>237.3</v>
      </c>
      <c r="AC158" s="58">
        <f>AB158/6*'Weighting Factors'!$O$6</f>
        <v>19.8</v>
      </c>
      <c r="AD158" s="24">
        <f>IF(ISNA(VLOOKUP($CW158,'Audit Values'!$A:$BX,2,FALSE)),'Preliminary SO66'!AS157,VLOOKUP($CW158,'Audit Values'!$A:$BX,64,FALSE))</f>
        <v>874</v>
      </c>
      <c r="AE158" s="24">
        <f>IF(ISNA(VLOOKUP($CW158,'Audit Values'!$A:$BX,2,FALSE)),'Preliminary SO66'!AP157,VLOOKUP($CW158,'Audit Values'!$A:$BX,65,FALSE))</f>
        <v>327</v>
      </c>
      <c r="AF158" s="58">
        <f>IF(A158=207, AE158,(AE158))*'Weighting Factors'!$O$9</f>
        <v>158.30000000000001</v>
      </c>
      <c r="AG158" s="58">
        <f t="shared" si="132"/>
        <v>5.5</v>
      </c>
      <c r="AH158" s="58">
        <f>IF(ISNA(VLOOKUP($CW158,'Audit Values'!$A:$BZ,2,FALSE)),'Preliminary SO66'!AG157,VLOOKUP($CW158,'Audit Values'!$A:$BZ,71,FALSE))</f>
        <v>8.4</v>
      </c>
      <c r="AI158" s="58">
        <f t="shared" si="100"/>
        <v>8.4</v>
      </c>
      <c r="AJ158" s="58">
        <f>IF(ISNA(VLOOKUP($CW158,'Audit Values'!$A:$BX,2,FALSE)),'Preliminary SO66'!AR157,VLOOKUP($CW158,'Audit Values'!$A:$BX,66,FALSE))</f>
        <v>606</v>
      </c>
      <c r="AK158" s="24">
        <f t="shared" si="101"/>
        <v>629246</v>
      </c>
      <c r="AL158" s="58">
        <f>AK158/'Weighting Factors'!$O$5</f>
        <v>123.7</v>
      </c>
      <c r="AM158" s="58">
        <f>CJ158/'Weighting Factors'!$O$5</f>
        <v>0</v>
      </c>
      <c r="AN158" s="58">
        <f>CN158/'Weighting Factors'!$O$5</f>
        <v>0</v>
      </c>
      <c r="AO158" s="24">
        <v>1589178</v>
      </c>
      <c r="AP158" s="58">
        <f>AO158/'Weighting Factors'!$O$5</f>
        <v>312.3</v>
      </c>
      <c r="AQ158" s="58">
        <f>IF(ISNA(VLOOKUP($CW158,'Audit Values'!$A:$BX,2,FALSE)),'Preliminary SO66'!X157,VLOOKUP($CW158,'Audit Values'!$A:$BX,48,FALSE))</f>
        <v>0</v>
      </c>
      <c r="AR158" s="58">
        <f t="shared" si="130"/>
        <v>1737.4</v>
      </c>
      <c r="AS158" s="58">
        <f t="shared" si="131"/>
        <v>1425.1</v>
      </c>
      <c r="AT158" s="58">
        <f>IF(ISNA(VLOOKUP($CW158,'Audit Values'!$A$2:$BX$410,2,FALSE)),'Preliminary SO66'!AA157,VLOOKUP($CW158,'Audit Values'!$A$2:$BX$410,41,FALSE))</f>
        <v>8</v>
      </c>
      <c r="AU158" s="58">
        <f>IF(ISNA(VLOOKUP($CW158,'Audit Values'!$A$2:$BX$410,2,FALSE)),'Preliminary SO66'!AB157,VLOOKUP($CW158,'Audit Values'!$A$2:$BX$410,42,FALSE))</f>
        <v>1.9</v>
      </c>
      <c r="AV158" s="73">
        <v>0</v>
      </c>
      <c r="AW158" s="73">
        <v>0</v>
      </c>
      <c r="AX158" s="24">
        <f>SUM(AT158*'Weighting Factors'!$R$10)+('2024 Legal Max'!AU158*'Weighting Factors'!$R$11)+('2024 Legal Max'!AV158*'Weighting Factors'!$R$12)+('2024 Legal Max'!AW158*'Weighting Factors'!$R$12)</f>
        <v>50120</v>
      </c>
      <c r="AY158" s="54">
        <f>IF(ISNA(VLOOKUP($CW158,'Audit Values'!$A$2:$BX$429,2,FALSE)),"",IF(AND('Weighting Factors'!G158&gt;0,VLOOKUP($CW158,'Audit Values'!$A$2:$BX$429,51,FALSE)&lt;'Weighting Factors'!G158),'Weighting Factors'!G158,VLOOKUP($CW158,'Audit Values'!$A$2:$BX$429,51,FALSE)))</f>
        <v>7</v>
      </c>
      <c r="AZ158" s="54" t="str">
        <f>IF(ISNA(VLOOKUP($CW158,'Audit Values'!$A:$BY,2,FALSE)),"",VLOOKUP($CW158,'Audit Values'!$A:$BY,52,FALSE))</f>
        <v>A</v>
      </c>
      <c r="BA158" s="54" t="str">
        <f>IF('Weighting Factors'!F158="","",IF('Weighting Factors'!H158="Pending","PX","R"))</f>
        <v/>
      </c>
      <c r="BB158" s="60">
        <f>SUM((U158+V158+AA158+AC158+AF158+AI158+AL158+AM158+AQ158+AN158)*'Weighting Factors'!$O$5)+'2024 Legal Max'!AX158</f>
        <v>7301029</v>
      </c>
      <c r="BC158" s="24">
        <f>SUM((AR158+AN158)*'Weighting Factors'!$O$5)+AX158</f>
        <v>8890011</v>
      </c>
      <c r="BD158" s="67">
        <f>IF('Weighting Factors'!F158&gt;0,'Weighting Factors'!F158,'Preliminary SO66'!AV157)</f>
        <v>9368829</v>
      </c>
      <c r="BE158" s="24">
        <f t="shared" si="102"/>
        <v>8890011</v>
      </c>
      <c r="BF158" s="71">
        <f>'Weighting Factors'!E158</f>
        <v>0</v>
      </c>
      <c r="BG158" s="71">
        <f>Transportation!G158</f>
        <v>0</v>
      </c>
      <c r="BH158" s="24">
        <f>IF(ISNA(VLOOKUP($CW158,'Audit Values'!$A:$BW,2,FALSE)), 0, VLOOKUP($CW158,'Audit Values'!$A:$BW,75,FALSE))</f>
        <v>0</v>
      </c>
      <c r="BI158" s="24">
        <f t="shared" si="103"/>
        <v>0</v>
      </c>
      <c r="BJ158" s="24">
        <f t="shared" si="104"/>
        <v>8890011</v>
      </c>
      <c r="BK158" s="24">
        <f>SUM((U158+V158+AA158+AC158+AF158+AI158+AL158+AM158+AN158)*'Weighting Factors'!O$12)+(MAX(AO158,'Weighting Factors'!B158))</f>
        <v>8939844</v>
      </c>
      <c r="BL158" s="78">
        <f>'LOB%'!F156</f>
        <v>0.33</v>
      </c>
      <c r="BM158" s="24">
        <f t="shared" si="111"/>
        <v>2950149</v>
      </c>
      <c r="BN158" s="67">
        <v>3102551</v>
      </c>
      <c r="BO158" s="24">
        <f t="shared" si="105"/>
        <v>2950149</v>
      </c>
      <c r="BP158" s="89">
        <f t="shared" si="112"/>
        <v>0.33</v>
      </c>
      <c r="BQ158" s="58">
        <f t="shared" si="113"/>
        <v>0</v>
      </c>
      <c r="BR158" s="1" t="b">
        <f t="shared" si="114"/>
        <v>0</v>
      </c>
      <c r="BS158" s="76">
        <f t="shared" si="115"/>
        <v>0</v>
      </c>
      <c r="BT158" s="75">
        <f t="shared" si="106"/>
        <v>0</v>
      </c>
      <c r="BU158" s="58">
        <f t="shared" si="116"/>
        <v>0</v>
      </c>
      <c r="BV158" s="1" t="b">
        <f t="shared" si="117"/>
        <v>1</v>
      </c>
      <c r="BW158" s="1">
        <f t="shared" si="118"/>
        <v>695.35130000000004</v>
      </c>
      <c r="BX158" s="75">
        <f t="shared" si="107"/>
        <v>0.29328199999999999</v>
      </c>
      <c r="BY158" s="58">
        <f t="shared" si="119"/>
        <v>252.8</v>
      </c>
      <c r="BZ158" s="58">
        <f t="shared" si="120"/>
        <v>0</v>
      </c>
      <c r="CA158" s="61">
        <v>320</v>
      </c>
      <c r="CB158" s="102">
        <f t="shared" si="121"/>
        <v>1.8939999999999999</v>
      </c>
      <c r="CC158" s="105">
        <f>IF(CB158&lt;0.06,1,IF(CB158&gt;=18.29,52,MATCH(CB158-0.001,'Weighting Factors'!$W$5:$W$156)+1))</f>
        <v>37</v>
      </c>
      <c r="CD158" s="24">
        <f>VLOOKUP(CC158, 'Weighting Factors'!$U$5:$X$56,4)</f>
        <v>850</v>
      </c>
      <c r="CE158" s="109">
        <f>('Weighting Factors'!$O$5/'Weighting Factors'!$O$14)</f>
        <v>1.2216</v>
      </c>
      <c r="CF158" s="100">
        <f t="shared" si="122"/>
        <v>515100</v>
      </c>
      <c r="CG158" s="100">
        <f>CF158*'Weighting Factors'!$Q$7</f>
        <v>515100</v>
      </c>
      <c r="CH158" s="100">
        <f t="shared" si="108"/>
        <v>629246</v>
      </c>
      <c r="CI158" s="58">
        <f>AK158/'Weighting Factors'!$O$5</f>
        <v>123.7</v>
      </c>
      <c r="CJ158" s="67">
        <v>0</v>
      </c>
      <c r="CK158" s="80">
        <v>0</v>
      </c>
      <c r="CL158" s="110">
        <v>0</v>
      </c>
      <c r="CM158" s="24">
        <f>SUM((AR158*'Weighting Factors'!$O$5)+'2024 Legal Max'!AX158)*CL158</f>
        <v>0</v>
      </c>
      <c r="CN158" s="24">
        <f t="shared" si="109"/>
        <v>0</v>
      </c>
      <c r="CO158" s="65">
        <f t="shared" si="110"/>
        <v>0.37409999999999999</v>
      </c>
      <c r="CP158" s="58">
        <f t="shared" si="123"/>
        <v>0</v>
      </c>
      <c r="CQ158" s="58">
        <f t="shared" si="124"/>
        <v>5.5</v>
      </c>
      <c r="CR158" s="58">
        <f t="shared" si="125"/>
        <v>1737.4</v>
      </c>
      <c r="CS158" s="24">
        <f>'Required Transfers'!L158</f>
        <v>271709</v>
      </c>
      <c r="CT158" s="24">
        <f>'Required Transfers'!O158</f>
        <v>295</v>
      </c>
      <c r="CU158" s="24">
        <f>'Required Transfers'!H158</f>
        <v>848170</v>
      </c>
      <c r="CV158" s="58">
        <f t="shared" si="126"/>
        <v>854.2</v>
      </c>
      <c r="CW158" s="27" t="s">
        <v>343</v>
      </c>
    </row>
    <row r="159" spans="1:101" ht="15" customHeight="1">
      <c r="A159" s="54">
        <v>363</v>
      </c>
      <c r="B159" s="1" t="s">
        <v>69</v>
      </c>
      <c r="C159" s="1" t="s">
        <v>664</v>
      </c>
      <c r="D159" s="58">
        <v>900.5</v>
      </c>
      <c r="E159" s="58"/>
      <c r="F159" s="58">
        <v>0</v>
      </c>
      <c r="G159" s="58">
        <f t="shared" si="127"/>
        <v>900.5</v>
      </c>
      <c r="H159" s="58">
        <v>930</v>
      </c>
      <c r="I159" s="58"/>
      <c r="J159" s="58">
        <v>0</v>
      </c>
      <c r="K159" s="58">
        <f t="shared" si="128"/>
        <v>930</v>
      </c>
      <c r="L159" s="1">
        <v>911</v>
      </c>
      <c r="N159" s="1">
        <v>0</v>
      </c>
      <c r="O159" s="58">
        <f t="shared" si="129"/>
        <v>911</v>
      </c>
      <c r="P159" s="58">
        <f>IF(ISNA(VLOOKUP($CW159,'Audit Values'!$A:$BZ,2,FALSE)),'Preliminary SO66'!C158,VLOOKUP($CW159,'Audit Values'!$A:$BZ,76,FALSE))</f>
        <v>922</v>
      </c>
      <c r="Q159" s="58">
        <f>IF(ISNA(VLOOKUP($CW159,'Audit Values'!$A:$BZ,2,FALSE)),'Preliminary SO66'!F158,VLOOKUP($CW159,'Audit Values'!$A:$BZ,4,FALSE))</f>
        <v>0</v>
      </c>
      <c r="R159" s="58">
        <f t="shared" ref="R159:R222" si="133">SUM(P159+Q159)</f>
        <v>922</v>
      </c>
      <c r="S159" s="58">
        <f>IF('Military Provision'!I159="YES", MAX('2024 Legal Max'!O159,'2024 Legal Max'!K159,AVERAGE('2024 Legal Max'!G159,'2024 Legal Max'!K159,'2024 Legal Max'!O159)), MAX(O159, K159))</f>
        <v>930</v>
      </c>
      <c r="T159" s="58">
        <f>IF(ISNA(VLOOKUP($CW159,'Audit Values'!$A:$BX,2,FALSE)),'Preliminary SO66'!AL158,VLOOKUP($CW159,'Audit Values'!$A:$BX,59,FALSE))</f>
        <v>20.5</v>
      </c>
      <c r="U159" s="58">
        <f t="shared" ref="U159:U222" si="134">S159+T159</f>
        <v>950.5</v>
      </c>
      <c r="V159" s="58">
        <f>'Low-High ENRL- 2023 HSubSB 113'!N162</f>
        <v>250.2</v>
      </c>
      <c r="W159" s="58">
        <f>IF(ISNA(VLOOKUP($CW159,'Audit Values'!$A:$BZ,2,FALSE)),'Preliminary SO66'!AM158,VLOOKUP($CW159,'Audit Values'!$A:$BZ,63,FALSE))</f>
        <v>364.2</v>
      </c>
      <c r="X159" s="58">
        <f>(W159/6)*'Weighting Factors'!$O$7</f>
        <v>24</v>
      </c>
      <c r="Y159" s="61">
        <f>IF(ISNA(VLOOKUP($CW159,'Audit Values'!$A:$BZ,2,FALSE)),'Preliminary SO66'!AN158,VLOOKUP($CW159,'Audit Values'!$A:$BZ,62,FALSE))</f>
        <v>90</v>
      </c>
      <c r="Z159" s="58">
        <f>Y159*'Weighting Factors'!$O$8</f>
        <v>16.7</v>
      </c>
      <c r="AA159" s="58">
        <f t="shared" ref="AA159:AA222" si="135">MAX(X159,Z159)</f>
        <v>24</v>
      </c>
      <c r="AB159" s="106">
        <f>IF(ISNA(VLOOKUP($CW159,'Audit Values'!$A:$BZ,2,FALSE)),'Preliminary SO66'!AO158,VLOOKUP($CW159,'Audit Values'!$A:$BZ,61,FALSE))</f>
        <v>326.8</v>
      </c>
      <c r="AC159" s="58">
        <f>AB159/6*'Weighting Factors'!$O$6</f>
        <v>27.2</v>
      </c>
      <c r="AD159" s="24">
        <f>IF(ISNA(VLOOKUP($CW159,'Audit Values'!$A:$BX,2,FALSE)),'Preliminary SO66'!AS158,VLOOKUP($CW159,'Audit Values'!$A:$BX,64,FALSE))</f>
        <v>964</v>
      </c>
      <c r="AE159" s="24">
        <f>IF(ISNA(VLOOKUP($CW159,'Audit Values'!$A:$BX,2,FALSE)),'Preliminary SO66'!AP158,VLOOKUP($CW159,'Audit Values'!$A:$BX,65,FALSE))</f>
        <v>456</v>
      </c>
      <c r="AF159" s="58">
        <f>IF(A159=207, AE159,(AE159))*'Weighting Factors'!$O$9</f>
        <v>220.7</v>
      </c>
      <c r="AG159" s="58">
        <f t="shared" si="132"/>
        <v>39.299999999999997</v>
      </c>
      <c r="AH159" s="58">
        <f>IF(ISNA(VLOOKUP($CW159,'Audit Values'!$A:$BZ,2,FALSE)),'Preliminary SO66'!AG158,VLOOKUP($CW159,'Audit Values'!$A:$BZ,71,FALSE))</f>
        <v>38.299999999999997</v>
      </c>
      <c r="AI159" s="58">
        <f t="shared" ref="AI159:AI222" si="136">MAX(AG159, AH159)</f>
        <v>39.299999999999997</v>
      </c>
      <c r="AJ159" s="58">
        <f>IF(ISNA(VLOOKUP($CW159,'Audit Values'!$A:$BX,2,FALSE)),'Preliminary SO66'!AR158,VLOOKUP($CW159,'Audit Values'!$A:$BX,66,FALSE))</f>
        <v>51</v>
      </c>
      <c r="AK159" s="24">
        <f t="shared" ref="AK159:AK222" si="137">CH159</f>
        <v>77877</v>
      </c>
      <c r="AL159" s="58">
        <f>AK159/'Weighting Factors'!$O$5</f>
        <v>15.3</v>
      </c>
      <c r="AM159" s="58">
        <f>CJ159/'Weighting Factors'!$O$5</f>
        <v>0</v>
      </c>
      <c r="AN159" s="58">
        <f>CN159/'Weighting Factors'!$O$5</f>
        <v>0</v>
      </c>
      <c r="AO159" s="24">
        <v>586327</v>
      </c>
      <c r="AP159" s="58">
        <f>AO159/'Weighting Factors'!$O$5</f>
        <v>115.2</v>
      </c>
      <c r="AQ159" s="58">
        <f>IF(ISNA(VLOOKUP($CW159,'Audit Values'!$A:$BX,2,FALSE)),'Preliminary SO66'!X158,VLOOKUP($CW159,'Audit Values'!$A:$BX,48,FALSE))</f>
        <v>0</v>
      </c>
      <c r="AR159" s="58">
        <f t="shared" si="130"/>
        <v>1642.4</v>
      </c>
      <c r="AS159" s="58">
        <f t="shared" si="131"/>
        <v>1527.2</v>
      </c>
      <c r="AT159" s="58">
        <f>IF(ISNA(VLOOKUP($CW159,'Audit Values'!$A$2:$BX$410,2,FALSE)),'Preliminary SO66'!AA158,VLOOKUP($CW159,'Audit Values'!$A$2:$BX$410,41,FALSE))</f>
        <v>4</v>
      </c>
      <c r="AU159" s="58">
        <f>IF(ISNA(VLOOKUP($CW159,'Audit Values'!$A$2:$BX$410,2,FALSE)),'Preliminary SO66'!AB158,VLOOKUP($CW159,'Audit Values'!$A$2:$BX$410,42,FALSE))</f>
        <v>0</v>
      </c>
      <c r="AV159" s="73">
        <v>0</v>
      </c>
      <c r="AW159" s="73">
        <v>0</v>
      </c>
      <c r="AX159" s="24">
        <f>SUM(AT159*'Weighting Factors'!$R$10)+('2024 Legal Max'!AU159*'Weighting Factors'!$R$11)+('2024 Legal Max'!AV159*'Weighting Factors'!$R$12)+('2024 Legal Max'!AW159*'Weighting Factors'!$R$12)</f>
        <v>22400</v>
      </c>
      <c r="AY159" s="54">
        <f>IF(ISNA(VLOOKUP($CW159,'Audit Values'!$A$2:$BX$429,2,FALSE)),"",IF(AND('Weighting Factors'!G159&gt;0,VLOOKUP($CW159,'Audit Values'!$A$2:$BX$429,51,FALSE)&lt;'Weighting Factors'!G159),'Weighting Factors'!G159,VLOOKUP($CW159,'Audit Values'!$A$2:$BX$429,51,FALSE)))</f>
        <v>15</v>
      </c>
      <c r="AZ159" s="54" t="str">
        <f>IF(ISNA(VLOOKUP($CW159,'Audit Values'!$A:$BY,2,FALSE)),"",VLOOKUP($CW159,'Audit Values'!$A:$BY,52,FALSE))</f>
        <v>A</v>
      </c>
      <c r="BA159" s="54" t="str">
        <f>IF('Weighting Factors'!F159="","",IF('Weighting Factors'!H159="Pending","PX","R"))</f>
        <v/>
      </c>
      <c r="BB159" s="60">
        <f>SUM((U159+V159+AA159+AC159+AF159+AI159+AL159+AM159+AQ159+AN159)*'Weighting Factors'!$O$5)+'2024 Legal Max'!AX159</f>
        <v>7792794</v>
      </c>
      <c r="BC159" s="24">
        <f>SUM((AR159+AN159)*'Weighting Factors'!$O$5)+AX159</f>
        <v>8378931</v>
      </c>
      <c r="BD159" s="67">
        <f>IF('Weighting Factors'!F159&gt;0,'Weighting Factors'!F159,'Preliminary SO66'!AV158)</f>
        <v>8445344</v>
      </c>
      <c r="BE159" s="24">
        <f t="shared" ref="BE159:BE222" si="138">MIN(BC159,BD159)</f>
        <v>8378931</v>
      </c>
      <c r="BF159" s="71">
        <f>'Weighting Factors'!E159</f>
        <v>0</v>
      </c>
      <c r="BG159" s="71">
        <f>Transportation!G159</f>
        <v>0</v>
      </c>
      <c r="BH159" s="24">
        <f>IF(ISNA(VLOOKUP($CW159,'Audit Values'!$A:$BW,2,FALSE)), 0, VLOOKUP($CW159,'Audit Values'!$A:$BW,75,FALSE))</f>
        <v>0</v>
      </c>
      <c r="BI159" s="24">
        <f t="shared" ref="BI159:BI222" si="139">SUM(BF159:BH159)</f>
        <v>0</v>
      </c>
      <c r="BJ159" s="24">
        <f t="shared" ref="BJ159:BJ222" si="140">BE159+BI159</f>
        <v>8378931</v>
      </c>
      <c r="BK159" s="24">
        <f>SUM((U159+V159+AA159+AC159+AF159+AI159+AL159+AM159+AN159)*'Weighting Factors'!O$12)+(MAX(AO159,'Weighting Factors'!B159))</f>
        <v>8463625</v>
      </c>
      <c r="BL159" s="78">
        <f>'LOB%'!F157</f>
        <v>0.33</v>
      </c>
      <c r="BM159" s="24">
        <f t="shared" si="111"/>
        <v>2792996</v>
      </c>
      <c r="BN159" s="67">
        <v>2806390</v>
      </c>
      <c r="BO159" s="24">
        <f t="shared" ref="BO159:BO222" si="141">MIN(BM159,BN159)</f>
        <v>2792996</v>
      </c>
      <c r="BP159" s="89">
        <f t="shared" si="112"/>
        <v>0.33</v>
      </c>
      <c r="BQ159" s="58">
        <f t="shared" si="113"/>
        <v>0</v>
      </c>
      <c r="BR159" s="1" t="b">
        <f t="shared" si="114"/>
        <v>0</v>
      </c>
      <c r="BS159" s="76">
        <f t="shared" si="115"/>
        <v>0</v>
      </c>
      <c r="BT159" s="75">
        <f t="shared" ref="BT159:BT222" si="142">IF(BR159=TRUE,ROUND(((7337-BS159)/3642.4)-1,6),0)</f>
        <v>0</v>
      </c>
      <c r="BU159" s="58">
        <f t="shared" si="116"/>
        <v>0</v>
      </c>
      <c r="BV159" s="1" t="b">
        <f t="shared" si="117"/>
        <v>1</v>
      </c>
      <c r="BW159" s="1">
        <f t="shared" si="118"/>
        <v>804.99379999999996</v>
      </c>
      <c r="BX159" s="75">
        <f t="shared" ref="BX159:BX222" si="143">IF(BV159=TRUE,ROUND(((5406-BW159)/3642.4)-1,6),0)</f>
        <v>0.26318000000000003</v>
      </c>
      <c r="BY159" s="58">
        <f t="shared" si="119"/>
        <v>250.2</v>
      </c>
      <c r="BZ159" s="58">
        <f t="shared" si="120"/>
        <v>0</v>
      </c>
      <c r="CA159" s="61">
        <v>231</v>
      </c>
      <c r="CB159" s="102">
        <f t="shared" si="121"/>
        <v>0.221</v>
      </c>
      <c r="CC159" s="105">
        <f>IF(CB159&lt;0.06,1,IF(CB159&gt;=18.29,52,MATCH(CB159-0.001,'Weighting Factors'!$W$5:$W$156)+1))</f>
        <v>17</v>
      </c>
      <c r="CD159" s="24">
        <f>VLOOKUP(CC159, 'Weighting Factors'!$U$5:$X$56,4)</f>
        <v>1250</v>
      </c>
      <c r="CE159" s="109">
        <f>('Weighting Factors'!$O$5/'Weighting Factors'!$O$14)</f>
        <v>1.2216</v>
      </c>
      <c r="CF159" s="100">
        <f t="shared" si="122"/>
        <v>63750</v>
      </c>
      <c r="CG159" s="100">
        <f>CF159*'Weighting Factors'!$Q$7</f>
        <v>63750</v>
      </c>
      <c r="CH159" s="100">
        <f t="shared" ref="CH159:CH222" si="144">CG159*CE159</f>
        <v>77877</v>
      </c>
      <c r="CI159" s="58">
        <f>AK159/'Weighting Factors'!$O$5</f>
        <v>15.3</v>
      </c>
      <c r="CJ159" s="67">
        <v>0</v>
      </c>
      <c r="CK159" s="80">
        <v>0</v>
      </c>
      <c r="CL159" s="110">
        <v>0</v>
      </c>
      <c r="CM159" s="24">
        <f>SUM((AR159*'Weighting Factors'!$O$5)+'2024 Legal Max'!AX159)*CL159</f>
        <v>0</v>
      </c>
      <c r="CN159" s="24">
        <f t="shared" ref="CN159:CN222" si="145">IF(CK159&gt;CM159,CM159,CK159)</f>
        <v>0</v>
      </c>
      <c r="CO159" s="65">
        <f t="shared" si="110"/>
        <v>0.47299999999999998</v>
      </c>
      <c r="CP159" s="58">
        <f t="shared" si="123"/>
        <v>0</v>
      </c>
      <c r="CQ159" s="58">
        <f t="shared" si="124"/>
        <v>39.299999999999997</v>
      </c>
      <c r="CR159" s="58">
        <f t="shared" si="125"/>
        <v>1642.4</v>
      </c>
      <c r="CS159" s="24">
        <f>'Required Transfers'!L159</f>
        <v>380127</v>
      </c>
      <c r="CT159" s="24">
        <f>'Required Transfers'!O159</f>
        <v>41336</v>
      </c>
      <c r="CU159" s="24">
        <f>'Required Transfers'!H159</f>
        <v>1322880</v>
      </c>
      <c r="CV159" s="58">
        <f t="shared" si="126"/>
        <v>946.5</v>
      </c>
      <c r="CW159" s="27" t="s">
        <v>344</v>
      </c>
    </row>
    <row r="160" spans="1:101" ht="15" customHeight="1">
      <c r="A160" s="54">
        <v>364</v>
      </c>
      <c r="B160" s="1" t="s">
        <v>70</v>
      </c>
      <c r="C160" s="1" t="s">
        <v>665</v>
      </c>
      <c r="D160" s="58">
        <v>741.8</v>
      </c>
      <c r="E160" s="58"/>
      <c r="F160" s="58">
        <v>0</v>
      </c>
      <c r="G160" s="58">
        <f t="shared" si="127"/>
        <v>741.8</v>
      </c>
      <c r="H160" s="58">
        <v>731.7</v>
      </c>
      <c r="I160" s="58"/>
      <c r="J160" s="58">
        <v>0</v>
      </c>
      <c r="K160" s="58">
        <f t="shared" si="128"/>
        <v>731.7</v>
      </c>
      <c r="L160" s="1">
        <v>751</v>
      </c>
      <c r="N160" s="1">
        <v>0</v>
      </c>
      <c r="O160" s="58">
        <f t="shared" si="129"/>
        <v>751</v>
      </c>
      <c r="P160" s="58">
        <f>IF(ISNA(VLOOKUP($CW160,'Audit Values'!$A:$BZ,2,FALSE)),'Preliminary SO66'!C159,VLOOKUP($CW160,'Audit Values'!$A:$BZ,76,FALSE))</f>
        <v>719.2</v>
      </c>
      <c r="Q160" s="58">
        <f>IF(ISNA(VLOOKUP($CW160,'Audit Values'!$A:$BZ,2,FALSE)),'Preliminary SO66'!F159,VLOOKUP($CW160,'Audit Values'!$A:$BZ,4,FALSE))</f>
        <v>0</v>
      </c>
      <c r="R160" s="58">
        <f t="shared" si="133"/>
        <v>719.2</v>
      </c>
      <c r="S160" s="58">
        <f>IF('Military Provision'!I160="YES", MAX('2024 Legal Max'!O160,'2024 Legal Max'!K160,AVERAGE('2024 Legal Max'!G160,'2024 Legal Max'!K160,'2024 Legal Max'!O160)), MAX(O160, K160))</f>
        <v>751</v>
      </c>
      <c r="T160" s="58">
        <f>IF(ISNA(VLOOKUP($CW160,'Audit Values'!$A:$BX,2,FALSE)),'Preliminary SO66'!AL159,VLOOKUP($CW160,'Audit Values'!$A:$BX,59,FALSE))</f>
        <v>17.5</v>
      </c>
      <c r="U160" s="58">
        <f t="shared" si="134"/>
        <v>768.5</v>
      </c>
      <c r="V160" s="58">
        <f>'Low-High ENRL- 2023 HSubSB 113'!N163</f>
        <v>249.8</v>
      </c>
      <c r="W160" s="58">
        <f>IF(ISNA(VLOOKUP($CW160,'Audit Values'!$A:$BZ,2,FALSE)),'Preliminary SO66'!AM159,VLOOKUP($CW160,'Audit Values'!$A:$BZ,63,FALSE))</f>
        <v>1.7</v>
      </c>
      <c r="X160" s="58">
        <f>(W160/6)*'Weighting Factors'!$O$7</f>
        <v>0.1</v>
      </c>
      <c r="Y160" s="61">
        <f>IF(ISNA(VLOOKUP($CW160,'Audit Values'!$A:$BZ,2,FALSE)),'Preliminary SO66'!AN159,VLOOKUP($CW160,'Audit Values'!$A:$BZ,62,FALSE))</f>
        <v>2</v>
      </c>
      <c r="Z160" s="58">
        <f>Y160*'Weighting Factors'!$O$8</f>
        <v>0.4</v>
      </c>
      <c r="AA160" s="58">
        <f t="shared" si="135"/>
        <v>0.4</v>
      </c>
      <c r="AB160" s="106">
        <f>IF(ISNA(VLOOKUP($CW160,'Audit Values'!$A:$BZ,2,FALSE)),'Preliminary SO66'!AO159,VLOOKUP($CW160,'Audit Values'!$A:$BZ,61,FALSE))</f>
        <v>362.1</v>
      </c>
      <c r="AC160" s="58">
        <f>AB160/6*'Weighting Factors'!$O$6</f>
        <v>30.2</v>
      </c>
      <c r="AD160" s="24">
        <f>IF(ISNA(VLOOKUP($CW160,'Audit Values'!$A:$BX,2,FALSE)),'Preliminary SO66'!AS159,VLOOKUP($CW160,'Audit Values'!$A:$BX,64,FALSE))</f>
        <v>772</v>
      </c>
      <c r="AE160" s="24">
        <f>IF(ISNA(VLOOKUP($CW160,'Audit Values'!$A:$BX,2,FALSE)),'Preliminary SO66'!AP159,VLOOKUP($CW160,'Audit Values'!$A:$BX,65,FALSE))</f>
        <v>337</v>
      </c>
      <c r="AF160" s="58">
        <f>IF(A160=207, AE160,(AE160))*'Weighting Factors'!$O$9</f>
        <v>163.1</v>
      </c>
      <c r="AG160" s="58">
        <f t="shared" si="132"/>
        <v>20.399999999999999</v>
      </c>
      <c r="AH160" s="58">
        <f>IF(ISNA(VLOOKUP($CW160,'Audit Values'!$A:$BZ,2,FALSE)),'Preliminary SO66'!AG159,VLOOKUP($CW160,'Audit Values'!$A:$BZ,71,FALSE))</f>
        <v>22.5</v>
      </c>
      <c r="AI160" s="58">
        <f t="shared" si="136"/>
        <v>22.5</v>
      </c>
      <c r="AJ160" s="58">
        <f>IF(ISNA(VLOOKUP($CW160,'Audit Values'!$A:$BX,2,FALSE)),'Preliminary SO66'!AR159,VLOOKUP($CW160,'Audit Values'!$A:$BX,66,FALSE))</f>
        <v>216.5</v>
      </c>
      <c r="AK160" s="24">
        <f t="shared" si="137"/>
        <v>272411</v>
      </c>
      <c r="AL160" s="58">
        <f>AK160/'Weighting Factors'!$O$5</f>
        <v>53.5</v>
      </c>
      <c r="AM160" s="58">
        <f>CJ160/'Weighting Factors'!$O$5</f>
        <v>0</v>
      </c>
      <c r="AN160" s="58">
        <f>CN160/'Weighting Factors'!$O$5</f>
        <v>0</v>
      </c>
      <c r="AO160" s="24">
        <v>722820</v>
      </c>
      <c r="AP160" s="58">
        <f>AO160/'Weighting Factors'!$O$5</f>
        <v>142.1</v>
      </c>
      <c r="AQ160" s="58">
        <f>IF(ISNA(VLOOKUP($CW160,'Audit Values'!$A:$BX,2,FALSE)),'Preliminary SO66'!X159,VLOOKUP($CW160,'Audit Values'!$A:$BX,48,FALSE))</f>
        <v>0</v>
      </c>
      <c r="AR160" s="58">
        <f t="shared" si="130"/>
        <v>1430.1</v>
      </c>
      <c r="AS160" s="58">
        <f t="shared" si="131"/>
        <v>1288</v>
      </c>
      <c r="AT160" s="58">
        <f>IF(ISNA(VLOOKUP($CW160,'Audit Values'!$A$2:$BX$410,2,FALSE)),'Preliminary SO66'!AA159,VLOOKUP($CW160,'Audit Values'!$A$2:$BX$410,41,FALSE))</f>
        <v>0</v>
      </c>
      <c r="AU160" s="58">
        <f>IF(ISNA(VLOOKUP($CW160,'Audit Values'!$A$2:$BX$410,2,FALSE)),'Preliminary SO66'!AB159,VLOOKUP($CW160,'Audit Values'!$A$2:$BX$410,42,FALSE))</f>
        <v>0</v>
      </c>
      <c r="AV160" s="73">
        <v>0</v>
      </c>
      <c r="AW160" s="73">
        <v>0</v>
      </c>
      <c r="AX160" s="24">
        <f>SUM(AT160*'Weighting Factors'!$R$10)+('2024 Legal Max'!AU160*'Weighting Factors'!$R$11)+('2024 Legal Max'!AV160*'Weighting Factors'!$R$12)+('2024 Legal Max'!AW160*'Weighting Factors'!$R$12)</f>
        <v>0</v>
      </c>
      <c r="AY160" s="54">
        <f>IF(ISNA(VLOOKUP($CW160,'Audit Values'!$A$2:$BX$429,2,FALSE)),"",IF(AND('Weighting Factors'!G160&gt;0,VLOOKUP($CW160,'Audit Values'!$A$2:$BX$429,51,FALSE)&lt;'Weighting Factors'!G160),'Weighting Factors'!G160,VLOOKUP($CW160,'Audit Values'!$A$2:$BX$429,51,FALSE)))</f>
        <v>10</v>
      </c>
      <c r="AZ160" s="54" t="str">
        <f>IF(ISNA(VLOOKUP($CW160,'Audit Values'!$A:$BY,2,FALSE)),"",VLOOKUP($CW160,'Audit Values'!$A:$BY,52,FALSE))</f>
        <v>A</v>
      </c>
      <c r="BA160" s="54" t="str">
        <f>IF('Weighting Factors'!F160="","",IF('Weighting Factors'!H160="Pending","PX","R"))</f>
        <v/>
      </c>
      <c r="BB160" s="60">
        <f>SUM((U160+V160+AA160+AC160+AF160+AI160+AL160+AM160+AQ160+AN160)*'Weighting Factors'!$O$5)+'2024 Legal Max'!AX160</f>
        <v>6553344</v>
      </c>
      <c r="BC160" s="24">
        <f>SUM((AR160+AN160)*'Weighting Factors'!$O$5)+AX160</f>
        <v>7276349</v>
      </c>
      <c r="BD160" s="67">
        <f>IF('Weighting Factors'!F160&gt;0,'Weighting Factors'!F160,'Preliminary SO66'!AV159)</f>
        <v>7419322</v>
      </c>
      <c r="BE160" s="24">
        <f t="shared" si="138"/>
        <v>7276349</v>
      </c>
      <c r="BF160" s="71">
        <f>'Weighting Factors'!E160</f>
        <v>0</v>
      </c>
      <c r="BG160" s="71">
        <f>Transportation!G160</f>
        <v>0</v>
      </c>
      <c r="BH160" s="24">
        <f>IF(ISNA(VLOOKUP($CW160,'Audit Values'!$A:$BW,2,FALSE)), 0, VLOOKUP($CW160,'Audit Values'!$A:$BW,75,FALSE))</f>
        <v>0</v>
      </c>
      <c r="BI160" s="24">
        <f t="shared" si="139"/>
        <v>0</v>
      </c>
      <c r="BJ160" s="24">
        <f t="shared" si="140"/>
        <v>7276349</v>
      </c>
      <c r="BK160" s="24">
        <f>SUM((U160+V160+AA160+AC160+AF160+AI160+AL160+AM160+AN160)*'Weighting Factors'!O$12)+(MAX(AO160,'Weighting Factors'!B160))</f>
        <v>7507055</v>
      </c>
      <c r="BL160" s="78">
        <f>'LOB%'!F158</f>
        <v>0.316</v>
      </c>
      <c r="BM160" s="24">
        <f t="shared" si="111"/>
        <v>2372229</v>
      </c>
      <c r="BN160" s="67">
        <v>2372809</v>
      </c>
      <c r="BO160" s="24">
        <f t="shared" si="141"/>
        <v>2372229</v>
      </c>
      <c r="BP160" s="89">
        <f t="shared" si="112"/>
        <v>0.316</v>
      </c>
      <c r="BQ160" s="58">
        <f t="shared" si="113"/>
        <v>0</v>
      </c>
      <c r="BR160" s="1" t="b">
        <f t="shared" si="114"/>
        <v>0</v>
      </c>
      <c r="BS160" s="76">
        <f t="shared" si="115"/>
        <v>0</v>
      </c>
      <c r="BT160" s="75">
        <f t="shared" si="142"/>
        <v>0</v>
      </c>
      <c r="BU160" s="58">
        <f t="shared" si="116"/>
        <v>0</v>
      </c>
      <c r="BV160" s="1" t="b">
        <f t="shared" si="117"/>
        <v>1</v>
      </c>
      <c r="BW160" s="1">
        <f t="shared" si="118"/>
        <v>579.76880000000006</v>
      </c>
      <c r="BX160" s="75">
        <f t="shared" si="143"/>
        <v>0.32501400000000003</v>
      </c>
      <c r="BY160" s="58">
        <f t="shared" si="119"/>
        <v>249.8</v>
      </c>
      <c r="BZ160" s="58">
        <f t="shared" si="120"/>
        <v>0</v>
      </c>
      <c r="CA160" s="61">
        <v>325</v>
      </c>
      <c r="CB160" s="102">
        <f t="shared" si="121"/>
        <v>0.66600000000000004</v>
      </c>
      <c r="CC160" s="105">
        <f>IF(CB160&lt;0.06,1,IF(CB160&gt;=18.29,52,MATCH(CB160-0.001,'Weighting Factors'!$W$5:$W$156)+1))</f>
        <v>28</v>
      </c>
      <c r="CD160" s="24">
        <f>VLOOKUP(CC160, 'Weighting Factors'!$U$5:$X$56,4)</f>
        <v>1030</v>
      </c>
      <c r="CE160" s="109">
        <f>('Weighting Factors'!$O$5/'Weighting Factors'!$O$14)</f>
        <v>1.2216</v>
      </c>
      <c r="CF160" s="100">
        <f t="shared" si="122"/>
        <v>222995</v>
      </c>
      <c r="CG160" s="100">
        <f>CF160*'Weighting Factors'!$Q$7</f>
        <v>222995</v>
      </c>
      <c r="CH160" s="100">
        <f t="shared" si="144"/>
        <v>272411</v>
      </c>
      <c r="CI160" s="58">
        <f>AK160/'Weighting Factors'!$O$5</f>
        <v>53.5</v>
      </c>
      <c r="CJ160" s="67">
        <v>0</v>
      </c>
      <c r="CK160" s="80">
        <v>0</v>
      </c>
      <c r="CL160" s="110">
        <v>0</v>
      </c>
      <c r="CM160" s="24">
        <f>SUM((AR160*'Weighting Factors'!$O$5)+'2024 Legal Max'!AX160)*CL160</f>
        <v>0</v>
      </c>
      <c r="CN160" s="24">
        <f t="shared" si="145"/>
        <v>0</v>
      </c>
      <c r="CO160" s="65">
        <f t="shared" si="110"/>
        <v>0.4365</v>
      </c>
      <c r="CP160" s="58">
        <f t="shared" si="123"/>
        <v>0</v>
      </c>
      <c r="CQ160" s="58">
        <f t="shared" si="124"/>
        <v>20.399999999999999</v>
      </c>
      <c r="CR160" s="58">
        <f t="shared" si="125"/>
        <v>1430.1</v>
      </c>
      <c r="CS160" s="24">
        <f>'Required Transfers'!L160</f>
        <v>273992</v>
      </c>
      <c r="CT160" s="24">
        <f>'Required Transfers'!O160</f>
        <v>712</v>
      </c>
      <c r="CU160" s="24">
        <f>'Required Transfers'!H160</f>
        <v>944333</v>
      </c>
      <c r="CV160" s="58">
        <f t="shared" si="126"/>
        <v>736.7</v>
      </c>
      <c r="CW160" s="27" t="s">
        <v>345</v>
      </c>
    </row>
    <row r="161" spans="1:101" ht="15" customHeight="1">
      <c r="A161" s="54">
        <v>365</v>
      </c>
      <c r="B161" s="1" t="s">
        <v>71</v>
      </c>
      <c r="C161" s="1" t="s">
        <v>666</v>
      </c>
      <c r="D161" s="58">
        <v>922</v>
      </c>
      <c r="E161" s="58"/>
      <c r="F161" s="58">
        <v>0</v>
      </c>
      <c r="G161" s="58">
        <f t="shared" si="127"/>
        <v>922</v>
      </c>
      <c r="H161" s="58">
        <v>918.5</v>
      </c>
      <c r="I161" s="58">
        <v>1</v>
      </c>
      <c r="J161" s="58">
        <v>0</v>
      </c>
      <c r="K161" s="58">
        <f t="shared" si="128"/>
        <v>917.5</v>
      </c>
      <c r="L161" s="1">
        <v>914</v>
      </c>
      <c r="N161" s="1">
        <v>0</v>
      </c>
      <c r="O161" s="58">
        <f t="shared" si="129"/>
        <v>914</v>
      </c>
      <c r="P161" s="58">
        <f>IF(ISNA(VLOOKUP($CW161,'Audit Values'!$A:$BZ,2,FALSE)),'Preliminary SO66'!C160,VLOOKUP($CW161,'Audit Values'!$A:$BZ,76,FALSE))</f>
        <v>899.5</v>
      </c>
      <c r="Q161" s="58">
        <f>IF(ISNA(VLOOKUP($CW161,'Audit Values'!$A:$BZ,2,FALSE)),'Preliminary SO66'!F160,VLOOKUP($CW161,'Audit Values'!$A:$BZ,4,FALSE))</f>
        <v>0</v>
      </c>
      <c r="R161" s="58">
        <f t="shared" si="133"/>
        <v>899.5</v>
      </c>
      <c r="S161" s="58">
        <f>IF('Military Provision'!I161="YES", MAX('2024 Legal Max'!O161,'2024 Legal Max'!K161,AVERAGE('2024 Legal Max'!G161,'2024 Legal Max'!K161,'2024 Legal Max'!O161)), MAX(O161, K161))</f>
        <v>917.5</v>
      </c>
      <c r="T161" s="58">
        <f>IF(ISNA(VLOOKUP($CW161,'Audit Values'!$A:$BX,2,FALSE)),'Preliminary SO66'!AL160,VLOOKUP($CW161,'Audit Values'!$A:$BX,59,FALSE))</f>
        <v>14.5</v>
      </c>
      <c r="U161" s="58">
        <f t="shared" si="134"/>
        <v>932</v>
      </c>
      <c r="V161" s="58">
        <f>'Low-High ENRL- 2023 HSubSB 113'!N164</f>
        <v>251.1</v>
      </c>
      <c r="W161" s="58">
        <f>IF(ISNA(VLOOKUP($CW161,'Audit Values'!$A:$BZ,2,FALSE)),'Preliminary SO66'!AM160,VLOOKUP($CW161,'Audit Values'!$A:$BZ,63,FALSE))</f>
        <v>0</v>
      </c>
      <c r="X161" s="58">
        <f>(W161/6)*'Weighting Factors'!$O$7</f>
        <v>0</v>
      </c>
      <c r="Y161" s="61">
        <f>IF(ISNA(VLOOKUP($CW161,'Audit Values'!$A:$BZ,2,FALSE)),'Preliminary SO66'!AN160,VLOOKUP($CW161,'Audit Values'!$A:$BZ,62,FALSE))</f>
        <v>1</v>
      </c>
      <c r="Z161" s="58">
        <f>Y161*'Weighting Factors'!$O$8</f>
        <v>0.2</v>
      </c>
      <c r="AA161" s="58">
        <f t="shared" si="135"/>
        <v>0.2</v>
      </c>
      <c r="AB161" s="106">
        <f>IF(ISNA(VLOOKUP($CW161,'Audit Values'!$A:$BZ,2,FALSE)),'Preliminary SO66'!AO160,VLOOKUP($CW161,'Audit Values'!$A:$BZ,61,FALSE))</f>
        <v>220.8</v>
      </c>
      <c r="AC161" s="58">
        <f>AB161/6*'Weighting Factors'!$O$6</f>
        <v>18.399999999999999</v>
      </c>
      <c r="AD161" s="24">
        <f>IF(ISNA(VLOOKUP($CW161,'Audit Values'!$A:$BX,2,FALSE)),'Preliminary SO66'!AS160,VLOOKUP($CW161,'Audit Values'!$A:$BX,64,FALSE))</f>
        <v>941</v>
      </c>
      <c r="AE161" s="24">
        <f>IF(ISNA(VLOOKUP($CW161,'Audit Values'!$A:$BX,2,FALSE)),'Preliminary SO66'!AP160,VLOOKUP($CW161,'Audit Values'!$A:$BX,65,FALSE))</f>
        <v>398</v>
      </c>
      <c r="AF161" s="58">
        <f>IF(A161=207, AE161,(AE161))*'Weighting Factors'!$O$9</f>
        <v>192.6</v>
      </c>
      <c r="AG161" s="58">
        <f t="shared" si="132"/>
        <v>20.3</v>
      </c>
      <c r="AH161" s="58">
        <f>IF(ISNA(VLOOKUP($CW161,'Audit Values'!$A:$BZ,2,FALSE)),'Preliminary SO66'!AG160,VLOOKUP($CW161,'Audit Values'!$A:$BZ,71,FALSE))</f>
        <v>24.6</v>
      </c>
      <c r="AI161" s="58">
        <f t="shared" si="136"/>
        <v>24.6</v>
      </c>
      <c r="AJ161" s="58">
        <f>IF(ISNA(VLOOKUP($CW161,'Audit Values'!$A:$BX,2,FALSE)),'Preliminary SO66'!AR160,VLOOKUP($CW161,'Audit Values'!$A:$BX,66,FALSE))</f>
        <v>296</v>
      </c>
      <c r="AK161" s="24">
        <f t="shared" si="137"/>
        <v>372441</v>
      </c>
      <c r="AL161" s="58">
        <f>AK161/'Weighting Factors'!$O$5</f>
        <v>73.2</v>
      </c>
      <c r="AM161" s="58">
        <f>CJ161/'Weighting Factors'!$O$5</f>
        <v>0</v>
      </c>
      <c r="AN161" s="58">
        <f>CN161/'Weighting Factors'!$O$5</f>
        <v>0</v>
      </c>
      <c r="AO161" s="24">
        <v>1085205</v>
      </c>
      <c r="AP161" s="58">
        <f>AO161/'Weighting Factors'!$O$5</f>
        <v>213.3</v>
      </c>
      <c r="AQ161" s="58">
        <f>IF(ISNA(VLOOKUP($CW161,'Audit Values'!$A:$BX,2,FALSE)),'Preliminary SO66'!X160,VLOOKUP($CW161,'Audit Values'!$A:$BX,48,FALSE))</f>
        <v>0</v>
      </c>
      <c r="AR161" s="58">
        <f t="shared" si="130"/>
        <v>1705.4</v>
      </c>
      <c r="AS161" s="58">
        <f t="shared" si="131"/>
        <v>1492.1</v>
      </c>
      <c r="AT161" s="58">
        <f>IF(ISNA(VLOOKUP($CW161,'Audit Values'!$A$2:$BX$410,2,FALSE)),'Preliminary SO66'!AA160,VLOOKUP($CW161,'Audit Values'!$A$2:$BX$410,41,FALSE))</f>
        <v>0</v>
      </c>
      <c r="AU161" s="58">
        <f>IF(ISNA(VLOOKUP($CW161,'Audit Values'!$A$2:$BX$410,2,FALSE)),'Preliminary SO66'!AB160,VLOOKUP($CW161,'Audit Values'!$A$2:$BX$410,42,FALSE))</f>
        <v>0</v>
      </c>
      <c r="AV161" s="73">
        <v>0</v>
      </c>
      <c r="AW161" s="73">
        <v>0</v>
      </c>
      <c r="AX161" s="24">
        <f>SUM(AT161*'Weighting Factors'!$R$10)+('2024 Legal Max'!AU161*'Weighting Factors'!$R$11)+('2024 Legal Max'!AV161*'Weighting Factors'!$R$12)+('2024 Legal Max'!AW161*'Weighting Factors'!$R$12)</f>
        <v>0</v>
      </c>
      <c r="AY161" s="54">
        <f>IF(ISNA(VLOOKUP($CW161,'Audit Values'!$A$2:$BX$429,2,FALSE)),"",IF(AND('Weighting Factors'!G161&gt;0,VLOOKUP($CW161,'Audit Values'!$A$2:$BX$429,51,FALSE)&lt;'Weighting Factors'!G161),'Weighting Factors'!G161,VLOOKUP($CW161,'Audit Values'!$A$2:$BX$429,51,FALSE)))</f>
        <v>6</v>
      </c>
      <c r="AZ161" s="54" t="str">
        <f>IF(ISNA(VLOOKUP($CW161,'Audit Values'!$A:$BY,2,FALSE)),"",VLOOKUP($CW161,'Audit Values'!$A:$BY,52,FALSE))</f>
        <v>A</v>
      </c>
      <c r="BA161" s="54" t="str">
        <f>IF('Weighting Factors'!F161="","",IF('Weighting Factors'!H161="Pending","PX","R"))</f>
        <v/>
      </c>
      <c r="BB161" s="60">
        <f>SUM((U161+V161+AA161+AC161+AF161+AI161+AL161+AM161+AQ161+AN161)*'Weighting Factors'!$O$5)+'2024 Legal Max'!AX161</f>
        <v>7591805</v>
      </c>
      <c r="BC161" s="24">
        <f>SUM((AR161+AN161)*'Weighting Factors'!$O$5)+AX161</f>
        <v>8677075</v>
      </c>
      <c r="BD161" s="67">
        <f>IF('Weighting Factors'!F161&gt;0,'Weighting Factors'!F161,'Preliminary SO66'!AV160)</f>
        <v>8866358</v>
      </c>
      <c r="BE161" s="24">
        <f t="shared" si="138"/>
        <v>8677075</v>
      </c>
      <c r="BF161" s="71">
        <f>'Weighting Factors'!E161</f>
        <v>0</v>
      </c>
      <c r="BG161" s="71">
        <f>Transportation!G161</f>
        <v>0</v>
      </c>
      <c r="BH161" s="24">
        <f>IF(ISNA(VLOOKUP($CW161,'Audit Values'!$A:$BW,2,FALSE)), 0, VLOOKUP($CW161,'Audit Values'!$A:$BW,75,FALSE))</f>
        <v>0</v>
      </c>
      <c r="BI161" s="24">
        <f t="shared" si="139"/>
        <v>0</v>
      </c>
      <c r="BJ161" s="24">
        <f t="shared" si="140"/>
        <v>8677075</v>
      </c>
      <c r="BK161" s="24">
        <f>SUM((U161+V161+AA161+AC161+AF161+AI161+AL161+AM161+AN161)*'Weighting Factors'!O$12)+(MAX(AO161,'Weighting Factors'!B161))</f>
        <v>8781457</v>
      </c>
      <c r="BL161" s="78">
        <f>'LOB%'!F159</f>
        <v>0.33</v>
      </c>
      <c r="BM161" s="24">
        <f t="shared" si="111"/>
        <v>2897881</v>
      </c>
      <c r="BN161" s="67">
        <v>2780000</v>
      </c>
      <c r="BO161" s="24">
        <f t="shared" si="141"/>
        <v>2780000</v>
      </c>
      <c r="BP161" s="89">
        <f t="shared" si="112"/>
        <v>0.31659999999999999</v>
      </c>
      <c r="BQ161" s="58">
        <f t="shared" si="113"/>
        <v>0</v>
      </c>
      <c r="BR161" s="1" t="b">
        <f t="shared" si="114"/>
        <v>0</v>
      </c>
      <c r="BS161" s="76">
        <f t="shared" si="115"/>
        <v>0</v>
      </c>
      <c r="BT161" s="75">
        <f t="shared" si="142"/>
        <v>0</v>
      </c>
      <c r="BU161" s="58">
        <f t="shared" si="116"/>
        <v>0</v>
      </c>
      <c r="BV161" s="1" t="b">
        <f t="shared" si="117"/>
        <v>1</v>
      </c>
      <c r="BW161" s="1">
        <f t="shared" si="118"/>
        <v>782.1</v>
      </c>
      <c r="BX161" s="75">
        <f t="shared" si="143"/>
        <v>0.26946500000000001</v>
      </c>
      <c r="BY161" s="58">
        <f t="shared" si="119"/>
        <v>251.1</v>
      </c>
      <c r="BZ161" s="58">
        <f t="shared" si="120"/>
        <v>0</v>
      </c>
      <c r="CA161" s="61">
        <v>430</v>
      </c>
      <c r="CB161" s="102">
        <f t="shared" si="121"/>
        <v>0.68799999999999994</v>
      </c>
      <c r="CC161" s="105">
        <f>IF(CB161&lt;0.06,1,IF(CB161&gt;=18.29,52,MATCH(CB161-0.001,'Weighting Factors'!$W$5:$W$156)+1))</f>
        <v>28</v>
      </c>
      <c r="CD161" s="24">
        <f>VLOOKUP(CC161, 'Weighting Factors'!$U$5:$X$56,4)</f>
        <v>1030</v>
      </c>
      <c r="CE161" s="109">
        <f>('Weighting Factors'!$O$5/'Weighting Factors'!$O$14)</f>
        <v>1.2216</v>
      </c>
      <c r="CF161" s="100">
        <f t="shared" si="122"/>
        <v>304880</v>
      </c>
      <c r="CG161" s="100">
        <f>CF161*'Weighting Factors'!$Q$7</f>
        <v>304880</v>
      </c>
      <c r="CH161" s="100">
        <f t="shared" si="144"/>
        <v>372441</v>
      </c>
      <c r="CI161" s="58">
        <f>AK161/'Weighting Factors'!$O$5</f>
        <v>73.2</v>
      </c>
      <c r="CJ161" s="67">
        <v>0</v>
      </c>
      <c r="CK161" s="80">
        <v>0</v>
      </c>
      <c r="CL161" s="110">
        <v>0</v>
      </c>
      <c r="CM161" s="24">
        <f>SUM((AR161*'Weighting Factors'!$O$5)+'2024 Legal Max'!AX161)*CL161</f>
        <v>0</v>
      </c>
      <c r="CN161" s="24">
        <f t="shared" si="145"/>
        <v>0</v>
      </c>
      <c r="CO161" s="65">
        <f t="shared" si="110"/>
        <v>0.42299999999999999</v>
      </c>
      <c r="CP161" s="58">
        <f t="shared" si="123"/>
        <v>0</v>
      </c>
      <c r="CQ161" s="58">
        <f t="shared" si="124"/>
        <v>20.3</v>
      </c>
      <c r="CR161" s="58">
        <f t="shared" si="125"/>
        <v>1705.4</v>
      </c>
      <c r="CS161" s="24">
        <f>'Required Transfers'!L161</f>
        <v>316642</v>
      </c>
      <c r="CT161" s="24">
        <f>'Required Transfers'!O161</f>
        <v>278</v>
      </c>
      <c r="CU161" s="24">
        <f>'Required Transfers'!H161</f>
        <v>1105114</v>
      </c>
      <c r="CV161" s="58">
        <f t="shared" si="126"/>
        <v>914</v>
      </c>
      <c r="CW161" s="27" t="s">
        <v>346</v>
      </c>
    </row>
    <row r="162" spans="1:101" ht="15" customHeight="1">
      <c r="A162" s="54">
        <v>366</v>
      </c>
      <c r="B162" s="1" t="s">
        <v>72</v>
      </c>
      <c r="C162" s="1" t="s">
        <v>667</v>
      </c>
      <c r="D162" s="58">
        <v>391</v>
      </c>
      <c r="E162" s="58"/>
      <c r="F162" s="58">
        <v>0</v>
      </c>
      <c r="G162" s="58">
        <f t="shared" si="127"/>
        <v>391</v>
      </c>
      <c r="H162" s="58">
        <v>375.7</v>
      </c>
      <c r="I162" s="58"/>
      <c r="J162" s="58">
        <v>0</v>
      </c>
      <c r="K162" s="58">
        <f t="shared" si="128"/>
        <v>375.7</v>
      </c>
      <c r="L162" s="1">
        <v>376</v>
      </c>
      <c r="N162" s="1">
        <v>0</v>
      </c>
      <c r="O162" s="58">
        <f t="shared" si="129"/>
        <v>376</v>
      </c>
      <c r="P162" s="58">
        <f>IF(ISNA(VLOOKUP($CW162,'Audit Values'!$A:$BZ,2,FALSE)),'Preliminary SO66'!C161,VLOOKUP($CW162,'Audit Values'!$A:$BZ,76,FALSE))</f>
        <v>396.5</v>
      </c>
      <c r="Q162" s="58">
        <f>IF(ISNA(VLOOKUP($CW162,'Audit Values'!$A:$BZ,2,FALSE)),'Preliminary SO66'!F161,VLOOKUP($CW162,'Audit Values'!$A:$BZ,4,FALSE))</f>
        <v>0</v>
      </c>
      <c r="R162" s="58">
        <f t="shared" si="133"/>
        <v>396.5</v>
      </c>
      <c r="S162" s="58">
        <f>IF('Military Provision'!I162="YES", MAX('2024 Legal Max'!O162,'2024 Legal Max'!K162,AVERAGE('2024 Legal Max'!G162,'2024 Legal Max'!K162,'2024 Legal Max'!O162)), MAX(O162, K162))</f>
        <v>376</v>
      </c>
      <c r="T162" s="58">
        <f>IF(ISNA(VLOOKUP($CW162,'Audit Values'!$A:$BX,2,FALSE)),'Preliminary SO66'!AL161,VLOOKUP($CW162,'Audit Values'!$A:$BX,59,FALSE))</f>
        <v>12</v>
      </c>
      <c r="U162" s="58">
        <f t="shared" si="134"/>
        <v>388</v>
      </c>
      <c r="V162" s="58">
        <f>'Low-High ENRL- 2023 HSubSB 113'!N165</f>
        <v>176.3</v>
      </c>
      <c r="W162" s="58">
        <f>IF(ISNA(VLOOKUP($CW162,'Audit Values'!$A:$BZ,2,FALSE)),'Preliminary SO66'!AM161,VLOOKUP($CW162,'Audit Values'!$A:$BZ,63,FALSE))</f>
        <v>0</v>
      </c>
      <c r="X162" s="58">
        <f>(W162/6)*'Weighting Factors'!$O$7</f>
        <v>0</v>
      </c>
      <c r="Y162" s="61">
        <f>IF(ISNA(VLOOKUP($CW162,'Audit Values'!$A:$BZ,2,FALSE)),'Preliminary SO66'!AN161,VLOOKUP($CW162,'Audit Values'!$A:$BZ,62,FALSE))</f>
        <v>0</v>
      </c>
      <c r="Z162" s="58">
        <f>Y162*'Weighting Factors'!$O$8</f>
        <v>0</v>
      </c>
      <c r="AA162" s="58">
        <f t="shared" si="135"/>
        <v>0</v>
      </c>
      <c r="AB162" s="106">
        <f>IF(ISNA(VLOOKUP($CW162,'Audit Values'!$A:$BZ,2,FALSE)),'Preliminary SO66'!AO161,VLOOKUP($CW162,'Audit Values'!$A:$BZ,61,FALSE))</f>
        <v>151.19999999999999</v>
      </c>
      <c r="AC162" s="58">
        <f>AB162/6*'Weighting Factors'!$O$6</f>
        <v>12.6</v>
      </c>
      <c r="AD162" s="24">
        <f>IF(ISNA(VLOOKUP($CW162,'Audit Values'!$A:$BX,2,FALSE)),'Preliminary SO66'!AS161,VLOOKUP($CW162,'Audit Values'!$A:$BX,64,FALSE))</f>
        <v>425</v>
      </c>
      <c r="AE162" s="24">
        <f>IF(ISNA(VLOOKUP($CW162,'Audit Values'!$A:$BX,2,FALSE)),'Preliminary SO66'!AP161,VLOOKUP($CW162,'Audit Values'!$A:$BX,65,FALSE))</f>
        <v>193</v>
      </c>
      <c r="AF162" s="58">
        <f>IF(A162=207, AE162,(AE162))*'Weighting Factors'!$O$9</f>
        <v>93.4</v>
      </c>
      <c r="AG162" s="58">
        <f t="shared" si="132"/>
        <v>14.1</v>
      </c>
      <c r="AH162" s="58">
        <f>IF(ISNA(VLOOKUP($CW162,'Audit Values'!$A:$BZ,2,FALSE)),'Preliminary SO66'!AG161,VLOOKUP($CW162,'Audit Values'!$A:$BZ,71,FALSE))</f>
        <v>14.4</v>
      </c>
      <c r="AI162" s="58">
        <f t="shared" si="136"/>
        <v>14.4</v>
      </c>
      <c r="AJ162" s="58">
        <f>IF(ISNA(VLOOKUP($CW162,'Audit Values'!$A:$BX,2,FALSE)),'Preliminary SO66'!AR161,VLOOKUP($CW162,'Audit Values'!$A:$BX,66,FALSE))</f>
        <v>152</v>
      </c>
      <c r="AK162" s="24">
        <f t="shared" si="137"/>
        <v>213536</v>
      </c>
      <c r="AL162" s="58">
        <f>AK162/'Weighting Factors'!$O$5</f>
        <v>42</v>
      </c>
      <c r="AM162" s="58">
        <f>CJ162/'Weighting Factors'!$O$5</f>
        <v>0</v>
      </c>
      <c r="AN162" s="58">
        <f>CN162/'Weighting Factors'!$O$5</f>
        <v>0</v>
      </c>
      <c r="AO162" s="24">
        <v>488001</v>
      </c>
      <c r="AP162" s="58">
        <f>AO162/'Weighting Factors'!$O$5</f>
        <v>95.9</v>
      </c>
      <c r="AQ162" s="58">
        <f>IF(ISNA(VLOOKUP($CW162,'Audit Values'!$A:$BX,2,FALSE)),'Preliminary SO66'!X161,VLOOKUP($CW162,'Audit Values'!$A:$BX,48,FALSE))</f>
        <v>0</v>
      </c>
      <c r="AR162" s="58">
        <f t="shared" si="130"/>
        <v>822.6</v>
      </c>
      <c r="AS162" s="58">
        <f t="shared" si="131"/>
        <v>726.7</v>
      </c>
      <c r="AT162" s="58">
        <f>IF(ISNA(VLOOKUP($CW162,'Audit Values'!$A$2:$BX$410,2,FALSE)),'Preliminary SO66'!AA161,VLOOKUP($CW162,'Audit Values'!$A$2:$BX$410,41,FALSE))</f>
        <v>1</v>
      </c>
      <c r="AU162" s="58">
        <f>IF(ISNA(VLOOKUP($CW162,'Audit Values'!$A$2:$BX$410,2,FALSE)),'Preliminary SO66'!AB161,VLOOKUP($CW162,'Audit Values'!$A$2:$BX$410,42,FALSE))</f>
        <v>0.9</v>
      </c>
      <c r="AV162" s="73">
        <v>0</v>
      </c>
      <c r="AW162" s="73">
        <v>0</v>
      </c>
      <c r="AX162" s="24">
        <f>SUM(AT162*'Weighting Factors'!$R$10)+('2024 Legal Max'!AU162*'Weighting Factors'!$R$11)+('2024 Legal Max'!AV162*'Weighting Factors'!$R$12)+('2024 Legal Max'!AW162*'Weighting Factors'!$R$12)</f>
        <v>8120</v>
      </c>
      <c r="AY162" s="54">
        <f>IF(ISNA(VLOOKUP($CW162,'Audit Values'!$A$2:$BX$429,2,FALSE)),"",IF(AND('Weighting Factors'!G162&gt;0,VLOOKUP($CW162,'Audit Values'!$A$2:$BX$429,51,FALSE)&lt;'Weighting Factors'!G162),'Weighting Factors'!G162,VLOOKUP($CW162,'Audit Values'!$A$2:$BX$429,51,FALSE)))</f>
        <v>19</v>
      </c>
      <c r="AZ162" s="54" t="str">
        <f>IF(ISNA(VLOOKUP($CW162,'Audit Values'!$A:$BY,2,FALSE)),"",VLOOKUP($CW162,'Audit Values'!$A:$BY,52,FALSE))</f>
        <v>A</v>
      </c>
      <c r="BA162" s="54" t="str">
        <f>IF('Weighting Factors'!F162="","",IF('Weighting Factors'!H162="Pending","PX","R"))</f>
        <v>R</v>
      </c>
      <c r="BB162" s="60">
        <f>SUM((U162+V162+AA162+AC162+AF162+AI162+AL162+AM162+AQ162+AN162)*'Weighting Factors'!$O$5)+'2024 Legal Max'!AX162</f>
        <v>3705570</v>
      </c>
      <c r="BC162" s="24">
        <f>SUM((AR162+AN162)*'Weighting Factors'!$O$5)+AX162</f>
        <v>4193509</v>
      </c>
      <c r="BD162" s="67">
        <f>IF('Weighting Factors'!F162&gt;0,'Weighting Factors'!F162,'Preliminary SO66'!AV161)</f>
        <v>4275426</v>
      </c>
      <c r="BE162" s="24">
        <f t="shared" si="138"/>
        <v>4193509</v>
      </c>
      <c r="BF162" s="71">
        <f>'Weighting Factors'!E162</f>
        <v>0</v>
      </c>
      <c r="BG162" s="71">
        <f>Transportation!G162</f>
        <v>0</v>
      </c>
      <c r="BH162" s="24">
        <f>IF(ISNA(VLOOKUP($CW162,'Audit Values'!$A:$BW,2,FALSE)), 0, VLOOKUP($CW162,'Audit Values'!$A:$BW,75,FALSE))</f>
        <v>-3545</v>
      </c>
      <c r="BI162" s="24">
        <f t="shared" si="139"/>
        <v>-3545</v>
      </c>
      <c r="BJ162" s="24">
        <f t="shared" si="140"/>
        <v>4189964</v>
      </c>
      <c r="BK162" s="24">
        <f>SUM((U162+V162+AA162+AC162+AF162+AI162+AL162+AM162+AN162)*'Weighting Factors'!O$12)+(MAX(AO162,'Weighting Factors'!B162))</f>
        <v>4298373</v>
      </c>
      <c r="BL162" s="78">
        <f>'LOB%'!F160</f>
        <v>0.33</v>
      </c>
      <c r="BM162" s="24">
        <f t="shared" si="111"/>
        <v>1418463</v>
      </c>
      <c r="BN162" s="67">
        <v>1413130</v>
      </c>
      <c r="BO162" s="24">
        <f t="shared" si="141"/>
        <v>1413130</v>
      </c>
      <c r="BP162" s="89">
        <f t="shared" si="112"/>
        <v>0.32879999999999998</v>
      </c>
      <c r="BQ162" s="58">
        <f t="shared" si="113"/>
        <v>0</v>
      </c>
      <c r="BR162" s="1" t="b">
        <f t="shared" si="114"/>
        <v>0</v>
      </c>
      <c r="BS162" s="76">
        <f t="shared" si="115"/>
        <v>0</v>
      </c>
      <c r="BT162" s="75">
        <f t="shared" si="142"/>
        <v>0</v>
      </c>
      <c r="BU162" s="58">
        <f t="shared" si="116"/>
        <v>0</v>
      </c>
      <c r="BV162" s="1" t="b">
        <f t="shared" si="117"/>
        <v>1</v>
      </c>
      <c r="BW162" s="1">
        <f t="shared" si="118"/>
        <v>108.9</v>
      </c>
      <c r="BX162" s="75">
        <f t="shared" si="143"/>
        <v>0.45428800000000003</v>
      </c>
      <c r="BY162" s="58">
        <f t="shared" si="119"/>
        <v>176.3</v>
      </c>
      <c r="BZ162" s="58">
        <f t="shared" si="120"/>
        <v>0</v>
      </c>
      <c r="CA162" s="61">
        <v>422</v>
      </c>
      <c r="CB162" s="102">
        <f t="shared" si="121"/>
        <v>0.36</v>
      </c>
      <c r="CC162" s="105">
        <f>IF(CB162&lt;0.06,1,IF(CB162&gt;=18.29,52,MATCH(CB162-0.001,'Weighting Factors'!$W$5:$W$156)+1))</f>
        <v>22</v>
      </c>
      <c r="CD162" s="24">
        <f>VLOOKUP(CC162, 'Weighting Factors'!$U$5:$X$56,4)</f>
        <v>1150</v>
      </c>
      <c r="CE162" s="109">
        <f>('Weighting Factors'!$O$5/'Weighting Factors'!$O$14)</f>
        <v>1.2216</v>
      </c>
      <c r="CF162" s="100">
        <f t="shared" si="122"/>
        <v>174800</v>
      </c>
      <c r="CG162" s="100">
        <f>CF162*'Weighting Factors'!$Q$7</f>
        <v>174800</v>
      </c>
      <c r="CH162" s="100">
        <f t="shared" si="144"/>
        <v>213536</v>
      </c>
      <c r="CI162" s="58">
        <f>AK162/'Weighting Factors'!$O$5</f>
        <v>42</v>
      </c>
      <c r="CJ162" s="67">
        <v>0</v>
      </c>
      <c r="CK162" s="80">
        <v>0</v>
      </c>
      <c r="CL162" s="110">
        <v>0</v>
      </c>
      <c r="CM162" s="24">
        <f>SUM((AR162*'Weighting Factors'!$O$5)+'2024 Legal Max'!AX162)*CL162</f>
        <v>0</v>
      </c>
      <c r="CN162" s="24">
        <f t="shared" si="145"/>
        <v>0</v>
      </c>
      <c r="CO162" s="65">
        <f t="shared" si="110"/>
        <v>0.4541</v>
      </c>
      <c r="CP162" s="58">
        <f t="shared" si="123"/>
        <v>0</v>
      </c>
      <c r="CQ162" s="58">
        <f t="shared" si="124"/>
        <v>14.1</v>
      </c>
      <c r="CR162" s="58">
        <f t="shared" si="125"/>
        <v>822.6</v>
      </c>
      <c r="CS162" s="24">
        <f>'Required Transfers'!L162</f>
        <v>162793</v>
      </c>
      <c r="CT162" s="24">
        <f>'Required Transfers'!O162</f>
        <v>0</v>
      </c>
      <c r="CU162" s="24">
        <f>'Required Transfers'!H162</f>
        <v>548486</v>
      </c>
      <c r="CV162" s="58">
        <f t="shared" si="126"/>
        <v>410.4</v>
      </c>
      <c r="CW162" s="27" t="s">
        <v>347</v>
      </c>
    </row>
    <row r="163" spans="1:101" ht="15" customHeight="1">
      <c r="A163" s="54">
        <v>367</v>
      </c>
      <c r="B163" s="1" t="s">
        <v>73</v>
      </c>
      <c r="C163" s="1" t="s">
        <v>668</v>
      </c>
      <c r="D163" s="58">
        <v>1016.8</v>
      </c>
      <c r="E163" s="58"/>
      <c r="F163" s="58">
        <v>0</v>
      </c>
      <c r="G163" s="58">
        <f t="shared" si="127"/>
        <v>1016.8</v>
      </c>
      <c r="H163" s="58">
        <v>1006</v>
      </c>
      <c r="I163" s="58"/>
      <c r="J163" s="58">
        <v>0</v>
      </c>
      <c r="K163" s="58">
        <f t="shared" si="128"/>
        <v>1006</v>
      </c>
      <c r="L163" s="1">
        <v>987</v>
      </c>
      <c r="N163" s="1">
        <v>0</v>
      </c>
      <c r="O163" s="58">
        <f t="shared" si="129"/>
        <v>987</v>
      </c>
      <c r="P163" s="58">
        <f>IF(ISNA(VLOOKUP($CW163,'Audit Values'!$A:$BZ,2,FALSE)),'Preliminary SO66'!C162,VLOOKUP($CW163,'Audit Values'!$A:$BZ,76,FALSE))</f>
        <v>944.8</v>
      </c>
      <c r="Q163" s="58">
        <f>IF(ISNA(VLOOKUP($CW163,'Audit Values'!$A:$BZ,2,FALSE)),'Preliminary SO66'!F162,VLOOKUP($CW163,'Audit Values'!$A:$BZ,4,FALSE))</f>
        <v>0</v>
      </c>
      <c r="R163" s="58">
        <f t="shared" si="133"/>
        <v>944.8</v>
      </c>
      <c r="S163" s="58">
        <f>IF('Military Provision'!I163="YES", MAX('2024 Legal Max'!O163,'2024 Legal Max'!K163,AVERAGE('2024 Legal Max'!G163,'2024 Legal Max'!K163,'2024 Legal Max'!O163)), MAX(O163, K163))</f>
        <v>1006</v>
      </c>
      <c r="T163" s="58">
        <f>IF(ISNA(VLOOKUP($CW163,'Audit Values'!$A:$BX,2,FALSE)),'Preliminary SO66'!AL162,VLOOKUP($CW163,'Audit Values'!$A:$BX,59,FALSE))</f>
        <v>20</v>
      </c>
      <c r="U163" s="58">
        <f t="shared" si="134"/>
        <v>1026</v>
      </c>
      <c r="V163" s="58">
        <f>'Low-High ENRL- 2023 HSubSB 113'!N166</f>
        <v>243.7</v>
      </c>
      <c r="W163" s="58">
        <f>IF(ISNA(VLOOKUP($CW163,'Audit Values'!$A:$BZ,2,FALSE)),'Preliminary SO66'!AM162,VLOOKUP($CW163,'Audit Values'!$A:$BZ,63,FALSE))</f>
        <v>0</v>
      </c>
      <c r="X163" s="58">
        <f>(W163/6)*'Weighting Factors'!$O$7</f>
        <v>0</v>
      </c>
      <c r="Y163" s="61">
        <f>IF(ISNA(VLOOKUP($CW163,'Audit Values'!$A:$BZ,2,FALSE)),'Preliminary SO66'!AN162,VLOOKUP($CW163,'Audit Values'!$A:$BZ,62,FALSE))</f>
        <v>12</v>
      </c>
      <c r="Z163" s="58">
        <f>Y163*'Weighting Factors'!$O$8</f>
        <v>2.2000000000000002</v>
      </c>
      <c r="AA163" s="58">
        <f t="shared" si="135"/>
        <v>2.2000000000000002</v>
      </c>
      <c r="AB163" s="106">
        <f>IF(ISNA(VLOOKUP($CW163,'Audit Values'!$A:$BZ,2,FALSE)),'Preliminary SO66'!AO162,VLOOKUP($CW163,'Audit Values'!$A:$BZ,61,FALSE))</f>
        <v>188.7</v>
      </c>
      <c r="AC163" s="58">
        <f>AB163/6*'Weighting Factors'!$O$6</f>
        <v>15.7</v>
      </c>
      <c r="AD163" s="24">
        <f>IF(ISNA(VLOOKUP($CW163,'Audit Values'!$A:$BX,2,FALSE)),'Preliminary SO66'!AS162,VLOOKUP($CW163,'Audit Values'!$A:$BX,64,FALSE))</f>
        <v>1006</v>
      </c>
      <c r="AE163" s="24">
        <f>IF(ISNA(VLOOKUP($CW163,'Audit Values'!$A:$BX,2,FALSE)),'Preliminary SO66'!AP162,VLOOKUP($CW163,'Audit Values'!$A:$BX,65,FALSE))</f>
        <v>545</v>
      </c>
      <c r="AF163" s="58">
        <f>IF(A163=207, AE163,(AE163))*'Weighting Factors'!$O$9</f>
        <v>263.8</v>
      </c>
      <c r="AG163" s="58">
        <f t="shared" si="132"/>
        <v>57.2</v>
      </c>
      <c r="AH163" s="58">
        <f>IF(ISNA(VLOOKUP($CW163,'Audit Values'!$A:$BZ,2,FALSE)),'Preliminary SO66'!AG162,VLOOKUP($CW163,'Audit Values'!$A:$BZ,71,FALSE))</f>
        <v>52.8</v>
      </c>
      <c r="AI163" s="58">
        <f t="shared" si="136"/>
        <v>57.2</v>
      </c>
      <c r="AJ163" s="58">
        <f>IF(ISNA(VLOOKUP($CW163,'Audit Values'!$A:$BX,2,FALSE)),'Preliminary SO66'!AR162,VLOOKUP($CW163,'Audit Values'!$A:$BX,66,FALSE))</f>
        <v>165</v>
      </c>
      <c r="AK163" s="24">
        <f t="shared" si="137"/>
        <v>175361</v>
      </c>
      <c r="AL163" s="58">
        <f>AK163/'Weighting Factors'!$O$5</f>
        <v>34.5</v>
      </c>
      <c r="AM163" s="58">
        <f>CJ163/'Weighting Factors'!$O$5</f>
        <v>0</v>
      </c>
      <c r="AN163" s="58">
        <f>CN163/'Weighting Factors'!$O$5</f>
        <v>0</v>
      </c>
      <c r="AO163" s="24">
        <v>1785873</v>
      </c>
      <c r="AP163" s="58">
        <f>AO163/'Weighting Factors'!$O$5</f>
        <v>351</v>
      </c>
      <c r="AQ163" s="58">
        <f>IF(ISNA(VLOOKUP($CW163,'Audit Values'!$A:$BX,2,FALSE)),'Preliminary SO66'!X162,VLOOKUP($CW163,'Audit Values'!$A:$BX,48,FALSE))</f>
        <v>0</v>
      </c>
      <c r="AR163" s="58">
        <f t="shared" si="130"/>
        <v>1994.1</v>
      </c>
      <c r="AS163" s="58">
        <f t="shared" si="131"/>
        <v>1643.1</v>
      </c>
      <c r="AT163" s="58">
        <f>IF(ISNA(VLOOKUP($CW163,'Audit Values'!$A$2:$BX$410,2,FALSE)),'Preliminary SO66'!AA162,VLOOKUP($CW163,'Audit Values'!$A$2:$BX$410,41,FALSE))</f>
        <v>15</v>
      </c>
      <c r="AU163" s="58">
        <f>IF(ISNA(VLOOKUP($CW163,'Audit Values'!$A$2:$BX$410,2,FALSE)),'Preliminary SO66'!AB162,VLOOKUP($CW163,'Audit Values'!$A$2:$BX$410,42,FALSE))</f>
        <v>0</v>
      </c>
      <c r="AV163" s="73">
        <v>0</v>
      </c>
      <c r="AW163" s="73">
        <v>0</v>
      </c>
      <c r="AX163" s="24">
        <f>SUM(AT163*'Weighting Factors'!$R$10)+('2024 Legal Max'!AU163*'Weighting Factors'!$R$11)+('2024 Legal Max'!AV163*'Weighting Factors'!$R$12)+('2024 Legal Max'!AW163*'Weighting Factors'!$R$12)</f>
        <v>84000</v>
      </c>
      <c r="AY163" s="54">
        <f>IF(ISNA(VLOOKUP($CW163,'Audit Values'!$A$2:$BX$429,2,FALSE)),"",IF(AND('Weighting Factors'!G163&gt;0,VLOOKUP($CW163,'Audit Values'!$A$2:$BX$429,51,FALSE)&lt;'Weighting Factors'!G163),'Weighting Factors'!G163,VLOOKUP($CW163,'Audit Values'!$A$2:$BX$429,51,FALSE)))</f>
        <v>17</v>
      </c>
      <c r="AZ163" s="54" t="str">
        <f>IF(ISNA(VLOOKUP($CW163,'Audit Values'!$A:$BY,2,FALSE)),"",VLOOKUP($CW163,'Audit Values'!$A:$BY,52,FALSE))</f>
        <v>A</v>
      </c>
      <c r="BA163" s="54" t="str">
        <f>IF('Weighting Factors'!F163="","",IF('Weighting Factors'!H163="Pending","PX","R"))</f>
        <v/>
      </c>
      <c r="BB163" s="60">
        <f>SUM((U163+V163+AA163+AC163+AF163+AI163+AL163+AM163+AQ163+AN163)*'Weighting Factors'!$O$5)+'2024 Legal Max'!AX163</f>
        <v>8444093</v>
      </c>
      <c r="BC163" s="24">
        <f>SUM((AR163+AN163)*'Weighting Factors'!$O$5)+AX163</f>
        <v>10229981</v>
      </c>
      <c r="BD163" s="67">
        <f>IF('Weighting Factors'!F163&gt;0,'Weighting Factors'!F163,'Preliminary SO66'!AV162)</f>
        <v>10664973</v>
      </c>
      <c r="BE163" s="24">
        <f t="shared" si="138"/>
        <v>10229981</v>
      </c>
      <c r="BF163" s="71">
        <f>'Weighting Factors'!E163</f>
        <v>0</v>
      </c>
      <c r="BG163" s="71">
        <f>Transportation!G163</f>
        <v>0</v>
      </c>
      <c r="BH163" s="24">
        <f>IF(ISNA(VLOOKUP($CW163,'Audit Values'!$A:$BW,2,FALSE)), 0, VLOOKUP($CW163,'Audit Values'!$A:$BW,75,FALSE))</f>
        <v>0</v>
      </c>
      <c r="BI163" s="24">
        <f t="shared" si="139"/>
        <v>0</v>
      </c>
      <c r="BJ163" s="24">
        <f t="shared" si="140"/>
        <v>10229981</v>
      </c>
      <c r="BK163" s="24">
        <f>SUM((U163+V163+AA163+AC163+AF163+AI163+AL163+AM163+AN163)*'Weighting Factors'!O$12)+(MAX(AO163,'Weighting Factors'!B163))</f>
        <v>10260983</v>
      </c>
      <c r="BL163" s="78">
        <f>'LOB%'!F161</f>
        <v>0.33</v>
      </c>
      <c r="BM163" s="24">
        <f t="shared" si="111"/>
        <v>3386124</v>
      </c>
      <c r="BN163" s="67">
        <v>3549384</v>
      </c>
      <c r="BO163" s="24">
        <f t="shared" si="141"/>
        <v>3386124</v>
      </c>
      <c r="BP163" s="89">
        <f t="shared" si="112"/>
        <v>0.33</v>
      </c>
      <c r="BQ163" s="58">
        <f t="shared" si="113"/>
        <v>0</v>
      </c>
      <c r="BR163" s="1" t="b">
        <f t="shared" si="114"/>
        <v>0</v>
      </c>
      <c r="BS163" s="76">
        <f t="shared" si="115"/>
        <v>0</v>
      </c>
      <c r="BT163" s="75">
        <f t="shared" si="142"/>
        <v>0</v>
      </c>
      <c r="BU163" s="58">
        <f t="shared" si="116"/>
        <v>0</v>
      </c>
      <c r="BV163" s="1" t="b">
        <f t="shared" si="117"/>
        <v>1</v>
      </c>
      <c r="BW163" s="1">
        <f t="shared" si="118"/>
        <v>898.42499999999995</v>
      </c>
      <c r="BX163" s="75">
        <f t="shared" si="143"/>
        <v>0.23752899999999999</v>
      </c>
      <c r="BY163" s="58">
        <f t="shared" si="119"/>
        <v>243.7</v>
      </c>
      <c r="BZ163" s="58">
        <f t="shared" si="120"/>
        <v>0</v>
      </c>
      <c r="CA163" s="61">
        <v>103</v>
      </c>
      <c r="CB163" s="102">
        <f t="shared" si="121"/>
        <v>1.6020000000000001</v>
      </c>
      <c r="CC163" s="105">
        <f>IF(CB163&lt;0.06,1,IF(CB163&gt;=18.29,52,MATCH(CB163-0.001,'Weighting Factors'!$W$5:$W$156)+1))</f>
        <v>36</v>
      </c>
      <c r="CD163" s="24">
        <f>VLOOKUP(CC163, 'Weighting Factors'!$U$5:$X$56,4)</f>
        <v>870</v>
      </c>
      <c r="CE163" s="109">
        <f>('Weighting Factors'!$O$5/'Weighting Factors'!$O$14)</f>
        <v>1.2216</v>
      </c>
      <c r="CF163" s="100">
        <f t="shared" si="122"/>
        <v>143550</v>
      </c>
      <c r="CG163" s="100">
        <f>CF163*'Weighting Factors'!$Q$7</f>
        <v>143550</v>
      </c>
      <c r="CH163" s="100">
        <f t="shared" si="144"/>
        <v>175361</v>
      </c>
      <c r="CI163" s="58">
        <f>AK163/'Weighting Factors'!$O$5</f>
        <v>34.5</v>
      </c>
      <c r="CJ163" s="67">
        <v>0</v>
      </c>
      <c r="CK163" s="80">
        <v>0</v>
      </c>
      <c r="CL163" s="110">
        <v>0</v>
      </c>
      <c r="CM163" s="24">
        <f>SUM((AR163*'Weighting Factors'!$O$5)+'2024 Legal Max'!AX163)*CL163</f>
        <v>0</v>
      </c>
      <c r="CN163" s="24">
        <f t="shared" si="145"/>
        <v>0</v>
      </c>
      <c r="CO163" s="65">
        <f t="shared" si="110"/>
        <v>0.54169999999999996</v>
      </c>
      <c r="CP163" s="58">
        <f t="shared" si="123"/>
        <v>57.2</v>
      </c>
      <c r="CQ163" s="58">
        <f t="shared" si="124"/>
        <v>0</v>
      </c>
      <c r="CR163" s="58">
        <f t="shared" si="125"/>
        <v>1994.1</v>
      </c>
      <c r="CS163" s="24">
        <f>'Required Transfers'!L163</f>
        <v>452386</v>
      </c>
      <c r="CT163" s="24">
        <f>'Required Transfers'!O163</f>
        <v>3725</v>
      </c>
      <c r="CU163" s="24">
        <f>'Required Transfers'!H163</f>
        <v>1633248</v>
      </c>
      <c r="CV163" s="58">
        <f t="shared" si="126"/>
        <v>979.8</v>
      </c>
      <c r="CW163" s="27" t="s">
        <v>348</v>
      </c>
    </row>
    <row r="164" spans="1:101" ht="15" customHeight="1">
      <c r="A164" s="54">
        <v>368</v>
      </c>
      <c r="B164" s="1" t="s">
        <v>73</v>
      </c>
      <c r="C164" s="1" t="s">
        <v>669</v>
      </c>
      <c r="D164" s="58">
        <v>1677.8</v>
      </c>
      <c r="E164" s="58">
        <v>1</v>
      </c>
      <c r="F164" s="58">
        <v>0</v>
      </c>
      <c r="G164" s="58">
        <f t="shared" si="127"/>
        <v>1676.8</v>
      </c>
      <c r="H164" s="58">
        <v>1760</v>
      </c>
      <c r="I164" s="58"/>
      <c r="J164" s="58">
        <v>0</v>
      </c>
      <c r="K164" s="58">
        <f t="shared" si="128"/>
        <v>1760</v>
      </c>
      <c r="L164" s="1">
        <v>1773</v>
      </c>
      <c r="N164" s="1">
        <v>0</v>
      </c>
      <c r="O164" s="58">
        <f t="shared" si="129"/>
        <v>1773</v>
      </c>
      <c r="P164" s="58">
        <f>IF(ISNA(VLOOKUP($CW164,'Audit Values'!$A:$BZ,2,FALSE)),'Preliminary SO66'!C163,VLOOKUP($CW164,'Audit Values'!$A:$BZ,76,FALSE))</f>
        <v>1772.7</v>
      </c>
      <c r="Q164" s="58">
        <f>IF(ISNA(VLOOKUP($CW164,'Audit Values'!$A:$BZ,2,FALSE)),'Preliminary SO66'!F163,VLOOKUP($CW164,'Audit Values'!$A:$BZ,4,FALSE))</f>
        <v>0</v>
      </c>
      <c r="R164" s="58">
        <f t="shared" si="133"/>
        <v>1772.7</v>
      </c>
      <c r="S164" s="58">
        <f>IF('Military Provision'!I164="YES", MAX('2024 Legal Max'!O164,'2024 Legal Max'!K164,AVERAGE('2024 Legal Max'!G164,'2024 Legal Max'!K164,'2024 Legal Max'!O164)), MAX(O164, K164))</f>
        <v>1773</v>
      </c>
      <c r="T164" s="58">
        <f>IF(ISNA(VLOOKUP($CW164,'Audit Values'!$A:$BX,2,FALSE)),'Preliminary SO66'!AL163,VLOOKUP($CW164,'Audit Values'!$A:$BX,59,FALSE))</f>
        <v>0</v>
      </c>
      <c r="U164" s="58">
        <f t="shared" si="134"/>
        <v>1773</v>
      </c>
      <c r="V164" s="58">
        <f>'Low-High ENRL- 2023 HSubSB 113'!N167</f>
        <v>62.1</v>
      </c>
      <c r="W164" s="58">
        <f>IF(ISNA(VLOOKUP($CW164,'Audit Values'!$A:$BZ,2,FALSE)),'Preliminary SO66'!AM163,VLOOKUP($CW164,'Audit Values'!$A:$BZ,63,FALSE))</f>
        <v>15.1</v>
      </c>
      <c r="X164" s="58">
        <f>(W164/6)*'Weighting Factors'!$O$7</f>
        <v>1</v>
      </c>
      <c r="Y164" s="61">
        <f>IF(ISNA(VLOOKUP($CW164,'Audit Values'!$A:$BZ,2,FALSE)),'Preliminary SO66'!AN163,VLOOKUP($CW164,'Audit Values'!$A:$BZ,62,FALSE))</f>
        <v>14</v>
      </c>
      <c r="Z164" s="58">
        <f>Y164*'Weighting Factors'!$O$8</f>
        <v>2.6</v>
      </c>
      <c r="AA164" s="58">
        <f t="shared" si="135"/>
        <v>2.6</v>
      </c>
      <c r="AB164" s="106">
        <f>IF(ISNA(VLOOKUP($CW164,'Audit Values'!$A:$BZ,2,FALSE)),'Preliminary SO66'!AO163,VLOOKUP($CW164,'Audit Values'!$A:$BZ,61,FALSE))</f>
        <v>575.70000000000005</v>
      </c>
      <c r="AC164" s="58">
        <f>AB164/6*'Weighting Factors'!$O$6</f>
        <v>48</v>
      </c>
      <c r="AD164" s="24">
        <f>IF(ISNA(VLOOKUP($CW164,'Audit Values'!$A:$BX,2,FALSE)),'Preliminary SO66'!AS163,VLOOKUP($CW164,'Audit Values'!$A:$BX,64,FALSE))</f>
        <v>1785</v>
      </c>
      <c r="AE164" s="24">
        <f>IF(ISNA(VLOOKUP($CW164,'Audit Values'!$A:$BX,2,FALSE)),'Preliminary SO66'!AP163,VLOOKUP($CW164,'Audit Values'!$A:$BX,65,FALSE))</f>
        <v>601</v>
      </c>
      <c r="AF164" s="58">
        <f>IF(A164=207, AE164,(AE164))*'Weighting Factors'!$O$9</f>
        <v>290.89999999999998</v>
      </c>
      <c r="AG164" s="58">
        <f t="shared" si="132"/>
        <v>0</v>
      </c>
      <c r="AH164" s="58">
        <f>IF(ISNA(VLOOKUP($CW164,'Audit Values'!$A:$BZ,2,FALSE)),'Preliminary SO66'!AG163,VLOOKUP($CW164,'Audit Values'!$A:$BZ,71,FALSE))</f>
        <v>1.5</v>
      </c>
      <c r="AI164" s="58">
        <f t="shared" si="136"/>
        <v>1.5</v>
      </c>
      <c r="AJ164" s="58">
        <f>IF(ISNA(VLOOKUP($CW164,'Audit Values'!$A:$BX,2,FALSE)),'Preliminary SO66'!AR163,VLOOKUP($CW164,'Audit Values'!$A:$BX,66,FALSE))</f>
        <v>710.2</v>
      </c>
      <c r="AK164" s="24">
        <f t="shared" si="137"/>
        <v>650685</v>
      </c>
      <c r="AL164" s="58">
        <f>AK164/'Weighting Factors'!$O$5</f>
        <v>127.9</v>
      </c>
      <c r="AM164" s="58">
        <f>CJ164/'Weighting Factors'!$O$5</f>
        <v>0</v>
      </c>
      <c r="AN164" s="58">
        <f>CN164/'Weighting Factors'!$O$5</f>
        <v>0</v>
      </c>
      <c r="AO164" s="24">
        <v>1880664</v>
      </c>
      <c r="AP164" s="58">
        <f>AO164/'Weighting Factors'!$O$5</f>
        <v>369.6</v>
      </c>
      <c r="AQ164" s="58">
        <f>IF(ISNA(VLOOKUP($CW164,'Audit Values'!$A:$BX,2,FALSE)),'Preliminary SO66'!X163,VLOOKUP($CW164,'Audit Values'!$A:$BX,48,FALSE))</f>
        <v>0</v>
      </c>
      <c r="AR164" s="58">
        <f t="shared" si="130"/>
        <v>2675.6</v>
      </c>
      <c r="AS164" s="58">
        <f t="shared" si="131"/>
        <v>2306</v>
      </c>
      <c r="AT164" s="58">
        <f>IF(ISNA(VLOOKUP($CW164,'Audit Values'!$A$2:$BX$410,2,FALSE)),'Preliminary SO66'!AA163,VLOOKUP($CW164,'Audit Values'!$A$2:$BX$410,41,FALSE))</f>
        <v>22</v>
      </c>
      <c r="AU164" s="58">
        <f>IF(ISNA(VLOOKUP($CW164,'Audit Values'!$A$2:$BX$410,2,FALSE)),'Preliminary SO66'!AB163,VLOOKUP($CW164,'Audit Values'!$A$2:$BX$410,42,FALSE))</f>
        <v>0</v>
      </c>
      <c r="AV164" s="73">
        <v>0</v>
      </c>
      <c r="AW164" s="73">
        <v>0</v>
      </c>
      <c r="AX164" s="24">
        <f>SUM(AT164*'Weighting Factors'!$R$10)+('2024 Legal Max'!AU164*'Weighting Factors'!$R$11)+('2024 Legal Max'!AV164*'Weighting Factors'!$R$12)+('2024 Legal Max'!AW164*'Weighting Factors'!$R$12)</f>
        <v>123200</v>
      </c>
      <c r="AY164" s="54">
        <f>IF(ISNA(VLOOKUP($CW164,'Audit Values'!$A$2:$BX$429,2,FALSE)),"",IF(AND('Weighting Factors'!G164&gt;0,VLOOKUP($CW164,'Audit Values'!$A$2:$BX$429,51,FALSE)&lt;'Weighting Factors'!G164),'Weighting Factors'!G164,VLOOKUP($CW164,'Audit Values'!$A$2:$BX$429,51,FALSE)))</f>
        <v>25</v>
      </c>
      <c r="AZ164" s="54" t="str">
        <f>IF(ISNA(VLOOKUP($CW164,'Audit Values'!$A:$BY,2,FALSE)),"",VLOOKUP($CW164,'Audit Values'!$A:$BY,52,FALSE))</f>
        <v>A</v>
      </c>
      <c r="BA164" s="54" t="str">
        <f>IF('Weighting Factors'!F164="","",IF('Weighting Factors'!H164="Pending","PX","R"))</f>
        <v/>
      </c>
      <c r="BB164" s="60">
        <f>SUM((U164+V164+AA164+AC164+AF164+AI164+AL164+AM164+AQ164+AN164)*'Weighting Factors'!$O$5)+'2024 Legal Max'!AX164</f>
        <v>11856128</v>
      </c>
      <c r="BC164" s="24">
        <f>SUM((AR164+AN164)*'Weighting Factors'!$O$5)+AX164</f>
        <v>13736653</v>
      </c>
      <c r="BD164" s="67">
        <f>IF('Weighting Factors'!F164&gt;0,'Weighting Factors'!F164,'Preliminary SO66'!AV163)</f>
        <v>14831942</v>
      </c>
      <c r="BE164" s="24">
        <f t="shared" si="138"/>
        <v>13736653</v>
      </c>
      <c r="BF164" s="71">
        <f>'Weighting Factors'!E164</f>
        <v>0</v>
      </c>
      <c r="BG164" s="71">
        <f>Transportation!G164</f>
        <v>0</v>
      </c>
      <c r="BH164" s="24">
        <f>IF(ISNA(VLOOKUP($CW164,'Audit Values'!$A:$BW,2,FALSE)), 0, VLOOKUP($CW164,'Audit Values'!$A:$BW,75,FALSE))</f>
        <v>-3545</v>
      </c>
      <c r="BI164" s="24">
        <f t="shared" si="139"/>
        <v>-3545</v>
      </c>
      <c r="BJ164" s="24">
        <f t="shared" si="140"/>
        <v>13733108</v>
      </c>
      <c r="BK164" s="24">
        <f>SUM((U164+V164+AA164+AC164+AF164+AI164+AL164+AM164+AN164)*'Weighting Factors'!O$12)+(MAX(AO164,'Weighting Factors'!B164))</f>
        <v>13775012</v>
      </c>
      <c r="BL164" s="78">
        <f>'LOB%'!F162</f>
        <v>0.33</v>
      </c>
      <c r="BM164" s="24">
        <f t="shared" si="111"/>
        <v>4545754</v>
      </c>
      <c r="BN164" s="67">
        <v>4851508</v>
      </c>
      <c r="BO164" s="24">
        <f t="shared" si="141"/>
        <v>4545754</v>
      </c>
      <c r="BP164" s="89">
        <f t="shared" si="112"/>
        <v>0.33</v>
      </c>
      <c r="BQ164" s="58">
        <f t="shared" si="113"/>
        <v>0</v>
      </c>
      <c r="BR164" s="1" t="b">
        <f t="shared" si="114"/>
        <v>0</v>
      </c>
      <c r="BS164" s="76">
        <f t="shared" si="115"/>
        <v>0</v>
      </c>
      <c r="BT164" s="75">
        <f t="shared" si="142"/>
        <v>0</v>
      </c>
      <c r="BU164" s="58">
        <f t="shared" si="116"/>
        <v>0</v>
      </c>
      <c r="BV164" s="1" t="b">
        <f t="shared" si="117"/>
        <v>0</v>
      </c>
      <c r="BW164" s="1">
        <f t="shared" si="118"/>
        <v>0</v>
      </c>
      <c r="BX164" s="75">
        <f t="shared" si="143"/>
        <v>0</v>
      </c>
      <c r="BY164" s="58">
        <f t="shared" si="119"/>
        <v>0</v>
      </c>
      <c r="BZ164" s="58">
        <f t="shared" si="120"/>
        <v>62.1</v>
      </c>
      <c r="CA164" s="61">
        <v>200</v>
      </c>
      <c r="CB164" s="102">
        <f t="shared" si="121"/>
        <v>3.5510000000000002</v>
      </c>
      <c r="CC164" s="105">
        <f>IF(CB164&lt;0.06,1,IF(CB164&gt;=18.29,52,MATCH(CB164-0.001,'Weighting Factors'!$W$5:$W$156)+1))</f>
        <v>42</v>
      </c>
      <c r="CD164" s="24">
        <f>VLOOKUP(CC164, 'Weighting Factors'!$U$5:$X$56,4)</f>
        <v>750</v>
      </c>
      <c r="CE164" s="109">
        <f>('Weighting Factors'!$O$5/'Weighting Factors'!$O$14)</f>
        <v>1.2216</v>
      </c>
      <c r="CF164" s="100">
        <f t="shared" si="122"/>
        <v>532650</v>
      </c>
      <c r="CG164" s="100">
        <f>CF164*'Weighting Factors'!$Q$7</f>
        <v>532650</v>
      </c>
      <c r="CH164" s="100">
        <f t="shared" si="144"/>
        <v>650685</v>
      </c>
      <c r="CI164" s="58">
        <f>AK164/'Weighting Factors'!$O$5</f>
        <v>127.9</v>
      </c>
      <c r="CJ164" s="67">
        <v>0</v>
      </c>
      <c r="CK164" s="80">
        <v>0</v>
      </c>
      <c r="CL164" s="110">
        <v>2.41E-2</v>
      </c>
      <c r="CM164" s="24">
        <f>SUM((AR164*'Weighting Factors'!$O$5)+'2024 Legal Max'!AX164)*CL164</f>
        <v>331053</v>
      </c>
      <c r="CN164" s="24">
        <f t="shared" si="145"/>
        <v>0</v>
      </c>
      <c r="CO164" s="65">
        <f t="shared" si="110"/>
        <v>0.3367</v>
      </c>
      <c r="CP164" s="58">
        <f t="shared" si="123"/>
        <v>0</v>
      </c>
      <c r="CQ164" s="58">
        <f t="shared" si="124"/>
        <v>0</v>
      </c>
      <c r="CR164" s="58">
        <f t="shared" si="125"/>
        <v>2675.6</v>
      </c>
      <c r="CS164" s="24">
        <f>'Required Transfers'!L164</f>
        <v>494123</v>
      </c>
      <c r="CT164" s="24">
        <f>'Required Transfers'!O164</f>
        <v>4546</v>
      </c>
      <c r="CU164" s="24">
        <f>'Required Transfers'!H164</f>
        <v>1487731</v>
      </c>
      <c r="CV164" s="58">
        <f t="shared" si="126"/>
        <v>1794.7</v>
      </c>
      <c r="CW164" s="27" t="s">
        <v>349</v>
      </c>
    </row>
    <row r="165" spans="1:101" ht="15" customHeight="1">
      <c r="A165" s="54">
        <v>369</v>
      </c>
      <c r="B165" s="1" t="s">
        <v>74</v>
      </c>
      <c r="C165" s="1" t="s">
        <v>670</v>
      </c>
      <c r="D165" s="58">
        <v>192</v>
      </c>
      <c r="E165" s="58"/>
      <c r="F165" s="58">
        <v>0</v>
      </c>
      <c r="G165" s="58">
        <f t="shared" si="127"/>
        <v>192</v>
      </c>
      <c r="H165" s="58">
        <v>175</v>
      </c>
      <c r="I165" s="58"/>
      <c r="J165" s="58">
        <v>0</v>
      </c>
      <c r="K165" s="58">
        <f t="shared" si="128"/>
        <v>175</v>
      </c>
      <c r="L165" s="1">
        <v>153.5</v>
      </c>
      <c r="N165" s="1">
        <v>0</v>
      </c>
      <c r="O165" s="58">
        <f t="shared" si="129"/>
        <v>153.5</v>
      </c>
      <c r="P165" s="58">
        <f>IF(ISNA(VLOOKUP($CW165,'Audit Values'!$A:$BZ,2,FALSE)),'Preliminary SO66'!C164,VLOOKUP($CW165,'Audit Values'!$A:$BZ,76,FALSE))</f>
        <v>132</v>
      </c>
      <c r="Q165" s="58">
        <f>IF(ISNA(VLOOKUP($CW165,'Audit Values'!$A:$BZ,2,FALSE)),'Preliminary SO66'!F164,VLOOKUP($CW165,'Audit Values'!$A:$BZ,4,FALSE))</f>
        <v>0</v>
      </c>
      <c r="R165" s="58">
        <f t="shared" si="133"/>
        <v>132</v>
      </c>
      <c r="S165" s="58">
        <f>IF('Military Provision'!I165="YES", MAX('2024 Legal Max'!O165,'2024 Legal Max'!K165,AVERAGE('2024 Legal Max'!G165,'2024 Legal Max'!K165,'2024 Legal Max'!O165)), MAX(O165, K165))</f>
        <v>175</v>
      </c>
      <c r="T165" s="58">
        <f>IF(ISNA(VLOOKUP($CW165,'Audit Values'!$A:$BX,2,FALSE)),'Preliminary SO66'!AL164,VLOOKUP($CW165,'Audit Values'!$A:$BX,59,FALSE))</f>
        <v>2.5</v>
      </c>
      <c r="U165" s="58">
        <f t="shared" si="134"/>
        <v>177.5</v>
      </c>
      <c r="V165" s="58">
        <f>'Low-High ENRL- 2023 HSubSB 113'!N168</f>
        <v>143.6</v>
      </c>
      <c r="W165" s="58">
        <f>IF(ISNA(VLOOKUP($CW165,'Audit Values'!$A:$BZ,2,FALSE)),'Preliminary SO66'!AM164,VLOOKUP($CW165,'Audit Values'!$A:$BZ,63,FALSE))</f>
        <v>0</v>
      </c>
      <c r="X165" s="58">
        <f>(W165/6)*'Weighting Factors'!$O$7</f>
        <v>0</v>
      </c>
      <c r="Y165" s="61">
        <f>IF(ISNA(VLOOKUP($CW165,'Audit Values'!$A:$BZ,2,FALSE)),'Preliminary SO66'!AN164,VLOOKUP($CW165,'Audit Values'!$A:$BZ,62,FALSE))</f>
        <v>0</v>
      </c>
      <c r="Z165" s="58">
        <f>Y165*'Weighting Factors'!$O$8</f>
        <v>0</v>
      </c>
      <c r="AA165" s="58">
        <f t="shared" si="135"/>
        <v>0</v>
      </c>
      <c r="AB165" s="106">
        <f>IF(ISNA(VLOOKUP($CW165,'Audit Values'!$A:$BZ,2,FALSE)),'Preliminary SO66'!AO164,VLOOKUP($CW165,'Audit Values'!$A:$BZ,61,FALSE))</f>
        <v>89</v>
      </c>
      <c r="AC165" s="58">
        <f>AB165/6*'Weighting Factors'!$O$6</f>
        <v>7.4</v>
      </c>
      <c r="AD165" s="24">
        <f>IF(ISNA(VLOOKUP($CW165,'Audit Values'!$A:$BX,2,FALSE)),'Preliminary SO66'!AS164,VLOOKUP($CW165,'Audit Values'!$A:$BX,64,FALSE))</f>
        <v>137</v>
      </c>
      <c r="AE165" s="24">
        <f>IF(ISNA(VLOOKUP($CW165,'Audit Values'!$A:$BX,2,FALSE)),'Preliminary SO66'!AP164,VLOOKUP($CW165,'Audit Values'!$A:$BX,65,FALSE))</f>
        <v>60</v>
      </c>
      <c r="AF165" s="58">
        <f>IF(A165=207, AE165,(AE165))*'Weighting Factors'!$O$9</f>
        <v>29</v>
      </c>
      <c r="AG165" s="58">
        <f t="shared" si="132"/>
        <v>3.7</v>
      </c>
      <c r="AH165" s="58">
        <f>IF(ISNA(VLOOKUP($CW165,'Audit Values'!$A:$BZ,2,FALSE)),'Preliminary SO66'!AG164,VLOOKUP($CW165,'Audit Values'!$A:$BZ,71,FALSE))</f>
        <v>3.9</v>
      </c>
      <c r="AI165" s="58">
        <f t="shared" si="136"/>
        <v>3.9</v>
      </c>
      <c r="AJ165" s="58">
        <f>IF(ISNA(VLOOKUP($CW165,'Audit Values'!$A:$BX,2,FALSE)),'Preliminary SO66'!AR164,VLOOKUP($CW165,'Audit Values'!$A:$BX,66,FALSE))</f>
        <v>25</v>
      </c>
      <c r="AK165" s="24">
        <f t="shared" si="137"/>
        <v>37564</v>
      </c>
      <c r="AL165" s="58">
        <f>AK165/'Weighting Factors'!$O$5</f>
        <v>7.4</v>
      </c>
      <c r="AM165" s="58">
        <f>CJ165/'Weighting Factors'!$O$5</f>
        <v>0</v>
      </c>
      <c r="AN165" s="58">
        <f>CN165/'Weighting Factors'!$O$5</f>
        <v>0</v>
      </c>
      <c r="AO165" s="24">
        <v>229458</v>
      </c>
      <c r="AP165" s="58">
        <f>AO165/'Weighting Factors'!$O$5</f>
        <v>45.1</v>
      </c>
      <c r="AQ165" s="58">
        <f>IF(ISNA(VLOOKUP($CW165,'Audit Values'!$A:$BX,2,FALSE)),'Preliminary SO66'!X164,VLOOKUP($CW165,'Audit Values'!$A:$BX,48,FALSE))</f>
        <v>0</v>
      </c>
      <c r="AR165" s="58">
        <f t="shared" si="130"/>
        <v>413.9</v>
      </c>
      <c r="AS165" s="58">
        <f t="shared" si="131"/>
        <v>368.8</v>
      </c>
      <c r="AT165" s="58">
        <f>IF(ISNA(VLOOKUP($CW165,'Audit Values'!$A$2:$BX$410,2,FALSE)),'Preliminary SO66'!AA164,VLOOKUP($CW165,'Audit Values'!$A$2:$BX$410,41,FALSE))</f>
        <v>0</v>
      </c>
      <c r="AU165" s="58">
        <f>IF(ISNA(VLOOKUP($CW165,'Audit Values'!$A$2:$BX$410,2,FALSE)),'Preliminary SO66'!AB164,VLOOKUP($CW165,'Audit Values'!$A$2:$BX$410,42,FALSE))</f>
        <v>0</v>
      </c>
      <c r="AV165" s="73">
        <v>0</v>
      </c>
      <c r="AW165" s="73">
        <v>0</v>
      </c>
      <c r="AX165" s="24">
        <f>SUM(AT165*'Weighting Factors'!$R$10)+('2024 Legal Max'!AU165*'Weighting Factors'!$R$11)+('2024 Legal Max'!AV165*'Weighting Factors'!$R$12)+('2024 Legal Max'!AW165*'Weighting Factors'!$R$12)</f>
        <v>0</v>
      </c>
      <c r="AY165" s="54">
        <f>IF(ISNA(VLOOKUP($CW165,'Audit Values'!$A$2:$BX$429,2,FALSE)),"",IF(AND('Weighting Factors'!G165&gt;0,VLOOKUP($CW165,'Audit Values'!$A$2:$BX$429,51,FALSE)&lt;'Weighting Factors'!G165),'Weighting Factors'!G165,VLOOKUP($CW165,'Audit Values'!$A$2:$BX$429,51,FALSE)))</f>
        <v>18</v>
      </c>
      <c r="AZ165" s="54" t="str">
        <f>IF(ISNA(VLOOKUP($CW165,'Audit Values'!$A:$BY,2,FALSE)),"",VLOOKUP($CW165,'Audit Values'!$A:$BY,52,FALSE))</f>
        <v>A</v>
      </c>
      <c r="BA165" s="54" t="str">
        <f>IF('Weighting Factors'!F165="","",IF('Weighting Factors'!H165="Pending","PX","R"))</f>
        <v/>
      </c>
      <c r="BB165" s="60">
        <f>SUM((U165+V165+AA165+AC165+AF165+AI165+AL165+AM165+AQ165+AN165)*'Weighting Factors'!$O$5)+'2024 Legal Max'!AX165</f>
        <v>1876454</v>
      </c>
      <c r="BC165" s="24">
        <f>SUM((AR165+AN165)*'Weighting Factors'!$O$5)+AX165</f>
        <v>2105923</v>
      </c>
      <c r="BD165" s="67">
        <f>IF('Weighting Factors'!F165&gt;0,'Weighting Factors'!F165,'Preliminary SO66'!AV164)</f>
        <v>2247370</v>
      </c>
      <c r="BE165" s="24">
        <f t="shared" si="138"/>
        <v>2105923</v>
      </c>
      <c r="BF165" s="71">
        <f>'Weighting Factors'!E165</f>
        <v>0</v>
      </c>
      <c r="BG165" s="71">
        <f>Transportation!G165</f>
        <v>0</v>
      </c>
      <c r="BH165" s="24">
        <f>IF(ISNA(VLOOKUP($CW165,'Audit Values'!$A:$BW,2,FALSE)), 0, VLOOKUP($CW165,'Audit Values'!$A:$BW,75,FALSE))</f>
        <v>0</v>
      </c>
      <c r="BI165" s="24">
        <f t="shared" si="139"/>
        <v>0</v>
      </c>
      <c r="BJ165" s="24">
        <f t="shared" si="140"/>
        <v>2105923</v>
      </c>
      <c r="BK165" s="24">
        <f>SUM((U165+V165+AA165+AC165+AF165+AI165+AL165+AM165+AN165)*'Weighting Factors'!O$12)+(MAX(AO165,'Weighting Factors'!B165))</f>
        <v>2131728</v>
      </c>
      <c r="BL165" s="78">
        <f>'LOB%'!F163</f>
        <v>0.316</v>
      </c>
      <c r="BM165" s="24">
        <f t="shared" si="111"/>
        <v>673626</v>
      </c>
      <c r="BN165" s="67">
        <v>718730</v>
      </c>
      <c r="BO165" s="24">
        <f t="shared" si="141"/>
        <v>673626</v>
      </c>
      <c r="BP165" s="89">
        <f t="shared" si="112"/>
        <v>0.316</v>
      </c>
      <c r="BQ165" s="58">
        <f t="shared" si="113"/>
        <v>0</v>
      </c>
      <c r="BR165" s="1" t="b">
        <f t="shared" si="114"/>
        <v>1</v>
      </c>
      <c r="BS165" s="76">
        <f t="shared" si="115"/>
        <v>748.26300000000003</v>
      </c>
      <c r="BT165" s="75">
        <f t="shared" si="142"/>
        <v>0.80889999999999995</v>
      </c>
      <c r="BU165" s="58">
        <f t="shared" si="116"/>
        <v>143.6</v>
      </c>
      <c r="BV165" s="1" t="b">
        <f t="shared" si="117"/>
        <v>0</v>
      </c>
      <c r="BW165" s="1">
        <f t="shared" si="118"/>
        <v>0</v>
      </c>
      <c r="BX165" s="75">
        <f t="shared" si="143"/>
        <v>0</v>
      </c>
      <c r="BY165" s="58">
        <f t="shared" si="119"/>
        <v>0</v>
      </c>
      <c r="BZ165" s="58">
        <f t="shared" si="120"/>
        <v>0</v>
      </c>
      <c r="CA165" s="61">
        <v>95</v>
      </c>
      <c r="CB165" s="102">
        <f t="shared" si="121"/>
        <v>0.26300000000000001</v>
      </c>
      <c r="CC165" s="105">
        <f>IF(CB165&lt;0.06,1,IF(CB165&gt;=18.29,52,MATCH(CB165-0.001,'Weighting Factors'!$W$5:$W$156)+1))</f>
        <v>18</v>
      </c>
      <c r="CD165" s="24">
        <f>VLOOKUP(CC165, 'Weighting Factors'!$U$5:$X$56,4)</f>
        <v>1230</v>
      </c>
      <c r="CE165" s="109">
        <f>('Weighting Factors'!$O$5/'Weighting Factors'!$O$14)</f>
        <v>1.2216</v>
      </c>
      <c r="CF165" s="100">
        <f t="shared" si="122"/>
        <v>30750</v>
      </c>
      <c r="CG165" s="100">
        <f>CF165*'Weighting Factors'!$Q$7</f>
        <v>30750</v>
      </c>
      <c r="CH165" s="100">
        <f t="shared" si="144"/>
        <v>37564</v>
      </c>
      <c r="CI165" s="58">
        <f>AK165/'Weighting Factors'!$O$5</f>
        <v>7.4</v>
      </c>
      <c r="CJ165" s="67">
        <v>0</v>
      </c>
      <c r="CK165" s="80">
        <v>0</v>
      </c>
      <c r="CL165" s="110">
        <v>0</v>
      </c>
      <c r="CM165" s="24">
        <f>SUM((AR165*'Weighting Factors'!$O$5)+'2024 Legal Max'!AX165)*CL165</f>
        <v>0</v>
      </c>
      <c r="CN165" s="24">
        <f t="shared" si="145"/>
        <v>0</v>
      </c>
      <c r="CO165" s="65">
        <f t="shared" si="110"/>
        <v>0.438</v>
      </c>
      <c r="CP165" s="58">
        <f t="shared" si="123"/>
        <v>0</v>
      </c>
      <c r="CQ165" s="58">
        <f t="shared" si="124"/>
        <v>3.7</v>
      </c>
      <c r="CR165" s="58">
        <f t="shared" si="125"/>
        <v>413.9</v>
      </c>
      <c r="CS165" s="24">
        <f>'Required Transfers'!L165</f>
        <v>47491</v>
      </c>
      <c r="CT165" s="24">
        <f>'Required Transfers'!O165</f>
        <v>0</v>
      </c>
      <c r="CU165" s="24">
        <f>'Required Transfers'!H165</f>
        <v>167395</v>
      </c>
      <c r="CV165" s="58">
        <f t="shared" si="126"/>
        <v>134.5</v>
      </c>
      <c r="CW165" s="27" t="s">
        <v>350</v>
      </c>
    </row>
    <row r="166" spans="1:101" ht="15" customHeight="1">
      <c r="A166" s="54">
        <v>371</v>
      </c>
      <c r="B166" s="1" t="s">
        <v>5</v>
      </c>
      <c r="C166" s="1" t="s">
        <v>671</v>
      </c>
      <c r="D166" s="58">
        <v>186</v>
      </c>
      <c r="E166" s="58"/>
      <c r="F166" s="58">
        <v>0</v>
      </c>
      <c r="G166" s="58">
        <f t="shared" si="127"/>
        <v>186</v>
      </c>
      <c r="H166" s="58">
        <v>184.6</v>
      </c>
      <c r="I166" s="58">
        <v>1</v>
      </c>
      <c r="J166" s="58">
        <v>0</v>
      </c>
      <c r="K166" s="58">
        <f t="shared" si="128"/>
        <v>183.6</v>
      </c>
      <c r="L166" s="1">
        <v>189.5</v>
      </c>
      <c r="N166" s="1">
        <v>0</v>
      </c>
      <c r="O166" s="58">
        <f t="shared" si="129"/>
        <v>189.5</v>
      </c>
      <c r="P166" s="58">
        <f>IF(ISNA(VLOOKUP($CW166,'Audit Values'!$A:$BZ,2,FALSE)),'Preliminary SO66'!C165,VLOOKUP($CW166,'Audit Values'!$A:$BZ,76,FALSE))</f>
        <v>178.5</v>
      </c>
      <c r="Q166" s="58">
        <f>IF(ISNA(VLOOKUP($CW166,'Audit Values'!$A:$BZ,2,FALSE)),'Preliminary SO66'!F165,VLOOKUP($CW166,'Audit Values'!$A:$BZ,4,FALSE))</f>
        <v>0</v>
      </c>
      <c r="R166" s="58">
        <f t="shared" si="133"/>
        <v>178.5</v>
      </c>
      <c r="S166" s="58">
        <f>IF('Military Provision'!I166="YES", MAX('2024 Legal Max'!O166,'2024 Legal Max'!K166,AVERAGE('2024 Legal Max'!G166,'2024 Legal Max'!K166,'2024 Legal Max'!O166)), MAX(O166, K166))</f>
        <v>189.5</v>
      </c>
      <c r="T166" s="58">
        <f>IF(ISNA(VLOOKUP($CW166,'Audit Values'!$A:$BX,2,FALSE)),'Preliminary SO66'!AL165,VLOOKUP($CW166,'Audit Values'!$A:$BX,59,FALSE))</f>
        <v>2</v>
      </c>
      <c r="U166" s="58">
        <f t="shared" si="134"/>
        <v>191.5</v>
      </c>
      <c r="V166" s="58">
        <f>'Low-High ENRL- 2023 HSubSB 113'!N169</f>
        <v>147.80000000000001</v>
      </c>
      <c r="W166" s="58">
        <f>IF(ISNA(VLOOKUP($CW166,'Audit Values'!$A:$BZ,2,FALSE)),'Preliminary SO66'!AM165,VLOOKUP($CW166,'Audit Values'!$A:$BZ,63,FALSE))</f>
        <v>71.599999999999994</v>
      </c>
      <c r="X166" s="58">
        <f>(W166/6)*'Weighting Factors'!$O$7</f>
        <v>4.7</v>
      </c>
      <c r="Y166" s="61">
        <f>IF(ISNA(VLOOKUP($CW166,'Audit Values'!$A:$BZ,2,FALSE)),'Preliminary SO66'!AN165,VLOOKUP($CW166,'Audit Values'!$A:$BZ,62,FALSE))</f>
        <v>23</v>
      </c>
      <c r="Z166" s="58">
        <f>Y166*'Weighting Factors'!$O$8</f>
        <v>4.3</v>
      </c>
      <c r="AA166" s="58">
        <f t="shared" si="135"/>
        <v>4.7</v>
      </c>
      <c r="AB166" s="106">
        <f>IF(ISNA(VLOOKUP($CW166,'Audit Values'!$A:$BZ,2,FALSE)),'Preliminary SO66'!AO165,VLOOKUP($CW166,'Audit Values'!$A:$BZ,61,FALSE))</f>
        <v>74.8</v>
      </c>
      <c r="AC166" s="58">
        <f>AB166/6*'Weighting Factors'!$O$6</f>
        <v>6.2</v>
      </c>
      <c r="AD166" s="24">
        <f>IF(ISNA(VLOOKUP($CW166,'Audit Values'!$A:$BX,2,FALSE)),'Preliminary SO66'!AS165,VLOOKUP($CW166,'Audit Values'!$A:$BX,64,FALSE))</f>
        <v>184</v>
      </c>
      <c r="AE166" s="24">
        <f>IF(ISNA(VLOOKUP($CW166,'Audit Values'!$A:$BX,2,FALSE)),'Preliminary SO66'!AP165,VLOOKUP($CW166,'Audit Values'!$A:$BX,65,FALSE))</f>
        <v>44</v>
      </c>
      <c r="AF166" s="58">
        <f>IF(A166=207, AE166,(AE166))*'Weighting Factors'!$O$9</f>
        <v>21.3</v>
      </c>
      <c r="AG166" s="58">
        <f t="shared" si="132"/>
        <v>0</v>
      </c>
      <c r="AH166" s="58">
        <f>IF(ISNA(VLOOKUP($CW166,'Audit Values'!$A:$BZ,2,FALSE)),'Preliminary SO66'!AG165,VLOOKUP($CW166,'Audit Values'!$A:$BZ,71,FALSE))</f>
        <v>0</v>
      </c>
      <c r="AI166" s="58">
        <f t="shared" si="136"/>
        <v>0</v>
      </c>
      <c r="AJ166" s="58">
        <f>IF(ISNA(VLOOKUP($CW166,'Audit Values'!$A:$BX,2,FALSE)),'Preliminary SO66'!AR165,VLOOKUP($CW166,'Audit Values'!$A:$BX,66,FALSE))</f>
        <v>58</v>
      </c>
      <c r="AK166" s="24">
        <f t="shared" si="137"/>
        <v>85732</v>
      </c>
      <c r="AL166" s="58">
        <f>AK166/'Weighting Factors'!$O$5</f>
        <v>16.8</v>
      </c>
      <c r="AM166" s="58">
        <f>CJ166/'Weighting Factors'!$O$5</f>
        <v>0</v>
      </c>
      <c r="AN166" s="58">
        <f>CN166/'Weighting Factors'!$O$5</f>
        <v>0</v>
      </c>
      <c r="AO166" s="24">
        <v>126458</v>
      </c>
      <c r="AP166" s="58">
        <f>AO166/'Weighting Factors'!$O$5</f>
        <v>24.9</v>
      </c>
      <c r="AQ166" s="58">
        <f>IF(ISNA(VLOOKUP($CW166,'Audit Values'!$A:$BX,2,FALSE)),'Preliminary SO66'!X165,VLOOKUP($CW166,'Audit Values'!$A:$BX,48,FALSE))</f>
        <v>0</v>
      </c>
      <c r="AR166" s="58">
        <f t="shared" si="130"/>
        <v>413.2</v>
      </c>
      <c r="AS166" s="58">
        <f t="shared" si="131"/>
        <v>388.3</v>
      </c>
      <c r="AT166" s="58">
        <f>IF(ISNA(VLOOKUP($CW166,'Audit Values'!$A$2:$BX$410,2,FALSE)),'Preliminary SO66'!AA165,VLOOKUP($CW166,'Audit Values'!$A$2:$BX$410,41,FALSE))</f>
        <v>0</v>
      </c>
      <c r="AU166" s="58">
        <f>IF(ISNA(VLOOKUP($CW166,'Audit Values'!$A$2:$BX$410,2,FALSE)),'Preliminary SO66'!AB165,VLOOKUP($CW166,'Audit Values'!$A$2:$BX$410,42,FALSE))</f>
        <v>0</v>
      </c>
      <c r="AV166" s="73">
        <v>0</v>
      </c>
      <c r="AW166" s="73">
        <v>0</v>
      </c>
      <c r="AX166" s="24">
        <f>SUM(AT166*'Weighting Factors'!$R$10)+('2024 Legal Max'!AU166*'Weighting Factors'!$R$11)+('2024 Legal Max'!AV166*'Weighting Factors'!$R$12)+('2024 Legal Max'!AW166*'Weighting Factors'!$R$12)</f>
        <v>0</v>
      </c>
      <c r="AY166" s="54">
        <f>IF(ISNA(VLOOKUP($CW166,'Audit Values'!$A$2:$BX$429,2,FALSE)),"",IF(AND('Weighting Factors'!G166&gt;0,VLOOKUP($CW166,'Audit Values'!$A$2:$BX$429,51,FALSE)&lt;'Weighting Factors'!G166),'Weighting Factors'!G166,VLOOKUP($CW166,'Audit Values'!$A$2:$BX$429,51,FALSE)))</f>
        <v>25</v>
      </c>
      <c r="AZ166" s="54" t="str">
        <f>IF(ISNA(VLOOKUP($CW166,'Audit Values'!$A:$BY,2,FALSE)),"",VLOOKUP($CW166,'Audit Values'!$A:$BY,52,FALSE))</f>
        <v>A</v>
      </c>
      <c r="BA166" s="54" t="str">
        <f>IF('Weighting Factors'!F166="","",IF('Weighting Factors'!H166="Pending","PX","R"))</f>
        <v/>
      </c>
      <c r="BB166" s="60">
        <f>SUM((U166+V166+AA166+AC166+AF166+AI166+AL166+AM166+AQ166+AN166)*'Weighting Factors'!$O$5)+'2024 Legal Max'!AX166</f>
        <v>1975670</v>
      </c>
      <c r="BC166" s="24">
        <f>SUM((AR166+AN166)*'Weighting Factors'!$O$5)+AX166</f>
        <v>2102362</v>
      </c>
      <c r="BD166" s="67">
        <f>IF('Weighting Factors'!F166&gt;0,'Weighting Factors'!F166,'Preliminary SO66'!AV165)</f>
        <v>2198016</v>
      </c>
      <c r="BE166" s="24">
        <f t="shared" si="138"/>
        <v>2102362</v>
      </c>
      <c r="BF166" s="71">
        <f>'Weighting Factors'!E166</f>
        <v>0</v>
      </c>
      <c r="BG166" s="71">
        <f>Transportation!G166</f>
        <v>0</v>
      </c>
      <c r="BH166" s="24">
        <f>IF(ISNA(VLOOKUP($CW166,'Audit Values'!$A:$BW,2,FALSE)), 0, VLOOKUP($CW166,'Audit Values'!$A:$BW,75,FALSE))</f>
        <v>0</v>
      </c>
      <c r="BI166" s="24">
        <f t="shared" si="139"/>
        <v>0</v>
      </c>
      <c r="BJ166" s="24">
        <f t="shared" si="140"/>
        <v>2102362</v>
      </c>
      <c r="BK166" s="24">
        <f>SUM((U166+V166+AA166+AC166+AF166+AI166+AL166+AM166+AN166)*'Weighting Factors'!O$12)+(MAX(AO166,'Weighting Factors'!B166))</f>
        <v>2160135</v>
      </c>
      <c r="BL166" s="78">
        <f>'LOB%'!F164</f>
        <v>0.316</v>
      </c>
      <c r="BM166" s="24">
        <f t="shared" si="111"/>
        <v>682603</v>
      </c>
      <c r="BN166" s="67">
        <v>703466</v>
      </c>
      <c r="BO166" s="24">
        <f t="shared" si="141"/>
        <v>682603</v>
      </c>
      <c r="BP166" s="89">
        <f t="shared" si="112"/>
        <v>0.316</v>
      </c>
      <c r="BQ166" s="58">
        <f t="shared" si="113"/>
        <v>0</v>
      </c>
      <c r="BR166" s="1" t="b">
        <f t="shared" si="114"/>
        <v>1</v>
      </c>
      <c r="BS166" s="76">
        <f t="shared" si="115"/>
        <v>883.43299999999999</v>
      </c>
      <c r="BT166" s="75">
        <f t="shared" si="142"/>
        <v>0.77178999999999998</v>
      </c>
      <c r="BU166" s="58">
        <f t="shared" si="116"/>
        <v>147.80000000000001</v>
      </c>
      <c r="BV166" s="1" t="b">
        <f t="shared" si="117"/>
        <v>0</v>
      </c>
      <c r="BW166" s="1">
        <f t="shared" si="118"/>
        <v>0</v>
      </c>
      <c r="BX166" s="75">
        <f t="shared" si="143"/>
        <v>0</v>
      </c>
      <c r="BY166" s="58">
        <f t="shared" si="119"/>
        <v>0</v>
      </c>
      <c r="BZ166" s="58">
        <f t="shared" si="120"/>
        <v>0</v>
      </c>
      <c r="CA166" s="61">
        <v>200.8</v>
      </c>
      <c r="CB166" s="102">
        <f t="shared" si="121"/>
        <v>0.28899999999999998</v>
      </c>
      <c r="CC166" s="105">
        <f>IF(CB166&lt;0.06,1,IF(CB166&gt;=18.29,52,MATCH(CB166-0.001,'Weighting Factors'!$W$5:$W$156)+1))</f>
        <v>19</v>
      </c>
      <c r="CD166" s="24">
        <f>VLOOKUP(CC166, 'Weighting Factors'!$U$5:$X$56,4)</f>
        <v>1210</v>
      </c>
      <c r="CE166" s="109">
        <f>('Weighting Factors'!$O$5/'Weighting Factors'!$O$14)</f>
        <v>1.2216</v>
      </c>
      <c r="CF166" s="100">
        <f t="shared" si="122"/>
        <v>70180</v>
      </c>
      <c r="CG166" s="100">
        <f>CF166*'Weighting Factors'!$Q$7</f>
        <v>70180</v>
      </c>
      <c r="CH166" s="100">
        <f t="shared" si="144"/>
        <v>85732</v>
      </c>
      <c r="CI166" s="58">
        <f>AK166/'Weighting Factors'!$O$5</f>
        <v>16.8</v>
      </c>
      <c r="CJ166" s="67">
        <v>0</v>
      </c>
      <c r="CK166" s="80">
        <v>0</v>
      </c>
      <c r="CL166" s="110">
        <v>0</v>
      </c>
      <c r="CM166" s="24">
        <f>SUM((AR166*'Weighting Factors'!$O$5)+'2024 Legal Max'!AX166)*CL166</f>
        <v>0</v>
      </c>
      <c r="CN166" s="24">
        <f t="shared" si="145"/>
        <v>0</v>
      </c>
      <c r="CO166" s="65">
        <f t="shared" si="110"/>
        <v>0.23910000000000001</v>
      </c>
      <c r="CP166" s="58">
        <f t="shared" si="123"/>
        <v>0</v>
      </c>
      <c r="CQ166" s="58">
        <f t="shared" si="124"/>
        <v>0</v>
      </c>
      <c r="CR166" s="58">
        <f t="shared" si="125"/>
        <v>413.2</v>
      </c>
      <c r="CS166" s="24">
        <f>'Required Transfers'!L166</f>
        <v>35359</v>
      </c>
      <c r="CT166" s="24">
        <f>'Required Transfers'!O166</f>
        <v>7782</v>
      </c>
      <c r="CU166" s="24">
        <f>'Required Transfers'!H166</f>
        <v>108374</v>
      </c>
      <c r="CV166" s="58">
        <f t="shared" si="126"/>
        <v>180.5</v>
      </c>
      <c r="CW166" s="27" t="s">
        <v>351</v>
      </c>
    </row>
    <row r="167" spans="1:101" ht="15" customHeight="1">
      <c r="A167" s="54">
        <v>372</v>
      </c>
      <c r="B167" s="1" t="s">
        <v>61</v>
      </c>
      <c r="C167" s="1" t="s">
        <v>672</v>
      </c>
      <c r="D167" s="58">
        <v>668.5</v>
      </c>
      <c r="E167" s="58"/>
      <c r="F167" s="58">
        <v>0</v>
      </c>
      <c r="G167" s="58">
        <f t="shared" si="127"/>
        <v>668.5</v>
      </c>
      <c r="H167" s="58">
        <v>684.5</v>
      </c>
      <c r="I167" s="58"/>
      <c r="J167" s="58">
        <v>0</v>
      </c>
      <c r="K167" s="58">
        <f t="shared" si="128"/>
        <v>684.5</v>
      </c>
      <c r="L167" s="1">
        <v>651</v>
      </c>
      <c r="N167" s="1">
        <v>0</v>
      </c>
      <c r="O167" s="58">
        <f t="shared" si="129"/>
        <v>651</v>
      </c>
      <c r="P167" s="58">
        <f>IF(ISNA(VLOOKUP($CW167,'Audit Values'!$A:$BZ,2,FALSE)),'Preliminary SO66'!C166,VLOOKUP($CW167,'Audit Values'!$A:$BZ,76,FALSE))</f>
        <v>663</v>
      </c>
      <c r="Q167" s="58">
        <f>IF(ISNA(VLOOKUP($CW167,'Audit Values'!$A:$BZ,2,FALSE)),'Preliminary SO66'!F166,VLOOKUP($CW167,'Audit Values'!$A:$BZ,4,FALSE))</f>
        <v>0</v>
      </c>
      <c r="R167" s="58">
        <f t="shared" si="133"/>
        <v>663</v>
      </c>
      <c r="S167" s="58">
        <f>IF('Military Provision'!I167="YES", MAX('2024 Legal Max'!O167,'2024 Legal Max'!K167,AVERAGE('2024 Legal Max'!G167,'2024 Legal Max'!K167,'2024 Legal Max'!O167)), MAX(O167, K167))</f>
        <v>684.5</v>
      </c>
      <c r="T167" s="58">
        <f>IF(ISNA(VLOOKUP($CW167,'Audit Values'!$A:$BX,2,FALSE)),'Preliminary SO66'!AL166,VLOOKUP($CW167,'Audit Values'!$A:$BX,59,FALSE))</f>
        <v>8.5</v>
      </c>
      <c r="U167" s="58">
        <f t="shared" si="134"/>
        <v>693</v>
      </c>
      <c r="V167" s="58">
        <f>'Low-High ENRL- 2023 HSubSB 113'!N170</f>
        <v>243</v>
      </c>
      <c r="W167" s="58">
        <f>IF(ISNA(VLOOKUP($CW167,'Audit Values'!$A:$BZ,2,FALSE)),'Preliminary SO66'!AM166,VLOOKUP($CW167,'Audit Values'!$A:$BZ,63,FALSE))</f>
        <v>0</v>
      </c>
      <c r="X167" s="58">
        <f>(W167/6)*'Weighting Factors'!$O$7</f>
        <v>0</v>
      </c>
      <c r="Y167" s="61">
        <f>IF(ISNA(VLOOKUP($CW167,'Audit Values'!$A:$BZ,2,FALSE)),'Preliminary SO66'!AN166,VLOOKUP($CW167,'Audit Values'!$A:$BZ,62,FALSE))</f>
        <v>0</v>
      </c>
      <c r="Z167" s="58">
        <f>Y167*'Weighting Factors'!$O$8</f>
        <v>0</v>
      </c>
      <c r="AA167" s="58">
        <f t="shared" si="135"/>
        <v>0</v>
      </c>
      <c r="AB167" s="106">
        <f>IF(ISNA(VLOOKUP($CW167,'Audit Values'!$A:$BZ,2,FALSE)),'Preliminary SO66'!AO166,VLOOKUP($CW167,'Audit Values'!$A:$BZ,61,FALSE))</f>
        <v>128</v>
      </c>
      <c r="AC167" s="58">
        <f>AB167/6*'Weighting Factors'!$O$6</f>
        <v>10.7</v>
      </c>
      <c r="AD167" s="24">
        <f>IF(ISNA(VLOOKUP($CW167,'Audit Values'!$A:$BX,2,FALSE)),'Preliminary SO66'!AS166,VLOOKUP($CW167,'Audit Values'!$A:$BX,64,FALSE))</f>
        <v>684</v>
      </c>
      <c r="AE167" s="24">
        <f>IF(ISNA(VLOOKUP($CW167,'Audit Values'!$A:$BX,2,FALSE)),'Preliminary SO66'!AP166,VLOOKUP($CW167,'Audit Values'!$A:$BX,65,FALSE))</f>
        <v>124</v>
      </c>
      <c r="AF167" s="58">
        <f>IF(A167=207, AE167,(AE167))*'Weighting Factors'!$O$9</f>
        <v>60</v>
      </c>
      <c r="AG167" s="58">
        <f t="shared" si="132"/>
        <v>0</v>
      </c>
      <c r="AH167" s="58">
        <f>IF(ISNA(VLOOKUP($CW167,'Audit Values'!$A:$BZ,2,FALSE)),'Preliminary SO66'!AG166,VLOOKUP($CW167,'Audit Values'!$A:$BZ,71,FALSE))</f>
        <v>0</v>
      </c>
      <c r="AI167" s="58">
        <f t="shared" si="136"/>
        <v>0</v>
      </c>
      <c r="AJ167" s="58">
        <f>IF(ISNA(VLOOKUP($CW167,'Audit Values'!$A:$BX,2,FALSE)),'Preliminary SO66'!AR166,VLOOKUP($CW167,'Audit Values'!$A:$BX,66,FALSE))</f>
        <v>283</v>
      </c>
      <c r="AK167" s="24">
        <f t="shared" si="137"/>
        <v>273113</v>
      </c>
      <c r="AL167" s="58">
        <f>AK167/'Weighting Factors'!$O$5</f>
        <v>53.7</v>
      </c>
      <c r="AM167" s="58">
        <f>CJ167/'Weighting Factors'!$O$5</f>
        <v>0</v>
      </c>
      <c r="AN167" s="58">
        <f>CN167/'Weighting Factors'!$O$5</f>
        <v>0</v>
      </c>
      <c r="AO167" s="24">
        <v>612358</v>
      </c>
      <c r="AP167" s="58">
        <f>AO167/'Weighting Factors'!$O$5</f>
        <v>120.4</v>
      </c>
      <c r="AQ167" s="58">
        <f>IF(ISNA(VLOOKUP($CW167,'Audit Values'!$A:$BX,2,FALSE)),'Preliminary SO66'!X166,VLOOKUP($CW167,'Audit Values'!$A:$BX,48,FALSE))</f>
        <v>0</v>
      </c>
      <c r="AR167" s="58">
        <f t="shared" si="130"/>
        <v>1180.8</v>
      </c>
      <c r="AS167" s="58">
        <f t="shared" si="131"/>
        <v>1060.4000000000001</v>
      </c>
      <c r="AT167" s="58">
        <f>IF(ISNA(VLOOKUP($CW167,'Audit Values'!$A$2:$BX$410,2,FALSE)),'Preliminary SO66'!AA166,VLOOKUP($CW167,'Audit Values'!$A$2:$BX$410,41,FALSE))</f>
        <v>0</v>
      </c>
      <c r="AU167" s="58">
        <f>IF(ISNA(VLOOKUP($CW167,'Audit Values'!$A$2:$BX$410,2,FALSE)),'Preliminary SO66'!AB166,VLOOKUP($CW167,'Audit Values'!$A$2:$BX$410,42,FALSE))</f>
        <v>0</v>
      </c>
      <c r="AV167" s="73">
        <v>0</v>
      </c>
      <c r="AW167" s="73">
        <v>0</v>
      </c>
      <c r="AX167" s="24">
        <f>SUM(AT167*'Weighting Factors'!$R$10)+('2024 Legal Max'!AU167*'Weighting Factors'!$R$11)+('2024 Legal Max'!AV167*'Weighting Factors'!$R$12)+('2024 Legal Max'!AW167*'Weighting Factors'!$R$12)</f>
        <v>0</v>
      </c>
      <c r="AY167" s="54">
        <f>IF(ISNA(VLOOKUP($CW167,'Audit Values'!$A$2:$BX$429,2,FALSE)),"",IF(AND('Weighting Factors'!G167&gt;0,VLOOKUP($CW167,'Audit Values'!$A$2:$BX$429,51,FALSE)&lt;'Weighting Factors'!G167),'Weighting Factors'!G167,VLOOKUP($CW167,'Audit Values'!$A$2:$BX$429,51,FALSE)))</f>
        <v>6</v>
      </c>
      <c r="AZ167" s="54" t="str">
        <f>IF(ISNA(VLOOKUP($CW167,'Audit Values'!$A:$BY,2,FALSE)),"",VLOOKUP($CW167,'Audit Values'!$A:$BY,52,FALSE))</f>
        <v>A</v>
      </c>
      <c r="BA167" s="54" t="str">
        <f>IF('Weighting Factors'!F167="","",IF('Weighting Factors'!H167="Pending","PX","R"))</f>
        <v/>
      </c>
      <c r="BB167" s="60">
        <f>SUM((U167+V167+AA167+AC167+AF167+AI167+AL167+AM167+AQ167+AN167)*'Weighting Factors'!$O$5)+'2024 Legal Max'!AX167</f>
        <v>5395315</v>
      </c>
      <c r="BC167" s="24">
        <f>SUM((AR167+AN167)*'Weighting Factors'!$O$5)+AX167</f>
        <v>6007910</v>
      </c>
      <c r="BD167" s="67">
        <f>IF('Weighting Factors'!F167&gt;0,'Weighting Factors'!F167,'Preliminary SO66'!AV166)</f>
        <v>6055980</v>
      </c>
      <c r="BE167" s="24">
        <f t="shared" si="138"/>
        <v>6007910</v>
      </c>
      <c r="BF167" s="71">
        <f>'Weighting Factors'!E167</f>
        <v>0</v>
      </c>
      <c r="BG167" s="71">
        <f>Transportation!G167</f>
        <v>-18691</v>
      </c>
      <c r="BH167" s="24">
        <f>IF(ISNA(VLOOKUP($CW167,'Audit Values'!$A:$BW,2,FALSE)), 0, VLOOKUP($CW167,'Audit Values'!$A:$BW,75,FALSE))</f>
        <v>0</v>
      </c>
      <c r="BI167" s="24">
        <f t="shared" si="139"/>
        <v>-18691</v>
      </c>
      <c r="BJ167" s="24">
        <f t="shared" si="140"/>
        <v>5989219</v>
      </c>
      <c r="BK167" s="24">
        <f>SUM((U167+V167+AA167+AC167+AF167+AI167+AL167+AM167+AN167)*'Weighting Factors'!O$12)+(MAX(AO167,'Weighting Factors'!B167))</f>
        <v>6089764</v>
      </c>
      <c r="BL167" s="78">
        <f>'LOB%'!F165</f>
        <v>0.33</v>
      </c>
      <c r="BM167" s="24">
        <f t="shared" si="111"/>
        <v>2009622</v>
      </c>
      <c r="BN167" s="67">
        <v>2018934</v>
      </c>
      <c r="BO167" s="24">
        <f t="shared" si="141"/>
        <v>2009622</v>
      </c>
      <c r="BP167" s="89">
        <f t="shared" si="112"/>
        <v>0.33</v>
      </c>
      <c r="BQ167" s="58">
        <f t="shared" si="113"/>
        <v>0</v>
      </c>
      <c r="BR167" s="1" t="b">
        <f t="shared" si="114"/>
        <v>0</v>
      </c>
      <c r="BS167" s="76">
        <f t="shared" si="115"/>
        <v>0</v>
      </c>
      <c r="BT167" s="75">
        <f t="shared" si="142"/>
        <v>0</v>
      </c>
      <c r="BU167" s="58">
        <f t="shared" si="116"/>
        <v>0</v>
      </c>
      <c r="BV167" s="1" t="b">
        <f t="shared" si="117"/>
        <v>1</v>
      </c>
      <c r="BW167" s="1">
        <f t="shared" si="118"/>
        <v>486.33749999999998</v>
      </c>
      <c r="BX167" s="75">
        <f t="shared" si="143"/>
        <v>0.350665</v>
      </c>
      <c r="BY167" s="58">
        <f t="shared" si="119"/>
        <v>243</v>
      </c>
      <c r="BZ167" s="58">
        <f t="shared" si="120"/>
        <v>0</v>
      </c>
      <c r="CA167" s="61">
        <v>94</v>
      </c>
      <c r="CB167" s="102">
        <f t="shared" si="121"/>
        <v>3.0110000000000001</v>
      </c>
      <c r="CC167" s="105">
        <f>IF(CB167&lt;0.06,1,IF(CB167&gt;=18.29,52,MATCH(CB167-0.001,'Weighting Factors'!$W$5:$W$156)+1))</f>
        <v>40</v>
      </c>
      <c r="CD167" s="24">
        <f>VLOOKUP(CC167, 'Weighting Factors'!$U$5:$X$56,4)</f>
        <v>790</v>
      </c>
      <c r="CE167" s="109">
        <f>('Weighting Factors'!$O$5/'Weighting Factors'!$O$14)</f>
        <v>1.2216</v>
      </c>
      <c r="CF167" s="100">
        <f t="shared" si="122"/>
        <v>223570</v>
      </c>
      <c r="CG167" s="100">
        <f>CF167*'Weighting Factors'!$Q$7</f>
        <v>223570</v>
      </c>
      <c r="CH167" s="100">
        <f t="shared" si="144"/>
        <v>273113</v>
      </c>
      <c r="CI167" s="58">
        <f>AK167/'Weighting Factors'!$O$5</f>
        <v>53.7</v>
      </c>
      <c r="CJ167" s="67">
        <v>0</v>
      </c>
      <c r="CK167" s="80">
        <v>0</v>
      </c>
      <c r="CL167" s="110">
        <v>0</v>
      </c>
      <c r="CM167" s="24">
        <f>SUM((AR167*'Weighting Factors'!$O$5)+'2024 Legal Max'!AX167)*CL167</f>
        <v>0</v>
      </c>
      <c r="CN167" s="24">
        <f t="shared" si="145"/>
        <v>0</v>
      </c>
      <c r="CO167" s="65">
        <f t="shared" si="110"/>
        <v>0.18129999999999999</v>
      </c>
      <c r="CP167" s="58">
        <f t="shared" si="123"/>
        <v>0</v>
      </c>
      <c r="CQ167" s="58">
        <f t="shared" si="124"/>
        <v>0</v>
      </c>
      <c r="CR167" s="58">
        <f t="shared" si="125"/>
        <v>1180.8</v>
      </c>
      <c r="CS167" s="24">
        <f>'Required Transfers'!L167</f>
        <v>102893</v>
      </c>
      <c r="CT167" s="24">
        <f>'Required Transfers'!O167</f>
        <v>0</v>
      </c>
      <c r="CU167" s="24">
        <f>'Required Transfers'!H167</f>
        <v>305280</v>
      </c>
      <c r="CV167" s="58">
        <f t="shared" si="126"/>
        <v>671.5</v>
      </c>
      <c r="CW167" s="27" t="s">
        <v>352</v>
      </c>
    </row>
    <row r="168" spans="1:101" ht="15" customHeight="1">
      <c r="A168" s="54">
        <v>373</v>
      </c>
      <c r="B168" s="1" t="s">
        <v>74</v>
      </c>
      <c r="C168" s="1" t="s">
        <v>673</v>
      </c>
      <c r="D168" s="58">
        <v>3086.3</v>
      </c>
      <c r="E168" s="58"/>
      <c r="F168" s="58">
        <v>0</v>
      </c>
      <c r="G168" s="58">
        <f t="shared" si="127"/>
        <v>3086.3</v>
      </c>
      <c r="H168" s="58">
        <v>3031.6</v>
      </c>
      <c r="I168" s="58">
        <v>4</v>
      </c>
      <c r="J168" s="58">
        <v>0</v>
      </c>
      <c r="K168" s="58">
        <f t="shared" si="128"/>
        <v>3027.6</v>
      </c>
      <c r="L168" s="1">
        <v>2978.4</v>
      </c>
      <c r="N168" s="1">
        <v>0</v>
      </c>
      <c r="O168" s="58">
        <f t="shared" si="129"/>
        <v>2978.4</v>
      </c>
      <c r="P168" s="58">
        <f>IF(ISNA(VLOOKUP($CW168,'Audit Values'!$A:$BZ,2,FALSE)),'Preliminary SO66'!C167,VLOOKUP($CW168,'Audit Values'!$A:$BZ,76,FALSE))</f>
        <v>2884.8</v>
      </c>
      <c r="Q168" s="58">
        <f>IF(ISNA(VLOOKUP($CW168,'Audit Values'!$A:$BZ,2,FALSE)),'Preliminary SO66'!F167,VLOOKUP($CW168,'Audit Values'!$A:$BZ,4,FALSE))</f>
        <v>0</v>
      </c>
      <c r="R168" s="58">
        <f t="shared" si="133"/>
        <v>2884.8</v>
      </c>
      <c r="S168" s="58">
        <f>IF('Military Provision'!I168="YES", MAX('2024 Legal Max'!O168,'2024 Legal Max'!K168,AVERAGE('2024 Legal Max'!G168,'2024 Legal Max'!K168,'2024 Legal Max'!O168)), MAX(O168, K168))</f>
        <v>3027.6</v>
      </c>
      <c r="T168" s="58">
        <f>IF(ISNA(VLOOKUP($CW168,'Audit Values'!$A:$BX,2,FALSE)),'Preliminary SO66'!AL167,VLOOKUP($CW168,'Audit Values'!$A:$BX,59,FALSE))</f>
        <v>61</v>
      </c>
      <c r="U168" s="58">
        <f t="shared" si="134"/>
        <v>3088.6</v>
      </c>
      <c r="V168" s="58">
        <f>'Low-High ENRL- 2023 HSubSB 113'!N171</f>
        <v>108.2</v>
      </c>
      <c r="W168" s="58">
        <f>IF(ISNA(VLOOKUP($CW168,'Audit Values'!$A:$BZ,2,FALSE)),'Preliminary SO66'!AM167,VLOOKUP($CW168,'Audit Values'!$A:$BZ,63,FALSE))</f>
        <v>240.9</v>
      </c>
      <c r="X168" s="58">
        <f>(W168/6)*'Weighting Factors'!$O$7</f>
        <v>15.9</v>
      </c>
      <c r="Y168" s="61">
        <f>IF(ISNA(VLOOKUP($CW168,'Audit Values'!$A:$BZ,2,FALSE)),'Preliminary SO66'!AN167,VLOOKUP($CW168,'Audit Values'!$A:$BZ,62,FALSE))</f>
        <v>119</v>
      </c>
      <c r="Z168" s="58">
        <f>Y168*'Weighting Factors'!$O$8</f>
        <v>22</v>
      </c>
      <c r="AA168" s="58">
        <f t="shared" si="135"/>
        <v>22</v>
      </c>
      <c r="AB168" s="106">
        <f>IF(ISNA(VLOOKUP($CW168,'Audit Values'!$A:$BZ,2,FALSE)),'Preliminary SO66'!AO167,VLOOKUP($CW168,'Audit Values'!$A:$BZ,61,FALSE))</f>
        <v>669.3</v>
      </c>
      <c r="AC168" s="58">
        <f>AB168/6*'Weighting Factors'!$O$6</f>
        <v>55.8</v>
      </c>
      <c r="AD168" s="24">
        <f>IF(ISNA(VLOOKUP($CW168,'Audit Values'!$A:$BX,2,FALSE)),'Preliminary SO66'!AS167,VLOOKUP($CW168,'Audit Values'!$A:$BX,64,FALSE))</f>
        <v>3131</v>
      </c>
      <c r="AE168" s="24">
        <f>IF(ISNA(VLOOKUP($CW168,'Audit Values'!$A:$BX,2,FALSE)),'Preliminary SO66'!AP167,VLOOKUP($CW168,'Audit Values'!$A:$BX,65,FALSE))</f>
        <v>1540</v>
      </c>
      <c r="AF168" s="58">
        <f>IF(A168=207, AE168,(AE168))*'Weighting Factors'!$O$9</f>
        <v>745.4</v>
      </c>
      <c r="AG168" s="58">
        <f t="shared" si="132"/>
        <v>153</v>
      </c>
      <c r="AH168" s="58">
        <f>IF(ISNA(VLOOKUP($CW168,'Audit Values'!$A:$BZ,2,FALSE)),'Preliminary SO66'!AG167,VLOOKUP($CW168,'Audit Values'!$A:$BZ,71,FALSE))</f>
        <v>132.6</v>
      </c>
      <c r="AI168" s="58">
        <f t="shared" si="136"/>
        <v>153</v>
      </c>
      <c r="AJ168" s="58">
        <f>IF(ISNA(VLOOKUP($CW168,'Audit Values'!$A:$BX,2,FALSE)),'Preliminary SO66'!AR167,VLOOKUP($CW168,'Audit Values'!$A:$BX,66,FALSE))</f>
        <v>692</v>
      </c>
      <c r="AK168" s="24">
        <f t="shared" si="137"/>
        <v>600197</v>
      </c>
      <c r="AL168" s="58">
        <f>AK168/'Weighting Factors'!$O$5</f>
        <v>118</v>
      </c>
      <c r="AM168" s="58">
        <f>CJ168/'Weighting Factors'!$O$5</f>
        <v>0</v>
      </c>
      <c r="AN168" s="58">
        <f>CN168/'Weighting Factors'!$O$5</f>
        <v>0</v>
      </c>
      <c r="AO168" s="24">
        <v>3346842</v>
      </c>
      <c r="AP168" s="58">
        <f>AO168/'Weighting Factors'!$O$5</f>
        <v>657.8</v>
      </c>
      <c r="AQ168" s="58">
        <f>IF(ISNA(VLOOKUP($CW168,'Audit Values'!$A:$BX,2,FALSE)),'Preliminary SO66'!X167,VLOOKUP($CW168,'Audit Values'!$A:$BX,48,FALSE))</f>
        <v>0</v>
      </c>
      <c r="AR168" s="58">
        <f t="shared" si="130"/>
        <v>4948.8</v>
      </c>
      <c r="AS168" s="58">
        <f t="shared" si="131"/>
        <v>4291</v>
      </c>
      <c r="AT168" s="58">
        <f>IF(ISNA(VLOOKUP($CW168,'Audit Values'!$A$2:$BX$410,2,FALSE)),'Preliminary SO66'!AA167,VLOOKUP($CW168,'Audit Values'!$A$2:$BX$410,41,FALSE))</f>
        <v>17</v>
      </c>
      <c r="AU168" s="58">
        <f>IF(ISNA(VLOOKUP($CW168,'Audit Values'!$A$2:$BX$410,2,FALSE)),'Preliminary SO66'!AB167,VLOOKUP($CW168,'Audit Values'!$A$2:$BX$410,42,FALSE))</f>
        <v>0.4</v>
      </c>
      <c r="AV168" s="73">
        <v>0</v>
      </c>
      <c r="AW168" s="73">
        <v>0</v>
      </c>
      <c r="AX168" s="24">
        <f>SUM(AT168*'Weighting Factors'!$R$10)+('2024 Legal Max'!AU168*'Weighting Factors'!$R$11)+('2024 Legal Max'!AV168*'Weighting Factors'!$R$12)+('2024 Legal Max'!AW168*'Weighting Factors'!$R$12)</f>
        <v>96320</v>
      </c>
      <c r="AY168" s="54">
        <f>IF(ISNA(VLOOKUP($CW168,'Audit Values'!$A$2:$BX$429,2,FALSE)),"",IF(AND('Weighting Factors'!G168&gt;0,VLOOKUP($CW168,'Audit Values'!$A$2:$BX$429,51,FALSE)&lt;'Weighting Factors'!G168),'Weighting Factors'!G168,VLOOKUP($CW168,'Audit Values'!$A$2:$BX$429,51,FALSE)))</f>
        <v>19</v>
      </c>
      <c r="AZ168" s="54" t="str">
        <f>IF(ISNA(VLOOKUP($CW168,'Audit Values'!$A:$BY,2,FALSE)),"",VLOOKUP($CW168,'Audit Values'!$A:$BY,52,FALSE))</f>
        <v>A</v>
      </c>
      <c r="BA168" s="54" t="str">
        <f>IF('Weighting Factors'!F168="","",IF('Weighting Factors'!H168="Pending","PX","R"))</f>
        <v/>
      </c>
      <c r="BB168" s="60">
        <f>SUM((U168+V168+AA168+AC168+AF168+AI168+AL168+AM168+AQ168+AN168)*'Weighting Factors'!$O$5)+'2024 Legal Max'!AX168</f>
        <v>21928928</v>
      </c>
      <c r="BC168" s="24">
        <f>SUM((AR168+AN168)*'Weighting Factors'!$O$5)+AX168</f>
        <v>25275814</v>
      </c>
      <c r="BD168" s="67">
        <f>IF('Weighting Factors'!F168&gt;0,'Weighting Factors'!F168,'Preliminary SO66'!AV167)</f>
        <v>25542323</v>
      </c>
      <c r="BE168" s="24">
        <f t="shared" si="138"/>
        <v>25275814</v>
      </c>
      <c r="BF168" s="71">
        <f>'Weighting Factors'!E168</f>
        <v>0</v>
      </c>
      <c r="BG168" s="71">
        <f>Transportation!G168</f>
        <v>-40250</v>
      </c>
      <c r="BH168" s="24">
        <f>IF(ISNA(VLOOKUP($CW168,'Audit Values'!$A:$BW,2,FALSE)), 0, VLOOKUP($CW168,'Audit Values'!$A:$BW,75,FALSE))</f>
        <v>0</v>
      </c>
      <c r="BI168" s="24">
        <f t="shared" si="139"/>
        <v>-40250</v>
      </c>
      <c r="BJ168" s="24">
        <f t="shared" si="140"/>
        <v>25235564</v>
      </c>
      <c r="BK168" s="24">
        <f>SUM((U168+V168+AA168+AC168+AF168+AI168+AL168+AM168+AN168)*'Weighting Factors'!O$12)+(MAX(AO168,'Weighting Factors'!B168))</f>
        <v>25479820</v>
      </c>
      <c r="BL168" s="78">
        <f>'LOB%'!F166</f>
        <v>0.316</v>
      </c>
      <c r="BM168" s="24">
        <f t="shared" si="111"/>
        <v>8051623</v>
      </c>
      <c r="BN168" s="67">
        <v>8136116</v>
      </c>
      <c r="BO168" s="24">
        <f t="shared" si="141"/>
        <v>8051623</v>
      </c>
      <c r="BP168" s="89">
        <f t="shared" si="112"/>
        <v>0.316</v>
      </c>
      <c r="BQ168" s="58">
        <f t="shared" si="113"/>
        <v>0</v>
      </c>
      <c r="BR168" s="1" t="b">
        <f t="shared" si="114"/>
        <v>0</v>
      </c>
      <c r="BS168" s="76">
        <f t="shared" si="115"/>
        <v>0</v>
      </c>
      <c r="BT168" s="75">
        <f t="shared" si="142"/>
        <v>0</v>
      </c>
      <c r="BU168" s="58">
        <f t="shared" si="116"/>
        <v>0</v>
      </c>
      <c r="BV168" s="1" t="b">
        <f t="shared" si="117"/>
        <v>0</v>
      </c>
      <c r="BW168" s="1">
        <f t="shared" si="118"/>
        <v>0</v>
      </c>
      <c r="BX168" s="75">
        <f t="shared" si="143"/>
        <v>0</v>
      </c>
      <c r="BY168" s="58">
        <f t="shared" si="119"/>
        <v>0</v>
      </c>
      <c r="BZ168" s="58">
        <f t="shared" si="120"/>
        <v>108.2</v>
      </c>
      <c r="CA168" s="61">
        <v>133.5</v>
      </c>
      <c r="CB168" s="102">
        <f t="shared" si="121"/>
        <v>5.1840000000000002</v>
      </c>
      <c r="CC168" s="105">
        <f>IF(CB168&lt;0.06,1,IF(CB168&gt;=18.29,52,MATCH(CB168-0.001,'Weighting Factors'!$W$5:$W$156)+1))</f>
        <v>44</v>
      </c>
      <c r="CD168" s="24">
        <f>VLOOKUP(CC168, 'Weighting Factors'!$U$5:$X$56,4)</f>
        <v>710</v>
      </c>
      <c r="CE168" s="109">
        <f>('Weighting Factors'!$O$5/'Weighting Factors'!$O$14)</f>
        <v>1.2216</v>
      </c>
      <c r="CF168" s="100">
        <f t="shared" si="122"/>
        <v>491320</v>
      </c>
      <c r="CG168" s="100">
        <f>CF168*'Weighting Factors'!$Q$7</f>
        <v>491320</v>
      </c>
      <c r="CH168" s="100">
        <f t="shared" si="144"/>
        <v>600197</v>
      </c>
      <c r="CI168" s="58">
        <f>AK168/'Weighting Factors'!$O$5</f>
        <v>118</v>
      </c>
      <c r="CJ168" s="67">
        <v>0</v>
      </c>
      <c r="CK168" s="80">
        <v>0</v>
      </c>
      <c r="CL168" s="110">
        <v>0</v>
      </c>
      <c r="CM168" s="24">
        <f>SUM((AR168*'Weighting Factors'!$O$5)+'2024 Legal Max'!AX168)*CL168</f>
        <v>0</v>
      </c>
      <c r="CN168" s="24">
        <f t="shared" si="145"/>
        <v>0</v>
      </c>
      <c r="CO168" s="65">
        <f t="shared" si="110"/>
        <v>0.4919</v>
      </c>
      <c r="CP168" s="58">
        <f t="shared" si="123"/>
        <v>0</v>
      </c>
      <c r="CQ168" s="58">
        <f t="shared" si="124"/>
        <v>153</v>
      </c>
      <c r="CR168" s="58">
        <f t="shared" si="125"/>
        <v>4948.8</v>
      </c>
      <c r="CS168" s="24">
        <f>'Required Transfers'!L168</f>
        <v>1227873</v>
      </c>
      <c r="CT168" s="24">
        <f>'Required Transfers'!O168</f>
        <v>36232</v>
      </c>
      <c r="CU168" s="24">
        <f>'Required Transfers'!H168</f>
        <v>4571059</v>
      </c>
      <c r="CV168" s="58">
        <f t="shared" si="126"/>
        <v>2963.2</v>
      </c>
      <c r="CW168" s="27" t="s">
        <v>353</v>
      </c>
    </row>
    <row r="169" spans="1:101" ht="15" customHeight="1">
      <c r="A169" s="54">
        <v>374</v>
      </c>
      <c r="B169" s="1" t="s">
        <v>75</v>
      </c>
      <c r="C169" s="1" t="s">
        <v>674</v>
      </c>
      <c r="D169" s="58">
        <v>368.6</v>
      </c>
      <c r="E169" s="58"/>
      <c r="F169" s="58">
        <v>0</v>
      </c>
      <c r="G169" s="58">
        <f t="shared" si="127"/>
        <v>368.6</v>
      </c>
      <c r="H169" s="58">
        <v>351</v>
      </c>
      <c r="I169" s="58"/>
      <c r="J169" s="58">
        <v>0</v>
      </c>
      <c r="K169" s="58">
        <f t="shared" si="128"/>
        <v>351</v>
      </c>
      <c r="L169" s="1">
        <v>370.9</v>
      </c>
      <c r="N169" s="1">
        <v>0</v>
      </c>
      <c r="O169" s="58">
        <f t="shared" si="129"/>
        <v>370.9</v>
      </c>
      <c r="P169" s="58">
        <f>IF(ISNA(VLOOKUP($CW169,'Audit Values'!$A:$BZ,2,FALSE)),'Preliminary SO66'!C168,VLOOKUP($CW169,'Audit Values'!$A:$BZ,76,FALSE))</f>
        <v>353.2</v>
      </c>
      <c r="Q169" s="58">
        <f>IF(ISNA(VLOOKUP($CW169,'Audit Values'!$A:$BZ,2,FALSE)),'Preliminary SO66'!F168,VLOOKUP($CW169,'Audit Values'!$A:$BZ,4,FALSE))</f>
        <v>0</v>
      </c>
      <c r="R169" s="58">
        <f t="shared" si="133"/>
        <v>353.2</v>
      </c>
      <c r="S169" s="58">
        <f>IF('Military Provision'!I169="YES", MAX('2024 Legal Max'!O169,'2024 Legal Max'!K169,AVERAGE('2024 Legal Max'!G169,'2024 Legal Max'!K169,'2024 Legal Max'!O169)), MAX(O169, K169))</f>
        <v>370.9</v>
      </c>
      <c r="T169" s="58">
        <f>IF(ISNA(VLOOKUP($CW169,'Audit Values'!$A:$BX,2,FALSE)),'Preliminary SO66'!AL168,VLOOKUP($CW169,'Audit Values'!$A:$BX,59,FALSE))</f>
        <v>10.5</v>
      </c>
      <c r="U169" s="58">
        <f t="shared" si="134"/>
        <v>381.4</v>
      </c>
      <c r="V169" s="58">
        <f>'Low-High ENRL- 2023 HSubSB 113'!N172</f>
        <v>174.1</v>
      </c>
      <c r="W169" s="58">
        <f>IF(ISNA(VLOOKUP($CW169,'Audit Values'!$A:$BZ,2,FALSE)),'Preliminary SO66'!AM168,VLOOKUP($CW169,'Audit Values'!$A:$BZ,63,FALSE))</f>
        <v>580</v>
      </c>
      <c r="X169" s="58">
        <f>(W169/6)*'Weighting Factors'!$O$7</f>
        <v>38.200000000000003</v>
      </c>
      <c r="Y169" s="61">
        <f>IF(ISNA(VLOOKUP($CW169,'Audit Values'!$A:$BZ,2,FALSE)),'Preliminary SO66'!AN168,VLOOKUP($CW169,'Audit Values'!$A:$BZ,62,FALSE))</f>
        <v>107</v>
      </c>
      <c r="Z169" s="58">
        <f>Y169*'Weighting Factors'!$O$8</f>
        <v>19.8</v>
      </c>
      <c r="AA169" s="58">
        <f t="shared" si="135"/>
        <v>38.200000000000003</v>
      </c>
      <c r="AB169" s="106">
        <f>IF(ISNA(VLOOKUP($CW169,'Audit Values'!$A:$BZ,2,FALSE)),'Preliminary SO66'!AO168,VLOOKUP($CW169,'Audit Values'!$A:$BZ,61,FALSE))</f>
        <v>101.9</v>
      </c>
      <c r="AC169" s="58">
        <f>AB169/6*'Weighting Factors'!$O$6</f>
        <v>8.5</v>
      </c>
      <c r="AD169" s="24">
        <f>IF(ISNA(VLOOKUP($CW169,'Audit Values'!$A:$BX,2,FALSE)),'Preliminary SO66'!AS168,VLOOKUP($CW169,'Audit Values'!$A:$BX,64,FALSE))</f>
        <v>377</v>
      </c>
      <c r="AE169" s="24">
        <f>IF(ISNA(VLOOKUP($CW169,'Audit Values'!$A:$BX,2,FALSE)),'Preliminary SO66'!AP168,VLOOKUP($CW169,'Audit Values'!$A:$BX,65,FALSE))</f>
        <v>231</v>
      </c>
      <c r="AF169" s="58">
        <f>IF(A169=207, AE169,(AE169))*'Weighting Factors'!$O$9</f>
        <v>111.8</v>
      </c>
      <c r="AG169" s="58">
        <f t="shared" si="132"/>
        <v>24.3</v>
      </c>
      <c r="AH169" s="58">
        <f>IF(ISNA(VLOOKUP($CW169,'Audit Values'!$A:$BZ,2,FALSE)),'Preliminary SO66'!AG168,VLOOKUP($CW169,'Audit Values'!$A:$BZ,71,FALSE))</f>
        <v>24.3</v>
      </c>
      <c r="AI169" s="58">
        <f t="shared" si="136"/>
        <v>24.3</v>
      </c>
      <c r="AJ169" s="58">
        <f>IF(ISNA(VLOOKUP($CW169,'Audit Values'!$A:$BX,2,FALSE)),'Preliminary SO66'!AR168,VLOOKUP($CW169,'Audit Values'!$A:$BX,66,FALSE))</f>
        <v>60</v>
      </c>
      <c r="AK169" s="24">
        <f t="shared" si="137"/>
        <v>98217</v>
      </c>
      <c r="AL169" s="58">
        <f>AK169/'Weighting Factors'!$O$5</f>
        <v>19.3</v>
      </c>
      <c r="AM169" s="58">
        <f>CJ169/'Weighting Factors'!$O$5</f>
        <v>0</v>
      </c>
      <c r="AN169" s="58">
        <f>CN169/'Weighting Factors'!$O$5</f>
        <v>0</v>
      </c>
      <c r="AO169" s="24">
        <v>230747</v>
      </c>
      <c r="AP169" s="58">
        <f>AO169/'Weighting Factors'!$O$5</f>
        <v>45.4</v>
      </c>
      <c r="AQ169" s="58">
        <f>IF(ISNA(VLOOKUP($CW169,'Audit Values'!$A:$BX,2,FALSE)),'Preliminary SO66'!X168,VLOOKUP($CW169,'Audit Values'!$A:$BX,48,FALSE))</f>
        <v>0</v>
      </c>
      <c r="AR169" s="58">
        <f t="shared" si="130"/>
        <v>803</v>
      </c>
      <c r="AS169" s="58">
        <f t="shared" si="131"/>
        <v>757.6</v>
      </c>
      <c r="AT169" s="58">
        <f>IF(ISNA(VLOOKUP($CW169,'Audit Values'!$A$2:$BX$410,2,FALSE)),'Preliminary SO66'!AA168,VLOOKUP($CW169,'Audit Values'!$A$2:$BX$410,41,FALSE))</f>
        <v>0</v>
      </c>
      <c r="AU169" s="58">
        <f>IF(ISNA(VLOOKUP($CW169,'Audit Values'!$A$2:$BX$410,2,FALSE)),'Preliminary SO66'!AB168,VLOOKUP($CW169,'Audit Values'!$A$2:$BX$410,42,FALSE))</f>
        <v>0</v>
      </c>
      <c r="AV169" s="73">
        <v>0</v>
      </c>
      <c r="AW169" s="73">
        <v>0</v>
      </c>
      <c r="AX169" s="24">
        <f>SUM(AT169*'Weighting Factors'!$R$10)+('2024 Legal Max'!AU169*'Weighting Factors'!$R$11)+('2024 Legal Max'!AV169*'Weighting Factors'!$R$12)+('2024 Legal Max'!AW169*'Weighting Factors'!$R$12)</f>
        <v>0</v>
      </c>
      <c r="AY169" s="54">
        <f>IF(ISNA(VLOOKUP($CW169,'Audit Values'!$A$2:$BX$429,2,FALSE)),"",IF(AND('Weighting Factors'!G169&gt;0,VLOOKUP($CW169,'Audit Values'!$A$2:$BX$429,51,FALSE)&lt;'Weighting Factors'!G169),'Weighting Factors'!G169,VLOOKUP($CW169,'Audit Values'!$A$2:$BX$429,51,FALSE)))</f>
        <v>18</v>
      </c>
      <c r="AZ169" s="54" t="str">
        <f>IF(ISNA(VLOOKUP($CW169,'Audit Values'!$A:$BY,2,FALSE)),"",VLOOKUP($CW169,'Audit Values'!$A:$BY,52,FALSE))</f>
        <v>A</v>
      </c>
      <c r="BA169" s="54" t="str">
        <f>IF('Weighting Factors'!F169="","",IF('Weighting Factors'!H169="Pending","PX","R"))</f>
        <v/>
      </c>
      <c r="BB169" s="60">
        <f>SUM((U169+V169+AA169+AC169+AF169+AI169+AL169+AM169+AQ169+AN169)*'Weighting Factors'!$O$5)+'2024 Legal Max'!AX169</f>
        <v>3854669</v>
      </c>
      <c r="BC169" s="24">
        <f>SUM((AR169+AN169)*'Weighting Factors'!$O$5)+AX169</f>
        <v>4085664</v>
      </c>
      <c r="BD169" s="67">
        <f>IF('Weighting Factors'!F169&gt;0,'Weighting Factors'!F169,'Preliminary SO66'!AV168)</f>
        <v>4149264</v>
      </c>
      <c r="BE169" s="24">
        <f t="shared" si="138"/>
        <v>4085664</v>
      </c>
      <c r="BF169" s="71">
        <f>'Weighting Factors'!E169</f>
        <v>0</v>
      </c>
      <c r="BG169" s="71">
        <f>Transportation!G169</f>
        <v>0</v>
      </c>
      <c r="BH169" s="24">
        <f>IF(ISNA(VLOOKUP($CW169,'Audit Values'!$A:$BW,2,FALSE)), 0, VLOOKUP($CW169,'Audit Values'!$A:$BW,75,FALSE))</f>
        <v>0</v>
      </c>
      <c r="BI169" s="24">
        <f t="shared" si="139"/>
        <v>0</v>
      </c>
      <c r="BJ169" s="24">
        <f t="shared" si="140"/>
        <v>4085664</v>
      </c>
      <c r="BK169" s="24">
        <f>SUM((U169+V169+AA169+AC169+AF169+AI169+AL169+AM169+AN169)*'Weighting Factors'!O$12)+(MAX(AO169,'Weighting Factors'!B169))</f>
        <v>4218743</v>
      </c>
      <c r="BL169" s="78">
        <f>'LOB%'!F167</f>
        <v>0.33</v>
      </c>
      <c r="BM169" s="24">
        <f t="shared" si="111"/>
        <v>1392185</v>
      </c>
      <c r="BN169" s="67">
        <v>1403079</v>
      </c>
      <c r="BO169" s="24">
        <f t="shared" si="141"/>
        <v>1392185</v>
      </c>
      <c r="BP169" s="89">
        <f t="shared" si="112"/>
        <v>0.33</v>
      </c>
      <c r="BQ169" s="58">
        <f t="shared" si="113"/>
        <v>0</v>
      </c>
      <c r="BR169" s="1" t="b">
        <f t="shared" si="114"/>
        <v>0</v>
      </c>
      <c r="BS169" s="76">
        <f t="shared" si="115"/>
        <v>0</v>
      </c>
      <c r="BT169" s="75">
        <f t="shared" si="142"/>
        <v>0</v>
      </c>
      <c r="BU169" s="58">
        <f t="shared" si="116"/>
        <v>0</v>
      </c>
      <c r="BV169" s="1" t="b">
        <f t="shared" si="117"/>
        <v>1</v>
      </c>
      <c r="BW169" s="1">
        <f t="shared" si="118"/>
        <v>100.7325</v>
      </c>
      <c r="BX169" s="75">
        <f t="shared" si="143"/>
        <v>0.45653100000000002</v>
      </c>
      <c r="BY169" s="58">
        <f t="shared" si="119"/>
        <v>174.1</v>
      </c>
      <c r="BZ169" s="58">
        <f t="shared" si="120"/>
        <v>0</v>
      </c>
      <c r="CA169" s="61">
        <v>355.5</v>
      </c>
      <c r="CB169" s="102">
        <f t="shared" si="121"/>
        <v>0.16900000000000001</v>
      </c>
      <c r="CC169" s="105">
        <f>IF(CB169&lt;0.06,1,IF(CB169&gt;=18.29,52,MATCH(CB169-0.001,'Weighting Factors'!$W$5:$W$156)+1))</f>
        <v>12</v>
      </c>
      <c r="CD169" s="24">
        <f>VLOOKUP(CC169, 'Weighting Factors'!$U$5:$X$56,4)</f>
        <v>1340</v>
      </c>
      <c r="CE169" s="109">
        <f>('Weighting Factors'!$O$5/'Weighting Factors'!$O$14)</f>
        <v>1.2216</v>
      </c>
      <c r="CF169" s="100">
        <f t="shared" si="122"/>
        <v>80400</v>
      </c>
      <c r="CG169" s="100">
        <f>CF169*'Weighting Factors'!$Q$7</f>
        <v>80400</v>
      </c>
      <c r="CH169" s="100">
        <f t="shared" si="144"/>
        <v>98217</v>
      </c>
      <c r="CI169" s="58">
        <f>AK169/'Weighting Factors'!$O$5</f>
        <v>19.3</v>
      </c>
      <c r="CJ169" s="67">
        <v>0</v>
      </c>
      <c r="CK169" s="80">
        <v>0</v>
      </c>
      <c r="CL169" s="110">
        <v>0</v>
      </c>
      <c r="CM169" s="24">
        <f>SUM((AR169*'Weighting Factors'!$O$5)+'2024 Legal Max'!AX169)*CL169</f>
        <v>0</v>
      </c>
      <c r="CN169" s="24">
        <f t="shared" si="145"/>
        <v>0</v>
      </c>
      <c r="CO169" s="65">
        <f t="shared" si="110"/>
        <v>0.61270000000000002</v>
      </c>
      <c r="CP169" s="58">
        <f t="shared" si="123"/>
        <v>24.3</v>
      </c>
      <c r="CQ169" s="58">
        <f t="shared" si="124"/>
        <v>0</v>
      </c>
      <c r="CR169" s="58">
        <f t="shared" si="125"/>
        <v>803</v>
      </c>
      <c r="CS169" s="24">
        <f>'Required Transfers'!L169</f>
        <v>196437</v>
      </c>
      <c r="CT169" s="24">
        <f>'Required Transfers'!O169</f>
        <v>67103</v>
      </c>
      <c r="CU169" s="24">
        <f>'Required Transfers'!H169</f>
        <v>692477</v>
      </c>
      <c r="CV169" s="58">
        <f t="shared" si="126"/>
        <v>363.7</v>
      </c>
      <c r="CW169" s="27" t="s">
        <v>354</v>
      </c>
    </row>
    <row r="170" spans="1:101" ht="15" customHeight="1">
      <c r="A170" s="54">
        <v>375</v>
      </c>
      <c r="B170" s="1" t="s">
        <v>10</v>
      </c>
      <c r="C170" s="1" t="s">
        <v>675</v>
      </c>
      <c r="D170" s="58">
        <v>1875.5</v>
      </c>
      <c r="E170" s="58"/>
      <c r="F170" s="58">
        <v>0</v>
      </c>
      <c r="G170" s="58">
        <f t="shared" si="127"/>
        <v>1875.5</v>
      </c>
      <c r="H170" s="58">
        <v>1928.9</v>
      </c>
      <c r="I170" s="58"/>
      <c r="J170" s="58">
        <v>0</v>
      </c>
      <c r="K170" s="58">
        <f t="shared" si="128"/>
        <v>1928.9</v>
      </c>
      <c r="L170" s="1">
        <v>1989.1</v>
      </c>
      <c r="N170" s="1">
        <v>0</v>
      </c>
      <c r="O170" s="58">
        <f t="shared" si="129"/>
        <v>1989.1</v>
      </c>
      <c r="P170" s="58">
        <f>IF(ISNA(VLOOKUP($CW170,'Audit Values'!$A:$BZ,2,FALSE)),'Preliminary SO66'!C169,VLOOKUP($CW170,'Audit Values'!$A:$BZ,76,FALSE))</f>
        <v>1999.1</v>
      </c>
      <c r="Q170" s="58">
        <f>IF(ISNA(VLOOKUP($CW170,'Audit Values'!$A:$BZ,2,FALSE)),'Preliminary SO66'!F169,VLOOKUP($CW170,'Audit Values'!$A:$BZ,4,FALSE))</f>
        <v>0</v>
      </c>
      <c r="R170" s="58">
        <f t="shared" si="133"/>
        <v>1999.1</v>
      </c>
      <c r="S170" s="58">
        <f>IF('Military Provision'!I170="YES", MAX('2024 Legal Max'!O170,'2024 Legal Max'!K170,AVERAGE('2024 Legal Max'!G170,'2024 Legal Max'!K170,'2024 Legal Max'!O170)), MAX(O170, K170))</f>
        <v>1989.1</v>
      </c>
      <c r="T170" s="58">
        <f>IF(ISNA(VLOOKUP($CW170,'Audit Values'!$A:$BX,2,FALSE)),'Preliminary SO66'!AL169,VLOOKUP($CW170,'Audit Values'!$A:$BX,59,FALSE))</f>
        <v>19</v>
      </c>
      <c r="U170" s="58">
        <f t="shared" si="134"/>
        <v>2008.1</v>
      </c>
      <c r="V170" s="58">
        <f>'Low-High ENRL- 2023 HSubSB 113'!N173</f>
        <v>70.400000000000006</v>
      </c>
      <c r="W170" s="58">
        <f>IF(ISNA(VLOOKUP($CW170,'Audit Values'!$A:$BZ,2,FALSE)),'Preliminary SO66'!AM169,VLOOKUP($CW170,'Audit Values'!$A:$BZ,63,FALSE))</f>
        <v>49.2</v>
      </c>
      <c r="X170" s="58">
        <f>(W170/6)*'Weighting Factors'!$O$7</f>
        <v>3.2</v>
      </c>
      <c r="Y170" s="61">
        <f>IF(ISNA(VLOOKUP($CW170,'Audit Values'!$A:$BZ,2,FALSE)),'Preliminary SO66'!AN169,VLOOKUP($CW170,'Audit Values'!$A:$BZ,62,FALSE))</f>
        <v>40</v>
      </c>
      <c r="Z170" s="58">
        <f>Y170*'Weighting Factors'!$O$8</f>
        <v>7.4</v>
      </c>
      <c r="AA170" s="58">
        <f t="shared" si="135"/>
        <v>7.4</v>
      </c>
      <c r="AB170" s="106">
        <f>IF(ISNA(VLOOKUP($CW170,'Audit Values'!$A:$BZ,2,FALSE)),'Preliminary SO66'!AO169,VLOOKUP($CW170,'Audit Values'!$A:$BZ,61,FALSE))</f>
        <v>703.2</v>
      </c>
      <c r="AC170" s="58">
        <f>AB170/6*'Weighting Factors'!$O$6</f>
        <v>58.6</v>
      </c>
      <c r="AD170" s="24">
        <f>IF(ISNA(VLOOKUP($CW170,'Audit Values'!$A:$BX,2,FALSE)),'Preliminary SO66'!AS169,VLOOKUP($CW170,'Audit Values'!$A:$BX,64,FALSE))</f>
        <v>2047</v>
      </c>
      <c r="AE170" s="24">
        <f>IF(ISNA(VLOOKUP($CW170,'Audit Values'!$A:$BX,2,FALSE)),'Preliminary SO66'!AP169,VLOOKUP($CW170,'Audit Values'!$A:$BX,65,FALSE))</f>
        <v>622</v>
      </c>
      <c r="AF170" s="58">
        <f>IF(A170=207, AE170,(AE170))*'Weighting Factors'!$O$9</f>
        <v>301</v>
      </c>
      <c r="AG170" s="58">
        <f t="shared" si="132"/>
        <v>0</v>
      </c>
      <c r="AH170" s="58">
        <f>IF(ISNA(VLOOKUP($CW170,'Audit Values'!$A:$BZ,2,FALSE)),'Preliminary SO66'!AG169,VLOOKUP($CW170,'Audit Values'!$A:$BZ,71,FALSE))</f>
        <v>11.4</v>
      </c>
      <c r="AI170" s="58">
        <f t="shared" si="136"/>
        <v>11.4</v>
      </c>
      <c r="AJ170" s="58">
        <f>IF(ISNA(VLOOKUP($CW170,'Audit Values'!$A:$BX,2,FALSE)),'Preliminary SO66'!AR169,VLOOKUP($CW170,'Audit Values'!$A:$BX,66,FALSE))</f>
        <v>287</v>
      </c>
      <c r="AK170" s="24">
        <f t="shared" si="137"/>
        <v>305021</v>
      </c>
      <c r="AL170" s="58">
        <f>AK170/'Weighting Factors'!$O$5</f>
        <v>59.9</v>
      </c>
      <c r="AM170" s="58">
        <f>CJ170/'Weighting Factors'!$O$5</f>
        <v>0</v>
      </c>
      <c r="AN170" s="58">
        <f>CN170/'Weighting Factors'!$O$5</f>
        <v>0</v>
      </c>
      <c r="AO170" s="24">
        <v>1739939</v>
      </c>
      <c r="AP170" s="58">
        <f>AO170/'Weighting Factors'!$O$5</f>
        <v>342</v>
      </c>
      <c r="AQ170" s="58">
        <f>IF(ISNA(VLOOKUP($CW170,'Audit Values'!$A:$BX,2,FALSE)),'Preliminary SO66'!X169,VLOOKUP($CW170,'Audit Values'!$A:$BX,48,FALSE))</f>
        <v>0</v>
      </c>
      <c r="AR170" s="58">
        <f t="shared" si="130"/>
        <v>2858.8</v>
      </c>
      <c r="AS170" s="58">
        <f t="shared" si="131"/>
        <v>2516.8000000000002</v>
      </c>
      <c r="AT170" s="58">
        <f>IF(ISNA(VLOOKUP($CW170,'Audit Values'!$A$2:$BX$410,2,FALSE)),'Preliminary SO66'!AA169,VLOOKUP($CW170,'Audit Values'!$A$2:$BX$410,41,FALSE))</f>
        <v>13</v>
      </c>
      <c r="AU170" s="58">
        <f>IF(ISNA(VLOOKUP($CW170,'Audit Values'!$A$2:$BX$410,2,FALSE)),'Preliminary SO66'!AB169,VLOOKUP($CW170,'Audit Values'!$A$2:$BX$410,42,FALSE))</f>
        <v>2.1</v>
      </c>
      <c r="AV170" s="73">
        <v>19.5</v>
      </c>
      <c r="AW170" s="73">
        <v>1.5</v>
      </c>
      <c r="AX170" s="24">
        <v>93570</v>
      </c>
      <c r="AY170" s="54">
        <f>IF(ISNA(VLOOKUP($CW170,'Audit Values'!$A$2:$BX$429,2,FALSE)),"",IF(AND('Weighting Factors'!G170&gt;0,VLOOKUP($CW170,'Audit Values'!$A$2:$BX$429,51,FALSE)&lt;'Weighting Factors'!G170),'Weighting Factors'!G170,VLOOKUP($CW170,'Audit Values'!$A$2:$BX$429,51,FALSE)))</f>
        <v>25</v>
      </c>
      <c r="AZ170" s="54" t="str">
        <f>IF(ISNA(VLOOKUP($CW170,'Audit Values'!$A:$BY,2,FALSE)),"",VLOOKUP($CW170,'Audit Values'!$A:$BY,52,FALSE))</f>
        <v>A</v>
      </c>
      <c r="BA170" s="54" t="str">
        <f>IF('Weighting Factors'!F170="","",IF('Weighting Factors'!H170="Pending","PX","R"))</f>
        <v>R</v>
      </c>
      <c r="BB170" s="60">
        <f>SUM((U170+V170+AA170+AC170+AF170+AI170+AL170+AM170+AQ170+AN170)*'Weighting Factors'!$O$5)+'2024 Legal Max'!AX170</f>
        <v>12899048</v>
      </c>
      <c r="BC170" s="24">
        <f>SUM((AR170+AN170)*'Weighting Factors'!$O$5)+AX170</f>
        <v>14639144</v>
      </c>
      <c r="BD170" s="67">
        <f>IF('Weighting Factors'!F170&gt;0,'Weighting Factors'!F170,'Preliminary SO66'!AV169)</f>
        <v>14784014</v>
      </c>
      <c r="BE170" s="24">
        <f t="shared" si="138"/>
        <v>14639144</v>
      </c>
      <c r="BF170" s="71">
        <f>'Weighting Factors'!E170</f>
        <v>0</v>
      </c>
      <c r="BG170" s="71">
        <f>Transportation!G170</f>
        <v>0</v>
      </c>
      <c r="BH170" s="24">
        <f>IF(ISNA(VLOOKUP($CW170,'Audit Values'!$A:$BW,2,FALSE)), 0, VLOOKUP($CW170,'Audit Values'!$A:$BW,75,FALSE))</f>
        <v>-25380</v>
      </c>
      <c r="BI170" s="24">
        <f t="shared" si="139"/>
        <v>-25380</v>
      </c>
      <c r="BJ170" s="24">
        <f t="shared" si="140"/>
        <v>14613764</v>
      </c>
      <c r="BK170" s="24">
        <f>SUM((U170+V170+AA170+AC170+AF170+AI170+AL170+AM170+AN170)*'Weighting Factors'!O$12)+(MAX(AO170,'Weighting Factors'!B170))</f>
        <v>14721593</v>
      </c>
      <c r="BL170" s="78">
        <f>'LOB%'!F168</f>
        <v>0.33</v>
      </c>
      <c r="BM170" s="24">
        <f t="shared" si="111"/>
        <v>4858126</v>
      </c>
      <c r="BN170" s="67">
        <v>4802908</v>
      </c>
      <c r="BO170" s="24">
        <f t="shared" si="141"/>
        <v>4802908</v>
      </c>
      <c r="BP170" s="89">
        <f t="shared" si="112"/>
        <v>0.32619999999999999</v>
      </c>
      <c r="BQ170" s="58">
        <f t="shared" si="113"/>
        <v>0</v>
      </c>
      <c r="BR170" s="1" t="b">
        <f t="shared" si="114"/>
        <v>0</v>
      </c>
      <c r="BS170" s="76">
        <f t="shared" si="115"/>
        <v>0</v>
      </c>
      <c r="BT170" s="75">
        <f t="shared" si="142"/>
        <v>0</v>
      </c>
      <c r="BU170" s="58">
        <f t="shared" si="116"/>
        <v>0</v>
      </c>
      <c r="BV170" s="1" t="b">
        <f t="shared" si="117"/>
        <v>0</v>
      </c>
      <c r="BW170" s="1">
        <f t="shared" si="118"/>
        <v>0</v>
      </c>
      <c r="BX170" s="75">
        <f t="shared" si="143"/>
        <v>0</v>
      </c>
      <c r="BY170" s="58">
        <f t="shared" si="119"/>
        <v>0</v>
      </c>
      <c r="BZ170" s="58">
        <f t="shared" si="120"/>
        <v>70.400000000000006</v>
      </c>
      <c r="CA170" s="61">
        <v>175</v>
      </c>
      <c r="CB170" s="102">
        <f t="shared" si="121"/>
        <v>1.64</v>
      </c>
      <c r="CC170" s="105">
        <f>IF(CB170&lt;0.06,1,IF(CB170&gt;=18.29,52,MATCH(CB170-0.001,'Weighting Factors'!$W$5:$W$156)+1))</f>
        <v>36</v>
      </c>
      <c r="CD170" s="24">
        <f>VLOOKUP(CC170, 'Weighting Factors'!$U$5:$X$56,4)</f>
        <v>870</v>
      </c>
      <c r="CE170" s="109">
        <f>('Weighting Factors'!$O$5/'Weighting Factors'!$O$14)</f>
        <v>1.2216</v>
      </c>
      <c r="CF170" s="100">
        <f t="shared" si="122"/>
        <v>249690</v>
      </c>
      <c r="CG170" s="100">
        <f>CF170*'Weighting Factors'!$Q$7</f>
        <v>249690</v>
      </c>
      <c r="CH170" s="100">
        <f t="shared" si="144"/>
        <v>305021</v>
      </c>
      <c r="CI170" s="58">
        <f>AK170/'Weighting Factors'!$O$5</f>
        <v>59.9</v>
      </c>
      <c r="CJ170" s="67">
        <v>0</v>
      </c>
      <c r="CK170" s="80">
        <v>0</v>
      </c>
      <c r="CL170" s="110">
        <v>9.2999999999999992E-3</v>
      </c>
      <c r="CM170" s="24">
        <f>SUM((AR170*'Weighting Factors'!$O$5)+'2024 Legal Max'!AX170)*CL170</f>
        <v>136144</v>
      </c>
      <c r="CN170" s="24">
        <f t="shared" si="145"/>
        <v>0</v>
      </c>
      <c r="CO170" s="65">
        <f t="shared" si="110"/>
        <v>0.3039</v>
      </c>
      <c r="CP170" s="58">
        <f t="shared" si="123"/>
        <v>0</v>
      </c>
      <c r="CQ170" s="58">
        <f t="shared" si="124"/>
        <v>0</v>
      </c>
      <c r="CR170" s="58">
        <f t="shared" si="125"/>
        <v>2858.8</v>
      </c>
      <c r="CS170" s="24">
        <f>'Required Transfers'!L170</f>
        <v>509108</v>
      </c>
      <c r="CT170" s="24">
        <f>'Required Transfers'!O170</f>
        <v>12488</v>
      </c>
      <c r="CU170" s="24">
        <f>'Required Transfers'!H170</f>
        <v>1589491</v>
      </c>
      <c r="CV170" s="58">
        <f t="shared" si="126"/>
        <v>2036.7</v>
      </c>
      <c r="CW170" s="27" t="s">
        <v>355</v>
      </c>
    </row>
    <row r="171" spans="1:101" ht="15" customHeight="1">
      <c r="A171" s="54">
        <v>376</v>
      </c>
      <c r="B171" s="1" t="s">
        <v>76</v>
      </c>
      <c r="C171" s="1" t="s">
        <v>676</v>
      </c>
      <c r="D171" s="58">
        <v>477.9</v>
      </c>
      <c r="E171" s="58"/>
      <c r="F171" s="58">
        <v>0</v>
      </c>
      <c r="G171" s="58">
        <f t="shared" si="127"/>
        <v>477.9</v>
      </c>
      <c r="H171" s="58">
        <v>468</v>
      </c>
      <c r="I171" s="58"/>
      <c r="J171" s="58">
        <v>0</v>
      </c>
      <c r="K171" s="58">
        <f t="shared" si="128"/>
        <v>468</v>
      </c>
      <c r="L171" s="1">
        <v>456</v>
      </c>
      <c r="N171" s="1">
        <v>0</v>
      </c>
      <c r="O171" s="58">
        <f t="shared" si="129"/>
        <v>456</v>
      </c>
      <c r="P171" s="58">
        <f>IF(ISNA(VLOOKUP($CW171,'Audit Values'!$A:$BZ,2,FALSE)),'Preliminary SO66'!C170,VLOOKUP($CW171,'Audit Values'!$A:$BZ,76,FALSE))</f>
        <v>485</v>
      </c>
      <c r="Q171" s="58">
        <f>IF(ISNA(VLOOKUP($CW171,'Audit Values'!$A:$BZ,2,FALSE)),'Preliminary SO66'!F170,VLOOKUP($CW171,'Audit Values'!$A:$BZ,4,FALSE))</f>
        <v>0</v>
      </c>
      <c r="R171" s="58">
        <f t="shared" si="133"/>
        <v>485</v>
      </c>
      <c r="S171" s="58">
        <f>IF('Military Provision'!I171="YES", MAX('2024 Legal Max'!O171,'2024 Legal Max'!K171,AVERAGE('2024 Legal Max'!G171,'2024 Legal Max'!K171,'2024 Legal Max'!O171)), MAX(O171, K171))</f>
        <v>468</v>
      </c>
      <c r="T171" s="58">
        <f>IF(ISNA(VLOOKUP($CW171,'Audit Values'!$A:$BX,2,FALSE)),'Preliminary SO66'!AL170,VLOOKUP($CW171,'Audit Values'!$A:$BX,59,FALSE))</f>
        <v>4.5</v>
      </c>
      <c r="U171" s="58">
        <f t="shared" si="134"/>
        <v>472.5</v>
      </c>
      <c r="V171" s="58">
        <f>'Low-High ENRL- 2023 HSubSB 113'!N174</f>
        <v>201.1</v>
      </c>
      <c r="W171" s="58">
        <f>IF(ISNA(VLOOKUP($CW171,'Audit Values'!$A:$BZ,2,FALSE)),'Preliminary SO66'!AM170,VLOOKUP($CW171,'Audit Values'!$A:$BZ,63,FALSE))</f>
        <v>0</v>
      </c>
      <c r="X171" s="58">
        <f>(W171/6)*'Weighting Factors'!$O$7</f>
        <v>0</v>
      </c>
      <c r="Y171" s="61">
        <f>IF(ISNA(VLOOKUP($CW171,'Audit Values'!$A:$BZ,2,FALSE)),'Preliminary SO66'!AN170,VLOOKUP($CW171,'Audit Values'!$A:$BZ,62,FALSE))</f>
        <v>0</v>
      </c>
      <c r="Z171" s="58">
        <f>Y171*'Weighting Factors'!$O$8</f>
        <v>0</v>
      </c>
      <c r="AA171" s="58">
        <f t="shared" si="135"/>
        <v>0</v>
      </c>
      <c r="AB171" s="106">
        <f>IF(ISNA(VLOOKUP($CW171,'Audit Values'!$A:$BZ,2,FALSE)),'Preliminary SO66'!AO170,VLOOKUP($CW171,'Audit Values'!$A:$BZ,61,FALSE))</f>
        <v>75.5</v>
      </c>
      <c r="AC171" s="58">
        <f>AB171/6*'Weighting Factors'!$O$6</f>
        <v>6.3</v>
      </c>
      <c r="AD171" s="24">
        <f>IF(ISNA(VLOOKUP($CW171,'Audit Values'!$A:$BX,2,FALSE)),'Preliminary SO66'!AS170,VLOOKUP($CW171,'Audit Values'!$A:$BX,64,FALSE))</f>
        <v>496</v>
      </c>
      <c r="AE171" s="24">
        <f>IF(ISNA(VLOOKUP($CW171,'Audit Values'!$A:$BX,2,FALSE)),'Preliminary SO66'!AP170,VLOOKUP($CW171,'Audit Values'!$A:$BX,65,FALSE))</f>
        <v>149</v>
      </c>
      <c r="AF171" s="58">
        <f>IF(A171=207, AE171,(AE171))*'Weighting Factors'!$O$9</f>
        <v>72.099999999999994</v>
      </c>
      <c r="AG171" s="58">
        <f t="shared" si="132"/>
        <v>0</v>
      </c>
      <c r="AH171" s="58">
        <f>IF(ISNA(VLOOKUP($CW171,'Audit Values'!$A:$BZ,2,FALSE)),'Preliminary SO66'!AG170,VLOOKUP($CW171,'Audit Values'!$A:$BZ,71,FALSE))</f>
        <v>0</v>
      </c>
      <c r="AI171" s="58">
        <f t="shared" si="136"/>
        <v>0</v>
      </c>
      <c r="AJ171" s="58">
        <f>IF(ISNA(VLOOKUP($CW171,'Audit Values'!$A:$BX,2,FALSE)),'Preliminary SO66'!AR170,VLOOKUP($CW171,'Audit Values'!$A:$BX,66,FALSE))</f>
        <v>76</v>
      </c>
      <c r="AK171" s="24">
        <f t="shared" si="137"/>
        <v>101197</v>
      </c>
      <c r="AL171" s="58">
        <f>AK171/'Weighting Factors'!$O$5</f>
        <v>19.899999999999999</v>
      </c>
      <c r="AM171" s="58">
        <f>CJ171/'Weighting Factors'!$O$5</f>
        <v>0</v>
      </c>
      <c r="AN171" s="58">
        <f>CN171/'Weighting Factors'!$O$5</f>
        <v>0</v>
      </c>
      <c r="AO171" s="24">
        <v>566251</v>
      </c>
      <c r="AP171" s="58">
        <f>AO171/'Weighting Factors'!$O$5</f>
        <v>111.3</v>
      </c>
      <c r="AQ171" s="58">
        <f>IF(ISNA(VLOOKUP($CW171,'Audit Values'!$A:$BX,2,FALSE)),'Preliminary SO66'!X170,VLOOKUP($CW171,'Audit Values'!$A:$BX,48,FALSE))</f>
        <v>0</v>
      </c>
      <c r="AR171" s="58">
        <f t="shared" si="130"/>
        <v>883.2</v>
      </c>
      <c r="AS171" s="58">
        <f t="shared" si="131"/>
        <v>771.9</v>
      </c>
      <c r="AT171" s="58">
        <f>IF(ISNA(VLOOKUP($CW171,'Audit Values'!$A$2:$BX$410,2,FALSE)),'Preliminary SO66'!AA170,VLOOKUP($CW171,'Audit Values'!$A$2:$BX$410,41,FALSE))</f>
        <v>0</v>
      </c>
      <c r="AU171" s="58">
        <f>IF(ISNA(VLOOKUP($CW171,'Audit Values'!$A$2:$BX$410,2,FALSE)),'Preliminary SO66'!AB170,VLOOKUP($CW171,'Audit Values'!$A$2:$BX$410,42,FALSE))</f>
        <v>0</v>
      </c>
      <c r="AV171" s="73">
        <v>0</v>
      </c>
      <c r="AW171" s="73">
        <v>0</v>
      </c>
      <c r="AX171" s="24">
        <f>SUM(AT171*'Weighting Factors'!$R$10)+('2024 Legal Max'!AU171*'Weighting Factors'!$R$11)+('2024 Legal Max'!AV171*'Weighting Factors'!$R$12)+('2024 Legal Max'!AW171*'Weighting Factors'!$R$12)</f>
        <v>0</v>
      </c>
      <c r="AY171" s="54">
        <f>IF(ISNA(VLOOKUP($CW171,'Audit Values'!$A$2:$BX$429,2,FALSE)),"",IF(AND('Weighting Factors'!G171&gt;0,VLOOKUP($CW171,'Audit Values'!$A$2:$BX$429,51,FALSE)&lt;'Weighting Factors'!G171),'Weighting Factors'!G171,VLOOKUP($CW171,'Audit Values'!$A$2:$BX$429,51,FALSE)))</f>
        <v>17</v>
      </c>
      <c r="AZ171" s="54" t="str">
        <f>IF(ISNA(VLOOKUP($CW171,'Audit Values'!$A:$BY,2,FALSE)),"",VLOOKUP($CW171,'Audit Values'!$A:$BY,52,FALSE))</f>
        <v>A</v>
      </c>
      <c r="BA171" s="54" t="str">
        <f>IF('Weighting Factors'!F171="","",IF('Weighting Factors'!H171="Pending","PX","R"))</f>
        <v/>
      </c>
      <c r="BB171" s="60">
        <f>SUM((U171+V171+AA171+AC171+AF171+AI171+AL171+AM171+AQ171+AN171)*'Weighting Factors'!$O$5)+'2024 Legal Max'!AX171</f>
        <v>3927427</v>
      </c>
      <c r="BC171" s="24">
        <f>SUM((AR171+AN171)*'Weighting Factors'!$O$5)+AX171</f>
        <v>4493722</v>
      </c>
      <c r="BD171" s="67">
        <f>IF('Weighting Factors'!F171&gt;0,'Weighting Factors'!F171,'Preliminary SO66'!AV170)</f>
        <v>4565462</v>
      </c>
      <c r="BE171" s="24">
        <f t="shared" si="138"/>
        <v>4493722</v>
      </c>
      <c r="BF171" s="71">
        <f>'Weighting Factors'!E171</f>
        <v>0</v>
      </c>
      <c r="BG171" s="71">
        <f>Transportation!G171</f>
        <v>0</v>
      </c>
      <c r="BH171" s="24">
        <f>IF(ISNA(VLOOKUP($CW171,'Audit Values'!$A:$BW,2,FALSE)), 0, VLOOKUP($CW171,'Audit Values'!$A:$BW,75,FALSE))</f>
        <v>0</v>
      </c>
      <c r="BI171" s="24">
        <f t="shared" si="139"/>
        <v>0</v>
      </c>
      <c r="BJ171" s="24">
        <f t="shared" si="140"/>
        <v>4493722</v>
      </c>
      <c r="BK171" s="24">
        <f>SUM((U171+V171+AA171+AC171+AF171+AI171+AL171+AM171+AN171)*'Weighting Factors'!O$12)+(MAX(AO171,'Weighting Factors'!B171))</f>
        <v>4592030</v>
      </c>
      <c r="BL171" s="78">
        <f>'LOB%'!F169</f>
        <v>0.33</v>
      </c>
      <c r="BM171" s="24">
        <f t="shared" si="111"/>
        <v>1515370</v>
      </c>
      <c r="BN171" s="67">
        <v>1498000</v>
      </c>
      <c r="BO171" s="24">
        <f t="shared" si="141"/>
        <v>1498000</v>
      </c>
      <c r="BP171" s="89">
        <f t="shared" si="112"/>
        <v>0.32619999999999999</v>
      </c>
      <c r="BQ171" s="58">
        <f t="shared" si="113"/>
        <v>0</v>
      </c>
      <c r="BR171" s="1" t="b">
        <f t="shared" si="114"/>
        <v>0</v>
      </c>
      <c r="BS171" s="76">
        <f t="shared" si="115"/>
        <v>0</v>
      </c>
      <c r="BT171" s="75">
        <f t="shared" si="142"/>
        <v>0</v>
      </c>
      <c r="BU171" s="58">
        <f t="shared" si="116"/>
        <v>0</v>
      </c>
      <c r="BV171" s="1" t="b">
        <f t="shared" si="117"/>
        <v>1</v>
      </c>
      <c r="BW171" s="1">
        <f t="shared" si="118"/>
        <v>213.46879999999999</v>
      </c>
      <c r="BX171" s="75">
        <f t="shared" si="143"/>
        <v>0.42558000000000001</v>
      </c>
      <c r="BY171" s="58">
        <f t="shared" si="119"/>
        <v>201.1</v>
      </c>
      <c r="BZ171" s="58">
        <f t="shared" si="120"/>
        <v>0</v>
      </c>
      <c r="CA171" s="61">
        <v>158</v>
      </c>
      <c r="CB171" s="102">
        <f t="shared" si="121"/>
        <v>0.48099999999999998</v>
      </c>
      <c r="CC171" s="105">
        <f>IF(CB171&lt;0.06,1,IF(CB171&gt;=18.29,52,MATCH(CB171-0.001,'Weighting Factors'!$W$5:$W$156)+1))</f>
        <v>25</v>
      </c>
      <c r="CD171" s="24">
        <f>VLOOKUP(CC171, 'Weighting Factors'!$U$5:$X$56,4)</f>
        <v>1090</v>
      </c>
      <c r="CE171" s="109">
        <f>('Weighting Factors'!$O$5/'Weighting Factors'!$O$14)</f>
        <v>1.2216</v>
      </c>
      <c r="CF171" s="100">
        <f t="shared" si="122"/>
        <v>82840</v>
      </c>
      <c r="CG171" s="100">
        <f>CF171*'Weighting Factors'!$Q$7</f>
        <v>82840</v>
      </c>
      <c r="CH171" s="100">
        <f t="shared" si="144"/>
        <v>101197</v>
      </c>
      <c r="CI171" s="58">
        <f>AK171/'Weighting Factors'!$O$5</f>
        <v>19.899999999999999</v>
      </c>
      <c r="CJ171" s="67">
        <v>0</v>
      </c>
      <c r="CK171" s="80">
        <v>0</v>
      </c>
      <c r="CL171" s="110">
        <v>0</v>
      </c>
      <c r="CM171" s="24">
        <f>SUM((AR171*'Weighting Factors'!$O$5)+'2024 Legal Max'!AX171)*CL171</f>
        <v>0</v>
      </c>
      <c r="CN171" s="24">
        <f t="shared" si="145"/>
        <v>0</v>
      </c>
      <c r="CO171" s="65">
        <f t="shared" si="110"/>
        <v>0.3004</v>
      </c>
      <c r="CP171" s="58">
        <f t="shared" si="123"/>
        <v>0</v>
      </c>
      <c r="CQ171" s="58">
        <f t="shared" si="124"/>
        <v>0</v>
      </c>
      <c r="CR171" s="58">
        <f t="shared" si="125"/>
        <v>883.2</v>
      </c>
      <c r="CS171" s="24">
        <f>'Required Transfers'!L171</f>
        <v>122986</v>
      </c>
      <c r="CT171" s="24">
        <f>'Required Transfers'!O171</f>
        <v>0</v>
      </c>
      <c r="CU171" s="24">
        <f>'Required Transfers'!H171</f>
        <v>366845</v>
      </c>
      <c r="CV171" s="58">
        <f t="shared" si="126"/>
        <v>489.5</v>
      </c>
      <c r="CW171" s="27" t="s">
        <v>356</v>
      </c>
    </row>
    <row r="172" spans="1:101" ht="15" customHeight="1">
      <c r="A172" s="54">
        <v>377</v>
      </c>
      <c r="B172" s="1" t="s">
        <v>77</v>
      </c>
      <c r="C172" s="1" t="s">
        <v>677</v>
      </c>
      <c r="D172" s="58">
        <v>446</v>
      </c>
      <c r="E172" s="58"/>
      <c r="F172" s="58">
        <v>0</v>
      </c>
      <c r="G172" s="58">
        <f t="shared" si="127"/>
        <v>446</v>
      </c>
      <c r="H172" s="58">
        <v>472</v>
      </c>
      <c r="I172" s="58"/>
      <c r="J172" s="58">
        <v>0</v>
      </c>
      <c r="K172" s="58">
        <f t="shared" si="128"/>
        <v>472</v>
      </c>
      <c r="L172" s="1">
        <v>488.5</v>
      </c>
      <c r="N172" s="1">
        <v>0</v>
      </c>
      <c r="O172" s="58">
        <f t="shared" si="129"/>
        <v>488.5</v>
      </c>
      <c r="P172" s="58">
        <f>IF(ISNA(VLOOKUP($CW172,'Audit Values'!$A:$BZ,2,FALSE)),'Preliminary SO66'!C171,VLOOKUP($CW172,'Audit Values'!$A:$BZ,76,FALSE))</f>
        <v>490.5</v>
      </c>
      <c r="Q172" s="58">
        <f>IF(ISNA(VLOOKUP($CW172,'Audit Values'!$A:$BZ,2,FALSE)),'Preliminary SO66'!F171,VLOOKUP($CW172,'Audit Values'!$A:$BZ,4,FALSE))</f>
        <v>0</v>
      </c>
      <c r="R172" s="58">
        <f t="shared" si="133"/>
        <v>490.5</v>
      </c>
      <c r="S172" s="58">
        <f>IF('Military Provision'!I172="YES", MAX('2024 Legal Max'!O172,'2024 Legal Max'!K172,AVERAGE('2024 Legal Max'!G172,'2024 Legal Max'!K172,'2024 Legal Max'!O172)), MAX(O172, K172))</f>
        <v>488.5</v>
      </c>
      <c r="T172" s="58">
        <f>IF(ISNA(VLOOKUP($CW172,'Audit Values'!$A:$BX,2,FALSE)),'Preliminary SO66'!AL171,VLOOKUP($CW172,'Audit Values'!$A:$BX,59,FALSE))</f>
        <v>6</v>
      </c>
      <c r="U172" s="58">
        <f t="shared" si="134"/>
        <v>494.5</v>
      </c>
      <c r="V172" s="58">
        <f>'Low-High ENRL- 2023 HSubSB 113'!N175</f>
        <v>210</v>
      </c>
      <c r="W172" s="58">
        <f>IF(ISNA(VLOOKUP($CW172,'Audit Values'!$A:$BZ,2,FALSE)),'Preliminary SO66'!AM171,VLOOKUP($CW172,'Audit Values'!$A:$BZ,63,FALSE))</f>
        <v>0</v>
      </c>
      <c r="X172" s="58">
        <f>(W172/6)*'Weighting Factors'!$O$7</f>
        <v>0</v>
      </c>
      <c r="Y172" s="61">
        <f>IF(ISNA(VLOOKUP($CW172,'Audit Values'!$A:$BZ,2,FALSE)),'Preliminary SO66'!AN171,VLOOKUP($CW172,'Audit Values'!$A:$BZ,62,FALSE))</f>
        <v>1</v>
      </c>
      <c r="Z172" s="58">
        <f>Y172*'Weighting Factors'!$O$8</f>
        <v>0.2</v>
      </c>
      <c r="AA172" s="58">
        <f t="shared" si="135"/>
        <v>0.2</v>
      </c>
      <c r="AB172" s="106">
        <f>IF(ISNA(VLOOKUP($CW172,'Audit Values'!$A:$BZ,2,FALSE)),'Preliminary SO66'!AO171,VLOOKUP($CW172,'Audit Values'!$A:$BZ,61,FALSE))</f>
        <v>106.6</v>
      </c>
      <c r="AC172" s="58">
        <f>AB172/6*'Weighting Factors'!$O$6</f>
        <v>8.9</v>
      </c>
      <c r="AD172" s="24">
        <f>IF(ISNA(VLOOKUP($CW172,'Audit Values'!$A:$BX,2,FALSE)),'Preliminary SO66'!AS171,VLOOKUP($CW172,'Audit Values'!$A:$BX,64,FALSE))</f>
        <v>503</v>
      </c>
      <c r="AE172" s="24">
        <f>IF(ISNA(VLOOKUP($CW172,'Audit Values'!$A:$BX,2,FALSE)),'Preliminary SO66'!AP171,VLOOKUP($CW172,'Audit Values'!$A:$BX,65,FALSE))</f>
        <v>208</v>
      </c>
      <c r="AF172" s="58">
        <f>IF(A172=207, AE172,(AE172))*'Weighting Factors'!$O$9</f>
        <v>100.7</v>
      </c>
      <c r="AG172" s="58">
        <f t="shared" si="132"/>
        <v>9.1999999999999993</v>
      </c>
      <c r="AH172" s="58">
        <f>IF(ISNA(VLOOKUP($CW172,'Audit Values'!$A:$BZ,2,FALSE)),'Preliminary SO66'!AG171,VLOOKUP($CW172,'Audit Values'!$A:$BZ,71,FALSE))</f>
        <v>9.8000000000000007</v>
      </c>
      <c r="AI172" s="58">
        <f t="shared" si="136"/>
        <v>9.8000000000000007</v>
      </c>
      <c r="AJ172" s="58">
        <f>IF(ISNA(VLOOKUP($CW172,'Audit Values'!$A:$BX,2,FALSE)),'Preliminary SO66'!AR171,VLOOKUP($CW172,'Audit Values'!$A:$BX,66,FALSE))</f>
        <v>296</v>
      </c>
      <c r="AK172" s="24">
        <f t="shared" si="137"/>
        <v>357978</v>
      </c>
      <c r="AL172" s="58">
        <f>AK172/'Weighting Factors'!$O$5</f>
        <v>70.400000000000006</v>
      </c>
      <c r="AM172" s="58">
        <f>CJ172/'Weighting Factors'!$O$5</f>
        <v>0</v>
      </c>
      <c r="AN172" s="58">
        <f>CN172/'Weighting Factors'!$O$5</f>
        <v>0</v>
      </c>
      <c r="AO172" s="24">
        <v>668571</v>
      </c>
      <c r="AP172" s="58">
        <f>AO172/'Weighting Factors'!$O$5</f>
        <v>131.4</v>
      </c>
      <c r="AQ172" s="58">
        <f>IF(ISNA(VLOOKUP($CW172,'Audit Values'!$A:$BX,2,FALSE)),'Preliminary SO66'!X171,VLOOKUP($CW172,'Audit Values'!$A:$BX,48,FALSE))</f>
        <v>0</v>
      </c>
      <c r="AR172" s="58">
        <f t="shared" si="130"/>
        <v>1025.9000000000001</v>
      </c>
      <c r="AS172" s="58">
        <f t="shared" si="131"/>
        <v>894.5</v>
      </c>
      <c r="AT172" s="58">
        <f>IF(ISNA(VLOOKUP($CW172,'Audit Values'!$A$2:$BX$410,2,FALSE)),'Preliminary SO66'!AA171,VLOOKUP($CW172,'Audit Values'!$A$2:$BX$410,41,FALSE))</f>
        <v>2</v>
      </c>
      <c r="AU172" s="58">
        <f>IF(ISNA(VLOOKUP($CW172,'Audit Values'!$A$2:$BX$410,2,FALSE)),'Preliminary SO66'!AB171,VLOOKUP($CW172,'Audit Values'!$A$2:$BX$410,42,FALSE))</f>
        <v>0</v>
      </c>
      <c r="AV172" s="73">
        <v>0</v>
      </c>
      <c r="AW172" s="73">
        <v>0.5</v>
      </c>
      <c r="AX172" s="24">
        <f>SUM(AT172*'Weighting Factors'!$R$10)+('2024 Legal Max'!AU172*'Weighting Factors'!$R$11)+('2024 Legal Max'!AV172*'Weighting Factors'!$R$12)+('2024 Legal Max'!AW172*'Weighting Factors'!$R$12)</f>
        <v>11555</v>
      </c>
      <c r="AY172" s="54">
        <f>IF(ISNA(VLOOKUP($CW172,'Audit Values'!$A$2:$BX$429,2,FALSE)),"",IF(AND('Weighting Factors'!G172&gt;0,VLOOKUP($CW172,'Audit Values'!$A$2:$BX$429,51,FALSE)&lt;'Weighting Factors'!G172),'Weighting Factors'!G172,VLOOKUP($CW172,'Audit Values'!$A$2:$BX$429,51,FALSE)))</f>
        <v>14</v>
      </c>
      <c r="AZ172" s="54" t="str">
        <f>IF(ISNA(VLOOKUP($CW172,'Audit Values'!$A:$BY,2,FALSE)),"",VLOOKUP($CW172,'Audit Values'!$A:$BY,52,FALSE))</f>
        <v>A</v>
      </c>
      <c r="BA172" s="54" t="str">
        <f>IF('Weighting Factors'!F172="","",IF('Weighting Factors'!H172="Pending","PX","R"))</f>
        <v/>
      </c>
      <c r="BB172" s="60">
        <f>SUM((U172+V172+AA172+AC172+AF172+AI172+AL172+AM172+AQ172+AN172)*'Weighting Factors'!$O$5)+'2024 Legal Max'!AX172</f>
        <v>4562771</v>
      </c>
      <c r="BC172" s="24">
        <f>SUM((AR172+AN172)*'Weighting Factors'!$O$5)+AX172</f>
        <v>5231334</v>
      </c>
      <c r="BD172" s="67">
        <f>IF('Weighting Factors'!F172&gt;0,'Weighting Factors'!F172,'Preliminary SO66'!AV171)</f>
        <v>5336301</v>
      </c>
      <c r="BE172" s="24">
        <f t="shared" si="138"/>
        <v>5231334</v>
      </c>
      <c r="BF172" s="71">
        <f>'Weighting Factors'!E172</f>
        <v>0</v>
      </c>
      <c r="BG172" s="71">
        <f>Transportation!G172</f>
        <v>0</v>
      </c>
      <c r="BH172" s="24">
        <f>IF(ISNA(VLOOKUP($CW172,'Audit Values'!$A:$BW,2,FALSE)), 0, VLOOKUP($CW172,'Audit Values'!$A:$BW,75,FALSE))</f>
        <v>0</v>
      </c>
      <c r="BI172" s="24">
        <f t="shared" si="139"/>
        <v>0</v>
      </c>
      <c r="BJ172" s="24">
        <f t="shared" si="140"/>
        <v>5231334</v>
      </c>
      <c r="BK172" s="24">
        <f>SUM((U172+V172+AA172+AC172+AF172+AI172+AL172+AM172+AN172)*'Weighting Factors'!O$12)+(MAX(AO172,'Weighting Factors'!B172))</f>
        <v>5484483</v>
      </c>
      <c r="BL172" s="78">
        <f>'LOB%'!F170</f>
        <v>0.33</v>
      </c>
      <c r="BM172" s="24">
        <f t="shared" si="111"/>
        <v>1809879</v>
      </c>
      <c r="BN172" s="67">
        <v>1803922</v>
      </c>
      <c r="BO172" s="24">
        <f t="shared" si="141"/>
        <v>1803922</v>
      </c>
      <c r="BP172" s="89">
        <f t="shared" si="112"/>
        <v>0.32890000000000003</v>
      </c>
      <c r="BQ172" s="58">
        <f t="shared" si="113"/>
        <v>0</v>
      </c>
      <c r="BR172" s="1" t="b">
        <f t="shared" si="114"/>
        <v>0</v>
      </c>
      <c r="BS172" s="76">
        <f t="shared" si="115"/>
        <v>0</v>
      </c>
      <c r="BT172" s="75">
        <f t="shared" si="142"/>
        <v>0</v>
      </c>
      <c r="BU172" s="58">
        <f t="shared" si="116"/>
        <v>0</v>
      </c>
      <c r="BV172" s="1" t="b">
        <f t="shared" si="117"/>
        <v>1</v>
      </c>
      <c r="BW172" s="1">
        <f t="shared" si="118"/>
        <v>240.69380000000001</v>
      </c>
      <c r="BX172" s="75">
        <f t="shared" si="143"/>
        <v>0.418105</v>
      </c>
      <c r="BY172" s="58">
        <f t="shared" si="119"/>
        <v>206.8</v>
      </c>
      <c r="BZ172" s="58">
        <f t="shared" si="120"/>
        <v>0</v>
      </c>
      <c r="CA172" s="61">
        <v>350</v>
      </c>
      <c r="CB172" s="102">
        <f t="shared" si="121"/>
        <v>0.84599999999999997</v>
      </c>
      <c r="CC172" s="105">
        <f>IF(CB172&lt;0.06,1,IF(CB172&gt;=18.29,52,MATCH(CB172-0.001,'Weighting Factors'!$W$5:$W$156)+1))</f>
        <v>30</v>
      </c>
      <c r="CD172" s="24">
        <f>VLOOKUP(CC172, 'Weighting Factors'!$U$5:$X$56,4)</f>
        <v>990</v>
      </c>
      <c r="CE172" s="109">
        <f>('Weighting Factors'!$O$5/'Weighting Factors'!$O$14)</f>
        <v>1.2216</v>
      </c>
      <c r="CF172" s="100">
        <f t="shared" si="122"/>
        <v>293040</v>
      </c>
      <c r="CG172" s="100">
        <f>CF172*'Weighting Factors'!$Q$7</f>
        <v>293040</v>
      </c>
      <c r="CH172" s="100">
        <f t="shared" si="144"/>
        <v>357978</v>
      </c>
      <c r="CI172" s="58">
        <f>AK172/'Weighting Factors'!$O$5</f>
        <v>70.400000000000006</v>
      </c>
      <c r="CJ172" s="67">
        <v>0</v>
      </c>
      <c r="CK172" s="80">
        <v>0</v>
      </c>
      <c r="CL172" s="110">
        <v>0</v>
      </c>
      <c r="CM172" s="24">
        <f>SUM((AR172*'Weighting Factors'!$O$5)+'2024 Legal Max'!AX172)*CL172</f>
        <v>0</v>
      </c>
      <c r="CN172" s="24">
        <f t="shared" si="145"/>
        <v>0</v>
      </c>
      <c r="CO172" s="65">
        <f t="shared" si="110"/>
        <v>0.41349999999999998</v>
      </c>
      <c r="CP172" s="58">
        <f t="shared" si="123"/>
        <v>0</v>
      </c>
      <c r="CQ172" s="58">
        <f t="shared" si="124"/>
        <v>9.1999999999999993</v>
      </c>
      <c r="CR172" s="58">
        <f t="shared" si="125"/>
        <v>1025.9000000000001</v>
      </c>
      <c r="CS172" s="24">
        <f>'Required Transfers'!L172</f>
        <v>178047</v>
      </c>
      <c r="CT172" s="24">
        <f>'Required Transfers'!O172</f>
        <v>361</v>
      </c>
      <c r="CU172" s="24">
        <f>'Required Transfers'!H172</f>
        <v>562224</v>
      </c>
      <c r="CV172" s="58">
        <f t="shared" si="126"/>
        <v>498.6</v>
      </c>
      <c r="CW172" s="27" t="s">
        <v>357</v>
      </c>
    </row>
    <row r="173" spans="1:101" ht="15" customHeight="1">
      <c r="A173" s="54">
        <v>378</v>
      </c>
      <c r="B173" s="1" t="s">
        <v>78</v>
      </c>
      <c r="C173" s="1" t="s">
        <v>678</v>
      </c>
      <c r="D173" s="58">
        <v>648</v>
      </c>
      <c r="E173" s="58"/>
      <c r="F173" s="58">
        <v>0</v>
      </c>
      <c r="G173" s="58">
        <f t="shared" si="127"/>
        <v>648</v>
      </c>
      <c r="H173" s="58">
        <v>669.5</v>
      </c>
      <c r="I173" s="58"/>
      <c r="J173" s="58">
        <v>0</v>
      </c>
      <c r="K173" s="58">
        <f t="shared" si="128"/>
        <v>669.5</v>
      </c>
      <c r="L173" s="1">
        <v>671.3</v>
      </c>
      <c r="N173" s="1">
        <v>0</v>
      </c>
      <c r="O173" s="58">
        <f t="shared" si="129"/>
        <v>671.3</v>
      </c>
      <c r="P173" s="58">
        <f>IF(ISNA(VLOOKUP($CW173,'Audit Values'!$A:$BZ,2,FALSE)),'Preliminary SO66'!C172,VLOOKUP($CW173,'Audit Values'!$A:$BZ,76,FALSE))</f>
        <v>684.5</v>
      </c>
      <c r="Q173" s="58">
        <f>IF(ISNA(VLOOKUP($CW173,'Audit Values'!$A:$BZ,2,FALSE)),'Preliminary SO66'!F172,VLOOKUP($CW173,'Audit Values'!$A:$BZ,4,FALSE))</f>
        <v>0</v>
      </c>
      <c r="R173" s="58">
        <f t="shared" si="133"/>
        <v>684.5</v>
      </c>
      <c r="S173" s="58">
        <f>IF('Military Provision'!I173="YES", MAX('2024 Legal Max'!O173,'2024 Legal Max'!K173,AVERAGE('2024 Legal Max'!G173,'2024 Legal Max'!K173,'2024 Legal Max'!O173)), MAX(O173, K173))</f>
        <v>671.3</v>
      </c>
      <c r="T173" s="58">
        <f>IF(ISNA(VLOOKUP($CW173,'Audit Values'!$A:$BX,2,FALSE)),'Preliminary SO66'!AL172,VLOOKUP($CW173,'Audit Values'!$A:$BX,59,FALSE))</f>
        <v>3</v>
      </c>
      <c r="U173" s="58">
        <f t="shared" si="134"/>
        <v>674.3</v>
      </c>
      <c r="V173" s="58">
        <f>'Low-High ENRL- 2023 HSubSB 113'!N176</f>
        <v>240.7</v>
      </c>
      <c r="W173" s="58">
        <f>IF(ISNA(VLOOKUP($CW173,'Audit Values'!$A:$BZ,2,FALSE)),'Preliminary SO66'!AM172,VLOOKUP($CW173,'Audit Values'!$A:$BZ,63,FALSE))</f>
        <v>0</v>
      </c>
      <c r="X173" s="58">
        <f>(W173/6)*'Weighting Factors'!$O$7</f>
        <v>0</v>
      </c>
      <c r="Y173" s="61">
        <f>IF(ISNA(VLOOKUP($CW173,'Audit Values'!$A:$BZ,2,FALSE)),'Preliminary SO66'!AN172,VLOOKUP($CW173,'Audit Values'!$A:$BZ,62,FALSE))</f>
        <v>0</v>
      </c>
      <c r="Z173" s="58">
        <f>Y173*'Weighting Factors'!$O$8</f>
        <v>0</v>
      </c>
      <c r="AA173" s="58">
        <f t="shared" si="135"/>
        <v>0</v>
      </c>
      <c r="AB173" s="106">
        <f>IF(ISNA(VLOOKUP($CW173,'Audit Values'!$A:$BZ,2,FALSE)),'Preliminary SO66'!AO172,VLOOKUP($CW173,'Audit Values'!$A:$BZ,61,FALSE))</f>
        <v>176.8</v>
      </c>
      <c r="AC173" s="58">
        <f>AB173/6*'Weighting Factors'!$O$6</f>
        <v>14.7</v>
      </c>
      <c r="AD173" s="24">
        <f>IF(ISNA(VLOOKUP($CW173,'Audit Values'!$A:$BX,2,FALSE)),'Preliminary SO66'!AS172,VLOOKUP($CW173,'Audit Values'!$A:$BX,64,FALSE))</f>
        <v>693</v>
      </c>
      <c r="AE173" s="24">
        <f>IF(ISNA(VLOOKUP($CW173,'Audit Values'!$A:$BX,2,FALSE)),'Preliminary SO66'!AP172,VLOOKUP($CW173,'Audit Values'!$A:$BX,65,FALSE))</f>
        <v>139</v>
      </c>
      <c r="AF173" s="58">
        <f>IF(A173=207, AE173,(AE173))*'Weighting Factors'!$O$9</f>
        <v>67.3</v>
      </c>
      <c r="AG173" s="58">
        <f t="shared" si="132"/>
        <v>0</v>
      </c>
      <c r="AH173" s="58">
        <f>IF(ISNA(VLOOKUP($CW173,'Audit Values'!$A:$BZ,2,FALSE)),'Preliminary SO66'!AG172,VLOOKUP($CW173,'Audit Values'!$A:$BZ,71,FALSE))</f>
        <v>0</v>
      </c>
      <c r="AI173" s="58">
        <f t="shared" si="136"/>
        <v>0</v>
      </c>
      <c r="AJ173" s="58">
        <f>IF(ISNA(VLOOKUP($CW173,'Audit Values'!$A:$BX,2,FALSE)),'Preliminary SO66'!AR172,VLOOKUP($CW173,'Audit Values'!$A:$BX,66,FALSE))</f>
        <v>387</v>
      </c>
      <c r="AK173" s="24">
        <f t="shared" si="137"/>
        <v>382935</v>
      </c>
      <c r="AL173" s="58">
        <f>AK173/'Weighting Factors'!$O$5</f>
        <v>75.3</v>
      </c>
      <c r="AM173" s="58">
        <f>CJ173/'Weighting Factors'!$O$5</f>
        <v>0</v>
      </c>
      <c r="AN173" s="58">
        <f>CN173/'Weighting Factors'!$O$5</f>
        <v>0</v>
      </c>
      <c r="AO173" s="24">
        <v>615378</v>
      </c>
      <c r="AP173" s="58">
        <f>AO173/'Weighting Factors'!$O$5</f>
        <v>120.9</v>
      </c>
      <c r="AQ173" s="58">
        <f>IF(ISNA(VLOOKUP($CW173,'Audit Values'!$A:$BX,2,FALSE)),'Preliminary SO66'!X172,VLOOKUP($CW173,'Audit Values'!$A:$BX,48,FALSE))</f>
        <v>0</v>
      </c>
      <c r="AR173" s="58">
        <f t="shared" si="130"/>
        <v>1193.2</v>
      </c>
      <c r="AS173" s="58">
        <f t="shared" si="131"/>
        <v>1072.3</v>
      </c>
      <c r="AT173" s="58">
        <f>IF(ISNA(VLOOKUP($CW173,'Audit Values'!$A$2:$BX$410,2,FALSE)),'Preliminary SO66'!AA172,VLOOKUP($CW173,'Audit Values'!$A$2:$BX$410,41,FALSE))</f>
        <v>0</v>
      </c>
      <c r="AU173" s="58">
        <f>IF(ISNA(VLOOKUP($CW173,'Audit Values'!$A$2:$BX$410,2,FALSE)),'Preliminary SO66'!AB172,VLOOKUP($CW173,'Audit Values'!$A$2:$BX$410,42,FALSE))</f>
        <v>0</v>
      </c>
      <c r="AV173" s="73">
        <v>0</v>
      </c>
      <c r="AW173" s="73">
        <v>0</v>
      </c>
      <c r="AX173" s="24">
        <f>SUM(AT173*'Weighting Factors'!$R$10)+('2024 Legal Max'!AU173*'Weighting Factors'!$R$11)+('2024 Legal Max'!AV173*'Weighting Factors'!$R$12)+('2024 Legal Max'!AW173*'Weighting Factors'!$R$12)</f>
        <v>0</v>
      </c>
      <c r="AY173" s="54">
        <f>IF(ISNA(VLOOKUP($CW173,'Audit Values'!$A$2:$BX$429,2,FALSE)),"",IF(AND('Weighting Factors'!G173&gt;0,VLOOKUP($CW173,'Audit Values'!$A$2:$BX$429,51,FALSE)&lt;'Weighting Factors'!G173),'Weighting Factors'!G173,VLOOKUP($CW173,'Audit Values'!$A$2:$BX$429,51,FALSE)))</f>
        <v>7</v>
      </c>
      <c r="AZ173" s="54" t="str">
        <f>IF(ISNA(VLOOKUP($CW173,'Audit Values'!$A:$BY,2,FALSE)),"",VLOOKUP($CW173,'Audit Values'!$A:$BY,52,FALSE))</f>
        <v>A</v>
      </c>
      <c r="BA173" s="54" t="str">
        <f>IF('Weighting Factors'!F173="","",IF('Weighting Factors'!H173="Pending","PX","R"))</f>
        <v/>
      </c>
      <c r="BB173" s="60">
        <f>SUM((U173+V173+AA173+AC173+AF173+AI173+AL173+AM173+AQ173+AN173)*'Weighting Factors'!$O$5)+'2024 Legal Max'!AX173</f>
        <v>5455862</v>
      </c>
      <c r="BC173" s="24">
        <f>SUM((AR173+AN173)*'Weighting Factors'!$O$5)+AX173</f>
        <v>6071002</v>
      </c>
      <c r="BD173" s="67">
        <f>IF('Weighting Factors'!F173&gt;0,'Weighting Factors'!F173,'Preliminary SO66'!AV172)</f>
        <v>6344227</v>
      </c>
      <c r="BE173" s="24">
        <f t="shared" si="138"/>
        <v>6071002</v>
      </c>
      <c r="BF173" s="71">
        <f>'Weighting Factors'!E173</f>
        <v>0</v>
      </c>
      <c r="BG173" s="71">
        <f>Transportation!G173</f>
        <v>0</v>
      </c>
      <c r="BH173" s="24">
        <f>IF(ISNA(VLOOKUP($CW173,'Audit Values'!$A:$BW,2,FALSE)), 0, VLOOKUP($CW173,'Audit Values'!$A:$BW,75,FALSE))</f>
        <v>0</v>
      </c>
      <c r="BI173" s="24">
        <f t="shared" si="139"/>
        <v>0</v>
      </c>
      <c r="BJ173" s="24">
        <f t="shared" si="140"/>
        <v>6071002</v>
      </c>
      <c r="BK173" s="24">
        <f>SUM((U173+V173+AA173+AC173+AF173+AI173+AL173+AM173+AN173)*'Weighting Factors'!O$12)+(MAX(AO173,'Weighting Factors'!B173))</f>
        <v>6213474</v>
      </c>
      <c r="BL173" s="78">
        <f>'LOB%'!F171</f>
        <v>0.316</v>
      </c>
      <c r="BM173" s="24">
        <f t="shared" si="111"/>
        <v>1963458</v>
      </c>
      <c r="BN173" s="67">
        <v>2028743</v>
      </c>
      <c r="BO173" s="24">
        <f t="shared" si="141"/>
        <v>1963458</v>
      </c>
      <c r="BP173" s="89">
        <f t="shared" si="112"/>
        <v>0.316</v>
      </c>
      <c r="BQ173" s="58">
        <f t="shared" si="113"/>
        <v>0</v>
      </c>
      <c r="BR173" s="1" t="b">
        <f t="shared" si="114"/>
        <v>0</v>
      </c>
      <c r="BS173" s="76">
        <f t="shared" si="115"/>
        <v>0</v>
      </c>
      <c r="BT173" s="75">
        <f t="shared" si="142"/>
        <v>0</v>
      </c>
      <c r="BU173" s="58">
        <f t="shared" si="116"/>
        <v>0</v>
      </c>
      <c r="BV173" s="1" t="b">
        <f t="shared" si="117"/>
        <v>1</v>
      </c>
      <c r="BW173" s="1">
        <f t="shared" si="118"/>
        <v>463.19630000000001</v>
      </c>
      <c r="BX173" s="75">
        <f t="shared" si="143"/>
        <v>0.357018</v>
      </c>
      <c r="BY173" s="58">
        <f t="shared" si="119"/>
        <v>240.7</v>
      </c>
      <c r="BZ173" s="58">
        <f t="shared" si="120"/>
        <v>0</v>
      </c>
      <c r="CA173" s="61">
        <v>160</v>
      </c>
      <c r="CB173" s="102">
        <f t="shared" si="121"/>
        <v>2.419</v>
      </c>
      <c r="CC173" s="105">
        <f>IF(CB173&lt;0.06,1,IF(CB173&gt;=18.29,52,MATCH(CB173-0.001,'Weighting Factors'!$W$5:$W$156)+1))</f>
        <v>39</v>
      </c>
      <c r="CD173" s="24">
        <f>VLOOKUP(CC173, 'Weighting Factors'!$U$5:$X$56,4)</f>
        <v>810</v>
      </c>
      <c r="CE173" s="109">
        <f>('Weighting Factors'!$O$5/'Weighting Factors'!$O$14)</f>
        <v>1.2216</v>
      </c>
      <c r="CF173" s="100">
        <f t="shared" si="122"/>
        <v>313470</v>
      </c>
      <c r="CG173" s="100">
        <f>CF173*'Weighting Factors'!$Q$7</f>
        <v>313470</v>
      </c>
      <c r="CH173" s="100">
        <f t="shared" si="144"/>
        <v>382935</v>
      </c>
      <c r="CI173" s="58">
        <f>AK173/'Weighting Factors'!$O$5</f>
        <v>75.3</v>
      </c>
      <c r="CJ173" s="67">
        <v>0</v>
      </c>
      <c r="CK173" s="80">
        <v>0</v>
      </c>
      <c r="CL173" s="110">
        <v>0</v>
      </c>
      <c r="CM173" s="24">
        <f>SUM((AR173*'Weighting Factors'!$O$5)+'2024 Legal Max'!AX173)*CL173</f>
        <v>0</v>
      </c>
      <c r="CN173" s="24">
        <f t="shared" si="145"/>
        <v>0</v>
      </c>
      <c r="CO173" s="65">
        <f t="shared" si="110"/>
        <v>0.2006</v>
      </c>
      <c r="CP173" s="58">
        <f t="shared" si="123"/>
        <v>0</v>
      </c>
      <c r="CQ173" s="58">
        <f t="shared" si="124"/>
        <v>0</v>
      </c>
      <c r="CR173" s="58">
        <f t="shared" si="125"/>
        <v>1193.2</v>
      </c>
      <c r="CS173" s="24">
        <f>'Required Transfers'!L173</f>
        <v>110935</v>
      </c>
      <c r="CT173" s="24">
        <f>'Required Transfers'!O173</f>
        <v>0</v>
      </c>
      <c r="CU173" s="24">
        <f>'Required Transfers'!H173</f>
        <v>342422</v>
      </c>
      <c r="CV173" s="58">
        <f t="shared" si="126"/>
        <v>687.5</v>
      </c>
      <c r="CW173" s="27" t="s">
        <v>358</v>
      </c>
    </row>
    <row r="174" spans="1:101" ht="15" customHeight="1">
      <c r="A174" s="54">
        <v>379</v>
      </c>
      <c r="B174" s="1" t="s">
        <v>79</v>
      </c>
      <c r="C174" s="1" t="s">
        <v>963</v>
      </c>
      <c r="D174" s="58">
        <v>1281.5</v>
      </c>
      <c r="E174" s="58"/>
      <c r="F174" s="58">
        <v>0</v>
      </c>
      <c r="G174" s="58">
        <f t="shared" si="127"/>
        <v>1281.5</v>
      </c>
      <c r="H174" s="58">
        <v>1292.2</v>
      </c>
      <c r="I174" s="58"/>
      <c r="J174" s="58">
        <v>0</v>
      </c>
      <c r="K174" s="58">
        <f t="shared" si="128"/>
        <v>1292.2</v>
      </c>
      <c r="L174" s="1">
        <v>1284.5</v>
      </c>
      <c r="N174" s="1">
        <v>0</v>
      </c>
      <c r="O174" s="58">
        <f t="shared" si="129"/>
        <v>1284.5</v>
      </c>
      <c r="P174" s="58">
        <f>IF(ISNA(VLOOKUP($CW174,'Audit Values'!$A:$BZ,2,FALSE)),'Preliminary SO66'!C173,VLOOKUP($CW174,'Audit Values'!$A:$BZ,76,FALSE))</f>
        <v>1284.5</v>
      </c>
      <c r="Q174" s="58">
        <f>IF(ISNA(VLOOKUP($CW174,'Audit Values'!$A:$BZ,2,FALSE)),'Preliminary SO66'!F173,VLOOKUP($CW174,'Audit Values'!$A:$BZ,4,FALSE))</f>
        <v>0</v>
      </c>
      <c r="R174" s="58">
        <f t="shared" si="133"/>
        <v>1284.5</v>
      </c>
      <c r="S174" s="58">
        <f>IF('Military Provision'!I174="YES", MAX('2024 Legal Max'!O174,'2024 Legal Max'!K174,AVERAGE('2024 Legal Max'!G174,'2024 Legal Max'!K174,'2024 Legal Max'!O174)), MAX(O174, K174))</f>
        <v>1292.2</v>
      </c>
      <c r="T174" s="58">
        <f>IF(ISNA(VLOOKUP($CW174,'Audit Values'!$A:$BX,2,FALSE)),'Preliminary SO66'!AL173,VLOOKUP($CW174,'Audit Values'!$A:$BX,59,FALSE))</f>
        <v>14.5</v>
      </c>
      <c r="U174" s="58">
        <f t="shared" si="134"/>
        <v>1306.7</v>
      </c>
      <c r="V174" s="58">
        <f>'Low-High ENRL- 2023 HSubSB 113'!N177</f>
        <v>185.8</v>
      </c>
      <c r="W174" s="58">
        <f>IF(ISNA(VLOOKUP($CW174,'Audit Values'!$A:$BZ,2,FALSE)),'Preliminary SO66'!AM173,VLOOKUP($CW174,'Audit Values'!$A:$BZ,63,FALSE))</f>
        <v>0.3</v>
      </c>
      <c r="X174" s="58">
        <f>(W174/6)*'Weighting Factors'!$O$7</f>
        <v>0</v>
      </c>
      <c r="Y174" s="61">
        <f>IF(ISNA(VLOOKUP($CW174,'Audit Values'!$A:$BZ,2,FALSE)),'Preliminary SO66'!AN173,VLOOKUP($CW174,'Audit Values'!$A:$BZ,62,FALSE))</f>
        <v>5</v>
      </c>
      <c r="Z174" s="58">
        <f>Y174*'Weighting Factors'!$O$8</f>
        <v>0.9</v>
      </c>
      <c r="AA174" s="58">
        <f t="shared" si="135"/>
        <v>0.9</v>
      </c>
      <c r="AB174" s="106">
        <f>IF(ISNA(VLOOKUP($CW174,'Audit Values'!$A:$BZ,2,FALSE)),'Preliminary SO66'!AO173,VLOOKUP($CW174,'Audit Values'!$A:$BZ,61,FALSE))</f>
        <v>438.3</v>
      </c>
      <c r="AC174" s="58">
        <f>AB174/6*'Weighting Factors'!$O$6</f>
        <v>36.5</v>
      </c>
      <c r="AD174" s="24">
        <f>IF(ISNA(VLOOKUP($CW174,'Audit Values'!$A:$BX,2,FALSE)),'Preliminary SO66'!AS173,VLOOKUP($CW174,'Audit Values'!$A:$BX,64,FALSE))</f>
        <v>1319</v>
      </c>
      <c r="AE174" s="24">
        <f>IF(ISNA(VLOOKUP($CW174,'Audit Values'!$A:$BX,2,FALSE)),'Preliminary SO66'!AP173,VLOOKUP($CW174,'Audit Values'!$A:$BX,65,FALSE))</f>
        <v>492</v>
      </c>
      <c r="AF174" s="58">
        <f>IF(A174=207, AE174,(AE174))*'Weighting Factors'!$O$9</f>
        <v>238.1</v>
      </c>
      <c r="AG174" s="58">
        <f t="shared" si="132"/>
        <v>7.9</v>
      </c>
      <c r="AH174" s="58">
        <f>IF(ISNA(VLOOKUP($CW174,'Audit Values'!$A:$BZ,2,FALSE)),'Preliminary SO66'!AG173,VLOOKUP($CW174,'Audit Values'!$A:$BZ,71,FALSE))</f>
        <v>15.9</v>
      </c>
      <c r="AI174" s="58">
        <f t="shared" si="136"/>
        <v>15.9</v>
      </c>
      <c r="AJ174" s="58">
        <f>IF(ISNA(VLOOKUP($CW174,'Audit Values'!$A:$BX,2,FALSE)),'Preliminary SO66'!AR173,VLOOKUP($CW174,'Audit Values'!$A:$BX,66,FALSE))</f>
        <v>335</v>
      </c>
      <c r="AK174" s="24">
        <f t="shared" si="137"/>
        <v>437883</v>
      </c>
      <c r="AL174" s="58">
        <f>AK174/'Weighting Factors'!$O$5</f>
        <v>86.1</v>
      </c>
      <c r="AM174" s="58">
        <f>CJ174/'Weighting Factors'!$O$5</f>
        <v>0</v>
      </c>
      <c r="AN174" s="58">
        <f>CN174/'Weighting Factors'!$O$5</f>
        <v>0</v>
      </c>
      <c r="AO174" s="24">
        <v>1095598</v>
      </c>
      <c r="AP174" s="58">
        <f>AO174/'Weighting Factors'!$O$5</f>
        <v>215.3</v>
      </c>
      <c r="AQ174" s="58">
        <f>IF(ISNA(VLOOKUP($CW174,'Audit Values'!$A:$BX,2,FALSE)),'Preliminary SO66'!X173,VLOOKUP($CW174,'Audit Values'!$A:$BX,48,FALSE))</f>
        <v>0</v>
      </c>
      <c r="AR174" s="58">
        <f t="shared" si="130"/>
        <v>2085.3000000000002</v>
      </c>
      <c r="AS174" s="58">
        <f t="shared" si="131"/>
        <v>1870</v>
      </c>
      <c r="AT174" s="58">
        <f>IF(ISNA(VLOOKUP($CW174,'Audit Values'!$A$2:$BX$410,2,FALSE)),'Preliminary SO66'!AA173,VLOOKUP($CW174,'Audit Values'!$A$2:$BX$410,41,FALSE))</f>
        <v>0</v>
      </c>
      <c r="AU174" s="58">
        <f>IF(ISNA(VLOOKUP($CW174,'Audit Values'!$A$2:$BX$410,2,FALSE)),'Preliminary SO66'!AB173,VLOOKUP($CW174,'Audit Values'!$A$2:$BX$410,42,FALSE))</f>
        <v>0</v>
      </c>
      <c r="AV174" s="73">
        <v>0</v>
      </c>
      <c r="AW174" s="73">
        <v>0</v>
      </c>
      <c r="AX174" s="24">
        <f>SUM(AT174*'Weighting Factors'!$R$10)+('2024 Legal Max'!AU174*'Weighting Factors'!$R$11)+('2024 Legal Max'!AV174*'Weighting Factors'!$R$12)+('2024 Legal Max'!AW174*'Weighting Factors'!$R$12)</f>
        <v>0</v>
      </c>
      <c r="AY174" s="54">
        <v>8</v>
      </c>
      <c r="AZ174" s="54" t="str">
        <f>IF(ISNA(VLOOKUP($CW174,'Audit Values'!$A:$BY,2,FALSE)),"",VLOOKUP($CW174,'Audit Values'!$A:$BY,52,FALSE))</f>
        <v>A</v>
      </c>
      <c r="BA174" s="54" t="str">
        <f>IF('Weighting Factors'!F174="","",IF('Weighting Factors'!H174="Pending","PX","R"))</f>
        <v>R</v>
      </c>
      <c r="BB174" s="60">
        <f>SUM((U174+V174+AA174+AC174+AF174+AI174+AL174+AM174+AQ174+AN174)*'Weighting Factors'!$O$5)+'2024 Legal Max'!AX174</f>
        <v>9514560</v>
      </c>
      <c r="BC174" s="24">
        <f>SUM((AR174+AN174)*'Weighting Factors'!$O$5)+AX174</f>
        <v>10610006</v>
      </c>
      <c r="BD174" s="67">
        <f>IF('Weighting Factors'!F174&gt;0,'Weighting Factors'!F174,'Preliminary SO66'!AV173)</f>
        <v>10960061</v>
      </c>
      <c r="BE174" s="24">
        <f t="shared" si="138"/>
        <v>10610006</v>
      </c>
      <c r="BF174" s="71">
        <f>'Weighting Factors'!E174</f>
        <v>0</v>
      </c>
      <c r="BG174" s="71">
        <f>Transportation!G174</f>
        <v>0</v>
      </c>
      <c r="BH174" s="24">
        <f>IF(ISNA(VLOOKUP($CW174,'Audit Values'!$A:$BW,2,FALSE)), 0, VLOOKUP($CW174,'Audit Values'!$A:$BW,75,FALSE))</f>
        <v>0</v>
      </c>
      <c r="BI174" s="24">
        <f t="shared" si="139"/>
        <v>0</v>
      </c>
      <c r="BJ174" s="24">
        <f t="shared" si="140"/>
        <v>10610006</v>
      </c>
      <c r="BK174" s="24">
        <f>SUM((U174+V174+AA174+AC174+AF174+AI174+AL174+AM174+AN174)*'Weighting Factors'!O$12)+(MAX(AO174,'Weighting Factors'!B174))</f>
        <v>10844856</v>
      </c>
      <c r="BL174" s="78">
        <f>'LOB%'!F172</f>
        <v>0.316</v>
      </c>
      <c r="BM174" s="24">
        <f t="shared" si="111"/>
        <v>3426974</v>
      </c>
      <c r="BN174" s="67">
        <v>3310343</v>
      </c>
      <c r="BO174" s="24">
        <f t="shared" si="141"/>
        <v>3310343</v>
      </c>
      <c r="BP174" s="89">
        <f t="shared" si="112"/>
        <v>0.30520000000000003</v>
      </c>
      <c r="BQ174" s="58">
        <f t="shared" si="113"/>
        <v>0</v>
      </c>
      <c r="BR174" s="1" t="b">
        <f t="shared" si="114"/>
        <v>0</v>
      </c>
      <c r="BS174" s="76">
        <f t="shared" si="115"/>
        <v>0</v>
      </c>
      <c r="BT174" s="75">
        <f t="shared" si="142"/>
        <v>0</v>
      </c>
      <c r="BU174" s="58">
        <f t="shared" si="116"/>
        <v>0</v>
      </c>
      <c r="BV174" s="1" t="b">
        <f t="shared" si="117"/>
        <v>1</v>
      </c>
      <c r="BW174" s="1">
        <f t="shared" si="118"/>
        <v>1245.7913000000001</v>
      </c>
      <c r="BX174" s="75">
        <f t="shared" si="143"/>
        <v>0.14216100000000001</v>
      </c>
      <c r="BY174" s="58">
        <f t="shared" si="119"/>
        <v>185.8</v>
      </c>
      <c r="BZ174" s="58">
        <f t="shared" si="120"/>
        <v>0</v>
      </c>
      <c r="CA174" s="61">
        <v>632.5</v>
      </c>
      <c r="CB174" s="102">
        <f t="shared" si="121"/>
        <v>0.53</v>
      </c>
      <c r="CC174" s="105">
        <f>IF(CB174&lt;0.06,1,IF(CB174&gt;=18.29,52,MATCH(CB174-0.001,'Weighting Factors'!$W$5:$W$156)+1))</f>
        <v>26</v>
      </c>
      <c r="CD174" s="24">
        <f>VLOOKUP(CC174, 'Weighting Factors'!$U$5:$X$56,4)</f>
        <v>1070</v>
      </c>
      <c r="CE174" s="109">
        <f>('Weighting Factors'!$O$5/'Weighting Factors'!$O$14)</f>
        <v>1.2216</v>
      </c>
      <c r="CF174" s="100">
        <f t="shared" si="122"/>
        <v>358450</v>
      </c>
      <c r="CG174" s="100">
        <f>CF174*'Weighting Factors'!$Q$7</f>
        <v>358450</v>
      </c>
      <c r="CH174" s="100">
        <f t="shared" si="144"/>
        <v>437883</v>
      </c>
      <c r="CI174" s="58">
        <f>AK174/'Weighting Factors'!$O$5</f>
        <v>86.1</v>
      </c>
      <c r="CJ174" s="67">
        <v>0</v>
      </c>
      <c r="CK174" s="80">
        <v>0</v>
      </c>
      <c r="CL174" s="110">
        <v>0</v>
      </c>
      <c r="CM174" s="24">
        <f>SUM((AR174*'Weighting Factors'!$O$5)+'2024 Legal Max'!AX174)*CL174</f>
        <v>0</v>
      </c>
      <c r="CN174" s="24">
        <f t="shared" si="145"/>
        <v>0</v>
      </c>
      <c r="CO174" s="65">
        <f t="shared" si="110"/>
        <v>0.373</v>
      </c>
      <c r="CP174" s="58">
        <f t="shared" si="123"/>
        <v>0</v>
      </c>
      <c r="CQ174" s="58">
        <f t="shared" si="124"/>
        <v>7.9</v>
      </c>
      <c r="CR174" s="58">
        <f t="shared" si="125"/>
        <v>2085.3000000000002</v>
      </c>
      <c r="CS174" s="24">
        <f>'Required Transfers'!L174</f>
        <v>380689</v>
      </c>
      <c r="CT174" s="24">
        <f>'Required Transfers'!O174</f>
        <v>1324</v>
      </c>
      <c r="CU174" s="24">
        <f>'Required Transfers'!H174</f>
        <v>1292352</v>
      </c>
      <c r="CV174" s="58">
        <f t="shared" si="126"/>
        <v>1299</v>
      </c>
      <c r="CW174" s="27" t="s">
        <v>359</v>
      </c>
    </row>
    <row r="175" spans="1:101" ht="15" customHeight="1">
      <c r="A175" s="54">
        <v>380</v>
      </c>
      <c r="B175" s="1" t="s">
        <v>70</v>
      </c>
      <c r="C175" s="1" t="s">
        <v>680</v>
      </c>
      <c r="D175" s="58">
        <v>541.79999999999995</v>
      </c>
      <c r="E175" s="58"/>
      <c r="F175" s="58">
        <v>0</v>
      </c>
      <c r="G175" s="58">
        <f t="shared" si="127"/>
        <v>541.79999999999995</v>
      </c>
      <c r="H175" s="58">
        <v>569.4</v>
      </c>
      <c r="I175" s="58"/>
      <c r="J175" s="58">
        <v>0</v>
      </c>
      <c r="K175" s="58">
        <f t="shared" si="128"/>
        <v>569.4</v>
      </c>
      <c r="L175" s="1">
        <v>581.9</v>
      </c>
      <c r="N175" s="1">
        <v>0</v>
      </c>
      <c r="O175" s="58">
        <f t="shared" si="129"/>
        <v>581.9</v>
      </c>
      <c r="P175" s="58">
        <f>IF(ISNA(VLOOKUP($CW175,'Audit Values'!$A:$BZ,2,FALSE)),'Preliminary SO66'!C174,VLOOKUP($CW175,'Audit Values'!$A:$BZ,76,FALSE))</f>
        <v>584.1</v>
      </c>
      <c r="Q175" s="58">
        <f>IF(ISNA(VLOOKUP($CW175,'Audit Values'!$A:$BZ,2,FALSE)),'Preliminary SO66'!F174,VLOOKUP($CW175,'Audit Values'!$A:$BZ,4,FALSE))</f>
        <v>0</v>
      </c>
      <c r="R175" s="58">
        <f t="shared" si="133"/>
        <v>584.1</v>
      </c>
      <c r="S175" s="58">
        <f>IF('Military Provision'!I175="YES", MAX('2024 Legal Max'!O175,'2024 Legal Max'!K175,AVERAGE('2024 Legal Max'!G175,'2024 Legal Max'!K175,'2024 Legal Max'!O175)), MAX(O175, K175))</f>
        <v>581.9</v>
      </c>
      <c r="T175" s="58">
        <f>IF(ISNA(VLOOKUP($CW175,'Audit Values'!$A:$BX,2,FALSE)),'Preliminary SO66'!AL174,VLOOKUP($CW175,'Audit Values'!$A:$BX,59,FALSE))</f>
        <v>19.5</v>
      </c>
      <c r="U175" s="58">
        <f t="shared" si="134"/>
        <v>601.4</v>
      </c>
      <c r="V175" s="58">
        <f>'Low-High ENRL- 2023 HSubSB 113'!N178</f>
        <v>231.3</v>
      </c>
      <c r="W175" s="58">
        <f>IF(ISNA(VLOOKUP($CW175,'Audit Values'!$A:$BZ,2,FALSE)),'Preliminary SO66'!AM174,VLOOKUP($CW175,'Audit Values'!$A:$BZ,63,FALSE))</f>
        <v>0</v>
      </c>
      <c r="X175" s="58">
        <f>(W175/6)*'Weighting Factors'!$O$7</f>
        <v>0</v>
      </c>
      <c r="Y175" s="61">
        <f>IF(ISNA(VLOOKUP($CW175,'Audit Values'!$A:$BZ,2,FALSE)),'Preliminary SO66'!AN174,VLOOKUP($CW175,'Audit Values'!$A:$BZ,62,FALSE))</f>
        <v>2</v>
      </c>
      <c r="Z175" s="58">
        <f>Y175*'Weighting Factors'!$O$8</f>
        <v>0.4</v>
      </c>
      <c r="AA175" s="58">
        <f t="shared" si="135"/>
        <v>0.4</v>
      </c>
      <c r="AB175" s="106">
        <f>IF(ISNA(VLOOKUP($CW175,'Audit Values'!$A:$BZ,2,FALSE)),'Preliminary SO66'!AO174,VLOOKUP($CW175,'Audit Values'!$A:$BZ,61,FALSE))</f>
        <v>190.6</v>
      </c>
      <c r="AC175" s="58">
        <f>AB175/6*'Weighting Factors'!$O$6</f>
        <v>15.9</v>
      </c>
      <c r="AD175" s="24">
        <f>IF(ISNA(VLOOKUP($CW175,'Audit Values'!$A:$BX,2,FALSE)),'Preliminary SO66'!AS174,VLOOKUP($CW175,'Audit Values'!$A:$BX,64,FALSE))</f>
        <v>632</v>
      </c>
      <c r="AE175" s="24">
        <f>IF(ISNA(VLOOKUP($CW175,'Audit Values'!$A:$BX,2,FALSE)),'Preliminary SO66'!AP174,VLOOKUP($CW175,'Audit Values'!$A:$BX,65,FALSE))</f>
        <v>138</v>
      </c>
      <c r="AF175" s="58">
        <f>IF(A175=207, AE175,(AE175))*'Weighting Factors'!$O$9</f>
        <v>66.8</v>
      </c>
      <c r="AG175" s="58">
        <f t="shared" si="132"/>
        <v>0</v>
      </c>
      <c r="AH175" s="58">
        <f>IF(ISNA(VLOOKUP($CW175,'Audit Values'!$A:$BZ,2,FALSE)),'Preliminary SO66'!AG174,VLOOKUP($CW175,'Audit Values'!$A:$BZ,71,FALSE))</f>
        <v>0</v>
      </c>
      <c r="AI175" s="58">
        <f t="shared" si="136"/>
        <v>0</v>
      </c>
      <c r="AJ175" s="58">
        <f>IF(ISNA(VLOOKUP($CW175,'Audit Values'!$A:$BX,2,FALSE)),'Preliminary SO66'!AR174,VLOOKUP($CW175,'Audit Values'!$A:$BX,66,FALSE))</f>
        <v>312</v>
      </c>
      <c r="AK175" s="24">
        <f t="shared" si="137"/>
        <v>384951</v>
      </c>
      <c r="AL175" s="58">
        <f>AK175/'Weighting Factors'!$O$5</f>
        <v>75.7</v>
      </c>
      <c r="AM175" s="58">
        <f>CJ175/'Weighting Factors'!$O$5</f>
        <v>0</v>
      </c>
      <c r="AN175" s="58">
        <f>CN175/'Weighting Factors'!$O$5</f>
        <v>0</v>
      </c>
      <c r="AO175" s="24">
        <v>426798</v>
      </c>
      <c r="AP175" s="58">
        <f>AO175/'Weighting Factors'!$O$5</f>
        <v>83.9</v>
      </c>
      <c r="AQ175" s="58">
        <f>IF(ISNA(VLOOKUP($CW175,'Audit Values'!$A:$BX,2,FALSE)),'Preliminary SO66'!X174,VLOOKUP($CW175,'Audit Values'!$A:$BX,48,FALSE))</f>
        <v>0</v>
      </c>
      <c r="AR175" s="58">
        <f t="shared" si="130"/>
        <v>1075.4000000000001</v>
      </c>
      <c r="AS175" s="58">
        <f t="shared" si="131"/>
        <v>991.5</v>
      </c>
      <c r="AT175" s="58">
        <f>IF(ISNA(VLOOKUP($CW175,'Audit Values'!$A$2:$BX$410,2,FALSE)),'Preliminary SO66'!AA174,VLOOKUP($CW175,'Audit Values'!$A$2:$BX$410,41,FALSE))</f>
        <v>0</v>
      </c>
      <c r="AU175" s="58">
        <f>IF(ISNA(VLOOKUP($CW175,'Audit Values'!$A$2:$BX$410,2,FALSE)),'Preliminary SO66'!AB174,VLOOKUP($CW175,'Audit Values'!$A$2:$BX$410,42,FALSE))</f>
        <v>0</v>
      </c>
      <c r="AV175" s="73">
        <v>0</v>
      </c>
      <c r="AW175" s="73">
        <v>0</v>
      </c>
      <c r="AX175" s="24">
        <f>SUM(AT175*'Weighting Factors'!$R$10)+('2024 Legal Max'!AU175*'Weighting Factors'!$R$11)+('2024 Legal Max'!AV175*'Weighting Factors'!$R$12)+('2024 Legal Max'!AW175*'Weighting Factors'!$R$12)</f>
        <v>0</v>
      </c>
      <c r="AY175" s="54">
        <f>IF(ISNA(VLOOKUP($CW175,'Audit Values'!$A$2:$BX$429,2,FALSE)),"",IF(AND('Weighting Factors'!G175&gt;0,VLOOKUP($CW175,'Audit Values'!$A$2:$BX$429,51,FALSE)&lt;'Weighting Factors'!G175),'Weighting Factors'!G175,VLOOKUP($CW175,'Audit Values'!$A$2:$BX$429,51,FALSE)))</f>
        <v>16</v>
      </c>
      <c r="AZ175" s="54" t="str">
        <f>IF(ISNA(VLOOKUP($CW175,'Audit Values'!$A:$BY,2,FALSE)),"",VLOOKUP($CW175,'Audit Values'!$A:$BY,52,FALSE))</f>
        <v>A</v>
      </c>
      <c r="BA175" s="54" t="str">
        <f>IF('Weighting Factors'!F175="","",IF('Weighting Factors'!H175="Pending","PX","R"))</f>
        <v/>
      </c>
      <c r="BB175" s="60">
        <f>SUM((U175+V175+AA175+AC175+AF175+AI175+AL175+AM175+AQ175+AN175)*'Weighting Factors'!$O$5)+'2024 Legal Max'!AX175</f>
        <v>5044752</v>
      </c>
      <c r="BC175" s="24">
        <f>SUM((AR175+AN175)*'Weighting Factors'!$O$5)+AX175</f>
        <v>5471635</v>
      </c>
      <c r="BD175" s="67">
        <f>IF('Weighting Factors'!F175&gt;0,'Weighting Factors'!F175,'Preliminary SO66'!AV174)</f>
        <v>5562202</v>
      </c>
      <c r="BE175" s="24">
        <f t="shared" si="138"/>
        <v>5471635</v>
      </c>
      <c r="BF175" s="71">
        <f>'Weighting Factors'!E175</f>
        <v>0</v>
      </c>
      <c r="BG175" s="71">
        <f>Transportation!G175</f>
        <v>0</v>
      </c>
      <c r="BH175" s="24">
        <f>IF(ISNA(VLOOKUP($CW175,'Audit Values'!$A:$BW,2,FALSE)), 0, VLOOKUP($CW175,'Audit Values'!$A:$BW,75,FALSE))</f>
        <v>0</v>
      </c>
      <c r="BI175" s="24">
        <f t="shared" si="139"/>
        <v>0</v>
      </c>
      <c r="BJ175" s="24">
        <f t="shared" si="140"/>
        <v>5471635</v>
      </c>
      <c r="BK175" s="24">
        <f>SUM((U175+V175+AA175+AC175+AF175+AI175+AL175+AM175+AN175)*'Weighting Factors'!O$12)+(MAX(AO175,'Weighting Factors'!B175))</f>
        <v>5540955</v>
      </c>
      <c r="BL175" s="78">
        <f>'LOB%'!F173</f>
        <v>0.316</v>
      </c>
      <c r="BM175" s="24">
        <f t="shared" si="111"/>
        <v>1750942</v>
      </c>
      <c r="BN175" s="67">
        <v>1779801</v>
      </c>
      <c r="BO175" s="24">
        <f t="shared" si="141"/>
        <v>1750942</v>
      </c>
      <c r="BP175" s="89">
        <f t="shared" si="112"/>
        <v>0.316</v>
      </c>
      <c r="BQ175" s="58">
        <f t="shared" si="113"/>
        <v>0</v>
      </c>
      <c r="BR175" s="1" t="b">
        <f t="shared" si="114"/>
        <v>0</v>
      </c>
      <c r="BS175" s="76">
        <f t="shared" si="115"/>
        <v>0</v>
      </c>
      <c r="BT175" s="75">
        <f t="shared" si="142"/>
        <v>0</v>
      </c>
      <c r="BU175" s="58">
        <f t="shared" si="116"/>
        <v>0</v>
      </c>
      <c r="BV175" s="1" t="b">
        <f t="shared" si="117"/>
        <v>1</v>
      </c>
      <c r="BW175" s="1">
        <f t="shared" si="118"/>
        <v>372.98250000000002</v>
      </c>
      <c r="BX175" s="75">
        <f t="shared" si="143"/>
        <v>0.38178600000000001</v>
      </c>
      <c r="BY175" s="58">
        <f t="shared" si="119"/>
        <v>229.6</v>
      </c>
      <c r="BZ175" s="58">
        <f t="shared" si="120"/>
        <v>0</v>
      </c>
      <c r="CA175" s="61">
        <v>402</v>
      </c>
      <c r="CB175" s="102">
        <f t="shared" si="121"/>
        <v>0.77600000000000002</v>
      </c>
      <c r="CC175" s="105">
        <f>IF(CB175&lt;0.06,1,IF(CB175&gt;=18.29,52,MATCH(CB175-0.001,'Weighting Factors'!$W$5:$W$156)+1))</f>
        <v>29</v>
      </c>
      <c r="CD175" s="24">
        <f>VLOOKUP(CC175, 'Weighting Factors'!$U$5:$X$56,4)</f>
        <v>1010</v>
      </c>
      <c r="CE175" s="109">
        <f>('Weighting Factors'!$O$5/'Weighting Factors'!$O$14)</f>
        <v>1.2216</v>
      </c>
      <c r="CF175" s="100">
        <f t="shared" si="122"/>
        <v>315120</v>
      </c>
      <c r="CG175" s="100">
        <f>CF175*'Weighting Factors'!$Q$7</f>
        <v>315120</v>
      </c>
      <c r="CH175" s="100">
        <f t="shared" si="144"/>
        <v>384951</v>
      </c>
      <c r="CI175" s="58">
        <f>AK175/'Weighting Factors'!$O$5</f>
        <v>75.7</v>
      </c>
      <c r="CJ175" s="67">
        <v>0</v>
      </c>
      <c r="CK175" s="80">
        <v>0</v>
      </c>
      <c r="CL175" s="110">
        <v>0</v>
      </c>
      <c r="CM175" s="24">
        <f>SUM((AR175*'Weighting Factors'!$O$5)+'2024 Legal Max'!AX175)*CL175</f>
        <v>0</v>
      </c>
      <c r="CN175" s="24">
        <f t="shared" si="145"/>
        <v>0</v>
      </c>
      <c r="CO175" s="65">
        <f t="shared" si="110"/>
        <v>0.21840000000000001</v>
      </c>
      <c r="CP175" s="58">
        <f t="shared" si="123"/>
        <v>0</v>
      </c>
      <c r="CQ175" s="58">
        <f t="shared" si="124"/>
        <v>0</v>
      </c>
      <c r="CR175" s="58">
        <f t="shared" si="125"/>
        <v>1075.4000000000001</v>
      </c>
      <c r="CS175" s="24">
        <f>'Required Transfers'!L175</f>
        <v>110835</v>
      </c>
      <c r="CT175" s="24">
        <f>'Required Transfers'!O175</f>
        <v>700</v>
      </c>
      <c r="CU175" s="24">
        <f>'Required Transfers'!H175</f>
        <v>339878</v>
      </c>
      <c r="CV175" s="58">
        <f t="shared" si="126"/>
        <v>603.6</v>
      </c>
      <c r="CW175" s="27" t="s">
        <v>360</v>
      </c>
    </row>
    <row r="176" spans="1:101" ht="15" customHeight="1">
      <c r="A176" s="54">
        <v>381</v>
      </c>
      <c r="B176" s="1" t="s">
        <v>80</v>
      </c>
      <c r="C176" s="1" t="s">
        <v>681</v>
      </c>
      <c r="D176" s="58">
        <v>311</v>
      </c>
      <c r="E176" s="58"/>
      <c r="F176" s="58">
        <v>0</v>
      </c>
      <c r="G176" s="58">
        <f t="shared" si="127"/>
        <v>311</v>
      </c>
      <c r="H176" s="58">
        <v>325.5</v>
      </c>
      <c r="I176" s="58"/>
      <c r="J176" s="58">
        <v>0</v>
      </c>
      <c r="K176" s="58">
        <f t="shared" si="128"/>
        <v>325.5</v>
      </c>
      <c r="L176" s="1">
        <v>316.5</v>
      </c>
      <c r="N176" s="1">
        <v>0</v>
      </c>
      <c r="O176" s="58">
        <f t="shared" si="129"/>
        <v>316.5</v>
      </c>
      <c r="P176" s="58">
        <f>IF(ISNA(VLOOKUP($CW176,'Audit Values'!$A:$BZ,2,FALSE)),'Preliminary SO66'!C175,VLOOKUP($CW176,'Audit Values'!$A:$BZ,76,FALSE))</f>
        <v>340</v>
      </c>
      <c r="Q176" s="58">
        <f>IF(ISNA(VLOOKUP($CW176,'Audit Values'!$A:$BZ,2,FALSE)),'Preliminary SO66'!F175,VLOOKUP($CW176,'Audit Values'!$A:$BZ,4,FALSE))</f>
        <v>0</v>
      </c>
      <c r="R176" s="58">
        <f t="shared" si="133"/>
        <v>340</v>
      </c>
      <c r="S176" s="58">
        <f>IF('Military Provision'!I176="YES", MAX('2024 Legal Max'!O176,'2024 Legal Max'!K176,AVERAGE('2024 Legal Max'!G176,'2024 Legal Max'!K176,'2024 Legal Max'!O176)), MAX(O176, K176))</f>
        <v>325.5</v>
      </c>
      <c r="T176" s="58">
        <f>IF(ISNA(VLOOKUP($CW176,'Audit Values'!$A:$BX,2,FALSE)),'Preliminary SO66'!AL175,VLOOKUP($CW176,'Audit Values'!$A:$BX,59,FALSE))</f>
        <v>2</v>
      </c>
      <c r="U176" s="58">
        <f t="shared" si="134"/>
        <v>327.5</v>
      </c>
      <c r="V176" s="58">
        <f>'Low-High ENRL- 2023 HSubSB 113'!N179</f>
        <v>155.5</v>
      </c>
      <c r="W176" s="58">
        <f>IF(ISNA(VLOOKUP($CW176,'Audit Values'!$A:$BZ,2,FALSE)),'Preliminary SO66'!AM175,VLOOKUP($CW176,'Audit Values'!$A:$BZ,63,FALSE))</f>
        <v>32.1</v>
      </c>
      <c r="X176" s="58">
        <f>(W176/6)*'Weighting Factors'!$O$7</f>
        <v>2.1</v>
      </c>
      <c r="Y176" s="61">
        <f>IF(ISNA(VLOOKUP($CW176,'Audit Values'!$A:$BZ,2,FALSE)),'Preliminary SO66'!AN175,VLOOKUP($CW176,'Audit Values'!$A:$BZ,62,FALSE))</f>
        <v>12</v>
      </c>
      <c r="Z176" s="58">
        <f>Y176*'Weighting Factors'!$O$8</f>
        <v>2.2000000000000002</v>
      </c>
      <c r="AA176" s="58">
        <f t="shared" si="135"/>
        <v>2.2000000000000002</v>
      </c>
      <c r="AB176" s="106">
        <f>IF(ISNA(VLOOKUP($CW176,'Audit Values'!$A:$BZ,2,FALSE)),'Preliminary SO66'!AO175,VLOOKUP($CW176,'Audit Values'!$A:$BZ,61,FALSE))</f>
        <v>89.3</v>
      </c>
      <c r="AC176" s="58">
        <f>AB176/6*'Weighting Factors'!$O$6</f>
        <v>7.4</v>
      </c>
      <c r="AD176" s="24">
        <f>IF(ISNA(VLOOKUP($CW176,'Audit Values'!$A:$BX,2,FALSE)),'Preliminary SO66'!AS175,VLOOKUP($CW176,'Audit Values'!$A:$BX,64,FALSE))</f>
        <v>350</v>
      </c>
      <c r="AE176" s="24">
        <f>IF(ISNA(VLOOKUP($CW176,'Audit Values'!$A:$BX,2,FALSE)),'Preliminary SO66'!AP175,VLOOKUP($CW176,'Audit Values'!$A:$BX,65,FALSE))</f>
        <v>95</v>
      </c>
      <c r="AF176" s="58">
        <f>IF(A176=207, AE176,(AE176))*'Weighting Factors'!$O$9</f>
        <v>46</v>
      </c>
      <c r="AG176" s="58">
        <f t="shared" si="132"/>
        <v>0</v>
      </c>
      <c r="AH176" s="58">
        <f>IF(ISNA(VLOOKUP($CW176,'Audit Values'!$A:$BZ,2,FALSE)),'Preliminary SO66'!AG175,VLOOKUP($CW176,'Audit Values'!$A:$BZ,71,FALSE))</f>
        <v>0</v>
      </c>
      <c r="AI176" s="58">
        <f t="shared" si="136"/>
        <v>0</v>
      </c>
      <c r="AJ176" s="58">
        <f>IF(ISNA(VLOOKUP($CW176,'Audit Values'!$A:$BX,2,FALSE)),'Preliminary SO66'!AR175,VLOOKUP($CW176,'Audit Values'!$A:$BX,66,FALSE))</f>
        <v>55</v>
      </c>
      <c r="AK176" s="24">
        <f t="shared" si="137"/>
        <v>79954</v>
      </c>
      <c r="AL176" s="58">
        <f>AK176/'Weighting Factors'!$O$5</f>
        <v>15.7</v>
      </c>
      <c r="AM176" s="58">
        <f>CJ176/'Weighting Factors'!$O$5</f>
        <v>0</v>
      </c>
      <c r="AN176" s="58">
        <f>CN176/'Weighting Factors'!$O$5</f>
        <v>0</v>
      </c>
      <c r="AO176" s="24">
        <v>255640</v>
      </c>
      <c r="AP176" s="58">
        <f>AO176/'Weighting Factors'!$O$5</f>
        <v>50.2</v>
      </c>
      <c r="AQ176" s="58">
        <f>IF(ISNA(VLOOKUP($CW176,'Audit Values'!$A:$BX,2,FALSE)),'Preliminary SO66'!X175,VLOOKUP($CW176,'Audit Values'!$A:$BX,48,FALSE))</f>
        <v>1</v>
      </c>
      <c r="AR176" s="58">
        <f t="shared" si="130"/>
        <v>605.5</v>
      </c>
      <c r="AS176" s="58">
        <f t="shared" si="131"/>
        <v>555.29999999999995</v>
      </c>
      <c r="AT176" s="58">
        <f>IF(ISNA(VLOOKUP($CW176,'Audit Values'!$A$2:$BX$410,2,FALSE)),'Preliminary SO66'!AA175,VLOOKUP($CW176,'Audit Values'!$A$2:$BX$410,41,FALSE))</f>
        <v>0</v>
      </c>
      <c r="AU176" s="58">
        <f>IF(ISNA(VLOOKUP($CW176,'Audit Values'!$A$2:$BX$410,2,FALSE)),'Preliminary SO66'!AB175,VLOOKUP($CW176,'Audit Values'!$A$2:$BX$410,42,FALSE))</f>
        <v>0</v>
      </c>
      <c r="AV176" s="73">
        <v>0</v>
      </c>
      <c r="AW176" s="73">
        <v>0</v>
      </c>
      <c r="AX176" s="24">
        <f>SUM(AT176*'Weighting Factors'!$R$10)+('2024 Legal Max'!AU176*'Weighting Factors'!$R$11)+('2024 Legal Max'!AV176*'Weighting Factors'!$R$12)+('2024 Legal Max'!AW176*'Weighting Factors'!$R$12)</f>
        <v>0</v>
      </c>
      <c r="AY176" s="54">
        <f>IF(ISNA(VLOOKUP($CW176,'Audit Values'!$A$2:$BX$429,2,FALSE)),"",IF(AND('Weighting Factors'!G176&gt;0,VLOOKUP($CW176,'Audit Values'!$A$2:$BX$429,51,FALSE)&lt;'Weighting Factors'!G176),'Weighting Factors'!G176,VLOOKUP($CW176,'Audit Values'!$A$2:$BX$429,51,FALSE)))</f>
        <v>21</v>
      </c>
      <c r="AZ176" s="54" t="str">
        <f>IF(ISNA(VLOOKUP($CW176,'Audit Values'!$A:$BY,2,FALSE)),"",VLOOKUP($CW176,'Audit Values'!$A:$BY,52,FALSE))</f>
        <v>A</v>
      </c>
      <c r="BA176" s="54" t="str">
        <f>IF('Weighting Factors'!F176="","",IF('Weighting Factors'!H176="Pending","PX","R"))</f>
        <v>R</v>
      </c>
      <c r="BB176" s="60">
        <f>SUM((U176+V176+AA176+AC176+AF176+AI176+AL176+AM176+AQ176+AN176)*'Weighting Factors'!$O$5)+'2024 Legal Max'!AX176</f>
        <v>2825366</v>
      </c>
      <c r="BC176" s="24">
        <f>SUM((AR176+AN176)*'Weighting Factors'!$O$5)+AX176</f>
        <v>3080784</v>
      </c>
      <c r="BD176" s="67">
        <f>IF('Weighting Factors'!F176&gt;0,'Weighting Factors'!F176,'Preliminary SO66'!AV175)</f>
        <v>3142858</v>
      </c>
      <c r="BE176" s="24">
        <f t="shared" si="138"/>
        <v>3080784</v>
      </c>
      <c r="BF176" s="71">
        <f>'Weighting Factors'!E176</f>
        <v>0</v>
      </c>
      <c r="BG176" s="71">
        <f>Transportation!G176</f>
        <v>0</v>
      </c>
      <c r="BH176" s="24">
        <f>IF(ISNA(VLOOKUP($CW176,'Audit Values'!$A:$BW,2,FALSE)), 0, VLOOKUP($CW176,'Audit Values'!$A:$BW,75,FALSE))</f>
        <v>0</v>
      </c>
      <c r="BI176" s="24">
        <f t="shared" si="139"/>
        <v>0</v>
      </c>
      <c r="BJ176" s="24">
        <f t="shared" si="140"/>
        <v>3080784</v>
      </c>
      <c r="BK176" s="24">
        <f>SUM((U176+V176+AA176+AC176+AF176+AI176+AL176+AM176+AN176)*'Weighting Factors'!O$12)+(MAX(AO176,'Weighting Factors'!B176))</f>
        <v>3153205</v>
      </c>
      <c r="BL176" s="78">
        <f>'LOB%'!F174</f>
        <v>0.33</v>
      </c>
      <c r="BM176" s="24">
        <f t="shared" si="111"/>
        <v>1040558</v>
      </c>
      <c r="BN176" s="67">
        <v>992175</v>
      </c>
      <c r="BO176" s="24">
        <f t="shared" si="141"/>
        <v>992175</v>
      </c>
      <c r="BP176" s="89">
        <f t="shared" si="112"/>
        <v>0.31469999999999998</v>
      </c>
      <c r="BQ176" s="58">
        <f t="shared" si="113"/>
        <v>0</v>
      </c>
      <c r="BR176" s="1" t="b">
        <f t="shared" si="114"/>
        <v>0</v>
      </c>
      <c r="BS176" s="76">
        <f t="shared" si="115"/>
        <v>0</v>
      </c>
      <c r="BT176" s="75">
        <f t="shared" si="142"/>
        <v>0</v>
      </c>
      <c r="BU176" s="58">
        <f t="shared" si="116"/>
        <v>0</v>
      </c>
      <c r="BV176" s="1" t="b">
        <f t="shared" si="117"/>
        <v>1</v>
      </c>
      <c r="BW176" s="1">
        <f t="shared" si="118"/>
        <v>34.031300000000002</v>
      </c>
      <c r="BX176" s="75">
        <f t="shared" si="143"/>
        <v>0.47484300000000002</v>
      </c>
      <c r="BY176" s="58">
        <f t="shared" si="119"/>
        <v>155.5</v>
      </c>
      <c r="BZ176" s="58">
        <f t="shared" si="120"/>
        <v>0</v>
      </c>
      <c r="CA176" s="61">
        <v>182</v>
      </c>
      <c r="CB176" s="102">
        <f t="shared" si="121"/>
        <v>0.30199999999999999</v>
      </c>
      <c r="CC176" s="105">
        <f>IF(CB176&lt;0.06,1,IF(CB176&gt;=18.29,52,MATCH(CB176-0.001,'Weighting Factors'!$W$5:$W$156)+1))</f>
        <v>20</v>
      </c>
      <c r="CD176" s="24">
        <f>VLOOKUP(CC176, 'Weighting Factors'!$U$5:$X$56,4)</f>
        <v>1190</v>
      </c>
      <c r="CE176" s="109">
        <f>('Weighting Factors'!$O$5/'Weighting Factors'!$O$14)</f>
        <v>1.2216</v>
      </c>
      <c r="CF176" s="100">
        <f t="shared" si="122"/>
        <v>65450</v>
      </c>
      <c r="CG176" s="100">
        <f>CF176*'Weighting Factors'!$Q$7</f>
        <v>65450</v>
      </c>
      <c r="CH176" s="100">
        <f t="shared" si="144"/>
        <v>79954</v>
      </c>
      <c r="CI176" s="58">
        <f>AK176/'Weighting Factors'!$O$5</f>
        <v>15.7</v>
      </c>
      <c r="CJ176" s="67">
        <v>0</v>
      </c>
      <c r="CK176" s="80">
        <v>0</v>
      </c>
      <c r="CL176" s="110">
        <v>0</v>
      </c>
      <c r="CM176" s="24">
        <f>SUM((AR176*'Weighting Factors'!$O$5)+'2024 Legal Max'!AX176)*CL176</f>
        <v>0</v>
      </c>
      <c r="CN176" s="24">
        <f t="shared" si="145"/>
        <v>0</v>
      </c>
      <c r="CO176" s="65">
        <f t="shared" si="110"/>
        <v>0.27139999999999997</v>
      </c>
      <c r="CP176" s="58">
        <f t="shared" si="123"/>
        <v>0</v>
      </c>
      <c r="CQ176" s="58">
        <f t="shared" si="124"/>
        <v>0</v>
      </c>
      <c r="CR176" s="58">
        <f t="shared" si="125"/>
        <v>605.5</v>
      </c>
      <c r="CS176" s="24">
        <f>'Required Transfers'!L176</f>
        <v>75703</v>
      </c>
      <c r="CT176" s="24">
        <f>'Required Transfers'!O176</f>
        <v>3671</v>
      </c>
      <c r="CU176" s="24">
        <f>'Required Transfers'!H176</f>
        <v>234048</v>
      </c>
      <c r="CV176" s="58">
        <f t="shared" si="126"/>
        <v>342</v>
      </c>
      <c r="CW176" s="27" t="s">
        <v>361</v>
      </c>
    </row>
    <row r="177" spans="1:101" ht="15" customHeight="1">
      <c r="A177" s="54">
        <v>382</v>
      </c>
      <c r="B177" s="1" t="s">
        <v>81</v>
      </c>
      <c r="C177" s="1" t="s">
        <v>682</v>
      </c>
      <c r="D177" s="58">
        <v>1093</v>
      </c>
      <c r="E177" s="58"/>
      <c r="F177" s="58">
        <v>0</v>
      </c>
      <c r="G177" s="58">
        <f t="shared" si="127"/>
        <v>1093</v>
      </c>
      <c r="H177" s="58">
        <v>1107</v>
      </c>
      <c r="I177" s="58"/>
      <c r="J177" s="58">
        <v>0</v>
      </c>
      <c r="K177" s="58">
        <f t="shared" si="128"/>
        <v>1107</v>
      </c>
      <c r="L177" s="1">
        <v>1075.5999999999999</v>
      </c>
      <c r="N177" s="1">
        <v>0</v>
      </c>
      <c r="O177" s="58">
        <f t="shared" si="129"/>
        <v>1075.5999999999999</v>
      </c>
      <c r="P177" s="58">
        <f>IF(ISNA(VLOOKUP($CW177,'Audit Values'!$A:$BZ,2,FALSE)),'Preliminary SO66'!C176,VLOOKUP($CW177,'Audit Values'!$A:$BZ,76,FALSE))</f>
        <v>1146.0999999999999</v>
      </c>
      <c r="Q177" s="58">
        <f>IF(ISNA(VLOOKUP($CW177,'Audit Values'!$A:$BZ,2,FALSE)),'Preliminary SO66'!F176,VLOOKUP($CW177,'Audit Values'!$A:$BZ,4,FALSE))</f>
        <v>0</v>
      </c>
      <c r="R177" s="58">
        <f t="shared" si="133"/>
        <v>1146.0999999999999</v>
      </c>
      <c r="S177" s="58">
        <f>IF('Military Provision'!I177="YES", MAX('2024 Legal Max'!O177,'2024 Legal Max'!K177,AVERAGE('2024 Legal Max'!G177,'2024 Legal Max'!K177,'2024 Legal Max'!O177)), MAX(O177, K177))</f>
        <v>1107</v>
      </c>
      <c r="T177" s="58">
        <f>IF(ISNA(VLOOKUP($CW177,'Audit Values'!$A:$BX,2,FALSE)),'Preliminary SO66'!AL176,VLOOKUP($CW177,'Audit Values'!$A:$BX,59,FALSE))</f>
        <v>15.5</v>
      </c>
      <c r="U177" s="58">
        <f t="shared" si="134"/>
        <v>1122.5</v>
      </c>
      <c r="V177" s="58">
        <f>'Low-High ENRL- 2023 HSubSB 113'!N180</f>
        <v>231.3</v>
      </c>
      <c r="W177" s="58">
        <f>IF(ISNA(VLOOKUP($CW177,'Audit Values'!$A:$BZ,2,FALSE)),'Preliminary SO66'!AM176,VLOOKUP($CW177,'Audit Values'!$A:$BZ,63,FALSE))</f>
        <v>241.1</v>
      </c>
      <c r="X177" s="58">
        <f>(W177/6)*'Weighting Factors'!$O$7</f>
        <v>15.9</v>
      </c>
      <c r="Y177" s="61">
        <f>IF(ISNA(VLOOKUP($CW177,'Audit Values'!$A:$BZ,2,FALSE)),'Preliminary SO66'!AN176,VLOOKUP($CW177,'Audit Values'!$A:$BZ,62,FALSE))</f>
        <v>53</v>
      </c>
      <c r="Z177" s="58">
        <f>Y177*'Weighting Factors'!$O$8</f>
        <v>9.8000000000000007</v>
      </c>
      <c r="AA177" s="58">
        <f t="shared" si="135"/>
        <v>15.9</v>
      </c>
      <c r="AB177" s="106">
        <f>IF(ISNA(VLOOKUP($CW177,'Audit Values'!$A:$BZ,2,FALSE)),'Preliminary SO66'!AO176,VLOOKUP($CW177,'Audit Values'!$A:$BZ,61,FALSE))</f>
        <v>176.8</v>
      </c>
      <c r="AC177" s="58">
        <f>AB177/6*'Weighting Factors'!$O$6</f>
        <v>14.7</v>
      </c>
      <c r="AD177" s="24">
        <f>IF(ISNA(VLOOKUP($CW177,'Audit Values'!$A:$BX,2,FALSE)),'Preliminary SO66'!AS176,VLOOKUP($CW177,'Audit Values'!$A:$BX,64,FALSE))</f>
        <v>1195</v>
      </c>
      <c r="AE177" s="24">
        <f>IF(ISNA(VLOOKUP($CW177,'Audit Values'!$A:$BX,2,FALSE)),'Preliminary SO66'!AP176,VLOOKUP($CW177,'Audit Values'!$A:$BX,65,FALSE))</f>
        <v>516</v>
      </c>
      <c r="AF177" s="58">
        <f>IF(A177=207, AE177,(AE177))*'Weighting Factors'!$O$9</f>
        <v>249.7</v>
      </c>
      <c r="AG177" s="58">
        <f t="shared" si="132"/>
        <v>29.5</v>
      </c>
      <c r="AH177" s="58">
        <f>IF(ISNA(VLOOKUP($CW177,'Audit Values'!$A:$BZ,2,FALSE)),'Preliminary SO66'!AG176,VLOOKUP($CW177,'Audit Values'!$A:$BZ,71,FALSE))</f>
        <v>30.3</v>
      </c>
      <c r="AI177" s="58">
        <f t="shared" si="136"/>
        <v>30.3</v>
      </c>
      <c r="AJ177" s="58">
        <f>IF(ISNA(VLOOKUP($CW177,'Audit Values'!$A:$BX,2,FALSE)),'Preliminary SO66'!AR176,VLOOKUP($CW177,'Audit Values'!$A:$BX,66,FALSE))</f>
        <v>128</v>
      </c>
      <c r="AK177" s="24">
        <f t="shared" si="137"/>
        <v>170438</v>
      </c>
      <c r="AL177" s="58">
        <f>AK177/'Weighting Factors'!$O$5</f>
        <v>33.5</v>
      </c>
      <c r="AM177" s="58">
        <f>CJ177/'Weighting Factors'!$O$5</f>
        <v>0</v>
      </c>
      <c r="AN177" s="58">
        <f>CN177/'Weighting Factors'!$O$5</f>
        <v>0</v>
      </c>
      <c r="AO177" s="24">
        <v>1398499</v>
      </c>
      <c r="AP177" s="58">
        <f>AO177/'Weighting Factors'!$O$5</f>
        <v>274.89999999999998</v>
      </c>
      <c r="AQ177" s="58">
        <f>IF(ISNA(VLOOKUP($CW177,'Audit Values'!$A:$BX,2,FALSE)),'Preliminary SO66'!X176,VLOOKUP($CW177,'Audit Values'!$A:$BX,48,FALSE))</f>
        <v>0</v>
      </c>
      <c r="AR177" s="58">
        <f t="shared" si="130"/>
        <v>1972.8</v>
      </c>
      <c r="AS177" s="58">
        <f t="shared" si="131"/>
        <v>1697.9</v>
      </c>
      <c r="AT177" s="58">
        <f>IF(ISNA(VLOOKUP($CW177,'Audit Values'!$A$2:$BX$410,2,FALSE)),'Preliminary SO66'!AA176,VLOOKUP($CW177,'Audit Values'!$A$2:$BX$410,41,FALSE))</f>
        <v>13</v>
      </c>
      <c r="AU177" s="58">
        <f>IF(ISNA(VLOOKUP($CW177,'Audit Values'!$A$2:$BX$410,2,FALSE)),'Preliminary SO66'!AB176,VLOOKUP($CW177,'Audit Values'!$A$2:$BX$410,42,FALSE))</f>
        <v>0</v>
      </c>
      <c r="AV177" s="73">
        <v>96.5</v>
      </c>
      <c r="AW177" s="73">
        <v>0</v>
      </c>
      <c r="AX177" s="24">
        <f>SUM(AT177*'Weighting Factors'!$R$10)+('2024 Legal Max'!AU177*'Weighting Factors'!$R$11)+('2024 Legal Max'!AV177*'Weighting Factors'!$R$12)+('2024 Legal Max'!AW177*'Weighting Factors'!$R$12)</f>
        <v>141219</v>
      </c>
      <c r="AY177" s="54">
        <f>IF(ISNA(VLOOKUP($CW177,'Audit Values'!$A$2:$BX$429,2,FALSE)),"",IF(AND('Weighting Factors'!G177&gt;0,VLOOKUP($CW177,'Audit Values'!$A$2:$BX$429,51,FALSE)&lt;'Weighting Factors'!G177),'Weighting Factors'!G177,VLOOKUP($CW177,'Audit Values'!$A$2:$BX$429,51,FALSE)))</f>
        <v>21</v>
      </c>
      <c r="AZ177" s="54" t="str">
        <f>IF(ISNA(VLOOKUP($CW177,'Audit Values'!$A:$BY,2,FALSE)),"",VLOOKUP($CW177,'Audit Values'!$A:$BY,52,FALSE))</f>
        <v>A</v>
      </c>
      <c r="BA177" s="54" t="str">
        <f>IF('Weighting Factors'!F177="","",IF('Weighting Factors'!H177="Pending","PX","R"))</f>
        <v>R</v>
      </c>
      <c r="BB177" s="60">
        <f>SUM((U177+V177+AA177+AC177+AF177+AI177+AL177+AM177+AQ177+AN177)*'Weighting Factors'!$O$5)+'2024 Legal Max'!AX177</f>
        <v>8780134</v>
      </c>
      <c r="BC177" s="24">
        <f>SUM((AR177+AN177)*'Weighting Factors'!$O$5)+AX177</f>
        <v>10178825</v>
      </c>
      <c r="BD177" s="67">
        <f>IF('Weighting Factors'!F177&gt;0,'Weighting Factors'!F177,'Preliminary SO66'!AV176)</f>
        <v>10565789</v>
      </c>
      <c r="BE177" s="24">
        <f t="shared" si="138"/>
        <v>10178825</v>
      </c>
      <c r="BF177" s="71">
        <f>'Weighting Factors'!E177</f>
        <v>0</v>
      </c>
      <c r="BG177" s="71">
        <f>Transportation!G177</f>
        <v>0</v>
      </c>
      <c r="BH177" s="24">
        <f>IF(ISNA(VLOOKUP($CW177,'Audit Values'!$A:$BW,2,FALSE)), 0, VLOOKUP($CW177,'Audit Values'!$A:$BW,75,FALSE))</f>
        <v>-77846</v>
      </c>
      <c r="BI177" s="24">
        <f t="shared" si="139"/>
        <v>-77846</v>
      </c>
      <c r="BJ177" s="24">
        <f t="shared" si="140"/>
        <v>10100979</v>
      </c>
      <c r="BK177" s="24">
        <f>SUM((U177+V177+AA177+AC177+AF177+AI177+AL177+AM177+AN177)*'Weighting Factors'!O$12)+(MAX(AO177,'Weighting Factors'!B177))</f>
        <v>10156267</v>
      </c>
      <c r="BL177" s="78">
        <f>'LOB%'!F175</f>
        <v>0.316</v>
      </c>
      <c r="BM177" s="24">
        <f t="shared" si="111"/>
        <v>3209380</v>
      </c>
      <c r="BN177" s="67">
        <v>3273629</v>
      </c>
      <c r="BO177" s="24">
        <f t="shared" si="141"/>
        <v>3209380</v>
      </c>
      <c r="BP177" s="89">
        <f t="shared" si="112"/>
        <v>0.316</v>
      </c>
      <c r="BQ177" s="58">
        <f t="shared" si="113"/>
        <v>0</v>
      </c>
      <c r="BR177" s="1" t="b">
        <f t="shared" si="114"/>
        <v>0</v>
      </c>
      <c r="BS177" s="76">
        <f t="shared" si="115"/>
        <v>0</v>
      </c>
      <c r="BT177" s="75">
        <f t="shared" si="142"/>
        <v>0</v>
      </c>
      <c r="BU177" s="58">
        <f t="shared" si="116"/>
        <v>0</v>
      </c>
      <c r="BV177" s="1" t="b">
        <f t="shared" si="117"/>
        <v>1</v>
      </c>
      <c r="BW177" s="1">
        <f t="shared" si="118"/>
        <v>1017.8438</v>
      </c>
      <c r="BX177" s="75">
        <f t="shared" si="143"/>
        <v>0.20474300000000001</v>
      </c>
      <c r="BY177" s="58">
        <f t="shared" si="119"/>
        <v>229.8</v>
      </c>
      <c r="BZ177" s="58">
        <f t="shared" si="120"/>
        <v>0</v>
      </c>
      <c r="CA177" s="61">
        <v>266.5</v>
      </c>
      <c r="CB177" s="102">
        <f t="shared" si="121"/>
        <v>0.48</v>
      </c>
      <c r="CC177" s="105">
        <f>IF(CB177&lt;0.06,1,IF(CB177&gt;=18.29,52,MATCH(CB177-0.001,'Weighting Factors'!$W$5:$W$156)+1))</f>
        <v>25</v>
      </c>
      <c r="CD177" s="24">
        <f>VLOOKUP(CC177, 'Weighting Factors'!$U$5:$X$56,4)</f>
        <v>1090</v>
      </c>
      <c r="CE177" s="109">
        <f>('Weighting Factors'!$O$5/'Weighting Factors'!$O$14)</f>
        <v>1.2216</v>
      </c>
      <c r="CF177" s="100">
        <f t="shared" si="122"/>
        <v>139520</v>
      </c>
      <c r="CG177" s="100">
        <f>CF177*'Weighting Factors'!$Q$7</f>
        <v>139520</v>
      </c>
      <c r="CH177" s="100">
        <f t="shared" si="144"/>
        <v>170438</v>
      </c>
      <c r="CI177" s="58">
        <f>AK177/'Weighting Factors'!$O$5</f>
        <v>33.5</v>
      </c>
      <c r="CJ177" s="67">
        <v>0</v>
      </c>
      <c r="CK177" s="80">
        <v>0</v>
      </c>
      <c r="CL177" s="110">
        <v>0</v>
      </c>
      <c r="CM177" s="24">
        <f>SUM((AR177*'Weighting Factors'!$O$5)+'2024 Legal Max'!AX177)*CL177</f>
        <v>0</v>
      </c>
      <c r="CN177" s="24">
        <f t="shared" si="145"/>
        <v>0</v>
      </c>
      <c r="CO177" s="65">
        <f t="shared" si="110"/>
        <v>0.43180000000000002</v>
      </c>
      <c r="CP177" s="58">
        <f t="shared" si="123"/>
        <v>0</v>
      </c>
      <c r="CQ177" s="58">
        <f t="shared" si="124"/>
        <v>29.5</v>
      </c>
      <c r="CR177" s="58">
        <f t="shared" si="125"/>
        <v>1972.8</v>
      </c>
      <c r="CS177" s="24">
        <f>'Required Transfers'!L177</f>
        <v>409517</v>
      </c>
      <c r="CT177" s="24">
        <f>'Required Transfers'!O177</f>
        <v>25996</v>
      </c>
      <c r="CU177" s="24">
        <f>'Required Transfers'!H177</f>
        <v>1424640</v>
      </c>
      <c r="CV177" s="58">
        <f t="shared" si="126"/>
        <v>1190.7</v>
      </c>
      <c r="CW177" s="27" t="s">
        <v>362</v>
      </c>
    </row>
    <row r="178" spans="1:101" ht="15" customHeight="1">
      <c r="A178" s="54">
        <v>383</v>
      </c>
      <c r="B178" s="1" t="s">
        <v>78</v>
      </c>
      <c r="C178" s="1" t="s">
        <v>683</v>
      </c>
      <c r="D178" s="58">
        <v>6205.3</v>
      </c>
      <c r="E178" s="58">
        <v>2</v>
      </c>
      <c r="F178" s="58">
        <v>64</v>
      </c>
      <c r="G178" s="58">
        <f t="shared" si="127"/>
        <v>6267.3</v>
      </c>
      <c r="H178" s="58">
        <v>6346</v>
      </c>
      <c r="I178" s="58"/>
      <c r="J178" s="58">
        <v>45.8</v>
      </c>
      <c r="K178" s="58">
        <f t="shared" si="128"/>
        <v>6391.8</v>
      </c>
      <c r="L178" s="1">
        <v>6523.8</v>
      </c>
      <c r="N178" s="1">
        <v>41.4</v>
      </c>
      <c r="O178" s="58">
        <f t="shared" si="129"/>
        <v>6565.2</v>
      </c>
      <c r="P178" s="58">
        <f>IF(ISNA(VLOOKUP($CW178,'Audit Values'!$A:$BZ,2,FALSE)),'Preliminary SO66'!C177,VLOOKUP($CW178,'Audit Values'!$A:$BZ,76,FALSE))</f>
        <v>6617.1</v>
      </c>
      <c r="Q178" s="58">
        <f>IF(ISNA(VLOOKUP($CW178,'Audit Values'!$A:$BZ,2,FALSE)),'Preliminary SO66'!F177,VLOOKUP($CW178,'Audit Values'!$A:$BZ,4,FALSE))</f>
        <v>34</v>
      </c>
      <c r="R178" s="58">
        <f t="shared" si="133"/>
        <v>6651.1</v>
      </c>
      <c r="S178" s="58">
        <f>IF('Military Provision'!I178="YES", MAX('2024 Legal Max'!O178,'2024 Legal Max'!K178,AVERAGE('2024 Legal Max'!G178,'2024 Legal Max'!K178,'2024 Legal Max'!O178)), MAX(O178, K178))</f>
        <v>6565.2</v>
      </c>
      <c r="T178" s="58">
        <f>IF(ISNA(VLOOKUP($CW178,'Audit Values'!$A:$BX,2,FALSE)),'Preliminary SO66'!AL177,VLOOKUP($CW178,'Audit Values'!$A:$BX,59,FALSE))</f>
        <v>96.5</v>
      </c>
      <c r="U178" s="58">
        <f t="shared" si="134"/>
        <v>6661.7</v>
      </c>
      <c r="V178" s="58">
        <f>'Low-High ENRL- 2023 HSubSB 113'!N181</f>
        <v>233.4</v>
      </c>
      <c r="W178" s="58">
        <f>IF(ISNA(VLOOKUP($CW178,'Audit Values'!$A:$BZ,2,FALSE)),'Preliminary SO66'!AM177,VLOOKUP($CW178,'Audit Values'!$A:$BZ,63,FALSE))</f>
        <v>1213.9000000000001</v>
      </c>
      <c r="X178" s="58">
        <f>(W178/6)*'Weighting Factors'!$O$7</f>
        <v>79.900000000000006</v>
      </c>
      <c r="Y178" s="61">
        <f>IF(ISNA(VLOOKUP($CW178,'Audit Values'!$A:$BZ,2,FALSE)),'Preliminary SO66'!AN177,VLOOKUP($CW178,'Audit Values'!$A:$BZ,62,FALSE))</f>
        <v>414</v>
      </c>
      <c r="Z178" s="58">
        <f>Y178*'Weighting Factors'!$O$8</f>
        <v>76.599999999999994</v>
      </c>
      <c r="AA178" s="58">
        <f t="shared" si="135"/>
        <v>79.900000000000006</v>
      </c>
      <c r="AB178" s="106">
        <f>IF(ISNA(VLOOKUP($CW178,'Audit Values'!$A:$BZ,2,FALSE)),'Preliminary SO66'!AO177,VLOOKUP($CW178,'Audit Values'!$A:$BZ,61,FALSE))</f>
        <v>885.8</v>
      </c>
      <c r="AC178" s="58">
        <f>AB178/6*'Weighting Factors'!$O$6</f>
        <v>73.8</v>
      </c>
      <c r="AD178" s="24">
        <f>IF(ISNA(VLOOKUP($CW178,'Audit Values'!$A:$BX,2,FALSE)),'Preliminary SO66'!AS177,VLOOKUP($CW178,'Audit Values'!$A:$BX,64,FALSE))</f>
        <v>6917</v>
      </c>
      <c r="AE178" s="24">
        <f>IF(ISNA(VLOOKUP($CW178,'Audit Values'!$A:$BX,2,FALSE)),'Preliminary SO66'!AP177,VLOOKUP($CW178,'Audit Values'!$A:$BX,65,FALSE))</f>
        <v>2590</v>
      </c>
      <c r="AF178" s="58">
        <f>IF(A178=207, AE178,(AE178))*'Weighting Factors'!$O$9</f>
        <v>1253.5999999999999</v>
      </c>
      <c r="AG178" s="58">
        <f t="shared" si="132"/>
        <v>44.2</v>
      </c>
      <c r="AH178" s="58">
        <f>IF(ISNA(VLOOKUP($CW178,'Audit Values'!$A:$BZ,2,FALSE)),'Preliminary SO66'!AG177,VLOOKUP($CW178,'Audit Values'!$A:$BZ,71,FALSE))</f>
        <v>125.6</v>
      </c>
      <c r="AI178" s="58">
        <f t="shared" si="136"/>
        <v>125.6</v>
      </c>
      <c r="AJ178" s="58">
        <f>IF(ISNA(VLOOKUP($CW178,'Audit Values'!$A:$BX,2,FALSE)),'Preliminary SO66'!AR177,VLOOKUP($CW178,'Audit Values'!$A:$BX,66,FALSE))</f>
        <v>2747</v>
      </c>
      <c r="AK178" s="24">
        <f t="shared" si="137"/>
        <v>1912769</v>
      </c>
      <c r="AL178" s="58">
        <f>AK178/'Weighting Factors'!$O$5</f>
        <v>375.9</v>
      </c>
      <c r="AM178" s="58">
        <f>CJ178/'Weighting Factors'!$O$5</f>
        <v>0</v>
      </c>
      <c r="AN178" s="58">
        <f>CN178/'Weighting Factors'!$O$5</f>
        <v>0</v>
      </c>
      <c r="AO178" s="24">
        <v>9029854</v>
      </c>
      <c r="AP178" s="58">
        <f>AO178/'Weighting Factors'!$O$5</f>
        <v>1774.7</v>
      </c>
      <c r="AQ178" s="58">
        <f>IF(ISNA(VLOOKUP($CW178,'Audit Values'!$A:$BX,2,FALSE)),'Preliminary SO66'!X177,VLOOKUP($CW178,'Audit Values'!$A:$BX,48,FALSE))</f>
        <v>1</v>
      </c>
      <c r="AR178" s="58">
        <f t="shared" si="130"/>
        <v>10579.6</v>
      </c>
      <c r="AS178" s="58">
        <f t="shared" si="131"/>
        <v>8804.9</v>
      </c>
      <c r="AT178" s="58">
        <f>IF(ISNA(VLOOKUP($CW178,'Audit Values'!$A$2:$BX$410,2,FALSE)),'Preliminary SO66'!AA177,VLOOKUP($CW178,'Audit Values'!$A$2:$BX$410,41,FALSE))</f>
        <v>173</v>
      </c>
      <c r="AU178" s="58">
        <f>IF(ISNA(VLOOKUP($CW178,'Audit Values'!$A$2:$BX$410,2,FALSE)),'Preliminary SO66'!AB177,VLOOKUP($CW178,'Audit Values'!$A$2:$BX$410,42,FALSE))</f>
        <v>0.8</v>
      </c>
      <c r="AV178" s="73">
        <v>0</v>
      </c>
      <c r="AW178" s="73">
        <v>0</v>
      </c>
      <c r="AX178" s="24">
        <f>SUM(AT178*'Weighting Factors'!$R$10)+('2024 Legal Max'!AU178*'Weighting Factors'!$R$11)+('2024 Legal Max'!AV178*'Weighting Factors'!$R$12)+('2024 Legal Max'!AW178*'Weighting Factors'!$R$12)</f>
        <v>971040</v>
      </c>
      <c r="AY178" s="54">
        <f>IF(ISNA(VLOOKUP($CW178,'Audit Values'!$A$2:$BX$429,2,FALSE)),"",IF(AND('Weighting Factors'!G178&gt;0,VLOOKUP($CW178,'Audit Values'!$A$2:$BX$429,51,FALSE)&lt;'Weighting Factors'!G178),'Weighting Factors'!G178,VLOOKUP($CW178,'Audit Values'!$A$2:$BX$429,51,FALSE)))</f>
        <v>25</v>
      </c>
      <c r="AZ178" s="54" t="str">
        <f>IF(ISNA(VLOOKUP($CW178,'Audit Values'!$A:$BY,2,FALSE)),"",VLOOKUP($CW178,'Audit Values'!$A:$BY,52,FALSE))</f>
        <v>A</v>
      </c>
      <c r="BA178" s="54" t="str">
        <f>IF('Weighting Factors'!F178="","",IF('Weighting Factors'!H178="Pending","PX","R"))</f>
        <v>R</v>
      </c>
      <c r="BB178" s="60">
        <f>SUM((U178+V178+AA178+AC178+AF178+AI178+AL178+AM178+AQ178+AN178)*'Weighting Factors'!$O$5)+'2024 Legal Max'!AX178</f>
        <v>45770371</v>
      </c>
      <c r="BC178" s="24">
        <f>SUM((AR178+AN178)*'Weighting Factors'!$O$5)+AX178</f>
        <v>54800045</v>
      </c>
      <c r="BD178" s="67">
        <f>IF('Weighting Factors'!F178&gt;0,'Weighting Factors'!F178,'Preliminary SO66'!AV177)</f>
        <v>54872386</v>
      </c>
      <c r="BE178" s="24">
        <f t="shared" si="138"/>
        <v>54800045</v>
      </c>
      <c r="BF178" s="71">
        <f>'Weighting Factors'!E178</f>
        <v>0</v>
      </c>
      <c r="BG178" s="71">
        <f>Transportation!G178</f>
        <v>0</v>
      </c>
      <c r="BH178" s="24">
        <f>IF(ISNA(VLOOKUP($CW178,'Audit Values'!$A:$BW,2,FALSE)), 0, VLOOKUP($CW178,'Audit Values'!$A:$BW,75,FALSE))</f>
        <v>0</v>
      </c>
      <c r="BI178" s="24">
        <f t="shared" si="139"/>
        <v>0</v>
      </c>
      <c r="BJ178" s="24">
        <f t="shared" si="140"/>
        <v>54800045</v>
      </c>
      <c r="BK178" s="24">
        <f>SUM((U178+V178+AA178+AC178+AF178+AI178+AL178+AM178+AN178)*'Weighting Factors'!O$12)+(MAX(AO178,'Weighting Factors'!B178))</f>
        <v>54440370</v>
      </c>
      <c r="BL178" s="78">
        <f>'LOB%'!F176</f>
        <v>0.33</v>
      </c>
      <c r="BM178" s="24">
        <f t="shared" si="111"/>
        <v>17965322</v>
      </c>
      <c r="BN178" s="67">
        <v>17616382</v>
      </c>
      <c r="BO178" s="24">
        <f t="shared" si="141"/>
        <v>17616382</v>
      </c>
      <c r="BP178" s="89">
        <f t="shared" si="112"/>
        <v>0.3236</v>
      </c>
      <c r="BQ178" s="58">
        <f t="shared" si="113"/>
        <v>0</v>
      </c>
      <c r="BR178" s="1" t="b">
        <f t="shared" si="114"/>
        <v>0</v>
      </c>
      <c r="BS178" s="76">
        <f t="shared" si="115"/>
        <v>0</v>
      </c>
      <c r="BT178" s="75">
        <f t="shared" si="142"/>
        <v>0</v>
      </c>
      <c r="BU178" s="58">
        <f t="shared" si="116"/>
        <v>0</v>
      </c>
      <c r="BV178" s="1" t="b">
        <f t="shared" si="117"/>
        <v>0</v>
      </c>
      <c r="BW178" s="1">
        <f t="shared" si="118"/>
        <v>0</v>
      </c>
      <c r="BX178" s="75">
        <f t="shared" si="143"/>
        <v>0</v>
      </c>
      <c r="BY178" s="58">
        <f t="shared" si="119"/>
        <v>0</v>
      </c>
      <c r="BZ178" s="58">
        <f t="shared" si="120"/>
        <v>233.4</v>
      </c>
      <c r="CA178" s="61">
        <v>163</v>
      </c>
      <c r="CB178" s="102">
        <f t="shared" si="121"/>
        <v>16.853000000000002</v>
      </c>
      <c r="CC178" s="105">
        <f>IF(CB178&lt;0.06,1,IF(CB178&gt;=18.29,52,MATCH(CB178-0.001,'Weighting Factors'!$W$5:$W$156)+1))</f>
        <v>51</v>
      </c>
      <c r="CD178" s="24">
        <f>VLOOKUP(CC178, 'Weighting Factors'!$U$5:$X$56,4)</f>
        <v>570</v>
      </c>
      <c r="CE178" s="109">
        <f>('Weighting Factors'!$O$5/'Weighting Factors'!$O$14)</f>
        <v>1.2216</v>
      </c>
      <c r="CF178" s="100">
        <f t="shared" si="122"/>
        <v>1565790</v>
      </c>
      <c r="CG178" s="100">
        <f>CF178*'Weighting Factors'!$Q$7</f>
        <v>1565790</v>
      </c>
      <c r="CH178" s="100">
        <f t="shared" si="144"/>
        <v>1912769</v>
      </c>
      <c r="CI178" s="58">
        <f>AK178/'Weighting Factors'!$O$5</f>
        <v>375.9</v>
      </c>
      <c r="CJ178" s="67">
        <v>0</v>
      </c>
      <c r="CK178" s="80">
        <v>0</v>
      </c>
      <c r="CL178" s="110">
        <v>9.2999999999999992E-3</v>
      </c>
      <c r="CM178" s="24">
        <f>SUM((AR178*'Weighting Factors'!$O$5)+'2024 Legal Max'!AX178)*CL178</f>
        <v>509640</v>
      </c>
      <c r="CN178" s="24">
        <f t="shared" si="145"/>
        <v>0</v>
      </c>
      <c r="CO178" s="65">
        <f t="shared" si="110"/>
        <v>0.37440000000000001</v>
      </c>
      <c r="CP178" s="58">
        <f t="shared" si="123"/>
        <v>0</v>
      </c>
      <c r="CQ178" s="58">
        <f t="shared" si="124"/>
        <v>44.2</v>
      </c>
      <c r="CR178" s="58">
        <f t="shared" si="125"/>
        <v>10579.6</v>
      </c>
      <c r="CS178" s="24">
        <f>'Required Transfers'!L178</f>
        <v>2106919</v>
      </c>
      <c r="CT178" s="24">
        <f>'Required Transfers'!O178</f>
        <v>133885</v>
      </c>
      <c r="CU178" s="24">
        <f>'Required Transfers'!H178</f>
        <v>7017370</v>
      </c>
      <c r="CV178" s="58">
        <f t="shared" si="126"/>
        <v>6921.4</v>
      </c>
      <c r="CW178" s="27" t="s">
        <v>363</v>
      </c>
    </row>
    <row r="179" spans="1:101">
      <c r="A179" s="54">
        <v>384</v>
      </c>
      <c r="B179" s="1" t="s">
        <v>78</v>
      </c>
      <c r="C179" s="1" t="s">
        <v>548</v>
      </c>
      <c r="D179" s="58">
        <v>203</v>
      </c>
      <c r="E179" s="58"/>
      <c r="F179" s="58">
        <v>0</v>
      </c>
      <c r="G179" s="58">
        <f t="shared" si="127"/>
        <v>203</v>
      </c>
      <c r="H179" s="58">
        <v>229.5</v>
      </c>
      <c r="I179" s="58"/>
      <c r="J179" s="58">
        <v>0</v>
      </c>
      <c r="K179" s="58">
        <f t="shared" si="128"/>
        <v>229.5</v>
      </c>
      <c r="L179" s="1">
        <v>244.5</v>
      </c>
      <c r="N179" s="1">
        <v>0</v>
      </c>
      <c r="O179" s="58">
        <f t="shared" si="129"/>
        <v>244.5</v>
      </c>
      <c r="P179" s="58">
        <f>IF(ISNA(VLOOKUP($CW179,'Audit Values'!$A:$BZ,2,FALSE)),'Preliminary SO66'!C178,VLOOKUP($CW179,'Audit Values'!$A:$BZ,76,FALSE))</f>
        <v>251</v>
      </c>
      <c r="Q179" s="58">
        <f>IF(ISNA(VLOOKUP($CW179,'Audit Values'!$A:$BZ,2,FALSE)),'Preliminary SO66'!F178,VLOOKUP($CW179,'Audit Values'!$A:$BZ,4,FALSE))</f>
        <v>0</v>
      </c>
      <c r="R179" s="58">
        <f t="shared" si="133"/>
        <v>251</v>
      </c>
      <c r="S179" s="58">
        <f>IF('Military Provision'!I179="YES", MAX('2024 Legal Max'!O179,'2024 Legal Max'!K179,AVERAGE('2024 Legal Max'!G179,'2024 Legal Max'!K179,'2024 Legal Max'!O179)), MAX(O179, K179))</f>
        <v>244.5</v>
      </c>
      <c r="T179" s="58">
        <f>IF(ISNA(VLOOKUP($CW179,'Audit Values'!$A:$BX,2,FALSE)),'Preliminary SO66'!AL178,VLOOKUP($CW179,'Audit Values'!$A:$BX,59,FALSE))</f>
        <v>4.5</v>
      </c>
      <c r="U179" s="58">
        <f t="shared" si="134"/>
        <v>249</v>
      </c>
      <c r="V179" s="58">
        <f>'Low-High ENRL- 2023 HSubSB 113'!N182</f>
        <v>154.19999999999999</v>
      </c>
      <c r="W179" s="58">
        <f>IF(ISNA(VLOOKUP($CW179,'Audit Values'!$A:$BZ,2,FALSE)),'Preliminary SO66'!AM178,VLOOKUP($CW179,'Audit Values'!$A:$BZ,63,FALSE))</f>
        <v>0</v>
      </c>
      <c r="X179" s="58">
        <f>(W179/6)*'Weighting Factors'!$O$7</f>
        <v>0</v>
      </c>
      <c r="Y179" s="61">
        <f>IF(ISNA(VLOOKUP($CW179,'Audit Values'!$A:$BZ,2,FALSE)),'Preliminary SO66'!AN178,VLOOKUP($CW179,'Audit Values'!$A:$BZ,62,FALSE))</f>
        <v>0</v>
      </c>
      <c r="Z179" s="58">
        <f>Y179*'Weighting Factors'!$O$8</f>
        <v>0</v>
      </c>
      <c r="AA179" s="58">
        <f t="shared" si="135"/>
        <v>0</v>
      </c>
      <c r="AB179" s="106">
        <f>IF(ISNA(VLOOKUP($CW179,'Audit Values'!$A:$BZ,2,FALSE)),'Preliminary SO66'!AO178,VLOOKUP($CW179,'Audit Values'!$A:$BZ,61,FALSE))</f>
        <v>73.099999999999994</v>
      </c>
      <c r="AC179" s="58">
        <f>AB179/6*'Weighting Factors'!$O$6</f>
        <v>6.1</v>
      </c>
      <c r="AD179" s="24">
        <f>IF(ISNA(VLOOKUP($CW179,'Audit Values'!$A:$BX,2,FALSE)),'Preliminary SO66'!AS178,VLOOKUP($CW179,'Audit Values'!$A:$BX,64,FALSE))</f>
        <v>260</v>
      </c>
      <c r="AE179" s="24">
        <f>IF(ISNA(VLOOKUP($CW179,'Audit Values'!$A:$BX,2,FALSE)),'Preliminary SO66'!AP178,VLOOKUP($CW179,'Audit Values'!$A:$BX,65,FALSE))</f>
        <v>41</v>
      </c>
      <c r="AF179" s="58">
        <f>IF(A179=207, AE179,(AE179))*'Weighting Factors'!$O$9</f>
        <v>19.8</v>
      </c>
      <c r="AG179" s="58">
        <f t="shared" si="132"/>
        <v>0</v>
      </c>
      <c r="AH179" s="58">
        <f>IF(ISNA(VLOOKUP($CW179,'Audit Values'!$A:$BZ,2,FALSE)),'Preliminary SO66'!AG178,VLOOKUP($CW179,'Audit Values'!$A:$BZ,71,FALSE))</f>
        <v>0</v>
      </c>
      <c r="AI179" s="58">
        <f t="shared" si="136"/>
        <v>0</v>
      </c>
      <c r="AJ179" s="58">
        <f>IF(ISNA(VLOOKUP($CW179,'Audit Values'!$A:$BX,2,FALSE)),'Preliminary SO66'!AR178,VLOOKUP($CW179,'Audit Values'!$A:$BX,66,FALSE))</f>
        <v>192</v>
      </c>
      <c r="AK179" s="24">
        <f t="shared" si="137"/>
        <v>246275</v>
      </c>
      <c r="AL179" s="58">
        <f>AK179/'Weighting Factors'!$O$5</f>
        <v>48.4</v>
      </c>
      <c r="AM179" s="58">
        <f>CJ179/'Weighting Factors'!$O$5</f>
        <v>0</v>
      </c>
      <c r="AN179" s="58">
        <f>CN179/'Weighting Factors'!$O$5</f>
        <v>0</v>
      </c>
      <c r="AO179" s="24">
        <v>285342</v>
      </c>
      <c r="AP179" s="58">
        <f>AO179/'Weighting Factors'!$O$5</f>
        <v>56.1</v>
      </c>
      <c r="AQ179" s="58">
        <f>IF(ISNA(VLOOKUP($CW179,'Audit Values'!$A:$BX,2,FALSE)),'Preliminary SO66'!X178,VLOOKUP($CW179,'Audit Values'!$A:$BX,48,FALSE))</f>
        <v>0</v>
      </c>
      <c r="AR179" s="58">
        <f t="shared" si="130"/>
        <v>533.6</v>
      </c>
      <c r="AS179" s="58">
        <f t="shared" si="131"/>
        <v>477.5</v>
      </c>
      <c r="AT179" s="58">
        <f>IF(ISNA(VLOOKUP($CW179,'Audit Values'!$A$2:$BX$410,2,FALSE)),'Preliminary SO66'!AA178,VLOOKUP($CW179,'Audit Values'!$A$2:$BX$410,41,FALSE))</f>
        <v>0</v>
      </c>
      <c r="AU179" s="58">
        <f>IF(ISNA(VLOOKUP($CW179,'Audit Values'!$A$2:$BX$410,2,FALSE)),'Preliminary SO66'!AB178,VLOOKUP($CW179,'Audit Values'!$A$2:$BX$410,42,FALSE))</f>
        <v>0</v>
      </c>
      <c r="AV179" s="73">
        <v>0</v>
      </c>
      <c r="AW179" s="73">
        <v>0</v>
      </c>
      <c r="AX179" s="24">
        <f>SUM(AT179*'Weighting Factors'!$R$10)+('2024 Legal Max'!AU179*'Weighting Factors'!$R$11)+('2024 Legal Max'!AV179*'Weighting Factors'!$R$12)+('2024 Legal Max'!AW179*'Weighting Factors'!$R$12)</f>
        <v>0</v>
      </c>
      <c r="AY179" s="54">
        <f>IF(ISNA(VLOOKUP($CW179,'Audit Values'!$A$2:$BX$429,2,FALSE)),"",IF(AND('Weighting Factors'!G179&gt;0,VLOOKUP($CW179,'Audit Values'!$A$2:$BX$429,51,FALSE)&lt;'Weighting Factors'!G179),'Weighting Factors'!G179,VLOOKUP($CW179,'Audit Values'!$A$2:$BX$429,51,FALSE)))</f>
        <v>5</v>
      </c>
      <c r="AZ179" s="54" t="str">
        <f>IF(ISNA(VLOOKUP($CW179,'Audit Values'!$A:$BY,2,FALSE)),"",VLOOKUP($CW179,'Audit Values'!$A:$BY,52,FALSE))</f>
        <v>A</v>
      </c>
      <c r="BA179" s="54" t="str">
        <f>IF('Weighting Factors'!F179="","",IF('Weighting Factors'!H179="Pending","PX","R"))</f>
        <v/>
      </c>
      <c r="BB179" s="60">
        <f>SUM((U179+V179+AA179+AC179+AF179+AI179+AL179+AM179+AQ179+AN179)*'Weighting Factors'!$O$5)+'2024 Legal Max'!AX179</f>
        <v>2429520</v>
      </c>
      <c r="BC179" s="24">
        <f>SUM((AR179+AN179)*'Weighting Factors'!$O$5)+AX179</f>
        <v>2714957</v>
      </c>
      <c r="BD179" s="67">
        <f>IF('Weighting Factors'!F179&gt;0,'Weighting Factors'!F179,'Preliminary SO66'!AV178)</f>
        <v>2734291</v>
      </c>
      <c r="BE179" s="24">
        <f t="shared" si="138"/>
        <v>2714957</v>
      </c>
      <c r="BF179" s="71">
        <f>'Weighting Factors'!E179</f>
        <v>0</v>
      </c>
      <c r="BG179" s="71">
        <f>Transportation!G179</f>
        <v>0</v>
      </c>
      <c r="BH179" s="24">
        <f>IF(ISNA(VLOOKUP($CW179,'Audit Values'!$A:$BW,2,FALSE)), 0, VLOOKUP($CW179,'Audit Values'!$A:$BW,75,FALSE))</f>
        <v>0</v>
      </c>
      <c r="BI179" s="24">
        <f t="shared" si="139"/>
        <v>0</v>
      </c>
      <c r="BJ179" s="24">
        <f t="shared" si="140"/>
        <v>2714957</v>
      </c>
      <c r="BK179" s="24">
        <f>SUM((U179+V179+AA179+AC179+AF179+AI179+AL179+AM179+AN179)*'Weighting Factors'!O$12)+(MAX(AO179,'Weighting Factors'!B179))</f>
        <v>2748898</v>
      </c>
      <c r="BL179" s="78">
        <f>'LOB%'!F177</f>
        <v>0.33</v>
      </c>
      <c r="BM179" s="24">
        <f t="shared" si="111"/>
        <v>907136</v>
      </c>
      <c r="BN179" s="67">
        <v>901071</v>
      </c>
      <c r="BO179" s="24">
        <f t="shared" si="141"/>
        <v>901071</v>
      </c>
      <c r="BP179" s="89">
        <f t="shared" si="112"/>
        <v>0.32779999999999998</v>
      </c>
      <c r="BQ179" s="58">
        <f t="shared" si="113"/>
        <v>0</v>
      </c>
      <c r="BR179" s="1" t="b">
        <f t="shared" si="114"/>
        <v>1</v>
      </c>
      <c r="BS179" s="76">
        <f t="shared" si="115"/>
        <v>1438.595</v>
      </c>
      <c r="BT179" s="75">
        <f t="shared" si="142"/>
        <v>0.61937299999999995</v>
      </c>
      <c r="BU179" s="58">
        <f t="shared" si="116"/>
        <v>154.19999999999999</v>
      </c>
      <c r="BV179" s="1" t="b">
        <f t="shared" si="117"/>
        <v>0</v>
      </c>
      <c r="BW179" s="1">
        <f t="shared" si="118"/>
        <v>0</v>
      </c>
      <c r="BX179" s="75">
        <f t="shared" si="143"/>
        <v>0</v>
      </c>
      <c r="BY179" s="58">
        <f t="shared" si="119"/>
        <v>0</v>
      </c>
      <c r="BZ179" s="58">
        <f t="shared" si="120"/>
        <v>0</v>
      </c>
      <c r="CA179" s="61">
        <v>319</v>
      </c>
      <c r="CB179" s="102">
        <f t="shared" si="121"/>
        <v>0.60199999999999998</v>
      </c>
      <c r="CC179" s="105">
        <f>IF(CB179&lt;0.06,1,IF(CB179&gt;=18.29,52,MATCH(CB179-0.001,'Weighting Factors'!$W$5:$W$156)+1))</f>
        <v>27</v>
      </c>
      <c r="CD179" s="24">
        <f>VLOOKUP(CC179, 'Weighting Factors'!$U$5:$X$56,4)</f>
        <v>1050</v>
      </c>
      <c r="CE179" s="109">
        <f>('Weighting Factors'!$O$5/'Weighting Factors'!$O$14)</f>
        <v>1.2216</v>
      </c>
      <c r="CF179" s="100">
        <f t="shared" si="122"/>
        <v>201600</v>
      </c>
      <c r="CG179" s="100">
        <f>CF179*'Weighting Factors'!$Q$7</f>
        <v>201600</v>
      </c>
      <c r="CH179" s="100">
        <f t="shared" si="144"/>
        <v>246275</v>
      </c>
      <c r="CI179" s="58">
        <f>AK179/'Weighting Factors'!$O$5</f>
        <v>48.4</v>
      </c>
      <c r="CJ179" s="67">
        <v>0</v>
      </c>
      <c r="CK179" s="80">
        <v>0</v>
      </c>
      <c r="CL179" s="110">
        <v>0</v>
      </c>
      <c r="CM179" s="24">
        <f>SUM((AR179*'Weighting Factors'!$O$5)+'2024 Legal Max'!AX179)*CL179</f>
        <v>0</v>
      </c>
      <c r="CN179" s="24">
        <f t="shared" si="145"/>
        <v>0</v>
      </c>
      <c r="CO179" s="65">
        <f t="shared" si="110"/>
        <v>0.15770000000000001</v>
      </c>
      <c r="CP179" s="58">
        <f t="shared" si="123"/>
        <v>0</v>
      </c>
      <c r="CQ179" s="58">
        <f t="shared" si="124"/>
        <v>0</v>
      </c>
      <c r="CR179" s="58">
        <f t="shared" si="125"/>
        <v>533.6</v>
      </c>
      <c r="CS179" s="24">
        <f>'Required Transfers'!L179</f>
        <v>33700</v>
      </c>
      <c r="CT179" s="24">
        <f>'Required Transfers'!O179</f>
        <v>0</v>
      </c>
      <c r="CU179" s="24">
        <f>'Required Transfers'!H179</f>
        <v>100742</v>
      </c>
      <c r="CV179" s="58">
        <f t="shared" si="126"/>
        <v>255.5</v>
      </c>
      <c r="CW179" s="27" t="s">
        <v>364</v>
      </c>
    </row>
    <row r="180" spans="1:101" ht="15" customHeight="1">
      <c r="A180" s="54">
        <v>385</v>
      </c>
      <c r="B180" s="1" t="s">
        <v>10</v>
      </c>
      <c r="C180" s="1" t="s">
        <v>684</v>
      </c>
      <c r="D180" s="58">
        <v>4890.2</v>
      </c>
      <c r="E180" s="58"/>
      <c r="F180" s="58">
        <v>0</v>
      </c>
      <c r="G180" s="58">
        <f t="shared" si="127"/>
        <v>4890.2</v>
      </c>
      <c r="H180" s="58">
        <v>5580</v>
      </c>
      <c r="I180" s="58"/>
      <c r="J180" s="58">
        <v>0</v>
      </c>
      <c r="K180" s="58">
        <f t="shared" si="128"/>
        <v>5580</v>
      </c>
      <c r="L180" s="1">
        <v>5564.6</v>
      </c>
      <c r="N180" s="1">
        <v>0</v>
      </c>
      <c r="O180" s="58">
        <f t="shared" si="129"/>
        <v>5564.6</v>
      </c>
      <c r="P180" s="58">
        <f>IF(ISNA(VLOOKUP($CW180,'Audit Values'!$A:$BZ,2,FALSE)),'Preliminary SO66'!C179,VLOOKUP($CW180,'Audit Values'!$A:$BZ,76,FALSE))</f>
        <v>5573.9</v>
      </c>
      <c r="Q180" s="58">
        <f>IF(ISNA(VLOOKUP($CW180,'Audit Values'!$A:$BZ,2,FALSE)),'Preliminary SO66'!F179,VLOOKUP($CW180,'Audit Values'!$A:$BZ,4,FALSE))</f>
        <v>0</v>
      </c>
      <c r="R180" s="58">
        <f t="shared" si="133"/>
        <v>5573.9</v>
      </c>
      <c r="S180" s="58">
        <f>IF('Military Provision'!I180="YES", MAX('2024 Legal Max'!O180,'2024 Legal Max'!K180,AVERAGE('2024 Legal Max'!G180,'2024 Legal Max'!K180,'2024 Legal Max'!O180)), MAX(O180, K180))</f>
        <v>5580</v>
      </c>
      <c r="T180" s="58">
        <f>IF(ISNA(VLOOKUP($CW180,'Audit Values'!$A:$BX,2,FALSE)),'Preliminary SO66'!AL179,VLOOKUP($CW180,'Audit Values'!$A:$BX,59,FALSE))</f>
        <v>38</v>
      </c>
      <c r="U180" s="58">
        <f t="shared" si="134"/>
        <v>5618</v>
      </c>
      <c r="V180" s="58">
        <f>'Low-High ENRL- 2023 HSubSB 113'!N183</f>
        <v>196.9</v>
      </c>
      <c r="W180" s="58">
        <f>IF(ISNA(VLOOKUP($CW180,'Audit Values'!$A:$BZ,2,FALSE)),'Preliminary SO66'!AM179,VLOOKUP($CW180,'Audit Values'!$A:$BZ,63,FALSE))</f>
        <v>251.3</v>
      </c>
      <c r="X180" s="58">
        <f>(W180/6)*'Weighting Factors'!$O$7</f>
        <v>16.5</v>
      </c>
      <c r="Y180" s="61">
        <f>IF(ISNA(VLOOKUP($CW180,'Audit Values'!$A:$BZ,2,FALSE)),'Preliminary SO66'!AN179,VLOOKUP($CW180,'Audit Values'!$A:$BZ,62,FALSE))</f>
        <v>122</v>
      </c>
      <c r="Z180" s="58">
        <f>Y180*'Weighting Factors'!$O$8</f>
        <v>22.6</v>
      </c>
      <c r="AA180" s="58">
        <f t="shared" si="135"/>
        <v>22.6</v>
      </c>
      <c r="AB180" s="106">
        <f>IF(ISNA(VLOOKUP($CW180,'Audit Values'!$A:$BZ,2,FALSE)),'Preliminary SO66'!AO179,VLOOKUP($CW180,'Audit Values'!$A:$BZ,61,FALSE))</f>
        <v>1222</v>
      </c>
      <c r="AC180" s="58">
        <f>AB180/6*'Weighting Factors'!$O$6</f>
        <v>101.8</v>
      </c>
      <c r="AD180" s="24">
        <f>IF(ISNA(VLOOKUP($CW180,'Audit Values'!$A:$BX,2,FALSE)),'Preliminary SO66'!AS179,VLOOKUP($CW180,'Audit Values'!$A:$BX,64,FALSE))</f>
        <v>5676</v>
      </c>
      <c r="AE180" s="24">
        <f>IF(ISNA(VLOOKUP($CW180,'Audit Values'!$A:$BX,2,FALSE)),'Preliminary SO66'!AP179,VLOOKUP($CW180,'Audit Values'!$A:$BX,65,FALSE))</f>
        <v>1026</v>
      </c>
      <c r="AF180" s="58">
        <f>IF(A180=207, AE180,(AE180))*'Weighting Factors'!$O$9</f>
        <v>496.6</v>
      </c>
      <c r="AG180" s="58">
        <f t="shared" si="132"/>
        <v>0</v>
      </c>
      <c r="AH180" s="58">
        <f>IF(ISNA(VLOOKUP($CW180,'Audit Values'!$A:$BZ,2,FALSE)),'Preliminary SO66'!AG179,VLOOKUP($CW180,'Audit Values'!$A:$BZ,71,FALSE))</f>
        <v>0</v>
      </c>
      <c r="AI180" s="58">
        <f t="shared" si="136"/>
        <v>0</v>
      </c>
      <c r="AJ180" s="58">
        <f>IF(ISNA(VLOOKUP($CW180,'Audit Values'!$A:$BX,2,FALSE)),'Preliminary SO66'!AR179,VLOOKUP($CW180,'Audit Values'!$A:$BX,66,FALSE))</f>
        <v>1764</v>
      </c>
      <c r="AK180" s="24">
        <f t="shared" si="137"/>
        <v>1185196</v>
      </c>
      <c r="AL180" s="58">
        <f>AK180/'Weighting Factors'!$O$5</f>
        <v>232.9</v>
      </c>
      <c r="AM180" s="58">
        <f>CJ180/'Weighting Factors'!$O$5</f>
        <v>0</v>
      </c>
      <c r="AN180" s="58">
        <f>CN180/'Weighting Factors'!$O$5</f>
        <v>0</v>
      </c>
      <c r="AO180" s="24">
        <v>5207432</v>
      </c>
      <c r="AP180" s="58">
        <f>AO180/'Weighting Factors'!$O$5</f>
        <v>1023.5</v>
      </c>
      <c r="AQ180" s="58">
        <f>IF(ISNA(VLOOKUP($CW180,'Audit Values'!$A:$BX,2,FALSE)),'Preliminary SO66'!X179,VLOOKUP($CW180,'Audit Values'!$A:$BX,48,FALSE))</f>
        <v>0</v>
      </c>
      <c r="AR180" s="58">
        <f t="shared" si="130"/>
        <v>7692.3</v>
      </c>
      <c r="AS180" s="58">
        <f t="shared" si="131"/>
        <v>6668.8</v>
      </c>
      <c r="AT180" s="58">
        <f>IF(ISNA(VLOOKUP($CW180,'Audit Values'!$A$2:$BX$410,2,FALSE)),'Preliminary SO66'!AA179,VLOOKUP($CW180,'Audit Values'!$A$2:$BX$410,41,FALSE))</f>
        <v>352</v>
      </c>
      <c r="AU180" s="58">
        <f>IF(ISNA(VLOOKUP($CW180,'Audit Values'!$A$2:$BX$410,2,FALSE)),'Preliminary SO66'!AB179,VLOOKUP($CW180,'Audit Values'!$A$2:$BX$410,42,FALSE))</f>
        <v>688.1</v>
      </c>
      <c r="AV180" s="73">
        <v>28</v>
      </c>
      <c r="AW180" s="73">
        <v>13</v>
      </c>
      <c r="AX180" s="24">
        <f>SUM(AT180*'Weighting Factors'!$R$10)+('2024 Legal Max'!AU180*'Weighting Factors'!$R$11)+('2024 Legal Max'!AV180*'Weighting Factors'!$R$12)+('2024 Legal Max'!AW180*'Weighting Factors'!$R$12)</f>
        <v>3926949</v>
      </c>
      <c r="AY180" s="54">
        <f>IF(ISNA(VLOOKUP($CW180,'Audit Values'!$A$2:$BX$429,2,FALSE)),"",IF(AND('Weighting Factors'!G180&gt;0,VLOOKUP($CW180,'Audit Values'!$A$2:$BX$429,51,FALSE)&lt;'Weighting Factors'!G180),'Weighting Factors'!G180,VLOOKUP($CW180,'Audit Values'!$A$2:$BX$429,51,FALSE)))</f>
        <v>20</v>
      </c>
      <c r="AZ180" s="54" t="str">
        <f>IF(ISNA(VLOOKUP($CW180,'Audit Values'!$A:$BY,2,FALSE)),"",VLOOKUP($CW180,'Audit Values'!$A:$BY,52,FALSE))</f>
        <v>A</v>
      </c>
      <c r="BA180" s="54" t="str">
        <f>IF('Weighting Factors'!F180="","",IF('Weighting Factors'!H180="Pending","PX","R"))</f>
        <v/>
      </c>
      <c r="BB180" s="60">
        <f>SUM((U180+V180+AA180+AC180+AF180+AI180+AL180+AM180+AQ180+AN180)*'Weighting Factors'!$O$5)+'2024 Legal Max'!AX180</f>
        <v>37857803</v>
      </c>
      <c r="BC180" s="24">
        <f>SUM((AR180+AN180)*'Weighting Factors'!$O$5)+AX180</f>
        <v>43065371</v>
      </c>
      <c r="BD180" s="67">
        <f>IF('Weighting Factors'!F180&gt;0,'Weighting Factors'!F180,'Preliminary SO66'!AV179)</f>
        <v>44164734</v>
      </c>
      <c r="BE180" s="24">
        <f t="shared" si="138"/>
        <v>43065371</v>
      </c>
      <c r="BF180" s="71">
        <f>'Weighting Factors'!E180</f>
        <v>0</v>
      </c>
      <c r="BG180" s="71">
        <f>Transportation!G180</f>
        <v>0</v>
      </c>
      <c r="BH180" s="24">
        <f>IF(ISNA(VLOOKUP($CW180,'Audit Values'!$A:$BW,2,FALSE)), 0, VLOOKUP($CW180,'Audit Values'!$A:$BW,75,FALSE))</f>
        <v>-840</v>
      </c>
      <c r="BI180" s="24">
        <f t="shared" si="139"/>
        <v>-840</v>
      </c>
      <c r="BJ180" s="24">
        <f t="shared" si="140"/>
        <v>43064531</v>
      </c>
      <c r="BK180" s="24">
        <f>SUM((U180+V180+AA180+AC180+AF180+AI180+AL180+AM180+AN180)*'Weighting Factors'!O$12)+(MAX(AO180,'Weighting Factors'!B180))</f>
        <v>39605102</v>
      </c>
      <c r="BL180" s="78">
        <f>'LOB%'!F178</f>
        <v>0.33</v>
      </c>
      <c r="BM180" s="24">
        <f t="shared" si="111"/>
        <v>13069684</v>
      </c>
      <c r="BN180" s="67">
        <v>13383104</v>
      </c>
      <c r="BO180" s="24">
        <f t="shared" si="141"/>
        <v>13069684</v>
      </c>
      <c r="BP180" s="89">
        <f t="shared" si="112"/>
        <v>0.33</v>
      </c>
      <c r="BQ180" s="58">
        <f t="shared" si="113"/>
        <v>0</v>
      </c>
      <c r="BR180" s="1" t="b">
        <f t="shared" si="114"/>
        <v>0</v>
      </c>
      <c r="BS180" s="76">
        <f t="shared" si="115"/>
        <v>0</v>
      </c>
      <c r="BT180" s="75">
        <f t="shared" si="142"/>
        <v>0</v>
      </c>
      <c r="BU180" s="58">
        <f t="shared" si="116"/>
        <v>0</v>
      </c>
      <c r="BV180" s="1" t="b">
        <f t="shared" si="117"/>
        <v>0</v>
      </c>
      <c r="BW180" s="1">
        <f t="shared" si="118"/>
        <v>0</v>
      </c>
      <c r="BX180" s="75">
        <f t="shared" si="143"/>
        <v>0</v>
      </c>
      <c r="BY180" s="58">
        <f t="shared" si="119"/>
        <v>0</v>
      </c>
      <c r="BZ180" s="58">
        <f t="shared" si="120"/>
        <v>196.9</v>
      </c>
      <c r="CA180" s="61">
        <v>46.8</v>
      </c>
      <c r="CB180" s="102">
        <f t="shared" si="121"/>
        <v>37.692</v>
      </c>
      <c r="CC180" s="105">
        <f>IF(CB180&lt;0.06,1,IF(CB180&gt;=18.29,52,MATCH(CB180-0.001,'Weighting Factors'!$W$5:$W$156)+1))</f>
        <v>52</v>
      </c>
      <c r="CD180" s="24">
        <f>VLOOKUP(CC180, 'Weighting Factors'!$U$5:$X$56,4)</f>
        <v>550</v>
      </c>
      <c r="CE180" s="109">
        <f>('Weighting Factors'!$O$5/'Weighting Factors'!$O$14)</f>
        <v>1.2216</v>
      </c>
      <c r="CF180" s="100">
        <f t="shared" si="122"/>
        <v>970200</v>
      </c>
      <c r="CG180" s="100">
        <f>CF180*'Weighting Factors'!$Q$7</f>
        <v>970200</v>
      </c>
      <c r="CH180" s="100">
        <f t="shared" si="144"/>
        <v>1185196</v>
      </c>
      <c r="CI180" s="58">
        <f>AK180/'Weighting Factors'!$O$5</f>
        <v>232.9</v>
      </c>
      <c r="CJ180" s="67">
        <v>0</v>
      </c>
      <c r="CK180" s="80">
        <v>0</v>
      </c>
      <c r="CL180" s="110">
        <v>5.6599999999999998E-2</v>
      </c>
      <c r="CM180" s="24">
        <f>SUM((AR180*'Weighting Factors'!$O$5)+'2024 Legal Max'!AX180)*CL180</f>
        <v>2437500</v>
      </c>
      <c r="CN180" s="24">
        <f t="shared" si="145"/>
        <v>0</v>
      </c>
      <c r="CO180" s="65">
        <f t="shared" si="110"/>
        <v>0.18079999999999999</v>
      </c>
      <c r="CP180" s="58">
        <f t="shared" si="123"/>
        <v>0</v>
      </c>
      <c r="CQ180" s="58">
        <f t="shared" si="124"/>
        <v>0</v>
      </c>
      <c r="CR180" s="58">
        <f t="shared" si="125"/>
        <v>7692.3</v>
      </c>
      <c r="CS180" s="24">
        <f>'Required Transfers'!L180</f>
        <v>848222</v>
      </c>
      <c r="CT180" s="24">
        <f>'Required Transfers'!O180</f>
        <v>39209</v>
      </c>
      <c r="CU180" s="24">
        <f>'Required Transfers'!H180</f>
        <v>2526701</v>
      </c>
      <c r="CV180" s="58">
        <f t="shared" si="126"/>
        <v>6658.8</v>
      </c>
      <c r="CW180" s="27" t="s">
        <v>365</v>
      </c>
    </row>
    <row r="181" spans="1:101" ht="15" customHeight="1">
      <c r="A181" s="54">
        <v>386</v>
      </c>
      <c r="B181" s="1" t="s">
        <v>82</v>
      </c>
      <c r="C181" s="1" t="s">
        <v>685</v>
      </c>
      <c r="D181" s="58">
        <v>211.5</v>
      </c>
      <c r="E181" s="58"/>
      <c r="F181" s="58">
        <v>0</v>
      </c>
      <c r="G181" s="58">
        <f t="shared" si="127"/>
        <v>211.5</v>
      </c>
      <c r="H181" s="58">
        <v>223.5</v>
      </c>
      <c r="I181" s="58"/>
      <c r="J181" s="58">
        <v>0</v>
      </c>
      <c r="K181" s="58">
        <f t="shared" si="128"/>
        <v>223.5</v>
      </c>
      <c r="L181" s="1">
        <v>220</v>
      </c>
      <c r="N181" s="1">
        <v>0</v>
      </c>
      <c r="O181" s="58">
        <f t="shared" si="129"/>
        <v>220</v>
      </c>
      <c r="P181" s="58">
        <f>IF(ISNA(VLOOKUP($CW181,'Audit Values'!$A:$BZ,2,FALSE)),'Preliminary SO66'!C180,VLOOKUP($CW181,'Audit Values'!$A:$BZ,76,FALSE))</f>
        <v>211.5</v>
      </c>
      <c r="Q181" s="58">
        <f>IF(ISNA(VLOOKUP($CW181,'Audit Values'!$A:$BZ,2,FALSE)),'Preliminary SO66'!F180,VLOOKUP($CW181,'Audit Values'!$A:$BZ,4,FALSE))</f>
        <v>0</v>
      </c>
      <c r="R181" s="58">
        <f t="shared" si="133"/>
        <v>211.5</v>
      </c>
      <c r="S181" s="58">
        <f>IF('Military Provision'!I181="YES", MAX('2024 Legal Max'!O181,'2024 Legal Max'!K181,AVERAGE('2024 Legal Max'!G181,'2024 Legal Max'!K181,'2024 Legal Max'!O181)), MAX(O181, K181))</f>
        <v>223.5</v>
      </c>
      <c r="T181" s="58">
        <f>IF(ISNA(VLOOKUP($CW181,'Audit Values'!$A:$BX,2,FALSE)),'Preliminary SO66'!AL180,VLOOKUP($CW181,'Audit Values'!$A:$BX,59,FALSE))</f>
        <v>5</v>
      </c>
      <c r="U181" s="58">
        <f t="shared" si="134"/>
        <v>228.5</v>
      </c>
      <c r="V181" s="58">
        <f>'Low-High ENRL- 2023 HSubSB 113'!N184</f>
        <v>153.9</v>
      </c>
      <c r="W181" s="58">
        <f>IF(ISNA(VLOOKUP($CW181,'Audit Values'!$A:$BZ,2,FALSE)),'Preliminary SO66'!AM180,VLOOKUP($CW181,'Audit Values'!$A:$BZ,63,FALSE))</f>
        <v>1.3</v>
      </c>
      <c r="X181" s="58">
        <f>(W181/6)*'Weighting Factors'!$O$7</f>
        <v>0.1</v>
      </c>
      <c r="Y181" s="61">
        <f>IF(ISNA(VLOOKUP($CW181,'Audit Values'!$A:$BZ,2,FALSE)),'Preliminary SO66'!AN180,VLOOKUP($CW181,'Audit Values'!$A:$BZ,62,FALSE))</f>
        <v>1</v>
      </c>
      <c r="Z181" s="58">
        <f>Y181*'Weighting Factors'!$O$8</f>
        <v>0.2</v>
      </c>
      <c r="AA181" s="58">
        <f t="shared" si="135"/>
        <v>0.2</v>
      </c>
      <c r="AB181" s="106">
        <f>IF(ISNA(VLOOKUP($CW181,'Audit Values'!$A:$BZ,2,FALSE)),'Preliminary SO66'!AO180,VLOOKUP($CW181,'Audit Values'!$A:$BZ,61,FALSE))</f>
        <v>53.3</v>
      </c>
      <c r="AC181" s="58">
        <f>AB181/6*'Weighting Factors'!$O$6</f>
        <v>4.4000000000000004</v>
      </c>
      <c r="AD181" s="24">
        <f>IF(ISNA(VLOOKUP($CW181,'Audit Values'!$A:$BX,2,FALSE)),'Preliminary SO66'!AS180,VLOOKUP($CW181,'Audit Values'!$A:$BX,64,FALSE))</f>
        <v>224</v>
      </c>
      <c r="AE181" s="24">
        <f>IF(ISNA(VLOOKUP($CW181,'Audit Values'!$A:$BX,2,FALSE)),'Preliminary SO66'!AP180,VLOOKUP($CW181,'Audit Values'!$A:$BX,65,FALSE))</f>
        <v>87</v>
      </c>
      <c r="AF181" s="58">
        <f>IF(A181=207, AE181,(AE181))*'Weighting Factors'!$O$9</f>
        <v>42.1</v>
      </c>
      <c r="AG181" s="58">
        <f t="shared" si="132"/>
        <v>2.2999999999999998</v>
      </c>
      <c r="AH181" s="58">
        <f>IF(ISNA(VLOOKUP($CW181,'Audit Values'!$A:$BZ,2,FALSE)),'Preliminary SO66'!AG180,VLOOKUP($CW181,'Audit Values'!$A:$BZ,71,FALSE))</f>
        <v>2.5</v>
      </c>
      <c r="AI181" s="58">
        <f t="shared" si="136"/>
        <v>2.5</v>
      </c>
      <c r="AJ181" s="58">
        <f>IF(ISNA(VLOOKUP($CW181,'Audit Values'!$A:$BX,2,FALSE)),'Preliminary SO66'!AR180,VLOOKUP($CW181,'Audit Values'!$A:$BX,66,FALSE))</f>
        <v>54.5</v>
      </c>
      <c r="AK181" s="24">
        <f t="shared" si="137"/>
        <v>84553</v>
      </c>
      <c r="AL181" s="58">
        <f>AK181/'Weighting Factors'!$O$5</f>
        <v>16.600000000000001</v>
      </c>
      <c r="AM181" s="58">
        <f>CJ181/'Weighting Factors'!$O$5</f>
        <v>0</v>
      </c>
      <c r="AN181" s="58">
        <f>CN181/'Weighting Factors'!$O$5</f>
        <v>0</v>
      </c>
      <c r="AO181" s="24">
        <v>436199</v>
      </c>
      <c r="AP181" s="58">
        <f>AO181/'Weighting Factors'!$O$5</f>
        <v>85.7</v>
      </c>
      <c r="AQ181" s="58">
        <f>IF(ISNA(VLOOKUP($CW181,'Audit Values'!$A:$BX,2,FALSE)),'Preliminary SO66'!X180,VLOOKUP($CW181,'Audit Values'!$A:$BX,48,FALSE))</f>
        <v>0</v>
      </c>
      <c r="AR181" s="58">
        <f t="shared" si="130"/>
        <v>533.9</v>
      </c>
      <c r="AS181" s="58">
        <f t="shared" si="131"/>
        <v>448.2</v>
      </c>
      <c r="AT181" s="58">
        <f>IF(ISNA(VLOOKUP($CW181,'Audit Values'!$A$2:$BX$410,2,FALSE)),'Preliminary SO66'!AA180,VLOOKUP($CW181,'Audit Values'!$A$2:$BX$410,41,FALSE))</f>
        <v>1</v>
      </c>
      <c r="AU181" s="58">
        <f>IF(ISNA(VLOOKUP($CW181,'Audit Values'!$A$2:$BX$410,2,FALSE)),'Preliminary SO66'!AB180,VLOOKUP($CW181,'Audit Values'!$A$2:$BX$410,42,FALSE))</f>
        <v>0</v>
      </c>
      <c r="AV181" s="73">
        <v>0</v>
      </c>
      <c r="AW181" s="73">
        <v>0</v>
      </c>
      <c r="AX181" s="24">
        <f>SUM(AT181*'Weighting Factors'!$R$10)+('2024 Legal Max'!AU181*'Weighting Factors'!$R$11)+('2024 Legal Max'!AV181*'Weighting Factors'!$R$12)+('2024 Legal Max'!AW181*'Weighting Factors'!$R$12)</f>
        <v>5600</v>
      </c>
      <c r="AY181" s="54">
        <f>IF(ISNA(VLOOKUP($CW181,'Audit Values'!$A$2:$BX$429,2,FALSE)),"",IF(AND('Weighting Factors'!G181&gt;0,VLOOKUP($CW181,'Audit Values'!$A$2:$BX$429,51,FALSE)&lt;'Weighting Factors'!G181),'Weighting Factors'!G181,VLOOKUP($CW181,'Audit Values'!$A$2:$BX$429,51,FALSE)))</f>
        <v>5</v>
      </c>
      <c r="AZ181" s="54" t="str">
        <f>IF(ISNA(VLOOKUP($CW181,'Audit Values'!$A:$BY,2,FALSE)),"",VLOOKUP($CW181,'Audit Values'!$A:$BY,52,FALSE))</f>
        <v>A</v>
      </c>
      <c r="BA181" s="54" t="str">
        <f>IF('Weighting Factors'!F181="","",IF('Weighting Factors'!H181="Pending","PX","R"))</f>
        <v/>
      </c>
      <c r="BB181" s="60">
        <f>SUM((U181+V181+AA181+AC181+AF181+AI181+AL181+AM181+AQ181+AN181)*'Weighting Factors'!$O$5)+'2024 Legal Max'!AX181</f>
        <v>2286042</v>
      </c>
      <c r="BC181" s="24">
        <f>SUM((AR181+AN181)*'Weighting Factors'!$O$5)+AX181</f>
        <v>2722083</v>
      </c>
      <c r="BD181" s="67">
        <f>IF('Weighting Factors'!F181&gt;0,'Weighting Factors'!F181,'Preliminary SO66'!AV180)</f>
        <v>2898637</v>
      </c>
      <c r="BE181" s="24">
        <f t="shared" si="138"/>
        <v>2722083</v>
      </c>
      <c r="BF181" s="71">
        <f>'Weighting Factors'!E181</f>
        <v>0</v>
      </c>
      <c r="BG181" s="71">
        <f>Transportation!G181</f>
        <v>0</v>
      </c>
      <c r="BH181" s="24">
        <f>IF(ISNA(VLOOKUP($CW181,'Audit Values'!$A:$BW,2,FALSE)), 0, VLOOKUP($CW181,'Audit Values'!$A:$BW,75,FALSE))</f>
        <v>0</v>
      </c>
      <c r="BI181" s="24">
        <f t="shared" si="139"/>
        <v>0</v>
      </c>
      <c r="BJ181" s="24">
        <f t="shared" si="140"/>
        <v>2722083</v>
      </c>
      <c r="BK181" s="24">
        <f>SUM((U181+V181+AA181+AC181+AF181+AI181+AL181+AM181+AN181)*'Weighting Factors'!O$12)+(MAX(AO181,'Weighting Factors'!B181))</f>
        <v>2748015</v>
      </c>
      <c r="BL181" s="78">
        <f>'LOB%'!F179</f>
        <v>0.33</v>
      </c>
      <c r="BM181" s="24">
        <f t="shared" si="111"/>
        <v>906845</v>
      </c>
      <c r="BN181" s="67">
        <v>965633</v>
      </c>
      <c r="BO181" s="24">
        <f t="shared" si="141"/>
        <v>906845</v>
      </c>
      <c r="BP181" s="89">
        <f t="shared" si="112"/>
        <v>0.33</v>
      </c>
      <c r="BQ181" s="58">
        <f t="shared" si="113"/>
        <v>0</v>
      </c>
      <c r="BR181" s="1" t="b">
        <f t="shared" si="114"/>
        <v>1</v>
      </c>
      <c r="BS181" s="76">
        <f t="shared" si="115"/>
        <v>1240.6679999999999</v>
      </c>
      <c r="BT181" s="75">
        <f t="shared" si="142"/>
        <v>0.67371300000000001</v>
      </c>
      <c r="BU181" s="58">
        <f t="shared" si="116"/>
        <v>153.9</v>
      </c>
      <c r="BV181" s="1" t="b">
        <f t="shared" si="117"/>
        <v>0</v>
      </c>
      <c r="BW181" s="1">
        <f t="shared" si="118"/>
        <v>0</v>
      </c>
      <c r="BX181" s="75">
        <f t="shared" si="143"/>
        <v>0</v>
      </c>
      <c r="BY181" s="58">
        <f t="shared" si="119"/>
        <v>0</v>
      </c>
      <c r="BZ181" s="58">
        <f t="shared" si="120"/>
        <v>0</v>
      </c>
      <c r="CA181" s="61">
        <v>253</v>
      </c>
      <c r="CB181" s="102">
        <f t="shared" si="121"/>
        <v>0.215</v>
      </c>
      <c r="CC181" s="105">
        <f>IF(CB181&lt;0.06,1,IF(CB181&gt;=18.29,52,MATCH(CB181-0.001,'Weighting Factors'!$W$5:$W$156)+1))</f>
        <v>16</v>
      </c>
      <c r="CD181" s="24">
        <f>VLOOKUP(CC181, 'Weighting Factors'!$U$5:$X$56,4)</f>
        <v>1270</v>
      </c>
      <c r="CE181" s="109">
        <f>('Weighting Factors'!$O$5/'Weighting Factors'!$O$14)</f>
        <v>1.2216</v>
      </c>
      <c r="CF181" s="100">
        <f t="shared" si="122"/>
        <v>69215</v>
      </c>
      <c r="CG181" s="100">
        <f>CF181*'Weighting Factors'!$Q$7</f>
        <v>69215</v>
      </c>
      <c r="CH181" s="100">
        <f t="shared" si="144"/>
        <v>84553</v>
      </c>
      <c r="CI181" s="58">
        <f>AK181/'Weighting Factors'!$O$5</f>
        <v>16.600000000000001</v>
      </c>
      <c r="CJ181" s="67">
        <v>0</v>
      </c>
      <c r="CK181" s="80">
        <v>0</v>
      </c>
      <c r="CL181" s="110">
        <v>0</v>
      </c>
      <c r="CM181" s="24">
        <f>SUM((AR181*'Weighting Factors'!$O$5)+'2024 Legal Max'!AX181)*CL181</f>
        <v>0</v>
      </c>
      <c r="CN181" s="24">
        <f t="shared" si="145"/>
        <v>0</v>
      </c>
      <c r="CO181" s="65">
        <f t="shared" si="110"/>
        <v>0.38840000000000002</v>
      </c>
      <c r="CP181" s="58">
        <f t="shared" si="123"/>
        <v>0</v>
      </c>
      <c r="CQ181" s="58">
        <f t="shared" si="124"/>
        <v>2.2999999999999998</v>
      </c>
      <c r="CR181" s="58">
        <f t="shared" si="125"/>
        <v>533.9</v>
      </c>
      <c r="CS181" s="24">
        <f>'Required Transfers'!L181</f>
        <v>72185</v>
      </c>
      <c r="CT181" s="24">
        <f>'Required Transfers'!O181</f>
        <v>363</v>
      </c>
      <c r="CU181" s="24">
        <f>'Required Transfers'!H181</f>
        <v>226925</v>
      </c>
      <c r="CV181" s="58">
        <f t="shared" si="126"/>
        <v>217.5</v>
      </c>
      <c r="CW181" s="27" t="s">
        <v>366</v>
      </c>
    </row>
    <row r="182" spans="1:101" ht="15" customHeight="1">
      <c r="A182" s="54">
        <v>387</v>
      </c>
      <c r="B182" s="1" t="s">
        <v>83</v>
      </c>
      <c r="C182" s="1" t="s">
        <v>686</v>
      </c>
      <c r="D182" s="58">
        <v>162.5</v>
      </c>
      <c r="E182" s="58"/>
      <c r="F182" s="58">
        <v>0</v>
      </c>
      <c r="G182" s="58">
        <f t="shared" si="127"/>
        <v>162.5</v>
      </c>
      <c r="H182" s="58">
        <v>150</v>
      </c>
      <c r="I182" s="58"/>
      <c r="J182" s="58">
        <v>0</v>
      </c>
      <c r="K182" s="58">
        <f t="shared" si="128"/>
        <v>150</v>
      </c>
      <c r="L182" s="1">
        <v>136</v>
      </c>
      <c r="N182" s="1">
        <v>0</v>
      </c>
      <c r="O182" s="58">
        <f t="shared" si="129"/>
        <v>136</v>
      </c>
      <c r="P182" s="58">
        <f>IF(ISNA(VLOOKUP($CW182,'Audit Values'!$A:$BZ,2,FALSE)),'Preliminary SO66'!C181,VLOOKUP($CW182,'Audit Values'!$A:$BZ,76,FALSE))</f>
        <v>138</v>
      </c>
      <c r="Q182" s="58">
        <f>IF(ISNA(VLOOKUP($CW182,'Audit Values'!$A:$BZ,2,FALSE)),'Preliminary SO66'!F181,VLOOKUP($CW182,'Audit Values'!$A:$BZ,4,FALSE))</f>
        <v>0</v>
      </c>
      <c r="R182" s="58">
        <f t="shared" si="133"/>
        <v>138</v>
      </c>
      <c r="S182" s="58">
        <f>IF('Military Provision'!I182="YES", MAX('2024 Legal Max'!O182,'2024 Legal Max'!K182,AVERAGE('2024 Legal Max'!G182,'2024 Legal Max'!K182,'2024 Legal Max'!O182)), MAX(O182, K182))</f>
        <v>150</v>
      </c>
      <c r="T182" s="58">
        <f>IF(ISNA(VLOOKUP($CW182,'Audit Values'!$A:$BX,2,FALSE)),'Preliminary SO66'!AL181,VLOOKUP($CW182,'Audit Values'!$A:$BX,59,FALSE))</f>
        <v>4.5</v>
      </c>
      <c r="U182" s="58">
        <f t="shared" si="134"/>
        <v>154.5</v>
      </c>
      <c r="V182" s="58">
        <f>'Low-High ENRL- 2023 HSubSB 113'!N185</f>
        <v>134.4</v>
      </c>
      <c r="W182" s="58">
        <f>IF(ISNA(VLOOKUP($CW182,'Audit Values'!$A:$BZ,2,FALSE)),'Preliminary SO66'!AM181,VLOOKUP($CW182,'Audit Values'!$A:$BZ,63,FALSE))</f>
        <v>0</v>
      </c>
      <c r="X182" s="58">
        <f>(W182/6)*'Weighting Factors'!$O$7</f>
        <v>0</v>
      </c>
      <c r="Y182" s="61">
        <f>IF(ISNA(VLOOKUP($CW182,'Audit Values'!$A:$BZ,2,FALSE)),'Preliminary SO66'!AN181,VLOOKUP($CW182,'Audit Values'!$A:$BZ,62,FALSE))</f>
        <v>0</v>
      </c>
      <c r="Z182" s="58">
        <f>Y182*'Weighting Factors'!$O$8</f>
        <v>0</v>
      </c>
      <c r="AA182" s="58">
        <f t="shared" si="135"/>
        <v>0</v>
      </c>
      <c r="AB182" s="106">
        <f>IF(ISNA(VLOOKUP($CW182,'Audit Values'!$A:$BZ,2,FALSE)),'Preliminary SO66'!AO181,VLOOKUP($CW182,'Audit Values'!$A:$BZ,61,FALSE))</f>
        <v>46.1</v>
      </c>
      <c r="AC182" s="58">
        <f>AB182/6*'Weighting Factors'!$O$6</f>
        <v>3.8</v>
      </c>
      <c r="AD182" s="24">
        <f>IF(ISNA(VLOOKUP($CW182,'Audit Values'!$A:$BX,2,FALSE)),'Preliminary SO66'!AS181,VLOOKUP($CW182,'Audit Values'!$A:$BX,64,FALSE))</f>
        <v>147</v>
      </c>
      <c r="AE182" s="24">
        <f>IF(ISNA(VLOOKUP($CW182,'Audit Values'!$A:$BX,2,FALSE)),'Preliminary SO66'!AP181,VLOOKUP($CW182,'Audit Values'!$A:$BX,65,FALSE))</f>
        <v>95</v>
      </c>
      <c r="AF182" s="58">
        <f>IF(A182=207, AE182,(AE182))*'Weighting Factors'!$O$9</f>
        <v>46</v>
      </c>
      <c r="AG182" s="58">
        <f t="shared" si="132"/>
        <v>10</v>
      </c>
      <c r="AH182" s="58">
        <f>IF(ISNA(VLOOKUP($CW182,'Audit Values'!$A:$BZ,2,FALSE)),'Preliminary SO66'!AG181,VLOOKUP($CW182,'Audit Values'!$A:$BZ,71,FALSE))</f>
        <v>9.9</v>
      </c>
      <c r="AI182" s="58">
        <f t="shared" si="136"/>
        <v>10</v>
      </c>
      <c r="AJ182" s="58">
        <f>IF(ISNA(VLOOKUP($CW182,'Audit Values'!$A:$BX,2,FALSE)),'Preliminary SO66'!AR181,VLOOKUP($CW182,'Audit Values'!$A:$BX,66,FALSE))</f>
        <v>97</v>
      </c>
      <c r="AK182" s="24">
        <f t="shared" si="137"/>
        <v>129160</v>
      </c>
      <c r="AL182" s="58">
        <f>AK182/'Weighting Factors'!$O$5</f>
        <v>25.4</v>
      </c>
      <c r="AM182" s="58">
        <f>CJ182/'Weighting Factors'!$O$5</f>
        <v>0</v>
      </c>
      <c r="AN182" s="58">
        <f>CN182/'Weighting Factors'!$O$5</f>
        <v>0</v>
      </c>
      <c r="AO182" s="24">
        <v>154997</v>
      </c>
      <c r="AP182" s="58">
        <f>AO182/'Weighting Factors'!$O$5</f>
        <v>30.5</v>
      </c>
      <c r="AQ182" s="58">
        <f>IF(ISNA(VLOOKUP($CW182,'Audit Values'!$A:$BX,2,FALSE)),'Preliminary SO66'!X181,VLOOKUP($CW182,'Audit Values'!$A:$BX,48,FALSE))</f>
        <v>0</v>
      </c>
      <c r="AR182" s="58">
        <f t="shared" si="130"/>
        <v>404.6</v>
      </c>
      <c r="AS182" s="58">
        <f t="shared" si="131"/>
        <v>374.1</v>
      </c>
      <c r="AT182" s="58">
        <f>IF(ISNA(VLOOKUP($CW182,'Audit Values'!$A$2:$BX$410,2,FALSE)),'Preliminary SO66'!AA181,VLOOKUP($CW182,'Audit Values'!$A$2:$BX$410,41,FALSE))</f>
        <v>0</v>
      </c>
      <c r="AU182" s="58">
        <f>IF(ISNA(VLOOKUP($CW182,'Audit Values'!$A$2:$BX$410,2,FALSE)),'Preliminary SO66'!AB181,VLOOKUP($CW182,'Audit Values'!$A$2:$BX$410,42,FALSE))</f>
        <v>0</v>
      </c>
      <c r="AV182" s="73">
        <v>0</v>
      </c>
      <c r="AW182" s="73">
        <v>0</v>
      </c>
      <c r="AX182" s="24">
        <f>SUM(AT182*'Weighting Factors'!$R$10)+('2024 Legal Max'!AU182*'Weighting Factors'!$R$11)+('2024 Legal Max'!AV182*'Weighting Factors'!$R$12)+('2024 Legal Max'!AW182*'Weighting Factors'!$R$12)</f>
        <v>0</v>
      </c>
      <c r="AY182" s="54">
        <f>IF(ISNA(VLOOKUP($CW182,'Audit Values'!$A$2:$BX$429,2,FALSE)),"",IF(AND('Weighting Factors'!G182&gt;0,VLOOKUP($CW182,'Audit Values'!$A$2:$BX$429,51,FALSE)&lt;'Weighting Factors'!G182),'Weighting Factors'!G182,VLOOKUP($CW182,'Audit Values'!$A$2:$BX$429,51,FALSE)))</f>
        <v>17</v>
      </c>
      <c r="AZ182" s="54" t="str">
        <f>IF(ISNA(VLOOKUP($CW182,'Audit Values'!$A:$BY,2,FALSE)),"",VLOOKUP($CW182,'Audit Values'!$A:$BY,52,FALSE))</f>
        <v>A</v>
      </c>
      <c r="BA182" s="54" t="str">
        <f>IF('Weighting Factors'!F182="","",IF('Weighting Factors'!H182="Pending","PX","R"))</f>
        <v/>
      </c>
      <c r="BB182" s="60">
        <f>SUM((U182+V182+AA182+AC182+AF182+AI182+AL182+AM182+AQ182+AN182)*'Weighting Factors'!$O$5)+'2024 Legal Max'!AX182</f>
        <v>1903421</v>
      </c>
      <c r="BC182" s="24">
        <f>SUM((AR182+AN182)*'Weighting Factors'!$O$5)+AX182</f>
        <v>2058605</v>
      </c>
      <c r="BD182" s="67">
        <f>IF('Weighting Factors'!F182&gt;0,'Weighting Factors'!F182,'Preliminary SO66'!AV181)</f>
        <v>2120678</v>
      </c>
      <c r="BE182" s="24">
        <f t="shared" si="138"/>
        <v>2058605</v>
      </c>
      <c r="BF182" s="71">
        <f>'Weighting Factors'!E182</f>
        <v>0</v>
      </c>
      <c r="BG182" s="71">
        <f>Transportation!G182</f>
        <v>0</v>
      </c>
      <c r="BH182" s="24">
        <f>IF(ISNA(VLOOKUP($CW182,'Audit Values'!$A:$BW,2,FALSE)), 0, VLOOKUP($CW182,'Audit Values'!$A:$BW,75,FALSE))</f>
        <v>0</v>
      </c>
      <c r="BI182" s="24">
        <f t="shared" si="139"/>
        <v>0</v>
      </c>
      <c r="BJ182" s="24">
        <f t="shared" si="140"/>
        <v>2058605</v>
      </c>
      <c r="BK182" s="24">
        <f>SUM((U182+V182+AA182+AC182+AF182+AI182+AL182+AM182+AN182)*'Weighting Factors'!O$12)+(MAX(AO182,'Weighting Factors'!B182))</f>
        <v>2195774</v>
      </c>
      <c r="BL182" s="78">
        <f>'LOB%'!F180</f>
        <v>0.33</v>
      </c>
      <c r="BM182" s="24">
        <f t="shared" si="111"/>
        <v>724605</v>
      </c>
      <c r="BN182" s="67">
        <v>730563</v>
      </c>
      <c r="BO182" s="24">
        <f t="shared" si="141"/>
        <v>724605</v>
      </c>
      <c r="BP182" s="89">
        <f t="shared" si="112"/>
        <v>0.33</v>
      </c>
      <c r="BQ182" s="58">
        <f t="shared" si="113"/>
        <v>0</v>
      </c>
      <c r="BR182" s="1" t="b">
        <f t="shared" si="114"/>
        <v>1</v>
      </c>
      <c r="BS182" s="76">
        <f t="shared" si="115"/>
        <v>526.19799999999998</v>
      </c>
      <c r="BT182" s="75">
        <f t="shared" si="142"/>
        <v>0.86986699999999995</v>
      </c>
      <c r="BU182" s="58">
        <f t="shared" si="116"/>
        <v>134.4</v>
      </c>
      <c r="BV182" s="1" t="b">
        <f t="shared" si="117"/>
        <v>0</v>
      </c>
      <c r="BW182" s="1">
        <f t="shared" si="118"/>
        <v>0</v>
      </c>
      <c r="BX182" s="75">
        <f t="shared" si="143"/>
        <v>0</v>
      </c>
      <c r="BY182" s="58">
        <f t="shared" si="119"/>
        <v>0</v>
      </c>
      <c r="BZ182" s="58">
        <f t="shared" si="120"/>
        <v>0</v>
      </c>
      <c r="CA182" s="61">
        <v>192</v>
      </c>
      <c r="CB182" s="102">
        <f t="shared" si="121"/>
        <v>0.505</v>
      </c>
      <c r="CC182" s="105">
        <f>IF(CB182&lt;0.06,1,IF(CB182&gt;=18.29,52,MATCH(CB182-0.001,'Weighting Factors'!$W$5:$W$156)+1))</f>
        <v>25</v>
      </c>
      <c r="CD182" s="24">
        <f>VLOOKUP(CC182, 'Weighting Factors'!$U$5:$X$56,4)</f>
        <v>1090</v>
      </c>
      <c r="CE182" s="109">
        <f>('Weighting Factors'!$O$5/'Weighting Factors'!$O$14)</f>
        <v>1.2216</v>
      </c>
      <c r="CF182" s="100">
        <f t="shared" si="122"/>
        <v>105730</v>
      </c>
      <c r="CG182" s="100">
        <f>CF182*'Weighting Factors'!$Q$7</f>
        <v>105730</v>
      </c>
      <c r="CH182" s="100">
        <f t="shared" si="144"/>
        <v>129160</v>
      </c>
      <c r="CI182" s="58">
        <f>AK182/'Weighting Factors'!$O$5</f>
        <v>25.4</v>
      </c>
      <c r="CJ182" s="67">
        <v>0</v>
      </c>
      <c r="CK182" s="80">
        <v>0</v>
      </c>
      <c r="CL182" s="110">
        <v>0</v>
      </c>
      <c r="CM182" s="24">
        <f>SUM((AR182*'Weighting Factors'!$O$5)+'2024 Legal Max'!AX182)*CL182</f>
        <v>0</v>
      </c>
      <c r="CN182" s="24">
        <f t="shared" si="145"/>
        <v>0</v>
      </c>
      <c r="CO182" s="65">
        <f t="shared" si="110"/>
        <v>0.64629999999999999</v>
      </c>
      <c r="CP182" s="58">
        <f t="shared" si="123"/>
        <v>10</v>
      </c>
      <c r="CQ182" s="58">
        <f t="shared" si="124"/>
        <v>0</v>
      </c>
      <c r="CR182" s="58">
        <f t="shared" si="125"/>
        <v>404.6</v>
      </c>
      <c r="CS182" s="24">
        <f>'Required Transfers'!L182</f>
        <v>83330</v>
      </c>
      <c r="CT182" s="24">
        <f>'Required Transfers'!O182</f>
        <v>0</v>
      </c>
      <c r="CU182" s="24">
        <f>'Required Transfers'!H182</f>
        <v>284928</v>
      </c>
      <c r="CV182" s="58">
        <f t="shared" si="126"/>
        <v>142.5</v>
      </c>
      <c r="CW182" s="27" t="s">
        <v>367</v>
      </c>
    </row>
    <row r="183" spans="1:101" ht="15" customHeight="1">
      <c r="A183" s="54">
        <v>388</v>
      </c>
      <c r="B183" s="1" t="s">
        <v>84</v>
      </c>
      <c r="C183" s="1" t="s">
        <v>687</v>
      </c>
      <c r="D183" s="58">
        <v>375.9</v>
      </c>
      <c r="E183" s="58">
        <v>0.2</v>
      </c>
      <c r="F183" s="58">
        <v>0</v>
      </c>
      <c r="G183" s="58">
        <f t="shared" si="127"/>
        <v>375.7</v>
      </c>
      <c r="H183" s="58">
        <v>335.3</v>
      </c>
      <c r="I183" s="58">
        <v>1</v>
      </c>
      <c r="J183" s="58">
        <v>0</v>
      </c>
      <c r="K183" s="58">
        <f t="shared" si="128"/>
        <v>334.3</v>
      </c>
      <c r="L183" s="1">
        <v>330.2</v>
      </c>
      <c r="N183" s="1">
        <v>0</v>
      </c>
      <c r="O183" s="58">
        <f t="shared" si="129"/>
        <v>330.2</v>
      </c>
      <c r="P183" s="58">
        <f>IF(ISNA(VLOOKUP($CW183,'Audit Values'!$A:$BZ,2,FALSE)),'Preliminary SO66'!C182,VLOOKUP($CW183,'Audit Values'!$A:$BZ,76,FALSE))</f>
        <v>331.2</v>
      </c>
      <c r="Q183" s="58">
        <f>IF(ISNA(VLOOKUP($CW183,'Audit Values'!$A:$BZ,2,FALSE)),'Preliminary SO66'!F182,VLOOKUP($CW183,'Audit Values'!$A:$BZ,4,FALSE))</f>
        <v>0</v>
      </c>
      <c r="R183" s="58">
        <f t="shared" si="133"/>
        <v>331.2</v>
      </c>
      <c r="S183" s="58">
        <f>IF('Military Provision'!I183="YES", MAX('2024 Legal Max'!O183,'2024 Legal Max'!K183,AVERAGE('2024 Legal Max'!G183,'2024 Legal Max'!K183,'2024 Legal Max'!O183)), MAX(O183, K183))</f>
        <v>334.3</v>
      </c>
      <c r="T183" s="58">
        <f>IF(ISNA(VLOOKUP($CW183,'Audit Values'!$A:$BX,2,FALSE)),'Preliminary SO66'!AL182,VLOOKUP($CW183,'Audit Values'!$A:$BX,59,FALSE))</f>
        <v>3</v>
      </c>
      <c r="U183" s="58">
        <f t="shared" si="134"/>
        <v>337.3</v>
      </c>
      <c r="V183" s="58">
        <f>'Low-High ENRL- 2023 HSubSB 113'!N186</f>
        <v>159</v>
      </c>
      <c r="W183" s="58">
        <f>IF(ISNA(VLOOKUP($CW183,'Audit Values'!$A:$BZ,2,FALSE)),'Preliminary SO66'!AM182,VLOOKUP($CW183,'Audit Values'!$A:$BZ,63,FALSE))</f>
        <v>0</v>
      </c>
      <c r="X183" s="58">
        <f>(W183/6)*'Weighting Factors'!$O$7</f>
        <v>0</v>
      </c>
      <c r="Y183" s="61">
        <f>IF(ISNA(VLOOKUP($CW183,'Audit Values'!$A:$BZ,2,FALSE)),'Preliminary SO66'!AN182,VLOOKUP($CW183,'Audit Values'!$A:$BZ,62,FALSE))</f>
        <v>0</v>
      </c>
      <c r="Z183" s="58">
        <f>Y183*'Weighting Factors'!$O$8</f>
        <v>0</v>
      </c>
      <c r="AA183" s="58">
        <f t="shared" si="135"/>
        <v>0</v>
      </c>
      <c r="AB183" s="106">
        <f>IF(ISNA(VLOOKUP($CW183,'Audit Values'!$A:$BZ,2,FALSE)),'Preliminary SO66'!AO182,VLOOKUP($CW183,'Audit Values'!$A:$BZ,61,FALSE))</f>
        <v>159.6</v>
      </c>
      <c r="AC183" s="58">
        <f>AB183/6*'Weighting Factors'!$O$6</f>
        <v>13.3</v>
      </c>
      <c r="AD183" s="24">
        <f>IF(ISNA(VLOOKUP($CW183,'Audit Values'!$A:$BX,2,FALSE)),'Preliminary SO66'!AS182,VLOOKUP($CW183,'Audit Values'!$A:$BX,64,FALSE))</f>
        <v>384</v>
      </c>
      <c r="AE183" s="24">
        <f>IF(ISNA(VLOOKUP($CW183,'Audit Values'!$A:$BX,2,FALSE)),'Preliminary SO66'!AP182,VLOOKUP($CW183,'Audit Values'!$A:$BX,65,FALSE))</f>
        <v>92</v>
      </c>
      <c r="AF183" s="58">
        <f>IF(A183=207, AE183,(AE183))*'Weighting Factors'!$O$9</f>
        <v>44.5</v>
      </c>
      <c r="AG183" s="58">
        <f t="shared" si="132"/>
        <v>0</v>
      </c>
      <c r="AH183" s="58">
        <f>IF(ISNA(VLOOKUP($CW183,'Audit Values'!$A:$BZ,2,FALSE)),'Preliminary SO66'!AG182,VLOOKUP($CW183,'Audit Values'!$A:$BZ,71,FALSE))</f>
        <v>0</v>
      </c>
      <c r="AI183" s="58">
        <f t="shared" si="136"/>
        <v>0</v>
      </c>
      <c r="AJ183" s="58">
        <f>IF(ISNA(VLOOKUP($CW183,'Audit Values'!$A:$BX,2,FALSE)),'Preliminary SO66'!AR182,VLOOKUP($CW183,'Audit Values'!$A:$BX,66,FALSE))</f>
        <v>27</v>
      </c>
      <c r="AK183" s="24">
        <f t="shared" si="137"/>
        <v>48815</v>
      </c>
      <c r="AL183" s="58">
        <f>AK183/'Weighting Factors'!$O$5</f>
        <v>9.6</v>
      </c>
      <c r="AM183" s="58">
        <f>CJ183/'Weighting Factors'!$O$5</f>
        <v>0</v>
      </c>
      <c r="AN183" s="58">
        <f>CN183/'Weighting Factors'!$O$5</f>
        <v>0</v>
      </c>
      <c r="AO183" s="24">
        <v>388249</v>
      </c>
      <c r="AP183" s="58">
        <f>AO183/'Weighting Factors'!$O$5</f>
        <v>76.3</v>
      </c>
      <c r="AQ183" s="58">
        <f>IF(ISNA(VLOOKUP($CW183,'Audit Values'!$A:$BX,2,FALSE)),'Preliminary SO66'!X182,VLOOKUP($CW183,'Audit Values'!$A:$BX,48,FALSE))</f>
        <v>0</v>
      </c>
      <c r="AR183" s="58">
        <f t="shared" si="130"/>
        <v>640</v>
      </c>
      <c r="AS183" s="58">
        <f t="shared" si="131"/>
        <v>563.70000000000005</v>
      </c>
      <c r="AT183" s="58">
        <f>IF(ISNA(VLOOKUP($CW183,'Audit Values'!$A$2:$BX$410,2,FALSE)),'Preliminary SO66'!AA182,VLOOKUP($CW183,'Audit Values'!$A$2:$BX$410,41,FALSE))</f>
        <v>0</v>
      </c>
      <c r="AU183" s="58">
        <f>IF(ISNA(VLOOKUP($CW183,'Audit Values'!$A$2:$BX$410,2,FALSE)),'Preliminary SO66'!AB182,VLOOKUP($CW183,'Audit Values'!$A$2:$BX$410,42,FALSE))</f>
        <v>0</v>
      </c>
      <c r="AV183" s="73">
        <v>0</v>
      </c>
      <c r="AW183" s="73">
        <v>0</v>
      </c>
      <c r="AX183" s="24">
        <f>SUM(AT183*'Weighting Factors'!$R$10)+('2024 Legal Max'!AU183*'Weighting Factors'!$R$11)+('2024 Legal Max'!AV183*'Weighting Factors'!$R$12)+('2024 Legal Max'!AW183*'Weighting Factors'!$R$12)</f>
        <v>0</v>
      </c>
      <c r="AY183" s="54">
        <f>IF(ISNA(VLOOKUP($CW183,'Audit Values'!$A$2:$BX$429,2,FALSE)),"",IF(AND('Weighting Factors'!G183&gt;0,VLOOKUP($CW183,'Audit Values'!$A$2:$BX$429,51,FALSE)&lt;'Weighting Factors'!G183),'Weighting Factors'!G183,VLOOKUP($CW183,'Audit Values'!$A$2:$BX$429,51,FALSE)))</f>
        <v>13</v>
      </c>
      <c r="AZ183" s="54" t="str">
        <f>IF(ISNA(VLOOKUP($CW183,'Audit Values'!$A:$BY,2,FALSE)),"",VLOOKUP($CW183,'Audit Values'!$A:$BY,52,FALSE))</f>
        <v>A</v>
      </c>
      <c r="BA183" s="54" t="str">
        <f>IF('Weighting Factors'!F183="","",IF('Weighting Factors'!H183="Pending","PX","R"))</f>
        <v/>
      </c>
      <c r="BB183" s="60">
        <f>SUM((U183+V183+AA183+AC183+AF183+AI183+AL183+AM183+AQ183+AN183)*'Weighting Factors'!$O$5)+'2024 Legal Max'!AX183</f>
        <v>2868106</v>
      </c>
      <c r="BC183" s="24">
        <f>SUM((AR183+AN183)*'Weighting Factors'!$O$5)+AX183</f>
        <v>3256320</v>
      </c>
      <c r="BD183" s="67">
        <f>IF('Weighting Factors'!F183&gt;0,'Weighting Factors'!F183,'Preliminary SO66'!AV182)</f>
        <v>3285322</v>
      </c>
      <c r="BE183" s="24">
        <f t="shared" si="138"/>
        <v>3256320</v>
      </c>
      <c r="BF183" s="71">
        <f>'Weighting Factors'!E183</f>
        <v>0</v>
      </c>
      <c r="BG183" s="71">
        <f>Transportation!G183</f>
        <v>0</v>
      </c>
      <c r="BH183" s="24">
        <f>IF(ISNA(VLOOKUP($CW183,'Audit Values'!$A:$BW,2,FALSE)), 0, VLOOKUP($CW183,'Audit Values'!$A:$BW,75,FALSE))</f>
        <v>0</v>
      </c>
      <c r="BI183" s="24">
        <f t="shared" si="139"/>
        <v>0</v>
      </c>
      <c r="BJ183" s="24">
        <f t="shared" si="140"/>
        <v>3256320</v>
      </c>
      <c r="BK183" s="24">
        <f>SUM((U183+V183+AA183+AC183+AF183+AI183+AL183+AM183+AN183)*'Weighting Factors'!O$12)+(MAX(AO183,'Weighting Factors'!B183))</f>
        <v>3295814</v>
      </c>
      <c r="BL183" s="78">
        <f>'LOB%'!F181</f>
        <v>0.316</v>
      </c>
      <c r="BM183" s="24">
        <f t="shared" si="111"/>
        <v>1041477</v>
      </c>
      <c r="BN183" s="67">
        <v>1050718</v>
      </c>
      <c r="BO183" s="24">
        <f t="shared" si="141"/>
        <v>1041477</v>
      </c>
      <c r="BP183" s="89">
        <f t="shared" si="112"/>
        <v>0.316</v>
      </c>
      <c r="BQ183" s="58">
        <f t="shared" si="113"/>
        <v>0</v>
      </c>
      <c r="BR183" s="1" t="b">
        <f t="shared" si="114"/>
        <v>0</v>
      </c>
      <c r="BS183" s="76">
        <f t="shared" si="115"/>
        <v>0</v>
      </c>
      <c r="BT183" s="75">
        <f t="shared" si="142"/>
        <v>0</v>
      </c>
      <c r="BU183" s="58">
        <f t="shared" si="116"/>
        <v>0</v>
      </c>
      <c r="BV183" s="1" t="b">
        <f t="shared" si="117"/>
        <v>1</v>
      </c>
      <c r="BW183" s="1">
        <f t="shared" si="118"/>
        <v>46.158799999999999</v>
      </c>
      <c r="BX183" s="75">
        <f t="shared" si="143"/>
        <v>0.47151399999999999</v>
      </c>
      <c r="BY183" s="58">
        <f t="shared" si="119"/>
        <v>159</v>
      </c>
      <c r="BZ183" s="58">
        <f t="shared" si="120"/>
        <v>0</v>
      </c>
      <c r="CA183" s="61">
        <v>280.5</v>
      </c>
      <c r="CB183" s="102">
        <f t="shared" si="121"/>
        <v>9.6000000000000002E-2</v>
      </c>
      <c r="CC183" s="105">
        <f>IF(CB183&lt;0.06,1,IF(CB183&gt;=18.29,52,MATCH(CB183-0.001,'Weighting Factors'!$W$5:$W$156)+1))</f>
        <v>5</v>
      </c>
      <c r="CD183" s="24">
        <f>VLOOKUP(CC183, 'Weighting Factors'!$U$5:$X$56,4)</f>
        <v>1480</v>
      </c>
      <c r="CE183" s="109">
        <f>('Weighting Factors'!$O$5/'Weighting Factors'!$O$14)</f>
        <v>1.2216</v>
      </c>
      <c r="CF183" s="100">
        <f t="shared" si="122"/>
        <v>39960</v>
      </c>
      <c r="CG183" s="100">
        <f>CF183*'Weighting Factors'!$Q$7</f>
        <v>39960</v>
      </c>
      <c r="CH183" s="100">
        <f t="shared" si="144"/>
        <v>48815</v>
      </c>
      <c r="CI183" s="58">
        <f>AK183/'Weighting Factors'!$O$5</f>
        <v>9.6</v>
      </c>
      <c r="CJ183" s="67">
        <v>0</v>
      </c>
      <c r="CK183" s="80">
        <v>0</v>
      </c>
      <c r="CL183" s="110">
        <v>0</v>
      </c>
      <c r="CM183" s="24">
        <f>SUM((AR183*'Weighting Factors'!$O$5)+'2024 Legal Max'!AX183)*CL183</f>
        <v>0</v>
      </c>
      <c r="CN183" s="24">
        <f t="shared" si="145"/>
        <v>0</v>
      </c>
      <c r="CO183" s="65">
        <f t="shared" si="110"/>
        <v>0.23960000000000001</v>
      </c>
      <c r="CP183" s="58">
        <f t="shared" si="123"/>
        <v>0</v>
      </c>
      <c r="CQ183" s="58">
        <f t="shared" si="124"/>
        <v>0</v>
      </c>
      <c r="CR183" s="58">
        <f t="shared" si="125"/>
        <v>640</v>
      </c>
      <c r="CS183" s="24">
        <f>'Required Transfers'!L183</f>
        <v>72799</v>
      </c>
      <c r="CT183" s="24">
        <f>'Required Transfers'!O183</f>
        <v>0</v>
      </c>
      <c r="CU183" s="24">
        <f>'Required Transfers'!H183</f>
        <v>226416</v>
      </c>
      <c r="CV183" s="58">
        <f t="shared" si="126"/>
        <v>334.2</v>
      </c>
      <c r="CW183" s="27" t="s">
        <v>368</v>
      </c>
    </row>
    <row r="184" spans="1:101" ht="15" customHeight="1">
      <c r="A184" s="54">
        <v>389</v>
      </c>
      <c r="B184" s="1" t="s">
        <v>82</v>
      </c>
      <c r="C184" s="1" t="s">
        <v>688</v>
      </c>
      <c r="D184" s="58">
        <v>576.5</v>
      </c>
      <c r="E184" s="58"/>
      <c r="F184" s="58">
        <v>0</v>
      </c>
      <c r="G184" s="58">
        <f t="shared" si="127"/>
        <v>576.5</v>
      </c>
      <c r="H184" s="58">
        <v>566</v>
      </c>
      <c r="I184" s="58"/>
      <c r="J184" s="58">
        <v>0</v>
      </c>
      <c r="K184" s="58">
        <f t="shared" si="128"/>
        <v>566</v>
      </c>
      <c r="L184" s="1">
        <v>522.5</v>
      </c>
      <c r="N184" s="1">
        <v>0</v>
      </c>
      <c r="O184" s="58">
        <f t="shared" si="129"/>
        <v>522.5</v>
      </c>
      <c r="P184" s="58">
        <f>IF(ISNA(VLOOKUP($CW184,'Audit Values'!$A:$BZ,2,FALSE)),'Preliminary SO66'!C183,VLOOKUP($CW184,'Audit Values'!$A:$BZ,76,FALSE))</f>
        <v>525.5</v>
      </c>
      <c r="Q184" s="58">
        <f>IF(ISNA(VLOOKUP($CW184,'Audit Values'!$A:$BZ,2,FALSE)),'Preliminary SO66'!F183,VLOOKUP($CW184,'Audit Values'!$A:$BZ,4,FALSE))</f>
        <v>0</v>
      </c>
      <c r="R184" s="58">
        <f t="shared" si="133"/>
        <v>525.5</v>
      </c>
      <c r="S184" s="58">
        <f>IF('Military Provision'!I184="YES", MAX('2024 Legal Max'!O184,'2024 Legal Max'!K184,AVERAGE('2024 Legal Max'!G184,'2024 Legal Max'!K184,'2024 Legal Max'!O184)), MAX(O184, K184))</f>
        <v>566</v>
      </c>
      <c r="T184" s="58">
        <f>IF(ISNA(VLOOKUP($CW184,'Audit Values'!$A:$BX,2,FALSE)),'Preliminary SO66'!AL183,VLOOKUP($CW184,'Audit Values'!$A:$BX,59,FALSE))</f>
        <v>6</v>
      </c>
      <c r="U184" s="58">
        <f t="shared" si="134"/>
        <v>572</v>
      </c>
      <c r="V184" s="58">
        <f>'Low-High ENRL- 2023 HSubSB 113'!N187</f>
        <v>224.1</v>
      </c>
      <c r="W184" s="58">
        <f>IF(ISNA(VLOOKUP($CW184,'Audit Values'!$A:$BZ,2,FALSE)),'Preliminary SO66'!AM183,VLOOKUP($CW184,'Audit Values'!$A:$BZ,63,FALSE))</f>
        <v>0</v>
      </c>
      <c r="X184" s="58">
        <f>(W184/6)*'Weighting Factors'!$O$7</f>
        <v>0</v>
      </c>
      <c r="Y184" s="61">
        <f>IF(ISNA(VLOOKUP($CW184,'Audit Values'!$A:$BZ,2,FALSE)),'Preliminary SO66'!AN183,VLOOKUP($CW184,'Audit Values'!$A:$BZ,62,FALSE))</f>
        <v>0</v>
      </c>
      <c r="Z184" s="58">
        <f>Y184*'Weighting Factors'!$O$8</f>
        <v>0</v>
      </c>
      <c r="AA184" s="58">
        <f t="shared" si="135"/>
        <v>0</v>
      </c>
      <c r="AB184" s="106">
        <f>IF(ISNA(VLOOKUP($CW184,'Audit Values'!$A:$BZ,2,FALSE)),'Preliminary SO66'!AO183,VLOOKUP($CW184,'Audit Values'!$A:$BZ,61,FALSE))</f>
        <v>112.8</v>
      </c>
      <c r="AC184" s="58">
        <f>AB184/6*'Weighting Factors'!$O$6</f>
        <v>9.4</v>
      </c>
      <c r="AD184" s="24">
        <f>IF(ISNA(VLOOKUP($CW184,'Audit Values'!$A:$BX,2,FALSE)),'Preliminary SO66'!AS183,VLOOKUP($CW184,'Audit Values'!$A:$BX,64,FALSE))</f>
        <v>546</v>
      </c>
      <c r="AE184" s="24">
        <f>IF(ISNA(VLOOKUP($CW184,'Audit Values'!$A:$BX,2,FALSE)),'Preliminary SO66'!AP183,VLOOKUP($CW184,'Audit Values'!$A:$BX,65,FALSE))</f>
        <v>332</v>
      </c>
      <c r="AF184" s="58">
        <f>IF(A184=207, AE184,(AE184))*'Weighting Factors'!$O$9</f>
        <v>160.69999999999999</v>
      </c>
      <c r="AG184" s="58">
        <f t="shared" si="132"/>
        <v>34.9</v>
      </c>
      <c r="AH184" s="58">
        <f>IF(ISNA(VLOOKUP($CW184,'Audit Values'!$A:$BZ,2,FALSE)),'Preliminary SO66'!AG183,VLOOKUP($CW184,'Audit Values'!$A:$BZ,71,FALSE))</f>
        <v>34.799999999999997</v>
      </c>
      <c r="AI184" s="58">
        <f t="shared" si="136"/>
        <v>34.9</v>
      </c>
      <c r="AJ184" s="58">
        <f>IF(ISNA(VLOOKUP($CW184,'Audit Values'!$A:$BX,2,FALSE)),'Preliminary SO66'!AR183,VLOOKUP($CW184,'Audit Values'!$A:$BX,66,FALSE))</f>
        <v>136</v>
      </c>
      <c r="AK184" s="24">
        <f t="shared" si="137"/>
        <v>207672</v>
      </c>
      <c r="AL184" s="58">
        <f>AK184/'Weighting Factors'!$O$5</f>
        <v>40.799999999999997</v>
      </c>
      <c r="AM184" s="58">
        <f>CJ184/'Weighting Factors'!$O$5</f>
        <v>0</v>
      </c>
      <c r="AN184" s="58">
        <f>CN184/'Weighting Factors'!$O$5</f>
        <v>0</v>
      </c>
      <c r="AO184" s="24">
        <v>589855</v>
      </c>
      <c r="AP184" s="58">
        <f>AO184/'Weighting Factors'!$O$5</f>
        <v>115.9</v>
      </c>
      <c r="AQ184" s="58">
        <f>IF(ISNA(VLOOKUP($CW184,'Audit Values'!$A:$BX,2,FALSE)),'Preliminary SO66'!X183,VLOOKUP($CW184,'Audit Values'!$A:$BX,48,FALSE))</f>
        <v>0</v>
      </c>
      <c r="AR184" s="58">
        <f t="shared" si="130"/>
        <v>1157.8</v>
      </c>
      <c r="AS184" s="58">
        <f t="shared" si="131"/>
        <v>1041.9000000000001</v>
      </c>
      <c r="AT184" s="58">
        <f>IF(ISNA(VLOOKUP($CW184,'Audit Values'!$A$2:$BX$410,2,FALSE)),'Preliminary SO66'!AA183,VLOOKUP($CW184,'Audit Values'!$A$2:$BX$410,41,FALSE))</f>
        <v>0</v>
      </c>
      <c r="AU184" s="58">
        <f>IF(ISNA(VLOOKUP($CW184,'Audit Values'!$A$2:$BX$410,2,FALSE)),'Preliminary SO66'!AB183,VLOOKUP($CW184,'Audit Values'!$A$2:$BX$410,42,FALSE))</f>
        <v>0.7</v>
      </c>
      <c r="AV184" s="73">
        <v>0</v>
      </c>
      <c r="AW184" s="73">
        <v>0</v>
      </c>
      <c r="AX184" s="24">
        <f>SUM(AT184*'Weighting Factors'!$R$10)+('2024 Legal Max'!AU184*'Weighting Factors'!$R$11)+('2024 Legal Max'!AV184*'Weighting Factors'!$R$12)+('2024 Legal Max'!AW184*'Weighting Factors'!$R$12)</f>
        <v>1960</v>
      </c>
      <c r="AY184" s="54">
        <f>IF(ISNA(VLOOKUP($CW184,'Audit Values'!$A$2:$BX$429,2,FALSE)),"",IF(AND('Weighting Factors'!G184&gt;0,VLOOKUP($CW184,'Audit Values'!$A$2:$BX$429,51,FALSE)&lt;'Weighting Factors'!G184),'Weighting Factors'!G184,VLOOKUP($CW184,'Audit Values'!$A$2:$BX$429,51,FALSE)))</f>
        <v>23</v>
      </c>
      <c r="AZ184" s="54" t="str">
        <f>IF(ISNA(VLOOKUP($CW184,'Audit Values'!$A:$BY,2,FALSE)),"",VLOOKUP($CW184,'Audit Values'!$A:$BY,52,FALSE))</f>
        <v>A</v>
      </c>
      <c r="BA184" s="54" t="str">
        <f>IF('Weighting Factors'!F184="","",IF('Weighting Factors'!H184="Pending","PX","R"))</f>
        <v>R</v>
      </c>
      <c r="BB184" s="60">
        <f>SUM((U184+V184+AA184+AC184+AF184+AI184+AL184+AM184+AQ184+AN184)*'Weighting Factors'!$O$5)+'2024 Legal Max'!AX184</f>
        <v>5303147</v>
      </c>
      <c r="BC184" s="24">
        <f>SUM((AR184+AN184)*'Weighting Factors'!$O$5)+AX184</f>
        <v>5892846</v>
      </c>
      <c r="BD184" s="67">
        <f>IF('Weighting Factors'!F184&gt;0,'Weighting Factors'!F184,'Preliminary SO66'!AV183)</f>
        <v>5994606</v>
      </c>
      <c r="BE184" s="24">
        <f t="shared" si="138"/>
        <v>5892846</v>
      </c>
      <c r="BF184" s="71">
        <f>'Weighting Factors'!E184</f>
        <v>0</v>
      </c>
      <c r="BG184" s="71">
        <f>Transportation!G184</f>
        <v>0</v>
      </c>
      <c r="BH184" s="24">
        <f>IF(ISNA(VLOOKUP($CW184,'Audit Values'!$A:$BW,2,FALSE)), 0, VLOOKUP($CW184,'Audit Values'!$A:$BW,75,FALSE))</f>
        <v>-3545</v>
      </c>
      <c r="BI184" s="24">
        <f t="shared" si="139"/>
        <v>-3545</v>
      </c>
      <c r="BJ184" s="24">
        <f t="shared" si="140"/>
        <v>5889301</v>
      </c>
      <c r="BK184" s="24">
        <f>SUM((U184+V184+AA184+AC184+AF184+AI184+AL184+AM184+AN184)*'Weighting Factors'!O$12)+(MAX(AO184,'Weighting Factors'!B184))</f>
        <v>5963975</v>
      </c>
      <c r="BL184" s="78">
        <f>'LOB%'!F182</f>
        <v>0.316</v>
      </c>
      <c r="BM184" s="24">
        <f t="shared" si="111"/>
        <v>1884616</v>
      </c>
      <c r="BN184" s="67">
        <v>1897208</v>
      </c>
      <c r="BO184" s="24">
        <f t="shared" si="141"/>
        <v>1884616</v>
      </c>
      <c r="BP184" s="89">
        <f t="shared" si="112"/>
        <v>0.316</v>
      </c>
      <c r="BQ184" s="58">
        <f t="shared" si="113"/>
        <v>0</v>
      </c>
      <c r="BR184" s="1" t="b">
        <f t="shared" si="114"/>
        <v>0</v>
      </c>
      <c r="BS184" s="76">
        <f t="shared" si="115"/>
        <v>0</v>
      </c>
      <c r="BT184" s="75">
        <f t="shared" si="142"/>
        <v>0</v>
      </c>
      <c r="BU184" s="58">
        <f t="shared" si="116"/>
        <v>0</v>
      </c>
      <c r="BV184" s="1" t="b">
        <f t="shared" si="117"/>
        <v>1</v>
      </c>
      <c r="BW184" s="1">
        <f t="shared" si="118"/>
        <v>336.6</v>
      </c>
      <c r="BX184" s="75">
        <f t="shared" si="143"/>
        <v>0.39177499999999998</v>
      </c>
      <c r="BY184" s="58">
        <f t="shared" si="119"/>
        <v>224.1</v>
      </c>
      <c r="BZ184" s="58">
        <f t="shared" si="120"/>
        <v>0</v>
      </c>
      <c r="CA184" s="61">
        <v>580</v>
      </c>
      <c r="CB184" s="102">
        <f t="shared" si="121"/>
        <v>0.23400000000000001</v>
      </c>
      <c r="CC184" s="105">
        <f>IF(CB184&lt;0.06,1,IF(CB184&gt;=18.29,52,MATCH(CB184-0.001,'Weighting Factors'!$W$5:$W$156)+1))</f>
        <v>17</v>
      </c>
      <c r="CD184" s="24">
        <f>VLOOKUP(CC184, 'Weighting Factors'!$U$5:$X$56,4)</f>
        <v>1250</v>
      </c>
      <c r="CE184" s="109">
        <f>('Weighting Factors'!$O$5/'Weighting Factors'!$O$14)</f>
        <v>1.2216</v>
      </c>
      <c r="CF184" s="100">
        <f t="shared" si="122"/>
        <v>170000</v>
      </c>
      <c r="CG184" s="100">
        <f>CF184*'Weighting Factors'!$Q$7</f>
        <v>170000</v>
      </c>
      <c r="CH184" s="100">
        <f t="shared" si="144"/>
        <v>207672</v>
      </c>
      <c r="CI184" s="58">
        <f>AK184/'Weighting Factors'!$O$5</f>
        <v>40.799999999999997</v>
      </c>
      <c r="CJ184" s="67">
        <v>0</v>
      </c>
      <c r="CK184" s="80">
        <v>0</v>
      </c>
      <c r="CL184" s="110">
        <v>0</v>
      </c>
      <c r="CM184" s="24">
        <f>SUM((AR184*'Weighting Factors'!$O$5)+'2024 Legal Max'!AX184)*CL184</f>
        <v>0</v>
      </c>
      <c r="CN184" s="24">
        <f t="shared" si="145"/>
        <v>0</v>
      </c>
      <c r="CO184" s="65">
        <f t="shared" si="110"/>
        <v>0.60809999999999997</v>
      </c>
      <c r="CP184" s="58">
        <f t="shared" si="123"/>
        <v>34.9</v>
      </c>
      <c r="CQ184" s="58">
        <f t="shared" si="124"/>
        <v>0</v>
      </c>
      <c r="CR184" s="58">
        <f t="shared" si="125"/>
        <v>1157.8</v>
      </c>
      <c r="CS184" s="24">
        <f>'Required Transfers'!L184</f>
        <v>262904</v>
      </c>
      <c r="CT184" s="24">
        <f>'Required Transfers'!O184</f>
        <v>0</v>
      </c>
      <c r="CU184" s="24">
        <f>'Required Transfers'!H184</f>
        <v>995213</v>
      </c>
      <c r="CV184" s="58">
        <f t="shared" si="126"/>
        <v>532.20000000000005</v>
      </c>
      <c r="CW184" s="27" t="s">
        <v>369</v>
      </c>
    </row>
    <row r="185" spans="1:101" ht="15" customHeight="1">
      <c r="A185" s="54">
        <v>390</v>
      </c>
      <c r="B185" s="1" t="s">
        <v>82</v>
      </c>
      <c r="C185" s="1" t="s">
        <v>689</v>
      </c>
      <c r="D185" s="58">
        <v>55</v>
      </c>
      <c r="E185" s="58"/>
      <c r="F185" s="58">
        <v>0</v>
      </c>
      <c r="G185" s="58">
        <f t="shared" si="127"/>
        <v>55</v>
      </c>
      <c r="H185" s="58">
        <v>63</v>
      </c>
      <c r="I185" s="58"/>
      <c r="J185" s="58">
        <v>0</v>
      </c>
      <c r="K185" s="58">
        <f t="shared" si="128"/>
        <v>63</v>
      </c>
      <c r="L185" s="1">
        <v>99</v>
      </c>
      <c r="N185" s="1">
        <v>0</v>
      </c>
      <c r="O185" s="58">
        <f t="shared" si="129"/>
        <v>99</v>
      </c>
      <c r="P185" s="58">
        <f>IF(ISNA(VLOOKUP($CW185,'Audit Values'!$A:$BZ,2,FALSE)),'Preliminary SO66'!C184,VLOOKUP($CW185,'Audit Values'!$A:$BZ,76,FALSE))</f>
        <v>87</v>
      </c>
      <c r="Q185" s="58">
        <f>IF(ISNA(VLOOKUP($CW185,'Audit Values'!$A:$BZ,2,FALSE)),'Preliminary SO66'!F184,VLOOKUP($CW185,'Audit Values'!$A:$BZ,4,FALSE))</f>
        <v>0</v>
      </c>
      <c r="R185" s="58">
        <f t="shared" si="133"/>
        <v>87</v>
      </c>
      <c r="S185" s="58">
        <f>IF('Military Provision'!I185="YES", MAX('2024 Legal Max'!O185,'2024 Legal Max'!K185,AVERAGE('2024 Legal Max'!G185,'2024 Legal Max'!K185,'2024 Legal Max'!O185)), MAX(O185, K185))</f>
        <v>99</v>
      </c>
      <c r="T185" s="58">
        <f>IF(ISNA(VLOOKUP($CW185,'Audit Values'!$A:$BX,2,FALSE)),'Preliminary SO66'!AL184,VLOOKUP($CW185,'Audit Values'!$A:$BX,59,FALSE))</f>
        <v>0.5</v>
      </c>
      <c r="U185" s="58">
        <f t="shared" si="134"/>
        <v>99.5</v>
      </c>
      <c r="V185" s="58">
        <f>'Low-High ENRL- 2023 HSubSB 113'!N188</f>
        <v>100.9</v>
      </c>
      <c r="W185" s="58">
        <f>IF(ISNA(VLOOKUP($CW185,'Audit Values'!$A:$BZ,2,FALSE)),'Preliminary SO66'!AM184,VLOOKUP($CW185,'Audit Values'!$A:$BZ,63,FALSE))</f>
        <v>0</v>
      </c>
      <c r="X185" s="58">
        <f>(W185/6)*'Weighting Factors'!$O$7</f>
        <v>0</v>
      </c>
      <c r="Y185" s="61">
        <f>IF(ISNA(VLOOKUP($CW185,'Audit Values'!$A:$BZ,2,FALSE)),'Preliminary SO66'!AN184,VLOOKUP($CW185,'Audit Values'!$A:$BZ,62,FALSE))</f>
        <v>0</v>
      </c>
      <c r="Z185" s="58">
        <f>Y185*'Weighting Factors'!$O$8</f>
        <v>0</v>
      </c>
      <c r="AA185" s="58">
        <f t="shared" si="135"/>
        <v>0</v>
      </c>
      <c r="AB185" s="106">
        <f>IF(ISNA(VLOOKUP($CW185,'Audit Values'!$A:$BZ,2,FALSE)),'Preliminary SO66'!AO184,VLOOKUP($CW185,'Audit Values'!$A:$BZ,61,FALSE))</f>
        <v>0</v>
      </c>
      <c r="AC185" s="58">
        <f>AB185/6*'Weighting Factors'!$O$6</f>
        <v>0</v>
      </c>
      <c r="AD185" s="24">
        <f>IF(ISNA(VLOOKUP($CW185,'Audit Values'!$A:$BX,2,FALSE)),'Preliminary SO66'!AS184,VLOOKUP($CW185,'Audit Values'!$A:$BX,64,FALSE))</f>
        <v>88</v>
      </c>
      <c r="AE185" s="24">
        <f>IF(ISNA(VLOOKUP($CW185,'Audit Values'!$A:$BX,2,FALSE)),'Preliminary SO66'!AP184,VLOOKUP($CW185,'Audit Values'!$A:$BX,65,FALSE))</f>
        <v>50</v>
      </c>
      <c r="AF185" s="58">
        <f>IF(A185=207, AE185,(AE185))*'Weighting Factors'!$O$9</f>
        <v>24.2</v>
      </c>
      <c r="AG185" s="58">
        <f t="shared" si="132"/>
        <v>5.3</v>
      </c>
      <c r="AH185" s="58">
        <f>IF(ISNA(VLOOKUP($CW185,'Audit Values'!$A:$BZ,2,FALSE)),'Preliminary SO66'!AG184,VLOOKUP($CW185,'Audit Values'!$A:$BZ,71,FALSE))</f>
        <v>5.3</v>
      </c>
      <c r="AI185" s="58">
        <f t="shared" si="136"/>
        <v>5.3</v>
      </c>
      <c r="AJ185" s="58">
        <f>IF(ISNA(VLOOKUP($CW185,'Audit Values'!$A:$BX,2,FALSE)),'Preliminary SO66'!AR184,VLOOKUP($CW185,'Audit Values'!$A:$BX,66,FALSE))</f>
        <v>10</v>
      </c>
      <c r="AK185" s="24">
        <f t="shared" si="137"/>
        <v>19790</v>
      </c>
      <c r="AL185" s="58">
        <f>AK185/'Weighting Factors'!$O$5</f>
        <v>3.9</v>
      </c>
      <c r="AM185" s="58">
        <f>CJ185/'Weighting Factors'!$O$5</f>
        <v>0</v>
      </c>
      <c r="AN185" s="58">
        <f>CN185/'Weighting Factors'!$O$5</f>
        <v>0</v>
      </c>
      <c r="AO185" s="24">
        <v>146616</v>
      </c>
      <c r="AP185" s="58">
        <f>AO185/'Weighting Factors'!$O$5</f>
        <v>28.8</v>
      </c>
      <c r="AQ185" s="58">
        <f>IF(ISNA(VLOOKUP($CW185,'Audit Values'!$A:$BX,2,FALSE)),'Preliminary SO66'!X184,VLOOKUP($CW185,'Audit Values'!$A:$BX,48,FALSE))</f>
        <v>0</v>
      </c>
      <c r="AR185" s="58">
        <f t="shared" si="130"/>
        <v>262.60000000000002</v>
      </c>
      <c r="AS185" s="58">
        <f t="shared" si="131"/>
        <v>233.8</v>
      </c>
      <c r="AT185" s="58">
        <f>IF(ISNA(VLOOKUP($CW185,'Audit Values'!$A$2:$BX$410,2,FALSE)),'Preliminary SO66'!AA184,VLOOKUP($CW185,'Audit Values'!$A$2:$BX$410,41,FALSE))</f>
        <v>0</v>
      </c>
      <c r="AU185" s="58">
        <f>IF(ISNA(VLOOKUP($CW185,'Audit Values'!$A$2:$BX$410,2,FALSE)),'Preliminary SO66'!AB184,VLOOKUP($CW185,'Audit Values'!$A$2:$BX$410,42,FALSE))</f>
        <v>0</v>
      </c>
      <c r="AV185" s="73">
        <v>0</v>
      </c>
      <c r="AW185" s="73">
        <v>0</v>
      </c>
      <c r="AX185" s="24">
        <f>SUM(AT185*'Weighting Factors'!$R$10)+('2024 Legal Max'!AU185*'Weighting Factors'!$R$11)+('2024 Legal Max'!AV185*'Weighting Factors'!$R$12)+('2024 Legal Max'!AW185*'Weighting Factors'!$R$12)</f>
        <v>0</v>
      </c>
      <c r="AY185" s="54">
        <f>IF(ISNA(VLOOKUP($CW185,'Audit Values'!$A$2:$BX$429,2,FALSE)),"",IF(AND('Weighting Factors'!G185&gt;0,VLOOKUP($CW185,'Audit Values'!$A$2:$BX$429,51,FALSE)&lt;'Weighting Factors'!G185),'Weighting Factors'!G185,VLOOKUP($CW185,'Audit Values'!$A$2:$BX$429,51,FALSE)))</f>
        <v>5</v>
      </c>
      <c r="AZ185" s="54" t="str">
        <f>IF(ISNA(VLOOKUP($CW185,'Audit Values'!$A:$BY,2,FALSE)),"",VLOOKUP($CW185,'Audit Values'!$A:$BY,52,FALSE))</f>
        <v>A</v>
      </c>
      <c r="BA185" s="54" t="str">
        <f>IF('Weighting Factors'!F185="","",IF('Weighting Factors'!H185="Pending","PX","R"))</f>
        <v/>
      </c>
      <c r="BB185" s="60">
        <f>SUM((U185+V185+AA185+AC185+AF185+AI185+AL185+AM185+AQ185+AN185)*'Weighting Factors'!$O$5)+'2024 Legal Max'!AX185</f>
        <v>1189574</v>
      </c>
      <c r="BC185" s="24">
        <f>SUM((AR185+AN185)*'Weighting Factors'!$O$5)+AX185</f>
        <v>1336109</v>
      </c>
      <c r="BD185" s="67">
        <f>IF('Weighting Factors'!F185&gt;0,'Weighting Factors'!F185,'Preliminary SO66'!AV184)</f>
        <v>1482134</v>
      </c>
      <c r="BE185" s="24">
        <f t="shared" si="138"/>
        <v>1336109</v>
      </c>
      <c r="BF185" s="71">
        <f>'Weighting Factors'!E185</f>
        <v>0</v>
      </c>
      <c r="BG185" s="71">
        <f>Transportation!G185</f>
        <v>0</v>
      </c>
      <c r="BH185" s="24">
        <f>IF(ISNA(VLOOKUP($CW185,'Audit Values'!$A:$BW,2,FALSE)), 0, VLOOKUP($CW185,'Audit Values'!$A:$BW,75,FALSE))</f>
        <v>0</v>
      </c>
      <c r="BI185" s="24">
        <f t="shared" si="139"/>
        <v>0</v>
      </c>
      <c r="BJ185" s="24">
        <f t="shared" si="140"/>
        <v>1336109</v>
      </c>
      <c r="BK185" s="24">
        <f>SUM((U185+V185+AA185+AC185+AF185+AI185+AL185+AM185+AN185)*'Weighting Factors'!O$12)+(MAX(AO185,'Weighting Factors'!B185))</f>
        <v>1352556</v>
      </c>
      <c r="BL185" s="78">
        <f>'LOB%'!F183</f>
        <v>0.316</v>
      </c>
      <c r="BM185" s="24">
        <f t="shared" si="111"/>
        <v>427408</v>
      </c>
      <c r="BN185" s="67">
        <v>410000</v>
      </c>
      <c r="BO185" s="24">
        <f t="shared" si="141"/>
        <v>410000</v>
      </c>
      <c r="BP185" s="89">
        <f t="shared" si="112"/>
        <v>0.30309999999999998</v>
      </c>
      <c r="BQ185" s="58">
        <f t="shared" si="113"/>
        <v>100.9</v>
      </c>
      <c r="BR185" s="1" t="b">
        <f t="shared" si="114"/>
        <v>0</v>
      </c>
      <c r="BS185" s="76">
        <f t="shared" si="115"/>
        <v>0</v>
      </c>
      <c r="BT185" s="75">
        <f t="shared" si="142"/>
        <v>0</v>
      </c>
      <c r="BU185" s="58">
        <f t="shared" si="116"/>
        <v>0</v>
      </c>
      <c r="BV185" s="1" t="b">
        <f t="shared" si="117"/>
        <v>0</v>
      </c>
      <c r="BW185" s="1">
        <f t="shared" si="118"/>
        <v>0</v>
      </c>
      <c r="BX185" s="75">
        <f t="shared" si="143"/>
        <v>0</v>
      </c>
      <c r="BY185" s="58">
        <f t="shared" si="119"/>
        <v>0</v>
      </c>
      <c r="BZ185" s="58">
        <f t="shared" si="120"/>
        <v>0</v>
      </c>
      <c r="CA185" s="61">
        <v>210</v>
      </c>
      <c r="CB185" s="102">
        <f t="shared" si="121"/>
        <v>4.8000000000000001E-2</v>
      </c>
      <c r="CC185" s="105">
        <f>IF(CB185&lt;0.06,1,IF(CB185&gt;=18.29,52,MATCH(CB185-0.001,'Weighting Factors'!$W$5:$W$156)+1))</f>
        <v>1</v>
      </c>
      <c r="CD185" s="24">
        <f>VLOOKUP(CC185, 'Weighting Factors'!$U$5:$X$56,4)</f>
        <v>1620</v>
      </c>
      <c r="CE185" s="109">
        <f>('Weighting Factors'!$O$5/'Weighting Factors'!$O$14)</f>
        <v>1.2216</v>
      </c>
      <c r="CF185" s="100">
        <f t="shared" si="122"/>
        <v>16200</v>
      </c>
      <c r="CG185" s="100">
        <f>CF185*'Weighting Factors'!$Q$7</f>
        <v>16200</v>
      </c>
      <c r="CH185" s="100">
        <f t="shared" si="144"/>
        <v>19790</v>
      </c>
      <c r="CI185" s="58">
        <f>AK185/'Weighting Factors'!$O$5</f>
        <v>3.9</v>
      </c>
      <c r="CJ185" s="67">
        <v>0</v>
      </c>
      <c r="CK185" s="80">
        <v>0</v>
      </c>
      <c r="CL185" s="110">
        <v>0</v>
      </c>
      <c r="CM185" s="24">
        <f>SUM((AR185*'Weighting Factors'!$O$5)+'2024 Legal Max'!AX185)*CL185</f>
        <v>0</v>
      </c>
      <c r="CN185" s="24">
        <f t="shared" si="145"/>
        <v>0</v>
      </c>
      <c r="CO185" s="65">
        <f t="shared" si="110"/>
        <v>0.56820000000000004</v>
      </c>
      <c r="CP185" s="58">
        <f t="shared" si="123"/>
        <v>5.3</v>
      </c>
      <c r="CQ185" s="58">
        <f t="shared" si="124"/>
        <v>0</v>
      </c>
      <c r="CR185" s="58">
        <f t="shared" si="125"/>
        <v>262.60000000000002</v>
      </c>
      <c r="CS185" s="24">
        <f>'Required Transfers'!L185</f>
        <v>37843</v>
      </c>
      <c r="CT185" s="24">
        <f>'Required Transfers'!O185</f>
        <v>0</v>
      </c>
      <c r="CU185" s="24">
        <f>'Required Transfers'!H185</f>
        <v>150096</v>
      </c>
      <c r="CV185" s="58">
        <f t="shared" si="126"/>
        <v>87.5</v>
      </c>
      <c r="CW185" s="27" t="s">
        <v>370</v>
      </c>
    </row>
    <row r="186" spans="1:101" ht="15" customHeight="1">
      <c r="A186" s="54">
        <v>392</v>
      </c>
      <c r="B186" s="1" t="s">
        <v>86</v>
      </c>
      <c r="C186" s="1" t="s">
        <v>690</v>
      </c>
      <c r="D186" s="58">
        <v>289.89999999999998</v>
      </c>
      <c r="E186" s="58"/>
      <c r="F186" s="58">
        <v>0</v>
      </c>
      <c r="G186" s="58">
        <f t="shared" si="127"/>
        <v>289.89999999999998</v>
      </c>
      <c r="H186" s="58">
        <v>317.39999999999998</v>
      </c>
      <c r="I186" s="58"/>
      <c r="J186" s="58">
        <v>0</v>
      </c>
      <c r="K186" s="58">
        <f t="shared" si="128"/>
        <v>317.39999999999998</v>
      </c>
      <c r="L186" s="1">
        <v>327.10000000000002</v>
      </c>
      <c r="N186" s="1">
        <v>0</v>
      </c>
      <c r="O186" s="58">
        <f t="shared" si="129"/>
        <v>327.10000000000002</v>
      </c>
      <c r="P186" s="58">
        <f>IF(ISNA(VLOOKUP($CW186,'Audit Values'!$A:$BZ,2,FALSE)),'Preliminary SO66'!C185,VLOOKUP($CW186,'Audit Values'!$A:$BZ,76,FALSE))</f>
        <v>308.60000000000002</v>
      </c>
      <c r="Q186" s="58">
        <f>IF(ISNA(VLOOKUP($CW186,'Audit Values'!$A:$BZ,2,FALSE)),'Preliminary SO66'!F185,VLOOKUP($CW186,'Audit Values'!$A:$BZ,4,FALSE))</f>
        <v>0</v>
      </c>
      <c r="R186" s="58">
        <f t="shared" si="133"/>
        <v>308.60000000000002</v>
      </c>
      <c r="S186" s="58">
        <f>IF('Military Provision'!I186="YES", MAX('2024 Legal Max'!O186,'2024 Legal Max'!K186,AVERAGE('2024 Legal Max'!G186,'2024 Legal Max'!K186,'2024 Legal Max'!O186)), MAX(O186, K186))</f>
        <v>327.10000000000002</v>
      </c>
      <c r="T186" s="58">
        <f>IF(ISNA(VLOOKUP($CW186,'Audit Values'!$A:$BX,2,FALSE)),'Preliminary SO66'!AL185,VLOOKUP($CW186,'Audit Values'!$A:$BX,59,FALSE))</f>
        <v>14</v>
      </c>
      <c r="U186" s="58">
        <f t="shared" si="134"/>
        <v>341.1</v>
      </c>
      <c r="V186" s="58">
        <f>'Low-High ENRL- 2023 HSubSB 113'!N189</f>
        <v>160.4</v>
      </c>
      <c r="W186" s="58">
        <f>IF(ISNA(VLOOKUP($CW186,'Audit Values'!$A:$BZ,2,FALSE)),'Preliminary SO66'!AM185,VLOOKUP($CW186,'Audit Values'!$A:$BZ,63,FALSE))</f>
        <v>0</v>
      </c>
      <c r="X186" s="58">
        <f>(W186/6)*'Weighting Factors'!$O$7</f>
        <v>0</v>
      </c>
      <c r="Y186" s="61">
        <f>IF(ISNA(VLOOKUP($CW186,'Audit Values'!$A:$BZ,2,FALSE)),'Preliminary SO66'!AN185,VLOOKUP($CW186,'Audit Values'!$A:$BZ,62,FALSE))</f>
        <v>0</v>
      </c>
      <c r="Z186" s="58">
        <f>Y186*'Weighting Factors'!$O$8</f>
        <v>0</v>
      </c>
      <c r="AA186" s="58">
        <f t="shared" si="135"/>
        <v>0</v>
      </c>
      <c r="AB186" s="106">
        <f>IF(ISNA(VLOOKUP($CW186,'Audit Values'!$A:$BZ,2,FALSE)),'Preliminary SO66'!AO185,VLOOKUP($CW186,'Audit Values'!$A:$BZ,61,FALSE))</f>
        <v>81</v>
      </c>
      <c r="AC186" s="58">
        <f>AB186/6*'Weighting Factors'!$O$6</f>
        <v>6.8</v>
      </c>
      <c r="AD186" s="24">
        <f>IF(ISNA(VLOOKUP($CW186,'Audit Values'!$A:$BX,2,FALSE)),'Preliminary SO66'!AS185,VLOOKUP($CW186,'Audit Values'!$A:$BX,64,FALSE))</f>
        <v>341</v>
      </c>
      <c r="AE186" s="24">
        <f>IF(ISNA(VLOOKUP($CW186,'Audit Values'!$A:$BX,2,FALSE)),'Preliminary SO66'!AP185,VLOOKUP($CW186,'Audit Values'!$A:$BX,65,FALSE))</f>
        <v>132</v>
      </c>
      <c r="AF186" s="58">
        <f>IF(A186=207, AE186,(AE186))*'Weighting Factors'!$O$9</f>
        <v>63.9</v>
      </c>
      <c r="AG186" s="58">
        <f t="shared" si="132"/>
        <v>3.4</v>
      </c>
      <c r="AH186" s="58">
        <f>IF(ISNA(VLOOKUP($CW186,'Audit Values'!$A:$BZ,2,FALSE)),'Preliminary SO66'!AG185,VLOOKUP($CW186,'Audit Values'!$A:$BZ,71,FALSE))</f>
        <v>4.7</v>
      </c>
      <c r="AI186" s="58">
        <f t="shared" si="136"/>
        <v>4.7</v>
      </c>
      <c r="AJ186" s="58">
        <f>IF(ISNA(VLOOKUP($CW186,'Audit Values'!$A:$BX,2,FALSE)),'Preliminary SO66'!AR185,VLOOKUP($CW186,'Audit Values'!$A:$BX,66,FALSE))</f>
        <v>98.5</v>
      </c>
      <c r="AK186" s="24">
        <f t="shared" si="137"/>
        <v>156426</v>
      </c>
      <c r="AL186" s="58">
        <f>AK186/'Weighting Factors'!$O$5</f>
        <v>30.7</v>
      </c>
      <c r="AM186" s="58">
        <f>CJ186/'Weighting Factors'!$O$5</f>
        <v>0</v>
      </c>
      <c r="AN186" s="58">
        <f>CN186/'Weighting Factors'!$O$5</f>
        <v>0</v>
      </c>
      <c r="AO186" s="24">
        <v>440564</v>
      </c>
      <c r="AP186" s="58">
        <f>AO186/'Weighting Factors'!$O$5</f>
        <v>86.6</v>
      </c>
      <c r="AQ186" s="58">
        <f>IF(ISNA(VLOOKUP($CW186,'Audit Values'!$A:$BX,2,FALSE)),'Preliminary SO66'!X185,VLOOKUP($CW186,'Audit Values'!$A:$BX,48,FALSE))</f>
        <v>0</v>
      </c>
      <c r="AR186" s="58">
        <f t="shared" si="130"/>
        <v>694.2</v>
      </c>
      <c r="AS186" s="58">
        <f t="shared" si="131"/>
        <v>607.6</v>
      </c>
      <c r="AT186" s="58">
        <f>IF(ISNA(VLOOKUP($CW186,'Audit Values'!$A$2:$BX$410,2,FALSE)),'Preliminary SO66'!AA185,VLOOKUP($CW186,'Audit Values'!$A$2:$BX$410,41,FALSE))</f>
        <v>0</v>
      </c>
      <c r="AU186" s="58">
        <f>IF(ISNA(VLOOKUP($CW186,'Audit Values'!$A$2:$BX$410,2,FALSE)),'Preliminary SO66'!AB185,VLOOKUP($CW186,'Audit Values'!$A$2:$BX$410,42,FALSE))</f>
        <v>0</v>
      </c>
      <c r="AV186" s="73">
        <v>0</v>
      </c>
      <c r="AW186" s="73">
        <v>0</v>
      </c>
      <c r="AX186" s="24">
        <f>SUM(AT186*'Weighting Factors'!$R$10)+('2024 Legal Max'!AU186*'Weighting Factors'!$R$11)+('2024 Legal Max'!AV186*'Weighting Factors'!$R$12)+('2024 Legal Max'!AW186*'Weighting Factors'!$R$12)</f>
        <v>0</v>
      </c>
      <c r="AY186" s="54">
        <f>IF(ISNA(VLOOKUP($CW186,'Audit Values'!$A$2:$BX$429,2,FALSE)),"",IF(AND('Weighting Factors'!G186&gt;0,VLOOKUP($CW186,'Audit Values'!$A$2:$BX$429,51,FALSE)&lt;'Weighting Factors'!G186),'Weighting Factors'!G186,VLOOKUP($CW186,'Audit Values'!$A$2:$BX$429,51,FALSE)))</f>
        <v>25</v>
      </c>
      <c r="AZ186" s="54" t="str">
        <f>IF(ISNA(VLOOKUP($CW186,'Audit Values'!$A:$BY,2,FALSE)),"",VLOOKUP($CW186,'Audit Values'!$A:$BY,52,FALSE))</f>
        <v>A</v>
      </c>
      <c r="BA186" s="54" t="str">
        <f>IF('Weighting Factors'!F186="","",IF('Weighting Factors'!H186="Pending","PX","R"))</f>
        <v>R</v>
      </c>
      <c r="BB186" s="60">
        <f>SUM((U186+V186+AA186+AC186+AF186+AI186+AL186+AM186+AQ186+AN186)*'Weighting Factors'!$O$5)+'2024 Legal Max'!AX186</f>
        <v>3091469</v>
      </c>
      <c r="BC186" s="24">
        <f>SUM((AR186+AN186)*'Weighting Factors'!$O$5)+AX186</f>
        <v>3532090</v>
      </c>
      <c r="BD186" s="67">
        <f>IF('Weighting Factors'!F186&gt;0,'Weighting Factors'!F186,'Preliminary SO66'!AV185)</f>
        <v>3532090</v>
      </c>
      <c r="BE186" s="24">
        <f t="shared" si="138"/>
        <v>3532090</v>
      </c>
      <c r="BF186" s="71">
        <f>'Weighting Factors'!E186</f>
        <v>0</v>
      </c>
      <c r="BG186" s="71">
        <f>Transportation!G186</f>
        <v>0</v>
      </c>
      <c r="BH186" s="24">
        <f>IF(ISNA(VLOOKUP($CW186,'Audit Values'!$A:$BW,2,FALSE)), 0, VLOOKUP($CW186,'Audit Values'!$A:$BW,75,FALSE))</f>
        <v>0</v>
      </c>
      <c r="BI186" s="24">
        <f t="shared" si="139"/>
        <v>0</v>
      </c>
      <c r="BJ186" s="24">
        <f t="shared" si="140"/>
        <v>3532090</v>
      </c>
      <c r="BK186" s="24">
        <f>SUM((U186+V186+AA186+AC186+AF186+AI186+AL186+AM186+AN186)*'Weighting Factors'!O$12)+(MAX(AO186,'Weighting Factors'!B186))</f>
        <v>3574565</v>
      </c>
      <c r="BL186" s="78">
        <f>'LOB%'!F184</f>
        <v>0.316</v>
      </c>
      <c r="BM186" s="24">
        <f t="shared" si="111"/>
        <v>1129563</v>
      </c>
      <c r="BN186" s="67">
        <v>1107815</v>
      </c>
      <c r="BO186" s="24">
        <f t="shared" si="141"/>
        <v>1107815</v>
      </c>
      <c r="BP186" s="89">
        <f t="shared" si="112"/>
        <v>0.30990000000000001</v>
      </c>
      <c r="BQ186" s="58">
        <f t="shared" si="113"/>
        <v>0</v>
      </c>
      <c r="BR186" s="1" t="b">
        <f t="shared" si="114"/>
        <v>0</v>
      </c>
      <c r="BS186" s="76">
        <f t="shared" si="115"/>
        <v>0</v>
      </c>
      <c r="BT186" s="75">
        <f t="shared" si="142"/>
        <v>0</v>
      </c>
      <c r="BU186" s="58">
        <f t="shared" si="116"/>
        <v>0</v>
      </c>
      <c r="BV186" s="1" t="b">
        <f t="shared" si="117"/>
        <v>1</v>
      </c>
      <c r="BW186" s="1">
        <f t="shared" si="118"/>
        <v>50.8613</v>
      </c>
      <c r="BX186" s="75">
        <f t="shared" si="143"/>
        <v>0.470223</v>
      </c>
      <c r="BY186" s="58">
        <f t="shared" si="119"/>
        <v>160.4</v>
      </c>
      <c r="BZ186" s="58">
        <f t="shared" si="120"/>
        <v>0</v>
      </c>
      <c r="CA186" s="61">
        <v>511</v>
      </c>
      <c r="CB186" s="102">
        <f t="shared" si="121"/>
        <v>0.193</v>
      </c>
      <c r="CC186" s="105">
        <f>IF(CB186&lt;0.06,1,IF(CB186&gt;=18.29,52,MATCH(CB186-0.001,'Weighting Factors'!$W$5:$W$156)+1))</f>
        <v>14</v>
      </c>
      <c r="CD186" s="24">
        <f>VLOOKUP(CC186, 'Weighting Factors'!$U$5:$X$56,4)</f>
        <v>1300</v>
      </c>
      <c r="CE186" s="109">
        <f>('Weighting Factors'!$O$5/'Weighting Factors'!$O$14)</f>
        <v>1.2216</v>
      </c>
      <c r="CF186" s="100">
        <f t="shared" si="122"/>
        <v>128050</v>
      </c>
      <c r="CG186" s="100">
        <f>CF186*'Weighting Factors'!$Q$7</f>
        <v>128050</v>
      </c>
      <c r="CH186" s="100">
        <f t="shared" si="144"/>
        <v>156426</v>
      </c>
      <c r="CI186" s="58">
        <f>AK186/'Weighting Factors'!$O$5</f>
        <v>30.7</v>
      </c>
      <c r="CJ186" s="67">
        <v>0</v>
      </c>
      <c r="CK186" s="80">
        <v>0</v>
      </c>
      <c r="CL186" s="110">
        <v>0</v>
      </c>
      <c r="CM186" s="24">
        <f>SUM((AR186*'Weighting Factors'!$O$5)+'2024 Legal Max'!AX186)*CL186</f>
        <v>0</v>
      </c>
      <c r="CN186" s="24">
        <f t="shared" si="145"/>
        <v>0</v>
      </c>
      <c r="CO186" s="65">
        <f t="shared" si="110"/>
        <v>0.3871</v>
      </c>
      <c r="CP186" s="58">
        <f t="shared" si="123"/>
        <v>0</v>
      </c>
      <c r="CQ186" s="58">
        <f t="shared" si="124"/>
        <v>3.4</v>
      </c>
      <c r="CR186" s="58">
        <f t="shared" si="125"/>
        <v>694.2</v>
      </c>
      <c r="CS186" s="24">
        <f>'Required Transfers'!L186</f>
        <v>104024</v>
      </c>
      <c r="CT186" s="24">
        <f>'Required Transfers'!O186</f>
        <v>0</v>
      </c>
      <c r="CU186" s="24">
        <f>'Required Transfers'!H186</f>
        <v>349037</v>
      </c>
      <c r="CV186" s="58">
        <f t="shared" si="126"/>
        <v>322.60000000000002</v>
      </c>
      <c r="CW186" s="27" t="s">
        <v>371</v>
      </c>
    </row>
    <row r="187" spans="1:101" ht="15" customHeight="1">
      <c r="A187" s="54">
        <v>393</v>
      </c>
      <c r="B187" s="1" t="s">
        <v>87</v>
      </c>
      <c r="C187" s="1" t="s">
        <v>691</v>
      </c>
      <c r="D187" s="58">
        <v>353.5</v>
      </c>
      <c r="E187" s="58"/>
      <c r="F187" s="58">
        <v>0</v>
      </c>
      <c r="G187" s="58">
        <f t="shared" si="127"/>
        <v>353.5</v>
      </c>
      <c r="H187" s="58">
        <v>350</v>
      </c>
      <c r="I187" s="58"/>
      <c r="J187" s="58">
        <v>0</v>
      </c>
      <c r="K187" s="58">
        <f t="shared" si="128"/>
        <v>350</v>
      </c>
      <c r="L187" s="1">
        <v>351</v>
      </c>
      <c r="N187" s="1">
        <v>0</v>
      </c>
      <c r="O187" s="58">
        <f t="shared" si="129"/>
        <v>351</v>
      </c>
      <c r="P187" s="58">
        <f>IF(ISNA(VLOOKUP($CW187,'Audit Values'!$A:$BZ,2,FALSE)),'Preliminary SO66'!C186,VLOOKUP($CW187,'Audit Values'!$A:$BZ,76,FALSE))</f>
        <v>354.5</v>
      </c>
      <c r="Q187" s="58">
        <f>IF(ISNA(VLOOKUP($CW187,'Audit Values'!$A:$BZ,2,FALSE)),'Preliminary SO66'!F186,VLOOKUP($CW187,'Audit Values'!$A:$BZ,4,FALSE))</f>
        <v>0</v>
      </c>
      <c r="R187" s="58">
        <f t="shared" si="133"/>
        <v>354.5</v>
      </c>
      <c r="S187" s="58">
        <f>IF('Military Provision'!I187="YES", MAX('2024 Legal Max'!O187,'2024 Legal Max'!K187,AVERAGE('2024 Legal Max'!G187,'2024 Legal Max'!K187,'2024 Legal Max'!O187)), MAX(O187, K187))</f>
        <v>351</v>
      </c>
      <c r="T187" s="58">
        <f>IF(ISNA(VLOOKUP($CW187,'Audit Values'!$A:$BX,2,FALSE)),'Preliminary SO66'!AL186,VLOOKUP($CW187,'Audit Values'!$A:$BX,59,FALSE))</f>
        <v>4</v>
      </c>
      <c r="U187" s="58">
        <f t="shared" si="134"/>
        <v>355</v>
      </c>
      <c r="V187" s="58">
        <f>'Low-High ENRL- 2023 HSubSB 113'!N190</f>
        <v>165.3</v>
      </c>
      <c r="W187" s="58">
        <f>IF(ISNA(VLOOKUP($CW187,'Audit Values'!$A:$BZ,2,FALSE)),'Preliminary SO66'!AM186,VLOOKUP($CW187,'Audit Values'!$A:$BZ,63,FALSE))</f>
        <v>0</v>
      </c>
      <c r="X187" s="58">
        <f>(W187/6)*'Weighting Factors'!$O$7</f>
        <v>0</v>
      </c>
      <c r="Y187" s="61">
        <f>IF(ISNA(VLOOKUP($CW187,'Audit Values'!$A:$BZ,2,FALSE)),'Preliminary SO66'!AN186,VLOOKUP($CW187,'Audit Values'!$A:$BZ,62,FALSE))</f>
        <v>0</v>
      </c>
      <c r="Z187" s="58">
        <f>Y187*'Weighting Factors'!$O$8</f>
        <v>0</v>
      </c>
      <c r="AA187" s="58">
        <f t="shared" si="135"/>
        <v>0</v>
      </c>
      <c r="AB187" s="106">
        <f>IF(ISNA(VLOOKUP($CW187,'Audit Values'!$A:$BZ,2,FALSE)),'Preliminary SO66'!AO186,VLOOKUP($CW187,'Audit Values'!$A:$BZ,61,FALSE))</f>
        <v>79.400000000000006</v>
      </c>
      <c r="AC187" s="58">
        <f>AB187/6*'Weighting Factors'!$O$6</f>
        <v>6.6</v>
      </c>
      <c r="AD187" s="24">
        <f>IF(ISNA(VLOOKUP($CW187,'Audit Values'!$A:$BX,2,FALSE)),'Preliminary SO66'!AS186,VLOOKUP($CW187,'Audit Values'!$A:$BX,64,FALSE))</f>
        <v>366</v>
      </c>
      <c r="AE187" s="24">
        <f>IF(ISNA(VLOOKUP($CW187,'Audit Values'!$A:$BX,2,FALSE)),'Preliminary SO66'!AP186,VLOOKUP($CW187,'Audit Values'!$A:$BX,65,FALSE))</f>
        <v>179</v>
      </c>
      <c r="AF187" s="58">
        <f>IF(A187=207, AE187,(AE187))*'Weighting Factors'!$O$9</f>
        <v>86.6</v>
      </c>
      <c r="AG187" s="58">
        <f t="shared" si="132"/>
        <v>17.399999999999999</v>
      </c>
      <c r="AH187" s="58">
        <f>IF(ISNA(VLOOKUP($CW187,'Audit Values'!$A:$BZ,2,FALSE)),'Preliminary SO66'!AG186,VLOOKUP($CW187,'Audit Values'!$A:$BZ,71,FALSE))</f>
        <v>17</v>
      </c>
      <c r="AI187" s="58">
        <f t="shared" si="136"/>
        <v>17.399999999999999</v>
      </c>
      <c r="AJ187" s="58">
        <f>IF(ISNA(VLOOKUP($CW187,'Audit Values'!$A:$BX,2,FALSE)),'Preliminary SO66'!AR186,VLOOKUP($CW187,'Audit Values'!$A:$BX,66,FALSE))</f>
        <v>75</v>
      </c>
      <c r="AK187" s="24">
        <f t="shared" si="137"/>
        <v>103531</v>
      </c>
      <c r="AL187" s="58">
        <f>AK187/'Weighting Factors'!$O$5</f>
        <v>20.3</v>
      </c>
      <c r="AM187" s="58">
        <f>CJ187/'Weighting Factors'!$O$5</f>
        <v>0</v>
      </c>
      <c r="AN187" s="58">
        <f>CN187/'Weighting Factors'!$O$5</f>
        <v>0</v>
      </c>
      <c r="AO187" s="24">
        <v>400300</v>
      </c>
      <c r="AP187" s="58">
        <f>AO187/'Weighting Factors'!$O$5</f>
        <v>78.7</v>
      </c>
      <c r="AQ187" s="58">
        <f>IF(ISNA(VLOOKUP($CW187,'Audit Values'!$A:$BX,2,FALSE)),'Preliminary SO66'!X186,VLOOKUP($CW187,'Audit Values'!$A:$BX,48,FALSE))</f>
        <v>0</v>
      </c>
      <c r="AR187" s="58">
        <f t="shared" si="130"/>
        <v>729.9</v>
      </c>
      <c r="AS187" s="58">
        <f t="shared" si="131"/>
        <v>651.20000000000005</v>
      </c>
      <c r="AT187" s="58">
        <f>IF(ISNA(VLOOKUP($CW187,'Audit Values'!$A$2:$BX$410,2,FALSE)),'Preliminary SO66'!AA186,VLOOKUP($CW187,'Audit Values'!$A$2:$BX$410,41,FALSE))</f>
        <v>0</v>
      </c>
      <c r="AU187" s="58">
        <f>IF(ISNA(VLOOKUP($CW187,'Audit Values'!$A$2:$BX$410,2,FALSE)),'Preliminary SO66'!AB186,VLOOKUP($CW187,'Audit Values'!$A$2:$BX$410,42,FALSE))</f>
        <v>0</v>
      </c>
      <c r="AV187" s="73">
        <v>0</v>
      </c>
      <c r="AW187" s="73">
        <v>0</v>
      </c>
      <c r="AX187" s="24">
        <f>SUM(AT187*'Weighting Factors'!$R$10)+('2024 Legal Max'!AU187*'Weighting Factors'!$R$11)+('2024 Legal Max'!AV187*'Weighting Factors'!$R$12)+('2024 Legal Max'!AW187*'Weighting Factors'!$R$12)</f>
        <v>0</v>
      </c>
      <c r="AY187" s="54">
        <f>IF(ISNA(VLOOKUP($CW187,'Audit Values'!$A$2:$BX$429,2,FALSE)),"",IF(AND('Weighting Factors'!G187&gt;0,VLOOKUP($CW187,'Audit Values'!$A$2:$BX$429,51,FALSE)&lt;'Weighting Factors'!G187),'Weighting Factors'!G187,VLOOKUP($CW187,'Audit Values'!$A$2:$BX$429,51,FALSE)))</f>
        <v>3</v>
      </c>
      <c r="AZ187" s="54" t="str">
        <f>IF(ISNA(VLOOKUP($CW187,'Audit Values'!$A:$BY,2,FALSE)),"",VLOOKUP($CW187,'Audit Values'!$A:$BY,52,FALSE))</f>
        <v>A</v>
      </c>
      <c r="BA187" s="54" t="str">
        <f>IF('Weighting Factors'!F187="","",IF('Weighting Factors'!H187="Pending","PX","R"))</f>
        <v/>
      </c>
      <c r="BB187" s="60">
        <f>SUM((U187+V187+AA187+AC187+AF187+AI187+AL187+AM187+AQ187+AN187)*'Weighting Factors'!$O$5)+'2024 Legal Max'!AX187</f>
        <v>3313306</v>
      </c>
      <c r="BC187" s="24">
        <f>SUM((AR187+AN187)*'Weighting Factors'!$O$5)+AX187</f>
        <v>3713731</v>
      </c>
      <c r="BD187" s="67">
        <f>IF('Weighting Factors'!F187&gt;0,'Weighting Factors'!F187,'Preliminary SO66'!AV186)</f>
        <v>3989501</v>
      </c>
      <c r="BE187" s="24">
        <f t="shared" si="138"/>
        <v>3713731</v>
      </c>
      <c r="BF187" s="71">
        <f>'Weighting Factors'!E187</f>
        <v>0</v>
      </c>
      <c r="BG187" s="71">
        <f>Transportation!G187</f>
        <v>0</v>
      </c>
      <c r="BH187" s="24">
        <f>IF(ISNA(VLOOKUP($CW187,'Audit Values'!$A:$BW,2,FALSE)), 0, VLOOKUP($CW187,'Audit Values'!$A:$BW,75,FALSE))</f>
        <v>0</v>
      </c>
      <c r="BI187" s="24">
        <f t="shared" si="139"/>
        <v>0</v>
      </c>
      <c r="BJ187" s="24">
        <f t="shared" si="140"/>
        <v>3713731</v>
      </c>
      <c r="BK187" s="24">
        <f>SUM((U187+V187+AA187+AC187+AF187+AI187+AL187+AM187+AN187)*'Weighting Factors'!O$12)+(MAX(AO187,'Weighting Factors'!B187))</f>
        <v>3759190</v>
      </c>
      <c r="BL187" s="78">
        <f>'LOB%'!F185</f>
        <v>0.33</v>
      </c>
      <c r="BM187" s="24">
        <f t="shared" si="111"/>
        <v>1240533</v>
      </c>
      <c r="BN187" s="67">
        <v>1332424</v>
      </c>
      <c r="BO187" s="24">
        <f t="shared" si="141"/>
        <v>1240533</v>
      </c>
      <c r="BP187" s="89">
        <f t="shared" si="112"/>
        <v>0.33</v>
      </c>
      <c r="BQ187" s="58">
        <f t="shared" si="113"/>
        <v>0</v>
      </c>
      <c r="BR187" s="1" t="b">
        <f t="shared" si="114"/>
        <v>0</v>
      </c>
      <c r="BS187" s="76">
        <f t="shared" si="115"/>
        <v>0</v>
      </c>
      <c r="BT187" s="75">
        <f t="shared" si="142"/>
        <v>0</v>
      </c>
      <c r="BU187" s="58">
        <f t="shared" si="116"/>
        <v>0</v>
      </c>
      <c r="BV187" s="1" t="b">
        <f t="shared" si="117"/>
        <v>1</v>
      </c>
      <c r="BW187" s="1">
        <f t="shared" si="118"/>
        <v>68.0625</v>
      </c>
      <c r="BX187" s="75">
        <f t="shared" si="143"/>
        <v>0.46550000000000002</v>
      </c>
      <c r="BY187" s="58">
        <f t="shared" si="119"/>
        <v>165.3</v>
      </c>
      <c r="BZ187" s="58">
        <f t="shared" si="120"/>
        <v>0</v>
      </c>
      <c r="CA187" s="61">
        <v>187.5</v>
      </c>
      <c r="CB187" s="102">
        <f t="shared" si="121"/>
        <v>0.4</v>
      </c>
      <c r="CC187" s="105">
        <f>IF(CB187&lt;0.06,1,IF(CB187&gt;=18.29,52,MATCH(CB187-0.001,'Weighting Factors'!$W$5:$W$156)+1))</f>
        <v>23</v>
      </c>
      <c r="CD187" s="24">
        <f>VLOOKUP(CC187, 'Weighting Factors'!$U$5:$X$56,4)</f>
        <v>1130</v>
      </c>
      <c r="CE187" s="109">
        <f>('Weighting Factors'!$O$5/'Weighting Factors'!$O$14)</f>
        <v>1.2216</v>
      </c>
      <c r="CF187" s="100">
        <f t="shared" si="122"/>
        <v>84750</v>
      </c>
      <c r="CG187" s="100">
        <f>CF187*'Weighting Factors'!$Q$7</f>
        <v>84750</v>
      </c>
      <c r="CH187" s="100">
        <f t="shared" si="144"/>
        <v>103531</v>
      </c>
      <c r="CI187" s="58">
        <f>AK187/'Weighting Factors'!$O$5</f>
        <v>20.3</v>
      </c>
      <c r="CJ187" s="67">
        <v>0</v>
      </c>
      <c r="CK187" s="80">
        <v>0</v>
      </c>
      <c r="CL187" s="110">
        <v>0</v>
      </c>
      <c r="CM187" s="24">
        <f>SUM((AR187*'Weighting Factors'!$O$5)+'2024 Legal Max'!AX187)*CL187</f>
        <v>0</v>
      </c>
      <c r="CN187" s="24">
        <f t="shared" si="145"/>
        <v>0</v>
      </c>
      <c r="CO187" s="65">
        <f t="shared" si="110"/>
        <v>0.48909999999999998</v>
      </c>
      <c r="CP187" s="58">
        <f t="shared" si="123"/>
        <v>0</v>
      </c>
      <c r="CQ187" s="58">
        <f t="shared" si="124"/>
        <v>17.399999999999999</v>
      </c>
      <c r="CR187" s="58">
        <f t="shared" si="125"/>
        <v>729.9</v>
      </c>
      <c r="CS187" s="24">
        <f>'Required Transfers'!L187</f>
        <v>147996</v>
      </c>
      <c r="CT187" s="24">
        <f>'Required Transfers'!O187</f>
        <v>0</v>
      </c>
      <c r="CU187" s="24">
        <f>'Required Transfers'!H187</f>
        <v>529152</v>
      </c>
      <c r="CV187" s="58">
        <f t="shared" si="126"/>
        <v>358.5</v>
      </c>
      <c r="CW187" s="27" t="s">
        <v>372</v>
      </c>
    </row>
    <row r="188" spans="1:101" ht="15" customHeight="1">
      <c r="A188" s="54">
        <v>394</v>
      </c>
      <c r="B188" s="1" t="s">
        <v>10</v>
      </c>
      <c r="C188" s="1" t="s">
        <v>692</v>
      </c>
      <c r="D188" s="58">
        <v>1463.9</v>
      </c>
      <c r="E188" s="58"/>
      <c r="F188" s="58">
        <v>0</v>
      </c>
      <c r="G188" s="58">
        <f t="shared" si="127"/>
        <v>1463.9</v>
      </c>
      <c r="H188" s="58">
        <v>1541.3</v>
      </c>
      <c r="I188" s="58">
        <v>2</v>
      </c>
      <c r="J188" s="58">
        <v>0</v>
      </c>
      <c r="K188" s="58">
        <f t="shared" si="128"/>
        <v>1539.3</v>
      </c>
      <c r="L188" s="1">
        <v>1559.3</v>
      </c>
      <c r="N188" s="1">
        <v>0</v>
      </c>
      <c r="O188" s="58">
        <f t="shared" si="129"/>
        <v>1559.3</v>
      </c>
      <c r="P188" s="58">
        <f>IF(ISNA(VLOOKUP($CW188,'Audit Values'!$A:$BZ,2,FALSE)),'Preliminary SO66'!C187,VLOOKUP($CW188,'Audit Values'!$A:$BZ,76,FALSE))</f>
        <v>1543.5</v>
      </c>
      <c r="Q188" s="58">
        <f>IF(ISNA(VLOOKUP($CW188,'Audit Values'!$A:$BZ,2,FALSE)),'Preliminary SO66'!F187,VLOOKUP($CW188,'Audit Values'!$A:$BZ,4,FALSE))</f>
        <v>0</v>
      </c>
      <c r="R188" s="58">
        <f t="shared" si="133"/>
        <v>1543.5</v>
      </c>
      <c r="S188" s="58">
        <f>IF('Military Provision'!I188="YES", MAX('2024 Legal Max'!O188,'2024 Legal Max'!K188,AVERAGE('2024 Legal Max'!G188,'2024 Legal Max'!K188,'2024 Legal Max'!O188)), MAX(O188, K188))</f>
        <v>1559.3</v>
      </c>
      <c r="T188" s="58">
        <f>IF(ISNA(VLOOKUP($CW188,'Audit Values'!$A:$BX,2,FALSE)),'Preliminary SO66'!AL187,VLOOKUP($CW188,'Audit Values'!$A:$BX,59,FALSE))</f>
        <v>32.5</v>
      </c>
      <c r="U188" s="58">
        <f t="shared" si="134"/>
        <v>1591.8</v>
      </c>
      <c r="V188" s="58">
        <f>'Low-High ENRL- 2023 HSubSB 113'!N191</f>
        <v>72.099999999999994</v>
      </c>
      <c r="W188" s="58">
        <f>IF(ISNA(VLOOKUP($CW188,'Audit Values'!$A:$BZ,2,FALSE)),'Preliminary SO66'!AM187,VLOOKUP($CW188,'Audit Values'!$A:$BZ,63,FALSE))</f>
        <v>61.3</v>
      </c>
      <c r="X188" s="58">
        <f>(W188/6)*'Weighting Factors'!$O$7</f>
        <v>4</v>
      </c>
      <c r="Y188" s="61">
        <f>IF(ISNA(VLOOKUP($CW188,'Audit Values'!$A:$BZ,2,FALSE)),'Preliminary SO66'!AN187,VLOOKUP($CW188,'Audit Values'!$A:$BZ,62,FALSE))</f>
        <v>27</v>
      </c>
      <c r="Z188" s="58">
        <f>Y188*'Weighting Factors'!$O$8</f>
        <v>5</v>
      </c>
      <c r="AA188" s="58">
        <f t="shared" si="135"/>
        <v>5</v>
      </c>
      <c r="AB188" s="106">
        <f>IF(ISNA(VLOOKUP($CW188,'Audit Values'!$A:$BZ,2,FALSE)),'Preliminary SO66'!AO187,VLOOKUP($CW188,'Audit Values'!$A:$BZ,61,FALSE))</f>
        <v>425.8</v>
      </c>
      <c r="AC188" s="58">
        <f>AB188/6*'Weighting Factors'!$O$6</f>
        <v>35.5</v>
      </c>
      <c r="AD188" s="24">
        <f>IF(ISNA(VLOOKUP($CW188,'Audit Values'!$A:$BX,2,FALSE)),'Preliminary SO66'!AS187,VLOOKUP($CW188,'Audit Values'!$A:$BX,64,FALSE))</f>
        <v>1622</v>
      </c>
      <c r="AE188" s="24">
        <f>IF(ISNA(VLOOKUP($CW188,'Audit Values'!$A:$BX,2,FALSE)),'Preliminary SO66'!AP187,VLOOKUP($CW188,'Audit Values'!$A:$BX,65,FALSE))</f>
        <v>443</v>
      </c>
      <c r="AF188" s="58">
        <f>IF(A188=207, AE188,(AE188))*'Weighting Factors'!$O$9</f>
        <v>214.4</v>
      </c>
      <c r="AG188" s="58">
        <f t="shared" si="132"/>
        <v>0</v>
      </c>
      <c r="AH188" s="58">
        <f>IF(ISNA(VLOOKUP($CW188,'Audit Values'!$A:$BZ,2,FALSE)),'Preliminary SO66'!AG187,VLOOKUP($CW188,'Audit Values'!$A:$BZ,71,FALSE))</f>
        <v>0</v>
      </c>
      <c r="AI188" s="58">
        <f t="shared" si="136"/>
        <v>0</v>
      </c>
      <c r="AJ188" s="58">
        <f>IF(ISNA(VLOOKUP($CW188,'Audit Values'!$A:$BX,2,FALSE)),'Preliminary SO66'!AR187,VLOOKUP($CW188,'Audit Values'!$A:$BX,66,FALSE))</f>
        <v>579</v>
      </c>
      <c r="AK188" s="24">
        <f t="shared" si="137"/>
        <v>445603</v>
      </c>
      <c r="AL188" s="58">
        <f>AK188/'Weighting Factors'!$O$5</f>
        <v>87.6</v>
      </c>
      <c r="AM188" s="58">
        <f>CJ188/'Weighting Factors'!$O$5</f>
        <v>0</v>
      </c>
      <c r="AN188" s="58">
        <f>CN188/'Weighting Factors'!$O$5</f>
        <v>0</v>
      </c>
      <c r="AO188" s="24">
        <v>1362804</v>
      </c>
      <c r="AP188" s="58">
        <f>AO188/'Weighting Factors'!$O$5</f>
        <v>267.8</v>
      </c>
      <c r="AQ188" s="58">
        <f>IF(ISNA(VLOOKUP($CW188,'Audit Values'!$A:$BX,2,FALSE)),'Preliminary SO66'!X187,VLOOKUP($CW188,'Audit Values'!$A:$BX,48,FALSE))</f>
        <v>0</v>
      </c>
      <c r="AR188" s="58">
        <f t="shared" si="130"/>
        <v>2274.1999999999998</v>
      </c>
      <c r="AS188" s="58">
        <f t="shared" si="131"/>
        <v>2006.4</v>
      </c>
      <c r="AT188" s="58">
        <f>IF(ISNA(VLOOKUP($CW188,'Audit Values'!$A$2:$BX$410,2,FALSE)),'Preliminary SO66'!AA187,VLOOKUP($CW188,'Audit Values'!$A$2:$BX$410,41,FALSE))</f>
        <v>42</v>
      </c>
      <c r="AU188" s="58">
        <f>IF(ISNA(VLOOKUP($CW188,'Audit Values'!$A$2:$BX$410,2,FALSE)),'Preliminary SO66'!AB187,VLOOKUP($CW188,'Audit Values'!$A$2:$BX$410,42,FALSE))</f>
        <v>5.8</v>
      </c>
      <c r="AV188" s="73">
        <v>18</v>
      </c>
      <c r="AW188" s="73">
        <v>25</v>
      </c>
      <c r="AX188" s="24">
        <f>SUM(AT188*'Weighting Factors'!$R$10)+('2024 Legal Max'!AU188*'Weighting Factors'!$R$11)+('2024 Legal Max'!AV188*'Weighting Factors'!$R$12)+('2024 Legal Max'!AW188*'Weighting Factors'!$R$12)</f>
        <v>281927</v>
      </c>
      <c r="AY188" s="54">
        <f>IF(ISNA(VLOOKUP($CW188,'Audit Values'!$A$2:$BX$429,2,FALSE)),"",IF(AND('Weighting Factors'!G188&gt;0,VLOOKUP($CW188,'Audit Values'!$A$2:$BX$429,51,FALSE)&lt;'Weighting Factors'!G188),'Weighting Factors'!G188,VLOOKUP($CW188,'Audit Values'!$A$2:$BX$429,51,FALSE)))</f>
        <v>21</v>
      </c>
      <c r="AZ188" s="54" t="str">
        <f>IF(ISNA(VLOOKUP($CW188,'Audit Values'!$A:$BY,2,FALSE)),"",VLOOKUP($CW188,'Audit Values'!$A:$BY,52,FALSE))</f>
        <v>A</v>
      </c>
      <c r="BA188" s="54" t="str">
        <f>IF('Weighting Factors'!F188="","",IF('Weighting Factors'!H188="Pending","PX","R"))</f>
        <v/>
      </c>
      <c r="BB188" s="60">
        <f>SUM((U188+V188+AA188+AC188+AF188+AI188+AL188+AM188+AQ188+AN188)*'Weighting Factors'!$O$5)+'2024 Legal Max'!AX188</f>
        <v>10490490</v>
      </c>
      <c r="BC188" s="24">
        <f>SUM((AR188+AN188)*'Weighting Factors'!$O$5)+AX188</f>
        <v>11853057</v>
      </c>
      <c r="BD188" s="67">
        <f>IF('Weighting Factors'!F188&gt;0,'Weighting Factors'!F188,'Preliminary SO66'!AV187)</f>
        <v>12481629</v>
      </c>
      <c r="BE188" s="24">
        <f t="shared" si="138"/>
        <v>11853057</v>
      </c>
      <c r="BF188" s="71">
        <f>'Weighting Factors'!E188</f>
        <v>0</v>
      </c>
      <c r="BG188" s="71">
        <f>Transportation!G188</f>
        <v>0</v>
      </c>
      <c r="BH188" s="24">
        <f>IF(ISNA(VLOOKUP($CW188,'Audit Values'!$A:$BW,2,FALSE)), 0, VLOOKUP($CW188,'Audit Values'!$A:$BW,75,FALSE))</f>
        <v>-16162</v>
      </c>
      <c r="BI188" s="24">
        <f t="shared" si="139"/>
        <v>-16162</v>
      </c>
      <c r="BJ188" s="24">
        <f t="shared" si="140"/>
        <v>11836895</v>
      </c>
      <c r="BK188" s="24">
        <f>SUM((U188+V188+AA188+AC188+AF188+AI188+AL188+AM188+AN188)*'Weighting Factors'!O$12)+(MAX(AO188,'Weighting Factors'!B188))</f>
        <v>11711815</v>
      </c>
      <c r="BL188" s="78">
        <f>'LOB%'!F186</f>
        <v>0.33</v>
      </c>
      <c r="BM188" s="24">
        <f t="shared" si="111"/>
        <v>3864899</v>
      </c>
      <c r="BN188" s="67">
        <v>4037778</v>
      </c>
      <c r="BO188" s="24">
        <f t="shared" si="141"/>
        <v>3864899</v>
      </c>
      <c r="BP188" s="89">
        <f t="shared" si="112"/>
        <v>0.33</v>
      </c>
      <c r="BQ188" s="58">
        <f t="shared" si="113"/>
        <v>0</v>
      </c>
      <c r="BR188" s="1" t="b">
        <f t="shared" si="114"/>
        <v>0</v>
      </c>
      <c r="BS188" s="76">
        <f t="shared" si="115"/>
        <v>0</v>
      </c>
      <c r="BT188" s="75">
        <f t="shared" si="142"/>
        <v>0</v>
      </c>
      <c r="BU188" s="58">
        <f t="shared" si="116"/>
        <v>0</v>
      </c>
      <c r="BV188" s="1" t="b">
        <f t="shared" si="117"/>
        <v>1</v>
      </c>
      <c r="BW188" s="1">
        <f t="shared" si="118"/>
        <v>1598.6025</v>
      </c>
      <c r="BX188" s="75">
        <f t="shared" si="143"/>
        <v>4.5298999999999999E-2</v>
      </c>
      <c r="BY188" s="58">
        <f t="shared" si="119"/>
        <v>72.099999999999994</v>
      </c>
      <c r="BZ188" s="58">
        <f t="shared" si="120"/>
        <v>0</v>
      </c>
      <c r="CA188" s="61">
        <v>55</v>
      </c>
      <c r="CB188" s="102">
        <f t="shared" si="121"/>
        <v>10.526999999999999</v>
      </c>
      <c r="CC188" s="105">
        <f>IF(CB188&lt;0.06,1,IF(CB188&gt;=18.29,52,MATCH(CB188-0.001,'Weighting Factors'!$W$5:$W$156)+1))</f>
        <v>48</v>
      </c>
      <c r="CD188" s="24">
        <f>VLOOKUP(CC188, 'Weighting Factors'!$U$5:$X$56,4)</f>
        <v>630</v>
      </c>
      <c r="CE188" s="109">
        <f>('Weighting Factors'!$O$5/'Weighting Factors'!$O$14)</f>
        <v>1.2216</v>
      </c>
      <c r="CF188" s="100">
        <f t="shared" si="122"/>
        <v>364770</v>
      </c>
      <c r="CG188" s="100">
        <f>CF188*'Weighting Factors'!$Q$7</f>
        <v>364770</v>
      </c>
      <c r="CH188" s="100">
        <f t="shared" si="144"/>
        <v>445603</v>
      </c>
      <c r="CI188" s="58">
        <f>AK188/'Weighting Factors'!$O$5</f>
        <v>87.6</v>
      </c>
      <c r="CJ188" s="67">
        <v>0</v>
      </c>
      <c r="CK188" s="80">
        <v>0</v>
      </c>
      <c r="CL188" s="110">
        <v>1E-3</v>
      </c>
      <c r="CM188" s="24">
        <f>SUM((AR188*'Weighting Factors'!$O$5)+'2024 Legal Max'!AX188)*CL188</f>
        <v>11853</v>
      </c>
      <c r="CN188" s="24">
        <f t="shared" si="145"/>
        <v>0</v>
      </c>
      <c r="CO188" s="65">
        <f t="shared" si="110"/>
        <v>0.27310000000000001</v>
      </c>
      <c r="CP188" s="58">
        <f t="shared" si="123"/>
        <v>0</v>
      </c>
      <c r="CQ188" s="58">
        <f t="shared" si="124"/>
        <v>0</v>
      </c>
      <c r="CR188" s="58">
        <f t="shared" si="125"/>
        <v>2274.1999999999998</v>
      </c>
      <c r="CS188" s="24">
        <f>'Required Transfers'!L188</f>
        <v>369484</v>
      </c>
      <c r="CT188" s="24">
        <f>'Required Transfers'!O188</f>
        <v>8503</v>
      </c>
      <c r="CU188" s="24">
        <f>'Required Transfers'!H188</f>
        <v>1090867</v>
      </c>
      <c r="CV188" s="58">
        <f t="shared" si="126"/>
        <v>1631</v>
      </c>
      <c r="CW188" s="27" t="s">
        <v>373</v>
      </c>
    </row>
    <row r="189" spans="1:101" ht="15" customHeight="1">
      <c r="A189" s="54">
        <v>395</v>
      </c>
      <c r="B189" s="1" t="s">
        <v>88</v>
      </c>
      <c r="C189" s="1" t="s">
        <v>693</v>
      </c>
      <c r="D189" s="58">
        <v>270.5</v>
      </c>
      <c r="E189" s="58"/>
      <c r="F189" s="58">
        <v>0</v>
      </c>
      <c r="G189" s="58">
        <f t="shared" si="127"/>
        <v>270.5</v>
      </c>
      <c r="H189" s="58">
        <v>285</v>
      </c>
      <c r="I189" s="58"/>
      <c r="J189" s="58">
        <v>0</v>
      </c>
      <c r="K189" s="58">
        <f t="shared" si="128"/>
        <v>285</v>
      </c>
      <c r="L189" s="1">
        <v>292.10000000000002</v>
      </c>
      <c r="N189" s="1">
        <v>0</v>
      </c>
      <c r="O189" s="58">
        <f t="shared" si="129"/>
        <v>292.10000000000002</v>
      </c>
      <c r="P189" s="58">
        <f>IF(ISNA(VLOOKUP($CW189,'Audit Values'!$A:$BZ,2,FALSE)),'Preliminary SO66'!C188,VLOOKUP($CW189,'Audit Values'!$A:$BZ,76,FALSE))</f>
        <v>280.5</v>
      </c>
      <c r="Q189" s="58">
        <f>IF(ISNA(VLOOKUP($CW189,'Audit Values'!$A:$BZ,2,FALSE)),'Preliminary SO66'!F188,VLOOKUP($CW189,'Audit Values'!$A:$BZ,4,FALSE))</f>
        <v>0</v>
      </c>
      <c r="R189" s="58">
        <f t="shared" si="133"/>
        <v>280.5</v>
      </c>
      <c r="S189" s="58">
        <f>IF('Military Provision'!I189="YES", MAX('2024 Legal Max'!O189,'2024 Legal Max'!K189,AVERAGE('2024 Legal Max'!G189,'2024 Legal Max'!K189,'2024 Legal Max'!O189)), MAX(O189, K189))</f>
        <v>292.10000000000002</v>
      </c>
      <c r="T189" s="58">
        <f>IF(ISNA(VLOOKUP($CW189,'Audit Values'!$A:$BX,2,FALSE)),'Preliminary SO66'!AL188,VLOOKUP($CW189,'Audit Values'!$A:$BX,59,FALSE))</f>
        <v>0</v>
      </c>
      <c r="U189" s="58">
        <f t="shared" si="134"/>
        <v>292.10000000000002</v>
      </c>
      <c r="V189" s="58">
        <f>'Low-High ENRL- 2023 HSubSB 113'!N192</f>
        <v>147.5</v>
      </c>
      <c r="W189" s="58">
        <f>IF(ISNA(VLOOKUP($CW189,'Audit Values'!$A:$BZ,2,FALSE)),'Preliminary SO66'!AM188,VLOOKUP($CW189,'Audit Values'!$A:$BZ,63,FALSE))</f>
        <v>0</v>
      </c>
      <c r="X189" s="58">
        <f>(W189/6)*'Weighting Factors'!$O$7</f>
        <v>0</v>
      </c>
      <c r="Y189" s="61">
        <f>IF(ISNA(VLOOKUP($CW189,'Audit Values'!$A:$BZ,2,FALSE)),'Preliminary SO66'!AN188,VLOOKUP($CW189,'Audit Values'!$A:$BZ,62,FALSE))</f>
        <v>0</v>
      </c>
      <c r="Z189" s="58">
        <f>Y189*'Weighting Factors'!$O$8</f>
        <v>0</v>
      </c>
      <c r="AA189" s="58">
        <f t="shared" si="135"/>
        <v>0</v>
      </c>
      <c r="AB189" s="106">
        <f>IF(ISNA(VLOOKUP($CW189,'Audit Values'!$A:$BZ,2,FALSE)),'Preliminary SO66'!AO188,VLOOKUP($CW189,'Audit Values'!$A:$BZ,61,FALSE))</f>
        <v>170.2</v>
      </c>
      <c r="AC189" s="58">
        <f>AB189/6*'Weighting Factors'!$O$6</f>
        <v>14.2</v>
      </c>
      <c r="AD189" s="24">
        <f>IF(ISNA(VLOOKUP($CW189,'Audit Values'!$A:$BX,2,FALSE)),'Preliminary SO66'!AS188,VLOOKUP($CW189,'Audit Values'!$A:$BX,64,FALSE))</f>
        <v>282</v>
      </c>
      <c r="AE189" s="24">
        <f>IF(ISNA(VLOOKUP($CW189,'Audit Values'!$A:$BX,2,FALSE)),'Preliminary SO66'!AP188,VLOOKUP($CW189,'Audit Values'!$A:$BX,65,FALSE))</f>
        <v>116</v>
      </c>
      <c r="AF189" s="58">
        <f>IF(A189=207, AE189,(AE189))*'Weighting Factors'!$O$9</f>
        <v>56.1</v>
      </c>
      <c r="AG189" s="58">
        <f t="shared" si="132"/>
        <v>5</v>
      </c>
      <c r="AH189" s="58">
        <f>IF(ISNA(VLOOKUP($CW189,'Audit Values'!$A:$BZ,2,FALSE)),'Preliminary SO66'!AG188,VLOOKUP($CW189,'Audit Values'!$A:$BZ,71,FALSE))</f>
        <v>5</v>
      </c>
      <c r="AI189" s="58">
        <f t="shared" si="136"/>
        <v>5</v>
      </c>
      <c r="AJ189" s="58">
        <f>IF(ISNA(VLOOKUP($CW189,'Audit Values'!$A:$BX,2,FALSE)),'Preliminary SO66'!AR188,VLOOKUP($CW189,'Audit Values'!$A:$BX,66,FALSE))</f>
        <v>62</v>
      </c>
      <c r="AK189" s="24">
        <f t="shared" si="137"/>
        <v>106792</v>
      </c>
      <c r="AL189" s="58">
        <f>AK189/'Weighting Factors'!$O$5</f>
        <v>21</v>
      </c>
      <c r="AM189" s="58">
        <f>CJ189/'Weighting Factors'!$O$5</f>
        <v>0</v>
      </c>
      <c r="AN189" s="58">
        <f>CN189/'Weighting Factors'!$O$5</f>
        <v>0</v>
      </c>
      <c r="AO189" s="24">
        <v>388058</v>
      </c>
      <c r="AP189" s="58">
        <f>AO189/'Weighting Factors'!$O$5</f>
        <v>76.3</v>
      </c>
      <c r="AQ189" s="58">
        <f>IF(ISNA(VLOOKUP($CW189,'Audit Values'!$A:$BX,2,FALSE)),'Preliminary SO66'!X188,VLOOKUP($CW189,'Audit Values'!$A:$BX,48,FALSE))</f>
        <v>0</v>
      </c>
      <c r="AR189" s="58">
        <f t="shared" si="130"/>
        <v>612.20000000000005</v>
      </c>
      <c r="AS189" s="58">
        <f t="shared" si="131"/>
        <v>535.9</v>
      </c>
      <c r="AT189" s="58">
        <f>IF(ISNA(VLOOKUP($CW189,'Audit Values'!$A$2:$BX$410,2,FALSE)),'Preliminary SO66'!AA188,VLOOKUP($CW189,'Audit Values'!$A$2:$BX$410,41,FALSE))</f>
        <v>0</v>
      </c>
      <c r="AU189" s="58">
        <f>IF(ISNA(VLOOKUP($CW189,'Audit Values'!$A$2:$BX$410,2,FALSE)),'Preliminary SO66'!AB188,VLOOKUP($CW189,'Audit Values'!$A$2:$BX$410,42,FALSE))</f>
        <v>0</v>
      </c>
      <c r="AV189" s="73">
        <v>0</v>
      </c>
      <c r="AW189" s="73">
        <v>0</v>
      </c>
      <c r="AX189" s="24">
        <f>SUM(AT189*'Weighting Factors'!$R$10)+('2024 Legal Max'!AU189*'Weighting Factors'!$R$11)+('2024 Legal Max'!AV189*'Weighting Factors'!$R$12)+('2024 Legal Max'!AW189*'Weighting Factors'!$R$12)</f>
        <v>0</v>
      </c>
      <c r="AY189" s="54">
        <f>IF(ISNA(VLOOKUP($CW189,'Audit Values'!$A$2:$BX$429,2,FALSE)),"",IF(AND('Weighting Factors'!G189&gt;0,VLOOKUP($CW189,'Audit Values'!$A$2:$BX$429,51,FALSE)&lt;'Weighting Factors'!G189),'Weighting Factors'!G189,VLOOKUP($CW189,'Audit Values'!$A$2:$BX$429,51,FALSE)))</f>
        <v>12</v>
      </c>
      <c r="AZ189" s="54" t="str">
        <f>IF(ISNA(VLOOKUP($CW189,'Audit Values'!$A:$BY,2,FALSE)),"",VLOOKUP($CW189,'Audit Values'!$A:$BY,52,FALSE))</f>
        <v>A</v>
      </c>
      <c r="BA189" s="54" t="str">
        <f>IF('Weighting Factors'!F189="","",IF('Weighting Factors'!H189="Pending","PX","R"))</f>
        <v/>
      </c>
      <c r="BB189" s="60">
        <f>SUM((U189+V189+AA189+AC189+AF189+AI189+AL189+AM189+AQ189+AN189)*'Weighting Factors'!$O$5)+'2024 Legal Max'!AX189</f>
        <v>2726659</v>
      </c>
      <c r="BC189" s="24">
        <f>SUM((AR189+AN189)*'Weighting Factors'!$O$5)+AX189</f>
        <v>3114874</v>
      </c>
      <c r="BD189" s="67">
        <f>IF('Weighting Factors'!F189&gt;0,'Weighting Factors'!F189,'Preliminary SO66'!AV188)</f>
        <v>3162701</v>
      </c>
      <c r="BE189" s="24">
        <f t="shared" si="138"/>
        <v>3114874</v>
      </c>
      <c r="BF189" s="71">
        <f>'Weighting Factors'!E189</f>
        <v>0</v>
      </c>
      <c r="BG189" s="71">
        <f>Transportation!G189</f>
        <v>0</v>
      </c>
      <c r="BH189" s="24">
        <f>IF(ISNA(VLOOKUP($CW189,'Audit Values'!$A:$BW,2,FALSE)), 0, VLOOKUP($CW189,'Audit Values'!$A:$BW,75,FALSE))</f>
        <v>0</v>
      </c>
      <c r="BI189" s="24">
        <f t="shared" si="139"/>
        <v>0</v>
      </c>
      <c r="BJ189" s="24">
        <f t="shared" si="140"/>
        <v>3114874</v>
      </c>
      <c r="BK189" s="24">
        <f>SUM((U189+V189+AA189+AC189+AF189+AI189+AL189+AM189+AN189)*'Weighting Factors'!O$12)+(MAX(AO189,'Weighting Factors'!B189))</f>
        <v>3152230</v>
      </c>
      <c r="BL189" s="78">
        <f>'LOB%'!F187</f>
        <v>0.316</v>
      </c>
      <c r="BM189" s="24">
        <f t="shared" si="111"/>
        <v>996105</v>
      </c>
      <c r="BN189" s="67">
        <v>1011471</v>
      </c>
      <c r="BO189" s="24">
        <f t="shared" si="141"/>
        <v>996105</v>
      </c>
      <c r="BP189" s="89">
        <f t="shared" si="112"/>
        <v>0.316</v>
      </c>
      <c r="BQ189" s="58">
        <f t="shared" si="113"/>
        <v>0</v>
      </c>
      <c r="BR189" s="1" t="b">
        <f t="shared" si="114"/>
        <v>1</v>
      </c>
      <c r="BS189" s="76">
        <f t="shared" si="115"/>
        <v>1854.7260000000001</v>
      </c>
      <c r="BT189" s="75">
        <f t="shared" si="142"/>
        <v>0.50512699999999999</v>
      </c>
      <c r="BU189" s="58">
        <f t="shared" si="116"/>
        <v>147.5</v>
      </c>
      <c r="BV189" s="1" t="b">
        <f t="shared" si="117"/>
        <v>0</v>
      </c>
      <c r="BW189" s="1">
        <f t="shared" si="118"/>
        <v>0</v>
      </c>
      <c r="BX189" s="75">
        <f t="shared" si="143"/>
        <v>0</v>
      </c>
      <c r="BY189" s="58">
        <f t="shared" si="119"/>
        <v>0</v>
      </c>
      <c r="BZ189" s="58">
        <f t="shared" si="120"/>
        <v>0</v>
      </c>
      <c r="CA189" s="61">
        <v>486</v>
      </c>
      <c r="CB189" s="102">
        <f t="shared" si="121"/>
        <v>0.128</v>
      </c>
      <c r="CC189" s="105">
        <f>IF(CB189&lt;0.06,1,IF(CB189&gt;=18.29,52,MATCH(CB189-0.001,'Weighting Factors'!$W$5:$W$156)+1))</f>
        <v>8</v>
      </c>
      <c r="CD189" s="24">
        <f>VLOOKUP(CC189, 'Weighting Factors'!$U$5:$X$56,4)</f>
        <v>1410</v>
      </c>
      <c r="CE189" s="109">
        <f>('Weighting Factors'!$O$5/'Weighting Factors'!$O$14)</f>
        <v>1.2216</v>
      </c>
      <c r="CF189" s="100">
        <f t="shared" si="122"/>
        <v>87420</v>
      </c>
      <c r="CG189" s="100">
        <f>CF189*'Weighting Factors'!$Q$7</f>
        <v>87420</v>
      </c>
      <c r="CH189" s="100">
        <f t="shared" si="144"/>
        <v>106792</v>
      </c>
      <c r="CI189" s="58">
        <f>AK189/'Weighting Factors'!$O$5</f>
        <v>21</v>
      </c>
      <c r="CJ189" s="67">
        <v>0</v>
      </c>
      <c r="CK189" s="80">
        <v>0</v>
      </c>
      <c r="CL189" s="110">
        <v>0</v>
      </c>
      <c r="CM189" s="24">
        <f>SUM((AR189*'Weighting Factors'!$O$5)+'2024 Legal Max'!AX189)*CL189</f>
        <v>0</v>
      </c>
      <c r="CN189" s="24">
        <f t="shared" si="145"/>
        <v>0</v>
      </c>
      <c r="CO189" s="65">
        <f t="shared" si="110"/>
        <v>0.4113</v>
      </c>
      <c r="CP189" s="58">
        <f t="shared" si="123"/>
        <v>0</v>
      </c>
      <c r="CQ189" s="58">
        <f t="shared" si="124"/>
        <v>5</v>
      </c>
      <c r="CR189" s="58">
        <f t="shared" si="125"/>
        <v>612.20000000000005</v>
      </c>
      <c r="CS189" s="24">
        <f>'Required Transfers'!L189</f>
        <v>91243</v>
      </c>
      <c r="CT189" s="24">
        <f>'Required Transfers'!O189</f>
        <v>0</v>
      </c>
      <c r="CU189" s="24">
        <f>'Required Transfers'!H189</f>
        <v>310877</v>
      </c>
      <c r="CV189" s="58">
        <f t="shared" si="126"/>
        <v>280.5</v>
      </c>
      <c r="CW189" s="27" t="s">
        <v>374</v>
      </c>
    </row>
    <row r="190" spans="1:101" ht="15" customHeight="1">
      <c r="A190" s="54">
        <v>396</v>
      </c>
      <c r="B190" s="1" t="s">
        <v>10</v>
      </c>
      <c r="C190" s="1" t="s">
        <v>694</v>
      </c>
      <c r="D190" s="58">
        <v>609</v>
      </c>
      <c r="E190" s="58"/>
      <c r="F190" s="58">
        <v>0</v>
      </c>
      <c r="G190" s="58">
        <f t="shared" si="127"/>
        <v>609</v>
      </c>
      <c r="H190" s="58">
        <v>608.4</v>
      </c>
      <c r="I190" s="58"/>
      <c r="J190" s="58">
        <v>0</v>
      </c>
      <c r="K190" s="58">
        <f t="shared" si="128"/>
        <v>608.4</v>
      </c>
      <c r="L190" s="1">
        <v>617.79999999999995</v>
      </c>
      <c r="N190" s="1">
        <v>0</v>
      </c>
      <c r="O190" s="58">
        <f t="shared" si="129"/>
        <v>617.79999999999995</v>
      </c>
      <c r="P190" s="58">
        <f>IF(ISNA(VLOOKUP($CW190,'Audit Values'!$A:$BZ,2,FALSE)),'Preliminary SO66'!C189,VLOOKUP($CW190,'Audit Values'!$A:$BZ,76,FALSE))</f>
        <v>582</v>
      </c>
      <c r="Q190" s="58">
        <f>IF(ISNA(VLOOKUP($CW190,'Audit Values'!$A:$BZ,2,FALSE)),'Preliminary SO66'!F189,VLOOKUP($CW190,'Audit Values'!$A:$BZ,4,FALSE))</f>
        <v>0</v>
      </c>
      <c r="R190" s="58">
        <f t="shared" si="133"/>
        <v>582</v>
      </c>
      <c r="S190" s="58">
        <f>IF('Military Provision'!I190="YES", MAX('2024 Legal Max'!O190,'2024 Legal Max'!K190,AVERAGE('2024 Legal Max'!G190,'2024 Legal Max'!K190,'2024 Legal Max'!O190)), MAX(O190, K190))</f>
        <v>617.79999999999995</v>
      </c>
      <c r="T190" s="58">
        <f>IF(ISNA(VLOOKUP($CW190,'Audit Values'!$A:$BX,2,FALSE)),'Preliminary SO66'!AL189,VLOOKUP($CW190,'Audit Values'!$A:$BX,59,FALSE))</f>
        <v>6.5</v>
      </c>
      <c r="U190" s="58">
        <f t="shared" si="134"/>
        <v>624.29999999999995</v>
      </c>
      <c r="V190" s="58">
        <f>'Low-High ENRL- 2023 HSubSB 113'!N193</f>
        <v>233.5</v>
      </c>
      <c r="W190" s="58">
        <f>IF(ISNA(VLOOKUP($CW190,'Audit Values'!$A:$BZ,2,FALSE)),'Preliminary SO66'!AM189,VLOOKUP($CW190,'Audit Values'!$A:$BZ,63,FALSE))</f>
        <v>0.1</v>
      </c>
      <c r="X190" s="58">
        <f>(W190/6)*'Weighting Factors'!$O$7</f>
        <v>0</v>
      </c>
      <c r="Y190" s="61">
        <f>IF(ISNA(VLOOKUP($CW190,'Audit Values'!$A:$BZ,2,FALSE)),'Preliminary SO66'!AN189,VLOOKUP($CW190,'Audit Values'!$A:$BZ,62,FALSE))</f>
        <v>1</v>
      </c>
      <c r="Z190" s="58">
        <f>Y190*'Weighting Factors'!$O$8</f>
        <v>0.2</v>
      </c>
      <c r="AA190" s="58">
        <f t="shared" si="135"/>
        <v>0.2</v>
      </c>
      <c r="AB190" s="106">
        <f>IF(ISNA(VLOOKUP($CW190,'Audit Values'!$A:$BZ,2,FALSE)),'Preliminary SO66'!AO189,VLOOKUP($CW190,'Audit Values'!$A:$BZ,61,FALSE))</f>
        <v>195.8</v>
      </c>
      <c r="AC190" s="58">
        <f>AB190/6*'Weighting Factors'!$O$6</f>
        <v>16.3</v>
      </c>
      <c r="AD190" s="24">
        <f>IF(ISNA(VLOOKUP($CW190,'Audit Values'!$A:$BX,2,FALSE)),'Preliminary SO66'!AS189,VLOOKUP($CW190,'Audit Values'!$A:$BX,64,FALSE))</f>
        <v>599</v>
      </c>
      <c r="AE190" s="24">
        <f>IF(ISNA(VLOOKUP($CW190,'Audit Values'!$A:$BX,2,FALSE)),'Preliminary SO66'!AP189,VLOOKUP($CW190,'Audit Values'!$A:$BX,65,FALSE))</f>
        <v>223</v>
      </c>
      <c r="AF190" s="58">
        <f>IF(A190=207, AE190,(AE190))*'Weighting Factors'!$O$9</f>
        <v>107.9</v>
      </c>
      <c r="AG190" s="58">
        <f t="shared" si="132"/>
        <v>3.5</v>
      </c>
      <c r="AH190" s="58">
        <f>IF(ISNA(VLOOKUP($CW190,'Audit Values'!$A:$BZ,2,FALSE)),'Preliminary SO66'!AG189,VLOOKUP($CW190,'Audit Values'!$A:$BZ,71,FALSE))</f>
        <v>7</v>
      </c>
      <c r="AI190" s="58">
        <f t="shared" si="136"/>
        <v>7</v>
      </c>
      <c r="AJ190" s="58">
        <f>IF(ISNA(VLOOKUP($CW190,'Audit Values'!$A:$BX,2,FALSE)),'Preliminary SO66'!AR189,VLOOKUP($CW190,'Audit Values'!$A:$BX,66,FALSE))</f>
        <v>171.5</v>
      </c>
      <c r="AK190" s="24">
        <f t="shared" si="137"/>
        <v>190649</v>
      </c>
      <c r="AL190" s="58">
        <f>AK190/'Weighting Factors'!$O$5</f>
        <v>37.5</v>
      </c>
      <c r="AM190" s="58">
        <f>CJ190/'Weighting Factors'!$O$5</f>
        <v>0</v>
      </c>
      <c r="AN190" s="58">
        <f>CN190/'Weighting Factors'!$O$5</f>
        <v>0</v>
      </c>
      <c r="AO190" s="24">
        <v>619099</v>
      </c>
      <c r="AP190" s="58">
        <f>AO190/'Weighting Factors'!$O$5</f>
        <v>121.7</v>
      </c>
      <c r="AQ190" s="58">
        <f>IF(ISNA(VLOOKUP($CW190,'Audit Values'!$A:$BX,2,FALSE)),'Preliminary SO66'!X189,VLOOKUP($CW190,'Audit Values'!$A:$BX,48,FALSE))</f>
        <v>0</v>
      </c>
      <c r="AR190" s="58">
        <f t="shared" si="130"/>
        <v>1148.4000000000001</v>
      </c>
      <c r="AS190" s="58">
        <f t="shared" si="131"/>
        <v>1026.7</v>
      </c>
      <c r="AT190" s="58">
        <f>IF(ISNA(VLOOKUP($CW190,'Audit Values'!$A$2:$BX$410,2,FALSE)),'Preliminary SO66'!AA189,VLOOKUP($CW190,'Audit Values'!$A$2:$BX$410,41,FALSE))</f>
        <v>3</v>
      </c>
      <c r="AU190" s="58">
        <f>IF(ISNA(VLOOKUP($CW190,'Audit Values'!$A$2:$BX$410,2,FALSE)),'Preliminary SO66'!AB189,VLOOKUP($CW190,'Audit Values'!$A$2:$BX$410,42,FALSE))</f>
        <v>0</v>
      </c>
      <c r="AV190" s="73">
        <v>18</v>
      </c>
      <c r="AW190" s="73">
        <v>1.5</v>
      </c>
      <c r="AX190" s="24">
        <f>SUM(AT190*'Weighting Factors'!$R$10)+('2024 Legal Max'!AU190*'Weighting Factors'!$R$11)+('2024 Legal Max'!AV190*'Weighting Factors'!$R$12)+('2024 Legal Max'!AW190*'Weighting Factors'!$R$12)</f>
        <v>30626</v>
      </c>
      <c r="AY190" s="54">
        <f>IF(ISNA(VLOOKUP($CW190,'Audit Values'!$A$2:$BX$429,2,FALSE)),"",IF(AND('Weighting Factors'!G190&gt;0,VLOOKUP($CW190,'Audit Values'!$A$2:$BX$429,51,FALSE)&lt;'Weighting Factors'!G190),'Weighting Factors'!G190,VLOOKUP($CW190,'Audit Values'!$A$2:$BX$429,51,FALSE)))</f>
        <v>21</v>
      </c>
      <c r="AZ190" s="54" t="str">
        <f>IF(ISNA(VLOOKUP($CW190,'Audit Values'!$A:$BY,2,FALSE)),"",VLOOKUP($CW190,'Audit Values'!$A:$BY,52,FALSE))</f>
        <v>A</v>
      </c>
      <c r="BA190" s="54" t="str">
        <f>IF('Weighting Factors'!F190="","",IF('Weighting Factors'!H190="Pending","PX","R"))</f>
        <v/>
      </c>
      <c r="BB190" s="60">
        <f>SUM((U190+V190+AA190+AC190+AF190+AI190+AL190+AM190+AQ190+AN190)*'Weighting Factors'!$O$5)+'2024 Legal Max'!AX190</f>
        <v>5254476</v>
      </c>
      <c r="BC190" s="24">
        <f>SUM((AR190+AN190)*'Weighting Factors'!$O$5)+AX190</f>
        <v>5873685</v>
      </c>
      <c r="BD190" s="67">
        <f>IF('Weighting Factors'!F190&gt;0,'Weighting Factors'!F190,'Preliminary SO66'!AV189)</f>
        <v>6019093</v>
      </c>
      <c r="BE190" s="24">
        <f t="shared" si="138"/>
        <v>5873685</v>
      </c>
      <c r="BF190" s="71">
        <f>'Weighting Factors'!E190</f>
        <v>0</v>
      </c>
      <c r="BG190" s="71">
        <f>Transportation!G190</f>
        <v>0</v>
      </c>
      <c r="BH190" s="24">
        <f>IF(ISNA(VLOOKUP($CW190,'Audit Values'!$A:$BW,2,FALSE)), 0, VLOOKUP($CW190,'Audit Values'!$A:$BW,75,FALSE))</f>
        <v>0</v>
      </c>
      <c r="BI190" s="24">
        <f t="shared" si="139"/>
        <v>0</v>
      </c>
      <c r="BJ190" s="24">
        <f t="shared" si="140"/>
        <v>5873685</v>
      </c>
      <c r="BK190" s="24">
        <f>SUM((U190+V190+AA190+AC190+AF190+AI190+AL190+AM190+AN190)*'Weighting Factors'!O$12)+(MAX(AO190,'Weighting Factors'!B190))</f>
        <v>6041318</v>
      </c>
      <c r="BL190" s="78">
        <f>'LOB%'!F188</f>
        <v>0.33</v>
      </c>
      <c r="BM190" s="24">
        <f t="shared" si="111"/>
        <v>1993635</v>
      </c>
      <c r="BN190" s="67">
        <v>1994703</v>
      </c>
      <c r="BO190" s="24">
        <f t="shared" si="141"/>
        <v>1993635</v>
      </c>
      <c r="BP190" s="89">
        <f t="shared" si="112"/>
        <v>0.33</v>
      </c>
      <c r="BQ190" s="58">
        <f t="shared" si="113"/>
        <v>0</v>
      </c>
      <c r="BR190" s="1" t="b">
        <f t="shared" si="114"/>
        <v>0</v>
      </c>
      <c r="BS190" s="76">
        <f t="shared" si="115"/>
        <v>0</v>
      </c>
      <c r="BT190" s="75">
        <f t="shared" si="142"/>
        <v>0</v>
      </c>
      <c r="BU190" s="58">
        <f t="shared" si="116"/>
        <v>0</v>
      </c>
      <c r="BV190" s="1" t="b">
        <f t="shared" si="117"/>
        <v>1</v>
      </c>
      <c r="BW190" s="1">
        <f t="shared" si="118"/>
        <v>401.32130000000001</v>
      </c>
      <c r="BX190" s="75">
        <f t="shared" si="143"/>
        <v>0.37400600000000001</v>
      </c>
      <c r="BY190" s="58">
        <f t="shared" si="119"/>
        <v>233.5</v>
      </c>
      <c r="BZ190" s="58">
        <f t="shared" si="120"/>
        <v>0</v>
      </c>
      <c r="CA190" s="61">
        <v>125</v>
      </c>
      <c r="CB190" s="102">
        <f t="shared" si="121"/>
        <v>1.3720000000000001</v>
      </c>
      <c r="CC190" s="105">
        <f>IF(CB190&lt;0.06,1,IF(CB190&gt;=18.29,52,MATCH(CB190-0.001,'Weighting Factors'!$W$5:$W$156)+1))</f>
        <v>34</v>
      </c>
      <c r="CD190" s="24">
        <f>VLOOKUP(CC190, 'Weighting Factors'!$U$5:$X$56,4)</f>
        <v>910</v>
      </c>
      <c r="CE190" s="109">
        <f>('Weighting Factors'!$O$5/'Weighting Factors'!$O$14)</f>
        <v>1.2216</v>
      </c>
      <c r="CF190" s="100">
        <f t="shared" si="122"/>
        <v>156065</v>
      </c>
      <c r="CG190" s="100">
        <f>CF190*'Weighting Factors'!$Q$7</f>
        <v>156065</v>
      </c>
      <c r="CH190" s="100">
        <f t="shared" si="144"/>
        <v>190649</v>
      </c>
      <c r="CI190" s="58">
        <f>AK190/'Weighting Factors'!$O$5</f>
        <v>37.5</v>
      </c>
      <c r="CJ190" s="67">
        <v>0</v>
      </c>
      <c r="CK190" s="80">
        <v>0</v>
      </c>
      <c r="CL190" s="110">
        <v>0</v>
      </c>
      <c r="CM190" s="24">
        <f>SUM((AR190*'Weighting Factors'!$O$5)+'2024 Legal Max'!AX190)*CL190</f>
        <v>0</v>
      </c>
      <c r="CN190" s="24">
        <f t="shared" si="145"/>
        <v>0</v>
      </c>
      <c r="CO190" s="65">
        <f t="shared" si="110"/>
        <v>0.37230000000000002</v>
      </c>
      <c r="CP190" s="58">
        <f t="shared" si="123"/>
        <v>0</v>
      </c>
      <c r="CQ190" s="58">
        <f t="shared" si="124"/>
        <v>3.5</v>
      </c>
      <c r="CR190" s="58">
        <f t="shared" si="125"/>
        <v>1148.4000000000001</v>
      </c>
      <c r="CS190" s="24">
        <f>'Required Transfers'!L190</f>
        <v>188399</v>
      </c>
      <c r="CT190" s="24">
        <f>'Required Transfers'!O190</f>
        <v>399</v>
      </c>
      <c r="CU190" s="24">
        <f>'Required Transfers'!H190</f>
        <v>584611</v>
      </c>
      <c r="CV190" s="58">
        <f t="shared" si="126"/>
        <v>594.79999999999995</v>
      </c>
      <c r="CW190" s="27" t="s">
        <v>375</v>
      </c>
    </row>
    <row r="191" spans="1:101" ht="15" customHeight="1">
      <c r="A191" s="54">
        <v>397</v>
      </c>
      <c r="B191" s="1" t="s">
        <v>89</v>
      </c>
      <c r="C191" s="1" t="s">
        <v>695</v>
      </c>
      <c r="D191" s="58">
        <v>152</v>
      </c>
      <c r="E191" s="58"/>
      <c r="F191" s="58">
        <v>0</v>
      </c>
      <c r="G191" s="58">
        <f t="shared" si="127"/>
        <v>152</v>
      </c>
      <c r="H191" s="58">
        <v>163.5</v>
      </c>
      <c r="I191" s="58"/>
      <c r="J191" s="58">
        <v>0</v>
      </c>
      <c r="K191" s="58">
        <f t="shared" si="128"/>
        <v>163.5</v>
      </c>
      <c r="L191" s="1">
        <v>175</v>
      </c>
      <c r="N191" s="1">
        <v>0</v>
      </c>
      <c r="O191" s="58">
        <f t="shared" si="129"/>
        <v>175</v>
      </c>
      <c r="P191" s="58">
        <f>IF(ISNA(VLOOKUP($CW191,'Audit Values'!$A:$BZ,2,FALSE)),'Preliminary SO66'!C190,VLOOKUP($CW191,'Audit Values'!$A:$BZ,76,FALSE))</f>
        <v>184.5</v>
      </c>
      <c r="Q191" s="58">
        <f>IF(ISNA(VLOOKUP($CW191,'Audit Values'!$A:$BZ,2,FALSE)),'Preliminary SO66'!F190,VLOOKUP($CW191,'Audit Values'!$A:$BZ,4,FALSE))</f>
        <v>0</v>
      </c>
      <c r="R191" s="58">
        <f t="shared" si="133"/>
        <v>184.5</v>
      </c>
      <c r="S191" s="58">
        <f>IF('Military Provision'!I191="YES", MAX('2024 Legal Max'!O191,'2024 Legal Max'!K191,AVERAGE('2024 Legal Max'!G191,'2024 Legal Max'!K191,'2024 Legal Max'!O191)), MAX(O191, K191))</f>
        <v>175</v>
      </c>
      <c r="T191" s="58">
        <f>IF(ISNA(VLOOKUP($CW191,'Audit Values'!$A:$BX,2,FALSE)),'Preliminary SO66'!AL190,VLOOKUP($CW191,'Audit Values'!$A:$BX,59,FALSE))</f>
        <v>1.5</v>
      </c>
      <c r="U191" s="58">
        <f t="shared" si="134"/>
        <v>176.5</v>
      </c>
      <c r="V191" s="58">
        <f>'Low-High ENRL- 2023 HSubSB 113'!N194</f>
        <v>143.19999999999999</v>
      </c>
      <c r="W191" s="58">
        <f>IF(ISNA(VLOOKUP($CW191,'Audit Values'!$A:$BZ,2,FALSE)),'Preliminary SO66'!AM190,VLOOKUP($CW191,'Audit Values'!$A:$BZ,63,FALSE))</f>
        <v>0</v>
      </c>
      <c r="X191" s="58">
        <f>(W191/6)*'Weighting Factors'!$O$7</f>
        <v>0</v>
      </c>
      <c r="Y191" s="61">
        <f>IF(ISNA(VLOOKUP($CW191,'Audit Values'!$A:$BZ,2,FALSE)),'Preliminary SO66'!AN190,VLOOKUP($CW191,'Audit Values'!$A:$BZ,62,FALSE))</f>
        <v>0</v>
      </c>
      <c r="Z191" s="58">
        <f>Y191*'Weighting Factors'!$O$8</f>
        <v>0</v>
      </c>
      <c r="AA191" s="58">
        <f t="shared" si="135"/>
        <v>0</v>
      </c>
      <c r="AB191" s="106">
        <f>IF(ISNA(VLOOKUP($CW191,'Audit Values'!$A:$BZ,2,FALSE)),'Preliminary SO66'!AO190,VLOOKUP($CW191,'Audit Values'!$A:$BZ,61,FALSE))</f>
        <v>96.2</v>
      </c>
      <c r="AC191" s="58">
        <f>AB191/6*'Weighting Factors'!$O$6</f>
        <v>8</v>
      </c>
      <c r="AD191" s="24">
        <f>IF(ISNA(VLOOKUP($CW191,'Audit Values'!$A:$BX,2,FALSE)),'Preliminary SO66'!AS190,VLOOKUP($CW191,'Audit Values'!$A:$BX,64,FALSE))</f>
        <v>189</v>
      </c>
      <c r="AE191" s="24">
        <f>IF(ISNA(VLOOKUP($CW191,'Audit Values'!$A:$BX,2,FALSE)),'Preliminary SO66'!AP190,VLOOKUP($CW191,'Audit Values'!$A:$BX,65,FALSE))</f>
        <v>74</v>
      </c>
      <c r="AF191" s="58">
        <f>IF(A191=207, AE191,(AE191))*'Weighting Factors'!$O$9</f>
        <v>35.799999999999997</v>
      </c>
      <c r="AG191" s="58">
        <f t="shared" si="132"/>
        <v>2.1</v>
      </c>
      <c r="AH191" s="58">
        <f>IF(ISNA(VLOOKUP($CW191,'Audit Values'!$A:$BZ,2,FALSE)),'Preliminary SO66'!AG190,VLOOKUP($CW191,'Audit Values'!$A:$BZ,71,FALSE))</f>
        <v>2.1</v>
      </c>
      <c r="AI191" s="58">
        <f t="shared" si="136"/>
        <v>2.1</v>
      </c>
      <c r="AJ191" s="58">
        <f>IF(ISNA(VLOOKUP($CW191,'Audit Values'!$A:$BX,2,FALSE)),'Preliminary SO66'!AR190,VLOOKUP($CW191,'Audit Values'!$A:$BX,66,FALSE))</f>
        <v>125</v>
      </c>
      <c r="AK191" s="24">
        <f t="shared" si="137"/>
        <v>181713</v>
      </c>
      <c r="AL191" s="58">
        <f>AK191/'Weighting Factors'!$O$5</f>
        <v>35.700000000000003</v>
      </c>
      <c r="AM191" s="58">
        <f>CJ191/'Weighting Factors'!$O$5</f>
        <v>0</v>
      </c>
      <c r="AN191" s="58">
        <f>CN191/'Weighting Factors'!$O$5</f>
        <v>0</v>
      </c>
      <c r="AO191" s="24">
        <v>451452</v>
      </c>
      <c r="AP191" s="58">
        <f>AO191/'Weighting Factors'!$O$5</f>
        <v>88.7</v>
      </c>
      <c r="AQ191" s="58">
        <f>IF(ISNA(VLOOKUP($CW191,'Audit Values'!$A:$BX,2,FALSE)),'Preliminary SO66'!X190,VLOOKUP($CW191,'Audit Values'!$A:$BX,48,FALSE))</f>
        <v>0</v>
      </c>
      <c r="AR191" s="58">
        <f t="shared" si="130"/>
        <v>490</v>
      </c>
      <c r="AS191" s="58">
        <f t="shared" si="131"/>
        <v>401.3</v>
      </c>
      <c r="AT191" s="58">
        <f>IF(ISNA(VLOOKUP($CW191,'Audit Values'!$A$2:$BX$410,2,FALSE)),'Preliminary SO66'!AA190,VLOOKUP($CW191,'Audit Values'!$A$2:$BX$410,41,FALSE))</f>
        <v>122</v>
      </c>
      <c r="AU191" s="58">
        <f>IF(ISNA(VLOOKUP($CW191,'Audit Values'!$A$2:$BX$410,2,FALSE)),'Preliminary SO66'!AB190,VLOOKUP($CW191,'Audit Values'!$A$2:$BX$410,42,FALSE))</f>
        <v>1.8</v>
      </c>
      <c r="AV191" s="73">
        <v>731</v>
      </c>
      <c r="AW191" s="73">
        <v>0</v>
      </c>
      <c r="AX191" s="24">
        <f>SUM(AT191*'Weighting Factors'!$R$10)+('2024 Legal Max'!AU191*'Weighting Factors'!$R$11)+('2024 Legal Max'!AV191*'Weighting Factors'!$R$12)+('2024 Legal Max'!AW191*'Weighting Factors'!$R$12)</f>
        <v>1206519</v>
      </c>
      <c r="AY191" s="54">
        <f>IF(ISNA(VLOOKUP($CW191,'Audit Values'!$A$2:$BX$429,2,FALSE)),"",IF(AND('Weighting Factors'!G191&gt;0,VLOOKUP($CW191,'Audit Values'!$A$2:$BX$429,51,FALSE)&lt;'Weighting Factors'!G191),'Weighting Factors'!G191,VLOOKUP($CW191,'Audit Values'!$A$2:$BX$429,51,FALSE)))</f>
        <v>19</v>
      </c>
      <c r="AZ191" s="54" t="str">
        <f>IF(ISNA(VLOOKUP($CW191,'Audit Values'!$A:$BY,2,FALSE)),"",VLOOKUP($CW191,'Audit Values'!$A:$BY,52,FALSE))</f>
        <v>A</v>
      </c>
      <c r="BA191" s="54" t="str">
        <f>IF('Weighting Factors'!F191="","",IF('Weighting Factors'!H191="Pending","PX","R"))</f>
        <v>R</v>
      </c>
      <c r="BB191" s="60">
        <f>SUM((U191+V191+AA191+AC191+AF191+AI191+AL191+AM191+AQ191+AN191)*'Weighting Factors'!$O$5)+'2024 Legal Max'!AX191</f>
        <v>3248333</v>
      </c>
      <c r="BC191" s="24">
        <f>SUM((AR191+AN191)*'Weighting Factors'!$O$5)+AX191</f>
        <v>3699639</v>
      </c>
      <c r="BD191" s="67">
        <f>IF('Weighting Factors'!F191&gt;0,'Weighting Factors'!F191,'Preliminary SO66'!AV190)</f>
        <v>3759913</v>
      </c>
      <c r="BE191" s="24">
        <f t="shared" si="138"/>
        <v>3699639</v>
      </c>
      <c r="BF191" s="71">
        <f>'Weighting Factors'!E191</f>
        <v>0</v>
      </c>
      <c r="BG191" s="71">
        <f>Transportation!G191</f>
        <v>0</v>
      </c>
      <c r="BH191" s="24">
        <f>IF(ISNA(VLOOKUP($CW191,'Audit Values'!$A:$BW,2,FALSE)), 0, VLOOKUP($CW191,'Audit Values'!$A:$BW,75,FALSE))</f>
        <v>0</v>
      </c>
      <c r="BI191" s="24">
        <f t="shared" si="139"/>
        <v>0</v>
      </c>
      <c r="BJ191" s="24">
        <f t="shared" si="140"/>
        <v>3699639</v>
      </c>
      <c r="BK191" s="24">
        <f>SUM((U191+V191+AA191+AC191+AF191+AI191+AL191+AM191+AN191)*'Weighting Factors'!O$12)+(MAX(AO191,'Weighting Factors'!B191))</f>
        <v>2521357</v>
      </c>
      <c r="BL191" s="78">
        <f>'LOB%'!F189</f>
        <v>0.316</v>
      </c>
      <c r="BM191" s="24">
        <f t="shared" si="111"/>
        <v>796749</v>
      </c>
      <c r="BN191" s="67">
        <v>808660</v>
      </c>
      <c r="BO191" s="24">
        <f t="shared" si="141"/>
        <v>796749</v>
      </c>
      <c r="BP191" s="89">
        <f t="shared" si="112"/>
        <v>0.316</v>
      </c>
      <c r="BQ191" s="58">
        <f t="shared" si="113"/>
        <v>0</v>
      </c>
      <c r="BR191" s="1" t="b">
        <f t="shared" si="114"/>
        <v>1</v>
      </c>
      <c r="BS191" s="76">
        <f t="shared" si="115"/>
        <v>738.60799999999995</v>
      </c>
      <c r="BT191" s="75">
        <f t="shared" si="142"/>
        <v>0.81155100000000002</v>
      </c>
      <c r="BU191" s="58">
        <f t="shared" si="116"/>
        <v>143.19999999999999</v>
      </c>
      <c r="BV191" s="1" t="b">
        <f t="shared" si="117"/>
        <v>0</v>
      </c>
      <c r="BW191" s="1">
        <f t="shared" si="118"/>
        <v>0</v>
      </c>
      <c r="BX191" s="75">
        <f t="shared" si="143"/>
        <v>0</v>
      </c>
      <c r="BY191" s="58">
        <f t="shared" si="119"/>
        <v>0</v>
      </c>
      <c r="BZ191" s="58">
        <f t="shared" si="120"/>
        <v>0</v>
      </c>
      <c r="CA191" s="61">
        <v>400</v>
      </c>
      <c r="CB191" s="102">
        <f t="shared" si="121"/>
        <v>0.313</v>
      </c>
      <c r="CC191" s="105">
        <f>IF(CB191&lt;0.06,1,IF(CB191&gt;=18.29,52,MATCH(CB191-0.001,'Weighting Factors'!$W$5:$W$156)+1))</f>
        <v>20</v>
      </c>
      <c r="CD191" s="24">
        <f>VLOOKUP(CC191, 'Weighting Factors'!$U$5:$X$56,4)</f>
        <v>1190</v>
      </c>
      <c r="CE191" s="109">
        <f>('Weighting Factors'!$O$5/'Weighting Factors'!$O$14)</f>
        <v>1.2216</v>
      </c>
      <c r="CF191" s="100">
        <f t="shared" si="122"/>
        <v>148750</v>
      </c>
      <c r="CG191" s="100">
        <f>CF191*'Weighting Factors'!$Q$7</f>
        <v>148750</v>
      </c>
      <c r="CH191" s="100">
        <f t="shared" si="144"/>
        <v>181713</v>
      </c>
      <c r="CI191" s="58">
        <f>AK191/'Weighting Factors'!$O$5</f>
        <v>35.700000000000003</v>
      </c>
      <c r="CJ191" s="67">
        <v>0</v>
      </c>
      <c r="CK191" s="80">
        <v>0</v>
      </c>
      <c r="CL191" s="110">
        <v>0</v>
      </c>
      <c r="CM191" s="24">
        <f>SUM((AR191*'Weighting Factors'!$O$5)+'2024 Legal Max'!AX191)*CL191</f>
        <v>0</v>
      </c>
      <c r="CN191" s="24">
        <f t="shared" si="145"/>
        <v>0</v>
      </c>
      <c r="CO191" s="65">
        <f t="shared" si="110"/>
        <v>0.39150000000000001</v>
      </c>
      <c r="CP191" s="58">
        <f t="shared" si="123"/>
        <v>0</v>
      </c>
      <c r="CQ191" s="58">
        <f t="shared" si="124"/>
        <v>2.1</v>
      </c>
      <c r="CR191" s="58">
        <f t="shared" si="125"/>
        <v>490</v>
      </c>
      <c r="CS191" s="24">
        <f>'Required Transfers'!L191</f>
        <v>58402</v>
      </c>
      <c r="CT191" s="24">
        <f>'Required Transfers'!O191</f>
        <v>0</v>
      </c>
      <c r="CU191" s="24">
        <f>'Required Transfers'!H191</f>
        <v>192835</v>
      </c>
      <c r="CV191" s="58">
        <f t="shared" si="126"/>
        <v>431.6</v>
      </c>
      <c r="CW191" s="27" t="s">
        <v>376</v>
      </c>
    </row>
    <row r="192" spans="1:101" ht="15" customHeight="1">
      <c r="A192" s="54">
        <v>398</v>
      </c>
      <c r="B192" s="1" t="s">
        <v>89</v>
      </c>
      <c r="C192" s="1" t="s">
        <v>696</v>
      </c>
      <c r="D192" s="58">
        <v>199.3</v>
      </c>
      <c r="E192" s="58"/>
      <c r="F192" s="58">
        <v>0</v>
      </c>
      <c r="G192" s="58">
        <f t="shared" si="127"/>
        <v>199.3</v>
      </c>
      <c r="H192" s="58">
        <v>199.5</v>
      </c>
      <c r="I192" s="58"/>
      <c r="J192" s="58">
        <v>0</v>
      </c>
      <c r="K192" s="58">
        <f t="shared" si="128"/>
        <v>199.5</v>
      </c>
      <c r="L192" s="1">
        <v>195</v>
      </c>
      <c r="N192" s="1">
        <v>0</v>
      </c>
      <c r="O192" s="58">
        <f t="shared" si="129"/>
        <v>195</v>
      </c>
      <c r="P192" s="58">
        <f>IF(ISNA(VLOOKUP($CW192,'Audit Values'!$A:$BZ,2,FALSE)),'Preliminary SO66'!C191,VLOOKUP($CW192,'Audit Values'!$A:$BZ,76,FALSE))</f>
        <v>187</v>
      </c>
      <c r="Q192" s="58">
        <f>IF(ISNA(VLOOKUP($CW192,'Audit Values'!$A:$BZ,2,FALSE)),'Preliminary SO66'!F191,VLOOKUP($CW192,'Audit Values'!$A:$BZ,4,FALSE))</f>
        <v>0</v>
      </c>
      <c r="R192" s="58">
        <f t="shared" si="133"/>
        <v>187</v>
      </c>
      <c r="S192" s="58">
        <f>IF('Military Provision'!I192="YES", MAX('2024 Legal Max'!O192,'2024 Legal Max'!K192,AVERAGE('2024 Legal Max'!G192,'2024 Legal Max'!K192,'2024 Legal Max'!O192)), MAX(O192, K192))</f>
        <v>199.5</v>
      </c>
      <c r="T192" s="58">
        <f>IF(ISNA(VLOOKUP($CW192,'Audit Values'!$A:$BX,2,FALSE)),'Preliminary SO66'!AL191,VLOOKUP($CW192,'Audit Values'!$A:$BX,59,FALSE))</f>
        <v>7</v>
      </c>
      <c r="U192" s="58">
        <f t="shared" si="134"/>
        <v>206.5</v>
      </c>
      <c r="V192" s="58">
        <f>'Low-High ENRL- 2023 HSubSB 113'!N195</f>
        <v>151.19999999999999</v>
      </c>
      <c r="W192" s="58">
        <f>IF(ISNA(VLOOKUP($CW192,'Audit Values'!$A:$BZ,2,FALSE)),'Preliminary SO66'!AM191,VLOOKUP($CW192,'Audit Values'!$A:$BZ,63,FALSE))</f>
        <v>0</v>
      </c>
      <c r="X192" s="58">
        <f>(W192/6)*'Weighting Factors'!$O$7</f>
        <v>0</v>
      </c>
      <c r="Y192" s="61">
        <f>IF(ISNA(VLOOKUP($CW192,'Audit Values'!$A:$BZ,2,FALSE)),'Preliminary SO66'!AN191,VLOOKUP($CW192,'Audit Values'!$A:$BZ,62,FALSE))</f>
        <v>0</v>
      </c>
      <c r="Z192" s="58">
        <f>Y192*'Weighting Factors'!$O$8</f>
        <v>0</v>
      </c>
      <c r="AA192" s="58">
        <f t="shared" si="135"/>
        <v>0</v>
      </c>
      <c r="AB192" s="106">
        <f>IF(ISNA(VLOOKUP($CW192,'Audit Values'!$A:$BZ,2,FALSE)),'Preliminary SO66'!AO191,VLOOKUP($CW192,'Audit Values'!$A:$BZ,61,FALSE))</f>
        <v>37.4</v>
      </c>
      <c r="AC192" s="58">
        <f>AB192/6*'Weighting Factors'!$O$6</f>
        <v>3.1</v>
      </c>
      <c r="AD192" s="24">
        <f>IF(ISNA(VLOOKUP($CW192,'Audit Values'!$A:$BX,2,FALSE)),'Preliminary SO66'!AS191,VLOOKUP($CW192,'Audit Values'!$A:$BX,64,FALSE))</f>
        <v>203</v>
      </c>
      <c r="AE192" s="24">
        <f>IF(ISNA(VLOOKUP($CW192,'Audit Values'!$A:$BX,2,FALSE)),'Preliminary SO66'!AP191,VLOOKUP($CW192,'Audit Values'!$A:$BX,65,FALSE))</f>
        <v>106</v>
      </c>
      <c r="AF192" s="58">
        <f>IF(A192=207, AE192,(AE192))*'Weighting Factors'!$O$9</f>
        <v>51.3</v>
      </c>
      <c r="AG192" s="58">
        <f t="shared" si="132"/>
        <v>11.1</v>
      </c>
      <c r="AH192" s="58">
        <f>IF(ISNA(VLOOKUP($CW192,'Audit Values'!$A:$BZ,2,FALSE)),'Preliminary SO66'!AG191,VLOOKUP($CW192,'Audit Values'!$A:$BZ,71,FALSE))</f>
        <v>8.8000000000000007</v>
      </c>
      <c r="AI192" s="58">
        <f t="shared" si="136"/>
        <v>11.1</v>
      </c>
      <c r="AJ192" s="58">
        <f>IF(ISNA(VLOOKUP($CW192,'Audit Values'!$A:$BX,2,FALSE)),'Preliminary SO66'!AR191,VLOOKUP($CW192,'Audit Values'!$A:$BX,66,FALSE))</f>
        <v>50</v>
      </c>
      <c r="AK192" s="24">
        <f t="shared" si="137"/>
        <v>77572</v>
      </c>
      <c r="AL192" s="58">
        <f>AK192/'Weighting Factors'!$O$5</f>
        <v>15.2</v>
      </c>
      <c r="AM192" s="58">
        <f>CJ192/'Weighting Factors'!$O$5</f>
        <v>0</v>
      </c>
      <c r="AN192" s="58">
        <f>CN192/'Weighting Factors'!$O$5</f>
        <v>0</v>
      </c>
      <c r="AO192" s="24">
        <v>300931</v>
      </c>
      <c r="AP192" s="58">
        <f>AO192/'Weighting Factors'!$O$5</f>
        <v>59.1</v>
      </c>
      <c r="AQ192" s="58">
        <f>IF(ISNA(VLOOKUP($CW192,'Audit Values'!$A:$BX,2,FALSE)),'Preliminary SO66'!X191,VLOOKUP($CW192,'Audit Values'!$A:$BX,48,FALSE))</f>
        <v>0</v>
      </c>
      <c r="AR192" s="58">
        <f t="shared" si="130"/>
        <v>497.5</v>
      </c>
      <c r="AS192" s="58">
        <f t="shared" si="131"/>
        <v>438.4</v>
      </c>
      <c r="AT192" s="58">
        <f>IF(ISNA(VLOOKUP($CW192,'Audit Values'!$A$2:$BX$410,2,FALSE)),'Preliminary SO66'!AA191,VLOOKUP($CW192,'Audit Values'!$A$2:$BX$410,41,FALSE))</f>
        <v>4</v>
      </c>
      <c r="AU192" s="58">
        <f>IF(ISNA(VLOOKUP($CW192,'Audit Values'!$A$2:$BX$410,2,FALSE)),'Preliminary SO66'!AB191,VLOOKUP($CW192,'Audit Values'!$A$2:$BX$410,42,FALSE))</f>
        <v>1.2</v>
      </c>
      <c r="AV192" s="73">
        <v>1</v>
      </c>
      <c r="AW192" s="73">
        <v>0</v>
      </c>
      <c r="AX192" s="24">
        <f>SUM(AT192*'Weighting Factors'!$R$10)+('2024 Legal Max'!AU192*'Weighting Factors'!$R$11)+('2024 Legal Max'!AV192*'Weighting Factors'!$R$12)+('2024 Legal Max'!AW192*'Weighting Factors'!$R$12)</f>
        <v>26469</v>
      </c>
      <c r="AY192" s="54">
        <f>IF(ISNA(VLOOKUP($CW192,'Audit Values'!$A$2:$BX$429,2,FALSE)),"",IF(AND('Weighting Factors'!G192&gt;0,VLOOKUP($CW192,'Audit Values'!$A$2:$BX$429,51,FALSE)&lt;'Weighting Factors'!G192),'Weighting Factors'!G192,VLOOKUP($CW192,'Audit Values'!$A$2:$BX$429,51,FALSE)))</f>
        <v>13</v>
      </c>
      <c r="AZ192" s="54" t="str">
        <f>IF(ISNA(VLOOKUP($CW192,'Audit Values'!$A:$BY,2,FALSE)),"",VLOOKUP($CW192,'Audit Values'!$A:$BY,52,FALSE))</f>
        <v>A</v>
      </c>
      <c r="BA192" s="54" t="str">
        <f>IF('Weighting Factors'!F192="","",IF('Weighting Factors'!H192="Pending","PX","R"))</f>
        <v/>
      </c>
      <c r="BB192" s="60">
        <f>SUM((U192+V192+AA192+AC192+AF192+AI192+AL192+AM192+AQ192+AN192)*'Weighting Factors'!$O$5)+'2024 Legal Max'!AX192</f>
        <v>2257048</v>
      </c>
      <c r="BC192" s="24">
        <f>SUM((AR192+AN192)*'Weighting Factors'!$O$5)+AX192</f>
        <v>2557749</v>
      </c>
      <c r="BD192" s="67">
        <f>IF('Weighting Factors'!F192&gt;0,'Weighting Factors'!F192,'Preliminary SO66'!AV191)</f>
        <v>2735512</v>
      </c>
      <c r="BE192" s="24">
        <f t="shared" si="138"/>
        <v>2557749</v>
      </c>
      <c r="BF192" s="71">
        <f>'Weighting Factors'!E192</f>
        <v>0</v>
      </c>
      <c r="BG192" s="71">
        <f>Transportation!G192</f>
        <v>0</v>
      </c>
      <c r="BH192" s="24">
        <f>IF(ISNA(VLOOKUP($CW192,'Audit Values'!$A:$BW,2,FALSE)), 0, VLOOKUP($CW192,'Audit Values'!$A:$BW,75,FALSE))</f>
        <v>-355</v>
      </c>
      <c r="BI192" s="24">
        <f t="shared" si="139"/>
        <v>-355</v>
      </c>
      <c r="BJ192" s="24">
        <f t="shared" si="140"/>
        <v>2557394</v>
      </c>
      <c r="BK192" s="24">
        <f>SUM((U192+V192+AA192+AC192+AF192+AI192+AL192+AM192+AN192)*'Weighting Factors'!O$12)+(MAX(AO192,'Weighting Factors'!B192))</f>
        <v>2690758</v>
      </c>
      <c r="BL192" s="78">
        <f>'LOB%'!F190</f>
        <v>0.33</v>
      </c>
      <c r="BM192" s="24">
        <f t="shared" si="111"/>
        <v>887950</v>
      </c>
      <c r="BN192" s="67">
        <v>915014</v>
      </c>
      <c r="BO192" s="24">
        <f t="shared" si="141"/>
        <v>887950</v>
      </c>
      <c r="BP192" s="89">
        <f t="shared" si="112"/>
        <v>0.33</v>
      </c>
      <c r="BQ192" s="58">
        <f t="shared" si="113"/>
        <v>0</v>
      </c>
      <c r="BR192" s="1" t="b">
        <f t="shared" si="114"/>
        <v>1</v>
      </c>
      <c r="BS192" s="76">
        <f t="shared" si="115"/>
        <v>1028.258</v>
      </c>
      <c r="BT192" s="75">
        <f t="shared" si="142"/>
        <v>0.73202900000000004</v>
      </c>
      <c r="BU192" s="58">
        <f t="shared" si="116"/>
        <v>151.19999999999999</v>
      </c>
      <c r="BV192" s="1" t="b">
        <f t="shared" si="117"/>
        <v>0</v>
      </c>
      <c r="BW192" s="1">
        <f t="shared" si="118"/>
        <v>0</v>
      </c>
      <c r="BX192" s="75">
        <f t="shared" si="143"/>
        <v>0</v>
      </c>
      <c r="BY192" s="58">
        <f t="shared" si="119"/>
        <v>0</v>
      </c>
      <c r="BZ192" s="58">
        <f t="shared" si="120"/>
        <v>0</v>
      </c>
      <c r="CA192" s="61">
        <v>235</v>
      </c>
      <c r="CB192" s="102">
        <f t="shared" si="121"/>
        <v>0.21299999999999999</v>
      </c>
      <c r="CC192" s="105">
        <f>IF(CB192&lt;0.06,1,IF(CB192&gt;=18.29,52,MATCH(CB192-0.001,'Weighting Factors'!$W$5:$W$156)+1))</f>
        <v>16</v>
      </c>
      <c r="CD192" s="24">
        <f>VLOOKUP(CC192, 'Weighting Factors'!$U$5:$X$56,4)</f>
        <v>1270</v>
      </c>
      <c r="CE192" s="109">
        <f>('Weighting Factors'!$O$5/'Weighting Factors'!$O$14)</f>
        <v>1.2216</v>
      </c>
      <c r="CF192" s="100">
        <f t="shared" si="122"/>
        <v>63500</v>
      </c>
      <c r="CG192" s="100">
        <f>CF192*'Weighting Factors'!$Q$7</f>
        <v>63500</v>
      </c>
      <c r="CH192" s="100">
        <f t="shared" si="144"/>
        <v>77572</v>
      </c>
      <c r="CI192" s="58">
        <f>AK192/'Weighting Factors'!$O$5</f>
        <v>15.2</v>
      </c>
      <c r="CJ192" s="67">
        <v>0</v>
      </c>
      <c r="CK192" s="80">
        <v>0</v>
      </c>
      <c r="CL192" s="110">
        <v>0</v>
      </c>
      <c r="CM192" s="24">
        <f>SUM((AR192*'Weighting Factors'!$O$5)+'2024 Legal Max'!AX192)*CL192</f>
        <v>0</v>
      </c>
      <c r="CN192" s="24">
        <f t="shared" si="145"/>
        <v>0</v>
      </c>
      <c r="CO192" s="65">
        <f t="shared" si="110"/>
        <v>0.5222</v>
      </c>
      <c r="CP192" s="58">
        <f t="shared" si="123"/>
        <v>11.1</v>
      </c>
      <c r="CQ192" s="58">
        <f t="shared" si="124"/>
        <v>0</v>
      </c>
      <c r="CR192" s="58">
        <f t="shared" si="125"/>
        <v>497.5</v>
      </c>
      <c r="CS192" s="24">
        <f>'Required Transfers'!L192</f>
        <v>92880</v>
      </c>
      <c r="CT192" s="24">
        <f>'Required Transfers'!O192</f>
        <v>0</v>
      </c>
      <c r="CU192" s="24">
        <f>'Required Transfers'!H192</f>
        <v>317491</v>
      </c>
      <c r="CV192" s="58">
        <f t="shared" si="126"/>
        <v>199.4</v>
      </c>
      <c r="CW192" s="27" t="s">
        <v>377</v>
      </c>
    </row>
    <row r="193" spans="1:101" ht="15" customHeight="1">
      <c r="A193" s="54">
        <v>399</v>
      </c>
      <c r="B193" s="1" t="s">
        <v>90</v>
      </c>
      <c r="C193" s="1" t="s">
        <v>697</v>
      </c>
      <c r="D193" s="58">
        <v>96</v>
      </c>
      <c r="E193" s="58"/>
      <c r="F193" s="58">
        <v>0</v>
      </c>
      <c r="G193" s="58">
        <f t="shared" si="127"/>
        <v>96</v>
      </c>
      <c r="H193" s="58">
        <v>119</v>
      </c>
      <c r="I193" s="58"/>
      <c r="J193" s="58">
        <v>0</v>
      </c>
      <c r="K193" s="58">
        <f t="shared" si="128"/>
        <v>119</v>
      </c>
      <c r="L193" s="1">
        <v>108.5</v>
      </c>
      <c r="N193" s="1">
        <v>0</v>
      </c>
      <c r="O193" s="58">
        <f t="shared" si="129"/>
        <v>108.5</v>
      </c>
      <c r="P193" s="58">
        <f>IF(ISNA(VLOOKUP($CW193,'Audit Values'!$A:$BZ,2,FALSE)),'Preliminary SO66'!C192,VLOOKUP($CW193,'Audit Values'!$A:$BZ,76,FALSE))</f>
        <v>91</v>
      </c>
      <c r="Q193" s="58">
        <f>IF(ISNA(VLOOKUP($CW193,'Audit Values'!$A:$BZ,2,FALSE)),'Preliminary SO66'!F192,VLOOKUP($CW193,'Audit Values'!$A:$BZ,4,FALSE))</f>
        <v>0</v>
      </c>
      <c r="R193" s="58">
        <f t="shared" si="133"/>
        <v>91</v>
      </c>
      <c r="S193" s="58">
        <f>IF('Military Provision'!I193="YES", MAX('2024 Legal Max'!O193,'2024 Legal Max'!K193,AVERAGE('2024 Legal Max'!G193,'2024 Legal Max'!K193,'2024 Legal Max'!O193)), MAX(O193, K193))</f>
        <v>119</v>
      </c>
      <c r="T193" s="58">
        <f>IF(ISNA(VLOOKUP($CW193,'Audit Values'!$A:$BX,2,FALSE)),'Preliminary SO66'!AL192,VLOOKUP($CW193,'Audit Values'!$A:$BX,59,FALSE))</f>
        <v>1</v>
      </c>
      <c r="U193" s="58">
        <f t="shared" si="134"/>
        <v>120</v>
      </c>
      <c r="V193" s="58">
        <f>'Low-High ENRL- 2023 HSubSB 113'!N196</f>
        <v>115.4</v>
      </c>
      <c r="W193" s="58">
        <f>IF(ISNA(VLOOKUP($CW193,'Audit Values'!$A:$BZ,2,FALSE)),'Preliminary SO66'!AM192,VLOOKUP($CW193,'Audit Values'!$A:$BZ,63,FALSE))</f>
        <v>0</v>
      </c>
      <c r="X193" s="58">
        <f>(W193/6)*'Weighting Factors'!$O$7</f>
        <v>0</v>
      </c>
      <c r="Y193" s="61">
        <f>IF(ISNA(VLOOKUP($CW193,'Audit Values'!$A:$BZ,2,FALSE)),'Preliminary SO66'!AN192,VLOOKUP($CW193,'Audit Values'!$A:$BZ,62,FALSE))</f>
        <v>0</v>
      </c>
      <c r="Z193" s="58">
        <f>Y193*'Weighting Factors'!$O$8</f>
        <v>0</v>
      </c>
      <c r="AA193" s="58">
        <f t="shared" si="135"/>
        <v>0</v>
      </c>
      <c r="AB193" s="106">
        <f>IF(ISNA(VLOOKUP($CW193,'Audit Values'!$A:$BZ,2,FALSE)),'Preliminary SO66'!AO192,VLOOKUP($CW193,'Audit Values'!$A:$BZ,61,FALSE))</f>
        <v>28.4</v>
      </c>
      <c r="AC193" s="58">
        <f>AB193/6*'Weighting Factors'!$O$6</f>
        <v>2.4</v>
      </c>
      <c r="AD193" s="24">
        <f>IF(ISNA(VLOOKUP($CW193,'Audit Values'!$A:$BX,2,FALSE)),'Preliminary SO66'!AS192,VLOOKUP($CW193,'Audit Values'!$A:$BX,64,FALSE))</f>
        <v>93</v>
      </c>
      <c r="AE193" s="24">
        <f>IF(ISNA(VLOOKUP($CW193,'Audit Values'!$A:$BX,2,FALSE)),'Preliminary SO66'!AP192,VLOOKUP($CW193,'Audit Values'!$A:$BX,65,FALSE))</f>
        <v>39</v>
      </c>
      <c r="AF193" s="58">
        <f>IF(A193=207, AE193,(AE193))*'Weighting Factors'!$O$9</f>
        <v>18.899999999999999</v>
      </c>
      <c r="AG193" s="58">
        <f t="shared" si="132"/>
        <v>1.9</v>
      </c>
      <c r="AH193" s="58">
        <f>IF(ISNA(VLOOKUP($CW193,'Audit Values'!$A:$BZ,2,FALSE)),'Preliminary SO66'!AG192,VLOOKUP($CW193,'Audit Values'!$A:$BZ,71,FALSE))</f>
        <v>1.9</v>
      </c>
      <c r="AI193" s="58">
        <f t="shared" si="136"/>
        <v>1.9</v>
      </c>
      <c r="AJ193" s="58">
        <f>IF(ISNA(VLOOKUP($CW193,'Audit Values'!$A:$BX,2,FALSE)),'Preliminary SO66'!AR192,VLOOKUP($CW193,'Audit Values'!$A:$BX,66,FALSE))</f>
        <v>15</v>
      </c>
      <c r="AK193" s="24">
        <f t="shared" si="137"/>
        <v>29685</v>
      </c>
      <c r="AL193" s="58">
        <f>AK193/'Weighting Factors'!$O$5</f>
        <v>5.8</v>
      </c>
      <c r="AM193" s="58">
        <f>CJ193/'Weighting Factors'!$O$5</f>
        <v>0</v>
      </c>
      <c r="AN193" s="58">
        <f>CN193/'Weighting Factors'!$O$5</f>
        <v>0</v>
      </c>
      <c r="AO193" s="24">
        <v>138278</v>
      </c>
      <c r="AP193" s="58">
        <f>AO193/'Weighting Factors'!$O$5</f>
        <v>27.2</v>
      </c>
      <c r="AQ193" s="58">
        <f>IF(ISNA(VLOOKUP($CW193,'Audit Values'!$A:$BX,2,FALSE)),'Preliminary SO66'!X192,VLOOKUP($CW193,'Audit Values'!$A:$BX,48,FALSE))</f>
        <v>1</v>
      </c>
      <c r="AR193" s="58">
        <f t="shared" si="130"/>
        <v>292.60000000000002</v>
      </c>
      <c r="AS193" s="58">
        <f t="shared" si="131"/>
        <v>265.39999999999998</v>
      </c>
      <c r="AT193" s="58">
        <f>IF(ISNA(VLOOKUP($CW193,'Audit Values'!$A$2:$BX$410,2,FALSE)),'Preliminary SO66'!AA192,VLOOKUP($CW193,'Audit Values'!$A$2:$BX$410,41,FALSE))</f>
        <v>0</v>
      </c>
      <c r="AU193" s="58">
        <f>IF(ISNA(VLOOKUP($CW193,'Audit Values'!$A$2:$BX$410,2,FALSE)),'Preliminary SO66'!AB192,VLOOKUP($CW193,'Audit Values'!$A$2:$BX$410,42,FALSE))</f>
        <v>0</v>
      </c>
      <c r="AV193" s="73">
        <v>0</v>
      </c>
      <c r="AW193" s="73">
        <v>0</v>
      </c>
      <c r="AX193" s="24">
        <f>SUM(AT193*'Weighting Factors'!$R$10)+('2024 Legal Max'!AU193*'Weighting Factors'!$R$11)+('2024 Legal Max'!AV193*'Weighting Factors'!$R$12)+('2024 Legal Max'!AW193*'Weighting Factors'!$R$12)</f>
        <v>0</v>
      </c>
      <c r="AY193" s="54">
        <f>IF(ISNA(VLOOKUP($CW193,'Audit Values'!$A$2:$BX$429,2,FALSE)),"",IF(AND('Weighting Factors'!G193&gt;0,VLOOKUP($CW193,'Audit Values'!$A$2:$BX$429,51,FALSE)&lt;'Weighting Factors'!G193),'Weighting Factors'!G193,VLOOKUP($CW193,'Audit Values'!$A$2:$BX$429,51,FALSE)))</f>
        <v>17</v>
      </c>
      <c r="AZ193" s="54" t="str">
        <f>IF(ISNA(VLOOKUP($CW193,'Audit Values'!$A:$BY,2,FALSE)),"",VLOOKUP($CW193,'Audit Values'!$A:$BY,52,FALSE))</f>
        <v>A</v>
      </c>
      <c r="BA193" s="54" t="str">
        <f>IF('Weighting Factors'!F193="","",IF('Weighting Factors'!H193="Pending","PX","R"))</f>
        <v/>
      </c>
      <c r="BB193" s="60">
        <f>SUM((U193+V193+AA193+AC193+AF193+AI193+AL193+AM193+AQ193+AN193)*'Weighting Factors'!$O$5)+'2024 Legal Max'!AX193</f>
        <v>1350355</v>
      </c>
      <c r="BC193" s="24">
        <f>SUM((AR193+AN193)*'Weighting Factors'!$O$5)+AX193</f>
        <v>1488749</v>
      </c>
      <c r="BD193" s="67">
        <f>IF('Weighting Factors'!F193&gt;0,'Weighting Factors'!F193,'Preliminary SO66'!AV192)</f>
        <v>1575754</v>
      </c>
      <c r="BE193" s="24">
        <f t="shared" si="138"/>
        <v>1488749</v>
      </c>
      <c r="BF193" s="71">
        <f>'Weighting Factors'!E193</f>
        <v>0</v>
      </c>
      <c r="BG193" s="71">
        <f>Transportation!G193</f>
        <v>0</v>
      </c>
      <c r="BH193" s="24">
        <f>IF(ISNA(VLOOKUP($CW193,'Audit Values'!$A:$BW,2,FALSE)), 0, VLOOKUP($CW193,'Audit Values'!$A:$BW,75,FALSE))</f>
        <v>0</v>
      </c>
      <c r="BI193" s="24">
        <f t="shared" si="139"/>
        <v>0</v>
      </c>
      <c r="BJ193" s="24">
        <f t="shared" si="140"/>
        <v>1488749</v>
      </c>
      <c r="BK193" s="24">
        <f>SUM((U193+V193+AA193+AC193+AF193+AI193+AL193+AM193+AN193)*'Weighting Factors'!O$12)+(MAX(AO193,'Weighting Factors'!B193))</f>
        <v>1537345</v>
      </c>
      <c r="BL193" s="78">
        <f>'LOB%'!F191</f>
        <v>0.33</v>
      </c>
      <c r="BM193" s="24">
        <f t="shared" si="111"/>
        <v>507324</v>
      </c>
      <c r="BN193" s="67">
        <v>534218</v>
      </c>
      <c r="BO193" s="24">
        <f t="shared" si="141"/>
        <v>507324</v>
      </c>
      <c r="BP193" s="89">
        <f t="shared" si="112"/>
        <v>0.33</v>
      </c>
      <c r="BQ193" s="58">
        <f t="shared" si="113"/>
        <v>0</v>
      </c>
      <c r="BR193" s="1" t="b">
        <f t="shared" si="114"/>
        <v>1</v>
      </c>
      <c r="BS193" s="76">
        <f t="shared" si="115"/>
        <v>193.1</v>
      </c>
      <c r="BT193" s="75">
        <f t="shared" si="142"/>
        <v>0.96131699999999998</v>
      </c>
      <c r="BU193" s="58">
        <f t="shared" si="116"/>
        <v>115.4</v>
      </c>
      <c r="BV193" s="1" t="b">
        <f t="shared" si="117"/>
        <v>0</v>
      </c>
      <c r="BW193" s="1">
        <f t="shared" si="118"/>
        <v>0</v>
      </c>
      <c r="BX193" s="75">
        <f t="shared" si="143"/>
        <v>0</v>
      </c>
      <c r="BY193" s="58">
        <f t="shared" si="119"/>
        <v>0</v>
      </c>
      <c r="BZ193" s="58">
        <f t="shared" si="120"/>
        <v>0</v>
      </c>
      <c r="CA193" s="61">
        <v>439</v>
      </c>
      <c r="CB193" s="102">
        <f t="shared" si="121"/>
        <v>3.4000000000000002E-2</v>
      </c>
      <c r="CC193" s="105">
        <f>IF(CB193&lt;0.06,1,IF(CB193&gt;=18.29,52,MATCH(CB193-0.001,'Weighting Factors'!$W$5:$W$156)+1))</f>
        <v>1</v>
      </c>
      <c r="CD193" s="24">
        <f>VLOOKUP(CC193, 'Weighting Factors'!$U$5:$X$56,4)</f>
        <v>1620</v>
      </c>
      <c r="CE193" s="109">
        <f>('Weighting Factors'!$O$5/'Weighting Factors'!$O$14)</f>
        <v>1.2216</v>
      </c>
      <c r="CF193" s="100">
        <f t="shared" si="122"/>
        <v>24300</v>
      </c>
      <c r="CG193" s="100">
        <f>CF193*'Weighting Factors'!$Q$7</f>
        <v>24300</v>
      </c>
      <c r="CH193" s="100">
        <f t="shared" si="144"/>
        <v>29685</v>
      </c>
      <c r="CI193" s="58">
        <f>AK193/'Weighting Factors'!$O$5</f>
        <v>5.8</v>
      </c>
      <c r="CJ193" s="67">
        <v>0</v>
      </c>
      <c r="CK193" s="80">
        <v>0</v>
      </c>
      <c r="CL193" s="110">
        <v>0</v>
      </c>
      <c r="CM193" s="24">
        <f>SUM((AR193*'Weighting Factors'!$O$5)+'2024 Legal Max'!AX193)*CL193</f>
        <v>0</v>
      </c>
      <c r="CN193" s="24">
        <f t="shared" si="145"/>
        <v>0</v>
      </c>
      <c r="CO193" s="65">
        <f t="shared" si="110"/>
        <v>0.4194</v>
      </c>
      <c r="CP193" s="58">
        <f t="shared" si="123"/>
        <v>0</v>
      </c>
      <c r="CQ193" s="58">
        <f t="shared" si="124"/>
        <v>1.9</v>
      </c>
      <c r="CR193" s="58">
        <f t="shared" si="125"/>
        <v>292.60000000000002</v>
      </c>
      <c r="CS193" s="24">
        <f>'Required Transfers'!L193</f>
        <v>32976</v>
      </c>
      <c r="CT193" s="24">
        <f>'Required Transfers'!O193</f>
        <v>0</v>
      </c>
      <c r="CU193" s="24">
        <f>'Required Transfers'!H193</f>
        <v>105830</v>
      </c>
      <c r="CV193" s="58">
        <f t="shared" si="126"/>
        <v>92</v>
      </c>
      <c r="CW193" s="27" t="s">
        <v>378</v>
      </c>
    </row>
    <row r="194" spans="1:101" ht="15" customHeight="1">
      <c r="A194" s="54">
        <v>400</v>
      </c>
      <c r="B194" s="1" t="s">
        <v>91</v>
      </c>
      <c r="C194" s="1" t="s">
        <v>698</v>
      </c>
      <c r="D194" s="58">
        <v>707.4</v>
      </c>
      <c r="E194" s="58"/>
      <c r="F194" s="58">
        <v>0</v>
      </c>
      <c r="G194" s="58">
        <f t="shared" si="127"/>
        <v>707.4</v>
      </c>
      <c r="H194" s="58">
        <v>775.4</v>
      </c>
      <c r="I194" s="58"/>
      <c r="J194" s="58">
        <v>0</v>
      </c>
      <c r="K194" s="58">
        <f t="shared" si="128"/>
        <v>775.4</v>
      </c>
      <c r="L194" s="1">
        <v>778</v>
      </c>
      <c r="N194" s="1">
        <v>0</v>
      </c>
      <c r="O194" s="58">
        <f t="shared" si="129"/>
        <v>778</v>
      </c>
      <c r="P194" s="58">
        <f>IF(ISNA(VLOOKUP($CW194,'Audit Values'!$A:$BZ,2,FALSE)),'Preliminary SO66'!C193,VLOOKUP($CW194,'Audit Values'!$A:$BZ,76,FALSE))</f>
        <v>762.7</v>
      </c>
      <c r="Q194" s="58">
        <f>IF(ISNA(VLOOKUP($CW194,'Audit Values'!$A:$BZ,2,FALSE)),'Preliminary SO66'!F193,VLOOKUP($CW194,'Audit Values'!$A:$BZ,4,FALSE))</f>
        <v>0</v>
      </c>
      <c r="R194" s="58">
        <f t="shared" si="133"/>
        <v>762.7</v>
      </c>
      <c r="S194" s="58">
        <f>IF('Military Provision'!I194="YES", MAX('2024 Legal Max'!O194,'2024 Legal Max'!K194,AVERAGE('2024 Legal Max'!G194,'2024 Legal Max'!K194,'2024 Legal Max'!O194)), MAX(O194, K194))</f>
        <v>778</v>
      </c>
      <c r="T194" s="58">
        <f>IF(ISNA(VLOOKUP($CW194,'Audit Values'!$A:$BX,2,FALSE)),'Preliminary SO66'!AL193,VLOOKUP($CW194,'Audit Values'!$A:$BX,59,FALSE))</f>
        <v>18.5</v>
      </c>
      <c r="U194" s="58">
        <f t="shared" si="134"/>
        <v>796.5</v>
      </c>
      <c r="V194" s="58">
        <f>'Low-High ENRL- 2023 HSubSB 113'!N197</f>
        <v>253.6</v>
      </c>
      <c r="W194" s="58">
        <f>IF(ISNA(VLOOKUP($CW194,'Audit Values'!$A:$BZ,2,FALSE)),'Preliminary SO66'!AM193,VLOOKUP($CW194,'Audit Values'!$A:$BZ,63,FALSE))</f>
        <v>4</v>
      </c>
      <c r="X194" s="58">
        <f>(W194/6)*'Weighting Factors'!$O$7</f>
        <v>0.3</v>
      </c>
      <c r="Y194" s="61">
        <f>IF(ISNA(VLOOKUP($CW194,'Audit Values'!$A:$BZ,2,FALSE)),'Preliminary SO66'!AN193,VLOOKUP($CW194,'Audit Values'!$A:$BZ,62,FALSE))</f>
        <v>4</v>
      </c>
      <c r="Z194" s="58">
        <f>Y194*'Weighting Factors'!$O$8</f>
        <v>0.7</v>
      </c>
      <c r="AA194" s="58">
        <f t="shared" si="135"/>
        <v>0.7</v>
      </c>
      <c r="AB194" s="106">
        <f>IF(ISNA(VLOOKUP($CW194,'Audit Values'!$A:$BZ,2,FALSE)),'Preliminary SO66'!AO193,VLOOKUP($CW194,'Audit Values'!$A:$BZ,61,FALSE))</f>
        <v>199.3</v>
      </c>
      <c r="AC194" s="58">
        <f>AB194/6*'Weighting Factors'!$O$6</f>
        <v>16.600000000000001</v>
      </c>
      <c r="AD194" s="24">
        <f>IF(ISNA(VLOOKUP($CW194,'Audit Values'!$A:$BX,2,FALSE)),'Preliminary SO66'!AS193,VLOOKUP($CW194,'Audit Values'!$A:$BX,64,FALSE))</f>
        <v>807</v>
      </c>
      <c r="AE194" s="24">
        <f>IF(ISNA(VLOOKUP($CW194,'Audit Values'!$A:$BX,2,FALSE)),'Preliminary SO66'!AP193,VLOOKUP($CW194,'Audit Values'!$A:$BX,65,FALSE))</f>
        <v>231</v>
      </c>
      <c r="AF194" s="58">
        <f>IF(A194=207, AE194,(AE194))*'Weighting Factors'!$O$9</f>
        <v>111.8</v>
      </c>
      <c r="AG194" s="58">
        <f t="shared" si="132"/>
        <v>0</v>
      </c>
      <c r="AH194" s="58">
        <f>IF(ISNA(VLOOKUP($CW194,'Audit Values'!$A:$BZ,2,FALSE)),'Preliminary SO66'!AG193,VLOOKUP($CW194,'Audit Values'!$A:$BZ,71,FALSE))</f>
        <v>0</v>
      </c>
      <c r="AI194" s="58">
        <f t="shared" si="136"/>
        <v>0</v>
      </c>
      <c r="AJ194" s="58">
        <f>IF(ISNA(VLOOKUP($CW194,'Audit Values'!$A:$BX,2,FALSE)),'Preliminary SO66'!AR193,VLOOKUP($CW194,'Audit Values'!$A:$BX,66,FALSE))</f>
        <v>293.5</v>
      </c>
      <c r="AK194" s="24">
        <f t="shared" si="137"/>
        <v>362125</v>
      </c>
      <c r="AL194" s="58">
        <f>AK194/'Weighting Factors'!$O$5</f>
        <v>71.2</v>
      </c>
      <c r="AM194" s="58">
        <f>CJ194/'Weighting Factors'!$O$5</f>
        <v>0</v>
      </c>
      <c r="AN194" s="58">
        <f>CN194/'Weighting Factors'!$O$5</f>
        <v>0</v>
      </c>
      <c r="AO194" s="24">
        <v>967752</v>
      </c>
      <c r="AP194" s="58">
        <f>AO194/'Weighting Factors'!$O$5</f>
        <v>190.2</v>
      </c>
      <c r="AQ194" s="58">
        <f>IF(ISNA(VLOOKUP($CW194,'Audit Values'!$A:$BX,2,FALSE)),'Preliminary SO66'!X193,VLOOKUP($CW194,'Audit Values'!$A:$BX,48,FALSE))</f>
        <v>0</v>
      </c>
      <c r="AR194" s="58">
        <f t="shared" si="130"/>
        <v>1440.6</v>
      </c>
      <c r="AS194" s="58">
        <f t="shared" si="131"/>
        <v>1250.4000000000001</v>
      </c>
      <c r="AT194" s="58">
        <f>IF(ISNA(VLOOKUP($CW194,'Audit Values'!$A$2:$BX$410,2,FALSE)),'Preliminary SO66'!AA193,VLOOKUP($CW194,'Audit Values'!$A$2:$BX$410,41,FALSE))</f>
        <v>110</v>
      </c>
      <c r="AU194" s="58">
        <f>IF(ISNA(VLOOKUP($CW194,'Audit Values'!$A$2:$BX$410,2,FALSE)),'Preliminary SO66'!AB193,VLOOKUP($CW194,'Audit Values'!$A$2:$BX$410,42,FALSE))</f>
        <v>64.8</v>
      </c>
      <c r="AV194" s="73">
        <v>37</v>
      </c>
      <c r="AW194" s="73">
        <v>12</v>
      </c>
      <c r="AX194" s="24">
        <f>SUM(AT194*'Weighting Factors'!$R$10)+('2024 Legal Max'!AU194*'Weighting Factors'!$R$11)+('2024 Legal Max'!AV194*'Weighting Factors'!$R$12)+('2024 Legal Max'!AW194*'Weighting Factors'!$R$12)</f>
        <v>832181</v>
      </c>
      <c r="AY194" s="54">
        <f>IF(ISNA(VLOOKUP($CW194,'Audit Values'!$A$2:$BX$429,2,FALSE)),"",IF(AND('Weighting Factors'!G194&gt;0,VLOOKUP($CW194,'Audit Values'!$A$2:$BX$429,51,FALSE)&lt;'Weighting Factors'!G194),'Weighting Factors'!G194,VLOOKUP($CW194,'Audit Values'!$A$2:$BX$429,51,FALSE)))</f>
        <v>18</v>
      </c>
      <c r="AZ194" s="54" t="str">
        <f>IF(ISNA(VLOOKUP($CW194,'Audit Values'!$A:$BY,2,FALSE)),"",VLOOKUP($CW194,'Audit Values'!$A:$BY,52,FALSE))</f>
        <v>A</v>
      </c>
      <c r="BA194" s="54" t="str">
        <f>IF('Weighting Factors'!F194="","",IF('Weighting Factors'!H194="Pending","PX","R"))</f>
        <v/>
      </c>
      <c r="BB194" s="60">
        <f>SUM((U194+V194+AA194+AC194+AF194+AI194+AL194+AM194+AQ194+AN194)*'Weighting Factors'!$O$5)+'2024 Legal Max'!AX194</f>
        <v>7194216</v>
      </c>
      <c r="BC194" s="24">
        <f>SUM((AR194+AN194)*'Weighting Factors'!$O$5)+AX194</f>
        <v>8161954</v>
      </c>
      <c r="BD194" s="67">
        <f>IF('Weighting Factors'!F194&gt;0,'Weighting Factors'!F194,'Preliminary SO66'!AV193)</f>
        <v>8484228</v>
      </c>
      <c r="BE194" s="24">
        <f t="shared" si="138"/>
        <v>8161954</v>
      </c>
      <c r="BF194" s="71">
        <f>'Weighting Factors'!E194</f>
        <v>0</v>
      </c>
      <c r="BG194" s="71">
        <f>Transportation!G194</f>
        <v>0</v>
      </c>
      <c r="BH194" s="24">
        <f>IF(ISNA(VLOOKUP($CW194,'Audit Values'!$A:$BW,2,FALSE)), 0, VLOOKUP($CW194,'Audit Values'!$A:$BW,75,FALSE))</f>
        <v>-7799</v>
      </c>
      <c r="BI194" s="24">
        <f t="shared" si="139"/>
        <v>-7799</v>
      </c>
      <c r="BJ194" s="24">
        <f t="shared" si="140"/>
        <v>8154155</v>
      </c>
      <c r="BK194" s="24">
        <f>SUM((U194+V194+AA194+AC194+AF194+AI194+AL194+AM194+AN194)*'Weighting Factors'!O$12)+(MAX(AO194,'Weighting Factors'!B194))</f>
        <v>7417315</v>
      </c>
      <c r="BL194" s="78">
        <f>'LOB%'!F192</f>
        <v>0.33</v>
      </c>
      <c r="BM194" s="24">
        <f t="shared" si="111"/>
        <v>2447714</v>
      </c>
      <c r="BN194" s="67">
        <v>2528418</v>
      </c>
      <c r="BO194" s="24">
        <f t="shared" si="141"/>
        <v>2447714</v>
      </c>
      <c r="BP194" s="89">
        <f t="shared" si="112"/>
        <v>0.33</v>
      </c>
      <c r="BQ194" s="58">
        <f t="shared" si="113"/>
        <v>0</v>
      </c>
      <c r="BR194" s="1" t="b">
        <f t="shared" si="114"/>
        <v>0</v>
      </c>
      <c r="BS194" s="76">
        <f t="shared" si="115"/>
        <v>0</v>
      </c>
      <c r="BT194" s="75">
        <f t="shared" si="142"/>
        <v>0</v>
      </c>
      <c r="BU194" s="58">
        <f t="shared" si="116"/>
        <v>0</v>
      </c>
      <c r="BV194" s="1" t="b">
        <f t="shared" si="117"/>
        <v>1</v>
      </c>
      <c r="BW194" s="1">
        <f t="shared" si="118"/>
        <v>614.41880000000003</v>
      </c>
      <c r="BX194" s="75">
        <f t="shared" si="143"/>
        <v>0.31550099999999998</v>
      </c>
      <c r="BY194" s="58">
        <f t="shared" si="119"/>
        <v>251.3</v>
      </c>
      <c r="BZ194" s="58">
        <f t="shared" si="120"/>
        <v>0</v>
      </c>
      <c r="CA194" s="61">
        <v>395.5</v>
      </c>
      <c r="CB194" s="102">
        <f t="shared" si="121"/>
        <v>0.74199999999999999</v>
      </c>
      <c r="CC194" s="105">
        <f>IF(CB194&lt;0.06,1,IF(CB194&gt;=18.29,52,MATCH(CB194-0.001,'Weighting Factors'!$W$5:$W$156)+1))</f>
        <v>29</v>
      </c>
      <c r="CD194" s="24">
        <f>VLOOKUP(CC194, 'Weighting Factors'!$U$5:$X$56,4)</f>
        <v>1010</v>
      </c>
      <c r="CE194" s="109">
        <f>('Weighting Factors'!$O$5/'Weighting Factors'!$O$14)</f>
        <v>1.2216</v>
      </c>
      <c r="CF194" s="100">
        <f t="shared" si="122"/>
        <v>296435</v>
      </c>
      <c r="CG194" s="100">
        <f>CF194*'Weighting Factors'!$Q$7</f>
        <v>296435</v>
      </c>
      <c r="CH194" s="100">
        <f t="shared" si="144"/>
        <v>362125</v>
      </c>
      <c r="CI194" s="58">
        <f>AK194/'Weighting Factors'!$O$5</f>
        <v>71.2</v>
      </c>
      <c r="CJ194" s="67">
        <v>0</v>
      </c>
      <c r="CK194" s="80">
        <v>0</v>
      </c>
      <c r="CL194" s="110">
        <v>0</v>
      </c>
      <c r="CM194" s="24">
        <f>SUM((AR194*'Weighting Factors'!$O$5)+'2024 Legal Max'!AX194)*CL194</f>
        <v>0</v>
      </c>
      <c r="CN194" s="24">
        <f t="shared" si="145"/>
        <v>0</v>
      </c>
      <c r="CO194" s="65">
        <f t="shared" si="110"/>
        <v>0.28620000000000001</v>
      </c>
      <c r="CP194" s="58">
        <f t="shared" si="123"/>
        <v>0</v>
      </c>
      <c r="CQ194" s="58">
        <f t="shared" si="124"/>
        <v>0</v>
      </c>
      <c r="CR194" s="58">
        <f t="shared" si="125"/>
        <v>1440.6</v>
      </c>
      <c r="CS194" s="24">
        <f>'Required Transfers'!L194</f>
        <v>192390</v>
      </c>
      <c r="CT194" s="24">
        <f>'Required Transfers'!O194</f>
        <v>1224</v>
      </c>
      <c r="CU194" s="24">
        <f>'Required Transfers'!H194</f>
        <v>568838</v>
      </c>
      <c r="CV194" s="58">
        <f t="shared" si="126"/>
        <v>964.2</v>
      </c>
      <c r="CW194" s="27" t="s">
        <v>379</v>
      </c>
    </row>
    <row r="195" spans="1:101" ht="15" customHeight="1">
      <c r="A195" s="54">
        <v>401</v>
      </c>
      <c r="B195" s="1" t="s">
        <v>76</v>
      </c>
      <c r="C195" s="1" t="s">
        <v>699</v>
      </c>
      <c r="D195" s="58">
        <v>149</v>
      </c>
      <c r="E195" s="58"/>
      <c r="F195" s="58">
        <v>0</v>
      </c>
      <c r="G195" s="58">
        <f t="shared" si="127"/>
        <v>149</v>
      </c>
      <c r="H195" s="58">
        <v>138</v>
      </c>
      <c r="I195" s="58"/>
      <c r="J195" s="58">
        <v>0</v>
      </c>
      <c r="K195" s="58">
        <f t="shared" si="128"/>
        <v>138</v>
      </c>
      <c r="L195" s="1">
        <v>135</v>
      </c>
      <c r="N195" s="1">
        <v>0</v>
      </c>
      <c r="O195" s="58">
        <f t="shared" si="129"/>
        <v>135</v>
      </c>
      <c r="P195" s="58">
        <f>IF(ISNA(VLOOKUP($CW195,'Audit Values'!$A:$BZ,2,FALSE)),'Preliminary SO66'!C194,VLOOKUP($CW195,'Audit Values'!$A:$BZ,76,FALSE))</f>
        <v>114</v>
      </c>
      <c r="Q195" s="58">
        <f>IF(ISNA(VLOOKUP($CW195,'Audit Values'!$A:$BZ,2,FALSE)),'Preliminary SO66'!F194,VLOOKUP($CW195,'Audit Values'!$A:$BZ,4,FALSE))</f>
        <v>0</v>
      </c>
      <c r="R195" s="58">
        <f t="shared" si="133"/>
        <v>114</v>
      </c>
      <c r="S195" s="58">
        <f>IF('Military Provision'!I195="YES", MAX('2024 Legal Max'!O195,'2024 Legal Max'!K195,AVERAGE('2024 Legal Max'!G195,'2024 Legal Max'!K195,'2024 Legal Max'!O195)), MAX(O195, K195))</f>
        <v>138</v>
      </c>
      <c r="T195" s="58">
        <f>IF(ISNA(VLOOKUP($CW195,'Audit Values'!$A:$BX,2,FALSE)),'Preliminary SO66'!AL194,VLOOKUP($CW195,'Audit Values'!$A:$BX,59,FALSE))</f>
        <v>5.5</v>
      </c>
      <c r="U195" s="58">
        <f t="shared" si="134"/>
        <v>143.5</v>
      </c>
      <c r="V195" s="58">
        <f>'Low-High ENRL- 2023 HSubSB 113'!N198</f>
        <v>129</v>
      </c>
      <c r="W195" s="58">
        <f>IF(ISNA(VLOOKUP($CW195,'Audit Values'!$A:$BZ,2,FALSE)),'Preliminary SO66'!AM194,VLOOKUP($CW195,'Audit Values'!$A:$BZ,63,FALSE))</f>
        <v>14.4</v>
      </c>
      <c r="X195" s="58">
        <f>(W195/6)*'Weighting Factors'!$O$7</f>
        <v>0.9</v>
      </c>
      <c r="Y195" s="61">
        <f>IF(ISNA(VLOOKUP($CW195,'Audit Values'!$A:$BZ,2,FALSE)),'Preliminary SO66'!AN194,VLOOKUP($CW195,'Audit Values'!$A:$BZ,62,FALSE))</f>
        <v>10</v>
      </c>
      <c r="Z195" s="58">
        <f>Y195*'Weighting Factors'!$O$8</f>
        <v>1.9</v>
      </c>
      <c r="AA195" s="58">
        <f t="shared" si="135"/>
        <v>1.9</v>
      </c>
      <c r="AB195" s="106">
        <f>IF(ISNA(VLOOKUP($CW195,'Audit Values'!$A:$BZ,2,FALSE)),'Preliminary SO66'!AO194,VLOOKUP($CW195,'Audit Values'!$A:$BZ,61,FALSE))</f>
        <v>48.8</v>
      </c>
      <c r="AC195" s="58">
        <f>AB195/6*'Weighting Factors'!$O$6</f>
        <v>4.0999999999999996</v>
      </c>
      <c r="AD195" s="24">
        <f>IF(ISNA(VLOOKUP($CW195,'Audit Values'!$A:$BX,2,FALSE)),'Preliminary SO66'!AS194,VLOOKUP($CW195,'Audit Values'!$A:$BX,64,FALSE))</f>
        <v>125</v>
      </c>
      <c r="AE195" s="24">
        <f>IF(ISNA(VLOOKUP($CW195,'Audit Values'!$A:$BX,2,FALSE)),'Preliminary SO66'!AP194,VLOOKUP($CW195,'Audit Values'!$A:$BX,65,FALSE))</f>
        <v>95</v>
      </c>
      <c r="AF195" s="58">
        <f>IF(A195=207, AE195,(AE195))*'Weighting Factors'!$O$9</f>
        <v>46</v>
      </c>
      <c r="AG195" s="58">
        <f t="shared" si="132"/>
        <v>10</v>
      </c>
      <c r="AH195" s="58">
        <f>IF(ISNA(VLOOKUP($CW195,'Audit Values'!$A:$BZ,2,FALSE)),'Preliminary SO66'!AG194,VLOOKUP($CW195,'Audit Values'!$A:$BZ,71,FALSE))</f>
        <v>10</v>
      </c>
      <c r="AI195" s="58">
        <f t="shared" si="136"/>
        <v>10</v>
      </c>
      <c r="AJ195" s="58">
        <f>IF(ISNA(VLOOKUP($CW195,'Audit Values'!$A:$BX,2,FALSE)),'Preliminary SO66'!AR194,VLOOKUP($CW195,'Audit Values'!$A:$BX,66,FALSE))</f>
        <v>11</v>
      </c>
      <c r="AK195" s="24">
        <f t="shared" si="137"/>
        <v>21769</v>
      </c>
      <c r="AL195" s="58">
        <f>AK195/'Weighting Factors'!$O$5</f>
        <v>4.3</v>
      </c>
      <c r="AM195" s="58">
        <f>CJ195/'Weighting Factors'!$O$5</f>
        <v>0</v>
      </c>
      <c r="AN195" s="58">
        <f>CN195/'Weighting Factors'!$O$5</f>
        <v>0</v>
      </c>
      <c r="AO195" s="24">
        <v>179693</v>
      </c>
      <c r="AP195" s="58">
        <f>AO195/'Weighting Factors'!$O$5</f>
        <v>35.299999999999997</v>
      </c>
      <c r="AQ195" s="58">
        <f>IF(ISNA(VLOOKUP($CW195,'Audit Values'!$A:$BX,2,FALSE)),'Preliminary SO66'!X194,VLOOKUP($CW195,'Audit Values'!$A:$BX,48,FALSE))</f>
        <v>0</v>
      </c>
      <c r="AR195" s="58">
        <f t="shared" si="130"/>
        <v>374.1</v>
      </c>
      <c r="AS195" s="58">
        <f t="shared" si="131"/>
        <v>338.8</v>
      </c>
      <c r="AT195" s="58">
        <f>IF(ISNA(VLOOKUP($CW195,'Audit Values'!$A$2:$BX$410,2,FALSE)),'Preliminary SO66'!AA194,VLOOKUP($CW195,'Audit Values'!$A$2:$BX$410,41,FALSE))</f>
        <v>0</v>
      </c>
      <c r="AU195" s="58">
        <f>IF(ISNA(VLOOKUP($CW195,'Audit Values'!$A$2:$BX$410,2,FALSE)),'Preliminary SO66'!AB194,VLOOKUP($CW195,'Audit Values'!$A$2:$BX$410,42,FALSE))</f>
        <v>0</v>
      </c>
      <c r="AV195" s="73">
        <v>0</v>
      </c>
      <c r="AW195" s="73">
        <v>0</v>
      </c>
      <c r="AX195" s="24">
        <f>SUM(AT195*'Weighting Factors'!$R$10)+('2024 Legal Max'!AU195*'Weighting Factors'!$R$11)+('2024 Legal Max'!AV195*'Weighting Factors'!$R$12)+('2024 Legal Max'!AW195*'Weighting Factors'!$R$12)</f>
        <v>0</v>
      </c>
      <c r="AY195" s="54">
        <f>IF(ISNA(VLOOKUP($CW195,'Audit Values'!$A$2:$BX$429,2,FALSE)),"",IF(AND('Weighting Factors'!G195&gt;0,VLOOKUP($CW195,'Audit Values'!$A$2:$BX$429,51,FALSE)&lt;'Weighting Factors'!G195),'Weighting Factors'!G195,VLOOKUP($CW195,'Audit Values'!$A$2:$BX$429,51,FALSE)))</f>
        <v>17</v>
      </c>
      <c r="AZ195" s="54" t="str">
        <f>IF(ISNA(VLOOKUP($CW195,'Audit Values'!$A:$BY,2,FALSE)),"",VLOOKUP($CW195,'Audit Values'!$A:$BY,52,FALSE))</f>
        <v>A</v>
      </c>
      <c r="BA195" s="54" t="str">
        <f>IF('Weighting Factors'!F195="","",IF('Weighting Factors'!H195="Pending","PX","R"))</f>
        <v/>
      </c>
      <c r="BB195" s="60">
        <f>SUM((U195+V195+AA195+AC195+AF195+AI195+AL195+AM195+AQ195+AN195)*'Weighting Factors'!$O$5)+'2024 Legal Max'!AX195</f>
        <v>1723814</v>
      </c>
      <c r="BC195" s="24">
        <f>SUM((AR195+AN195)*'Weighting Factors'!$O$5)+AX195</f>
        <v>1903421</v>
      </c>
      <c r="BD195" s="67">
        <f>IF('Weighting Factors'!F195&gt;0,'Weighting Factors'!F195,'Preliminary SO66'!AV194)</f>
        <v>2145610</v>
      </c>
      <c r="BE195" s="24">
        <f t="shared" si="138"/>
        <v>1903421</v>
      </c>
      <c r="BF195" s="71">
        <f>'Weighting Factors'!E195</f>
        <v>0</v>
      </c>
      <c r="BG195" s="71">
        <f>Transportation!G195</f>
        <v>0</v>
      </c>
      <c r="BH195" s="24">
        <f>IF(ISNA(VLOOKUP($CW195,'Audit Values'!$A:$BW,2,FALSE)), 0, VLOOKUP($CW195,'Audit Values'!$A:$BW,75,FALSE))</f>
        <v>0</v>
      </c>
      <c r="BI195" s="24">
        <f t="shared" si="139"/>
        <v>0</v>
      </c>
      <c r="BJ195" s="24">
        <f t="shared" si="140"/>
        <v>1903421</v>
      </c>
      <c r="BK195" s="24">
        <f>SUM((U195+V195+AA195+AC195+AF195+AI195+AL195+AM195+AN195)*'Weighting Factors'!O$12)+(MAX(AO195,'Weighting Factors'!B195))</f>
        <v>1927223</v>
      </c>
      <c r="BL195" s="78">
        <f>'LOB%'!F193</f>
        <v>0.33</v>
      </c>
      <c r="BM195" s="24">
        <f t="shared" si="111"/>
        <v>635984</v>
      </c>
      <c r="BN195" s="67">
        <v>716366</v>
      </c>
      <c r="BO195" s="24">
        <f t="shared" si="141"/>
        <v>635984</v>
      </c>
      <c r="BP195" s="89">
        <f t="shared" si="112"/>
        <v>0.33</v>
      </c>
      <c r="BQ195" s="58">
        <f t="shared" si="113"/>
        <v>0</v>
      </c>
      <c r="BR195" s="1" t="b">
        <f t="shared" si="114"/>
        <v>1</v>
      </c>
      <c r="BS195" s="76">
        <f t="shared" si="115"/>
        <v>419.99299999999999</v>
      </c>
      <c r="BT195" s="75">
        <f t="shared" si="142"/>
        <v>0.89902499999999996</v>
      </c>
      <c r="BU195" s="58">
        <f t="shared" si="116"/>
        <v>129</v>
      </c>
      <c r="BV195" s="1" t="b">
        <f t="shared" si="117"/>
        <v>0</v>
      </c>
      <c r="BW195" s="1">
        <f t="shared" si="118"/>
        <v>0</v>
      </c>
      <c r="BX195" s="75">
        <f t="shared" si="143"/>
        <v>0</v>
      </c>
      <c r="BY195" s="58">
        <f t="shared" si="119"/>
        <v>0</v>
      </c>
      <c r="BZ195" s="58">
        <f t="shared" si="120"/>
        <v>0</v>
      </c>
      <c r="CA195" s="61">
        <v>196</v>
      </c>
      <c r="CB195" s="102">
        <f t="shared" si="121"/>
        <v>5.6000000000000001E-2</v>
      </c>
      <c r="CC195" s="105">
        <f>IF(CB195&lt;0.06,1,IF(CB195&gt;=18.29,52,MATCH(CB195-0.001,'Weighting Factors'!$W$5:$W$156)+1))</f>
        <v>1</v>
      </c>
      <c r="CD195" s="24">
        <f>VLOOKUP(CC195, 'Weighting Factors'!$U$5:$X$56,4)</f>
        <v>1620</v>
      </c>
      <c r="CE195" s="109">
        <f>('Weighting Factors'!$O$5/'Weighting Factors'!$O$14)</f>
        <v>1.2216</v>
      </c>
      <c r="CF195" s="100">
        <f t="shared" si="122"/>
        <v>17820</v>
      </c>
      <c r="CG195" s="100">
        <f>CF195*'Weighting Factors'!$Q$7</f>
        <v>17820</v>
      </c>
      <c r="CH195" s="100">
        <f t="shared" si="144"/>
        <v>21769</v>
      </c>
      <c r="CI195" s="58">
        <f>AK195/'Weighting Factors'!$O$5</f>
        <v>4.3</v>
      </c>
      <c r="CJ195" s="67">
        <v>0</v>
      </c>
      <c r="CK195" s="80">
        <v>0</v>
      </c>
      <c r="CL195" s="110">
        <v>0</v>
      </c>
      <c r="CM195" s="24">
        <f>SUM((AR195*'Weighting Factors'!$O$5)+'2024 Legal Max'!AX195)*CL195</f>
        <v>0</v>
      </c>
      <c r="CN195" s="24">
        <f t="shared" si="145"/>
        <v>0</v>
      </c>
      <c r="CO195" s="65">
        <f t="shared" si="110"/>
        <v>0.76</v>
      </c>
      <c r="CP195" s="58">
        <f t="shared" si="123"/>
        <v>10</v>
      </c>
      <c r="CQ195" s="58">
        <f t="shared" si="124"/>
        <v>0</v>
      </c>
      <c r="CR195" s="58">
        <f t="shared" si="125"/>
        <v>374.1</v>
      </c>
      <c r="CS195" s="24">
        <f>'Required Transfers'!L195</f>
        <v>79371</v>
      </c>
      <c r="CT195" s="24">
        <f>'Required Transfers'!O195</f>
        <v>3307</v>
      </c>
      <c r="CU195" s="24">
        <f>'Required Transfers'!H195</f>
        <v>284928</v>
      </c>
      <c r="CV195" s="58">
        <f t="shared" si="126"/>
        <v>119.5</v>
      </c>
      <c r="CW195" s="27" t="s">
        <v>380</v>
      </c>
    </row>
    <row r="196" spans="1:101" ht="15" customHeight="1">
      <c r="A196" s="54">
        <v>402</v>
      </c>
      <c r="B196" s="1" t="s">
        <v>10</v>
      </c>
      <c r="C196" s="1" t="s">
        <v>700</v>
      </c>
      <c r="D196" s="58">
        <v>1966.1</v>
      </c>
      <c r="E196" s="58"/>
      <c r="F196" s="58">
        <v>0</v>
      </c>
      <c r="G196" s="58">
        <f t="shared" si="127"/>
        <v>1966.1</v>
      </c>
      <c r="H196" s="58">
        <v>1952.5</v>
      </c>
      <c r="I196" s="58"/>
      <c r="J196" s="58">
        <v>0</v>
      </c>
      <c r="K196" s="58">
        <f t="shared" si="128"/>
        <v>1952.5</v>
      </c>
      <c r="L196" s="1">
        <v>1947.1</v>
      </c>
      <c r="N196" s="1">
        <v>0</v>
      </c>
      <c r="O196" s="58">
        <f t="shared" si="129"/>
        <v>1947.1</v>
      </c>
      <c r="P196" s="58">
        <f>IF(ISNA(VLOOKUP($CW196,'Audit Values'!$A:$BZ,2,FALSE)),'Preliminary SO66'!C195,VLOOKUP($CW196,'Audit Values'!$A:$BZ,76,FALSE))</f>
        <v>1892.5</v>
      </c>
      <c r="Q196" s="58">
        <f>IF(ISNA(VLOOKUP($CW196,'Audit Values'!$A:$BZ,2,FALSE)),'Preliminary SO66'!F195,VLOOKUP($CW196,'Audit Values'!$A:$BZ,4,FALSE))</f>
        <v>0</v>
      </c>
      <c r="R196" s="58">
        <f t="shared" si="133"/>
        <v>1892.5</v>
      </c>
      <c r="S196" s="58">
        <f>IF('Military Provision'!I196="YES", MAX('2024 Legal Max'!O196,'2024 Legal Max'!K196,AVERAGE('2024 Legal Max'!G196,'2024 Legal Max'!K196,'2024 Legal Max'!O196)), MAX(O196, K196))</f>
        <v>1952.5</v>
      </c>
      <c r="T196" s="58">
        <f>IF(ISNA(VLOOKUP($CW196,'Audit Values'!$A:$BX,2,FALSE)),'Preliminary SO66'!AL195,VLOOKUP($CW196,'Audit Values'!$A:$BX,59,FALSE))</f>
        <v>27.5</v>
      </c>
      <c r="U196" s="58">
        <f t="shared" si="134"/>
        <v>1980</v>
      </c>
      <c r="V196" s="58">
        <f>'Low-High ENRL- 2023 HSubSB 113'!N199</f>
        <v>69.400000000000006</v>
      </c>
      <c r="W196" s="58">
        <f>IF(ISNA(VLOOKUP($CW196,'Audit Values'!$A:$BZ,2,FALSE)),'Preliminary SO66'!AM195,VLOOKUP($CW196,'Audit Values'!$A:$BZ,63,FALSE))</f>
        <v>10</v>
      </c>
      <c r="X196" s="58">
        <f>(W196/6)*'Weighting Factors'!$O$7</f>
        <v>0.7</v>
      </c>
      <c r="Y196" s="61">
        <f>IF(ISNA(VLOOKUP($CW196,'Audit Values'!$A:$BZ,2,FALSE)),'Preliminary SO66'!AN195,VLOOKUP($CW196,'Audit Values'!$A:$BZ,62,FALSE))</f>
        <v>17</v>
      </c>
      <c r="Z196" s="58">
        <f>Y196*'Weighting Factors'!$O$8</f>
        <v>3.1</v>
      </c>
      <c r="AA196" s="58">
        <f t="shared" si="135"/>
        <v>3.1</v>
      </c>
      <c r="AB196" s="106">
        <f>IF(ISNA(VLOOKUP($CW196,'Audit Values'!$A:$BZ,2,FALSE)),'Preliminary SO66'!AO195,VLOOKUP($CW196,'Audit Values'!$A:$BZ,61,FALSE))</f>
        <v>562.9</v>
      </c>
      <c r="AC196" s="58">
        <f>AB196/6*'Weighting Factors'!$O$6</f>
        <v>46.9</v>
      </c>
      <c r="AD196" s="24">
        <f>IF(ISNA(VLOOKUP($CW196,'Audit Values'!$A:$BX,2,FALSE)),'Preliminary SO66'!AS195,VLOOKUP($CW196,'Audit Values'!$A:$BX,64,FALSE))</f>
        <v>2021</v>
      </c>
      <c r="AE196" s="24">
        <f>IF(ISNA(VLOOKUP($CW196,'Audit Values'!$A:$BX,2,FALSE)),'Preliminary SO66'!AP195,VLOOKUP($CW196,'Audit Values'!$A:$BX,65,FALSE))</f>
        <v>728</v>
      </c>
      <c r="AF196" s="58">
        <f>IF(A196=207, AE196,(AE196))*'Weighting Factors'!$O$9</f>
        <v>352.4</v>
      </c>
      <c r="AG196" s="58">
        <f t="shared" si="132"/>
        <v>5.2</v>
      </c>
      <c r="AH196" s="58">
        <f>IF(ISNA(VLOOKUP($CW196,'Audit Values'!$A:$BZ,2,FALSE)),'Preliminary SO66'!AG195,VLOOKUP($CW196,'Audit Values'!$A:$BZ,71,FALSE))</f>
        <v>15.1</v>
      </c>
      <c r="AI196" s="58">
        <f t="shared" si="136"/>
        <v>15.1</v>
      </c>
      <c r="AJ196" s="58">
        <f>IF(ISNA(VLOOKUP($CW196,'Audit Values'!$A:$BX,2,FALSE)),'Preliminary SO66'!AR195,VLOOKUP($CW196,'Audit Values'!$A:$BX,66,FALSE))</f>
        <v>339</v>
      </c>
      <c r="AK196" s="24">
        <f t="shared" si="137"/>
        <v>294027</v>
      </c>
      <c r="AL196" s="58">
        <f>AK196/'Weighting Factors'!$O$5</f>
        <v>57.8</v>
      </c>
      <c r="AM196" s="58">
        <f>CJ196/'Weighting Factors'!$O$5</f>
        <v>0</v>
      </c>
      <c r="AN196" s="58">
        <f>CN196/'Weighting Factors'!$O$5</f>
        <v>0</v>
      </c>
      <c r="AO196" s="24">
        <v>1635110</v>
      </c>
      <c r="AP196" s="58">
        <f>AO196/'Weighting Factors'!$O$5</f>
        <v>321.39999999999998</v>
      </c>
      <c r="AQ196" s="58">
        <f>IF(ISNA(VLOOKUP($CW196,'Audit Values'!$A:$BX,2,FALSE)),'Preliminary SO66'!X195,VLOOKUP($CW196,'Audit Values'!$A:$BX,48,FALSE))</f>
        <v>0</v>
      </c>
      <c r="AR196" s="58">
        <f t="shared" si="130"/>
        <v>2846.1</v>
      </c>
      <c r="AS196" s="58">
        <f t="shared" si="131"/>
        <v>2524.6999999999998</v>
      </c>
      <c r="AT196" s="58">
        <f>IF(ISNA(VLOOKUP($CW196,'Audit Values'!$A$2:$BX$410,2,FALSE)),'Preliminary SO66'!AA195,VLOOKUP($CW196,'Audit Values'!$A$2:$BX$410,41,FALSE))</f>
        <v>3</v>
      </c>
      <c r="AU196" s="58">
        <f>IF(ISNA(VLOOKUP($CW196,'Audit Values'!$A$2:$BX$410,2,FALSE)),'Preliminary SO66'!AB195,VLOOKUP($CW196,'Audit Values'!$A$2:$BX$410,42,FALSE))</f>
        <v>0</v>
      </c>
      <c r="AV196" s="73">
        <v>0</v>
      </c>
      <c r="AW196" s="73">
        <v>0</v>
      </c>
      <c r="AX196" s="24">
        <f>SUM(AT196*'Weighting Factors'!$R$10)+('2024 Legal Max'!AU196*'Weighting Factors'!$R$11)+('2024 Legal Max'!AV196*'Weighting Factors'!$R$12)+('2024 Legal Max'!AW196*'Weighting Factors'!$R$12)</f>
        <v>16800</v>
      </c>
      <c r="AY196" s="54">
        <f>IF(ISNA(VLOOKUP($CW196,'Audit Values'!$A$2:$BX$429,2,FALSE)),"",IF(AND('Weighting Factors'!G196&gt;0,VLOOKUP($CW196,'Audit Values'!$A$2:$BX$429,51,FALSE)&lt;'Weighting Factors'!G196),'Weighting Factors'!G196,VLOOKUP($CW196,'Audit Values'!$A$2:$BX$429,51,FALSE)))</f>
        <v>18</v>
      </c>
      <c r="AZ196" s="54" t="str">
        <f>IF(ISNA(VLOOKUP($CW196,'Audit Values'!$A:$BY,2,FALSE)),"",VLOOKUP($CW196,'Audit Values'!$A:$BY,52,FALSE))</f>
        <v>A</v>
      </c>
      <c r="BA196" s="54" t="str">
        <f>IF('Weighting Factors'!F196="","",IF('Weighting Factors'!H196="Pending","PX","R"))</f>
        <v/>
      </c>
      <c r="BB196" s="60">
        <f>SUM((U196+V196+AA196+AC196+AF196+AI196+AL196+AM196+AQ196+AN196)*'Weighting Factors'!$O$5)+'2024 Legal Max'!AX196</f>
        <v>12862474</v>
      </c>
      <c r="BC196" s="24">
        <f>SUM((AR196+AN196)*'Weighting Factors'!$O$5)+AX196</f>
        <v>14497757</v>
      </c>
      <c r="BD196" s="67">
        <f>IF('Weighting Factors'!F196&gt;0,'Weighting Factors'!F196,'Preliminary SO66'!AV195)</f>
        <v>14802035</v>
      </c>
      <c r="BE196" s="24">
        <f t="shared" si="138"/>
        <v>14497757</v>
      </c>
      <c r="BF196" s="71">
        <f>'Weighting Factors'!E196</f>
        <v>0</v>
      </c>
      <c r="BG196" s="71">
        <f>Transportation!G196</f>
        <v>0</v>
      </c>
      <c r="BH196" s="24">
        <f>IF(ISNA(VLOOKUP($CW196,'Audit Values'!$A:$BW,2,FALSE)), 0, VLOOKUP($CW196,'Audit Values'!$A:$BW,75,FALSE))</f>
        <v>0</v>
      </c>
      <c r="BI196" s="24">
        <f t="shared" si="139"/>
        <v>0</v>
      </c>
      <c r="BJ196" s="24">
        <f t="shared" si="140"/>
        <v>14497757</v>
      </c>
      <c r="BK196" s="24">
        <f>SUM((U196+V196+AA196+AC196+AF196+AI196+AL196+AM196+AN196)*'Weighting Factors'!O$12)+(MAX(AO196,'Weighting Factors'!B196))</f>
        <v>14679531</v>
      </c>
      <c r="BL196" s="78">
        <f>'LOB%'!F194</f>
        <v>0.33</v>
      </c>
      <c r="BM196" s="24">
        <f t="shared" si="111"/>
        <v>4844245</v>
      </c>
      <c r="BN196" s="67">
        <v>4928912</v>
      </c>
      <c r="BO196" s="24">
        <f t="shared" si="141"/>
        <v>4844245</v>
      </c>
      <c r="BP196" s="89">
        <f t="shared" si="112"/>
        <v>0.33</v>
      </c>
      <c r="BQ196" s="58">
        <f t="shared" si="113"/>
        <v>0</v>
      </c>
      <c r="BR196" s="1" t="b">
        <f t="shared" si="114"/>
        <v>0</v>
      </c>
      <c r="BS196" s="76">
        <f t="shared" si="115"/>
        <v>0</v>
      </c>
      <c r="BT196" s="75">
        <f t="shared" si="142"/>
        <v>0</v>
      </c>
      <c r="BU196" s="58">
        <f t="shared" si="116"/>
        <v>0</v>
      </c>
      <c r="BV196" s="1" t="b">
        <f t="shared" si="117"/>
        <v>0</v>
      </c>
      <c r="BW196" s="1">
        <f t="shared" si="118"/>
        <v>0</v>
      </c>
      <c r="BX196" s="75">
        <f t="shared" si="143"/>
        <v>0</v>
      </c>
      <c r="BY196" s="58">
        <f t="shared" si="119"/>
        <v>0</v>
      </c>
      <c r="BZ196" s="58">
        <f t="shared" si="120"/>
        <v>69.400000000000006</v>
      </c>
      <c r="CA196" s="61">
        <v>69.5</v>
      </c>
      <c r="CB196" s="102">
        <f t="shared" si="121"/>
        <v>4.8780000000000001</v>
      </c>
      <c r="CC196" s="105">
        <f>IF(CB196&lt;0.06,1,IF(CB196&gt;=18.29,52,MATCH(CB196-0.001,'Weighting Factors'!$W$5:$W$156)+1))</f>
        <v>44</v>
      </c>
      <c r="CD196" s="24">
        <f>VLOOKUP(CC196, 'Weighting Factors'!$U$5:$X$56,4)</f>
        <v>710</v>
      </c>
      <c r="CE196" s="109">
        <f>('Weighting Factors'!$O$5/'Weighting Factors'!$O$14)</f>
        <v>1.2216</v>
      </c>
      <c r="CF196" s="100">
        <f t="shared" si="122"/>
        <v>240690</v>
      </c>
      <c r="CG196" s="100">
        <f>CF196*'Weighting Factors'!$Q$7</f>
        <v>240690</v>
      </c>
      <c r="CH196" s="100">
        <f t="shared" si="144"/>
        <v>294027</v>
      </c>
      <c r="CI196" s="58">
        <f>AK196/'Weighting Factors'!$O$5</f>
        <v>57.8</v>
      </c>
      <c r="CJ196" s="67">
        <v>0</v>
      </c>
      <c r="CK196" s="80">
        <v>0</v>
      </c>
      <c r="CL196" s="110">
        <v>0</v>
      </c>
      <c r="CM196" s="24">
        <f>SUM((AR196*'Weighting Factors'!$O$5)+'2024 Legal Max'!AX196)*CL196</f>
        <v>0</v>
      </c>
      <c r="CN196" s="24">
        <f t="shared" si="145"/>
        <v>0</v>
      </c>
      <c r="CO196" s="65">
        <f t="shared" ref="CO196:CO259" si="146">AE196/AD196</f>
        <v>0.36020000000000002</v>
      </c>
      <c r="CP196" s="58">
        <f t="shared" si="123"/>
        <v>0</v>
      </c>
      <c r="CQ196" s="58">
        <f t="shared" si="124"/>
        <v>5.2</v>
      </c>
      <c r="CR196" s="58">
        <f t="shared" si="125"/>
        <v>2846.1</v>
      </c>
      <c r="CS196" s="24">
        <f>'Required Transfers'!L196</f>
        <v>605531</v>
      </c>
      <c r="CT196" s="24">
        <f>'Required Transfers'!O196</f>
        <v>5329</v>
      </c>
      <c r="CU196" s="24">
        <f>'Required Transfers'!H196</f>
        <v>1869840</v>
      </c>
      <c r="CV196" s="58">
        <f t="shared" si="126"/>
        <v>1923</v>
      </c>
      <c r="CW196" s="27" t="s">
        <v>381</v>
      </c>
    </row>
    <row r="197" spans="1:101" ht="15" customHeight="1">
      <c r="A197" s="54">
        <v>403</v>
      </c>
      <c r="B197" s="1" t="s">
        <v>88</v>
      </c>
      <c r="C197" s="1" t="s">
        <v>701</v>
      </c>
      <c r="D197" s="58">
        <v>205.8</v>
      </c>
      <c r="E197" s="58"/>
      <c r="F197" s="58">
        <v>0</v>
      </c>
      <c r="G197" s="58">
        <f t="shared" si="127"/>
        <v>205.8</v>
      </c>
      <c r="H197" s="58">
        <v>191.3</v>
      </c>
      <c r="I197" s="58"/>
      <c r="J197" s="58">
        <v>0</v>
      </c>
      <c r="K197" s="58">
        <f t="shared" si="128"/>
        <v>191.3</v>
      </c>
      <c r="L197" s="1">
        <v>201.6</v>
      </c>
      <c r="N197" s="1">
        <v>0</v>
      </c>
      <c r="O197" s="58">
        <f t="shared" si="129"/>
        <v>201.6</v>
      </c>
      <c r="P197" s="58">
        <f>IF(ISNA(VLOOKUP($CW197,'Audit Values'!$A:$BZ,2,FALSE)),'Preliminary SO66'!C196,VLOOKUP($CW197,'Audit Values'!$A:$BZ,76,FALSE))</f>
        <v>163.6</v>
      </c>
      <c r="Q197" s="58">
        <f>IF(ISNA(VLOOKUP($CW197,'Audit Values'!$A:$BZ,2,FALSE)),'Preliminary SO66'!F196,VLOOKUP($CW197,'Audit Values'!$A:$BZ,4,FALSE))</f>
        <v>0</v>
      </c>
      <c r="R197" s="58">
        <f t="shared" si="133"/>
        <v>163.6</v>
      </c>
      <c r="S197" s="58">
        <f>IF('Military Provision'!I197="YES", MAX('2024 Legal Max'!O197,'2024 Legal Max'!K197,AVERAGE('2024 Legal Max'!G197,'2024 Legal Max'!K197,'2024 Legal Max'!O197)), MAX(O197, K197))</f>
        <v>201.6</v>
      </c>
      <c r="T197" s="58">
        <f>IF(ISNA(VLOOKUP($CW197,'Audit Values'!$A:$BX,2,FALSE)),'Preliminary SO66'!AL196,VLOOKUP($CW197,'Audit Values'!$A:$BX,59,FALSE))</f>
        <v>3</v>
      </c>
      <c r="U197" s="58">
        <f t="shared" si="134"/>
        <v>204.6</v>
      </c>
      <c r="V197" s="58">
        <f>'Low-High ENRL- 2023 HSubSB 113'!N200</f>
        <v>150.80000000000001</v>
      </c>
      <c r="W197" s="58">
        <f>IF(ISNA(VLOOKUP($CW197,'Audit Values'!$A:$BZ,2,FALSE)),'Preliminary SO66'!AM196,VLOOKUP($CW197,'Audit Values'!$A:$BZ,63,FALSE))</f>
        <v>4.0999999999999996</v>
      </c>
      <c r="X197" s="58">
        <f>(W197/6)*'Weighting Factors'!$O$7</f>
        <v>0.3</v>
      </c>
      <c r="Y197" s="61">
        <f>IF(ISNA(VLOOKUP($CW197,'Audit Values'!$A:$BZ,2,FALSE)),'Preliminary SO66'!AN196,VLOOKUP($CW197,'Audit Values'!$A:$BZ,62,FALSE))</f>
        <v>3</v>
      </c>
      <c r="Z197" s="58">
        <f>Y197*'Weighting Factors'!$O$8</f>
        <v>0.6</v>
      </c>
      <c r="AA197" s="58">
        <f t="shared" si="135"/>
        <v>0.6</v>
      </c>
      <c r="AB197" s="106">
        <f>IF(ISNA(VLOOKUP($CW197,'Audit Values'!$A:$BZ,2,FALSE)),'Preliminary SO66'!AO196,VLOOKUP($CW197,'Audit Values'!$A:$BZ,61,FALSE))</f>
        <v>58.8</v>
      </c>
      <c r="AC197" s="58">
        <f>AB197/6*'Weighting Factors'!$O$6</f>
        <v>4.9000000000000004</v>
      </c>
      <c r="AD197" s="24">
        <f>IF(ISNA(VLOOKUP($CW197,'Audit Values'!$A:$BX,2,FALSE)),'Preliminary SO66'!AS196,VLOOKUP($CW197,'Audit Values'!$A:$BX,64,FALSE))</f>
        <v>170</v>
      </c>
      <c r="AE197" s="24">
        <f>IF(ISNA(VLOOKUP($CW197,'Audit Values'!$A:$BX,2,FALSE)),'Preliminary SO66'!AP196,VLOOKUP($CW197,'Audit Values'!$A:$BX,65,FALSE))</f>
        <v>63</v>
      </c>
      <c r="AF197" s="58">
        <f>IF(A197=207, AE197,(AE197))*'Weighting Factors'!$O$9</f>
        <v>30.5</v>
      </c>
      <c r="AG197" s="58">
        <f t="shared" si="132"/>
        <v>0.9</v>
      </c>
      <c r="AH197" s="58">
        <f>IF(ISNA(VLOOKUP($CW197,'Audit Values'!$A:$BZ,2,FALSE)),'Preliminary SO66'!AG196,VLOOKUP($CW197,'Audit Values'!$A:$BZ,71,FALSE))</f>
        <v>1</v>
      </c>
      <c r="AI197" s="58">
        <f t="shared" si="136"/>
        <v>1</v>
      </c>
      <c r="AJ197" s="58">
        <f>IF(ISNA(VLOOKUP($CW197,'Audit Values'!$A:$BX,2,FALSE)),'Preliminary SO66'!AR196,VLOOKUP($CW197,'Audit Values'!$A:$BX,66,FALSE))</f>
        <v>80</v>
      </c>
      <c r="AK197" s="24">
        <f t="shared" si="137"/>
        <v>122160</v>
      </c>
      <c r="AL197" s="58">
        <f>AK197/'Weighting Factors'!$O$5</f>
        <v>24</v>
      </c>
      <c r="AM197" s="58">
        <f>CJ197/'Weighting Factors'!$O$5</f>
        <v>0</v>
      </c>
      <c r="AN197" s="58">
        <f>CN197/'Weighting Factors'!$O$5</f>
        <v>0</v>
      </c>
      <c r="AO197" s="24">
        <v>302819</v>
      </c>
      <c r="AP197" s="58">
        <f>AO197/'Weighting Factors'!$O$5</f>
        <v>59.5</v>
      </c>
      <c r="AQ197" s="58">
        <f>IF(ISNA(VLOOKUP($CW197,'Audit Values'!$A:$BX,2,FALSE)),'Preliminary SO66'!X196,VLOOKUP($CW197,'Audit Values'!$A:$BX,48,FALSE))</f>
        <v>0</v>
      </c>
      <c r="AR197" s="58">
        <f t="shared" si="130"/>
        <v>475.9</v>
      </c>
      <c r="AS197" s="58">
        <f t="shared" si="131"/>
        <v>416.4</v>
      </c>
      <c r="AT197" s="58">
        <f>IF(ISNA(VLOOKUP($CW197,'Audit Values'!$A$2:$BX$410,2,FALSE)),'Preliminary SO66'!AA196,VLOOKUP($CW197,'Audit Values'!$A$2:$BX$410,41,FALSE))</f>
        <v>24</v>
      </c>
      <c r="AU197" s="58">
        <f>IF(ISNA(VLOOKUP($CW197,'Audit Values'!$A$2:$BX$410,2,FALSE)),'Preliminary SO66'!AB196,VLOOKUP($CW197,'Audit Values'!$A$2:$BX$410,42,FALSE))</f>
        <v>1.8</v>
      </c>
      <c r="AV197" s="73">
        <v>0</v>
      </c>
      <c r="AW197" s="73">
        <v>0</v>
      </c>
      <c r="AX197" s="24">
        <f>SUM(AT197*'Weighting Factors'!$R$10)+('2024 Legal Max'!AU197*'Weighting Factors'!$R$11)+('2024 Legal Max'!AV197*'Weighting Factors'!$R$12)+('2024 Legal Max'!AW197*'Weighting Factors'!$R$12)</f>
        <v>139440</v>
      </c>
      <c r="AY197" s="54">
        <f>IF(ISNA(VLOOKUP($CW197,'Audit Values'!$A$2:$BX$429,2,FALSE)),"",IF(AND('Weighting Factors'!G197&gt;0,VLOOKUP($CW197,'Audit Values'!$A$2:$BX$429,51,FALSE)&lt;'Weighting Factors'!G197),'Weighting Factors'!G197,VLOOKUP($CW197,'Audit Values'!$A$2:$BX$429,51,FALSE)))</f>
        <v>18</v>
      </c>
      <c r="AZ197" s="54" t="str">
        <f>IF(ISNA(VLOOKUP($CW197,'Audit Values'!$A:$BY,2,FALSE)),"",VLOOKUP($CW197,'Audit Values'!$A:$BY,52,FALSE))</f>
        <v>A</v>
      </c>
      <c r="BA197" s="54" t="str">
        <f>IF('Weighting Factors'!F197="","",IF('Weighting Factors'!H197="Pending","PX","R"))</f>
        <v/>
      </c>
      <c r="BB197" s="60">
        <f>SUM((U197+V197+AA197+AC197+AF197+AI197+AL197+AM197+AQ197+AN197)*'Weighting Factors'!$O$5)+'2024 Legal Max'!AX197</f>
        <v>2258083</v>
      </c>
      <c r="BC197" s="24">
        <f>SUM((AR197+AN197)*'Weighting Factors'!$O$5)+AX197</f>
        <v>2560819</v>
      </c>
      <c r="BD197" s="67">
        <f>IF('Weighting Factors'!F197&gt;0,'Weighting Factors'!F197,'Preliminary SO66'!AV196)</f>
        <v>2720653</v>
      </c>
      <c r="BE197" s="24">
        <f t="shared" si="138"/>
        <v>2560819</v>
      </c>
      <c r="BF197" s="71">
        <f>'Weighting Factors'!E197</f>
        <v>0</v>
      </c>
      <c r="BG197" s="71">
        <f>Transportation!G197</f>
        <v>-5115</v>
      </c>
      <c r="BH197" s="24">
        <f>IF(ISNA(VLOOKUP($CW197,'Audit Values'!$A:$BW,2,FALSE)), 0, VLOOKUP($CW197,'Audit Values'!$A:$BW,75,FALSE))</f>
        <v>-13826</v>
      </c>
      <c r="BI197" s="24">
        <f t="shared" si="139"/>
        <v>-18941</v>
      </c>
      <c r="BJ197" s="24">
        <f t="shared" si="140"/>
        <v>2541878</v>
      </c>
      <c r="BK197" s="24">
        <f>SUM((U197+V197+AA197+AC197+AF197+AI197+AL197+AM197+AN197)*'Weighting Factors'!O$12)+(MAX(AO197,'Weighting Factors'!B197))</f>
        <v>2450610</v>
      </c>
      <c r="BL197" s="78">
        <f>'LOB%'!F195</f>
        <v>0.316</v>
      </c>
      <c r="BM197" s="24">
        <f t="shared" ref="BM197:BM260" si="147">BK197*BL197</f>
        <v>774393</v>
      </c>
      <c r="BN197" s="67">
        <v>814287</v>
      </c>
      <c r="BO197" s="24">
        <f t="shared" si="141"/>
        <v>774393</v>
      </c>
      <c r="BP197" s="89">
        <f t="shared" ref="BP197:BP260" si="148">BO197/BK197</f>
        <v>0.316</v>
      </c>
      <c r="BQ197" s="58">
        <f t="shared" ref="BQ197:BQ260" si="149">ROUND(IF(U197&lt;=99.9,(U197*1.014331),0),1)</f>
        <v>0</v>
      </c>
      <c r="BR197" s="1" t="b">
        <f t="shared" ref="BR197:BR260" si="150">AND(U197&gt;99.9,U197&lt;=299.9)</f>
        <v>1</v>
      </c>
      <c r="BS197" s="76">
        <f t="shared" ref="BS197:BS260" si="151">IF(BR197=TRUE,ROUND((U197-100)*9.655,3),0)</f>
        <v>1009.913</v>
      </c>
      <c r="BT197" s="75">
        <f t="shared" si="142"/>
        <v>0.73706499999999997</v>
      </c>
      <c r="BU197" s="58">
        <f t="shared" ref="BU197:BU260" si="152">ROUND(BT197*U197,1)</f>
        <v>150.80000000000001</v>
      </c>
      <c r="BV197" s="1" t="b">
        <f t="shared" ref="BV197:BV260" si="153">AND(U197&gt;299.9,U197&lt;=1621.9)</f>
        <v>0</v>
      </c>
      <c r="BW197" s="1">
        <f t="shared" ref="BW197:BW260" si="154">IF(BV197=TRUE,ROUND((U197-300)*1.2375,4),0)</f>
        <v>0</v>
      </c>
      <c r="BX197" s="75">
        <f t="shared" si="143"/>
        <v>0</v>
      </c>
      <c r="BY197" s="58">
        <f t="shared" ref="BY197:BY260" si="155">ROUND(BX197*U197,1)</f>
        <v>0</v>
      </c>
      <c r="BZ197" s="58">
        <f t="shared" ref="BZ197:BZ260" si="156">ROUND(IF(U197&gt;=1622,(U197*0.03504),0),1)</f>
        <v>0</v>
      </c>
      <c r="CA197" s="61">
        <v>339.5</v>
      </c>
      <c r="CB197" s="102">
        <f t="shared" ref="CB197:CB260" si="157">AJ197/CA197</f>
        <v>0.23599999999999999</v>
      </c>
      <c r="CC197" s="105">
        <f>IF(CB197&lt;0.06,1,IF(CB197&gt;=18.29,52,MATCH(CB197-0.001,'Weighting Factors'!$W$5:$W$156)+1))</f>
        <v>17</v>
      </c>
      <c r="CD197" s="24">
        <f>VLOOKUP(CC197, 'Weighting Factors'!$U$5:$X$56,4)</f>
        <v>1250</v>
      </c>
      <c r="CE197" s="109">
        <f>('Weighting Factors'!$O$5/'Weighting Factors'!$O$14)</f>
        <v>1.2216</v>
      </c>
      <c r="CF197" s="100">
        <f t="shared" ref="CF197:CF260" si="158">AJ197*CD197</f>
        <v>100000</v>
      </c>
      <c r="CG197" s="100">
        <f>CF197*'Weighting Factors'!$Q$7</f>
        <v>100000</v>
      </c>
      <c r="CH197" s="100">
        <f t="shared" si="144"/>
        <v>122160</v>
      </c>
      <c r="CI197" s="58">
        <f>AK197/'Weighting Factors'!$O$5</f>
        <v>24</v>
      </c>
      <c r="CJ197" s="67">
        <v>0</v>
      </c>
      <c r="CK197" s="80">
        <v>0</v>
      </c>
      <c r="CL197" s="110">
        <v>0</v>
      </c>
      <c r="CM197" s="24">
        <f>SUM((AR197*'Weighting Factors'!$O$5)+'2024 Legal Max'!AX197)*CL197</f>
        <v>0</v>
      </c>
      <c r="CN197" s="24">
        <f t="shared" si="145"/>
        <v>0</v>
      </c>
      <c r="CO197" s="65">
        <f t="shared" si="146"/>
        <v>0.37059999999999998</v>
      </c>
      <c r="CP197" s="58">
        <f t="shared" ref="CP197:CP260" si="159">IF(CO197&gt;=50%,AE197*10.5%,0)</f>
        <v>0</v>
      </c>
      <c r="CQ197" s="58">
        <f t="shared" ref="CQ197:CQ260" si="160">IF(AND(CO197&gt;35%,CO197&lt;50%),AE197*(CO197-35%)*0.7,0)</f>
        <v>0.9</v>
      </c>
      <c r="CR197" s="58">
        <f t="shared" ref="CR197:CR260" si="161">AS197+AP197</f>
        <v>475.9</v>
      </c>
      <c r="CS197" s="24">
        <f>'Required Transfers'!L197</f>
        <v>49948</v>
      </c>
      <c r="CT197" s="24">
        <f>'Required Transfers'!O197</f>
        <v>1007</v>
      </c>
      <c r="CU197" s="24">
        <f>'Required Transfers'!H197</f>
        <v>160272</v>
      </c>
      <c r="CV197" s="58">
        <f t="shared" ref="CV197:CV260" si="162">SUM(R197+T197+AT197+AU197+AV197/6+AW197/6)</f>
        <v>192.4</v>
      </c>
      <c r="CW197" s="27" t="s">
        <v>382</v>
      </c>
    </row>
    <row r="198" spans="1:101" ht="15" customHeight="1">
      <c r="A198" s="54">
        <v>404</v>
      </c>
      <c r="B198" s="1" t="s">
        <v>29</v>
      </c>
      <c r="C198" s="1" t="s">
        <v>702</v>
      </c>
      <c r="D198" s="58">
        <v>650.9</v>
      </c>
      <c r="E198" s="58"/>
      <c r="F198" s="58">
        <v>0</v>
      </c>
      <c r="G198" s="58">
        <f t="shared" ref="G198:G261" si="163">SUM(D198-E198+F198)</f>
        <v>650.9</v>
      </c>
      <c r="H198" s="58">
        <v>643</v>
      </c>
      <c r="I198" s="58"/>
      <c r="J198" s="58">
        <v>0</v>
      </c>
      <c r="K198" s="58">
        <f t="shared" ref="K198:K261" si="164">SUM(H198-I198+J198)</f>
        <v>643</v>
      </c>
      <c r="L198" s="1">
        <v>671.5</v>
      </c>
      <c r="N198" s="1">
        <v>0</v>
      </c>
      <c r="O198" s="58">
        <f t="shared" ref="O198:O261" si="165">SUM(L198-M198+N198)</f>
        <v>671.5</v>
      </c>
      <c r="P198" s="58">
        <f>IF(ISNA(VLOOKUP($CW198,'Audit Values'!$A:$BZ,2,FALSE)),'Preliminary SO66'!C197,VLOOKUP($CW198,'Audit Values'!$A:$BZ,76,FALSE))</f>
        <v>657.5</v>
      </c>
      <c r="Q198" s="58">
        <f>IF(ISNA(VLOOKUP($CW198,'Audit Values'!$A:$BZ,2,FALSE)),'Preliminary SO66'!F197,VLOOKUP($CW198,'Audit Values'!$A:$BZ,4,FALSE))</f>
        <v>0</v>
      </c>
      <c r="R198" s="58">
        <f t="shared" si="133"/>
        <v>657.5</v>
      </c>
      <c r="S198" s="58">
        <f>IF('Military Provision'!I198="YES", MAX('2024 Legal Max'!O198,'2024 Legal Max'!K198,AVERAGE('2024 Legal Max'!G198,'2024 Legal Max'!K198,'2024 Legal Max'!O198)), MAX(O198, K198))</f>
        <v>671.5</v>
      </c>
      <c r="T198" s="58">
        <f>IF(ISNA(VLOOKUP($CW198,'Audit Values'!$A:$BX,2,FALSE)),'Preliminary SO66'!AL197,VLOOKUP($CW198,'Audit Values'!$A:$BX,59,FALSE))</f>
        <v>8.5</v>
      </c>
      <c r="U198" s="58">
        <f t="shared" si="134"/>
        <v>680</v>
      </c>
      <c r="V198" s="58">
        <f>'Low-High ENRL- 2023 HSubSB 113'!N201</f>
        <v>241.5</v>
      </c>
      <c r="W198" s="58">
        <f>IF(ISNA(VLOOKUP($CW198,'Audit Values'!$A:$BZ,2,FALSE)),'Preliminary SO66'!AM197,VLOOKUP($CW198,'Audit Values'!$A:$BZ,63,FALSE))</f>
        <v>0</v>
      </c>
      <c r="X198" s="58">
        <f>(W198/6)*'Weighting Factors'!$O$7</f>
        <v>0</v>
      </c>
      <c r="Y198" s="61">
        <f>IF(ISNA(VLOOKUP($CW198,'Audit Values'!$A:$BZ,2,FALSE)),'Preliminary SO66'!AN197,VLOOKUP($CW198,'Audit Values'!$A:$BZ,62,FALSE))</f>
        <v>2</v>
      </c>
      <c r="Z198" s="58">
        <f>Y198*'Weighting Factors'!$O$8</f>
        <v>0.4</v>
      </c>
      <c r="AA198" s="58">
        <f t="shared" si="135"/>
        <v>0.4</v>
      </c>
      <c r="AB198" s="106">
        <f>IF(ISNA(VLOOKUP($CW198,'Audit Values'!$A:$BZ,2,FALSE)),'Preliminary SO66'!AO197,VLOOKUP($CW198,'Audit Values'!$A:$BZ,61,FALSE))</f>
        <v>244</v>
      </c>
      <c r="AC198" s="58">
        <f>AB198/6*'Weighting Factors'!$O$6</f>
        <v>20.3</v>
      </c>
      <c r="AD198" s="24">
        <f>IF(ISNA(VLOOKUP($CW198,'Audit Values'!$A:$BX,2,FALSE)),'Preliminary SO66'!AS197,VLOOKUP($CW198,'Audit Values'!$A:$BX,64,FALSE))</f>
        <v>688</v>
      </c>
      <c r="AE198" s="24">
        <f>IF(ISNA(VLOOKUP($CW198,'Audit Values'!$A:$BX,2,FALSE)),'Preliminary SO66'!AP197,VLOOKUP($CW198,'Audit Values'!$A:$BX,65,FALSE))</f>
        <v>325</v>
      </c>
      <c r="AF198" s="58">
        <f>IF(A198=207, AE198,(AE198))*'Weighting Factors'!$O$9</f>
        <v>157.30000000000001</v>
      </c>
      <c r="AG198" s="58">
        <f t="shared" si="132"/>
        <v>27.8</v>
      </c>
      <c r="AH198" s="58">
        <f>IF(ISNA(VLOOKUP($CW198,'Audit Values'!$A:$BZ,2,FALSE)),'Preliminary SO66'!AG197,VLOOKUP($CW198,'Audit Values'!$A:$BZ,71,FALSE))</f>
        <v>28</v>
      </c>
      <c r="AI198" s="58">
        <f t="shared" si="136"/>
        <v>28</v>
      </c>
      <c r="AJ198" s="58">
        <f>IF(ISNA(VLOOKUP($CW198,'Audit Values'!$A:$BX,2,FALSE)),'Preliminary SO66'!AR197,VLOOKUP($CW198,'Audit Values'!$A:$BX,66,FALSE))</f>
        <v>211</v>
      </c>
      <c r="AK198" s="24">
        <f t="shared" si="137"/>
        <v>193318</v>
      </c>
      <c r="AL198" s="58">
        <f>AK198/'Weighting Factors'!$O$5</f>
        <v>38</v>
      </c>
      <c r="AM198" s="58">
        <f>CJ198/'Weighting Factors'!$O$5</f>
        <v>0</v>
      </c>
      <c r="AN198" s="58">
        <f>CN198/'Weighting Factors'!$O$5</f>
        <v>0</v>
      </c>
      <c r="AO198" s="24">
        <v>689557</v>
      </c>
      <c r="AP198" s="58">
        <f>AO198/'Weighting Factors'!$O$5</f>
        <v>135.5</v>
      </c>
      <c r="AQ198" s="58">
        <f>IF(ISNA(VLOOKUP($CW198,'Audit Values'!$A:$BX,2,FALSE)),'Preliminary SO66'!X197,VLOOKUP($CW198,'Audit Values'!$A:$BX,48,FALSE))</f>
        <v>0</v>
      </c>
      <c r="AR198" s="58">
        <f t="shared" ref="AR198:AR261" si="166">SUM(U198+V198+AA198+AC198+AF198+AI198+AL198+AM198+AP198+AQ198)</f>
        <v>1301</v>
      </c>
      <c r="AS198" s="58">
        <f t="shared" ref="AS198:AS261" si="167">SUM(U198+V198+AA198+AC198+AF198+AI198+AL198+AM198+AN198+AQ198)</f>
        <v>1165.5</v>
      </c>
      <c r="AT198" s="58">
        <f>IF(ISNA(VLOOKUP($CW198,'Audit Values'!$A$2:$BX$410,2,FALSE)),'Preliminary SO66'!AA197,VLOOKUP($CW198,'Audit Values'!$A$2:$BX$410,41,FALSE))</f>
        <v>4</v>
      </c>
      <c r="AU198" s="58">
        <f>IF(ISNA(VLOOKUP($CW198,'Audit Values'!$A$2:$BX$410,2,FALSE)),'Preliminary SO66'!AB197,VLOOKUP($CW198,'Audit Values'!$A$2:$BX$410,42,FALSE))</f>
        <v>1.5</v>
      </c>
      <c r="AV198" s="73">
        <v>0</v>
      </c>
      <c r="AW198" s="73">
        <v>0</v>
      </c>
      <c r="AX198" s="24">
        <f>SUM(AT198*'Weighting Factors'!$R$10)+('2024 Legal Max'!AU198*'Weighting Factors'!$R$11)+('2024 Legal Max'!AV198*'Weighting Factors'!$R$12)+('2024 Legal Max'!AW198*'Weighting Factors'!$R$12)</f>
        <v>26600</v>
      </c>
      <c r="AY198" s="54">
        <f>IF(ISNA(VLOOKUP($CW198,'Audit Values'!$A$2:$BX$429,2,FALSE)),"",IF(AND('Weighting Factors'!G198&gt;0,VLOOKUP($CW198,'Audit Values'!$A$2:$BX$429,51,FALSE)&lt;'Weighting Factors'!G198),'Weighting Factors'!G198,VLOOKUP($CW198,'Audit Values'!$A$2:$BX$429,51,FALSE)))</f>
        <v>8</v>
      </c>
      <c r="AZ198" s="54" t="str">
        <f>IF(ISNA(VLOOKUP($CW198,'Audit Values'!$A:$BY,2,FALSE)),"",VLOOKUP($CW198,'Audit Values'!$A:$BY,52,FALSE))</f>
        <v>A</v>
      </c>
      <c r="BA198" s="54" t="str">
        <f>IF('Weighting Factors'!F198="","",IF('Weighting Factors'!H198="Pending","PX","R"))</f>
        <v/>
      </c>
      <c r="BB198" s="60">
        <f>SUM((U198+V198+AA198+AC198+AF198+AI198+AL198+AM198+AQ198+AN198)*'Weighting Factors'!$O$5)+'2024 Legal Max'!AX198</f>
        <v>5956664</v>
      </c>
      <c r="BC198" s="24">
        <f>SUM((AR198+AN198)*'Weighting Factors'!$O$5)+AX198</f>
        <v>6646088</v>
      </c>
      <c r="BD198" s="67">
        <f>IF('Weighting Factors'!F198&gt;0,'Weighting Factors'!F198,'Preliminary SO66'!AV197)</f>
        <v>6855929</v>
      </c>
      <c r="BE198" s="24">
        <f t="shared" si="138"/>
        <v>6646088</v>
      </c>
      <c r="BF198" s="71">
        <f>'Weighting Factors'!E198</f>
        <v>0</v>
      </c>
      <c r="BG198" s="71">
        <f>Transportation!G198</f>
        <v>0</v>
      </c>
      <c r="BH198" s="24">
        <f>IF(ISNA(VLOOKUP($CW198,'Audit Values'!$A:$BW,2,FALSE)), 0, VLOOKUP($CW198,'Audit Values'!$A:$BW,75,FALSE))</f>
        <v>-3545</v>
      </c>
      <c r="BI198" s="24">
        <f t="shared" si="139"/>
        <v>-3545</v>
      </c>
      <c r="BJ198" s="24">
        <f t="shared" si="140"/>
        <v>6642543</v>
      </c>
      <c r="BK198" s="24">
        <f>SUM((U198+V198+AA198+AC198+AF198+AI198+AL198+AM198+AN198)*'Weighting Factors'!O$12)+(MAX(AO198,'Weighting Factors'!B198))</f>
        <v>6701206</v>
      </c>
      <c r="BL198" s="78">
        <f>'LOB%'!F196</f>
        <v>0.33</v>
      </c>
      <c r="BM198" s="24">
        <f t="shared" si="147"/>
        <v>2211398</v>
      </c>
      <c r="BN198" s="67">
        <v>2282296</v>
      </c>
      <c r="BO198" s="24">
        <f t="shared" si="141"/>
        <v>2211398</v>
      </c>
      <c r="BP198" s="89">
        <f t="shared" si="148"/>
        <v>0.33</v>
      </c>
      <c r="BQ198" s="58">
        <f t="shared" si="149"/>
        <v>0</v>
      </c>
      <c r="BR198" s="1" t="b">
        <f t="shared" si="150"/>
        <v>0</v>
      </c>
      <c r="BS198" s="76">
        <f t="shared" si="151"/>
        <v>0</v>
      </c>
      <c r="BT198" s="75">
        <f t="shared" si="142"/>
        <v>0</v>
      </c>
      <c r="BU198" s="58">
        <f t="shared" si="152"/>
        <v>0</v>
      </c>
      <c r="BV198" s="1" t="b">
        <f t="shared" si="153"/>
        <v>1</v>
      </c>
      <c r="BW198" s="1">
        <f t="shared" si="154"/>
        <v>470.25</v>
      </c>
      <c r="BX198" s="75">
        <f t="shared" si="143"/>
        <v>0.35508200000000001</v>
      </c>
      <c r="BY198" s="58">
        <f t="shared" si="155"/>
        <v>241.5</v>
      </c>
      <c r="BZ198" s="58">
        <f t="shared" si="156"/>
        <v>0</v>
      </c>
      <c r="CA198" s="61">
        <v>60</v>
      </c>
      <c r="CB198" s="102">
        <f t="shared" si="157"/>
        <v>3.5169999999999999</v>
      </c>
      <c r="CC198" s="105">
        <f>IF(CB198&lt;0.06,1,IF(CB198&gt;=18.29,52,MATCH(CB198-0.001,'Weighting Factors'!$W$5:$W$156)+1))</f>
        <v>42</v>
      </c>
      <c r="CD198" s="24">
        <f>VLOOKUP(CC198, 'Weighting Factors'!$U$5:$X$56,4)</f>
        <v>750</v>
      </c>
      <c r="CE198" s="109">
        <f>('Weighting Factors'!$O$5/'Weighting Factors'!$O$14)</f>
        <v>1.2216</v>
      </c>
      <c r="CF198" s="100">
        <f t="shared" si="158"/>
        <v>158250</v>
      </c>
      <c r="CG198" s="100">
        <f>CF198*'Weighting Factors'!$Q$7</f>
        <v>158250</v>
      </c>
      <c r="CH198" s="100">
        <f t="shared" si="144"/>
        <v>193318</v>
      </c>
      <c r="CI198" s="58">
        <f>AK198/'Weighting Factors'!$O$5</f>
        <v>38</v>
      </c>
      <c r="CJ198" s="67">
        <v>0</v>
      </c>
      <c r="CK198" s="80">
        <v>0</v>
      </c>
      <c r="CL198" s="110">
        <v>0</v>
      </c>
      <c r="CM198" s="24">
        <f>SUM((AR198*'Weighting Factors'!$O$5)+'2024 Legal Max'!AX198)*CL198</f>
        <v>0</v>
      </c>
      <c r="CN198" s="24">
        <f t="shared" si="145"/>
        <v>0</v>
      </c>
      <c r="CO198" s="65">
        <f t="shared" si="146"/>
        <v>0.47239999999999999</v>
      </c>
      <c r="CP198" s="58">
        <f t="shared" si="159"/>
        <v>0</v>
      </c>
      <c r="CQ198" s="58">
        <f t="shared" si="160"/>
        <v>27.8</v>
      </c>
      <c r="CR198" s="58">
        <f t="shared" si="161"/>
        <v>1301</v>
      </c>
      <c r="CS198" s="24">
        <f>'Required Transfers'!L198</f>
        <v>269127</v>
      </c>
      <c r="CT198" s="24">
        <f>'Required Transfers'!O198</f>
        <v>663</v>
      </c>
      <c r="CU198" s="24">
        <f>'Required Transfers'!H198</f>
        <v>942806</v>
      </c>
      <c r="CV198" s="58">
        <f t="shared" si="162"/>
        <v>671.5</v>
      </c>
      <c r="CW198" s="27" t="s">
        <v>383</v>
      </c>
    </row>
    <row r="199" spans="1:101" ht="15" customHeight="1">
      <c r="A199" s="54">
        <v>405</v>
      </c>
      <c r="B199" s="1" t="s">
        <v>76</v>
      </c>
      <c r="C199" s="1" t="s">
        <v>703</v>
      </c>
      <c r="D199" s="58">
        <v>723.9</v>
      </c>
      <c r="E199" s="58"/>
      <c r="F199" s="58">
        <v>0</v>
      </c>
      <c r="G199" s="58">
        <f t="shared" si="163"/>
        <v>723.9</v>
      </c>
      <c r="H199" s="58">
        <v>748.2</v>
      </c>
      <c r="I199" s="58"/>
      <c r="J199" s="58">
        <v>0</v>
      </c>
      <c r="K199" s="58">
        <f t="shared" si="164"/>
        <v>748.2</v>
      </c>
      <c r="L199" s="1">
        <v>731</v>
      </c>
      <c r="N199" s="1">
        <v>0</v>
      </c>
      <c r="O199" s="58">
        <f t="shared" si="165"/>
        <v>731</v>
      </c>
      <c r="P199" s="58">
        <f>IF(ISNA(VLOOKUP($CW199,'Audit Values'!$A:$BZ,2,FALSE)),'Preliminary SO66'!C198,VLOOKUP($CW199,'Audit Values'!$A:$BZ,76,FALSE))</f>
        <v>695.9</v>
      </c>
      <c r="Q199" s="58">
        <f>IF(ISNA(VLOOKUP($CW199,'Audit Values'!$A:$BZ,2,FALSE)),'Preliminary SO66'!F198,VLOOKUP($CW199,'Audit Values'!$A:$BZ,4,FALSE))</f>
        <v>0</v>
      </c>
      <c r="R199" s="58">
        <f t="shared" si="133"/>
        <v>695.9</v>
      </c>
      <c r="S199" s="58">
        <f>IF('Military Provision'!I199="YES", MAX('2024 Legal Max'!O199,'2024 Legal Max'!K199,AVERAGE('2024 Legal Max'!G199,'2024 Legal Max'!K199,'2024 Legal Max'!O199)), MAX(O199, K199))</f>
        <v>748.2</v>
      </c>
      <c r="T199" s="58">
        <f>IF(ISNA(VLOOKUP($CW199,'Audit Values'!$A:$BX,2,FALSE)),'Preliminary SO66'!AL198,VLOOKUP($CW199,'Audit Values'!$A:$BX,59,FALSE))</f>
        <v>10</v>
      </c>
      <c r="U199" s="58">
        <f t="shared" si="134"/>
        <v>758.2</v>
      </c>
      <c r="V199" s="58">
        <f>'Low-High ENRL- 2023 HSubSB 113'!N202</f>
        <v>249.7</v>
      </c>
      <c r="W199" s="58">
        <f>IF(ISNA(VLOOKUP($CW199,'Audit Values'!$A:$BZ,2,FALSE)),'Preliminary SO66'!AM198,VLOOKUP($CW199,'Audit Values'!$A:$BZ,63,FALSE))</f>
        <v>559</v>
      </c>
      <c r="X199" s="58">
        <f>(W199/6)*'Weighting Factors'!$O$7</f>
        <v>36.799999999999997</v>
      </c>
      <c r="Y199" s="61">
        <f>IF(ISNA(VLOOKUP($CW199,'Audit Values'!$A:$BZ,2,FALSE)),'Preliminary SO66'!AN198,VLOOKUP($CW199,'Audit Values'!$A:$BZ,62,FALSE))</f>
        <v>148</v>
      </c>
      <c r="Z199" s="58">
        <f>Y199*'Weighting Factors'!$O$8</f>
        <v>27.4</v>
      </c>
      <c r="AA199" s="58">
        <f t="shared" si="135"/>
        <v>36.799999999999997</v>
      </c>
      <c r="AB199" s="106">
        <f>IF(ISNA(VLOOKUP($CW199,'Audit Values'!$A:$BZ,2,FALSE)),'Preliminary SO66'!AO198,VLOOKUP($CW199,'Audit Values'!$A:$BZ,61,FALSE))</f>
        <v>113.3</v>
      </c>
      <c r="AC199" s="58">
        <f>AB199/6*'Weighting Factors'!$O$6</f>
        <v>9.4</v>
      </c>
      <c r="AD199" s="24">
        <f>IF(ISNA(VLOOKUP($CW199,'Audit Values'!$A:$BX,2,FALSE)),'Preliminary SO66'!AS198,VLOOKUP($CW199,'Audit Values'!$A:$BX,64,FALSE))</f>
        <v>722</v>
      </c>
      <c r="AE199" s="24">
        <f>IF(ISNA(VLOOKUP($CW199,'Audit Values'!$A:$BX,2,FALSE)),'Preliminary SO66'!AP198,VLOOKUP($CW199,'Audit Values'!$A:$BX,65,FALSE))</f>
        <v>464</v>
      </c>
      <c r="AF199" s="58">
        <f>IF(A199=207, AE199,(AE199))*'Weighting Factors'!$O$9</f>
        <v>224.6</v>
      </c>
      <c r="AG199" s="58">
        <f t="shared" si="132"/>
        <v>48.7</v>
      </c>
      <c r="AH199" s="58">
        <f>IF(ISNA(VLOOKUP($CW199,'Audit Values'!$A:$BZ,2,FALSE)),'Preliminary SO66'!AG198,VLOOKUP($CW199,'Audit Values'!$A:$BZ,71,FALSE))</f>
        <v>48.7</v>
      </c>
      <c r="AI199" s="58">
        <f t="shared" si="136"/>
        <v>48.7</v>
      </c>
      <c r="AJ199" s="58">
        <f>IF(ISNA(VLOOKUP($CW199,'Audit Values'!$A:$BX,2,FALSE)),'Preliminary SO66'!AR198,VLOOKUP($CW199,'Audit Values'!$A:$BX,66,FALSE))</f>
        <v>20</v>
      </c>
      <c r="AK199" s="24">
        <f t="shared" si="137"/>
        <v>32250</v>
      </c>
      <c r="AL199" s="58">
        <f>AK199/'Weighting Factors'!$O$5</f>
        <v>6.3</v>
      </c>
      <c r="AM199" s="58">
        <f>CJ199/'Weighting Factors'!$O$5</f>
        <v>0</v>
      </c>
      <c r="AN199" s="58">
        <f>CN199/'Weighting Factors'!$O$5</f>
        <v>0</v>
      </c>
      <c r="AO199" s="24">
        <v>833121</v>
      </c>
      <c r="AP199" s="58">
        <f>AO199/'Weighting Factors'!$O$5</f>
        <v>163.69999999999999</v>
      </c>
      <c r="AQ199" s="58">
        <f>IF(ISNA(VLOOKUP($CW199,'Audit Values'!$A:$BX,2,FALSE)),'Preliminary SO66'!X198,VLOOKUP($CW199,'Audit Values'!$A:$BX,48,FALSE))</f>
        <v>0</v>
      </c>
      <c r="AR199" s="58">
        <f t="shared" si="166"/>
        <v>1497.4</v>
      </c>
      <c r="AS199" s="58">
        <f t="shared" si="167"/>
        <v>1333.7</v>
      </c>
      <c r="AT199" s="58">
        <f>IF(ISNA(VLOOKUP($CW199,'Audit Values'!$A$2:$BX$410,2,FALSE)),'Preliminary SO66'!AA198,VLOOKUP($CW199,'Audit Values'!$A$2:$BX$410,41,FALSE))</f>
        <v>0</v>
      </c>
      <c r="AU199" s="58">
        <f>IF(ISNA(VLOOKUP($CW199,'Audit Values'!$A$2:$BX$410,2,FALSE)),'Preliminary SO66'!AB198,VLOOKUP($CW199,'Audit Values'!$A$2:$BX$410,42,FALSE))</f>
        <v>0</v>
      </c>
      <c r="AV199" s="73">
        <v>0</v>
      </c>
      <c r="AW199" s="73">
        <v>0</v>
      </c>
      <c r="AX199" s="24">
        <f>SUM(AT199*'Weighting Factors'!$R$10)+('2024 Legal Max'!AU199*'Weighting Factors'!$R$11)+('2024 Legal Max'!AV199*'Weighting Factors'!$R$12)+('2024 Legal Max'!AW199*'Weighting Factors'!$R$12)</f>
        <v>0</v>
      </c>
      <c r="AY199" s="54">
        <f>IF(ISNA(VLOOKUP($CW199,'Audit Values'!$A$2:$BX$429,2,FALSE)),"",IF(AND('Weighting Factors'!G199&gt;0,VLOOKUP($CW199,'Audit Values'!$A$2:$BX$429,51,FALSE)&lt;'Weighting Factors'!G199),'Weighting Factors'!G199,VLOOKUP($CW199,'Audit Values'!$A$2:$BX$429,51,FALSE)))</f>
        <v>17</v>
      </c>
      <c r="AZ199" s="54" t="str">
        <f>IF(ISNA(VLOOKUP($CW199,'Audit Values'!$A:$BY,2,FALSE)),"",VLOOKUP($CW199,'Audit Values'!$A:$BY,52,FALSE))</f>
        <v>A</v>
      </c>
      <c r="BA199" s="54" t="str">
        <f>IF('Weighting Factors'!F199="","",IF('Weighting Factors'!H199="Pending","PX","R"))</f>
        <v/>
      </c>
      <c r="BB199" s="60">
        <f>SUM((U199+V199+AA199+AC199+AF199+AI199+AL199+AM199+AQ199+AN199)*'Weighting Factors'!$O$5)+'2024 Legal Max'!AX199</f>
        <v>6785866</v>
      </c>
      <c r="BC199" s="24">
        <f>SUM((AR199+AN199)*'Weighting Factors'!$O$5)+AX199</f>
        <v>7618771</v>
      </c>
      <c r="BD199" s="67">
        <f>IF('Weighting Factors'!F199&gt;0,'Weighting Factors'!F199,'Preliminary SO66'!AV198)</f>
        <v>8054304</v>
      </c>
      <c r="BE199" s="24">
        <f t="shared" si="138"/>
        <v>7618771</v>
      </c>
      <c r="BF199" s="71">
        <f>'Weighting Factors'!E199</f>
        <v>0</v>
      </c>
      <c r="BG199" s="71">
        <f>Transportation!G199</f>
        <v>0</v>
      </c>
      <c r="BH199" s="24">
        <f>IF(ISNA(VLOOKUP($CW199,'Audit Values'!$A:$BW,2,FALSE)), 0, VLOOKUP($CW199,'Audit Values'!$A:$BW,75,FALSE))</f>
        <v>0</v>
      </c>
      <c r="BI199" s="24">
        <f t="shared" si="139"/>
        <v>0</v>
      </c>
      <c r="BJ199" s="24">
        <f t="shared" si="140"/>
        <v>7618771</v>
      </c>
      <c r="BK199" s="24">
        <f>SUM((U199+V199+AA199+AC199+AF199+AI199+AL199+AM199+AN199)*'Weighting Factors'!O$12)+(MAX(AO199,'Weighting Factors'!B199))</f>
        <v>7724312</v>
      </c>
      <c r="BL199" s="78">
        <f>'LOB%'!F197</f>
        <v>0.316</v>
      </c>
      <c r="BM199" s="24">
        <f t="shared" si="147"/>
        <v>2440883</v>
      </c>
      <c r="BN199" s="67">
        <v>2412290</v>
      </c>
      <c r="BO199" s="24">
        <f t="shared" si="141"/>
        <v>2412290</v>
      </c>
      <c r="BP199" s="89">
        <f t="shared" si="148"/>
        <v>0.31230000000000002</v>
      </c>
      <c r="BQ199" s="58">
        <f t="shared" si="149"/>
        <v>0</v>
      </c>
      <c r="BR199" s="1" t="b">
        <f t="shared" si="150"/>
        <v>0</v>
      </c>
      <c r="BS199" s="76">
        <f t="shared" si="151"/>
        <v>0</v>
      </c>
      <c r="BT199" s="75">
        <f t="shared" si="142"/>
        <v>0</v>
      </c>
      <c r="BU199" s="58">
        <f t="shared" si="152"/>
        <v>0</v>
      </c>
      <c r="BV199" s="1" t="b">
        <f t="shared" si="153"/>
        <v>1</v>
      </c>
      <c r="BW199" s="1">
        <f t="shared" si="154"/>
        <v>567.02250000000004</v>
      </c>
      <c r="BX199" s="75">
        <f t="shared" si="143"/>
        <v>0.328513</v>
      </c>
      <c r="BY199" s="58">
        <f t="shared" si="155"/>
        <v>249.1</v>
      </c>
      <c r="BZ199" s="58">
        <f t="shared" si="156"/>
        <v>0</v>
      </c>
      <c r="CA199" s="61">
        <v>116</v>
      </c>
      <c r="CB199" s="102">
        <f t="shared" si="157"/>
        <v>0.17199999999999999</v>
      </c>
      <c r="CC199" s="105">
        <f>IF(CB199&lt;0.06,1,IF(CB199&gt;=18.29,52,MATCH(CB199-0.001,'Weighting Factors'!$W$5:$W$156)+1))</f>
        <v>13</v>
      </c>
      <c r="CD199" s="24">
        <f>VLOOKUP(CC199, 'Weighting Factors'!$U$5:$X$56,4)</f>
        <v>1320</v>
      </c>
      <c r="CE199" s="109">
        <f>('Weighting Factors'!$O$5/'Weighting Factors'!$O$14)</f>
        <v>1.2216</v>
      </c>
      <c r="CF199" s="100">
        <f t="shared" si="158"/>
        <v>26400</v>
      </c>
      <c r="CG199" s="100">
        <f>CF199*'Weighting Factors'!$Q$7</f>
        <v>26400</v>
      </c>
      <c r="CH199" s="100">
        <f t="shared" si="144"/>
        <v>32250</v>
      </c>
      <c r="CI199" s="58">
        <f>AK199/'Weighting Factors'!$O$5</f>
        <v>6.3</v>
      </c>
      <c r="CJ199" s="67">
        <v>0</v>
      </c>
      <c r="CK199" s="80">
        <v>0</v>
      </c>
      <c r="CL199" s="110">
        <v>0</v>
      </c>
      <c r="CM199" s="24">
        <f>SUM((AR199*'Weighting Factors'!$O$5)+'2024 Legal Max'!AX199)*CL199</f>
        <v>0</v>
      </c>
      <c r="CN199" s="24">
        <f t="shared" si="145"/>
        <v>0</v>
      </c>
      <c r="CO199" s="65">
        <f t="shared" si="146"/>
        <v>0.64270000000000005</v>
      </c>
      <c r="CP199" s="58">
        <f t="shared" si="159"/>
        <v>48.7</v>
      </c>
      <c r="CQ199" s="58">
        <f t="shared" si="160"/>
        <v>0</v>
      </c>
      <c r="CR199" s="58">
        <f t="shared" si="161"/>
        <v>1497.4</v>
      </c>
      <c r="CS199" s="24">
        <f>'Required Transfers'!L199</f>
        <v>364256</v>
      </c>
      <c r="CT199" s="24">
        <f>'Required Transfers'!O199</f>
        <v>59584</v>
      </c>
      <c r="CU199" s="24">
        <f>'Required Transfers'!H199</f>
        <v>1390550</v>
      </c>
      <c r="CV199" s="58">
        <f t="shared" si="162"/>
        <v>705.9</v>
      </c>
      <c r="CW199" s="27" t="s">
        <v>384</v>
      </c>
    </row>
    <row r="200" spans="1:101" ht="15" customHeight="1">
      <c r="A200" s="54">
        <v>407</v>
      </c>
      <c r="B200" s="1" t="s">
        <v>90</v>
      </c>
      <c r="C200" s="1" t="s">
        <v>704</v>
      </c>
      <c r="D200" s="58">
        <v>800.2</v>
      </c>
      <c r="E200" s="58"/>
      <c r="F200" s="58">
        <v>0</v>
      </c>
      <c r="G200" s="58">
        <f t="shared" si="163"/>
        <v>800.2</v>
      </c>
      <c r="H200" s="58">
        <v>792.5</v>
      </c>
      <c r="I200" s="58"/>
      <c r="J200" s="58">
        <v>0</v>
      </c>
      <c r="K200" s="58">
        <f t="shared" si="164"/>
        <v>792.5</v>
      </c>
      <c r="L200" s="1">
        <v>747.3</v>
      </c>
      <c r="N200" s="1">
        <v>0</v>
      </c>
      <c r="O200" s="58">
        <f t="shared" si="165"/>
        <v>747.3</v>
      </c>
      <c r="P200" s="58">
        <f>IF(ISNA(VLOOKUP($CW200,'Audit Values'!$A:$BZ,2,FALSE)),'Preliminary SO66'!C199,VLOOKUP($CW200,'Audit Values'!$A:$BZ,76,FALSE))</f>
        <v>753</v>
      </c>
      <c r="Q200" s="58">
        <f>IF(ISNA(VLOOKUP($CW200,'Audit Values'!$A:$BZ,2,FALSE)),'Preliminary SO66'!F199,VLOOKUP($CW200,'Audit Values'!$A:$BZ,4,FALSE))</f>
        <v>0</v>
      </c>
      <c r="R200" s="58">
        <f t="shared" si="133"/>
        <v>753</v>
      </c>
      <c r="S200" s="58">
        <f>IF('Military Provision'!I200="YES", MAX('2024 Legal Max'!O200,'2024 Legal Max'!K200,AVERAGE('2024 Legal Max'!G200,'2024 Legal Max'!K200,'2024 Legal Max'!O200)), MAX(O200, K200))</f>
        <v>792.5</v>
      </c>
      <c r="T200" s="58">
        <f>IF(ISNA(VLOOKUP($CW200,'Audit Values'!$A:$BX,2,FALSE)),'Preliminary SO66'!AL199,VLOOKUP($CW200,'Audit Values'!$A:$BX,59,FALSE))</f>
        <v>9.5</v>
      </c>
      <c r="U200" s="58">
        <f t="shared" si="134"/>
        <v>802</v>
      </c>
      <c r="V200" s="58">
        <f>'Low-High ENRL- 2023 HSubSB 113'!N203</f>
        <v>251.5</v>
      </c>
      <c r="W200" s="58">
        <f>IF(ISNA(VLOOKUP($CW200,'Audit Values'!$A:$BZ,2,FALSE)),'Preliminary SO66'!AM199,VLOOKUP($CW200,'Audit Values'!$A:$BZ,63,FALSE))</f>
        <v>12.3</v>
      </c>
      <c r="X200" s="58">
        <f>(W200/6)*'Weighting Factors'!$O$7</f>
        <v>0.8</v>
      </c>
      <c r="Y200" s="61">
        <f>IF(ISNA(VLOOKUP($CW200,'Audit Values'!$A:$BZ,2,FALSE)),'Preliminary SO66'!AN199,VLOOKUP($CW200,'Audit Values'!$A:$BZ,62,FALSE))</f>
        <v>10</v>
      </c>
      <c r="Z200" s="58">
        <f>Y200*'Weighting Factors'!$O$8</f>
        <v>1.9</v>
      </c>
      <c r="AA200" s="58">
        <f t="shared" si="135"/>
        <v>1.9</v>
      </c>
      <c r="AB200" s="106">
        <f>IF(ISNA(VLOOKUP($CW200,'Audit Values'!$A:$BZ,2,FALSE)),'Preliminary SO66'!AO199,VLOOKUP($CW200,'Audit Values'!$A:$BZ,61,FALSE))</f>
        <v>226.2</v>
      </c>
      <c r="AC200" s="58">
        <f>AB200/6*'Weighting Factors'!$O$6</f>
        <v>18.899999999999999</v>
      </c>
      <c r="AD200" s="24">
        <f>IF(ISNA(VLOOKUP($CW200,'Audit Values'!$A:$BX,2,FALSE)),'Preliminary SO66'!AS199,VLOOKUP($CW200,'Audit Values'!$A:$BX,64,FALSE))</f>
        <v>776</v>
      </c>
      <c r="AE200" s="24">
        <f>IF(ISNA(VLOOKUP($CW200,'Audit Values'!$A:$BX,2,FALSE)),'Preliminary SO66'!AP199,VLOOKUP($CW200,'Audit Values'!$A:$BX,65,FALSE))</f>
        <v>348</v>
      </c>
      <c r="AF200" s="58">
        <f>IF(A200=207, AE200,(AE200))*'Weighting Factors'!$O$9</f>
        <v>168.4</v>
      </c>
      <c r="AG200" s="58">
        <f t="shared" si="132"/>
        <v>24</v>
      </c>
      <c r="AH200" s="58">
        <f>IF(ISNA(VLOOKUP($CW200,'Audit Values'!$A:$BZ,2,FALSE)),'Preliminary SO66'!AG199,VLOOKUP($CW200,'Audit Values'!$A:$BZ,71,FALSE))</f>
        <v>24.6</v>
      </c>
      <c r="AI200" s="58">
        <f t="shared" si="136"/>
        <v>24.6</v>
      </c>
      <c r="AJ200" s="58">
        <f>IF(ISNA(VLOOKUP($CW200,'Audit Values'!$A:$BX,2,FALSE)),'Preliminary SO66'!AR199,VLOOKUP($CW200,'Audit Values'!$A:$BX,66,FALSE))</f>
        <v>103</v>
      </c>
      <c r="AK200" s="24">
        <f t="shared" si="137"/>
        <v>159797</v>
      </c>
      <c r="AL200" s="58">
        <f>AK200/'Weighting Factors'!$O$5</f>
        <v>31.4</v>
      </c>
      <c r="AM200" s="58">
        <f>CJ200/'Weighting Factors'!$O$5</f>
        <v>0</v>
      </c>
      <c r="AN200" s="58">
        <f>CN200/'Weighting Factors'!$O$5</f>
        <v>0</v>
      </c>
      <c r="AO200" s="24">
        <v>1013038</v>
      </c>
      <c r="AP200" s="58">
        <f>AO200/'Weighting Factors'!$O$5</f>
        <v>199.1</v>
      </c>
      <c r="AQ200" s="58">
        <f>IF(ISNA(VLOOKUP($CW200,'Audit Values'!$A:$BX,2,FALSE)),'Preliminary SO66'!X199,VLOOKUP($CW200,'Audit Values'!$A:$BX,48,FALSE))</f>
        <v>0</v>
      </c>
      <c r="AR200" s="58">
        <f t="shared" si="166"/>
        <v>1497.8</v>
      </c>
      <c r="AS200" s="58">
        <f t="shared" si="167"/>
        <v>1298.7</v>
      </c>
      <c r="AT200" s="58">
        <f>IF(ISNA(VLOOKUP($CW200,'Audit Values'!$A$2:$BX$410,2,FALSE)),'Preliminary SO66'!AA199,VLOOKUP($CW200,'Audit Values'!$A$2:$BX$410,41,FALSE))</f>
        <v>0</v>
      </c>
      <c r="AU200" s="58">
        <f>IF(ISNA(VLOOKUP($CW200,'Audit Values'!$A$2:$BX$410,2,FALSE)),'Preliminary SO66'!AB199,VLOOKUP($CW200,'Audit Values'!$A$2:$BX$410,42,FALSE))</f>
        <v>0</v>
      </c>
      <c r="AV200" s="73">
        <v>0</v>
      </c>
      <c r="AW200" s="73">
        <v>0</v>
      </c>
      <c r="AX200" s="24">
        <f>SUM(AT200*'Weighting Factors'!$R$10)+('2024 Legal Max'!AU200*'Weighting Factors'!$R$11)+('2024 Legal Max'!AV200*'Weighting Factors'!$R$12)+('2024 Legal Max'!AW200*'Weighting Factors'!$R$12)</f>
        <v>0</v>
      </c>
      <c r="AY200" s="54">
        <f>IF(ISNA(VLOOKUP($CW200,'Audit Values'!$A$2:$BX$429,2,FALSE)),"",IF(AND('Weighting Factors'!G200&gt;0,VLOOKUP($CW200,'Audit Values'!$A$2:$BX$429,51,FALSE)&lt;'Weighting Factors'!G200),'Weighting Factors'!G200,VLOOKUP($CW200,'Audit Values'!$A$2:$BX$429,51,FALSE)))</f>
        <v>16</v>
      </c>
      <c r="AZ200" s="54" t="str">
        <f>IF(ISNA(VLOOKUP($CW200,'Audit Values'!$A:$BY,2,FALSE)),"",VLOOKUP($CW200,'Audit Values'!$A:$BY,52,FALSE))</f>
        <v>A</v>
      </c>
      <c r="BA200" s="54" t="str">
        <f>IF('Weighting Factors'!F200="","",IF('Weighting Factors'!H200="Pending","PX","R"))</f>
        <v/>
      </c>
      <c r="BB200" s="60">
        <f>SUM((U200+V200+AA200+AC200+AF200+AI200+AL200+AM200+AQ200+AN200)*'Weighting Factors'!$O$5)+'2024 Legal Max'!AX200</f>
        <v>6607786</v>
      </c>
      <c r="BC200" s="24">
        <f>SUM((AR200+AN200)*'Weighting Factors'!$O$5)+AX200</f>
        <v>7620806</v>
      </c>
      <c r="BD200" s="67">
        <f>IF('Weighting Factors'!F200&gt;0,'Weighting Factors'!F200,'Preliminary SO66'!AV199)</f>
        <v>7997827</v>
      </c>
      <c r="BE200" s="24">
        <f t="shared" si="138"/>
        <v>7620806</v>
      </c>
      <c r="BF200" s="71">
        <f>'Weighting Factors'!E200</f>
        <v>0</v>
      </c>
      <c r="BG200" s="71">
        <f>Transportation!G200</f>
        <v>0</v>
      </c>
      <c r="BH200" s="24">
        <f>IF(ISNA(VLOOKUP($CW200,'Audit Values'!$A:$BW,2,FALSE)), 0, VLOOKUP($CW200,'Audit Values'!$A:$BW,75,FALSE))</f>
        <v>0</v>
      </c>
      <c r="BI200" s="24">
        <f t="shared" si="139"/>
        <v>0</v>
      </c>
      <c r="BJ200" s="24">
        <f t="shared" si="140"/>
        <v>7620806</v>
      </c>
      <c r="BK200" s="24">
        <f>SUM((U200+V200+AA200+AC200+AF200+AI200+AL200+AM200+AN200)*'Weighting Factors'!O$12)+(MAX(AO200,'Weighting Factors'!B200))</f>
        <v>7711733</v>
      </c>
      <c r="BL200" s="78">
        <f>'LOB%'!F198</f>
        <v>0.33</v>
      </c>
      <c r="BM200" s="24">
        <f t="shared" si="147"/>
        <v>2544872</v>
      </c>
      <c r="BN200" s="67">
        <v>2669737</v>
      </c>
      <c r="BO200" s="24">
        <f t="shared" si="141"/>
        <v>2544872</v>
      </c>
      <c r="BP200" s="89">
        <f t="shared" si="148"/>
        <v>0.33</v>
      </c>
      <c r="BQ200" s="58">
        <f t="shared" si="149"/>
        <v>0</v>
      </c>
      <c r="BR200" s="1" t="b">
        <f t="shared" si="150"/>
        <v>0</v>
      </c>
      <c r="BS200" s="76">
        <f t="shared" si="151"/>
        <v>0</v>
      </c>
      <c r="BT200" s="75">
        <f t="shared" si="142"/>
        <v>0</v>
      </c>
      <c r="BU200" s="58">
        <f t="shared" si="152"/>
        <v>0</v>
      </c>
      <c r="BV200" s="1" t="b">
        <f t="shared" si="153"/>
        <v>1</v>
      </c>
      <c r="BW200" s="1">
        <f t="shared" si="154"/>
        <v>621.22500000000002</v>
      </c>
      <c r="BX200" s="75">
        <f t="shared" si="143"/>
        <v>0.31363200000000002</v>
      </c>
      <c r="BY200" s="58">
        <f t="shared" si="155"/>
        <v>251.5</v>
      </c>
      <c r="BZ200" s="58">
        <f t="shared" si="156"/>
        <v>0</v>
      </c>
      <c r="CA200" s="61">
        <v>489</v>
      </c>
      <c r="CB200" s="102">
        <f t="shared" si="157"/>
        <v>0.21099999999999999</v>
      </c>
      <c r="CC200" s="105">
        <f>IF(CB200&lt;0.06,1,IF(CB200&gt;=18.29,52,MATCH(CB200-0.001,'Weighting Factors'!$W$5:$W$156)+1))</f>
        <v>16</v>
      </c>
      <c r="CD200" s="24">
        <f>VLOOKUP(CC200, 'Weighting Factors'!$U$5:$X$56,4)</f>
        <v>1270</v>
      </c>
      <c r="CE200" s="109">
        <f>('Weighting Factors'!$O$5/'Weighting Factors'!$O$14)</f>
        <v>1.2216</v>
      </c>
      <c r="CF200" s="100">
        <f t="shared" si="158"/>
        <v>130810</v>
      </c>
      <c r="CG200" s="100">
        <f>CF200*'Weighting Factors'!$Q$7</f>
        <v>130810</v>
      </c>
      <c r="CH200" s="100">
        <f t="shared" si="144"/>
        <v>159797</v>
      </c>
      <c r="CI200" s="58">
        <f>AK200/'Weighting Factors'!$O$5</f>
        <v>31.4</v>
      </c>
      <c r="CJ200" s="67">
        <v>0</v>
      </c>
      <c r="CK200" s="80">
        <v>0</v>
      </c>
      <c r="CL200" s="110">
        <v>0</v>
      </c>
      <c r="CM200" s="24">
        <f>SUM((AR200*'Weighting Factors'!$O$5)+'2024 Legal Max'!AX200)*CL200</f>
        <v>0</v>
      </c>
      <c r="CN200" s="24">
        <f t="shared" si="145"/>
        <v>0</v>
      </c>
      <c r="CO200" s="65">
        <f t="shared" si="146"/>
        <v>0.44850000000000001</v>
      </c>
      <c r="CP200" s="58">
        <f t="shared" si="159"/>
        <v>0</v>
      </c>
      <c r="CQ200" s="58">
        <f t="shared" si="160"/>
        <v>24</v>
      </c>
      <c r="CR200" s="58">
        <f t="shared" si="161"/>
        <v>1497.8</v>
      </c>
      <c r="CS200" s="24">
        <f>'Required Transfers'!L200</f>
        <v>287825</v>
      </c>
      <c r="CT200" s="24">
        <f>'Required Transfers'!O200</f>
        <v>3308</v>
      </c>
      <c r="CU200" s="24">
        <f>'Required Transfers'!H200</f>
        <v>981984</v>
      </c>
      <c r="CV200" s="58">
        <f t="shared" si="162"/>
        <v>762.5</v>
      </c>
      <c r="CW200" s="27" t="s">
        <v>385</v>
      </c>
    </row>
    <row r="201" spans="1:101" ht="15" customHeight="1">
      <c r="A201" s="54">
        <v>408</v>
      </c>
      <c r="B201" s="1" t="s">
        <v>89</v>
      </c>
      <c r="C201" s="1" t="s">
        <v>705</v>
      </c>
      <c r="D201" s="58">
        <v>460</v>
      </c>
      <c r="E201" s="58">
        <v>1</v>
      </c>
      <c r="F201" s="58">
        <v>0</v>
      </c>
      <c r="G201" s="58">
        <f t="shared" si="163"/>
        <v>459</v>
      </c>
      <c r="H201" s="58">
        <v>492.5</v>
      </c>
      <c r="I201" s="58"/>
      <c r="J201" s="58">
        <v>0</v>
      </c>
      <c r="K201" s="58">
        <f t="shared" si="164"/>
        <v>492.5</v>
      </c>
      <c r="L201" s="1">
        <v>489.5</v>
      </c>
      <c r="N201" s="1">
        <v>0</v>
      </c>
      <c r="O201" s="58">
        <f t="shared" si="165"/>
        <v>489.5</v>
      </c>
      <c r="P201" s="58">
        <f>IF(ISNA(VLOOKUP($CW201,'Audit Values'!$A:$BZ,2,FALSE)),'Preliminary SO66'!C200,VLOOKUP($CW201,'Audit Values'!$A:$BZ,76,FALSE))</f>
        <v>480.1</v>
      </c>
      <c r="Q201" s="58">
        <f>IF(ISNA(VLOOKUP($CW201,'Audit Values'!$A:$BZ,2,FALSE)),'Preliminary SO66'!F200,VLOOKUP($CW201,'Audit Values'!$A:$BZ,4,FALSE))</f>
        <v>0</v>
      </c>
      <c r="R201" s="58">
        <f t="shared" si="133"/>
        <v>480.1</v>
      </c>
      <c r="S201" s="58">
        <f>IF('Military Provision'!I201="YES", MAX('2024 Legal Max'!O201,'2024 Legal Max'!K201,AVERAGE('2024 Legal Max'!G201,'2024 Legal Max'!K201,'2024 Legal Max'!O201)), MAX(O201, K201))</f>
        <v>492.5</v>
      </c>
      <c r="T201" s="58">
        <f>IF(ISNA(VLOOKUP($CW201,'Audit Values'!$A:$BX,2,FALSE)),'Preliminary SO66'!AL200,VLOOKUP($CW201,'Audit Values'!$A:$BX,59,FALSE))</f>
        <v>11.5</v>
      </c>
      <c r="U201" s="58">
        <f t="shared" si="134"/>
        <v>504</v>
      </c>
      <c r="V201" s="58">
        <f>'Low-High ENRL- 2023 HSubSB 113'!N204</f>
        <v>209.1</v>
      </c>
      <c r="W201" s="58">
        <f>IF(ISNA(VLOOKUP($CW201,'Audit Values'!$A:$BZ,2,FALSE)),'Preliminary SO66'!AM200,VLOOKUP($CW201,'Audit Values'!$A:$BZ,63,FALSE))</f>
        <v>0</v>
      </c>
      <c r="X201" s="58">
        <f>(W201/6)*'Weighting Factors'!$O$7</f>
        <v>0</v>
      </c>
      <c r="Y201" s="61">
        <f>IF(ISNA(VLOOKUP($CW201,'Audit Values'!$A:$BZ,2,FALSE)),'Preliminary SO66'!AN200,VLOOKUP($CW201,'Audit Values'!$A:$BZ,62,FALSE))</f>
        <v>0</v>
      </c>
      <c r="Z201" s="58">
        <f>Y201*'Weighting Factors'!$O$8</f>
        <v>0</v>
      </c>
      <c r="AA201" s="58">
        <f t="shared" si="135"/>
        <v>0</v>
      </c>
      <c r="AB201" s="106">
        <f>IF(ISNA(VLOOKUP($CW201,'Audit Values'!$A:$BZ,2,FALSE)),'Preliminary SO66'!AO200,VLOOKUP($CW201,'Audit Values'!$A:$BZ,61,FALSE))</f>
        <v>243.7</v>
      </c>
      <c r="AC201" s="58">
        <f>AB201/6*'Weighting Factors'!$O$6</f>
        <v>20.3</v>
      </c>
      <c r="AD201" s="24">
        <f>IF(ISNA(VLOOKUP($CW201,'Audit Values'!$A:$BX,2,FALSE)),'Preliminary SO66'!AS200,VLOOKUP($CW201,'Audit Values'!$A:$BX,64,FALSE))</f>
        <v>508</v>
      </c>
      <c r="AE201" s="24">
        <f>IF(ISNA(VLOOKUP($CW201,'Audit Values'!$A:$BX,2,FALSE)),'Preliminary SO66'!AP200,VLOOKUP($CW201,'Audit Values'!$A:$BX,65,FALSE))</f>
        <v>210</v>
      </c>
      <c r="AF201" s="58">
        <f>IF(A201=207, AE201,(AE201))*'Weighting Factors'!$O$9</f>
        <v>101.6</v>
      </c>
      <c r="AG201" s="58">
        <f t="shared" si="132"/>
        <v>9.3000000000000007</v>
      </c>
      <c r="AH201" s="58">
        <f>IF(ISNA(VLOOKUP($CW201,'Audit Values'!$A:$BZ,2,FALSE)),'Preliminary SO66'!AG200,VLOOKUP($CW201,'Audit Values'!$A:$BZ,71,FALSE))</f>
        <v>11.6</v>
      </c>
      <c r="AI201" s="58">
        <f t="shared" si="136"/>
        <v>11.6</v>
      </c>
      <c r="AJ201" s="58">
        <f>IF(ISNA(VLOOKUP($CW201,'Audit Values'!$A:$BX,2,FALSE)),'Preliminary SO66'!AR200,VLOOKUP($CW201,'Audit Values'!$A:$BX,66,FALSE))</f>
        <v>168</v>
      </c>
      <c r="AK201" s="24">
        <f t="shared" si="137"/>
        <v>211386</v>
      </c>
      <c r="AL201" s="58">
        <f>AK201/'Weighting Factors'!$O$5</f>
        <v>41.5</v>
      </c>
      <c r="AM201" s="58">
        <f>CJ201/'Weighting Factors'!$O$5</f>
        <v>0</v>
      </c>
      <c r="AN201" s="58">
        <f>CN201/'Weighting Factors'!$O$5</f>
        <v>0</v>
      </c>
      <c r="AO201" s="24">
        <v>747918</v>
      </c>
      <c r="AP201" s="58">
        <f>AO201/'Weighting Factors'!$O$5</f>
        <v>147</v>
      </c>
      <c r="AQ201" s="58">
        <f>IF(ISNA(VLOOKUP($CW201,'Audit Values'!$A:$BX,2,FALSE)),'Preliminary SO66'!X200,VLOOKUP($CW201,'Audit Values'!$A:$BX,48,FALSE))</f>
        <v>1</v>
      </c>
      <c r="AR201" s="58">
        <f t="shared" si="166"/>
        <v>1036.0999999999999</v>
      </c>
      <c r="AS201" s="58">
        <f t="shared" si="167"/>
        <v>889.1</v>
      </c>
      <c r="AT201" s="58">
        <f>IF(ISNA(VLOOKUP($CW201,'Audit Values'!$A$2:$BX$410,2,FALSE)),'Preliminary SO66'!AA200,VLOOKUP($CW201,'Audit Values'!$A$2:$BX$410,41,FALSE))</f>
        <v>10</v>
      </c>
      <c r="AU201" s="58">
        <f>IF(ISNA(VLOOKUP($CW201,'Audit Values'!$A$2:$BX$410,2,FALSE)),'Preliminary SO66'!AB200,VLOOKUP($CW201,'Audit Values'!$A$2:$BX$410,42,FALSE))</f>
        <v>1.4</v>
      </c>
      <c r="AV201" s="73">
        <v>0</v>
      </c>
      <c r="AW201" s="73">
        <v>0</v>
      </c>
      <c r="AX201" s="24">
        <f>SUM(AT201*'Weighting Factors'!$R$10)+('2024 Legal Max'!AU201*'Weighting Factors'!$R$11)+('2024 Legal Max'!AV201*'Weighting Factors'!$R$12)+('2024 Legal Max'!AW201*'Weighting Factors'!$R$12)</f>
        <v>59920</v>
      </c>
      <c r="AY201" s="54">
        <f>IF(ISNA(VLOOKUP($CW201,'Audit Values'!$A$2:$BX$429,2,FALSE)),"",IF(AND('Weighting Factors'!G201&gt;0,VLOOKUP($CW201,'Audit Values'!$A$2:$BX$429,51,FALSE)&lt;'Weighting Factors'!G201),'Weighting Factors'!G201,VLOOKUP($CW201,'Audit Values'!$A$2:$BX$429,51,FALSE)))</f>
        <v>7</v>
      </c>
      <c r="AZ201" s="54" t="str">
        <f>IF(ISNA(VLOOKUP($CW201,'Audit Values'!$A:$BY,2,FALSE)),"",VLOOKUP($CW201,'Audit Values'!$A:$BY,52,FALSE))</f>
        <v>A</v>
      </c>
      <c r="BA201" s="54" t="str">
        <f>IF('Weighting Factors'!F201="","",IF('Weighting Factors'!H201="Pending","PX","R"))</f>
        <v/>
      </c>
      <c r="BB201" s="60">
        <f>SUM((U201+V201+AA201+AC201+AF201+AI201+AL201+AM201+AQ201+AN201)*'Weighting Factors'!$O$5)+'2024 Legal Max'!AX201</f>
        <v>4583661</v>
      </c>
      <c r="BC201" s="24">
        <f>SUM((AR201+AN201)*'Weighting Factors'!$O$5)+AX201</f>
        <v>5331597</v>
      </c>
      <c r="BD201" s="67">
        <f>IF('Weighting Factors'!F201&gt;0,'Weighting Factors'!F201,'Preliminary SO66'!AV200)</f>
        <v>5489324</v>
      </c>
      <c r="BE201" s="24">
        <f t="shared" si="138"/>
        <v>5331597</v>
      </c>
      <c r="BF201" s="71">
        <f>'Weighting Factors'!E201</f>
        <v>0</v>
      </c>
      <c r="BG201" s="71">
        <f>Transportation!G201</f>
        <v>0</v>
      </c>
      <c r="BH201" s="24">
        <f>IF(ISNA(VLOOKUP($CW201,'Audit Values'!$A:$BW,2,FALSE)), 0, VLOOKUP($CW201,'Audit Values'!$A:$BW,75,FALSE))</f>
        <v>0</v>
      </c>
      <c r="BI201" s="24">
        <f t="shared" si="139"/>
        <v>0</v>
      </c>
      <c r="BJ201" s="24">
        <f t="shared" si="140"/>
        <v>5331597</v>
      </c>
      <c r="BK201" s="24">
        <f>SUM((U201+V201+AA201+AC201+AF201+AI201+AL201+AM201+AN201)*'Weighting Factors'!O$12)+(MAX(AO201,'Weighting Factors'!B201))</f>
        <v>5328738</v>
      </c>
      <c r="BL201" s="78">
        <f>'LOB%'!F199</f>
        <v>0.316</v>
      </c>
      <c r="BM201" s="24">
        <f t="shared" si="147"/>
        <v>1683881</v>
      </c>
      <c r="BN201" s="67">
        <v>1729828</v>
      </c>
      <c r="BO201" s="24">
        <f t="shared" si="141"/>
        <v>1683881</v>
      </c>
      <c r="BP201" s="89">
        <f t="shared" si="148"/>
        <v>0.316</v>
      </c>
      <c r="BQ201" s="58">
        <f t="shared" si="149"/>
        <v>0</v>
      </c>
      <c r="BR201" s="1" t="b">
        <f t="shared" si="150"/>
        <v>0</v>
      </c>
      <c r="BS201" s="76">
        <f t="shared" si="151"/>
        <v>0</v>
      </c>
      <c r="BT201" s="75">
        <f t="shared" si="142"/>
        <v>0</v>
      </c>
      <c r="BU201" s="58">
        <f t="shared" si="152"/>
        <v>0</v>
      </c>
      <c r="BV201" s="1" t="b">
        <f t="shared" si="153"/>
        <v>1</v>
      </c>
      <c r="BW201" s="1">
        <f t="shared" si="154"/>
        <v>252.45</v>
      </c>
      <c r="BX201" s="75">
        <f t="shared" si="143"/>
        <v>0.41487800000000002</v>
      </c>
      <c r="BY201" s="58">
        <f t="shared" si="155"/>
        <v>209.1</v>
      </c>
      <c r="BZ201" s="58">
        <f t="shared" si="156"/>
        <v>0</v>
      </c>
      <c r="CA201" s="61">
        <v>237</v>
      </c>
      <c r="CB201" s="102">
        <f t="shared" si="157"/>
        <v>0.70899999999999996</v>
      </c>
      <c r="CC201" s="105">
        <f>IF(CB201&lt;0.06,1,IF(CB201&gt;=18.29,52,MATCH(CB201-0.001,'Weighting Factors'!$W$5:$W$156)+1))</f>
        <v>28</v>
      </c>
      <c r="CD201" s="24">
        <f>VLOOKUP(CC201, 'Weighting Factors'!$U$5:$X$56,4)</f>
        <v>1030</v>
      </c>
      <c r="CE201" s="109">
        <f>('Weighting Factors'!$O$5/'Weighting Factors'!$O$14)</f>
        <v>1.2216</v>
      </c>
      <c r="CF201" s="100">
        <f t="shared" si="158"/>
        <v>173040</v>
      </c>
      <c r="CG201" s="100">
        <f>CF201*'Weighting Factors'!$Q$7</f>
        <v>173040</v>
      </c>
      <c r="CH201" s="100">
        <f t="shared" si="144"/>
        <v>211386</v>
      </c>
      <c r="CI201" s="58">
        <f>AK201/'Weighting Factors'!$O$5</f>
        <v>41.5</v>
      </c>
      <c r="CJ201" s="67">
        <v>0</v>
      </c>
      <c r="CK201" s="80">
        <v>0</v>
      </c>
      <c r="CL201" s="110">
        <v>0</v>
      </c>
      <c r="CM201" s="24">
        <f>SUM((AR201*'Weighting Factors'!$O$5)+'2024 Legal Max'!AX201)*CL201</f>
        <v>0</v>
      </c>
      <c r="CN201" s="24">
        <f t="shared" si="145"/>
        <v>0</v>
      </c>
      <c r="CO201" s="65">
        <f t="shared" si="146"/>
        <v>0.41339999999999999</v>
      </c>
      <c r="CP201" s="58">
        <f t="shared" si="159"/>
        <v>0</v>
      </c>
      <c r="CQ201" s="58">
        <f t="shared" si="160"/>
        <v>9.3000000000000007</v>
      </c>
      <c r="CR201" s="58">
        <f t="shared" si="161"/>
        <v>1036.0999999999999</v>
      </c>
      <c r="CS201" s="24">
        <f>'Required Transfers'!L201</f>
        <v>167209</v>
      </c>
      <c r="CT201" s="24">
        <f>'Required Transfers'!O201</f>
        <v>0</v>
      </c>
      <c r="CU201" s="24">
        <f>'Required Transfers'!H201</f>
        <v>575962</v>
      </c>
      <c r="CV201" s="58">
        <f t="shared" si="162"/>
        <v>503</v>
      </c>
      <c r="CW201" s="27" t="s">
        <v>386</v>
      </c>
    </row>
    <row r="202" spans="1:101" ht="15" customHeight="1">
      <c r="A202" s="54">
        <v>409</v>
      </c>
      <c r="B202" s="1" t="s">
        <v>77</v>
      </c>
      <c r="C202" s="1" t="s">
        <v>706</v>
      </c>
      <c r="D202" s="58">
        <v>1576.1</v>
      </c>
      <c r="E202" s="58"/>
      <c r="F202" s="58">
        <v>0</v>
      </c>
      <c r="G202" s="58">
        <f t="shared" si="163"/>
        <v>1576.1</v>
      </c>
      <c r="H202" s="58">
        <v>1514.1</v>
      </c>
      <c r="I202" s="58">
        <v>0</v>
      </c>
      <c r="J202" s="58">
        <v>0</v>
      </c>
      <c r="K202" s="58">
        <f t="shared" si="164"/>
        <v>1514.1</v>
      </c>
      <c r="L202" s="1">
        <v>1446.5</v>
      </c>
      <c r="N202" s="1">
        <v>0</v>
      </c>
      <c r="O202" s="58">
        <f t="shared" si="165"/>
        <v>1446.5</v>
      </c>
      <c r="P202" s="58">
        <f>IF(ISNA(VLOOKUP($CW202,'Audit Values'!$A:$BZ,2,FALSE)),'Preliminary SO66'!C201,VLOOKUP($CW202,'Audit Values'!$A:$BZ,76,FALSE))</f>
        <v>1413.5</v>
      </c>
      <c r="Q202" s="58">
        <f>IF(ISNA(VLOOKUP($CW202,'Audit Values'!$A:$BZ,2,FALSE)),'Preliminary SO66'!F201,VLOOKUP($CW202,'Audit Values'!$A:$BZ,4,FALSE))</f>
        <v>0</v>
      </c>
      <c r="R202" s="58">
        <f t="shared" si="133"/>
        <v>1413.5</v>
      </c>
      <c r="S202" s="58">
        <f>IF('Military Provision'!I202="YES", MAX('2024 Legal Max'!O202,'2024 Legal Max'!K202,AVERAGE('2024 Legal Max'!G202,'2024 Legal Max'!K202,'2024 Legal Max'!O202)), MAX(O202, K202))</f>
        <v>1514.1</v>
      </c>
      <c r="T202" s="58">
        <f>IF(ISNA(VLOOKUP($CW202,'Audit Values'!$A:$BX,2,FALSE)),'Preliminary SO66'!AL201,VLOOKUP($CW202,'Audit Values'!$A:$BX,59,FALSE))</f>
        <v>17.3</v>
      </c>
      <c r="U202" s="58">
        <f t="shared" si="134"/>
        <v>1531.4</v>
      </c>
      <c r="V202" s="58">
        <f>'Low-High ENRL- 2023 HSubSB 113'!N205</f>
        <v>100.8</v>
      </c>
      <c r="W202" s="58">
        <f>IF(ISNA(VLOOKUP($CW202,'Audit Values'!$A:$BZ,2,FALSE)),'Preliminary SO66'!AM201,VLOOKUP($CW202,'Audit Values'!$A:$BZ,63,FALSE))</f>
        <v>2</v>
      </c>
      <c r="X202" s="58">
        <f>(W202/6)*'Weighting Factors'!$O$7</f>
        <v>0.1</v>
      </c>
      <c r="Y202" s="61">
        <f>IF(ISNA(VLOOKUP($CW202,'Audit Values'!$A:$BZ,2,FALSE)),'Preliminary SO66'!AN201,VLOOKUP($CW202,'Audit Values'!$A:$BZ,62,FALSE))</f>
        <v>5</v>
      </c>
      <c r="Z202" s="58">
        <f>Y202*'Weighting Factors'!$O$8</f>
        <v>0.9</v>
      </c>
      <c r="AA202" s="58">
        <f t="shared" si="135"/>
        <v>0.9</v>
      </c>
      <c r="AB202" s="106">
        <f>IF(ISNA(VLOOKUP($CW202,'Audit Values'!$A:$BZ,2,FALSE)),'Preliminary SO66'!AO201,VLOOKUP($CW202,'Audit Values'!$A:$BZ,61,FALSE))</f>
        <v>258.10000000000002</v>
      </c>
      <c r="AC202" s="58">
        <f>AB202/6*'Weighting Factors'!$O$6</f>
        <v>21.5</v>
      </c>
      <c r="AD202" s="24">
        <f>IF(ISNA(VLOOKUP($CW202,'Audit Values'!$A:$BX,2,FALSE)),'Preliminary SO66'!AS201,VLOOKUP($CW202,'Audit Values'!$A:$BX,64,FALSE))</f>
        <v>1470</v>
      </c>
      <c r="AE202" s="24">
        <f>IF(ISNA(VLOOKUP($CW202,'Audit Values'!$A:$BX,2,FALSE)),'Preliminary SO66'!AP201,VLOOKUP($CW202,'Audit Values'!$A:$BX,65,FALSE))</f>
        <v>840</v>
      </c>
      <c r="AF202" s="58">
        <f>IF(A202=207, AE202,(AE202))*'Weighting Factors'!$O$9</f>
        <v>406.6</v>
      </c>
      <c r="AG202" s="58">
        <f t="shared" si="132"/>
        <v>88.2</v>
      </c>
      <c r="AH202" s="58">
        <f>IF(ISNA(VLOOKUP($CW202,'Audit Values'!$A:$BZ,2,FALSE)),'Preliminary SO66'!AG201,VLOOKUP($CW202,'Audit Values'!$A:$BZ,71,FALSE))</f>
        <v>87.5</v>
      </c>
      <c r="AI202" s="58">
        <f t="shared" si="136"/>
        <v>88.2</v>
      </c>
      <c r="AJ202" s="58">
        <f>IF(ISNA(VLOOKUP($CW202,'Audit Values'!$A:$BX,2,FALSE)),'Preliminary SO66'!AR201,VLOOKUP($CW202,'Audit Values'!$A:$BX,66,FALSE))</f>
        <v>170</v>
      </c>
      <c r="AK202" s="24">
        <f t="shared" si="137"/>
        <v>159907</v>
      </c>
      <c r="AL202" s="58">
        <f>AK202/'Weighting Factors'!$O$5</f>
        <v>31.4</v>
      </c>
      <c r="AM202" s="58">
        <f>CJ202/'Weighting Factors'!$O$5</f>
        <v>0</v>
      </c>
      <c r="AN202" s="58">
        <f>CN202/'Weighting Factors'!$O$5</f>
        <v>0</v>
      </c>
      <c r="AO202" s="24">
        <v>1596363</v>
      </c>
      <c r="AP202" s="58">
        <f>AO202/'Weighting Factors'!$O$5</f>
        <v>313.8</v>
      </c>
      <c r="AQ202" s="58">
        <f>IF(ISNA(VLOOKUP($CW202,'Audit Values'!$A:$BX,2,FALSE)),'Preliminary SO66'!X201,VLOOKUP($CW202,'Audit Values'!$A:$BX,48,FALSE))</f>
        <v>0</v>
      </c>
      <c r="AR202" s="58">
        <f t="shared" si="166"/>
        <v>2494.6</v>
      </c>
      <c r="AS202" s="58">
        <f t="shared" si="167"/>
        <v>2180.8000000000002</v>
      </c>
      <c r="AT202" s="58">
        <f>IF(ISNA(VLOOKUP($CW202,'Audit Values'!$A$2:$BX$410,2,FALSE)),'Preliminary SO66'!AA201,VLOOKUP($CW202,'Audit Values'!$A$2:$BX$410,41,FALSE))</f>
        <v>0</v>
      </c>
      <c r="AU202" s="58">
        <f>IF(ISNA(VLOOKUP($CW202,'Audit Values'!$A$2:$BX$410,2,FALSE)),'Preliminary SO66'!AB201,VLOOKUP($CW202,'Audit Values'!$A$2:$BX$410,42,FALSE))</f>
        <v>0</v>
      </c>
      <c r="AV202" s="73">
        <v>0</v>
      </c>
      <c r="AW202" s="73">
        <v>0</v>
      </c>
      <c r="AX202" s="24">
        <f>SUM(AT202*'Weighting Factors'!$R$10)+('2024 Legal Max'!AU202*'Weighting Factors'!$R$11)+('2024 Legal Max'!AV202*'Weighting Factors'!$R$12)+('2024 Legal Max'!AW202*'Weighting Factors'!$R$12)</f>
        <v>0</v>
      </c>
      <c r="AY202" s="54">
        <f>IF(ISNA(VLOOKUP($CW202,'Audit Values'!$A$2:$BX$429,2,FALSE)),"",IF(AND('Weighting Factors'!G202&gt;0,VLOOKUP($CW202,'Audit Values'!$A$2:$BX$429,51,FALSE)&lt;'Weighting Factors'!G202),'Weighting Factors'!G202,VLOOKUP($CW202,'Audit Values'!$A$2:$BX$429,51,FALSE)))</f>
        <v>14</v>
      </c>
      <c r="AZ202" s="54" t="str">
        <f>IF(ISNA(VLOOKUP($CW202,'Audit Values'!$A:$BY,2,FALSE)),"",VLOOKUP($CW202,'Audit Values'!$A:$BY,52,FALSE))</f>
        <v>A</v>
      </c>
      <c r="BA202" s="54" t="str">
        <f>IF('Weighting Factors'!F202="","",IF('Weighting Factors'!H202="Pending","PX","R"))</f>
        <v/>
      </c>
      <c r="BB202" s="60">
        <f>SUM((U202+V202+AA202+AC202+AF202+AI202+AL202+AM202+AQ202+AN202)*'Weighting Factors'!$O$5)+'2024 Legal Max'!AX202</f>
        <v>11095910</v>
      </c>
      <c r="BC202" s="24">
        <f>SUM((AR202+AN202)*'Weighting Factors'!$O$5)+AX202</f>
        <v>12692525</v>
      </c>
      <c r="BD202" s="67">
        <f>IF('Weighting Factors'!F202&gt;0,'Weighting Factors'!F202,'Preliminary SO66'!AV201)</f>
        <v>14354266</v>
      </c>
      <c r="BE202" s="24">
        <f t="shared" si="138"/>
        <v>12692525</v>
      </c>
      <c r="BF202" s="71">
        <f>'Weighting Factors'!E202</f>
        <v>0</v>
      </c>
      <c r="BG202" s="71">
        <f>Transportation!G202</f>
        <v>0</v>
      </c>
      <c r="BH202" s="24">
        <f>IF(ISNA(VLOOKUP($CW202,'Audit Values'!$A:$BW,2,FALSE)), 0, VLOOKUP($CW202,'Audit Values'!$A:$BW,75,FALSE))</f>
        <v>0</v>
      </c>
      <c r="BI202" s="24">
        <f t="shared" si="139"/>
        <v>0</v>
      </c>
      <c r="BJ202" s="24">
        <f t="shared" si="140"/>
        <v>12692525</v>
      </c>
      <c r="BK202" s="24">
        <f>SUM((U202+V202+AA202+AC202+AF202+AI202+AL202+AM202+AN202)*'Weighting Factors'!O$12)+(MAX(AO202,'Weighting Factors'!B202))</f>
        <v>12983247</v>
      </c>
      <c r="BL202" s="78">
        <f>'LOB%'!F200</f>
        <v>0.316</v>
      </c>
      <c r="BM202" s="24">
        <f t="shared" si="147"/>
        <v>4102706</v>
      </c>
      <c r="BN202" s="67">
        <v>4589175</v>
      </c>
      <c r="BO202" s="24">
        <f t="shared" si="141"/>
        <v>4102706</v>
      </c>
      <c r="BP202" s="89">
        <f t="shared" si="148"/>
        <v>0.316</v>
      </c>
      <c r="BQ202" s="58">
        <f t="shared" si="149"/>
        <v>0</v>
      </c>
      <c r="BR202" s="1" t="b">
        <f t="shared" si="150"/>
        <v>0</v>
      </c>
      <c r="BS202" s="76">
        <f t="shared" si="151"/>
        <v>0</v>
      </c>
      <c r="BT202" s="75">
        <f t="shared" si="142"/>
        <v>0</v>
      </c>
      <c r="BU202" s="58">
        <f t="shared" si="152"/>
        <v>0</v>
      </c>
      <c r="BV202" s="1" t="b">
        <f t="shared" si="153"/>
        <v>1</v>
      </c>
      <c r="BW202" s="1">
        <f t="shared" si="154"/>
        <v>1523.8575000000001</v>
      </c>
      <c r="BX202" s="75">
        <f t="shared" si="143"/>
        <v>6.5820000000000004E-2</v>
      </c>
      <c r="BY202" s="58">
        <f t="shared" si="155"/>
        <v>100.8</v>
      </c>
      <c r="BZ202" s="58">
        <f t="shared" si="156"/>
        <v>0</v>
      </c>
      <c r="CA202" s="61">
        <v>52.7</v>
      </c>
      <c r="CB202" s="102">
        <f t="shared" si="157"/>
        <v>3.226</v>
      </c>
      <c r="CC202" s="105">
        <f>IF(CB202&lt;0.06,1,IF(CB202&gt;=18.29,52,MATCH(CB202-0.001,'Weighting Factors'!$W$5:$W$156)+1))</f>
        <v>41</v>
      </c>
      <c r="CD202" s="24">
        <f>VLOOKUP(CC202, 'Weighting Factors'!$U$5:$X$56,4)</f>
        <v>770</v>
      </c>
      <c r="CE202" s="109">
        <f>('Weighting Factors'!$O$5/'Weighting Factors'!$O$14)</f>
        <v>1.2216</v>
      </c>
      <c r="CF202" s="100">
        <f t="shared" si="158"/>
        <v>130900</v>
      </c>
      <c r="CG202" s="100">
        <f>CF202*'Weighting Factors'!$Q$7</f>
        <v>130900</v>
      </c>
      <c r="CH202" s="100">
        <f t="shared" si="144"/>
        <v>159907</v>
      </c>
      <c r="CI202" s="58">
        <f>AK202/'Weighting Factors'!$O$5</f>
        <v>31.4</v>
      </c>
      <c r="CJ202" s="67">
        <v>0</v>
      </c>
      <c r="CK202" s="80">
        <v>0</v>
      </c>
      <c r="CL202" s="110">
        <v>0</v>
      </c>
      <c r="CM202" s="24">
        <f>SUM((AR202*'Weighting Factors'!$O$5)+'2024 Legal Max'!AX202)*CL202</f>
        <v>0</v>
      </c>
      <c r="CN202" s="24">
        <f t="shared" si="145"/>
        <v>0</v>
      </c>
      <c r="CO202" s="65">
        <f t="shared" si="146"/>
        <v>0.57140000000000002</v>
      </c>
      <c r="CP202" s="58">
        <f t="shared" si="159"/>
        <v>88.2</v>
      </c>
      <c r="CQ202" s="58">
        <f t="shared" si="160"/>
        <v>0</v>
      </c>
      <c r="CR202" s="58">
        <f t="shared" si="161"/>
        <v>2494.6</v>
      </c>
      <c r="CS202" s="24">
        <f>'Required Transfers'!L202</f>
        <v>673254</v>
      </c>
      <c r="CT202" s="24">
        <f>'Required Transfers'!O202</f>
        <v>1641</v>
      </c>
      <c r="CU202" s="24">
        <f>'Required Transfers'!H202</f>
        <v>2517542</v>
      </c>
      <c r="CV202" s="58">
        <f t="shared" si="162"/>
        <v>1430.8</v>
      </c>
      <c r="CW202" s="27" t="s">
        <v>387</v>
      </c>
    </row>
    <row r="203" spans="1:101" ht="15" customHeight="1">
      <c r="A203" s="54">
        <v>410</v>
      </c>
      <c r="B203" s="1" t="s">
        <v>89</v>
      </c>
      <c r="C203" s="1" t="s">
        <v>707</v>
      </c>
      <c r="D203" s="58">
        <v>546.5</v>
      </c>
      <c r="E203" s="58"/>
      <c r="F203" s="58">
        <v>0</v>
      </c>
      <c r="G203" s="58">
        <f t="shared" si="163"/>
        <v>546.5</v>
      </c>
      <c r="H203" s="58">
        <v>563.5</v>
      </c>
      <c r="I203" s="58"/>
      <c r="J203" s="58">
        <v>0</v>
      </c>
      <c r="K203" s="58">
        <f t="shared" si="164"/>
        <v>563.5</v>
      </c>
      <c r="L203" s="1">
        <v>585</v>
      </c>
      <c r="N203" s="1">
        <v>0</v>
      </c>
      <c r="O203" s="58">
        <f t="shared" si="165"/>
        <v>585</v>
      </c>
      <c r="P203" s="58">
        <f>IF(ISNA(VLOOKUP($CW203,'Audit Values'!$A:$BZ,2,FALSE)),'Preliminary SO66'!C202,VLOOKUP($CW203,'Audit Values'!$A:$BZ,76,FALSE))</f>
        <v>575.70000000000005</v>
      </c>
      <c r="Q203" s="58">
        <f>IF(ISNA(VLOOKUP($CW203,'Audit Values'!$A:$BZ,2,FALSE)),'Preliminary SO66'!F202,VLOOKUP($CW203,'Audit Values'!$A:$BZ,4,FALSE))</f>
        <v>0</v>
      </c>
      <c r="R203" s="58">
        <f t="shared" si="133"/>
        <v>575.70000000000005</v>
      </c>
      <c r="S203" s="58">
        <f>IF('Military Provision'!I203="YES", MAX('2024 Legal Max'!O203,'2024 Legal Max'!K203,AVERAGE('2024 Legal Max'!G203,'2024 Legal Max'!K203,'2024 Legal Max'!O203)), MAX(O203, K203))</f>
        <v>585</v>
      </c>
      <c r="T203" s="58">
        <f>IF(ISNA(VLOOKUP($CW203,'Audit Values'!$A:$BX,2,FALSE)),'Preliminary SO66'!AL202,VLOOKUP($CW203,'Audit Values'!$A:$BX,59,FALSE))</f>
        <v>10.5</v>
      </c>
      <c r="U203" s="58">
        <f t="shared" si="134"/>
        <v>595.5</v>
      </c>
      <c r="V203" s="58">
        <f>'Low-High ENRL- 2023 HSubSB 113'!N206</f>
        <v>228.5</v>
      </c>
      <c r="W203" s="58">
        <f>IF(ISNA(VLOOKUP($CW203,'Audit Values'!$A:$BZ,2,FALSE)),'Preliminary SO66'!AM202,VLOOKUP($CW203,'Audit Values'!$A:$BZ,63,FALSE))</f>
        <v>19.8</v>
      </c>
      <c r="X203" s="58">
        <f>(W203/6)*'Weighting Factors'!$O$7</f>
        <v>1.3</v>
      </c>
      <c r="Y203" s="61">
        <f>IF(ISNA(VLOOKUP($CW203,'Audit Values'!$A:$BZ,2,FALSE)),'Preliminary SO66'!AN202,VLOOKUP($CW203,'Audit Values'!$A:$BZ,62,FALSE))</f>
        <v>6</v>
      </c>
      <c r="Z203" s="58">
        <f>Y203*'Weighting Factors'!$O$8</f>
        <v>1.1000000000000001</v>
      </c>
      <c r="AA203" s="58">
        <f t="shared" si="135"/>
        <v>1.3</v>
      </c>
      <c r="AB203" s="106">
        <f>IF(ISNA(VLOOKUP($CW203,'Audit Values'!$A:$BZ,2,FALSE)),'Preliminary SO66'!AO202,VLOOKUP($CW203,'Audit Values'!$A:$BZ,61,FALSE))</f>
        <v>290</v>
      </c>
      <c r="AC203" s="58">
        <f>AB203/6*'Weighting Factors'!$O$6</f>
        <v>24.2</v>
      </c>
      <c r="AD203" s="24">
        <f>IF(ISNA(VLOOKUP($CW203,'Audit Values'!$A:$BX,2,FALSE)),'Preliminary SO66'!AS202,VLOOKUP($CW203,'Audit Values'!$A:$BX,64,FALSE))</f>
        <v>603</v>
      </c>
      <c r="AE203" s="24">
        <f>IF(ISNA(VLOOKUP($CW203,'Audit Values'!$A:$BX,2,FALSE)),'Preliminary SO66'!AP202,VLOOKUP($CW203,'Audit Values'!$A:$BX,65,FALSE))</f>
        <v>225</v>
      </c>
      <c r="AF203" s="58">
        <f>IF(A203=207, AE203,(AE203))*'Weighting Factors'!$O$9</f>
        <v>108.9</v>
      </c>
      <c r="AG203" s="58">
        <f t="shared" si="132"/>
        <v>3.6</v>
      </c>
      <c r="AH203" s="58">
        <f>IF(ISNA(VLOOKUP($CW203,'Audit Values'!$A:$BZ,2,FALSE)),'Preliminary SO66'!AG202,VLOOKUP($CW203,'Audit Values'!$A:$BZ,71,FALSE))</f>
        <v>8.6</v>
      </c>
      <c r="AI203" s="58">
        <f t="shared" si="136"/>
        <v>8.6</v>
      </c>
      <c r="AJ203" s="58">
        <f>IF(ISNA(VLOOKUP($CW203,'Audit Values'!$A:$BX,2,FALSE)),'Preliminary SO66'!AR202,VLOOKUP($CW203,'Audit Values'!$A:$BX,66,FALSE))</f>
        <v>159.5</v>
      </c>
      <c r="AK203" s="24">
        <f t="shared" si="137"/>
        <v>200691</v>
      </c>
      <c r="AL203" s="58">
        <f>AK203/'Weighting Factors'!$O$5</f>
        <v>39.4</v>
      </c>
      <c r="AM203" s="58">
        <f>CJ203/'Weighting Factors'!$O$5</f>
        <v>0</v>
      </c>
      <c r="AN203" s="58">
        <f>CN203/'Weighting Factors'!$O$5</f>
        <v>0</v>
      </c>
      <c r="AO203" s="24">
        <v>907127</v>
      </c>
      <c r="AP203" s="58">
        <f>AO203/'Weighting Factors'!$O$5</f>
        <v>178.3</v>
      </c>
      <c r="AQ203" s="58">
        <f>IF(ISNA(VLOOKUP($CW203,'Audit Values'!$A:$BX,2,FALSE)),'Preliminary SO66'!X202,VLOOKUP($CW203,'Audit Values'!$A:$BX,48,FALSE))</f>
        <v>0</v>
      </c>
      <c r="AR203" s="58">
        <f t="shared" si="166"/>
        <v>1184.7</v>
      </c>
      <c r="AS203" s="58">
        <f t="shared" si="167"/>
        <v>1006.4</v>
      </c>
      <c r="AT203" s="58">
        <f>IF(ISNA(VLOOKUP($CW203,'Audit Values'!$A$2:$BX$410,2,FALSE)),'Preliminary SO66'!AA202,VLOOKUP($CW203,'Audit Values'!$A$2:$BX$410,41,FALSE))</f>
        <v>10</v>
      </c>
      <c r="AU203" s="58">
        <f>IF(ISNA(VLOOKUP($CW203,'Audit Values'!$A$2:$BX$410,2,FALSE)),'Preliminary SO66'!AB202,VLOOKUP($CW203,'Audit Values'!$A$2:$BX$410,42,FALSE))</f>
        <v>1.7</v>
      </c>
      <c r="AV203" s="73">
        <v>1</v>
      </c>
      <c r="AW203" s="73">
        <v>0</v>
      </c>
      <c r="AX203" s="24">
        <f>SUM(AT203*'Weighting Factors'!$R$10)+('2024 Legal Max'!AU203*'Weighting Factors'!$R$11)+('2024 Legal Max'!AV203*'Weighting Factors'!$R$12)+('2024 Legal Max'!AW203*'Weighting Factors'!$R$12)</f>
        <v>61469</v>
      </c>
      <c r="AY203" s="54">
        <f>IF(ISNA(VLOOKUP($CW203,'Audit Values'!$A$2:$BX$429,2,FALSE)),"",IF(AND('Weighting Factors'!G203&gt;0,VLOOKUP($CW203,'Audit Values'!$A$2:$BX$429,51,FALSE)&lt;'Weighting Factors'!G203),'Weighting Factors'!G203,VLOOKUP($CW203,'Audit Values'!$A$2:$BX$429,51,FALSE)))</f>
        <v>18</v>
      </c>
      <c r="AZ203" s="54" t="str">
        <f>IF(ISNA(VLOOKUP($CW203,'Audit Values'!$A:$BY,2,FALSE)),"",VLOOKUP($CW203,'Audit Values'!$A:$BY,52,FALSE))</f>
        <v>A</v>
      </c>
      <c r="BA203" s="54" t="str">
        <f>IF('Weighting Factors'!F203="","",IF('Weighting Factors'!H203="Pending","PX","R"))</f>
        <v/>
      </c>
      <c r="BB203" s="60">
        <f>SUM((U203+V203+AA203+AC203+AF203+AI203+AL203+AM203+AQ203+AN203)*'Weighting Factors'!$O$5)+'2024 Legal Max'!AX203</f>
        <v>5182032</v>
      </c>
      <c r="BC203" s="24">
        <f>SUM((AR203+AN203)*'Weighting Factors'!$O$5)+AX203</f>
        <v>6089223</v>
      </c>
      <c r="BD203" s="67">
        <f>IF('Weighting Factors'!F203&gt;0,'Weighting Factors'!F203,'Preliminary SO66'!AV202)</f>
        <v>6197222</v>
      </c>
      <c r="BE203" s="24">
        <f t="shared" si="138"/>
        <v>6089223</v>
      </c>
      <c r="BF203" s="71">
        <f>'Weighting Factors'!E203</f>
        <v>0</v>
      </c>
      <c r="BG203" s="71">
        <f>Transportation!G203</f>
        <v>0</v>
      </c>
      <c r="BH203" s="24">
        <f>IF(ISNA(VLOOKUP($CW203,'Audit Values'!$A:$BW,2,FALSE)), 0, VLOOKUP($CW203,'Audit Values'!$A:$BW,75,FALSE))</f>
        <v>0</v>
      </c>
      <c r="BI203" s="24">
        <f t="shared" si="139"/>
        <v>0</v>
      </c>
      <c r="BJ203" s="24">
        <f t="shared" si="140"/>
        <v>6089223</v>
      </c>
      <c r="BK203" s="24">
        <f>SUM((U203+V203+AA203+AC203+AF203+AI203+AL203+AM203+AN203)*'Weighting Factors'!O$12)+(MAX(AO203,'Weighting Factors'!B203))</f>
        <v>6098138</v>
      </c>
      <c r="BL203" s="78">
        <f>'LOB%'!F201</f>
        <v>0.33</v>
      </c>
      <c r="BM203" s="24">
        <f t="shared" si="147"/>
        <v>2012386</v>
      </c>
      <c r="BN203" s="67">
        <v>2045984</v>
      </c>
      <c r="BO203" s="24">
        <f t="shared" si="141"/>
        <v>2012386</v>
      </c>
      <c r="BP203" s="89">
        <f t="shared" si="148"/>
        <v>0.33</v>
      </c>
      <c r="BQ203" s="58">
        <f t="shared" si="149"/>
        <v>0</v>
      </c>
      <c r="BR203" s="1" t="b">
        <f t="shared" si="150"/>
        <v>0</v>
      </c>
      <c r="BS203" s="76">
        <f t="shared" si="151"/>
        <v>0</v>
      </c>
      <c r="BT203" s="75">
        <f t="shared" si="142"/>
        <v>0</v>
      </c>
      <c r="BU203" s="58">
        <f t="shared" si="152"/>
        <v>0</v>
      </c>
      <c r="BV203" s="1" t="b">
        <f t="shared" si="153"/>
        <v>1</v>
      </c>
      <c r="BW203" s="1">
        <f t="shared" si="154"/>
        <v>365.68130000000002</v>
      </c>
      <c r="BX203" s="75">
        <f t="shared" si="143"/>
        <v>0.38379099999999999</v>
      </c>
      <c r="BY203" s="58">
        <f t="shared" si="155"/>
        <v>228.5</v>
      </c>
      <c r="BZ203" s="58">
        <f t="shared" si="156"/>
        <v>0</v>
      </c>
      <c r="CA203" s="61">
        <v>231.8</v>
      </c>
      <c r="CB203" s="102">
        <f t="shared" si="157"/>
        <v>0.68799999999999994</v>
      </c>
      <c r="CC203" s="105">
        <f>IF(CB203&lt;0.06,1,IF(CB203&gt;=18.29,52,MATCH(CB203-0.001,'Weighting Factors'!$W$5:$W$156)+1))</f>
        <v>28</v>
      </c>
      <c r="CD203" s="24">
        <f>VLOOKUP(CC203, 'Weighting Factors'!$U$5:$X$56,4)</f>
        <v>1030</v>
      </c>
      <c r="CE203" s="109">
        <f>('Weighting Factors'!$O$5/'Weighting Factors'!$O$14)</f>
        <v>1.2216</v>
      </c>
      <c r="CF203" s="100">
        <f t="shared" si="158"/>
        <v>164285</v>
      </c>
      <c r="CG203" s="100">
        <f>CF203*'Weighting Factors'!$Q$7</f>
        <v>164285</v>
      </c>
      <c r="CH203" s="100">
        <f t="shared" si="144"/>
        <v>200691</v>
      </c>
      <c r="CI203" s="58">
        <f>AK203/'Weighting Factors'!$O$5</f>
        <v>39.4</v>
      </c>
      <c r="CJ203" s="67">
        <v>0</v>
      </c>
      <c r="CK203" s="80">
        <v>0</v>
      </c>
      <c r="CL203" s="110">
        <v>0</v>
      </c>
      <c r="CM203" s="24">
        <f>SUM((AR203*'Weighting Factors'!$O$5)+'2024 Legal Max'!AX203)*CL203</f>
        <v>0</v>
      </c>
      <c r="CN203" s="24">
        <f t="shared" si="145"/>
        <v>0</v>
      </c>
      <c r="CO203" s="65">
        <f t="shared" si="146"/>
        <v>0.37309999999999999</v>
      </c>
      <c r="CP203" s="58">
        <f t="shared" si="159"/>
        <v>0</v>
      </c>
      <c r="CQ203" s="58">
        <f t="shared" si="160"/>
        <v>3.6</v>
      </c>
      <c r="CR203" s="58">
        <f t="shared" si="161"/>
        <v>1184.7</v>
      </c>
      <c r="CS203" s="24">
        <f>'Required Transfers'!L203</f>
        <v>186548</v>
      </c>
      <c r="CT203" s="24">
        <f>'Required Transfers'!O203</f>
        <v>2214</v>
      </c>
      <c r="CU203" s="24">
        <f>'Required Transfers'!H203</f>
        <v>597840</v>
      </c>
      <c r="CV203" s="58">
        <f t="shared" si="162"/>
        <v>598.1</v>
      </c>
      <c r="CW203" s="27" t="s">
        <v>388</v>
      </c>
    </row>
    <row r="204" spans="1:101" ht="15" customHeight="1">
      <c r="A204" s="54">
        <v>411</v>
      </c>
      <c r="B204" s="1" t="s">
        <v>89</v>
      </c>
      <c r="C204" s="1" t="s">
        <v>708</v>
      </c>
      <c r="D204" s="58">
        <v>279</v>
      </c>
      <c r="E204" s="58"/>
      <c r="F204" s="58">
        <v>0</v>
      </c>
      <c r="G204" s="58">
        <f t="shared" si="163"/>
        <v>279</v>
      </c>
      <c r="H204" s="58">
        <v>281.5</v>
      </c>
      <c r="I204" s="58"/>
      <c r="J204" s="58">
        <v>0</v>
      </c>
      <c r="K204" s="58">
        <f t="shared" si="164"/>
        <v>281.5</v>
      </c>
      <c r="L204" s="1">
        <v>269</v>
      </c>
      <c r="N204" s="1">
        <v>0</v>
      </c>
      <c r="O204" s="58">
        <f t="shared" si="165"/>
        <v>269</v>
      </c>
      <c r="P204" s="58">
        <f>IF(ISNA(VLOOKUP($CW204,'Audit Values'!$A:$BZ,2,FALSE)),'Preliminary SO66'!C203,VLOOKUP($CW204,'Audit Values'!$A:$BZ,76,FALSE))</f>
        <v>266</v>
      </c>
      <c r="Q204" s="58">
        <f>IF(ISNA(VLOOKUP($CW204,'Audit Values'!$A:$BZ,2,FALSE)),'Preliminary SO66'!F203,VLOOKUP($CW204,'Audit Values'!$A:$BZ,4,FALSE))</f>
        <v>0</v>
      </c>
      <c r="R204" s="58">
        <f t="shared" si="133"/>
        <v>266</v>
      </c>
      <c r="S204" s="58">
        <f>IF('Military Provision'!I204="YES", MAX('2024 Legal Max'!O204,'2024 Legal Max'!K204,AVERAGE('2024 Legal Max'!G204,'2024 Legal Max'!K204,'2024 Legal Max'!O204)), MAX(O204, K204))</f>
        <v>281.5</v>
      </c>
      <c r="T204" s="58">
        <f>IF(ISNA(VLOOKUP($CW204,'Audit Values'!$A:$BX,2,FALSE)),'Preliminary SO66'!AL203,VLOOKUP($CW204,'Audit Values'!$A:$BX,59,FALSE))</f>
        <v>7.5</v>
      </c>
      <c r="U204" s="58">
        <f t="shared" si="134"/>
        <v>289</v>
      </c>
      <c r="V204" s="58">
        <f>'Low-High ENRL- 2023 HSubSB 113'!N207</f>
        <v>148.4</v>
      </c>
      <c r="W204" s="58">
        <f>IF(ISNA(VLOOKUP($CW204,'Audit Values'!$A:$BZ,2,FALSE)),'Preliminary SO66'!AM203,VLOOKUP($CW204,'Audit Values'!$A:$BZ,63,FALSE))</f>
        <v>2.2000000000000002</v>
      </c>
      <c r="X204" s="58">
        <f>(W204/6)*'Weighting Factors'!$O$7</f>
        <v>0.1</v>
      </c>
      <c r="Y204" s="61">
        <f>IF(ISNA(VLOOKUP($CW204,'Audit Values'!$A:$BZ,2,FALSE)),'Preliminary SO66'!AN203,VLOOKUP($CW204,'Audit Values'!$A:$BZ,62,FALSE))</f>
        <v>2</v>
      </c>
      <c r="Z204" s="58">
        <f>Y204*'Weighting Factors'!$O$8</f>
        <v>0.4</v>
      </c>
      <c r="AA204" s="58">
        <f t="shared" si="135"/>
        <v>0.4</v>
      </c>
      <c r="AB204" s="106">
        <f>IF(ISNA(VLOOKUP($CW204,'Audit Values'!$A:$BZ,2,FALSE)),'Preliminary SO66'!AO203,VLOOKUP($CW204,'Audit Values'!$A:$BZ,61,FALSE))</f>
        <v>100.8</v>
      </c>
      <c r="AC204" s="58">
        <f>AB204/6*'Weighting Factors'!$O$6</f>
        <v>8.4</v>
      </c>
      <c r="AD204" s="24">
        <f>IF(ISNA(VLOOKUP($CW204,'Audit Values'!$A:$BX,2,FALSE)),'Preliminary SO66'!AS203,VLOOKUP($CW204,'Audit Values'!$A:$BX,64,FALSE))</f>
        <v>284</v>
      </c>
      <c r="AE204" s="24">
        <f>IF(ISNA(VLOOKUP($CW204,'Audit Values'!$A:$BX,2,FALSE)),'Preliminary SO66'!AP203,VLOOKUP($CW204,'Audit Values'!$A:$BX,65,FALSE))</f>
        <v>62</v>
      </c>
      <c r="AF204" s="58">
        <f>IF(A204=207, AE204,(AE204))*'Weighting Factors'!$O$9</f>
        <v>30</v>
      </c>
      <c r="AG204" s="58">
        <f t="shared" si="132"/>
        <v>0</v>
      </c>
      <c r="AH204" s="58">
        <f>IF(ISNA(VLOOKUP($CW204,'Audit Values'!$A:$BZ,2,FALSE)),'Preliminary SO66'!AG203,VLOOKUP($CW204,'Audit Values'!$A:$BZ,71,FALSE))</f>
        <v>0</v>
      </c>
      <c r="AI204" s="58">
        <f t="shared" si="136"/>
        <v>0</v>
      </c>
      <c r="AJ204" s="58">
        <f>IF(ISNA(VLOOKUP($CW204,'Audit Values'!$A:$BX,2,FALSE)),'Preliminary SO66'!AR203,VLOOKUP($CW204,'Audit Values'!$A:$BX,66,FALSE))</f>
        <v>89.5</v>
      </c>
      <c r="AK204" s="24">
        <f t="shared" si="137"/>
        <v>108240</v>
      </c>
      <c r="AL204" s="58">
        <f>AK204/'Weighting Factors'!$O$5</f>
        <v>21.3</v>
      </c>
      <c r="AM204" s="58">
        <f>CJ204/'Weighting Factors'!$O$5</f>
        <v>0</v>
      </c>
      <c r="AN204" s="58">
        <f>CN204/'Weighting Factors'!$O$5</f>
        <v>0</v>
      </c>
      <c r="AO204" s="24">
        <v>397031</v>
      </c>
      <c r="AP204" s="58">
        <f>AO204/'Weighting Factors'!$O$5</f>
        <v>78</v>
      </c>
      <c r="AQ204" s="58">
        <f>IF(ISNA(VLOOKUP($CW204,'Audit Values'!$A:$BX,2,FALSE)),'Preliminary SO66'!X203,VLOOKUP($CW204,'Audit Values'!$A:$BX,48,FALSE))</f>
        <v>0</v>
      </c>
      <c r="AR204" s="58">
        <f t="shared" si="166"/>
        <v>575.5</v>
      </c>
      <c r="AS204" s="58">
        <f t="shared" si="167"/>
        <v>497.5</v>
      </c>
      <c r="AT204" s="58">
        <f>IF(ISNA(VLOOKUP($CW204,'Audit Values'!$A$2:$BX$410,2,FALSE)),'Preliminary SO66'!AA203,VLOOKUP($CW204,'Audit Values'!$A$2:$BX$410,41,FALSE))</f>
        <v>0</v>
      </c>
      <c r="AU204" s="58">
        <f>IF(ISNA(VLOOKUP($CW204,'Audit Values'!$A$2:$BX$410,2,FALSE)),'Preliminary SO66'!AB203,VLOOKUP($CW204,'Audit Values'!$A$2:$BX$410,42,FALSE))</f>
        <v>0</v>
      </c>
      <c r="AV204" s="73">
        <v>0</v>
      </c>
      <c r="AW204" s="73">
        <v>0</v>
      </c>
      <c r="AX204" s="24">
        <f>SUM(AT204*'Weighting Factors'!$R$10)+('2024 Legal Max'!AU204*'Weighting Factors'!$R$11)+('2024 Legal Max'!AV204*'Weighting Factors'!$R$12)+('2024 Legal Max'!AW204*'Weighting Factors'!$R$12)</f>
        <v>0</v>
      </c>
      <c r="AY204" s="54">
        <f>IF(ISNA(VLOOKUP($CW204,'Audit Values'!$A$2:$BX$429,2,FALSE)),"",IF(AND('Weighting Factors'!G204&gt;0,VLOOKUP($CW204,'Audit Values'!$A$2:$BX$429,51,FALSE)&lt;'Weighting Factors'!G204),'Weighting Factors'!G204,VLOOKUP($CW204,'Audit Values'!$A$2:$BX$429,51,FALSE)))</f>
        <v>7</v>
      </c>
      <c r="AZ204" s="54" t="str">
        <f>IF(ISNA(VLOOKUP($CW204,'Audit Values'!$A:$BY,2,FALSE)),"",VLOOKUP($CW204,'Audit Values'!$A:$BY,52,FALSE))</f>
        <v>A</v>
      </c>
      <c r="BA204" s="54" t="str">
        <f>IF('Weighting Factors'!F204="","",IF('Weighting Factors'!H204="Pending","PX","R"))</f>
        <v/>
      </c>
      <c r="BB204" s="60">
        <f>SUM((U204+V204+AA204+AC204+AF204+AI204+AL204+AM204+AQ204+AN204)*'Weighting Factors'!$O$5)+'2024 Legal Max'!AX204</f>
        <v>2531280</v>
      </c>
      <c r="BC204" s="24">
        <f>SUM((AR204+AN204)*'Weighting Factors'!$O$5)+AX204</f>
        <v>2928144</v>
      </c>
      <c r="BD204" s="67">
        <f>IF('Weighting Factors'!F204&gt;0,'Weighting Factors'!F204,'Preliminary SO66'!AV203)</f>
        <v>3194246</v>
      </c>
      <c r="BE204" s="24">
        <f t="shared" si="138"/>
        <v>2928144</v>
      </c>
      <c r="BF204" s="71">
        <f>'Weighting Factors'!E204</f>
        <v>0</v>
      </c>
      <c r="BG204" s="71">
        <f>Transportation!G204</f>
        <v>0</v>
      </c>
      <c r="BH204" s="24">
        <f>IF(ISNA(VLOOKUP($CW204,'Audit Values'!$A:$BW,2,FALSE)), 0, VLOOKUP($CW204,'Audit Values'!$A:$BW,75,FALSE))</f>
        <v>0</v>
      </c>
      <c r="BI204" s="24">
        <f t="shared" si="139"/>
        <v>0</v>
      </c>
      <c r="BJ204" s="24">
        <f t="shared" si="140"/>
        <v>2928144</v>
      </c>
      <c r="BK204" s="24">
        <f>SUM((U204+V204+AA204+AC204+AF204+AI204+AL204+AM204+AN204)*'Weighting Factors'!O$12)+(MAX(AO204,'Weighting Factors'!B204))</f>
        <v>2963136</v>
      </c>
      <c r="BL204" s="78">
        <f>'LOB%'!F202</f>
        <v>0.33</v>
      </c>
      <c r="BM204" s="24">
        <f t="shared" si="147"/>
        <v>977835</v>
      </c>
      <c r="BN204" s="67">
        <v>1066364</v>
      </c>
      <c r="BO204" s="24">
        <f t="shared" si="141"/>
        <v>977835</v>
      </c>
      <c r="BP204" s="89">
        <f t="shared" si="148"/>
        <v>0.33</v>
      </c>
      <c r="BQ204" s="58">
        <f t="shared" si="149"/>
        <v>0</v>
      </c>
      <c r="BR204" s="1" t="b">
        <f t="shared" si="150"/>
        <v>1</v>
      </c>
      <c r="BS204" s="76">
        <f t="shared" si="151"/>
        <v>1824.7950000000001</v>
      </c>
      <c r="BT204" s="75">
        <f t="shared" si="142"/>
        <v>0.51334400000000002</v>
      </c>
      <c r="BU204" s="58">
        <f t="shared" si="152"/>
        <v>148.4</v>
      </c>
      <c r="BV204" s="1" t="b">
        <f t="shared" si="153"/>
        <v>0</v>
      </c>
      <c r="BW204" s="1">
        <f t="shared" si="154"/>
        <v>0</v>
      </c>
      <c r="BX204" s="75">
        <f t="shared" si="143"/>
        <v>0</v>
      </c>
      <c r="BY204" s="58">
        <f t="shared" si="155"/>
        <v>0</v>
      </c>
      <c r="BZ204" s="58">
        <f t="shared" si="156"/>
        <v>0</v>
      </c>
      <c r="CA204" s="61">
        <v>111.2</v>
      </c>
      <c r="CB204" s="102">
        <f t="shared" si="157"/>
        <v>0.80500000000000005</v>
      </c>
      <c r="CC204" s="105">
        <f>IF(CB204&lt;0.06,1,IF(CB204&gt;=18.29,52,MATCH(CB204-0.001,'Weighting Factors'!$W$5:$W$156)+1))</f>
        <v>30</v>
      </c>
      <c r="CD204" s="24">
        <f>VLOOKUP(CC204, 'Weighting Factors'!$U$5:$X$56,4)</f>
        <v>990</v>
      </c>
      <c r="CE204" s="109">
        <f>('Weighting Factors'!$O$5/'Weighting Factors'!$O$14)</f>
        <v>1.2216</v>
      </c>
      <c r="CF204" s="100">
        <f t="shared" si="158"/>
        <v>88605</v>
      </c>
      <c r="CG204" s="100">
        <f>CF204*'Weighting Factors'!$Q$7</f>
        <v>88605</v>
      </c>
      <c r="CH204" s="100">
        <f t="shared" si="144"/>
        <v>108240</v>
      </c>
      <c r="CI204" s="58">
        <f>AK204/'Weighting Factors'!$O$5</f>
        <v>21.3</v>
      </c>
      <c r="CJ204" s="67">
        <v>0</v>
      </c>
      <c r="CK204" s="80">
        <v>0</v>
      </c>
      <c r="CL204" s="110">
        <v>0</v>
      </c>
      <c r="CM204" s="24">
        <f>SUM((AR204*'Weighting Factors'!$O$5)+'2024 Legal Max'!AX204)*CL204</f>
        <v>0</v>
      </c>
      <c r="CN204" s="24">
        <f t="shared" si="145"/>
        <v>0</v>
      </c>
      <c r="CO204" s="65">
        <f t="shared" si="146"/>
        <v>0.21829999999999999</v>
      </c>
      <c r="CP204" s="58">
        <f t="shared" si="159"/>
        <v>0</v>
      </c>
      <c r="CQ204" s="58">
        <f t="shared" si="160"/>
        <v>0</v>
      </c>
      <c r="CR204" s="58">
        <f t="shared" si="161"/>
        <v>575.5</v>
      </c>
      <c r="CS204" s="24">
        <f>'Required Transfers'!L204</f>
        <v>51630</v>
      </c>
      <c r="CT204" s="24">
        <f>'Required Transfers'!O204</f>
        <v>684</v>
      </c>
      <c r="CU204" s="24">
        <f>'Required Transfers'!H204</f>
        <v>152640</v>
      </c>
      <c r="CV204" s="58">
        <f t="shared" si="162"/>
        <v>273.5</v>
      </c>
      <c r="CW204" s="27" t="s">
        <v>389</v>
      </c>
    </row>
    <row r="205" spans="1:101" ht="15" customHeight="1">
      <c r="A205" s="54">
        <v>412</v>
      </c>
      <c r="B205" s="1" t="s">
        <v>93</v>
      </c>
      <c r="C205" s="1" t="s">
        <v>709</v>
      </c>
      <c r="D205" s="58">
        <v>422.5</v>
      </c>
      <c r="E205" s="58"/>
      <c r="F205" s="58">
        <v>0</v>
      </c>
      <c r="G205" s="58">
        <f t="shared" si="163"/>
        <v>422.5</v>
      </c>
      <c r="H205" s="58">
        <v>405.3</v>
      </c>
      <c r="I205" s="58"/>
      <c r="J205" s="58">
        <v>0</v>
      </c>
      <c r="K205" s="58">
        <f t="shared" si="164"/>
        <v>405.3</v>
      </c>
      <c r="L205" s="1">
        <v>413.2</v>
      </c>
      <c r="N205" s="1">
        <v>0</v>
      </c>
      <c r="O205" s="58">
        <f t="shared" si="165"/>
        <v>413.2</v>
      </c>
      <c r="P205" s="58">
        <f>IF(ISNA(VLOOKUP($CW205,'Audit Values'!$A:$BZ,2,FALSE)),'Preliminary SO66'!C204,VLOOKUP($CW205,'Audit Values'!$A:$BZ,76,FALSE))</f>
        <v>395.5</v>
      </c>
      <c r="Q205" s="58">
        <f>IF(ISNA(VLOOKUP($CW205,'Audit Values'!$A:$BZ,2,FALSE)),'Preliminary SO66'!F204,VLOOKUP($CW205,'Audit Values'!$A:$BZ,4,FALSE))</f>
        <v>0</v>
      </c>
      <c r="R205" s="58">
        <f t="shared" si="133"/>
        <v>395.5</v>
      </c>
      <c r="S205" s="58">
        <f>IF('Military Provision'!I205="YES", MAX('2024 Legal Max'!O205,'2024 Legal Max'!K205,AVERAGE('2024 Legal Max'!G205,'2024 Legal Max'!K205,'2024 Legal Max'!O205)), MAX(O205, K205))</f>
        <v>413.2</v>
      </c>
      <c r="T205" s="58">
        <f>IF(ISNA(VLOOKUP($CW205,'Audit Values'!$A:$BX,2,FALSE)),'Preliminary SO66'!AL204,VLOOKUP($CW205,'Audit Values'!$A:$BX,59,FALSE))</f>
        <v>6</v>
      </c>
      <c r="U205" s="58">
        <f t="shared" si="134"/>
        <v>419.2</v>
      </c>
      <c r="V205" s="58">
        <f>'Low-High ENRL- 2023 HSubSB 113'!N208</f>
        <v>186</v>
      </c>
      <c r="W205" s="58">
        <f>IF(ISNA(VLOOKUP($CW205,'Audit Values'!$A:$BZ,2,FALSE)),'Preliminary SO66'!AM204,VLOOKUP($CW205,'Audit Values'!$A:$BZ,63,FALSE))</f>
        <v>0</v>
      </c>
      <c r="X205" s="58">
        <f>(W205/6)*'Weighting Factors'!$O$7</f>
        <v>0</v>
      </c>
      <c r="Y205" s="61">
        <f>IF(ISNA(VLOOKUP($CW205,'Audit Values'!$A:$BZ,2,FALSE)),'Preliminary SO66'!AN204,VLOOKUP($CW205,'Audit Values'!$A:$BZ,62,FALSE))</f>
        <v>13</v>
      </c>
      <c r="Z205" s="58">
        <f>Y205*'Weighting Factors'!$O$8</f>
        <v>2.4</v>
      </c>
      <c r="AA205" s="58">
        <f t="shared" si="135"/>
        <v>2.4</v>
      </c>
      <c r="AB205" s="106">
        <f>IF(ISNA(VLOOKUP($CW205,'Audit Values'!$A:$BZ,2,FALSE)),'Preliminary SO66'!AO204,VLOOKUP($CW205,'Audit Values'!$A:$BZ,61,FALSE))</f>
        <v>90.3</v>
      </c>
      <c r="AC205" s="58">
        <f>AB205/6*'Weighting Factors'!$O$6</f>
        <v>7.5</v>
      </c>
      <c r="AD205" s="24">
        <f>IF(ISNA(VLOOKUP($CW205,'Audit Values'!$A:$BX,2,FALSE)),'Preliminary SO66'!AS204,VLOOKUP($CW205,'Audit Values'!$A:$BX,64,FALSE))</f>
        <v>411</v>
      </c>
      <c r="AE205" s="24">
        <f>IF(ISNA(VLOOKUP($CW205,'Audit Values'!$A:$BX,2,FALSE)),'Preliminary SO66'!AP204,VLOOKUP($CW205,'Audit Values'!$A:$BX,65,FALSE))</f>
        <v>104</v>
      </c>
      <c r="AF205" s="58">
        <f>IF(A205=207, AE205,(AE205))*'Weighting Factors'!$O$9</f>
        <v>50.3</v>
      </c>
      <c r="AG205" s="58">
        <f t="shared" si="132"/>
        <v>0</v>
      </c>
      <c r="AH205" s="58">
        <f>IF(ISNA(VLOOKUP($CW205,'Audit Values'!$A:$BZ,2,FALSE)),'Preliminary SO66'!AG204,VLOOKUP($CW205,'Audit Values'!$A:$BZ,71,FALSE))</f>
        <v>0</v>
      </c>
      <c r="AI205" s="58">
        <f t="shared" si="136"/>
        <v>0</v>
      </c>
      <c r="AJ205" s="58">
        <f>IF(ISNA(VLOOKUP($CW205,'Audit Values'!$A:$BX,2,FALSE)),'Preliminary SO66'!AR204,VLOOKUP($CW205,'Audit Values'!$A:$BX,66,FALSE))</f>
        <v>100</v>
      </c>
      <c r="AK205" s="24">
        <f t="shared" si="137"/>
        <v>167359</v>
      </c>
      <c r="AL205" s="58">
        <f>AK205/'Weighting Factors'!$O$5</f>
        <v>32.9</v>
      </c>
      <c r="AM205" s="58">
        <f>CJ205/'Weighting Factors'!$O$5</f>
        <v>0</v>
      </c>
      <c r="AN205" s="58">
        <f>CN205/'Weighting Factors'!$O$5</f>
        <v>0</v>
      </c>
      <c r="AO205" s="24">
        <v>361550</v>
      </c>
      <c r="AP205" s="58">
        <f>AO205/'Weighting Factors'!$O$5</f>
        <v>71.099999999999994</v>
      </c>
      <c r="AQ205" s="58">
        <f>IF(ISNA(VLOOKUP($CW205,'Audit Values'!$A:$BX,2,FALSE)),'Preliminary SO66'!X204,VLOOKUP($CW205,'Audit Values'!$A:$BX,48,FALSE))</f>
        <v>0</v>
      </c>
      <c r="AR205" s="58">
        <f t="shared" si="166"/>
        <v>769.4</v>
      </c>
      <c r="AS205" s="58">
        <f t="shared" si="167"/>
        <v>698.3</v>
      </c>
      <c r="AT205" s="58">
        <f>IF(ISNA(VLOOKUP($CW205,'Audit Values'!$A$2:$BX$410,2,FALSE)),'Preliminary SO66'!AA204,VLOOKUP($CW205,'Audit Values'!$A$2:$BX$410,41,FALSE))</f>
        <v>0</v>
      </c>
      <c r="AU205" s="58">
        <f>IF(ISNA(VLOOKUP($CW205,'Audit Values'!$A$2:$BX$410,2,FALSE)),'Preliminary SO66'!AB204,VLOOKUP($CW205,'Audit Values'!$A$2:$BX$410,42,FALSE))</f>
        <v>0</v>
      </c>
      <c r="AV205" s="73">
        <v>0</v>
      </c>
      <c r="AW205" s="73">
        <v>0</v>
      </c>
      <c r="AX205" s="24">
        <f>SUM(AT205*'Weighting Factors'!$R$10)+('2024 Legal Max'!AU205*'Weighting Factors'!$R$11)+('2024 Legal Max'!AV205*'Weighting Factors'!$R$12)+('2024 Legal Max'!AW205*'Weighting Factors'!$R$12)</f>
        <v>0</v>
      </c>
      <c r="AY205" s="54">
        <f>IF(ISNA(VLOOKUP($CW205,'Audit Values'!$A$2:$BX$429,2,FALSE)),"",IF(AND('Weighting Factors'!G205&gt;0,VLOOKUP($CW205,'Audit Values'!$A$2:$BX$429,51,FALSE)&lt;'Weighting Factors'!G205),'Weighting Factors'!G205,VLOOKUP($CW205,'Audit Values'!$A$2:$BX$429,51,FALSE)))</f>
        <v>14</v>
      </c>
      <c r="AZ205" s="54" t="str">
        <f>IF(ISNA(VLOOKUP($CW205,'Audit Values'!$A:$BY,2,FALSE)),"",VLOOKUP($CW205,'Audit Values'!$A:$BY,52,FALSE))</f>
        <v>A</v>
      </c>
      <c r="BA205" s="54" t="str">
        <f>IF('Weighting Factors'!F205="","",IF('Weighting Factors'!H205="Pending","PX","R"))</f>
        <v/>
      </c>
      <c r="BB205" s="60">
        <f>SUM((U205+V205+AA205+AC205+AF205+AI205+AL205+AM205+AQ205+AN205)*'Weighting Factors'!$O$5)+'2024 Legal Max'!AX205</f>
        <v>3552950</v>
      </c>
      <c r="BC205" s="24">
        <f>SUM((AR205+AN205)*'Weighting Factors'!$O$5)+AX205</f>
        <v>3914707</v>
      </c>
      <c r="BD205" s="67">
        <f>IF('Weighting Factors'!F205&gt;0,'Weighting Factors'!F205,'Preliminary SO66'!AV204)</f>
        <v>4036819</v>
      </c>
      <c r="BE205" s="24">
        <f t="shared" si="138"/>
        <v>3914707</v>
      </c>
      <c r="BF205" s="71">
        <f>'Weighting Factors'!E205</f>
        <v>0</v>
      </c>
      <c r="BG205" s="71">
        <f>Transportation!G205</f>
        <v>0</v>
      </c>
      <c r="BH205" s="24">
        <f>IF(ISNA(VLOOKUP($CW205,'Audit Values'!$A:$BW,2,FALSE)), 0, VLOOKUP($CW205,'Audit Values'!$A:$BW,75,FALSE))</f>
        <v>0</v>
      </c>
      <c r="BI205" s="24">
        <f t="shared" si="139"/>
        <v>0</v>
      </c>
      <c r="BJ205" s="24">
        <f t="shared" si="140"/>
        <v>3914707</v>
      </c>
      <c r="BK205" s="24">
        <f>SUM((U205+V205+AA205+AC205+AF205+AI205+AL205+AM205+AN205)*'Weighting Factors'!O$12)+(MAX(AO205,'Weighting Factors'!B205))</f>
        <v>3975519</v>
      </c>
      <c r="BL205" s="78">
        <f>'LOB%'!F203</f>
        <v>0.33</v>
      </c>
      <c r="BM205" s="24">
        <f t="shared" si="147"/>
        <v>1311921</v>
      </c>
      <c r="BN205" s="67">
        <v>1348589</v>
      </c>
      <c r="BO205" s="24">
        <f t="shared" si="141"/>
        <v>1311921</v>
      </c>
      <c r="BP205" s="89">
        <f t="shared" si="148"/>
        <v>0.33</v>
      </c>
      <c r="BQ205" s="58">
        <f t="shared" si="149"/>
        <v>0</v>
      </c>
      <c r="BR205" s="1" t="b">
        <f t="shared" si="150"/>
        <v>0</v>
      </c>
      <c r="BS205" s="76">
        <f t="shared" si="151"/>
        <v>0</v>
      </c>
      <c r="BT205" s="75">
        <f t="shared" si="142"/>
        <v>0</v>
      </c>
      <c r="BU205" s="58">
        <f t="shared" si="152"/>
        <v>0</v>
      </c>
      <c r="BV205" s="1" t="b">
        <f t="shared" si="153"/>
        <v>1</v>
      </c>
      <c r="BW205" s="1">
        <f t="shared" si="154"/>
        <v>147.51</v>
      </c>
      <c r="BX205" s="75">
        <f t="shared" si="143"/>
        <v>0.44368800000000003</v>
      </c>
      <c r="BY205" s="58">
        <f t="shared" si="155"/>
        <v>186</v>
      </c>
      <c r="BZ205" s="58">
        <f t="shared" si="156"/>
        <v>0</v>
      </c>
      <c r="CA205" s="61">
        <v>674</v>
      </c>
      <c r="CB205" s="102">
        <f t="shared" si="157"/>
        <v>0.14799999999999999</v>
      </c>
      <c r="CC205" s="105">
        <f>IF(CB205&lt;0.06,1,IF(CB205&gt;=18.29,52,MATCH(CB205-0.001,'Weighting Factors'!$W$5:$W$156)+1))</f>
        <v>10</v>
      </c>
      <c r="CD205" s="24">
        <f>VLOOKUP(CC205, 'Weighting Factors'!$U$5:$X$56,4)</f>
        <v>1370</v>
      </c>
      <c r="CE205" s="109">
        <f>('Weighting Factors'!$O$5/'Weighting Factors'!$O$14)</f>
        <v>1.2216</v>
      </c>
      <c r="CF205" s="100">
        <f t="shared" si="158"/>
        <v>137000</v>
      </c>
      <c r="CG205" s="100">
        <f>CF205*'Weighting Factors'!$Q$7</f>
        <v>137000</v>
      </c>
      <c r="CH205" s="100">
        <f t="shared" si="144"/>
        <v>167359</v>
      </c>
      <c r="CI205" s="58">
        <f>AK205/'Weighting Factors'!$O$5</f>
        <v>32.9</v>
      </c>
      <c r="CJ205" s="67">
        <v>0</v>
      </c>
      <c r="CK205" s="80">
        <v>0</v>
      </c>
      <c r="CL205" s="110">
        <v>0</v>
      </c>
      <c r="CM205" s="24">
        <f>SUM((AR205*'Weighting Factors'!$O$5)+'2024 Legal Max'!AX205)*CL205</f>
        <v>0</v>
      </c>
      <c r="CN205" s="24">
        <f t="shared" si="145"/>
        <v>0</v>
      </c>
      <c r="CO205" s="65">
        <f t="shared" si="146"/>
        <v>0.253</v>
      </c>
      <c r="CP205" s="58">
        <f t="shared" si="159"/>
        <v>0</v>
      </c>
      <c r="CQ205" s="58">
        <f t="shared" si="160"/>
        <v>0</v>
      </c>
      <c r="CR205" s="58">
        <f t="shared" si="161"/>
        <v>769.4</v>
      </c>
      <c r="CS205" s="24">
        <f>'Required Transfers'!L205</f>
        <v>86456</v>
      </c>
      <c r="CT205" s="24">
        <f>'Required Transfers'!O205</f>
        <v>4067</v>
      </c>
      <c r="CU205" s="24">
        <f>'Required Transfers'!H205</f>
        <v>255926</v>
      </c>
      <c r="CV205" s="58">
        <f t="shared" si="162"/>
        <v>401.5</v>
      </c>
      <c r="CW205" s="27" t="s">
        <v>390</v>
      </c>
    </row>
    <row r="206" spans="1:101" ht="15" customHeight="1">
      <c r="A206" s="54">
        <v>413</v>
      </c>
      <c r="B206" s="1" t="s">
        <v>4</v>
      </c>
      <c r="C206" s="1" t="s">
        <v>710</v>
      </c>
      <c r="D206" s="58">
        <v>1663.5</v>
      </c>
      <c r="E206" s="58">
        <v>2</v>
      </c>
      <c r="F206" s="58">
        <v>0</v>
      </c>
      <c r="G206" s="58">
        <f t="shared" si="163"/>
        <v>1661.5</v>
      </c>
      <c r="H206" s="58">
        <v>1654.7</v>
      </c>
      <c r="I206" s="58"/>
      <c r="J206" s="58">
        <v>0</v>
      </c>
      <c r="K206" s="58">
        <f t="shared" si="164"/>
        <v>1654.7</v>
      </c>
      <c r="L206" s="1">
        <v>1697.5</v>
      </c>
      <c r="N206" s="1">
        <v>0</v>
      </c>
      <c r="O206" s="58">
        <f t="shared" si="165"/>
        <v>1697.5</v>
      </c>
      <c r="P206" s="58">
        <f>IF(ISNA(VLOOKUP($CW206,'Audit Values'!$A:$BZ,2,FALSE)),'Preliminary SO66'!C205,VLOOKUP($CW206,'Audit Values'!$A:$BZ,76,FALSE))</f>
        <v>1648.6</v>
      </c>
      <c r="Q206" s="58">
        <f>IF(ISNA(VLOOKUP($CW206,'Audit Values'!$A:$BZ,2,FALSE)),'Preliminary SO66'!F205,VLOOKUP($CW206,'Audit Values'!$A:$BZ,4,FALSE))</f>
        <v>0</v>
      </c>
      <c r="R206" s="58">
        <f t="shared" si="133"/>
        <v>1648.6</v>
      </c>
      <c r="S206" s="58">
        <f>IF('Military Provision'!I206="YES", MAX('2024 Legal Max'!O206,'2024 Legal Max'!K206,AVERAGE('2024 Legal Max'!G206,'2024 Legal Max'!K206,'2024 Legal Max'!O206)), MAX(O206, K206))</f>
        <v>1697.5</v>
      </c>
      <c r="T206" s="58">
        <f>IF(ISNA(VLOOKUP($CW206,'Audit Values'!$A:$BX,2,FALSE)),'Preliminary SO66'!AL205,VLOOKUP($CW206,'Audit Values'!$A:$BX,59,FALSE))</f>
        <v>39</v>
      </c>
      <c r="U206" s="58">
        <f t="shared" si="134"/>
        <v>1736.5</v>
      </c>
      <c r="V206" s="58">
        <f>'Low-High ENRL- 2023 HSubSB 113'!N209</f>
        <v>60.8</v>
      </c>
      <c r="W206" s="58">
        <f>IF(ISNA(VLOOKUP($CW206,'Audit Values'!$A:$BZ,2,FALSE)),'Preliminary SO66'!AM205,VLOOKUP($CW206,'Audit Values'!$A:$BZ,63,FALSE))</f>
        <v>69.8</v>
      </c>
      <c r="X206" s="58">
        <f>(W206/6)*'Weighting Factors'!$O$7</f>
        <v>4.5999999999999996</v>
      </c>
      <c r="Y206" s="61">
        <f>IF(ISNA(VLOOKUP($CW206,'Audit Values'!$A:$BZ,2,FALSE)),'Preliminary SO66'!AN205,VLOOKUP($CW206,'Audit Values'!$A:$BZ,62,FALSE))</f>
        <v>47</v>
      </c>
      <c r="Z206" s="58">
        <f>Y206*'Weighting Factors'!$O$8</f>
        <v>8.6999999999999993</v>
      </c>
      <c r="AA206" s="58">
        <f t="shared" si="135"/>
        <v>8.6999999999999993</v>
      </c>
      <c r="AB206" s="106">
        <f>IF(ISNA(VLOOKUP($CW206,'Audit Values'!$A:$BZ,2,FALSE)),'Preliminary SO66'!AO205,VLOOKUP($CW206,'Audit Values'!$A:$BZ,61,FALSE))</f>
        <v>521.70000000000005</v>
      </c>
      <c r="AC206" s="58">
        <f>AB206/6*'Weighting Factors'!$O$6</f>
        <v>43.5</v>
      </c>
      <c r="AD206" s="24">
        <f>IF(ISNA(VLOOKUP($CW206,'Audit Values'!$A:$BX,2,FALSE)),'Preliminary SO66'!AS205,VLOOKUP($CW206,'Audit Values'!$A:$BX,64,FALSE))</f>
        <v>1746</v>
      </c>
      <c r="AE206" s="24">
        <f>IF(ISNA(VLOOKUP($CW206,'Audit Values'!$A:$BX,2,FALSE)),'Preliminary SO66'!AP205,VLOOKUP($CW206,'Audit Values'!$A:$BX,65,FALSE))</f>
        <v>944</v>
      </c>
      <c r="AF206" s="58">
        <f>IF(A206=207, AE206,(AE206))*'Weighting Factors'!$O$9</f>
        <v>456.9</v>
      </c>
      <c r="AG206" s="58">
        <f t="shared" si="132"/>
        <v>99.1</v>
      </c>
      <c r="AH206" s="58">
        <f>IF(ISNA(VLOOKUP($CW206,'Audit Values'!$A:$BZ,2,FALSE)),'Preliminary SO66'!AG205,VLOOKUP($CW206,'Audit Values'!$A:$BZ,71,FALSE))</f>
        <v>87.3</v>
      </c>
      <c r="AI206" s="58">
        <f t="shared" si="136"/>
        <v>99.1</v>
      </c>
      <c r="AJ206" s="58">
        <f>IF(ISNA(VLOOKUP($CW206,'Audit Values'!$A:$BX,2,FALSE)),'Preliminary SO66'!AR205,VLOOKUP($CW206,'Audit Values'!$A:$BX,66,FALSE))</f>
        <v>569</v>
      </c>
      <c r="AK206" s="24">
        <f t="shared" si="137"/>
        <v>507416</v>
      </c>
      <c r="AL206" s="58">
        <f>AK206/'Weighting Factors'!$O$5</f>
        <v>99.7</v>
      </c>
      <c r="AM206" s="58">
        <f>CJ206/'Weighting Factors'!$O$5</f>
        <v>0</v>
      </c>
      <c r="AN206" s="58">
        <f>CN206/'Weighting Factors'!$O$5</f>
        <v>0</v>
      </c>
      <c r="AO206" s="24">
        <v>2010455</v>
      </c>
      <c r="AP206" s="58">
        <f>AO206/'Weighting Factors'!$O$5</f>
        <v>395.1</v>
      </c>
      <c r="AQ206" s="58">
        <f>IF(ISNA(VLOOKUP($CW206,'Audit Values'!$A:$BX,2,FALSE)),'Preliminary SO66'!X205,VLOOKUP($CW206,'Audit Values'!$A:$BX,48,FALSE))</f>
        <v>0</v>
      </c>
      <c r="AR206" s="58">
        <f t="shared" si="166"/>
        <v>2900.3</v>
      </c>
      <c r="AS206" s="58">
        <f t="shared" si="167"/>
        <v>2505.1999999999998</v>
      </c>
      <c r="AT206" s="58">
        <f>IF(ISNA(VLOOKUP($CW206,'Audit Values'!$A$2:$BX$410,2,FALSE)),'Preliminary SO66'!AA205,VLOOKUP($CW206,'Audit Values'!$A$2:$BX$410,41,FALSE))</f>
        <v>0</v>
      </c>
      <c r="AU206" s="58">
        <f>IF(ISNA(VLOOKUP($CW206,'Audit Values'!$A$2:$BX$410,2,FALSE)),'Preliminary SO66'!AB205,VLOOKUP($CW206,'Audit Values'!$A$2:$BX$410,42,FALSE))</f>
        <v>0</v>
      </c>
      <c r="AV206" s="73">
        <v>0</v>
      </c>
      <c r="AW206" s="73">
        <v>0</v>
      </c>
      <c r="AX206" s="24">
        <f>SUM(AT206*'Weighting Factors'!$R$10)+('2024 Legal Max'!AU206*'Weighting Factors'!$R$11)+('2024 Legal Max'!AV206*'Weighting Factors'!$R$12)+('2024 Legal Max'!AW206*'Weighting Factors'!$R$12)</f>
        <v>0</v>
      </c>
      <c r="AY206" s="54">
        <f>IF(ISNA(VLOOKUP($CW206,'Audit Values'!$A$2:$BX$429,2,FALSE)),"",IF(AND('Weighting Factors'!G206&gt;0,VLOOKUP($CW206,'Audit Values'!$A$2:$BX$429,51,FALSE)&lt;'Weighting Factors'!G206),'Weighting Factors'!G206,VLOOKUP($CW206,'Audit Values'!$A$2:$BX$429,51,FALSE)))</f>
        <v>16</v>
      </c>
      <c r="AZ206" s="54" t="str">
        <f>IF(ISNA(VLOOKUP($CW206,'Audit Values'!$A:$BY,2,FALSE)),"",VLOOKUP($CW206,'Audit Values'!$A:$BY,52,FALSE))</f>
        <v>A</v>
      </c>
      <c r="BA206" s="54" t="str">
        <f>IF('Weighting Factors'!F206="","",IF('Weighting Factors'!H206="Pending","PX","R"))</f>
        <v>R</v>
      </c>
      <c r="BB206" s="60">
        <f>SUM((U206+V206+AA206+AC206+AF206+AI206+AL206+AM206+AQ206+AN206)*'Weighting Factors'!$O$5)+'2024 Legal Max'!AX206</f>
        <v>12746458</v>
      </c>
      <c r="BC206" s="24">
        <f>SUM((AR206+AN206)*'Weighting Factors'!$O$5)+AX206</f>
        <v>14756726</v>
      </c>
      <c r="BD206" s="67">
        <f>IF('Weighting Factors'!F206&gt;0,'Weighting Factors'!F206,'Preliminary SO66'!AV205)</f>
        <v>15133238</v>
      </c>
      <c r="BE206" s="24">
        <f t="shared" si="138"/>
        <v>14756726</v>
      </c>
      <c r="BF206" s="71">
        <f>'Weighting Factors'!E206</f>
        <v>0</v>
      </c>
      <c r="BG206" s="71">
        <f>Transportation!G206</f>
        <v>0</v>
      </c>
      <c r="BH206" s="24">
        <f>IF(ISNA(VLOOKUP($CW206,'Audit Values'!$A:$BW,2,FALSE)), 0, VLOOKUP($CW206,'Audit Values'!$A:$BW,75,FALSE))</f>
        <v>0</v>
      </c>
      <c r="BI206" s="24">
        <f t="shared" si="139"/>
        <v>0</v>
      </c>
      <c r="BJ206" s="24">
        <f t="shared" si="140"/>
        <v>14756726</v>
      </c>
      <c r="BK206" s="24">
        <f>SUM((U206+V206+AA206+AC206+AF206+AI206+AL206+AM206+AN206)*'Weighting Factors'!O$12)+(MAX(AO206,'Weighting Factors'!B206))</f>
        <v>15059271</v>
      </c>
      <c r="BL206" s="78">
        <f>'LOB%'!F204</f>
        <v>0.33</v>
      </c>
      <c r="BM206" s="24">
        <f t="shared" si="147"/>
        <v>4969559</v>
      </c>
      <c r="BN206" s="67">
        <v>4849692</v>
      </c>
      <c r="BO206" s="24">
        <f t="shared" si="141"/>
        <v>4849692</v>
      </c>
      <c r="BP206" s="89">
        <f t="shared" si="148"/>
        <v>0.32200000000000001</v>
      </c>
      <c r="BQ206" s="58">
        <f t="shared" si="149"/>
        <v>0</v>
      </c>
      <c r="BR206" s="1" t="b">
        <f t="shared" si="150"/>
        <v>0</v>
      </c>
      <c r="BS206" s="76">
        <f t="shared" si="151"/>
        <v>0</v>
      </c>
      <c r="BT206" s="75">
        <f t="shared" si="142"/>
        <v>0</v>
      </c>
      <c r="BU206" s="58">
        <f t="shared" si="152"/>
        <v>0</v>
      </c>
      <c r="BV206" s="1" t="b">
        <f t="shared" si="153"/>
        <v>0</v>
      </c>
      <c r="BW206" s="1">
        <f t="shared" si="154"/>
        <v>0</v>
      </c>
      <c r="BX206" s="75">
        <f t="shared" si="143"/>
        <v>0</v>
      </c>
      <c r="BY206" s="58">
        <f t="shared" si="155"/>
        <v>0</v>
      </c>
      <c r="BZ206" s="58">
        <f t="shared" si="156"/>
        <v>60.8</v>
      </c>
      <c r="CA206" s="61">
        <v>125</v>
      </c>
      <c r="CB206" s="102">
        <f t="shared" si="157"/>
        <v>4.5519999999999996</v>
      </c>
      <c r="CC206" s="105">
        <f>IF(CB206&lt;0.06,1,IF(CB206&gt;=18.29,52,MATCH(CB206-0.001,'Weighting Factors'!$W$5:$W$156)+1))</f>
        <v>43</v>
      </c>
      <c r="CD206" s="24">
        <f>VLOOKUP(CC206, 'Weighting Factors'!$U$5:$X$56,4)</f>
        <v>730</v>
      </c>
      <c r="CE206" s="109">
        <f>('Weighting Factors'!$O$5/'Weighting Factors'!$O$14)</f>
        <v>1.2216</v>
      </c>
      <c r="CF206" s="100">
        <f t="shared" si="158"/>
        <v>415370</v>
      </c>
      <c r="CG206" s="100">
        <f>CF206*'Weighting Factors'!$Q$7</f>
        <v>415370</v>
      </c>
      <c r="CH206" s="100">
        <f t="shared" si="144"/>
        <v>507416</v>
      </c>
      <c r="CI206" s="58">
        <f>AK206/'Weighting Factors'!$O$5</f>
        <v>99.7</v>
      </c>
      <c r="CJ206" s="67">
        <v>0</v>
      </c>
      <c r="CK206" s="80">
        <v>0</v>
      </c>
      <c r="CL206" s="110">
        <v>0</v>
      </c>
      <c r="CM206" s="24">
        <f>SUM((AR206*'Weighting Factors'!$O$5)+'2024 Legal Max'!AX206)*CL206</f>
        <v>0</v>
      </c>
      <c r="CN206" s="24">
        <f t="shared" si="145"/>
        <v>0</v>
      </c>
      <c r="CO206" s="65">
        <f t="shared" si="146"/>
        <v>0.54069999999999996</v>
      </c>
      <c r="CP206" s="58">
        <f t="shared" si="159"/>
        <v>99.1</v>
      </c>
      <c r="CQ206" s="58">
        <f t="shared" si="160"/>
        <v>0</v>
      </c>
      <c r="CR206" s="58">
        <f t="shared" si="161"/>
        <v>2900.3</v>
      </c>
      <c r="CS206" s="24">
        <f>'Required Transfers'!L206</f>
        <v>774496</v>
      </c>
      <c r="CT206" s="24">
        <f>'Required Transfers'!O206</f>
        <v>14549</v>
      </c>
      <c r="CU206" s="24">
        <f>'Required Transfers'!H206</f>
        <v>2828928</v>
      </c>
      <c r="CV206" s="58">
        <f t="shared" si="162"/>
        <v>1687.6</v>
      </c>
      <c r="CW206" s="27" t="s">
        <v>391</v>
      </c>
    </row>
    <row r="207" spans="1:101" ht="15" customHeight="1">
      <c r="A207" s="54">
        <v>415</v>
      </c>
      <c r="B207" s="1" t="s">
        <v>94</v>
      </c>
      <c r="C207" s="1" t="s">
        <v>711</v>
      </c>
      <c r="D207" s="58">
        <v>931.6</v>
      </c>
      <c r="E207" s="58"/>
      <c r="F207" s="58">
        <v>0</v>
      </c>
      <c r="G207" s="58">
        <f t="shared" si="163"/>
        <v>931.6</v>
      </c>
      <c r="H207" s="58">
        <v>900.5</v>
      </c>
      <c r="I207" s="58"/>
      <c r="J207" s="58">
        <v>0</v>
      </c>
      <c r="K207" s="58">
        <f t="shared" si="164"/>
        <v>900.5</v>
      </c>
      <c r="L207" s="1">
        <v>855</v>
      </c>
      <c r="N207" s="1">
        <v>0</v>
      </c>
      <c r="O207" s="58">
        <f t="shared" si="165"/>
        <v>855</v>
      </c>
      <c r="P207" s="58">
        <f>IF(ISNA(VLOOKUP($CW207,'Audit Values'!$A:$BZ,2,FALSE)),'Preliminary SO66'!C206,VLOOKUP($CW207,'Audit Values'!$A:$BZ,76,FALSE))</f>
        <v>847.5</v>
      </c>
      <c r="Q207" s="58">
        <f>IF(ISNA(VLOOKUP($CW207,'Audit Values'!$A:$BZ,2,FALSE)),'Preliminary SO66'!F206,VLOOKUP($CW207,'Audit Values'!$A:$BZ,4,FALSE))</f>
        <v>0</v>
      </c>
      <c r="R207" s="58">
        <f t="shared" si="133"/>
        <v>847.5</v>
      </c>
      <c r="S207" s="58">
        <f>IF('Military Provision'!I207="YES", MAX('2024 Legal Max'!O207,'2024 Legal Max'!K207,AVERAGE('2024 Legal Max'!G207,'2024 Legal Max'!K207,'2024 Legal Max'!O207)), MAX(O207, K207))</f>
        <v>900.5</v>
      </c>
      <c r="T207" s="58">
        <f>IF(ISNA(VLOOKUP($CW207,'Audit Values'!$A:$BX,2,FALSE)),'Preliminary SO66'!AL206,VLOOKUP($CW207,'Audit Values'!$A:$BX,59,FALSE))</f>
        <v>6.5</v>
      </c>
      <c r="U207" s="58">
        <f t="shared" si="134"/>
        <v>907</v>
      </c>
      <c r="V207" s="58">
        <f>'Low-High ENRL- 2023 HSubSB 113'!N210</f>
        <v>252.1</v>
      </c>
      <c r="W207" s="58">
        <f>IF(ISNA(VLOOKUP($CW207,'Audit Values'!$A:$BZ,2,FALSE)),'Preliminary SO66'!AM206,VLOOKUP($CW207,'Audit Values'!$A:$BZ,63,FALSE))</f>
        <v>5.9</v>
      </c>
      <c r="X207" s="58">
        <f>(W207/6)*'Weighting Factors'!$O$7</f>
        <v>0.4</v>
      </c>
      <c r="Y207" s="61">
        <f>IF(ISNA(VLOOKUP($CW207,'Audit Values'!$A:$BZ,2,FALSE)),'Preliminary SO66'!AN206,VLOOKUP($CW207,'Audit Values'!$A:$BZ,62,FALSE))</f>
        <v>5</v>
      </c>
      <c r="Z207" s="58">
        <f>Y207*'Weighting Factors'!$O$8</f>
        <v>0.9</v>
      </c>
      <c r="AA207" s="58">
        <f t="shared" si="135"/>
        <v>0.9</v>
      </c>
      <c r="AB207" s="106">
        <f>IF(ISNA(VLOOKUP($CW207,'Audit Values'!$A:$BZ,2,FALSE)),'Preliminary SO66'!AO206,VLOOKUP($CW207,'Audit Values'!$A:$BZ,61,FALSE))</f>
        <v>214.7</v>
      </c>
      <c r="AC207" s="58">
        <f>AB207/6*'Weighting Factors'!$O$6</f>
        <v>17.899999999999999</v>
      </c>
      <c r="AD207" s="24">
        <f>IF(ISNA(VLOOKUP($CW207,'Audit Values'!$A:$BX,2,FALSE)),'Preliminary SO66'!AS206,VLOOKUP($CW207,'Audit Values'!$A:$BX,64,FALSE))</f>
        <v>872</v>
      </c>
      <c r="AE207" s="24">
        <f>IF(ISNA(VLOOKUP($CW207,'Audit Values'!$A:$BX,2,FALSE)),'Preliminary SO66'!AP206,VLOOKUP($CW207,'Audit Values'!$A:$BX,65,FALSE))</f>
        <v>413</v>
      </c>
      <c r="AF207" s="58">
        <f>IF(A207=207, AE207,(AE207))*'Weighting Factors'!$O$9</f>
        <v>199.9</v>
      </c>
      <c r="AG207" s="58">
        <f t="shared" si="132"/>
        <v>35.700000000000003</v>
      </c>
      <c r="AH207" s="58">
        <f>IF(ISNA(VLOOKUP($CW207,'Audit Values'!$A:$BZ,2,FALSE)),'Preliminary SO66'!AG206,VLOOKUP($CW207,'Audit Values'!$A:$BZ,71,FALSE))</f>
        <v>31.9</v>
      </c>
      <c r="AI207" s="58">
        <f t="shared" si="136"/>
        <v>35.700000000000003</v>
      </c>
      <c r="AJ207" s="58">
        <f>IF(ISNA(VLOOKUP($CW207,'Audit Values'!$A:$BX,2,FALSE)),'Preliminary SO66'!AR206,VLOOKUP($CW207,'Audit Values'!$A:$BX,66,FALSE))</f>
        <v>232.5</v>
      </c>
      <c r="AK207" s="24">
        <f t="shared" si="137"/>
        <v>292543</v>
      </c>
      <c r="AL207" s="58">
        <f>AK207/'Weighting Factors'!$O$5</f>
        <v>57.5</v>
      </c>
      <c r="AM207" s="58">
        <f>CJ207/'Weighting Factors'!$O$5</f>
        <v>0</v>
      </c>
      <c r="AN207" s="58">
        <f>CN207/'Weighting Factors'!$O$5</f>
        <v>0</v>
      </c>
      <c r="AO207" s="24">
        <v>951088</v>
      </c>
      <c r="AP207" s="58">
        <f>AO207/'Weighting Factors'!$O$5</f>
        <v>186.9</v>
      </c>
      <c r="AQ207" s="58">
        <f>IF(ISNA(VLOOKUP($CW207,'Audit Values'!$A:$BX,2,FALSE)),'Preliminary SO66'!X206,VLOOKUP($CW207,'Audit Values'!$A:$BX,48,FALSE))</f>
        <v>0</v>
      </c>
      <c r="AR207" s="58">
        <f t="shared" si="166"/>
        <v>1657.9</v>
      </c>
      <c r="AS207" s="58">
        <f t="shared" si="167"/>
        <v>1471</v>
      </c>
      <c r="AT207" s="58">
        <f>IF(ISNA(VLOOKUP($CW207,'Audit Values'!$A$2:$BX$410,2,FALSE)),'Preliminary SO66'!AA206,VLOOKUP($CW207,'Audit Values'!$A$2:$BX$410,41,FALSE))</f>
        <v>1</v>
      </c>
      <c r="AU207" s="58">
        <f>IF(ISNA(VLOOKUP($CW207,'Audit Values'!$A$2:$BX$410,2,FALSE)),'Preliminary SO66'!AB206,VLOOKUP($CW207,'Audit Values'!$A$2:$BX$410,42,FALSE))</f>
        <v>1.8</v>
      </c>
      <c r="AV207" s="73">
        <v>0</v>
      </c>
      <c r="AW207" s="73">
        <v>0</v>
      </c>
      <c r="AX207" s="24">
        <f>SUM(AT207*'Weighting Factors'!$R$10)+('2024 Legal Max'!AU207*'Weighting Factors'!$R$11)+('2024 Legal Max'!AV207*'Weighting Factors'!$R$12)+('2024 Legal Max'!AW207*'Weighting Factors'!$R$12)</f>
        <v>10640</v>
      </c>
      <c r="AY207" s="54">
        <f>IF(ISNA(VLOOKUP($CW207,'Audit Values'!$A$2:$BX$429,2,FALSE)),"",IF(AND('Weighting Factors'!G207&gt;0,VLOOKUP($CW207,'Audit Values'!$A$2:$BX$429,51,FALSE)&lt;'Weighting Factors'!G207),'Weighting Factors'!G207,VLOOKUP($CW207,'Audit Values'!$A$2:$BX$429,51,FALSE)))</f>
        <v>7</v>
      </c>
      <c r="AZ207" s="54" t="str">
        <f>IF(ISNA(VLOOKUP($CW207,'Audit Values'!$A:$BY,2,FALSE)),"",VLOOKUP($CW207,'Audit Values'!$A:$BY,52,FALSE))</f>
        <v>A</v>
      </c>
      <c r="BA207" s="54" t="str">
        <f>IF('Weighting Factors'!F207="","",IF('Weighting Factors'!H207="Pending","PX","R"))</f>
        <v/>
      </c>
      <c r="BB207" s="60">
        <f>SUM((U207+V207+AA207+AC207+AF207+AI207+AL207+AM207+AQ207+AN207)*'Weighting Factors'!$O$5)+'2024 Legal Max'!AX207</f>
        <v>7495088</v>
      </c>
      <c r="BC207" s="24">
        <f>SUM((AR207+AN207)*'Weighting Factors'!$O$5)+AX207</f>
        <v>8446035</v>
      </c>
      <c r="BD207" s="67">
        <f>IF('Weighting Factors'!F207&gt;0,'Weighting Factors'!F207,'Preliminary SO66'!AV206)</f>
        <v>8593285</v>
      </c>
      <c r="BE207" s="24">
        <f t="shared" si="138"/>
        <v>8446035</v>
      </c>
      <c r="BF207" s="71">
        <f>'Weighting Factors'!E207</f>
        <v>0</v>
      </c>
      <c r="BG207" s="71">
        <f>Transportation!G207</f>
        <v>0</v>
      </c>
      <c r="BH207" s="24">
        <f>IF(ISNA(VLOOKUP($CW207,'Audit Values'!$A:$BW,2,FALSE)), 0, VLOOKUP($CW207,'Audit Values'!$A:$BW,75,FALSE))</f>
        <v>0</v>
      </c>
      <c r="BI207" s="24">
        <f t="shared" si="139"/>
        <v>0</v>
      </c>
      <c r="BJ207" s="24">
        <f t="shared" si="140"/>
        <v>8446035</v>
      </c>
      <c r="BK207" s="24">
        <f>SUM((U207+V207+AA207+AC207+AF207+AI207+AL207+AM207+AN207)*'Weighting Factors'!O$12)+(MAX(AO207,'Weighting Factors'!B207))</f>
        <v>8564193</v>
      </c>
      <c r="BL207" s="78">
        <f>'LOB%'!F205</f>
        <v>0.316</v>
      </c>
      <c r="BM207" s="24">
        <f t="shared" si="147"/>
        <v>2706285</v>
      </c>
      <c r="BN207" s="67">
        <v>2602262</v>
      </c>
      <c r="BO207" s="24">
        <f t="shared" si="141"/>
        <v>2602262</v>
      </c>
      <c r="BP207" s="89">
        <f t="shared" si="148"/>
        <v>0.3039</v>
      </c>
      <c r="BQ207" s="58">
        <f t="shared" si="149"/>
        <v>0</v>
      </c>
      <c r="BR207" s="1" t="b">
        <f t="shared" si="150"/>
        <v>0</v>
      </c>
      <c r="BS207" s="76">
        <f t="shared" si="151"/>
        <v>0</v>
      </c>
      <c r="BT207" s="75">
        <f t="shared" si="142"/>
        <v>0</v>
      </c>
      <c r="BU207" s="58">
        <f t="shared" si="152"/>
        <v>0</v>
      </c>
      <c r="BV207" s="1" t="b">
        <f t="shared" si="153"/>
        <v>1</v>
      </c>
      <c r="BW207" s="1">
        <f t="shared" si="154"/>
        <v>751.16250000000002</v>
      </c>
      <c r="BX207" s="75">
        <f t="shared" si="143"/>
        <v>0.27795900000000001</v>
      </c>
      <c r="BY207" s="58">
        <f t="shared" si="155"/>
        <v>252.1</v>
      </c>
      <c r="BZ207" s="58">
        <f t="shared" si="156"/>
        <v>0</v>
      </c>
      <c r="CA207" s="61">
        <v>331</v>
      </c>
      <c r="CB207" s="102">
        <f t="shared" si="157"/>
        <v>0.70199999999999996</v>
      </c>
      <c r="CC207" s="105">
        <f>IF(CB207&lt;0.06,1,IF(CB207&gt;=18.29,52,MATCH(CB207-0.001,'Weighting Factors'!$W$5:$W$156)+1))</f>
        <v>28</v>
      </c>
      <c r="CD207" s="24">
        <f>VLOOKUP(CC207, 'Weighting Factors'!$U$5:$X$56,4)</f>
        <v>1030</v>
      </c>
      <c r="CE207" s="109">
        <f>('Weighting Factors'!$O$5/'Weighting Factors'!$O$14)</f>
        <v>1.2216</v>
      </c>
      <c r="CF207" s="100">
        <f t="shared" si="158"/>
        <v>239475</v>
      </c>
      <c r="CG207" s="100">
        <f>CF207*'Weighting Factors'!$Q$7</f>
        <v>239475</v>
      </c>
      <c r="CH207" s="100">
        <f t="shared" si="144"/>
        <v>292543</v>
      </c>
      <c r="CI207" s="58">
        <f>AK207/'Weighting Factors'!$O$5</f>
        <v>57.5</v>
      </c>
      <c r="CJ207" s="67">
        <v>0</v>
      </c>
      <c r="CK207" s="80">
        <v>0</v>
      </c>
      <c r="CL207" s="110">
        <v>0</v>
      </c>
      <c r="CM207" s="24">
        <f>SUM((AR207*'Weighting Factors'!$O$5)+'2024 Legal Max'!AX207)*CL207</f>
        <v>0</v>
      </c>
      <c r="CN207" s="24">
        <f t="shared" si="145"/>
        <v>0</v>
      </c>
      <c r="CO207" s="65">
        <f t="shared" si="146"/>
        <v>0.47360000000000002</v>
      </c>
      <c r="CP207" s="58">
        <f t="shared" si="159"/>
        <v>0</v>
      </c>
      <c r="CQ207" s="58">
        <f t="shared" si="160"/>
        <v>35.700000000000003</v>
      </c>
      <c r="CR207" s="58">
        <f t="shared" si="161"/>
        <v>1657.9</v>
      </c>
      <c r="CS207" s="24">
        <f>'Required Transfers'!L207</f>
        <v>314874</v>
      </c>
      <c r="CT207" s="24">
        <f>'Required Transfers'!O207</f>
        <v>1301</v>
      </c>
      <c r="CU207" s="24">
        <f>'Required Transfers'!H207</f>
        <v>1198733</v>
      </c>
      <c r="CV207" s="58">
        <f t="shared" si="162"/>
        <v>856.8</v>
      </c>
      <c r="CW207" s="27" t="s">
        <v>392</v>
      </c>
    </row>
    <row r="208" spans="1:101" ht="15" customHeight="1">
      <c r="A208" s="54">
        <v>416</v>
      </c>
      <c r="B208" s="1" t="s">
        <v>73</v>
      </c>
      <c r="C208" s="1" t="s">
        <v>712</v>
      </c>
      <c r="D208" s="58">
        <v>1523.9</v>
      </c>
      <c r="E208" s="58"/>
      <c r="F208" s="58">
        <v>0</v>
      </c>
      <c r="G208" s="58">
        <f t="shared" si="163"/>
        <v>1523.9</v>
      </c>
      <c r="H208" s="58">
        <v>1667.5</v>
      </c>
      <c r="I208" s="58">
        <v>2</v>
      </c>
      <c r="J208" s="58">
        <v>0</v>
      </c>
      <c r="K208" s="58">
        <f t="shared" si="164"/>
        <v>1665.5</v>
      </c>
      <c r="L208" s="1">
        <v>1688.6</v>
      </c>
      <c r="N208" s="1">
        <v>0</v>
      </c>
      <c r="O208" s="58">
        <f t="shared" si="165"/>
        <v>1688.6</v>
      </c>
      <c r="P208" s="58">
        <f>IF(ISNA(VLOOKUP($CW208,'Audit Values'!$A:$BZ,2,FALSE)),'Preliminary SO66'!C207,VLOOKUP($CW208,'Audit Values'!$A:$BZ,76,FALSE))</f>
        <v>1656.7</v>
      </c>
      <c r="Q208" s="58">
        <f>IF(ISNA(VLOOKUP($CW208,'Audit Values'!$A:$BZ,2,FALSE)),'Preliminary SO66'!F207,VLOOKUP($CW208,'Audit Values'!$A:$BZ,4,FALSE))</f>
        <v>0</v>
      </c>
      <c r="R208" s="58">
        <f t="shared" si="133"/>
        <v>1656.7</v>
      </c>
      <c r="S208" s="58">
        <f>IF('Military Provision'!I208="YES", MAX('2024 Legal Max'!O208,'2024 Legal Max'!K208,AVERAGE('2024 Legal Max'!G208,'2024 Legal Max'!K208,'2024 Legal Max'!O208)), MAX(O208, K208))</f>
        <v>1688.6</v>
      </c>
      <c r="T208" s="58">
        <f>IF(ISNA(VLOOKUP($CW208,'Audit Values'!$A:$BX,2,FALSE)),'Preliminary SO66'!AL207,VLOOKUP($CW208,'Audit Values'!$A:$BX,59,FALSE))</f>
        <v>7</v>
      </c>
      <c r="U208" s="58">
        <f t="shared" si="134"/>
        <v>1695.6</v>
      </c>
      <c r="V208" s="58">
        <f>'Low-High ENRL- 2023 HSubSB 113'!N211</f>
        <v>59.4</v>
      </c>
      <c r="W208" s="58">
        <f>IF(ISNA(VLOOKUP($CW208,'Audit Values'!$A:$BZ,2,FALSE)),'Preliminary SO66'!AM207,VLOOKUP($CW208,'Audit Values'!$A:$BZ,63,FALSE))</f>
        <v>22.7</v>
      </c>
      <c r="X208" s="58">
        <f>(W208/6)*'Weighting Factors'!$O$7</f>
        <v>1.5</v>
      </c>
      <c r="Y208" s="61">
        <f>IF(ISNA(VLOOKUP($CW208,'Audit Values'!$A:$BZ,2,FALSE)),'Preliminary SO66'!AN207,VLOOKUP($CW208,'Audit Values'!$A:$BZ,62,FALSE))</f>
        <v>27</v>
      </c>
      <c r="Z208" s="58">
        <f>Y208*'Weighting Factors'!$O$8</f>
        <v>5</v>
      </c>
      <c r="AA208" s="58">
        <f t="shared" si="135"/>
        <v>5</v>
      </c>
      <c r="AB208" s="106">
        <f>IF(ISNA(VLOOKUP($CW208,'Audit Values'!$A:$BZ,2,FALSE)),'Preliminary SO66'!AO207,VLOOKUP($CW208,'Audit Values'!$A:$BZ,61,FALSE))</f>
        <v>391.5</v>
      </c>
      <c r="AC208" s="58">
        <f>AB208/6*'Weighting Factors'!$O$6</f>
        <v>32.6</v>
      </c>
      <c r="AD208" s="24">
        <f>IF(ISNA(VLOOKUP($CW208,'Audit Values'!$A:$BX,2,FALSE)),'Preliminary SO66'!AS207,VLOOKUP($CW208,'Audit Values'!$A:$BX,64,FALSE))</f>
        <v>1692</v>
      </c>
      <c r="AE208" s="24">
        <f>IF(ISNA(VLOOKUP($CW208,'Audit Values'!$A:$BX,2,FALSE)),'Preliminary SO66'!AP207,VLOOKUP($CW208,'Audit Values'!$A:$BX,65,FALSE))</f>
        <v>304</v>
      </c>
      <c r="AF208" s="58">
        <f>IF(A208=207, AE208,(AE208))*'Weighting Factors'!$O$9</f>
        <v>147.1</v>
      </c>
      <c r="AG208" s="58">
        <f t="shared" si="132"/>
        <v>0</v>
      </c>
      <c r="AH208" s="58">
        <f>IF(ISNA(VLOOKUP($CW208,'Audit Values'!$A:$BZ,2,FALSE)),'Preliminary SO66'!AG207,VLOOKUP($CW208,'Audit Values'!$A:$BZ,71,FALSE))</f>
        <v>0</v>
      </c>
      <c r="AI208" s="58">
        <f t="shared" si="136"/>
        <v>0</v>
      </c>
      <c r="AJ208" s="58">
        <f>IF(ISNA(VLOOKUP($CW208,'Audit Values'!$A:$BX,2,FALSE)),'Preliminary SO66'!AR207,VLOOKUP($CW208,'Audit Values'!$A:$BX,66,FALSE))</f>
        <v>640</v>
      </c>
      <c r="AK208" s="24">
        <f t="shared" si="137"/>
        <v>570732</v>
      </c>
      <c r="AL208" s="58">
        <f>AK208/'Weighting Factors'!$O$5</f>
        <v>112.2</v>
      </c>
      <c r="AM208" s="58">
        <f>CJ208/'Weighting Factors'!$O$5</f>
        <v>0</v>
      </c>
      <c r="AN208" s="58">
        <f>CN208/'Weighting Factors'!$O$5</f>
        <v>95</v>
      </c>
      <c r="AO208" s="24">
        <v>1557094</v>
      </c>
      <c r="AP208" s="58">
        <f>AO208/'Weighting Factors'!$O$5</f>
        <v>306</v>
      </c>
      <c r="AQ208" s="58">
        <f>IF(ISNA(VLOOKUP($CW208,'Audit Values'!$A:$BX,2,FALSE)),'Preliminary SO66'!X207,VLOOKUP($CW208,'Audit Values'!$A:$BX,48,FALSE))</f>
        <v>0</v>
      </c>
      <c r="AR208" s="58">
        <f t="shared" si="166"/>
        <v>2357.9</v>
      </c>
      <c r="AS208" s="58">
        <f t="shared" si="167"/>
        <v>2146.9</v>
      </c>
      <c r="AT208" s="58">
        <f>IF(ISNA(VLOOKUP($CW208,'Audit Values'!$A$2:$BX$410,2,FALSE)),'Preliminary SO66'!AA207,VLOOKUP($CW208,'Audit Values'!$A$2:$BX$410,41,FALSE))</f>
        <v>10</v>
      </c>
      <c r="AU208" s="58">
        <f>IF(ISNA(VLOOKUP($CW208,'Audit Values'!$A$2:$BX$410,2,FALSE)),'Preliminary SO66'!AB207,VLOOKUP($CW208,'Audit Values'!$A$2:$BX$410,42,FALSE))</f>
        <v>7.5</v>
      </c>
      <c r="AV208" s="73">
        <v>1.5</v>
      </c>
      <c r="AW208" s="73">
        <v>0</v>
      </c>
      <c r="AX208" s="24">
        <f>SUM(AT208*'Weighting Factors'!$R$10)+('2024 Legal Max'!AU208*'Weighting Factors'!$R$11)+('2024 Legal Max'!AV208*'Weighting Factors'!$R$12)+('2024 Legal Max'!AW208*'Weighting Factors'!$R$12)</f>
        <v>78064</v>
      </c>
      <c r="AY208" s="54">
        <f>IF(ISNA(VLOOKUP($CW208,'Audit Values'!$A$2:$BX$429,2,FALSE)),"",IF(AND('Weighting Factors'!G208&gt;0,VLOOKUP($CW208,'Audit Values'!$A$2:$BX$429,51,FALSE)&lt;'Weighting Factors'!G208),'Weighting Factors'!G208,VLOOKUP($CW208,'Audit Values'!$A$2:$BX$429,51,FALSE)))</f>
        <v>7</v>
      </c>
      <c r="AZ208" s="54" t="str">
        <f>IF(ISNA(VLOOKUP($CW208,'Audit Values'!$A:$BY,2,FALSE)),"",VLOOKUP($CW208,'Audit Values'!$A:$BY,52,FALSE))</f>
        <v>A</v>
      </c>
      <c r="BA208" s="54" t="str">
        <f>IF('Weighting Factors'!F208="","",IF('Weighting Factors'!H208="Pending","PX","R"))</f>
        <v/>
      </c>
      <c r="BB208" s="60">
        <f>SUM((U208+V208+AA208+AC208+AF208+AI208+AL208+AM208+AQ208+AN208)*'Weighting Factors'!$O$5)+'2024 Legal Max'!AX208</f>
        <v>11001491</v>
      </c>
      <c r="BC208" s="24">
        <f>SUM((AR208+AN208)*'Weighting Factors'!$O$5)+AX208</f>
        <v>12558419</v>
      </c>
      <c r="BD208" s="67">
        <f>IF('Weighting Factors'!F208&gt;0,'Weighting Factors'!F208,'Preliminary SO66'!AV207)</f>
        <v>13246610</v>
      </c>
      <c r="BE208" s="24">
        <f t="shared" si="138"/>
        <v>12558419</v>
      </c>
      <c r="BF208" s="71">
        <f>'Weighting Factors'!E208</f>
        <v>0</v>
      </c>
      <c r="BG208" s="71">
        <f>Transportation!G208</f>
        <v>-60710</v>
      </c>
      <c r="BH208" s="24">
        <f>IF(ISNA(VLOOKUP($CW208,'Audit Values'!$A:$BW,2,FALSE)), 0, VLOOKUP($CW208,'Audit Values'!$A:$BW,75,FALSE))</f>
        <v>0</v>
      </c>
      <c r="BI208" s="24">
        <f t="shared" si="139"/>
        <v>-60710</v>
      </c>
      <c r="BJ208" s="24">
        <f t="shared" si="140"/>
        <v>12497709</v>
      </c>
      <c r="BK208" s="24">
        <f>SUM((U208+V208+AA208+AC208+AF208+AI208+AL208+AM208+AN208)*'Weighting Factors'!O$12)+(MAX(AO208,'Weighting Factors'!B208))</f>
        <v>12630804</v>
      </c>
      <c r="BL208" s="78">
        <f>'LOB%'!F206</f>
        <v>0.33</v>
      </c>
      <c r="BM208" s="24">
        <f t="shared" si="147"/>
        <v>4168165</v>
      </c>
      <c r="BN208" s="67">
        <v>4388863</v>
      </c>
      <c r="BO208" s="24">
        <f t="shared" si="141"/>
        <v>4168165</v>
      </c>
      <c r="BP208" s="89">
        <f t="shared" si="148"/>
        <v>0.33</v>
      </c>
      <c r="BQ208" s="58">
        <f t="shared" si="149"/>
        <v>0</v>
      </c>
      <c r="BR208" s="1" t="b">
        <f t="shared" si="150"/>
        <v>0</v>
      </c>
      <c r="BS208" s="76">
        <f t="shared" si="151"/>
        <v>0</v>
      </c>
      <c r="BT208" s="75">
        <f t="shared" si="142"/>
        <v>0</v>
      </c>
      <c r="BU208" s="58">
        <f t="shared" si="152"/>
        <v>0</v>
      </c>
      <c r="BV208" s="1" t="b">
        <f t="shared" si="153"/>
        <v>0</v>
      </c>
      <c r="BW208" s="1">
        <f t="shared" si="154"/>
        <v>0</v>
      </c>
      <c r="BX208" s="75">
        <f t="shared" si="143"/>
        <v>0</v>
      </c>
      <c r="BY208" s="58">
        <f t="shared" si="155"/>
        <v>0</v>
      </c>
      <c r="BZ208" s="58">
        <f t="shared" si="156"/>
        <v>59.4</v>
      </c>
      <c r="CA208" s="61">
        <v>156</v>
      </c>
      <c r="CB208" s="102">
        <f t="shared" si="157"/>
        <v>4.1029999999999998</v>
      </c>
      <c r="CC208" s="105">
        <f>IF(CB208&lt;0.06,1,IF(CB208&gt;=18.29,52,MATCH(CB208-0.001,'Weighting Factors'!$W$5:$W$156)+1))</f>
        <v>43</v>
      </c>
      <c r="CD208" s="24">
        <f>VLOOKUP(CC208, 'Weighting Factors'!$U$5:$X$56,4)</f>
        <v>730</v>
      </c>
      <c r="CE208" s="109">
        <f>('Weighting Factors'!$O$5/'Weighting Factors'!$O$14)</f>
        <v>1.2216</v>
      </c>
      <c r="CF208" s="100">
        <f t="shared" si="158"/>
        <v>467200</v>
      </c>
      <c r="CG208" s="100">
        <f>CF208*'Weighting Factors'!$Q$7</f>
        <v>467200</v>
      </c>
      <c r="CH208" s="100">
        <f t="shared" si="144"/>
        <v>570732</v>
      </c>
      <c r="CI208" s="58">
        <f>AK208/'Weighting Factors'!$O$5</f>
        <v>112.2</v>
      </c>
      <c r="CJ208" s="67">
        <v>0</v>
      </c>
      <c r="CK208" s="80">
        <v>483475</v>
      </c>
      <c r="CL208" s="110">
        <v>4.8500000000000001E-2</v>
      </c>
      <c r="CM208" s="24">
        <f>SUM((AR208*'Weighting Factors'!$O$5)+'2024 Legal Max'!AX208)*CL208</f>
        <v>585640</v>
      </c>
      <c r="CN208" s="24">
        <f t="shared" si="145"/>
        <v>483475</v>
      </c>
      <c r="CO208" s="65">
        <f t="shared" si="146"/>
        <v>0.1797</v>
      </c>
      <c r="CP208" s="58">
        <f t="shared" si="159"/>
        <v>0</v>
      </c>
      <c r="CQ208" s="58">
        <f t="shared" si="160"/>
        <v>0</v>
      </c>
      <c r="CR208" s="58">
        <f t="shared" si="161"/>
        <v>2452.9</v>
      </c>
      <c r="CS208" s="24">
        <f>'Required Transfers'!L208</f>
        <v>250507</v>
      </c>
      <c r="CT208" s="24">
        <f>'Required Transfers'!O208</f>
        <v>8336</v>
      </c>
      <c r="CU208" s="24">
        <f>'Required Transfers'!H208</f>
        <v>748445</v>
      </c>
      <c r="CV208" s="58">
        <f t="shared" si="162"/>
        <v>1681.5</v>
      </c>
      <c r="CW208" s="27" t="s">
        <v>393</v>
      </c>
    </row>
    <row r="209" spans="1:101" ht="15" customHeight="1">
      <c r="A209" s="54">
        <v>417</v>
      </c>
      <c r="B209" s="1" t="s">
        <v>95</v>
      </c>
      <c r="C209" s="1" t="s">
        <v>713</v>
      </c>
      <c r="D209" s="58">
        <v>746.5</v>
      </c>
      <c r="E209" s="58"/>
      <c r="F209" s="58">
        <v>0</v>
      </c>
      <c r="G209" s="58">
        <f t="shared" si="163"/>
        <v>746.5</v>
      </c>
      <c r="H209" s="58">
        <v>735</v>
      </c>
      <c r="I209" s="58"/>
      <c r="J209" s="58">
        <v>0</v>
      </c>
      <c r="K209" s="58">
        <f t="shared" si="164"/>
        <v>735</v>
      </c>
      <c r="L209" s="1">
        <v>747</v>
      </c>
      <c r="N209" s="1">
        <v>0</v>
      </c>
      <c r="O209" s="58">
        <f t="shared" si="165"/>
        <v>747</v>
      </c>
      <c r="P209" s="58">
        <f>IF(ISNA(VLOOKUP($CW209,'Audit Values'!$A:$BZ,2,FALSE)),'Preliminary SO66'!C208,VLOOKUP($CW209,'Audit Values'!$A:$BZ,76,FALSE))</f>
        <v>735.5</v>
      </c>
      <c r="Q209" s="58">
        <f>IF(ISNA(VLOOKUP($CW209,'Audit Values'!$A:$BZ,2,FALSE)),'Preliminary SO66'!F208,VLOOKUP($CW209,'Audit Values'!$A:$BZ,4,FALSE))</f>
        <v>0</v>
      </c>
      <c r="R209" s="58">
        <f t="shared" si="133"/>
        <v>735.5</v>
      </c>
      <c r="S209" s="58">
        <f>IF('Military Provision'!I209="YES", MAX('2024 Legal Max'!O209,'2024 Legal Max'!K209,AVERAGE('2024 Legal Max'!G209,'2024 Legal Max'!K209,'2024 Legal Max'!O209)), MAX(O209, K209))</f>
        <v>747</v>
      </c>
      <c r="T209" s="58">
        <f>IF(ISNA(VLOOKUP($CW209,'Audit Values'!$A:$BX,2,FALSE)),'Preliminary SO66'!AL208,VLOOKUP($CW209,'Audit Values'!$A:$BX,59,FALSE))</f>
        <v>12</v>
      </c>
      <c r="U209" s="58">
        <f t="shared" si="134"/>
        <v>759</v>
      </c>
      <c r="V209" s="58">
        <f>'Low-High ENRL- 2023 HSubSB 113'!N212</f>
        <v>249.1</v>
      </c>
      <c r="W209" s="58">
        <f>IF(ISNA(VLOOKUP($CW209,'Audit Values'!$A:$BZ,2,FALSE)),'Preliminary SO66'!AM208,VLOOKUP($CW209,'Audit Values'!$A:$BZ,63,FALSE))</f>
        <v>10.7</v>
      </c>
      <c r="X209" s="58">
        <f>(W209/6)*'Weighting Factors'!$O$7</f>
        <v>0.7</v>
      </c>
      <c r="Y209" s="61">
        <f>IF(ISNA(VLOOKUP($CW209,'Audit Values'!$A:$BZ,2,FALSE)),'Preliminary SO66'!AN208,VLOOKUP($CW209,'Audit Values'!$A:$BZ,62,FALSE))</f>
        <v>5</v>
      </c>
      <c r="Z209" s="58">
        <f>Y209*'Weighting Factors'!$O$8</f>
        <v>0.9</v>
      </c>
      <c r="AA209" s="58">
        <f t="shared" si="135"/>
        <v>0.9</v>
      </c>
      <c r="AB209" s="106">
        <f>IF(ISNA(VLOOKUP($CW209,'Audit Values'!$A:$BZ,2,FALSE)),'Preliminary SO66'!AO208,VLOOKUP($CW209,'Audit Values'!$A:$BZ,61,FALSE))</f>
        <v>177.3</v>
      </c>
      <c r="AC209" s="58">
        <f>AB209/6*'Weighting Factors'!$O$6</f>
        <v>14.8</v>
      </c>
      <c r="AD209" s="24">
        <f>IF(ISNA(VLOOKUP($CW209,'Audit Values'!$A:$BX,2,FALSE)),'Preliminary SO66'!AS208,VLOOKUP($CW209,'Audit Values'!$A:$BX,64,FALSE))</f>
        <v>766</v>
      </c>
      <c r="AE209" s="24">
        <f>IF(ISNA(VLOOKUP($CW209,'Audit Values'!$A:$BX,2,FALSE)),'Preliminary SO66'!AP208,VLOOKUP($CW209,'Audit Values'!$A:$BX,65,FALSE))</f>
        <v>371</v>
      </c>
      <c r="AF209" s="58">
        <f>IF(A209=207, AE209,(AE209))*'Weighting Factors'!$O$9</f>
        <v>179.6</v>
      </c>
      <c r="AG209" s="58">
        <f t="shared" si="132"/>
        <v>34.9</v>
      </c>
      <c r="AH209" s="58">
        <f>IF(ISNA(VLOOKUP($CW209,'Audit Values'!$A:$BZ,2,FALSE)),'Preliminary SO66'!AG208,VLOOKUP($CW209,'Audit Values'!$A:$BZ,71,FALSE))</f>
        <v>35.4</v>
      </c>
      <c r="AI209" s="58">
        <f t="shared" si="136"/>
        <v>35.4</v>
      </c>
      <c r="AJ209" s="58">
        <f>IF(ISNA(VLOOKUP($CW209,'Audit Values'!$A:$BX,2,FALSE)),'Preliminary SO66'!AR208,VLOOKUP($CW209,'Audit Values'!$A:$BX,66,FALSE))</f>
        <v>268</v>
      </c>
      <c r="AK209" s="24">
        <f t="shared" si="137"/>
        <v>356854</v>
      </c>
      <c r="AL209" s="58">
        <f>AK209/'Weighting Factors'!$O$5</f>
        <v>70.099999999999994</v>
      </c>
      <c r="AM209" s="58">
        <f>CJ209/'Weighting Factors'!$O$5</f>
        <v>0</v>
      </c>
      <c r="AN209" s="58">
        <f>CN209/'Weighting Factors'!$O$5</f>
        <v>0</v>
      </c>
      <c r="AO209" s="24">
        <v>901019</v>
      </c>
      <c r="AP209" s="58">
        <f>AO209/'Weighting Factors'!$O$5</f>
        <v>177.1</v>
      </c>
      <c r="AQ209" s="58">
        <f>IF(ISNA(VLOOKUP($CW209,'Audit Values'!$A:$BX,2,FALSE)),'Preliminary SO66'!X208,VLOOKUP($CW209,'Audit Values'!$A:$BX,48,FALSE))</f>
        <v>0</v>
      </c>
      <c r="AR209" s="58">
        <f t="shared" si="166"/>
        <v>1486</v>
      </c>
      <c r="AS209" s="58">
        <f t="shared" si="167"/>
        <v>1308.9000000000001</v>
      </c>
      <c r="AT209" s="58">
        <f>IF(ISNA(VLOOKUP($CW209,'Audit Values'!$A$2:$BX$410,2,FALSE)),'Preliminary SO66'!AA208,VLOOKUP($CW209,'Audit Values'!$A$2:$BX$410,41,FALSE))</f>
        <v>0</v>
      </c>
      <c r="AU209" s="58">
        <f>IF(ISNA(VLOOKUP($CW209,'Audit Values'!$A$2:$BX$410,2,FALSE)),'Preliminary SO66'!AB208,VLOOKUP($CW209,'Audit Values'!$A$2:$BX$410,42,FALSE))</f>
        <v>0</v>
      </c>
      <c r="AV209" s="73">
        <v>0</v>
      </c>
      <c r="AW209" s="73">
        <v>0</v>
      </c>
      <c r="AX209" s="24">
        <f>SUM(AT209*'Weighting Factors'!$R$10)+('2024 Legal Max'!AU209*'Weighting Factors'!$R$11)+('2024 Legal Max'!AV209*'Weighting Factors'!$R$12)+('2024 Legal Max'!AW209*'Weighting Factors'!$R$12)</f>
        <v>0</v>
      </c>
      <c r="AY209" s="54">
        <f>IF(ISNA(VLOOKUP($CW209,'Audit Values'!$A$2:$BX$429,2,FALSE)),"",IF(AND('Weighting Factors'!G209&gt;0,VLOOKUP($CW209,'Audit Values'!$A$2:$BX$429,51,FALSE)&lt;'Weighting Factors'!G209),'Weighting Factors'!G209,VLOOKUP($CW209,'Audit Values'!$A$2:$BX$429,51,FALSE)))</f>
        <v>2</v>
      </c>
      <c r="AZ209" s="54" t="str">
        <f>IF(ISNA(VLOOKUP($CW209,'Audit Values'!$A:$BY,2,FALSE)),"",VLOOKUP($CW209,'Audit Values'!$A:$BY,52,FALSE))</f>
        <v>A</v>
      </c>
      <c r="BA209" s="54" t="str">
        <f>IF('Weighting Factors'!F209="","",IF('Weighting Factors'!H209="Pending","PX","R"))</f>
        <v/>
      </c>
      <c r="BB209" s="60">
        <f>SUM((U209+V209+AA209+AC209+AF209+AI209+AL209+AM209+AQ209+AN209)*'Weighting Factors'!$O$5)+'2024 Legal Max'!AX209</f>
        <v>6659683</v>
      </c>
      <c r="BC209" s="24">
        <f>SUM((AR209+AN209)*'Weighting Factors'!$O$5)+AX209</f>
        <v>7560768</v>
      </c>
      <c r="BD209" s="67">
        <f>IF('Weighting Factors'!F209&gt;0,'Weighting Factors'!F209,'Preliminary SO66'!AV208)</f>
        <v>7699108</v>
      </c>
      <c r="BE209" s="24">
        <f t="shared" si="138"/>
        <v>7560768</v>
      </c>
      <c r="BF209" s="71">
        <f>'Weighting Factors'!E209</f>
        <v>0</v>
      </c>
      <c r="BG209" s="71">
        <f>Transportation!G209</f>
        <v>0</v>
      </c>
      <c r="BH209" s="24">
        <f>IF(ISNA(VLOOKUP($CW209,'Audit Values'!$A:$BW,2,FALSE)), 0, VLOOKUP($CW209,'Audit Values'!$A:$BW,75,FALSE))</f>
        <v>-3545</v>
      </c>
      <c r="BI209" s="24">
        <f t="shared" si="139"/>
        <v>-3545</v>
      </c>
      <c r="BJ209" s="24">
        <f t="shared" si="140"/>
        <v>7557223</v>
      </c>
      <c r="BK209" s="24">
        <f>SUM((U209+V209+AA209+AC209+AF209+AI209+AL209+AM209+AN209)*'Weighting Factors'!O$12)+(MAX(AO209,'Weighting Factors'!B209))</f>
        <v>7652325</v>
      </c>
      <c r="BL209" s="78">
        <f>'LOB%'!F207</f>
        <v>0.33</v>
      </c>
      <c r="BM209" s="24">
        <f t="shared" si="147"/>
        <v>2525267</v>
      </c>
      <c r="BN209" s="67">
        <v>2559267</v>
      </c>
      <c r="BO209" s="24">
        <f t="shared" si="141"/>
        <v>2525267</v>
      </c>
      <c r="BP209" s="89">
        <f t="shared" si="148"/>
        <v>0.33</v>
      </c>
      <c r="BQ209" s="58">
        <f t="shared" si="149"/>
        <v>0</v>
      </c>
      <c r="BR209" s="1" t="b">
        <f t="shared" si="150"/>
        <v>0</v>
      </c>
      <c r="BS209" s="76">
        <f t="shared" si="151"/>
        <v>0</v>
      </c>
      <c r="BT209" s="75">
        <f t="shared" si="142"/>
        <v>0</v>
      </c>
      <c r="BU209" s="58">
        <f t="shared" si="152"/>
        <v>0</v>
      </c>
      <c r="BV209" s="1" t="b">
        <f t="shared" si="153"/>
        <v>1</v>
      </c>
      <c r="BW209" s="1">
        <f t="shared" si="154"/>
        <v>568.01250000000005</v>
      </c>
      <c r="BX209" s="75">
        <f t="shared" si="143"/>
        <v>0.32824199999999998</v>
      </c>
      <c r="BY209" s="58">
        <f t="shared" si="155"/>
        <v>249.1</v>
      </c>
      <c r="BZ209" s="58">
        <f t="shared" si="156"/>
        <v>0</v>
      </c>
      <c r="CA209" s="61">
        <v>537</v>
      </c>
      <c r="CB209" s="102">
        <f t="shared" si="157"/>
        <v>0.499</v>
      </c>
      <c r="CC209" s="105">
        <f>IF(CB209&lt;0.06,1,IF(CB209&gt;=18.29,52,MATCH(CB209-0.001,'Weighting Factors'!$W$5:$W$156)+1))</f>
        <v>25</v>
      </c>
      <c r="CD209" s="24">
        <f>VLOOKUP(CC209, 'Weighting Factors'!$U$5:$X$56,4)</f>
        <v>1090</v>
      </c>
      <c r="CE209" s="109">
        <f>('Weighting Factors'!$O$5/'Weighting Factors'!$O$14)</f>
        <v>1.2216</v>
      </c>
      <c r="CF209" s="100">
        <f t="shared" si="158"/>
        <v>292120</v>
      </c>
      <c r="CG209" s="100">
        <f>CF209*'Weighting Factors'!$Q$7</f>
        <v>292120</v>
      </c>
      <c r="CH209" s="100">
        <f t="shared" si="144"/>
        <v>356854</v>
      </c>
      <c r="CI209" s="58">
        <f>AK209/'Weighting Factors'!$O$5</f>
        <v>70.099999999999994</v>
      </c>
      <c r="CJ209" s="67">
        <v>0</v>
      </c>
      <c r="CK209" s="80">
        <v>0</v>
      </c>
      <c r="CL209" s="110">
        <v>0</v>
      </c>
      <c r="CM209" s="24">
        <f>SUM((AR209*'Weighting Factors'!$O$5)+'2024 Legal Max'!AX209)*CL209</f>
        <v>0</v>
      </c>
      <c r="CN209" s="24">
        <f t="shared" si="145"/>
        <v>0</v>
      </c>
      <c r="CO209" s="65">
        <f t="shared" si="146"/>
        <v>0.48430000000000001</v>
      </c>
      <c r="CP209" s="58">
        <f t="shared" si="159"/>
        <v>0</v>
      </c>
      <c r="CQ209" s="58">
        <f t="shared" si="160"/>
        <v>34.9</v>
      </c>
      <c r="CR209" s="58">
        <f t="shared" si="161"/>
        <v>1486</v>
      </c>
      <c r="CS209" s="24">
        <f>'Required Transfers'!L209</f>
        <v>307578</v>
      </c>
      <c r="CT209" s="24">
        <f>'Required Transfers'!O209</f>
        <v>1515</v>
      </c>
      <c r="CU209" s="24">
        <f>'Required Transfers'!H209</f>
        <v>1093920</v>
      </c>
      <c r="CV209" s="58">
        <f t="shared" si="162"/>
        <v>747.5</v>
      </c>
      <c r="CW209" s="27" t="s">
        <v>394</v>
      </c>
    </row>
    <row r="210" spans="1:101" ht="15" customHeight="1">
      <c r="A210" s="54">
        <v>418</v>
      </c>
      <c r="B210" s="1" t="s">
        <v>91</v>
      </c>
      <c r="C210" s="1" t="s">
        <v>714</v>
      </c>
      <c r="D210" s="58">
        <v>2272.9</v>
      </c>
      <c r="E210" s="58"/>
      <c r="F210" s="58">
        <v>0</v>
      </c>
      <c r="G210" s="58">
        <f t="shared" si="163"/>
        <v>2272.9</v>
      </c>
      <c r="H210" s="58">
        <v>2215</v>
      </c>
      <c r="I210" s="58"/>
      <c r="J210" s="58">
        <v>0</v>
      </c>
      <c r="K210" s="58">
        <f t="shared" si="164"/>
        <v>2215</v>
      </c>
      <c r="L210" s="1">
        <v>2200.1999999999998</v>
      </c>
      <c r="N210" s="1">
        <v>0</v>
      </c>
      <c r="O210" s="58">
        <f t="shared" si="165"/>
        <v>2200.1999999999998</v>
      </c>
      <c r="P210" s="58">
        <f>IF(ISNA(VLOOKUP($CW210,'Audit Values'!$A:$BZ,2,FALSE)),'Preliminary SO66'!C209,VLOOKUP($CW210,'Audit Values'!$A:$BZ,76,FALSE))</f>
        <v>2139</v>
      </c>
      <c r="Q210" s="58">
        <f>IF(ISNA(VLOOKUP($CW210,'Audit Values'!$A:$BZ,2,FALSE)),'Preliminary SO66'!F209,VLOOKUP($CW210,'Audit Values'!$A:$BZ,4,FALSE))</f>
        <v>0</v>
      </c>
      <c r="R210" s="58">
        <f t="shared" si="133"/>
        <v>2139</v>
      </c>
      <c r="S210" s="58">
        <f>IF('Military Provision'!I210="YES", MAX('2024 Legal Max'!O210,'2024 Legal Max'!K210,AVERAGE('2024 Legal Max'!G210,'2024 Legal Max'!K210,'2024 Legal Max'!O210)), MAX(O210, K210))</f>
        <v>2215</v>
      </c>
      <c r="T210" s="58">
        <f>IF(ISNA(VLOOKUP($CW210,'Audit Values'!$A:$BX,2,FALSE)),'Preliminary SO66'!AL209,VLOOKUP($CW210,'Audit Values'!$A:$BX,59,FALSE))</f>
        <v>37.5</v>
      </c>
      <c r="U210" s="58">
        <f t="shared" si="134"/>
        <v>2252.5</v>
      </c>
      <c r="V210" s="58">
        <f>'Low-High ENRL- 2023 HSubSB 113'!N213</f>
        <v>78.900000000000006</v>
      </c>
      <c r="W210" s="58">
        <f>IF(ISNA(VLOOKUP($CW210,'Audit Values'!$A:$BZ,2,FALSE)),'Preliminary SO66'!AM209,VLOOKUP($CW210,'Audit Values'!$A:$BZ,63,FALSE))</f>
        <v>112.4</v>
      </c>
      <c r="X210" s="58">
        <f>(W210/6)*'Weighting Factors'!$O$7</f>
        <v>7.4</v>
      </c>
      <c r="Y210" s="61">
        <f>IF(ISNA(VLOOKUP($CW210,'Audit Values'!$A:$BZ,2,FALSE)),'Preliminary SO66'!AN209,VLOOKUP($CW210,'Audit Values'!$A:$BZ,62,FALSE))</f>
        <v>69</v>
      </c>
      <c r="Z210" s="58">
        <f>Y210*'Weighting Factors'!$O$8</f>
        <v>12.8</v>
      </c>
      <c r="AA210" s="58">
        <f t="shared" si="135"/>
        <v>12.8</v>
      </c>
      <c r="AB210" s="106">
        <f>IF(ISNA(VLOOKUP($CW210,'Audit Values'!$A:$BZ,2,FALSE)),'Preliminary SO66'!AO209,VLOOKUP($CW210,'Audit Values'!$A:$BZ,61,FALSE))</f>
        <v>500.8</v>
      </c>
      <c r="AC210" s="58">
        <f>AB210/6*'Weighting Factors'!$O$6</f>
        <v>41.7</v>
      </c>
      <c r="AD210" s="24">
        <f>IF(ISNA(VLOOKUP($CW210,'Audit Values'!$A:$BX,2,FALSE)),'Preliminary SO66'!AS209,VLOOKUP($CW210,'Audit Values'!$A:$BX,64,FALSE))</f>
        <v>2239</v>
      </c>
      <c r="AE210" s="24">
        <f>IF(ISNA(VLOOKUP($CW210,'Audit Values'!$A:$BX,2,FALSE)),'Preliminary SO66'!AP209,VLOOKUP($CW210,'Audit Values'!$A:$BX,65,FALSE))</f>
        <v>858</v>
      </c>
      <c r="AF210" s="58">
        <f>IF(A210=207, AE210,(AE210))*'Weighting Factors'!$O$9</f>
        <v>415.3</v>
      </c>
      <c r="AG210" s="58">
        <f t="shared" si="132"/>
        <v>19.899999999999999</v>
      </c>
      <c r="AH210" s="58">
        <f>IF(ISNA(VLOOKUP($CW210,'Audit Values'!$A:$BZ,2,FALSE)),'Preliminary SO66'!AG209,VLOOKUP($CW210,'Audit Values'!$A:$BZ,71,FALSE))</f>
        <v>35.6</v>
      </c>
      <c r="AI210" s="58">
        <f t="shared" si="136"/>
        <v>35.6</v>
      </c>
      <c r="AJ210" s="58">
        <f>IF(ISNA(VLOOKUP($CW210,'Audit Values'!$A:$BX,2,FALSE)),'Preliminary SO66'!AR209,VLOOKUP($CW210,'Audit Values'!$A:$BX,66,FALSE))</f>
        <v>192</v>
      </c>
      <c r="AK210" s="24">
        <f t="shared" si="137"/>
        <v>218129</v>
      </c>
      <c r="AL210" s="58">
        <f>AK210/'Weighting Factors'!$O$5</f>
        <v>42.9</v>
      </c>
      <c r="AM210" s="58">
        <f>CJ210/'Weighting Factors'!$O$5</f>
        <v>0</v>
      </c>
      <c r="AN210" s="58">
        <f>CN210/'Weighting Factors'!$O$5</f>
        <v>0</v>
      </c>
      <c r="AO210" s="24">
        <v>2792118</v>
      </c>
      <c r="AP210" s="58">
        <f>AO210/'Weighting Factors'!$O$5</f>
        <v>548.79999999999995</v>
      </c>
      <c r="AQ210" s="58">
        <f>IF(ISNA(VLOOKUP($CW210,'Audit Values'!$A:$BX,2,FALSE)),'Preliminary SO66'!X209,VLOOKUP($CW210,'Audit Values'!$A:$BX,48,FALSE))</f>
        <v>0</v>
      </c>
      <c r="AR210" s="58">
        <f t="shared" si="166"/>
        <v>3428.5</v>
      </c>
      <c r="AS210" s="58">
        <f t="shared" si="167"/>
        <v>2879.7</v>
      </c>
      <c r="AT210" s="58">
        <f>IF(ISNA(VLOOKUP($CW210,'Audit Values'!$A$2:$BX$410,2,FALSE)),'Preliminary SO66'!AA209,VLOOKUP($CW210,'Audit Values'!$A$2:$BX$410,41,FALSE))</f>
        <v>10</v>
      </c>
      <c r="AU210" s="58">
        <f>IF(ISNA(VLOOKUP($CW210,'Audit Values'!$A$2:$BX$410,2,FALSE)),'Preliminary SO66'!AB209,VLOOKUP($CW210,'Audit Values'!$A$2:$BX$410,42,FALSE))</f>
        <v>0</v>
      </c>
      <c r="AV210" s="73">
        <v>0</v>
      </c>
      <c r="AW210" s="73">
        <v>0</v>
      </c>
      <c r="AX210" s="24">
        <f>SUM(AT210*'Weighting Factors'!$R$10)+('2024 Legal Max'!AU210*'Weighting Factors'!$R$11)+('2024 Legal Max'!AV210*'Weighting Factors'!$R$12)+('2024 Legal Max'!AW210*'Weighting Factors'!$R$12)</f>
        <v>56000</v>
      </c>
      <c r="AY210" s="54">
        <f>IF(ISNA(VLOOKUP($CW210,'Audit Values'!$A$2:$BX$429,2,FALSE)),"",IF(AND('Weighting Factors'!G210&gt;0,VLOOKUP($CW210,'Audit Values'!$A$2:$BX$429,51,FALSE)&lt;'Weighting Factors'!G210),'Weighting Factors'!G210,VLOOKUP($CW210,'Audit Values'!$A$2:$BX$429,51,FALSE)))</f>
        <v>18</v>
      </c>
      <c r="AZ210" s="54" t="str">
        <f>IF(ISNA(VLOOKUP($CW210,'Audit Values'!$A:$BY,2,FALSE)),"",VLOOKUP($CW210,'Audit Values'!$A:$BY,52,FALSE))</f>
        <v>A</v>
      </c>
      <c r="BA210" s="54" t="str">
        <f>IF('Weighting Factors'!F210="","",IF('Weighting Factors'!H210="Pending","PX","R"))</f>
        <v/>
      </c>
      <c r="BB210" s="60">
        <f>SUM((U210+V210+AA210+AC210+AF210+AI210+AL210+AM210+AQ210+AN210)*'Weighting Factors'!$O$5)+'2024 Legal Max'!AX210</f>
        <v>14707914</v>
      </c>
      <c r="BC210" s="24">
        <f>SUM((AR210+AN210)*'Weighting Factors'!$O$5)+AX210</f>
        <v>17500208</v>
      </c>
      <c r="BD210" s="67">
        <f>IF('Weighting Factors'!F210&gt;0,'Weighting Factors'!F210,'Preliminary SO66'!AV209)</f>
        <v>18358534</v>
      </c>
      <c r="BE210" s="24">
        <f t="shared" si="138"/>
        <v>17500208</v>
      </c>
      <c r="BF210" s="71">
        <f>'Weighting Factors'!E210</f>
        <v>0</v>
      </c>
      <c r="BG210" s="71">
        <f>Transportation!G210</f>
        <v>0</v>
      </c>
      <c r="BH210" s="24">
        <f>IF(ISNA(VLOOKUP($CW210,'Audit Values'!$A:$BW,2,FALSE)), 0, VLOOKUP($CW210,'Audit Values'!$A:$BW,75,FALSE))</f>
        <v>0</v>
      </c>
      <c r="BI210" s="24">
        <f t="shared" si="139"/>
        <v>0</v>
      </c>
      <c r="BJ210" s="24">
        <f t="shared" si="140"/>
        <v>17500208</v>
      </c>
      <c r="BK210" s="24">
        <f>SUM((U210+V210+AA210+AC210+AF210+AI210+AL210+AM210+AN210)*'Weighting Factors'!O$12)+(MAX(AO210,'Weighting Factors'!B210))</f>
        <v>17645611</v>
      </c>
      <c r="BL210" s="78">
        <f>'LOB%'!F208</f>
        <v>0.33</v>
      </c>
      <c r="BM210" s="24">
        <f t="shared" si="147"/>
        <v>5823052</v>
      </c>
      <c r="BN210" s="67">
        <v>6044403</v>
      </c>
      <c r="BO210" s="24">
        <f t="shared" si="141"/>
        <v>5823052</v>
      </c>
      <c r="BP210" s="89">
        <f t="shared" si="148"/>
        <v>0.33</v>
      </c>
      <c r="BQ210" s="58">
        <f t="shared" si="149"/>
        <v>0</v>
      </c>
      <c r="BR210" s="1" t="b">
        <f t="shared" si="150"/>
        <v>0</v>
      </c>
      <c r="BS210" s="76">
        <f t="shared" si="151"/>
        <v>0</v>
      </c>
      <c r="BT210" s="75">
        <f t="shared" si="142"/>
        <v>0</v>
      </c>
      <c r="BU210" s="58">
        <f t="shared" si="152"/>
        <v>0</v>
      </c>
      <c r="BV210" s="1" t="b">
        <f t="shared" si="153"/>
        <v>0</v>
      </c>
      <c r="BW210" s="1">
        <f t="shared" si="154"/>
        <v>0</v>
      </c>
      <c r="BX210" s="75">
        <f t="shared" si="143"/>
        <v>0</v>
      </c>
      <c r="BY210" s="58">
        <f t="shared" si="155"/>
        <v>0</v>
      </c>
      <c r="BZ210" s="58">
        <f t="shared" si="156"/>
        <v>78.900000000000006</v>
      </c>
      <c r="CA210" s="61">
        <v>156.30000000000001</v>
      </c>
      <c r="CB210" s="102">
        <f t="shared" si="157"/>
        <v>1.228</v>
      </c>
      <c r="CC210" s="105">
        <f>IF(CB210&lt;0.06,1,IF(CB210&gt;=18.29,52,MATCH(CB210-0.001,'Weighting Factors'!$W$5:$W$156)+1))</f>
        <v>33</v>
      </c>
      <c r="CD210" s="24">
        <f>VLOOKUP(CC210, 'Weighting Factors'!$U$5:$X$56,4)</f>
        <v>930</v>
      </c>
      <c r="CE210" s="109">
        <f>('Weighting Factors'!$O$5/'Weighting Factors'!$O$14)</f>
        <v>1.2216</v>
      </c>
      <c r="CF210" s="100">
        <f t="shared" si="158"/>
        <v>178560</v>
      </c>
      <c r="CG210" s="100">
        <f>CF210*'Weighting Factors'!$Q$7</f>
        <v>178560</v>
      </c>
      <c r="CH210" s="100">
        <f t="shared" si="144"/>
        <v>218129</v>
      </c>
      <c r="CI210" s="58">
        <f>AK210/'Weighting Factors'!$O$5</f>
        <v>42.9</v>
      </c>
      <c r="CJ210" s="67">
        <v>0</v>
      </c>
      <c r="CK210" s="80">
        <v>0</v>
      </c>
      <c r="CL210" s="110">
        <v>0</v>
      </c>
      <c r="CM210" s="24">
        <f>SUM((AR210*'Weighting Factors'!$O$5)+'2024 Legal Max'!AX210)*CL210</f>
        <v>0</v>
      </c>
      <c r="CN210" s="24">
        <f t="shared" si="145"/>
        <v>0</v>
      </c>
      <c r="CO210" s="65">
        <f t="shared" si="146"/>
        <v>0.38319999999999999</v>
      </c>
      <c r="CP210" s="58">
        <f t="shared" si="159"/>
        <v>0</v>
      </c>
      <c r="CQ210" s="58">
        <f t="shared" si="160"/>
        <v>19.899999999999999</v>
      </c>
      <c r="CR210" s="58">
        <f t="shared" si="161"/>
        <v>3428.5</v>
      </c>
      <c r="CS210" s="24">
        <f>'Required Transfers'!L210</f>
        <v>713324</v>
      </c>
      <c r="CT210" s="24">
        <f>'Required Transfers'!O210</f>
        <v>22128</v>
      </c>
      <c r="CU210" s="24">
        <f>'Required Transfers'!H210</f>
        <v>2294179</v>
      </c>
      <c r="CV210" s="58">
        <f t="shared" si="162"/>
        <v>2186.5</v>
      </c>
      <c r="CW210" s="27" t="s">
        <v>395</v>
      </c>
    </row>
    <row r="211" spans="1:101" ht="15" customHeight="1">
      <c r="A211" s="54">
        <v>419</v>
      </c>
      <c r="B211" s="1" t="s">
        <v>91</v>
      </c>
      <c r="C211" s="1" t="s">
        <v>715</v>
      </c>
      <c r="D211" s="58">
        <v>290.2</v>
      </c>
      <c r="E211" s="58"/>
      <c r="F211" s="58">
        <v>0</v>
      </c>
      <c r="G211" s="58">
        <f t="shared" si="163"/>
        <v>290.2</v>
      </c>
      <c r="H211" s="58">
        <v>297</v>
      </c>
      <c r="I211" s="58">
        <v>2</v>
      </c>
      <c r="J211" s="58">
        <v>0</v>
      </c>
      <c r="K211" s="58">
        <f t="shared" si="164"/>
        <v>295</v>
      </c>
      <c r="L211" s="1">
        <v>316.8</v>
      </c>
      <c r="N211" s="1">
        <v>0</v>
      </c>
      <c r="O211" s="58">
        <f t="shared" si="165"/>
        <v>316.8</v>
      </c>
      <c r="P211" s="58">
        <f>IF(ISNA(VLOOKUP($CW211,'Audit Values'!$A:$BZ,2,FALSE)),'Preliminary SO66'!C210,VLOOKUP($CW211,'Audit Values'!$A:$BZ,76,FALSE))</f>
        <v>336.5</v>
      </c>
      <c r="Q211" s="58">
        <f>IF(ISNA(VLOOKUP($CW211,'Audit Values'!$A:$BZ,2,FALSE)),'Preliminary SO66'!F210,VLOOKUP($CW211,'Audit Values'!$A:$BZ,4,FALSE))</f>
        <v>0</v>
      </c>
      <c r="R211" s="58">
        <f t="shared" si="133"/>
        <v>336.5</v>
      </c>
      <c r="S211" s="58">
        <f>IF('Military Provision'!I211="YES", MAX('2024 Legal Max'!O211,'2024 Legal Max'!K211,AVERAGE('2024 Legal Max'!G211,'2024 Legal Max'!K211,'2024 Legal Max'!O211)), MAX(O211, K211))</f>
        <v>316.8</v>
      </c>
      <c r="T211" s="58">
        <f>IF(ISNA(VLOOKUP($CW211,'Audit Values'!$A:$BX,2,FALSE)),'Preliminary SO66'!AL210,VLOOKUP($CW211,'Audit Values'!$A:$BX,59,FALSE))</f>
        <v>6.5</v>
      </c>
      <c r="U211" s="58">
        <f t="shared" si="134"/>
        <v>323.3</v>
      </c>
      <c r="V211" s="58">
        <f>'Low-High ENRL- 2023 HSubSB 113'!N214</f>
        <v>154</v>
      </c>
      <c r="W211" s="58">
        <f>IF(ISNA(VLOOKUP($CW211,'Audit Values'!$A:$BZ,2,FALSE)),'Preliminary SO66'!AM210,VLOOKUP($CW211,'Audit Values'!$A:$BZ,63,FALSE))</f>
        <v>0</v>
      </c>
      <c r="X211" s="58">
        <f>(W211/6)*'Weighting Factors'!$O$7</f>
        <v>0</v>
      </c>
      <c r="Y211" s="61">
        <f>IF(ISNA(VLOOKUP($CW211,'Audit Values'!$A:$BZ,2,FALSE)),'Preliminary SO66'!AN210,VLOOKUP($CW211,'Audit Values'!$A:$BZ,62,FALSE))</f>
        <v>1</v>
      </c>
      <c r="Z211" s="58">
        <f>Y211*'Weighting Factors'!$O$8</f>
        <v>0.2</v>
      </c>
      <c r="AA211" s="58">
        <f t="shared" si="135"/>
        <v>0.2</v>
      </c>
      <c r="AB211" s="106">
        <f>IF(ISNA(VLOOKUP($CW211,'Audit Values'!$A:$BZ,2,FALSE)),'Preliminary SO66'!AO210,VLOOKUP($CW211,'Audit Values'!$A:$BZ,61,FALSE))</f>
        <v>29.7</v>
      </c>
      <c r="AC211" s="58">
        <f>AB211/6*'Weighting Factors'!$O$6</f>
        <v>2.5</v>
      </c>
      <c r="AD211" s="24">
        <f>IF(ISNA(VLOOKUP($CW211,'Audit Values'!$A:$BX,2,FALSE)),'Preliminary SO66'!AS210,VLOOKUP($CW211,'Audit Values'!$A:$BX,64,FALSE))</f>
        <v>353</v>
      </c>
      <c r="AE211" s="24">
        <f>IF(ISNA(VLOOKUP($CW211,'Audit Values'!$A:$BX,2,FALSE)),'Preliminary SO66'!AP210,VLOOKUP($CW211,'Audit Values'!$A:$BX,65,FALSE))</f>
        <v>106</v>
      </c>
      <c r="AF211" s="58">
        <f>IF(A211=207, AE211,(AE211))*'Weighting Factors'!$O$9</f>
        <v>51.3</v>
      </c>
      <c r="AG211" s="58">
        <f t="shared" si="132"/>
        <v>0</v>
      </c>
      <c r="AH211" s="58">
        <f>IF(ISNA(VLOOKUP($CW211,'Audit Values'!$A:$BZ,2,FALSE)),'Preliminary SO66'!AG210,VLOOKUP($CW211,'Audit Values'!$A:$BZ,71,FALSE))</f>
        <v>1</v>
      </c>
      <c r="AI211" s="58">
        <f t="shared" si="136"/>
        <v>1</v>
      </c>
      <c r="AJ211" s="58">
        <f>IF(ISNA(VLOOKUP($CW211,'Audit Values'!$A:$BX,2,FALSE)),'Preliminary SO66'!AR210,VLOOKUP($CW211,'Audit Values'!$A:$BX,66,FALSE))</f>
        <v>174</v>
      </c>
      <c r="AK211" s="24">
        <f t="shared" si="137"/>
        <v>201930</v>
      </c>
      <c r="AL211" s="58">
        <f>AK211/'Weighting Factors'!$O$5</f>
        <v>39.700000000000003</v>
      </c>
      <c r="AM211" s="58">
        <f>CJ211/'Weighting Factors'!$O$5</f>
        <v>0</v>
      </c>
      <c r="AN211" s="58">
        <f>CN211/'Weighting Factors'!$O$5</f>
        <v>0</v>
      </c>
      <c r="AO211" s="24">
        <v>368389</v>
      </c>
      <c r="AP211" s="58">
        <f>AO211/'Weighting Factors'!$O$5</f>
        <v>72.400000000000006</v>
      </c>
      <c r="AQ211" s="58">
        <f>IF(ISNA(VLOOKUP($CW211,'Audit Values'!$A:$BX,2,FALSE)),'Preliminary SO66'!X210,VLOOKUP($CW211,'Audit Values'!$A:$BX,48,FALSE))</f>
        <v>0</v>
      </c>
      <c r="AR211" s="58">
        <f t="shared" si="166"/>
        <v>644.4</v>
      </c>
      <c r="AS211" s="58">
        <f t="shared" si="167"/>
        <v>572</v>
      </c>
      <c r="AT211" s="58">
        <f>IF(ISNA(VLOOKUP($CW211,'Audit Values'!$A$2:$BX$410,2,FALSE)),'Preliminary SO66'!AA210,VLOOKUP($CW211,'Audit Values'!$A$2:$BX$410,41,FALSE))</f>
        <v>0</v>
      </c>
      <c r="AU211" s="58">
        <f>IF(ISNA(VLOOKUP($CW211,'Audit Values'!$A$2:$BX$410,2,FALSE)),'Preliminary SO66'!AB210,VLOOKUP($CW211,'Audit Values'!$A$2:$BX$410,42,FALSE))</f>
        <v>0</v>
      </c>
      <c r="AV211" s="73">
        <v>0</v>
      </c>
      <c r="AW211" s="73">
        <v>0</v>
      </c>
      <c r="AX211" s="24">
        <f>SUM(AT211*'Weighting Factors'!$R$10)+('2024 Legal Max'!AU211*'Weighting Factors'!$R$11)+('2024 Legal Max'!AV211*'Weighting Factors'!$R$12)+('2024 Legal Max'!AW211*'Weighting Factors'!$R$12)</f>
        <v>0</v>
      </c>
      <c r="AY211" s="54">
        <f>IF(ISNA(VLOOKUP($CW211,'Audit Values'!$A$2:$BX$429,2,FALSE)),"",IF(AND('Weighting Factors'!G211&gt;0,VLOOKUP($CW211,'Audit Values'!$A$2:$BX$429,51,FALSE)&lt;'Weighting Factors'!G211),'Weighting Factors'!G211,VLOOKUP($CW211,'Audit Values'!$A$2:$BX$429,51,FALSE)))</f>
        <v>16</v>
      </c>
      <c r="AZ211" s="54" t="str">
        <f>IF(ISNA(VLOOKUP($CW211,'Audit Values'!$A:$BY,2,FALSE)),"",VLOOKUP($CW211,'Audit Values'!$A:$BY,52,FALSE))</f>
        <v>A</v>
      </c>
      <c r="BA211" s="54" t="str">
        <f>IF('Weighting Factors'!F211="","",IF('Weighting Factors'!H211="Pending","PX","R"))</f>
        <v/>
      </c>
      <c r="BB211" s="60">
        <f>SUM((U211+V211+AA211+AC211+AF211+AI211+AL211+AM211+AQ211+AN211)*'Weighting Factors'!$O$5)+'2024 Legal Max'!AX211</f>
        <v>2910336</v>
      </c>
      <c r="BC211" s="24">
        <f>SUM((AR211+AN211)*'Weighting Factors'!$O$5)+AX211</f>
        <v>3278707</v>
      </c>
      <c r="BD211" s="67">
        <f>IF('Weighting Factors'!F211&gt;0,'Weighting Factors'!F211,'Preliminary SO66'!AV210)</f>
        <v>3328061</v>
      </c>
      <c r="BE211" s="24">
        <f t="shared" si="138"/>
        <v>3278707</v>
      </c>
      <c r="BF211" s="71">
        <f>'Weighting Factors'!E211</f>
        <v>0</v>
      </c>
      <c r="BG211" s="71">
        <f>Transportation!G211</f>
        <v>-22762</v>
      </c>
      <c r="BH211" s="24">
        <f>IF(ISNA(VLOOKUP($CW211,'Audit Values'!$A:$BW,2,FALSE)), 0, VLOOKUP($CW211,'Audit Values'!$A:$BW,75,FALSE))</f>
        <v>0</v>
      </c>
      <c r="BI211" s="24">
        <f t="shared" si="139"/>
        <v>-22762</v>
      </c>
      <c r="BJ211" s="24">
        <f t="shared" si="140"/>
        <v>3255945</v>
      </c>
      <c r="BK211" s="24">
        <f>SUM((U211+V211+AA211+AC211+AF211+AI211+AL211+AM211+AN211)*'Weighting Factors'!O$12)+(MAX(AO211,'Weighting Factors'!B211))</f>
        <v>3345293</v>
      </c>
      <c r="BL211" s="78">
        <f>'LOB%'!F209</f>
        <v>0.33</v>
      </c>
      <c r="BM211" s="24">
        <f t="shared" si="147"/>
        <v>1103947</v>
      </c>
      <c r="BN211" s="67">
        <v>1111509</v>
      </c>
      <c r="BO211" s="24">
        <f t="shared" si="141"/>
        <v>1103947</v>
      </c>
      <c r="BP211" s="89">
        <f t="shared" si="148"/>
        <v>0.33</v>
      </c>
      <c r="BQ211" s="58">
        <f t="shared" si="149"/>
        <v>0</v>
      </c>
      <c r="BR211" s="1" t="b">
        <f t="shared" si="150"/>
        <v>0</v>
      </c>
      <c r="BS211" s="76">
        <f t="shared" si="151"/>
        <v>0</v>
      </c>
      <c r="BT211" s="75">
        <f t="shared" si="142"/>
        <v>0</v>
      </c>
      <c r="BU211" s="58">
        <f t="shared" si="152"/>
        <v>0</v>
      </c>
      <c r="BV211" s="1" t="b">
        <f t="shared" si="153"/>
        <v>1</v>
      </c>
      <c r="BW211" s="1">
        <f t="shared" si="154"/>
        <v>28.8338</v>
      </c>
      <c r="BX211" s="75">
        <f t="shared" si="143"/>
        <v>0.47627000000000003</v>
      </c>
      <c r="BY211" s="58">
        <f t="shared" si="155"/>
        <v>154</v>
      </c>
      <c r="BZ211" s="58">
        <f t="shared" si="156"/>
        <v>0</v>
      </c>
      <c r="CA211" s="61">
        <v>167.5</v>
      </c>
      <c r="CB211" s="102">
        <f t="shared" si="157"/>
        <v>1.0389999999999999</v>
      </c>
      <c r="CC211" s="105">
        <f>IF(CB211&lt;0.06,1,IF(CB211&gt;=18.29,52,MATCH(CB211-0.001,'Weighting Factors'!$W$5:$W$156)+1))</f>
        <v>32</v>
      </c>
      <c r="CD211" s="24">
        <f>VLOOKUP(CC211, 'Weighting Factors'!$U$5:$X$56,4)</f>
        <v>950</v>
      </c>
      <c r="CE211" s="109">
        <f>('Weighting Factors'!$O$5/'Weighting Factors'!$O$14)</f>
        <v>1.2216</v>
      </c>
      <c r="CF211" s="100">
        <f t="shared" si="158"/>
        <v>165300</v>
      </c>
      <c r="CG211" s="100">
        <f>CF211*'Weighting Factors'!$Q$7</f>
        <v>165300</v>
      </c>
      <c r="CH211" s="100">
        <f t="shared" si="144"/>
        <v>201930</v>
      </c>
      <c r="CI211" s="58">
        <f>AK211/'Weighting Factors'!$O$5</f>
        <v>39.700000000000003</v>
      </c>
      <c r="CJ211" s="67">
        <v>0</v>
      </c>
      <c r="CK211" s="80">
        <v>0</v>
      </c>
      <c r="CL211" s="110">
        <v>0</v>
      </c>
      <c r="CM211" s="24">
        <f>SUM((AR211*'Weighting Factors'!$O$5)+'2024 Legal Max'!AX211)*CL211</f>
        <v>0</v>
      </c>
      <c r="CN211" s="24">
        <f t="shared" si="145"/>
        <v>0</v>
      </c>
      <c r="CO211" s="65">
        <f t="shared" si="146"/>
        <v>0.30030000000000001</v>
      </c>
      <c r="CP211" s="58">
        <f t="shared" si="159"/>
        <v>0</v>
      </c>
      <c r="CQ211" s="58">
        <f t="shared" si="160"/>
        <v>0</v>
      </c>
      <c r="CR211" s="58">
        <f t="shared" si="161"/>
        <v>644.4</v>
      </c>
      <c r="CS211" s="24">
        <f>'Required Transfers'!L211</f>
        <v>88757</v>
      </c>
      <c r="CT211" s="24">
        <f>'Required Transfers'!O211</f>
        <v>331</v>
      </c>
      <c r="CU211" s="24">
        <f>'Required Transfers'!H211</f>
        <v>266102</v>
      </c>
      <c r="CV211" s="58">
        <f t="shared" si="162"/>
        <v>343</v>
      </c>
      <c r="CW211" s="27" t="s">
        <v>396</v>
      </c>
    </row>
    <row r="212" spans="1:101" ht="15" customHeight="1">
      <c r="A212" s="54">
        <v>420</v>
      </c>
      <c r="B212" s="1" t="s">
        <v>96</v>
      </c>
      <c r="C212" s="1" t="s">
        <v>716</v>
      </c>
      <c r="D212" s="58">
        <v>671</v>
      </c>
      <c r="E212" s="58"/>
      <c r="F212" s="58">
        <v>0</v>
      </c>
      <c r="G212" s="58">
        <f t="shared" si="163"/>
        <v>671</v>
      </c>
      <c r="H212" s="58">
        <v>661</v>
      </c>
      <c r="I212" s="58"/>
      <c r="J212" s="58">
        <v>0</v>
      </c>
      <c r="K212" s="58">
        <f t="shared" si="164"/>
        <v>661</v>
      </c>
      <c r="L212" s="1">
        <v>671</v>
      </c>
      <c r="N212" s="1">
        <v>0</v>
      </c>
      <c r="O212" s="58">
        <f t="shared" si="165"/>
        <v>671</v>
      </c>
      <c r="P212" s="58">
        <f>IF(ISNA(VLOOKUP($CW212,'Audit Values'!$A:$BZ,2,FALSE)),'Preliminary SO66'!C211,VLOOKUP($CW212,'Audit Values'!$A:$BZ,76,FALSE))</f>
        <v>652</v>
      </c>
      <c r="Q212" s="58">
        <f>IF(ISNA(VLOOKUP($CW212,'Audit Values'!$A:$BZ,2,FALSE)),'Preliminary SO66'!F211,VLOOKUP($CW212,'Audit Values'!$A:$BZ,4,FALSE))</f>
        <v>0</v>
      </c>
      <c r="R212" s="58">
        <f t="shared" si="133"/>
        <v>652</v>
      </c>
      <c r="S212" s="58">
        <f>IF('Military Provision'!I212="YES", MAX('2024 Legal Max'!O212,'2024 Legal Max'!K212,AVERAGE('2024 Legal Max'!G212,'2024 Legal Max'!K212,'2024 Legal Max'!O212)), MAX(O212, K212))</f>
        <v>671</v>
      </c>
      <c r="T212" s="58">
        <f>IF(ISNA(VLOOKUP($CW212,'Audit Values'!$A:$BX,2,FALSE)),'Preliminary SO66'!AL211,VLOOKUP($CW212,'Audit Values'!$A:$BX,59,FALSE))</f>
        <v>11.5</v>
      </c>
      <c r="U212" s="58">
        <f t="shared" si="134"/>
        <v>682.5</v>
      </c>
      <c r="V212" s="58">
        <f>'Low-High ENRL- 2023 HSubSB 113'!N215</f>
        <v>241.8</v>
      </c>
      <c r="W212" s="58">
        <f>IF(ISNA(VLOOKUP($CW212,'Audit Values'!$A:$BZ,2,FALSE)),'Preliminary SO66'!AM211,VLOOKUP($CW212,'Audit Values'!$A:$BZ,63,FALSE))</f>
        <v>0</v>
      </c>
      <c r="X212" s="58">
        <f>(W212/6)*'Weighting Factors'!$O$7</f>
        <v>0</v>
      </c>
      <c r="Y212" s="61">
        <f>IF(ISNA(VLOOKUP($CW212,'Audit Values'!$A:$BZ,2,FALSE)),'Preliminary SO66'!AN211,VLOOKUP($CW212,'Audit Values'!$A:$BZ,62,FALSE))</f>
        <v>2</v>
      </c>
      <c r="Z212" s="58">
        <f>Y212*'Weighting Factors'!$O$8</f>
        <v>0.4</v>
      </c>
      <c r="AA212" s="58">
        <f t="shared" si="135"/>
        <v>0.4</v>
      </c>
      <c r="AB212" s="106">
        <f>IF(ISNA(VLOOKUP($CW212,'Audit Values'!$A:$BZ,2,FALSE)),'Preliminary SO66'!AO211,VLOOKUP($CW212,'Audit Values'!$A:$BZ,61,FALSE))</f>
        <v>79</v>
      </c>
      <c r="AC212" s="58">
        <f>AB212/6*'Weighting Factors'!$O$6</f>
        <v>6.6</v>
      </c>
      <c r="AD212" s="24">
        <f>IF(ISNA(VLOOKUP($CW212,'Audit Values'!$A:$BX,2,FALSE)),'Preliminary SO66'!AS211,VLOOKUP($CW212,'Audit Values'!$A:$BX,64,FALSE))</f>
        <v>686</v>
      </c>
      <c r="AE212" s="24">
        <f>IF(ISNA(VLOOKUP($CW212,'Audit Values'!$A:$BX,2,FALSE)),'Preliminary SO66'!AP211,VLOOKUP($CW212,'Audit Values'!$A:$BX,65,FALSE))</f>
        <v>330</v>
      </c>
      <c r="AF212" s="58">
        <f>IF(A212=207, AE212,(AE212))*'Weighting Factors'!$O$9</f>
        <v>159.69999999999999</v>
      </c>
      <c r="AG212" s="58">
        <f t="shared" si="132"/>
        <v>30.3</v>
      </c>
      <c r="AH212" s="58">
        <f>IF(ISNA(VLOOKUP($CW212,'Audit Values'!$A:$BZ,2,FALSE)),'Preliminary SO66'!AG211,VLOOKUP($CW212,'Audit Values'!$A:$BZ,71,FALSE))</f>
        <v>25.8</v>
      </c>
      <c r="AI212" s="58">
        <f t="shared" si="136"/>
        <v>30.3</v>
      </c>
      <c r="AJ212" s="58">
        <f>IF(ISNA(VLOOKUP($CW212,'Audit Values'!$A:$BX,2,FALSE)),'Preliminary SO66'!AR211,VLOOKUP($CW212,'Audit Values'!$A:$BX,66,FALSE))</f>
        <v>103</v>
      </c>
      <c r="AK212" s="24">
        <f t="shared" si="137"/>
        <v>124567</v>
      </c>
      <c r="AL212" s="58">
        <f>AK212/'Weighting Factors'!$O$5</f>
        <v>24.5</v>
      </c>
      <c r="AM212" s="58">
        <f>CJ212/'Weighting Factors'!$O$5</f>
        <v>0</v>
      </c>
      <c r="AN212" s="58">
        <f>CN212/'Weighting Factors'!$O$5</f>
        <v>0</v>
      </c>
      <c r="AO212" s="24">
        <v>843531</v>
      </c>
      <c r="AP212" s="58">
        <f>AO212/'Weighting Factors'!$O$5</f>
        <v>165.8</v>
      </c>
      <c r="AQ212" s="58">
        <f>IF(ISNA(VLOOKUP($CW212,'Audit Values'!$A:$BX,2,FALSE)),'Preliminary SO66'!X211,VLOOKUP($CW212,'Audit Values'!$A:$BX,48,FALSE))</f>
        <v>0</v>
      </c>
      <c r="AR212" s="58">
        <f t="shared" si="166"/>
        <v>1311.6</v>
      </c>
      <c r="AS212" s="58">
        <f t="shared" si="167"/>
        <v>1145.8</v>
      </c>
      <c r="AT212" s="58">
        <f>IF(ISNA(VLOOKUP($CW212,'Audit Values'!$A$2:$BX$410,2,FALSE)),'Preliminary SO66'!AA211,VLOOKUP($CW212,'Audit Values'!$A$2:$BX$410,41,FALSE))</f>
        <v>2</v>
      </c>
      <c r="AU212" s="58">
        <f>IF(ISNA(VLOOKUP($CW212,'Audit Values'!$A$2:$BX$410,2,FALSE)),'Preliminary SO66'!AB211,VLOOKUP($CW212,'Audit Values'!$A$2:$BX$410,42,FALSE))</f>
        <v>0.8</v>
      </c>
      <c r="AV212" s="73">
        <v>1</v>
      </c>
      <c r="AW212" s="73">
        <v>0</v>
      </c>
      <c r="AX212" s="24">
        <f>SUM(AT212*'Weighting Factors'!$R$10)+('2024 Legal Max'!AU212*'Weighting Factors'!$R$11)+('2024 Legal Max'!AV212*'Weighting Factors'!$R$12)+('2024 Legal Max'!AW212*'Weighting Factors'!$R$12)</f>
        <v>14149</v>
      </c>
      <c r="AY212" s="54">
        <f>IF(ISNA(VLOOKUP($CW212,'Audit Values'!$A$2:$BX$429,2,FALSE)),"",IF(AND('Weighting Factors'!G212&gt;0,VLOOKUP($CW212,'Audit Values'!$A$2:$BX$429,51,FALSE)&lt;'Weighting Factors'!G212),'Weighting Factors'!G212,VLOOKUP($CW212,'Audit Values'!$A$2:$BX$429,51,FALSE)))</f>
        <v>17</v>
      </c>
      <c r="AZ212" s="54" t="str">
        <f>IF(ISNA(VLOOKUP($CW212,'Audit Values'!$A:$BY,2,FALSE)),"",VLOOKUP($CW212,'Audit Values'!$A:$BY,52,FALSE))</f>
        <v>A</v>
      </c>
      <c r="BA212" s="54" t="str">
        <f>IF('Weighting Factors'!F212="","",IF('Weighting Factors'!H212="Pending","PX","R"))</f>
        <v>R</v>
      </c>
      <c r="BB212" s="60">
        <f>SUM((U212+V212+AA212+AC212+AF212+AI212+AL212+AM212+AQ212+AN212)*'Weighting Factors'!$O$5)+'2024 Legal Max'!AX212</f>
        <v>5843979</v>
      </c>
      <c r="BC212" s="24">
        <f>SUM((AR212+AN212)*'Weighting Factors'!$O$5)+AX212</f>
        <v>6687570</v>
      </c>
      <c r="BD212" s="67">
        <f>IF('Weighting Factors'!F212&gt;0,'Weighting Factors'!F212,'Preliminary SO66'!AV211)</f>
        <v>6740228</v>
      </c>
      <c r="BE212" s="24">
        <f t="shared" si="138"/>
        <v>6687570</v>
      </c>
      <c r="BF212" s="71">
        <f>'Weighting Factors'!E212</f>
        <v>0</v>
      </c>
      <c r="BG212" s="71">
        <f>Transportation!G212</f>
        <v>0</v>
      </c>
      <c r="BH212" s="24">
        <f>IF(ISNA(VLOOKUP($CW212,'Audit Values'!$A:$BW,2,FALSE)), 0, VLOOKUP($CW212,'Audit Values'!$A:$BW,75,FALSE))</f>
        <v>0</v>
      </c>
      <c r="BI212" s="24">
        <f t="shared" si="139"/>
        <v>0</v>
      </c>
      <c r="BJ212" s="24">
        <f t="shared" si="140"/>
        <v>6687570</v>
      </c>
      <c r="BK212" s="24">
        <f>SUM((U212+V212+AA212+AC212+AF212+AI212+AL212+AM212+AN212)*'Weighting Factors'!O$12)+(MAX(AO212,'Weighting Factors'!B212))</f>
        <v>6753567</v>
      </c>
      <c r="BL212" s="78">
        <f>'LOB%'!F210</f>
        <v>0.316</v>
      </c>
      <c r="BM212" s="24">
        <f t="shared" si="147"/>
        <v>2134127</v>
      </c>
      <c r="BN212" s="67">
        <v>2115093</v>
      </c>
      <c r="BO212" s="24">
        <f t="shared" si="141"/>
        <v>2115093</v>
      </c>
      <c r="BP212" s="89">
        <f t="shared" si="148"/>
        <v>0.31319999999999998</v>
      </c>
      <c r="BQ212" s="58">
        <f t="shared" si="149"/>
        <v>0</v>
      </c>
      <c r="BR212" s="1" t="b">
        <f t="shared" si="150"/>
        <v>0</v>
      </c>
      <c r="BS212" s="76">
        <f t="shared" si="151"/>
        <v>0</v>
      </c>
      <c r="BT212" s="75">
        <f t="shared" si="142"/>
        <v>0</v>
      </c>
      <c r="BU212" s="58">
        <f t="shared" si="152"/>
        <v>0</v>
      </c>
      <c r="BV212" s="1" t="b">
        <f t="shared" si="153"/>
        <v>1</v>
      </c>
      <c r="BW212" s="1">
        <f t="shared" si="154"/>
        <v>473.34379999999999</v>
      </c>
      <c r="BX212" s="75">
        <f t="shared" si="143"/>
        <v>0.35423199999999999</v>
      </c>
      <c r="BY212" s="58">
        <f t="shared" si="155"/>
        <v>241.8</v>
      </c>
      <c r="BZ212" s="58">
        <f t="shared" si="156"/>
        <v>0</v>
      </c>
      <c r="CA212" s="61">
        <v>127.3</v>
      </c>
      <c r="CB212" s="102">
        <f t="shared" si="157"/>
        <v>0.80900000000000005</v>
      </c>
      <c r="CC212" s="105">
        <f>IF(CB212&lt;0.06,1,IF(CB212&gt;=18.29,52,MATCH(CB212-0.001,'Weighting Factors'!$W$5:$W$156)+1))</f>
        <v>30</v>
      </c>
      <c r="CD212" s="24">
        <f>VLOOKUP(CC212, 'Weighting Factors'!$U$5:$X$56,4)</f>
        <v>990</v>
      </c>
      <c r="CE212" s="109">
        <f>('Weighting Factors'!$O$5/'Weighting Factors'!$O$14)</f>
        <v>1.2216</v>
      </c>
      <c r="CF212" s="100">
        <f t="shared" si="158"/>
        <v>101970</v>
      </c>
      <c r="CG212" s="100">
        <f>CF212*'Weighting Factors'!$Q$7</f>
        <v>101970</v>
      </c>
      <c r="CH212" s="100">
        <f t="shared" si="144"/>
        <v>124567</v>
      </c>
      <c r="CI212" s="58">
        <f>AK212/'Weighting Factors'!$O$5</f>
        <v>24.5</v>
      </c>
      <c r="CJ212" s="67">
        <v>0</v>
      </c>
      <c r="CK212" s="80">
        <v>0</v>
      </c>
      <c r="CL212" s="110">
        <v>0</v>
      </c>
      <c r="CM212" s="24">
        <f>SUM((AR212*'Weighting Factors'!$O$5)+'2024 Legal Max'!AX212)*CL212</f>
        <v>0</v>
      </c>
      <c r="CN212" s="24">
        <f t="shared" si="145"/>
        <v>0</v>
      </c>
      <c r="CO212" s="65">
        <f t="shared" si="146"/>
        <v>0.48099999999999998</v>
      </c>
      <c r="CP212" s="58">
        <f t="shared" si="159"/>
        <v>0</v>
      </c>
      <c r="CQ212" s="58">
        <f t="shared" si="160"/>
        <v>30.3</v>
      </c>
      <c r="CR212" s="58">
        <f t="shared" si="161"/>
        <v>1311.6</v>
      </c>
      <c r="CS212" s="24">
        <f>'Required Transfers'!L212</f>
        <v>259733</v>
      </c>
      <c r="CT212" s="24">
        <f>'Required Transfers'!O212</f>
        <v>635</v>
      </c>
      <c r="CU212" s="24">
        <f>'Required Transfers'!H212</f>
        <v>966720</v>
      </c>
      <c r="CV212" s="58">
        <f t="shared" si="162"/>
        <v>666.5</v>
      </c>
      <c r="CW212" s="27" t="s">
        <v>397</v>
      </c>
    </row>
    <row r="213" spans="1:101" ht="15" customHeight="1">
      <c r="A213" s="54">
        <v>421</v>
      </c>
      <c r="B213" s="1" t="s">
        <v>96</v>
      </c>
      <c r="C213" s="1" t="s">
        <v>717</v>
      </c>
      <c r="D213" s="58">
        <v>379.5</v>
      </c>
      <c r="E213" s="58"/>
      <c r="F213" s="58">
        <v>0</v>
      </c>
      <c r="G213" s="58">
        <f t="shared" si="163"/>
        <v>379.5</v>
      </c>
      <c r="H213" s="58">
        <v>422</v>
      </c>
      <c r="I213" s="58"/>
      <c r="J213" s="58">
        <v>0</v>
      </c>
      <c r="K213" s="58">
        <f t="shared" si="164"/>
        <v>422</v>
      </c>
      <c r="L213" s="1">
        <v>394</v>
      </c>
      <c r="N213" s="1">
        <v>0</v>
      </c>
      <c r="O213" s="58">
        <f t="shared" si="165"/>
        <v>394</v>
      </c>
      <c r="P213" s="58">
        <f>IF(ISNA(VLOOKUP($CW213,'Audit Values'!$A:$BZ,2,FALSE)),'Preliminary SO66'!C212,VLOOKUP($CW213,'Audit Values'!$A:$BZ,76,FALSE))</f>
        <v>394</v>
      </c>
      <c r="Q213" s="58">
        <f>IF(ISNA(VLOOKUP($CW213,'Audit Values'!$A:$BZ,2,FALSE)),'Preliminary SO66'!F212,VLOOKUP($CW213,'Audit Values'!$A:$BZ,4,FALSE))</f>
        <v>0</v>
      </c>
      <c r="R213" s="58">
        <f t="shared" si="133"/>
        <v>394</v>
      </c>
      <c r="S213" s="58">
        <f>IF('Military Provision'!I213="YES", MAX('2024 Legal Max'!O213,'2024 Legal Max'!K213,AVERAGE('2024 Legal Max'!G213,'2024 Legal Max'!K213,'2024 Legal Max'!O213)), MAX(O213, K213))</f>
        <v>422</v>
      </c>
      <c r="T213" s="58">
        <f>IF(ISNA(VLOOKUP($CW213,'Audit Values'!$A:$BX,2,FALSE)),'Preliminary SO66'!AL212,VLOOKUP($CW213,'Audit Values'!$A:$BX,59,FALSE))</f>
        <v>5.5</v>
      </c>
      <c r="U213" s="58">
        <f t="shared" si="134"/>
        <v>427.5</v>
      </c>
      <c r="V213" s="58">
        <f>'Low-High ENRL- 2023 HSubSB 113'!N216</f>
        <v>188.5</v>
      </c>
      <c r="W213" s="58">
        <f>IF(ISNA(VLOOKUP($CW213,'Audit Values'!$A:$BZ,2,FALSE)),'Preliminary SO66'!AM212,VLOOKUP($CW213,'Audit Values'!$A:$BZ,63,FALSE))</f>
        <v>0</v>
      </c>
      <c r="X213" s="58">
        <f>(W213/6)*'Weighting Factors'!$O$7</f>
        <v>0</v>
      </c>
      <c r="Y213" s="61">
        <f>IF(ISNA(VLOOKUP($CW213,'Audit Values'!$A:$BZ,2,FALSE)),'Preliminary SO66'!AN212,VLOOKUP($CW213,'Audit Values'!$A:$BZ,62,FALSE))</f>
        <v>0</v>
      </c>
      <c r="Z213" s="58">
        <f>Y213*'Weighting Factors'!$O$8</f>
        <v>0</v>
      </c>
      <c r="AA213" s="58">
        <f t="shared" si="135"/>
        <v>0</v>
      </c>
      <c r="AB213" s="106">
        <f>IF(ISNA(VLOOKUP($CW213,'Audit Values'!$A:$BZ,2,FALSE)),'Preliminary SO66'!AO212,VLOOKUP($CW213,'Audit Values'!$A:$BZ,61,FALSE))</f>
        <v>33.299999999999997</v>
      </c>
      <c r="AC213" s="58">
        <f>AB213/6*'Weighting Factors'!$O$6</f>
        <v>2.8</v>
      </c>
      <c r="AD213" s="24">
        <f>IF(ISNA(VLOOKUP($CW213,'Audit Values'!$A:$BX,2,FALSE)),'Preliminary SO66'!AS212,VLOOKUP($CW213,'Audit Values'!$A:$BX,64,FALSE))</f>
        <v>411</v>
      </c>
      <c r="AE213" s="24">
        <f>IF(ISNA(VLOOKUP($CW213,'Audit Values'!$A:$BX,2,FALSE)),'Preliminary SO66'!AP212,VLOOKUP($CW213,'Audit Values'!$A:$BX,65,FALSE))</f>
        <v>124</v>
      </c>
      <c r="AF213" s="58">
        <f>IF(A213=207, AE213,(AE213))*'Weighting Factors'!$O$9</f>
        <v>60</v>
      </c>
      <c r="AG213" s="58">
        <f t="shared" si="132"/>
        <v>0</v>
      </c>
      <c r="AH213" s="58">
        <f>IF(ISNA(VLOOKUP($CW213,'Audit Values'!$A:$BZ,2,FALSE)),'Preliminary SO66'!AG212,VLOOKUP($CW213,'Audit Values'!$A:$BZ,71,FALSE))</f>
        <v>0</v>
      </c>
      <c r="AI213" s="58">
        <f t="shared" si="136"/>
        <v>0</v>
      </c>
      <c r="AJ213" s="58">
        <f>IF(ISNA(VLOOKUP($CW213,'Audit Values'!$A:$BX,2,FALSE)),'Preliminary SO66'!AR212,VLOOKUP($CW213,'Audit Values'!$A:$BX,66,FALSE))</f>
        <v>148</v>
      </c>
      <c r="AK213" s="24">
        <f t="shared" si="137"/>
        <v>164525</v>
      </c>
      <c r="AL213" s="58">
        <f>AK213/'Weighting Factors'!$O$5</f>
        <v>32.299999999999997</v>
      </c>
      <c r="AM213" s="58">
        <f>CJ213/'Weighting Factors'!$O$5</f>
        <v>0</v>
      </c>
      <c r="AN213" s="58">
        <f>CN213/'Weighting Factors'!$O$5</f>
        <v>0</v>
      </c>
      <c r="AO213" s="24">
        <v>525835</v>
      </c>
      <c r="AP213" s="58">
        <f>AO213/'Weighting Factors'!$O$5</f>
        <v>103.3</v>
      </c>
      <c r="AQ213" s="58">
        <f>IF(ISNA(VLOOKUP($CW213,'Audit Values'!$A:$BX,2,FALSE)),'Preliminary SO66'!X212,VLOOKUP($CW213,'Audit Values'!$A:$BX,48,FALSE))</f>
        <v>0</v>
      </c>
      <c r="AR213" s="58">
        <f t="shared" si="166"/>
        <v>814.4</v>
      </c>
      <c r="AS213" s="58">
        <f t="shared" si="167"/>
        <v>711.1</v>
      </c>
      <c r="AT213" s="58">
        <f>IF(ISNA(VLOOKUP($CW213,'Audit Values'!$A$2:$BX$410,2,FALSE)),'Preliminary SO66'!AA212,VLOOKUP($CW213,'Audit Values'!$A$2:$BX$410,41,FALSE))</f>
        <v>1</v>
      </c>
      <c r="AU213" s="58">
        <f>IF(ISNA(VLOOKUP($CW213,'Audit Values'!$A$2:$BX$410,2,FALSE)),'Preliminary SO66'!AB212,VLOOKUP($CW213,'Audit Values'!$A$2:$BX$410,42,FALSE))</f>
        <v>0</v>
      </c>
      <c r="AV213" s="73">
        <v>0</v>
      </c>
      <c r="AW213" s="73">
        <v>0</v>
      </c>
      <c r="AX213" s="24">
        <f>SUM(AT213*'Weighting Factors'!$R$10)+('2024 Legal Max'!AU213*'Weighting Factors'!$R$11)+('2024 Legal Max'!AV213*'Weighting Factors'!$R$12)+('2024 Legal Max'!AW213*'Weighting Factors'!$R$12)</f>
        <v>5600</v>
      </c>
      <c r="AY213" s="54">
        <f>IF(ISNA(VLOOKUP($CW213,'Audit Values'!$A$2:$BX$429,2,FALSE)),"",IF(AND('Weighting Factors'!G213&gt;0,VLOOKUP($CW213,'Audit Values'!$A$2:$BX$429,51,FALSE)&lt;'Weighting Factors'!G213),'Weighting Factors'!G213,VLOOKUP($CW213,'Audit Values'!$A$2:$BX$429,51,FALSE)))</f>
        <v>11</v>
      </c>
      <c r="AZ213" s="54" t="str">
        <f>IF(ISNA(VLOOKUP($CW213,'Audit Values'!$A:$BY,2,FALSE)),"",VLOOKUP($CW213,'Audit Values'!$A:$BY,52,FALSE))</f>
        <v>A</v>
      </c>
      <c r="BA213" s="54" t="str">
        <f>IF('Weighting Factors'!F213="","",IF('Weighting Factors'!H213="Pending","PX","R"))</f>
        <v/>
      </c>
      <c r="BB213" s="60">
        <f>SUM((U213+V213+AA213+AC213+AF213+AI213+AL213+AM213+AQ213+AN213)*'Weighting Factors'!$O$5)+'2024 Legal Max'!AX213</f>
        <v>3623677</v>
      </c>
      <c r="BC213" s="24">
        <f>SUM((AR213+AN213)*'Weighting Factors'!$O$5)+AX213</f>
        <v>4149267</v>
      </c>
      <c r="BD213" s="67">
        <f>IF('Weighting Factors'!F213&gt;0,'Weighting Factors'!F213,'Preliminary SO66'!AV212)</f>
        <v>4397562</v>
      </c>
      <c r="BE213" s="24">
        <f t="shared" si="138"/>
        <v>4149267</v>
      </c>
      <c r="BF213" s="71">
        <f>'Weighting Factors'!E213</f>
        <v>0</v>
      </c>
      <c r="BG213" s="71">
        <f>Transportation!G213</f>
        <v>0</v>
      </c>
      <c r="BH213" s="24">
        <f>IF(ISNA(VLOOKUP($CW213,'Audit Values'!$A:$BW,2,FALSE)), 0, VLOOKUP($CW213,'Audit Values'!$A:$BW,75,FALSE))</f>
        <v>0</v>
      </c>
      <c r="BI213" s="24">
        <f t="shared" si="139"/>
        <v>0</v>
      </c>
      <c r="BJ213" s="24">
        <f t="shared" si="140"/>
        <v>4149267</v>
      </c>
      <c r="BK213" s="24">
        <f>SUM((U213+V213+AA213+AC213+AF213+AI213+AL213+AM213+AN213)*'Weighting Factors'!O$12)+(MAX(AO213,'Weighting Factors'!B213))</f>
        <v>4196891</v>
      </c>
      <c r="BL213" s="78">
        <f>'LOB%'!F211</f>
        <v>0.316</v>
      </c>
      <c r="BM213" s="24">
        <f t="shared" si="147"/>
        <v>1326218</v>
      </c>
      <c r="BN213" s="67">
        <v>1404401</v>
      </c>
      <c r="BO213" s="24">
        <f t="shared" si="141"/>
        <v>1326218</v>
      </c>
      <c r="BP213" s="89">
        <f t="shared" si="148"/>
        <v>0.316</v>
      </c>
      <c r="BQ213" s="58">
        <f t="shared" si="149"/>
        <v>0</v>
      </c>
      <c r="BR213" s="1" t="b">
        <f t="shared" si="150"/>
        <v>0</v>
      </c>
      <c r="BS213" s="76">
        <f t="shared" si="151"/>
        <v>0</v>
      </c>
      <c r="BT213" s="75">
        <f t="shared" si="142"/>
        <v>0</v>
      </c>
      <c r="BU213" s="58">
        <f t="shared" si="152"/>
        <v>0</v>
      </c>
      <c r="BV213" s="1" t="b">
        <f t="shared" si="153"/>
        <v>1</v>
      </c>
      <c r="BW213" s="1">
        <f t="shared" si="154"/>
        <v>157.78129999999999</v>
      </c>
      <c r="BX213" s="75">
        <f t="shared" si="143"/>
        <v>0.44086799999999998</v>
      </c>
      <c r="BY213" s="58">
        <f t="shared" si="155"/>
        <v>188.5</v>
      </c>
      <c r="BZ213" s="58">
        <f t="shared" si="156"/>
        <v>0</v>
      </c>
      <c r="CA213" s="61">
        <v>109</v>
      </c>
      <c r="CB213" s="102">
        <f t="shared" si="157"/>
        <v>1.3580000000000001</v>
      </c>
      <c r="CC213" s="105">
        <f>IF(CB213&lt;0.06,1,IF(CB213&gt;=18.29,52,MATCH(CB213-0.001,'Weighting Factors'!$W$5:$W$156)+1))</f>
        <v>34</v>
      </c>
      <c r="CD213" s="24">
        <f>VLOOKUP(CC213, 'Weighting Factors'!$U$5:$X$56,4)</f>
        <v>910</v>
      </c>
      <c r="CE213" s="109">
        <f>('Weighting Factors'!$O$5/'Weighting Factors'!$O$14)</f>
        <v>1.2216</v>
      </c>
      <c r="CF213" s="100">
        <f t="shared" si="158"/>
        <v>134680</v>
      </c>
      <c r="CG213" s="100">
        <f>CF213*'Weighting Factors'!$Q$7</f>
        <v>134680</v>
      </c>
      <c r="CH213" s="100">
        <f t="shared" si="144"/>
        <v>164525</v>
      </c>
      <c r="CI213" s="58">
        <f>AK213/'Weighting Factors'!$O$5</f>
        <v>32.299999999999997</v>
      </c>
      <c r="CJ213" s="67">
        <v>0</v>
      </c>
      <c r="CK213" s="80">
        <v>0</v>
      </c>
      <c r="CL213" s="110">
        <v>0</v>
      </c>
      <c r="CM213" s="24">
        <f>SUM((AR213*'Weighting Factors'!$O$5)+'2024 Legal Max'!AX213)*CL213</f>
        <v>0</v>
      </c>
      <c r="CN213" s="24">
        <f t="shared" si="145"/>
        <v>0</v>
      </c>
      <c r="CO213" s="65">
        <f t="shared" si="146"/>
        <v>0.30170000000000002</v>
      </c>
      <c r="CP213" s="58">
        <f t="shared" si="159"/>
        <v>0</v>
      </c>
      <c r="CQ213" s="58">
        <f t="shared" si="160"/>
        <v>0</v>
      </c>
      <c r="CR213" s="58">
        <f t="shared" si="161"/>
        <v>814.4</v>
      </c>
      <c r="CS213" s="24">
        <f>'Required Transfers'!L213</f>
        <v>98405</v>
      </c>
      <c r="CT213" s="24">
        <f>'Required Transfers'!O213</f>
        <v>0</v>
      </c>
      <c r="CU213" s="24">
        <f>'Required Transfers'!H213</f>
        <v>305280</v>
      </c>
      <c r="CV213" s="58">
        <f t="shared" si="162"/>
        <v>400.5</v>
      </c>
      <c r="CW213" s="27" t="s">
        <v>398</v>
      </c>
    </row>
    <row r="214" spans="1:101" ht="15" customHeight="1">
      <c r="A214" s="54">
        <v>422</v>
      </c>
      <c r="B214" s="1" t="s">
        <v>97</v>
      </c>
      <c r="C214" s="1" t="s">
        <v>718</v>
      </c>
      <c r="D214" s="58">
        <v>242</v>
      </c>
      <c r="E214" s="58"/>
      <c r="F214" s="58">
        <v>0</v>
      </c>
      <c r="G214" s="58">
        <f t="shared" si="163"/>
        <v>242</v>
      </c>
      <c r="H214" s="58">
        <v>291</v>
      </c>
      <c r="I214" s="58"/>
      <c r="J214" s="58">
        <v>0</v>
      </c>
      <c r="K214" s="58">
        <f t="shared" si="164"/>
        <v>291</v>
      </c>
      <c r="L214" s="1">
        <v>277.5</v>
      </c>
      <c r="N214" s="1">
        <v>0</v>
      </c>
      <c r="O214" s="58">
        <f t="shared" si="165"/>
        <v>277.5</v>
      </c>
      <c r="P214" s="58">
        <f>IF(ISNA(VLOOKUP($CW214,'Audit Values'!$A:$BZ,2,FALSE)),'Preliminary SO66'!C213,VLOOKUP($CW214,'Audit Values'!$A:$BZ,76,FALSE))</f>
        <v>260.5</v>
      </c>
      <c r="Q214" s="58">
        <f>IF(ISNA(VLOOKUP($CW214,'Audit Values'!$A:$BZ,2,FALSE)),'Preliminary SO66'!F213,VLOOKUP($CW214,'Audit Values'!$A:$BZ,4,FALSE))</f>
        <v>0</v>
      </c>
      <c r="R214" s="58">
        <f t="shared" si="133"/>
        <v>260.5</v>
      </c>
      <c r="S214" s="58">
        <f>IF('Military Provision'!I214="YES", MAX('2024 Legal Max'!O214,'2024 Legal Max'!K214,AVERAGE('2024 Legal Max'!G214,'2024 Legal Max'!K214,'2024 Legal Max'!O214)), MAX(O214, K214))</f>
        <v>291</v>
      </c>
      <c r="T214" s="58">
        <f>IF(ISNA(VLOOKUP($CW214,'Audit Values'!$A:$BX,2,FALSE)),'Preliminary SO66'!AL213,VLOOKUP($CW214,'Audit Values'!$A:$BX,59,FALSE))</f>
        <v>5</v>
      </c>
      <c r="U214" s="58">
        <f t="shared" si="134"/>
        <v>296</v>
      </c>
      <c r="V214" s="58">
        <f>'Low-High ENRL- 2023 HSubSB 113'!N217</f>
        <v>146.5</v>
      </c>
      <c r="W214" s="58">
        <f>IF(ISNA(VLOOKUP($CW214,'Audit Values'!$A:$BZ,2,FALSE)),'Preliminary SO66'!AM213,VLOOKUP($CW214,'Audit Values'!$A:$BZ,63,FALSE))</f>
        <v>0</v>
      </c>
      <c r="X214" s="58">
        <f>(W214/6)*'Weighting Factors'!$O$7</f>
        <v>0</v>
      </c>
      <c r="Y214" s="61">
        <f>IF(ISNA(VLOOKUP($CW214,'Audit Values'!$A:$BZ,2,FALSE)),'Preliminary SO66'!AN213,VLOOKUP($CW214,'Audit Values'!$A:$BZ,62,FALSE))</f>
        <v>21</v>
      </c>
      <c r="Z214" s="58">
        <f>Y214*'Weighting Factors'!$O$8</f>
        <v>3.9</v>
      </c>
      <c r="AA214" s="58">
        <f t="shared" si="135"/>
        <v>3.9</v>
      </c>
      <c r="AB214" s="106">
        <f>IF(ISNA(VLOOKUP($CW214,'Audit Values'!$A:$BZ,2,FALSE)),'Preliminary SO66'!AO213,VLOOKUP($CW214,'Audit Values'!$A:$BZ,61,FALSE))</f>
        <v>49.2</v>
      </c>
      <c r="AC214" s="58">
        <f>AB214/6*'Weighting Factors'!$O$6</f>
        <v>4.0999999999999996</v>
      </c>
      <c r="AD214" s="24">
        <f>IF(ISNA(VLOOKUP($CW214,'Audit Values'!$A:$BX,2,FALSE)),'Preliminary SO66'!AS213,VLOOKUP($CW214,'Audit Values'!$A:$BX,64,FALSE))</f>
        <v>273</v>
      </c>
      <c r="AE214" s="24">
        <f>IF(ISNA(VLOOKUP($CW214,'Audit Values'!$A:$BX,2,FALSE)),'Preliminary SO66'!AP213,VLOOKUP($CW214,'Audit Values'!$A:$BX,65,FALSE))</f>
        <v>100</v>
      </c>
      <c r="AF214" s="58">
        <f>IF(A214=207, AE214,(AE214))*'Weighting Factors'!$O$9</f>
        <v>48.4</v>
      </c>
      <c r="AG214" s="58">
        <f t="shared" si="132"/>
        <v>1.1000000000000001</v>
      </c>
      <c r="AH214" s="58">
        <f>IF(ISNA(VLOOKUP($CW214,'Audit Values'!$A:$BZ,2,FALSE)),'Preliminary SO66'!AG213,VLOOKUP($CW214,'Audit Values'!$A:$BZ,71,FALSE))</f>
        <v>3.4</v>
      </c>
      <c r="AI214" s="58">
        <f t="shared" si="136"/>
        <v>3.4</v>
      </c>
      <c r="AJ214" s="58">
        <f>IF(ISNA(VLOOKUP($CW214,'Audit Values'!$A:$BX,2,FALSE)),'Preliminary SO66'!AR213,VLOOKUP($CW214,'Audit Values'!$A:$BX,66,FALSE))</f>
        <v>93</v>
      </c>
      <c r="AK214" s="24">
        <f t="shared" si="137"/>
        <v>146555</v>
      </c>
      <c r="AL214" s="58">
        <f>AK214/'Weighting Factors'!$O$5</f>
        <v>28.8</v>
      </c>
      <c r="AM214" s="58">
        <f>CJ214/'Weighting Factors'!$O$5</f>
        <v>0</v>
      </c>
      <c r="AN214" s="58">
        <f>CN214/'Weighting Factors'!$O$5</f>
        <v>0</v>
      </c>
      <c r="AO214" s="24">
        <v>369018</v>
      </c>
      <c r="AP214" s="58">
        <f>AO214/'Weighting Factors'!$O$5</f>
        <v>72.5</v>
      </c>
      <c r="AQ214" s="58">
        <f>IF(ISNA(VLOOKUP($CW214,'Audit Values'!$A:$BX,2,FALSE)),'Preliminary SO66'!X213,VLOOKUP($CW214,'Audit Values'!$A:$BX,48,FALSE))</f>
        <v>0</v>
      </c>
      <c r="AR214" s="58">
        <f t="shared" si="166"/>
        <v>603.6</v>
      </c>
      <c r="AS214" s="58">
        <f t="shared" si="167"/>
        <v>531.1</v>
      </c>
      <c r="AT214" s="58">
        <f>IF(ISNA(VLOOKUP($CW214,'Audit Values'!$A$2:$BX$410,2,FALSE)),'Preliminary SO66'!AA213,VLOOKUP($CW214,'Audit Values'!$A$2:$BX$410,41,FALSE))</f>
        <v>0</v>
      </c>
      <c r="AU214" s="58">
        <f>IF(ISNA(VLOOKUP($CW214,'Audit Values'!$A$2:$BX$410,2,FALSE)),'Preliminary SO66'!AB213,VLOOKUP($CW214,'Audit Values'!$A$2:$BX$410,42,FALSE))</f>
        <v>0</v>
      </c>
      <c r="AV214" s="73">
        <v>0</v>
      </c>
      <c r="AW214" s="73">
        <v>0</v>
      </c>
      <c r="AX214" s="24">
        <f>SUM(AT214*'Weighting Factors'!$R$10)+('2024 Legal Max'!AU214*'Weighting Factors'!$R$11)+('2024 Legal Max'!AV214*'Weighting Factors'!$R$12)+('2024 Legal Max'!AW214*'Weighting Factors'!$R$12)</f>
        <v>0</v>
      </c>
      <c r="AY214" s="54">
        <f>IF(ISNA(VLOOKUP($CW214,'Audit Values'!$A$2:$BX$429,2,FALSE)),"",IF(AND('Weighting Factors'!G214&gt;0,VLOOKUP($CW214,'Audit Values'!$A$2:$BX$429,51,FALSE)&lt;'Weighting Factors'!G214),'Weighting Factors'!G214,VLOOKUP($CW214,'Audit Values'!$A$2:$BX$429,51,FALSE)))</f>
        <v>17</v>
      </c>
      <c r="AZ214" s="54" t="str">
        <f>IF(ISNA(VLOOKUP($CW214,'Audit Values'!$A:$BY,2,FALSE)),"",VLOOKUP($CW214,'Audit Values'!$A:$BY,52,FALSE))</f>
        <v>A</v>
      </c>
      <c r="BA214" s="54" t="str">
        <f>IF('Weighting Factors'!F214="","",IF('Weighting Factors'!H214="Pending","PX","R"))</f>
        <v/>
      </c>
      <c r="BB214" s="60">
        <f>SUM((U214+V214+AA214+AC214+AF214+AI214+AL214+AM214+AQ214+AN214)*'Weighting Factors'!$O$5)+'2024 Legal Max'!AX214</f>
        <v>2702237</v>
      </c>
      <c r="BC214" s="24">
        <f>SUM((AR214+AN214)*'Weighting Factors'!$O$5)+AX214</f>
        <v>3071117</v>
      </c>
      <c r="BD214" s="67">
        <f>IF('Weighting Factors'!F214&gt;0,'Weighting Factors'!F214,'Preliminary SO66'!AV213)</f>
        <v>3208493</v>
      </c>
      <c r="BE214" s="24">
        <f t="shared" si="138"/>
        <v>3071117</v>
      </c>
      <c r="BF214" s="71">
        <f>'Weighting Factors'!E214</f>
        <v>0</v>
      </c>
      <c r="BG214" s="71">
        <f>Transportation!G214</f>
        <v>0</v>
      </c>
      <c r="BH214" s="24">
        <f>IF(ISNA(VLOOKUP($CW214,'Audit Values'!$A:$BW,2,FALSE)), 0, VLOOKUP($CW214,'Audit Values'!$A:$BW,75,FALSE))</f>
        <v>-34236</v>
      </c>
      <c r="BI214" s="24">
        <f t="shared" si="139"/>
        <v>-34236</v>
      </c>
      <c r="BJ214" s="24">
        <f t="shared" si="140"/>
        <v>3036881</v>
      </c>
      <c r="BK214" s="24">
        <f>SUM((U214+V214+AA214+AC214+AF214+AI214+AL214+AM214+AN214)*'Weighting Factors'!O$12)+(MAX(AO214,'Weighting Factors'!B214))</f>
        <v>3108432</v>
      </c>
      <c r="BL214" s="78">
        <f>'LOB%'!F212</f>
        <v>0.316</v>
      </c>
      <c r="BM214" s="24">
        <f t="shared" si="147"/>
        <v>982265</v>
      </c>
      <c r="BN214" s="67">
        <v>985000</v>
      </c>
      <c r="BO214" s="24">
        <f t="shared" si="141"/>
        <v>982265</v>
      </c>
      <c r="BP214" s="89">
        <f t="shared" si="148"/>
        <v>0.316</v>
      </c>
      <c r="BQ214" s="58">
        <f t="shared" si="149"/>
        <v>0</v>
      </c>
      <c r="BR214" s="1" t="b">
        <f t="shared" si="150"/>
        <v>1</v>
      </c>
      <c r="BS214" s="76">
        <f t="shared" si="151"/>
        <v>1892.38</v>
      </c>
      <c r="BT214" s="75">
        <f t="shared" si="142"/>
        <v>0.49478899999999998</v>
      </c>
      <c r="BU214" s="58">
        <f t="shared" si="152"/>
        <v>146.5</v>
      </c>
      <c r="BV214" s="1" t="b">
        <f t="shared" si="153"/>
        <v>0</v>
      </c>
      <c r="BW214" s="1">
        <f t="shared" si="154"/>
        <v>0</v>
      </c>
      <c r="BX214" s="75">
        <f t="shared" si="143"/>
        <v>0</v>
      </c>
      <c r="BY214" s="58">
        <f t="shared" si="155"/>
        <v>0</v>
      </c>
      <c r="BZ214" s="58">
        <f t="shared" si="156"/>
        <v>0</v>
      </c>
      <c r="CA214" s="61">
        <v>459.8</v>
      </c>
      <c r="CB214" s="102">
        <f t="shared" si="157"/>
        <v>0.20200000000000001</v>
      </c>
      <c r="CC214" s="105">
        <f>IF(CB214&lt;0.06,1,IF(CB214&gt;=18.29,52,MATCH(CB214-0.001,'Weighting Factors'!$W$5:$W$156)+1))</f>
        <v>15</v>
      </c>
      <c r="CD214" s="24">
        <f>VLOOKUP(CC214, 'Weighting Factors'!$U$5:$X$56,4)</f>
        <v>1290</v>
      </c>
      <c r="CE214" s="109">
        <f>('Weighting Factors'!$O$5/'Weighting Factors'!$O$14)</f>
        <v>1.2216</v>
      </c>
      <c r="CF214" s="100">
        <f t="shared" si="158"/>
        <v>119970</v>
      </c>
      <c r="CG214" s="100">
        <f>CF214*'Weighting Factors'!$Q$7</f>
        <v>119970</v>
      </c>
      <c r="CH214" s="100">
        <f t="shared" si="144"/>
        <v>146555</v>
      </c>
      <c r="CI214" s="58">
        <f>AK214/'Weighting Factors'!$O$5</f>
        <v>28.8</v>
      </c>
      <c r="CJ214" s="67">
        <v>0</v>
      </c>
      <c r="CK214" s="80">
        <v>0</v>
      </c>
      <c r="CL214" s="110">
        <v>0</v>
      </c>
      <c r="CM214" s="24">
        <f>SUM((AR214*'Weighting Factors'!$O$5)+'2024 Legal Max'!AX214)*CL214</f>
        <v>0</v>
      </c>
      <c r="CN214" s="24">
        <f t="shared" si="145"/>
        <v>0</v>
      </c>
      <c r="CO214" s="65">
        <f t="shared" si="146"/>
        <v>0.36630000000000001</v>
      </c>
      <c r="CP214" s="58">
        <f t="shared" si="159"/>
        <v>0</v>
      </c>
      <c r="CQ214" s="58">
        <f t="shared" si="160"/>
        <v>1.1000000000000001</v>
      </c>
      <c r="CR214" s="58">
        <f t="shared" si="161"/>
        <v>603.6</v>
      </c>
      <c r="CS214" s="24">
        <f>'Required Transfers'!L214</f>
        <v>79465</v>
      </c>
      <c r="CT214" s="24">
        <f>'Required Transfers'!O214</f>
        <v>6385</v>
      </c>
      <c r="CU214" s="24">
        <f>'Required Transfers'!H214</f>
        <v>263558</v>
      </c>
      <c r="CV214" s="58">
        <f t="shared" si="162"/>
        <v>265.5</v>
      </c>
      <c r="CW214" s="27" t="s">
        <v>399</v>
      </c>
    </row>
    <row r="215" spans="1:101" ht="15" customHeight="1">
      <c r="A215" s="54">
        <v>423</v>
      </c>
      <c r="B215" s="1" t="s">
        <v>91</v>
      </c>
      <c r="C215" s="1" t="s">
        <v>719</v>
      </c>
      <c r="D215" s="58">
        <v>404.5</v>
      </c>
      <c r="E215" s="58"/>
      <c r="F215" s="58">
        <v>0</v>
      </c>
      <c r="G215" s="58">
        <f t="shared" si="163"/>
        <v>404.5</v>
      </c>
      <c r="H215" s="58">
        <v>434.1</v>
      </c>
      <c r="I215" s="58"/>
      <c r="J215" s="58">
        <v>0</v>
      </c>
      <c r="K215" s="58">
        <f t="shared" si="164"/>
        <v>434.1</v>
      </c>
      <c r="L215" s="1">
        <v>450.1</v>
      </c>
      <c r="N215" s="1">
        <v>0</v>
      </c>
      <c r="O215" s="58">
        <f t="shared" si="165"/>
        <v>450.1</v>
      </c>
      <c r="P215" s="58">
        <f>IF(ISNA(VLOOKUP($CW215,'Audit Values'!$A:$BZ,2,FALSE)),'Preliminary SO66'!C214,VLOOKUP($CW215,'Audit Values'!$A:$BZ,76,FALSE))</f>
        <v>476.6</v>
      </c>
      <c r="Q215" s="58">
        <f>IF(ISNA(VLOOKUP($CW215,'Audit Values'!$A:$BZ,2,FALSE)),'Preliminary SO66'!F214,VLOOKUP($CW215,'Audit Values'!$A:$BZ,4,FALSE))</f>
        <v>0</v>
      </c>
      <c r="R215" s="58">
        <f t="shared" si="133"/>
        <v>476.6</v>
      </c>
      <c r="S215" s="58">
        <f>IF('Military Provision'!I215="YES", MAX('2024 Legal Max'!O215,'2024 Legal Max'!K215,AVERAGE('2024 Legal Max'!G215,'2024 Legal Max'!K215,'2024 Legal Max'!O215)), MAX(O215, K215))</f>
        <v>450.1</v>
      </c>
      <c r="T215" s="58">
        <f>IF(ISNA(VLOOKUP($CW215,'Audit Values'!$A:$BX,2,FALSE)),'Preliminary SO66'!AL214,VLOOKUP($CW215,'Audit Values'!$A:$BX,59,FALSE))</f>
        <v>13</v>
      </c>
      <c r="U215" s="58">
        <f t="shared" si="134"/>
        <v>463.1</v>
      </c>
      <c r="V215" s="58">
        <f>'Low-High ENRL- 2023 HSubSB 113'!N218</f>
        <v>198.6</v>
      </c>
      <c r="W215" s="58">
        <f>IF(ISNA(VLOOKUP($CW215,'Audit Values'!$A:$BZ,2,FALSE)),'Preliminary SO66'!AM214,VLOOKUP($CW215,'Audit Values'!$A:$BZ,63,FALSE))</f>
        <v>20.399999999999999</v>
      </c>
      <c r="X215" s="58">
        <f>(W215/6)*'Weighting Factors'!$O$7</f>
        <v>1.3</v>
      </c>
      <c r="Y215" s="61">
        <f>IF(ISNA(VLOOKUP($CW215,'Audit Values'!$A:$BZ,2,FALSE)),'Preliminary SO66'!AN214,VLOOKUP($CW215,'Audit Values'!$A:$BZ,62,FALSE))</f>
        <v>8</v>
      </c>
      <c r="Z215" s="58">
        <f>Y215*'Weighting Factors'!$O$8</f>
        <v>1.5</v>
      </c>
      <c r="AA215" s="58">
        <f t="shared" si="135"/>
        <v>1.5</v>
      </c>
      <c r="AB215" s="106">
        <f>IF(ISNA(VLOOKUP($CW215,'Audit Values'!$A:$BZ,2,FALSE)),'Preliminary SO66'!AO214,VLOOKUP($CW215,'Audit Values'!$A:$BZ,61,FALSE))</f>
        <v>210.4</v>
      </c>
      <c r="AC215" s="58">
        <f>AB215/6*'Weighting Factors'!$O$6</f>
        <v>17.5</v>
      </c>
      <c r="AD215" s="24">
        <f>IF(ISNA(VLOOKUP($CW215,'Audit Values'!$A:$BX,2,FALSE)),'Preliminary SO66'!AS214,VLOOKUP($CW215,'Audit Values'!$A:$BX,64,FALSE))</f>
        <v>507</v>
      </c>
      <c r="AE215" s="24">
        <f>IF(ISNA(VLOOKUP($CW215,'Audit Values'!$A:$BX,2,FALSE)),'Preliminary SO66'!AP214,VLOOKUP($CW215,'Audit Values'!$A:$BX,65,FALSE))</f>
        <v>163</v>
      </c>
      <c r="AF215" s="58">
        <f>IF(A215=207, AE215,(AE215))*'Weighting Factors'!$O$9</f>
        <v>78.900000000000006</v>
      </c>
      <c r="AG215" s="58">
        <f t="shared" si="132"/>
        <v>0</v>
      </c>
      <c r="AH215" s="58">
        <f>IF(ISNA(VLOOKUP($CW215,'Audit Values'!$A:$BZ,2,FALSE)),'Preliminary SO66'!AG214,VLOOKUP($CW215,'Audit Values'!$A:$BZ,71,FALSE))</f>
        <v>1</v>
      </c>
      <c r="AI215" s="58">
        <f t="shared" si="136"/>
        <v>1</v>
      </c>
      <c r="AJ215" s="58">
        <f>IF(ISNA(VLOOKUP($CW215,'Audit Values'!$A:$BX,2,FALSE)),'Preliminary SO66'!AR214,VLOOKUP($CW215,'Audit Values'!$A:$BX,66,FALSE))</f>
        <v>120</v>
      </c>
      <c r="AK215" s="24">
        <f t="shared" si="137"/>
        <v>148058</v>
      </c>
      <c r="AL215" s="58">
        <f>AK215/'Weighting Factors'!$O$5</f>
        <v>29.1</v>
      </c>
      <c r="AM215" s="58">
        <f>CJ215/'Weighting Factors'!$O$5</f>
        <v>0</v>
      </c>
      <c r="AN215" s="58">
        <f>CN215/'Weighting Factors'!$O$5</f>
        <v>0</v>
      </c>
      <c r="AO215" s="24">
        <v>553299</v>
      </c>
      <c r="AP215" s="58">
        <f>AO215/'Weighting Factors'!$O$5</f>
        <v>108.7</v>
      </c>
      <c r="AQ215" s="58">
        <f>IF(ISNA(VLOOKUP($CW215,'Audit Values'!$A:$BX,2,FALSE)),'Preliminary SO66'!X214,VLOOKUP($CW215,'Audit Values'!$A:$BX,48,FALSE))</f>
        <v>0</v>
      </c>
      <c r="AR215" s="58">
        <f t="shared" si="166"/>
        <v>898.4</v>
      </c>
      <c r="AS215" s="58">
        <f t="shared" si="167"/>
        <v>789.7</v>
      </c>
      <c r="AT215" s="58">
        <f>IF(ISNA(VLOOKUP($CW215,'Audit Values'!$A$2:$BX$410,2,FALSE)),'Preliminary SO66'!AA214,VLOOKUP($CW215,'Audit Values'!$A$2:$BX$410,41,FALSE))</f>
        <v>0</v>
      </c>
      <c r="AU215" s="58">
        <f>IF(ISNA(VLOOKUP($CW215,'Audit Values'!$A$2:$BX$410,2,FALSE)),'Preliminary SO66'!AB214,VLOOKUP($CW215,'Audit Values'!$A$2:$BX$410,42,FALSE))</f>
        <v>0</v>
      </c>
      <c r="AV215" s="73">
        <v>0</v>
      </c>
      <c r="AW215" s="73">
        <v>0</v>
      </c>
      <c r="AX215" s="24">
        <f>SUM(AT215*'Weighting Factors'!$R$10)+('2024 Legal Max'!AU215*'Weighting Factors'!$R$11)+('2024 Legal Max'!AV215*'Weighting Factors'!$R$12)+('2024 Legal Max'!AW215*'Weighting Factors'!$R$12)</f>
        <v>0</v>
      </c>
      <c r="AY215" s="54">
        <f>IF(ISNA(VLOOKUP($CW215,'Audit Values'!$A$2:$BX$429,2,FALSE)),"",IF(AND('Weighting Factors'!G215&gt;0,VLOOKUP($CW215,'Audit Values'!$A$2:$BX$429,51,FALSE)&lt;'Weighting Factors'!G215),'Weighting Factors'!G215,VLOOKUP($CW215,'Audit Values'!$A$2:$BX$429,51,FALSE)))</f>
        <v>25</v>
      </c>
      <c r="AZ215" s="54" t="str">
        <f>IF(ISNA(VLOOKUP($CW215,'Audit Values'!$A:$BY,2,FALSE)),"",VLOOKUP($CW215,'Audit Values'!$A:$BY,52,FALSE))</f>
        <v>A</v>
      </c>
      <c r="BA215" s="54" t="str">
        <f>IF('Weighting Factors'!F215="","",IF('Weighting Factors'!H215="Pending","PX","R"))</f>
        <v>R</v>
      </c>
      <c r="BB215" s="60">
        <f>SUM((U215+V215+AA215+AC215+AF215+AI215+AL215+AM215+AQ215+AN215)*'Weighting Factors'!$O$5)+'2024 Legal Max'!AX215</f>
        <v>4017994</v>
      </c>
      <c r="BC215" s="24">
        <f>SUM((AR215+AN215)*'Weighting Factors'!$O$5)+AX215</f>
        <v>4571059</v>
      </c>
      <c r="BD215" s="67">
        <f>IF('Weighting Factors'!F215&gt;0,'Weighting Factors'!F215,'Preliminary SO66'!AV214)</f>
        <v>4596499</v>
      </c>
      <c r="BE215" s="24">
        <f t="shared" si="138"/>
        <v>4571059</v>
      </c>
      <c r="BF215" s="71">
        <f>'Weighting Factors'!E215</f>
        <v>0</v>
      </c>
      <c r="BG215" s="71">
        <f>Transportation!G215</f>
        <v>0</v>
      </c>
      <c r="BH215" s="24">
        <f>IF(ISNA(VLOOKUP($CW215,'Audit Values'!$A:$BW,2,FALSE)), 0, VLOOKUP($CW215,'Audit Values'!$A:$BW,75,FALSE))</f>
        <v>0</v>
      </c>
      <c r="BI215" s="24">
        <f t="shared" si="139"/>
        <v>0</v>
      </c>
      <c r="BJ215" s="24">
        <f t="shared" si="140"/>
        <v>4571059</v>
      </c>
      <c r="BK215" s="24">
        <f>SUM((U215+V215+AA215+AC215+AF215+AI215+AL215+AM215+AN215)*'Weighting Factors'!O$12)+(MAX(AO215,'Weighting Factors'!B215))</f>
        <v>4626572</v>
      </c>
      <c r="BL215" s="78">
        <f>'LOB%'!F213</f>
        <v>0.33</v>
      </c>
      <c r="BM215" s="24">
        <f t="shared" si="147"/>
        <v>1526769</v>
      </c>
      <c r="BN215" s="67">
        <v>1429421</v>
      </c>
      <c r="BO215" s="24">
        <f t="shared" si="141"/>
        <v>1429421</v>
      </c>
      <c r="BP215" s="89">
        <f t="shared" si="148"/>
        <v>0.309</v>
      </c>
      <c r="BQ215" s="58">
        <f t="shared" si="149"/>
        <v>0</v>
      </c>
      <c r="BR215" s="1" t="b">
        <f t="shared" si="150"/>
        <v>0</v>
      </c>
      <c r="BS215" s="76">
        <f t="shared" si="151"/>
        <v>0</v>
      </c>
      <c r="BT215" s="75">
        <f t="shared" si="142"/>
        <v>0</v>
      </c>
      <c r="BU215" s="58">
        <f t="shared" si="152"/>
        <v>0</v>
      </c>
      <c r="BV215" s="1" t="b">
        <f t="shared" si="153"/>
        <v>1</v>
      </c>
      <c r="BW215" s="1">
        <f t="shared" si="154"/>
        <v>201.83629999999999</v>
      </c>
      <c r="BX215" s="75">
        <f t="shared" si="143"/>
        <v>0.42877300000000002</v>
      </c>
      <c r="BY215" s="58">
        <f t="shared" si="155"/>
        <v>198.6</v>
      </c>
      <c r="BZ215" s="58">
        <f t="shared" si="156"/>
        <v>0</v>
      </c>
      <c r="CA215" s="61">
        <v>156</v>
      </c>
      <c r="CB215" s="102">
        <f t="shared" si="157"/>
        <v>0.76900000000000002</v>
      </c>
      <c r="CC215" s="105">
        <f>IF(CB215&lt;0.06,1,IF(CB215&gt;=18.29,52,MATCH(CB215-0.001,'Weighting Factors'!$W$5:$W$156)+1))</f>
        <v>29</v>
      </c>
      <c r="CD215" s="24">
        <f>VLOOKUP(CC215, 'Weighting Factors'!$U$5:$X$56,4)</f>
        <v>1010</v>
      </c>
      <c r="CE215" s="109">
        <f>('Weighting Factors'!$O$5/'Weighting Factors'!$O$14)</f>
        <v>1.2216</v>
      </c>
      <c r="CF215" s="100">
        <f t="shared" si="158"/>
        <v>121200</v>
      </c>
      <c r="CG215" s="100">
        <f>CF215*'Weighting Factors'!$Q$7</f>
        <v>121200</v>
      </c>
      <c r="CH215" s="100">
        <f t="shared" si="144"/>
        <v>148058</v>
      </c>
      <c r="CI215" s="58">
        <f>AK215/'Weighting Factors'!$O$5</f>
        <v>29.1</v>
      </c>
      <c r="CJ215" s="67">
        <v>0</v>
      </c>
      <c r="CK215" s="80">
        <v>0</v>
      </c>
      <c r="CL215" s="110">
        <v>0</v>
      </c>
      <c r="CM215" s="24">
        <f>SUM((AR215*'Weighting Factors'!$O$5)+'2024 Legal Max'!AX215)*CL215</f>
        <v>0</v>
      </c>
      <c r="CN215" s="24">
        <f t="shared" si="145"/>
        <v>0</v>
      </c>
      <c r="CO215" s="65">
        <f t="shared" si="146"/>
        <v>0.32150000000000001</v>
      </c>
      <c r="CP215" s="58">
        <f t="shared" si="159"/>
        <v>0</v>
      </c>
      <c r="CQ215" s="58">
        <f t="shared" si="160"/>
        <v>0</v>
      </c>
      <c r="CR215" s="58">
        <f t="shared" si="161"/>
        <v>898.4</v>
      </c>
      <c r="CS215" s="24">
        <f>'Required Transfers'!L215</f>
        <v>127361</v>
      </c>
      <c r="CT215" s="24">
        <f>'Required Transfers'!O215</f>
        <v>2430</v>
      </c>
      <c r="CU215" s="24">
        <f>'Required Transfers'!H215</f>
        <v>406531</v>
      </c>
      <c r="CV215" s="58">
        <f t="shared" si="162"/>
        <v>489.6</v>
      </c>
      <c r="CW215" s="27" t="s">
        <v>400</v>
      </c>
    </row>
    <row r="216" spans="1:101" ht="15" customHeight="1">
      <c r="A216" s="54">
        <v>426</v>
      </c>
      <c r="B216" s="1" t="s">
        <v>98</v>
      </c>
      <c r="C216" s="1" t="s">
        <v>720</v>
      </c>
      <c r="D216" s="58">
        <v>200</v>
      </c>
      <c r="E216" s="58"/>
      <c r="F216" s="58">
        <v>0</v>
      </c>
      <c r="G216" s="58">
        <f t="shared" si="163"/>
        <v>200</v>
      </c>
      <c r="H216" s="58">
        <v>202</v>
      </c>
      <c r="I216" s="58"/>
      <c r="J216" s="58">
        <v>0</v>
      </c>
      <c r="K216" s="58">
        <f t="shared" si="164"/>
        <v>202</v>
      </c>
      <c r="L216" s="1">
        <v>202.7</v>
      </c>
      <c r="N216" s="1">
        <v>0</v>
      </c>
      <c r="O216" s="58">
        <f t="shared" si="165"/>
        <v>202.7</v>
      </c>
      <c r="P216" s="58">
        <f>IF(ISNA(VLOOKUP($CW216,'Audit Values'!$A:$BZ,2,FALSE)),'Preliminary SO66'!C215,VLOOKUP($CW216,'Audit Values'!$A:$BZ,76,FALSE))</f>
        <v>203.5</v>
      </c>
      <c r="Q216" s="58">
        <f>IF(ISNA(VLOOKUP($CW216,'Audit Values'!$A:$BZ,2,FALSE)),'Preliminary SO66'!F215,VLOOKUP($CW216,'Audit Values'!$A:$BZ,4,FALSE))</f>
        <v>0</v>
      </c>
      <c r="R216" s="58">
        <f t="shared" si="133"/>
        <v>203.5</v>
      </c>
      <c r="S216" s="58">
        <f>IF('Military Provision'!I216="YES", MAX('2024 Legal Max'!O216,'2024 Legal Max'!K216,AVERAGE('2024 Legal Max'!G216,'2024 Legal Max'!K216,'2024 Legal Max'!O216)), MAX(O216, K216))</f>
        <v>202.7</v>
      </c>
      <c r="T216" s="58">
        <f>IF(ISNA(VLOOKUP($CW216,'Audit Values'!$A:$BX,2,FALSE)),'Preliminary SO66'!AL215,VLOOKUP($CW216,'Audit Values'!$A:$BX,59,FALSE))</f>
        <v>5.5</v>
      </c>
      <c r="U216" s="58">
        <f t="shared" si="134"/>
        <v>208.2</v>
      </c>
      <c r="V216" s="58">
        <f>'Low-High ENRL- 2023 HSubSB 113'!N219</f>
        <v>151.5</v>
      </c>
      <c r="W216" s="58">
        <f>IF(ISNA(VLOOKUP($CW216,'Audit Values'!$A:$BZ,2,FALSE)),'Preliminary SO66'!AM215,VLOOKUP($CW216,'Audit Values'!$A:$BZ,63,FALSE))</f>
        <v>0</v>
      </c>
      <c r="X216" s="58">
        <f>(W216/6)*'Weighting Factors'!$O$7</f>
        <v>0</v>
      </c>
      <c r="Y216" s="61">
        <f>IF(ISNA(VLOOKUP($CW216,'Audit Values'!$A:$BZ,2,FALSE)),'Preliminary SO66'!AN215,VLOOKUP($CW216,'Audit Values'!$A:$BZ,62,FALSE))</f>
        <v>0</v>
      </c>
      <c r="Z216" s="58">
        <f>Y216*'Weighting Factors'!$O$8</f>
        <v>0</v>
      </c>
      <c r="AA216" s="58">
        <f t="shared" si="135"/>
        <v>0</v>
      </c>
      <c r="AB216" s="106">
        <f>IF(ISNA(VLOOKUP($CW216,'Audit Values'!$A:$BZ,2,FALSE)),'Preliminary SO66'!AO215,VLOOKUP($CW216,'Audit Values'!$A:$BZ,61,FALSE))</f>
        <v>69.599999999999994</v>
      </c>
      <c r="AC216" s="58">
        <f>AB216/6*'Weighting Factors'!$O$6</f>
        <v>5.8</v>
      </c>
      <c r="AD216" s="24">
        <f>IF(ISNA(VLOOKUP($CW216,'Audit Values'!$A:$BX,2,FALSE)),'Preliminary SO66'!AS215,VLOOKUP($CW216,'Audit Values'!$A:$BX,64,FALSE))</f>
        <v>217</v>
      </c>
      <c r="AE216" s="24">
        <f>IF(ISNA(VLOOKUP($CW216,'Audit Values'!$A:$BX,2,FALSE)),'Preliminary SO66'!AP215,VLOOKUP($CW216,'Audit Values'!$A:$BX,65,FALSE))</f>
        <v>58</v>
      </c>
      <c r="AF216" s="58">
        <f>IF(A216=207, AE216,(AE216))*'Weighting Factors'!$O$9</f>
        <v>28.1</v>
      </c>
      <c r="AG216" s="58">
        <f t="shared" ref="AG216:AG279" si="168">MAX(CP216,CQ216)</f>
        <v>0</v>
      </c>
      <c r="AH216" s="58">
        <f>IF(ISNA(VLOOKUP($CW216,'Audit Values'!$A:$BZ,2,FALSE)),'Preliminary SO66'!AG215,VLOOKUP($CW216,'Audit Values'!$A:$BZ,71,FALSE))</f>
        <v>0</v>
      </c>
      <c r="AI216" s="58">
        <f t="shared" si="136"/>
        <v>0</v>
      </c>
      <c r="AJ216" s="58">
        <f>IF(ISNA(VLOOKUP($CW216,'Audit Values'!$A:$BX,2,FALSE)),'Preliminary SO66'!AR215,VLOOKUP($CW216,'Audit Values'!$A:$BX,66,FALSE))</f>
        <v>100</v>
      </c>
      <c r="AK216" s="24">
        <f t="shared" si="137"/>
        <v>133154</v>
      </c>
      <c r="AL216" s="58">
        <f>AK216/'Weighting Factors'!$O$5</f>
        <v>26.2</v>
      </c>
      <c r="AM216" s="58">
        <f>CJ216/'Weighting Factors'!$O$5</f>
        <v>0</v>
      </c>
      <c r="AN216" s="58">
        <f>CN216/'Weighting Factors'!$O$5</f>
        <v>0</v>
      </c>
      <c r="AO216" s="24">
        <v>205115</v>
      </c>
      <c r="AP216" s="58">
        <f>AO216/'Weighting Factors'!$O$5</f>
        <v>40.299999999999997</v>
      </c>
      <c r="AQ216" s="58">
        <f>IF(ISNA(VLOOKUP($CW216,'Audit Values'!$A:$BX,2,FALSE)),'Preliminary SO66'!X215,VLOOKUP($CW216,'Audit Values'!$A:$BX,48,FALSE))</f>
        <v>0</v>
      </c>
      <c r="AR216" s="58">
        <f t="shared" si="166"/>
        <v>460.1</v>
      </c>
      <c r="AS216" s="58">
        <f t="shared" si="167"/>
        <v>419.8</v>
      </c>
      <c r="AT216" s="58">
        <f>IF(ISNA(VLOOKUP($CW216,'Audit Values'!$A$2:$BX$410,2,FALSE)),'Preliminary SO66'!AA215,VLOOKUP($CW216,'Audit Values'!$A$2:$BX$410,41,FALSE))</f>
        <v>0</v>
      </c>
      <c r="AU216" s="58">
        <f>IF(ISNA(VLOOKUP($CW216,'Audit Values'!$A$2:$BX$410,2,FALSE)),'Preliminary SO66'!AB215,VLOOKUP($CW216,'Audit Values'!$A$2:$BX$410,42,FALSE))</f>
        <v>0</v>
      </c>
      <c r="AV216" s="73">
        <v>0</v>
      </c>
      <c r="AW216" s="73">
        <v>0</v>
      </c>
      <c r="AX216" s="24">
        <f>SUM(AT216*'Weighting Factors'!$R$10)+('2024 Legal Max'!AU216*'Weighting Factors'!$R$11)+('2024 Legal Max'!AV216*'Weighting Factors'!$R$12)+('2024 Legal Max'!AW216*'Weighting Factors'!$R$12)</f>
        <v>0</v>
      </c>
      <c r="AY216" s="54">
        <f>IF(ISNA(VLOOKUP($CW216,'Audit Values'!$A$2:$BX$429,2,FALSE)),"",IF(AND('Weighting Factors'!G216&gt;0,VLOOKUP($CW216,'Audit Values'!$A$2:$BX$429,51,FALSE)&lt;'Weighting Factors'!G216),'Weighting Factors'!G216,VLOOKUP($CW216,'Audit Values'!$A$2:$BX$429,51,FALSE)))</f>
        <v>16</v>
      </c>
      <c r="AZ216" s="54" t="str">
        <f>IF(ISNA(VLOOKUP($CW216,'Audit Values'!$A:$BY,2,FALSE)),"",VLOOKUP($CW216,'Audit Values'!$A:$BY,52,FALSE))</f>
        <v>A</v>
      </c>
      <c r="BA216" s="54" t="str">
        <f>IF('Weighting Factors'!F216="","",IF('Weighting Factors'!H216="Pending","PX","R"))</f>
        <v/>
      </c>
      <c r="BB216" s="60">
        <f>SUM((U216+V216+AA216+AC216+AF216+AI216+AL216+AM216+AQ216+AN216)*'Weighting Factors'!$O$5)+'2024 Legal Max'!AX216</f>
        <v>2135942</v>
      </c>
      <c r="BC216" s="24">
        <f>SUM((AR216+AN216)*'Weighting Factors'!$O$5)+AX216</f>
        <v>2340989</v>
      </c>
      <c r="BD216" s="67">
        <f>IF('Weighting Factors'!F216&gt;0,'Weighting Factors'!F216,'Preliminary SO66'!AV215)</f>
        <v>2398483</v>
      </c>
      <c r="BE216" s="24">
        <f t="shared" si="138"/>
        <v>2340989</v>
      </c>
      <c r="BF216" s="71">
        <f>'Weighting Factors'!E216</f>
        <v>0</v>
      </c>
      <c r="BG216" s="71">
        <f>Transportation!G216</f>
        <v>0</v>
      </c>
      <c r="BH216" s="24">
        <f>IF(ISNA(VLOOKUP($CW216,'Audit Values'!$A:$BW,2,FALSE)), 0, VLOOKUP($CW216,'Audit Values'!$A:$BW,75,FALSE))</f>
        <v>0</v>
      </c>
      <c r="BI216" s="24">
        <f t="shared" si="139"/>
        <v>0</v>
      </c>
      <c r="BJ216" s="24">
        <f t="shared" si="140"/>
        <v>2340989</v>
      </c>
      <c r="BK216" s="24">
        <f>SUM((U216+V216+AA216+AC216+AF216+AI216+AL216+AM216+AN216)*'Weighting Factors'!O$12)+(MAX(AO216,'Weighting Factors'!B216))</f>
        <v>2456686</v>
      </c>
      <c r="BL216" s="78">
        <f>'LOB%'!F214</f>
        <v>0.316</v>
      </c>
      <c r="BM216" s="24">
        <f t="shared" si="147"/>
        <v>776313</v>
      </c>
      <c r="BN216" s="67">
        <v>660000</v>
      </c>
      <c r="BO216" s="24">
        <f t="shared" si="141"/>
        <v>660000</v>
      </c>
      <c r="BP216" s="89">
        <f t="shared" si="148"/>
        <v>0.26869999999999999</v>
      </c>
      <c r="BQ216" s="58">
        <f t="shared" si="149"/>
        <v>0</v>
      </c>
      <c r="BR216" s="1" t="b">
        <f t="shared" si="150"/>
        <v>1</v>
      </c>
      <c r="BS216" s="76">
        <f t="shared" si="151"/>
        <v>1044.671</v>
      </c>
      <c r="BT216" s="75">
        <f t="shared" si="142"/>
        <v>0.72752300000000003</v>
      </c>
      <c r="BU216" s="58">
        <f t="shared" si="152"/>
        <v>151.5</v>
      </c>
      <c r="BV216" s="1" t="b">
        <f t="shared" si="153"/>
        <v>0</v>
      </c>
      <c r="BW216" s="1">
        <f t="shared" si="154"/>
        <v>0</v>
      </c>
      <c r="BX216" s="75">
        <f t="shared" si="143"/>
        <v>0</v>
      </c>
      <c r="BY216" s="58">
        <f t="shared" si="155"/>
        <v>0</v>
      </c>
      <c r="BZ216" s="58">
        <f t="shared" si="156"/>
        <v>0</v>
      </c>
      <c r="CA216" s="61">
        <v>194.8</v>
      </c>
      <c r="CB216" s="102">
        <f t="shared" si="157"/>
        <v>0.51300000000000001</v>
      </c>
      <c r="CC216" s="105">
        <f>IF(CB216&lt;0.06,1,IF(CB216&gt;=18.29,52,MATCH(CB216-0.001,'Weighting Factors'!$W$5:$W$156)+1))</f>
        <v>25</v>
      </c>
      <c r="CD216" s="24">
        <f>VLOOKUP(CC216, 'Weighting Factors'!$U$5:$X$56,4)</f>
        <v>1090</v>
      </c>
      <c r="CE216" s="109">
        <f>('Weighting Factors'!$O$5/'Weighting Factors'!$O$14)</f>
        <v>1.2216</v>
      </c>
      <c r="CF216" s="100">
        <f t="shared" si="158"/>
        <v>109000</v>
      </c>
      <c r="CG216" s="100">
        <f>CF216*'Weighting Factors'!$Q$7</f>
        <v>109000</v>
      </c>
      <c r="CH216" s="100">
        <f t="shared" si="144"/>
        <v>133154</v>
      </c>
      <c r="CI216" s="58">
        <f>AK216/'Weighting Factors'!$O$5</f>
        <v>26.2</v>
      </c>
      <c r="CJ216" s="67">
        <v>0</v>
      </c>
      <c r="CK216" s="80">
        <v>0</v>
      </c>
      <c r="CL216" s="110">
        <v>0</v>
      </c>
      <c r="CM216" s="24">
        <f>SUM((AR216*'Weighting Factors'!$O$5)+'2024 Legal Max'!AX216)*CL216</f>
        <v>0</v>
      </c>
      <c r="CN216" s="24">
        <f t="shared" si="145"/>
        <v>0</v>
      </c>
      <c r="CO216" s="65">
        <f t="shared" si="146"/>
        <v>0.26729999999999998</v>
      </c>
      <c r="CP216" s="58">
        <f t="shared" si="159"/>
        <v>0</v>
      </c>
      <c r="CQ216" s="58">
        <f t="shared" si="160"/>
        <v>0</v>
      </c>
      <c r="CR216" s="58">
        <f t="shared" si="161"/>
        <v>460.1</v>
      </c>
      <c r="CS216" s="24">
        <f>'Required Transfers'!L216</f>
        <v>40788</v>
      </c>
      <c r="CT216" s="24">
        <f>'Required Transfers'!O216</f>
        <v>0</v>
      </c>
      <c r="CU216" s="24">
        <f>'Required Transfers'!H216</f>
        <v>142973</v>
      </c>
      <c r="CV216" s="58">
        <f t="shared" si="162"/>
        <v>209</v>
      </c>
      <c r="CW216" s="27" t="s">
        <v>401</v>
      </c>
    </row>
    <row r="217" spans="1:101" ht="15" customHeight="1">
      <c r="A217" s="54">
        <v>428</v>
      </c>
      <c r="B217" s="1" t="s">
        <v>67</v>
      </c>
      <c r="C217" s="1" t="s">
        <v>721</v>
      </c>
      <c r="D217" s="58">
        <v>2804.9</v>
      </c>
      <c r="E217" s="58">
        <v>1</v>
      </c>
      <c r="F217" s="58">
        <v>0</v>
      </c>
      <c r="G217" s="58">
        <f t="shared" si="163"/>
        <v>2803.9</v>
      </c>
      <c r="H217" s="58">
        <v>2733.1</v>
      </c>
      <c r="I217" s="58">
        <v>8</v>
      </c>
      <c r="J217" s="58">
        <v>0</v>
      </c>
      <c r="K217" s="58">
        <f t="shared" si="164"/>
        <v>2725.1</v>
      </c>
      <c r="L217" s="1">
        <v>2770.2</v>
      </c>
      <c r="N217" s="1">
        <v>0</v>
      </c>
      <c r="O217" s="58">
        <f t="shared" si="165"/>
        <v>2770.2</v>
      </c>
      <c r="P217" s="58">
        <f>IF(ISNA(VLOOKUP($CW217,'Audit Values'!$A:$BZ,2,FALSE)),'Preliminary SO66'!C216,VLOOKUP($CW217,'Audit Values'!$A:$BZ,76,FALSE))</f>
        <v>2777.9</v>
      </c>
      <c r="Q217" s="58">
        <f>IF(ISNA(VLOOKUP($CW217,'Audit Values'!$A:$BZ,2,FALSE)),'Preliminary SO66'!F216,VLOOKUP($CW217,'Audit Values'!$A:$BZ,4,FALSE))</f>
        <v>0</v>
      </c>
      <c r="R217" s="58">
        <f t="shared" si="133"/>
        <v>2777.9</v>
      </c>
      <c r="S217" s="58">
        <f>IF('Military Provision'!I217="YES", MAX('2024 Legal Max'!O217,'2024 Legal Max'!K217,AVERAGE('2024 Legal Max'!G217,'2024 Legal Max'!K217,'2024 Legal Max'!O217)), MAX(O217, K217))</f>
        <v>2770.2</v>
      </c>
      <c r="T217" s="58">
        <f>IF(ISNA(VLOOKUP($CW217,'Audit Values'!$A:$BX,2,FALSE)),'Preliminary SO66'!AL216,VLOOKUP($CW217,'Audit Values'!$A:$BX,59,FALSE))</f>
        <v>49.5</v>
      </c>
      <c r="U217" s="58">
        <f t="shared" si="134"/>
        <v>2819.7</v>
      </c>
      <c r="V217" s="58">
        <f>'Low-High ENRL- 2023 HSubSB 113'!N220</f>
        <v>98.8</v>
      </c>
      <c r="W217" s="58">
        <f>IF(ISNA(VLOOKUP($CW217,'Audit Values'!$A:$BZ,2,FALSE)),'Preliminary SO66'!AM216,VLOOKUP($CW217,'Audit Values'!$A:$BZ,63,FALSE))</f>
        <v>1499.4</v>
      </c>
      <c r="X217" s="58">
        <f>(W217/6)*'Weighting Factors'!$O$7</f>
        <v>98.7</v>
      </c>
      <c r="Y217" s="61">
        <f>IF(ISNA(VLOOKUP($CW217,'Audit Values'!$A:$BZ,2,FALSE)),'Preliminary SO66'!AN216,VLOOKUP($CW217,'Audit Values'!$A:$BZ,62,FALSE))</f>
        <v>488</v>
      </c>
      <c r="Z217" s="58">
        <f>Y217*'Weighting Factors'!$O$8</f>
        <v>90.3</v>
      </c>
      <c r="AA217" s="58">
        <f t="shared" si="135"/>
        <v>98.7</v>
      </c>
      <c r="AB217" s="106">
        <f>IF(ISNA(VLOOKUP($CW217,'Audit Values'!$A:$BZ,2,FALSE)),'Preliminary SO66'!AO216,VLOOKUP($CW217,'Audit Values'!$A:$BZ,61,FALSE))</f>
        <v>590.5</v>
      </c>
      <c r="AC217" s="58">
        <f>AB217/6*'Weighting Factors'!$O$6</f>
        <v>49.2</v>
      </c>
      <c r="AD217" s="24">
        <f>IF(ISNA(VLOOKUP($CW217,'Audit Values'!$A:$BX,2,FALSE)),'Preliminary SO66'!AS216,VLOOKUP($CW217,'Audit Values'!$A:$BX,64,FALSE))</f>
        <v>2902</v>
      </c>
      <c r="AE217" s="24">
        <f>IF(ISNA(VLOOKUP($CW217,'Audit Values'!$A:$BX,2,FALSE)),'Preliminary SO66'!AP216,VLOOKUP($CW217,'Audit Values'!$A:$BX,65,FALSE))</f>
        <v>1725</v>
      </c>
      <c r="AF217" s="58">
        <f>IF(A217=207, AE217,(AE217))*'Weighting Factors'!$O$9</f>
        <v>834.9</v>
      </c>
      <c r="AG217" s="58">
        <f t="shared" si="168"/>
        <v>181.1</v>
      </c>
      <c r="AH217" s="58">
        <f>IF(ISNA(VLOOKUP($CW217,'Audit Values'!$A:$BZ,2,FALSE)),'Preliminary SO66'!AG216,VLOOKUP($CW217,'Audit Values'!$A:$BZ,71,FALSE))</f>
        <v>173.3</v>
      </c>
      <c r="AI217" s="58">
        <f t="shared" si="136"/>
        <v>181.1</v>
      </c>
      <c r="AJ217" s="58">
        <f>IF(ISNA(VLOOKUP($CW217,'Audit Values'!$A:$BX,2,FALSE)),'Preliminary SO66'!AR216,VLOOKUP($CW217,'Audit Values'!$A:$BX,66,FALSE))</f>
        <v>170</v>
      </c>
      <c r="AK217" s="24">
        <f t="shared" si="137"/>
        <v>201442</v>
      </c>
      <c r="AL217" s="58">
        <f>AK217/'Weighting Factors'!$O$5</f>
        <v>39.6</v>
      </c>
      <c r="AM217" s="58">
        <f>CJ217/'Weighting Factors'!$O$5</f>
        <v>0</v>
      </c>
      <c r="AN217" s="58">
        <f>CN217/'Weighting Factors'!$O$5</f>
        <v>0</v>
      </c>
      <c r="AO217" s="24">
        <v>2419850</v>
      </c>
      <c r="AP217" s="58">
        <f>AO217/'Weighting Factors'!$O$5</f>
        <v>475.6</v>
      </c>
      <c r="AQ217" s="58">
        <f>IF(ISNA(VLOOKUP($CW217,'Audit Values'!$A:$BX,2,FALSE)),'Preliminary SO66'!X216,VLOOKUP($CW217,'Audit Values'!$A:$BX,48,FALSE))</f>
        <v>0</v>
      </c>
      <c r="AR217" s="58">
        <f t="shared" si="166"/>
        <v>4597.6000000000004</v>
      </c>
      <c r="AS217" s="58">
        <f t="shared" si="167"/>
        <v>4122</v>
      </c>
      <c r="AT217" s="58">
        <f>IF(ISNA(VLOOKUP($CW217,'Audit Values'!$A$2:$BX$410,2,FALSE)),'Preliminary SO66'!AA216,VLOOKUP($CW217,'Audit Values'!$A$2:$BX$410,41,FALSE))</f>
        <v>11</v>
      </c>
      <c r="AU217" s="58">
        <f>IF(ISNA(VLOOKUP($CW217,'Audit Values'!$A$2:$BX$410,2,FALSE)),'Preliminary SO66'!AB216,VLOOKUP($CW217,'Audit Values'!$A$2:$BX$410,42,FALSE))</f>
        <v>0.8</v>
      </c>
      <c r="AV217" s="73">
        <v>0</v>
      </c>
      <c r="AW217" s="73">
        <v>52</v>
      </c>
      <c r="AX217" s="24">
        <f>SUM(AT217*'Weighting Factors'!$R$10)+('2024 Legal Max'!AU217*'Weighting Factors'!$R$11)+('2024 Legal Max'!AV217*'Weighting Factors'!$R$12)+('2024 Legal Max'!AW217*'Weighting Factors'!$R$12)</f>
        <v>100708</v>
      </c>
      <c r="AY217" s="54">
        <f>IF(ISNA(VLOOKUP($CW217,'Audit Values'!$A$2:$BX$429,2,FALSE)),"",IF(AND('Weighting Factors'!G217&gt;0,VLOOKUP($CW217,'Audit Values'!$A$2:$BX$429,51,FALSE)&lt;'Weighting Factors'!G217),'Weighting Factors'!G217,VLOOKUP($CW217,'Audit Values'!$A$2:$BX$429,51,FALSE)))</f>
        <v>17</v>
      </c>
      <c r="AZ217" s="54" t="str">
        <f>IF(ISNA(VLOOKUP($CW217,'Audit Values'!$A:$BY,2,FALSE)),"",VLOOKUP($CW217,'Audit Values'!$A:$BY,52,FALSE))</f>
        <v>A</v>
      </c>
      <c r="BA217" s="54" t="str">
        <f>IF('Weighting Factors'!F217="","",IF('Weighting Factors'!H217="Pending","PX","R"))</f>
        <v/>
      </c>
      <c r="BB217" s="60">
        <f>SUM((U217+V217+AA217+AC217+AF217+AI217+AL217+AM217+AQ217+AN217)*'Weighting Factors'!$O$5)+'2024 Legal Max'!AX217</f>
        <v>21073444</v>
      </c>
      <c r="BC217" s="24">
        <f>SUM((AR217+AN217)*'Weighting Factors'!$O$5)+AX217</f>
        <v>23493297</v>
      </c>
      <c r="BD217" s="67">
        <f>IF('Weighting Factors'!F217&gt;0,'Weighting Factors'!F217,'Preliminary SO66'!AV216)</f>
        <v>23675267</v>
      </c>
      <c r="BE217" s="24">
        <f t="shared" si="138"/>
        <v>23493297</v>
      </c>
      <c r="BF217" s="71">
        <f>'Weighting Factors'!E217</f>
        <v>0</v>
      </c>
      <c r="BG217" s="71">
        <f>Transportation!G217</f>
        <v>-77509</v>
      </c>
      <c r="BH217" s="24">
        <f>IF(ISNA(VLOOKUP($CW217,'Audit Values'!$A:$BW,2,FALSE)), 0, VLOOKUP($CW217,'Audit Values'!$A:$BW,75,FALSE))</f>
        <v>0</v>
      </c>
      <c r="BI217" s="24">
        <f t="shared" si="139"/>
        <v>-77509</v>
      </c>
      <c r="BJ217" s="24">
        <f t="shared" si="140"/>
        <v>23415788</v>
      </c>
      <c r="BK217" s="24">
        <f>SUM((U217+V217+AA217+AC217+AF217+AI217+AL217+AM217+AN217)*'Weighting Factors'!O$12)+(MAX(AO217,'Weighting Factors'!B217))</f>
        <v>23681126</v>
      </c>
      <c r="BL217" s="78">
        <f>'LOB%'!F215</f>
        <v>0.316</v>
      </c>
      <c r="BM217" s="24">
        <f t="shared" si="147"/>
        <v>7483236</v>
      </c>
      <c r="BN217" s="67">
        <v>7550234</v>
      </c>
      <c r="BO217" s="24">
        <f t="shared" si="141"/>
        <v>7483236</v>
      </c>
      <c r="BP217" s="89">
        <f t="shared" si="148"/>
        <v>0.316</v>
      </c>
      <c r="BQ217" s="58">
        <f t="shared" si="149"/>
        <v>0</v>
      </c>
      <c r="BR217" s="1" t="b">
        <f t="shared" si="150"/>
        <v>0</v>
      </c>
      <c r="BS217" s="76">
        <f t="shared" si="151"/>
        <v>0</v>
      </c>
      <c r="BT217" s="75">
        <f t="shared" si="142"/>
        <v>0</v>
      </c>
      <c r="BU217" s="58">
        <f t="shared" si="152"/>
        <v>0</v>
      </c>
      <c r="BV217" s="1" t="b">
        <f t="shared" si="153"/>
        <v>0</v>
      </c>
      <c r="BW217" s="1">
        <f t="shared" si="154"/>
        <v>0</v>
      </c>
      <c r="BX217" s="75">
        <f t="shared" si="143"/>
        <v>0</v>
      </c>
      <c r="BY217" s="58">
        <f t="shared" si="155"/>
        <v>0</v>
      </c>
      <c r="BZ217" s="58">
        <f t="shared" si="156"/>
        <v>98.8</v>
      </c>
      <c r="CA217" s="61">
        <v>190</v>
      </c>
      <c r="CB217" s="102">
        <f t="shared" si="157"/>
        <v>0.89500000000000002</v>
      </c>
      <c r="CC217" s="105">
        <f>IF(CB217&lt;0.06,1,IF(CB217&gt;=18.29,52,MATCH(CB217-0.001,'Weighting Factors'!$W$5:$W$156)+1))</f>
        <v>31</v>
      </c>
      <c r="CD217" s="24">
        <f>VLOOKUP(CC217, 'Weighting Factors'!$U$5:$X$56,4)</f>
        <v>970</v>
      </c>
      <c r="CE217" s="109">
        <f>('Weighting Factors'!$O$5/'Weighting Factors'!$O$14)</f>
        <v>1.2216</v>
      </c>
      <c r="CF217" s="100">
        <f t="shared" si="158"/>
        <v>164900</v>
      </c>
      <c r="CG217" s="100">
        <f>CF217*'Weighting Factors'!$Q$7</f>
        <v>164900</v>
      </c>
      <c r="CH217" s="100">
        <f t="shared" si="144"/>
        <v>201442</v>
      </c>
      <c r="CI217" s="58">
        <f>AK217/'Weighting Factors'!$O$5</f>
        <v>39.6</v>
      </c>
      <c r="CJ217" s="67">
        <v>0</v>
      </c>
      <c r="CK217" s="80">
        <v>0</v>
      </c>
      <c r="CL217" s="110">
        <v>0</v>
      </c>
      <c r="CM217" s="24">
        <f>SUM((AR217*'Weighting Factors'!$O$5)+'2024 Legal Max'!AX217)*CL217</f>
        <v>0</v>
      </c>
      <c r="CN217" s="24">
        <f t="shared" si="145"/>
        <v>0</v>
      </c>
      <c r="CO217" s="65">
        <f t="shared" si="146"/>
        <v>0.59440000000000004</v>
      </c>
      <c r="CP217" s="58">
        <f t="shared" si="159"/>
        <v>181.1</v>
      </c>
      <c r="CQ217" s="58">
        <f t="shared" si="160"/>
        <v>0</v>
      </c>
      <c r="CR217" s="58">
        <f t="shared" si="161"/>
        <v>4597.6000000000004</v>
      </c>
      <c r="CS217" s="24">
        <f>'Required Transfers'!L217</f>
        <v>1373922</v>
      </c>
      <c r="CT217" s="24">
        <f>'Required Transfers'!O217</f>
        <v>162386</v>
      </c>
      <c r="CU217" s="24">
        <f>'Required Transfers'!H217</f>
        <v>5169408</v>
      </c>
      <c r="CV217" s="58">
        <f t="shared" si="162"/>
        <v>2847.9</v>
      </c>
      <c r="CW217" s="27" t="s">
        <v>402</v>
      </c>
    </row>
    <row r="218" spans="1:101" ht="15" customHeight="1">
      <c r="A218" s="54">
        <v>429</v>
      </c>
      <c r="B218" s="1" t="s">
        <v>92</v>
      </c>
      <c r="C218" s="1" t="s">
        <v>722</v>
      </c>
      <c r="D218" s="58">
        <v>309.7</v>
      </c>
      <c r="E218" s="58"/>
      <c r="F218" s="58">
        <v>0</v>
      </c>
      <c r="G218" s="58">
        <f t="shared" si="163"/>
        <v>309.7</v>
      </c>
      <c r="H218" s="58">
        <v>317.7</v>
      </c>
      <c r="I218" s="58"/>
      <c r="J218" s="58">
        <v>0</v>
      </c>
      <c r="K218" s="58">
        <f t="shared" si="164"/>
        <v>317.7</v>
      </c>
      <c r="L218" s="1">
        <v>300.60000000000002</v>
      </c>
      <c r="N218" s="1">
        <v>0</v>
      </c>
      <c r="O218" s="58">
        <f t="shared" si="165"/>
        <v>300.60000000000002</v>
      </c>
      <c r="P218" s="58">
        <f>IF(ISNA(VLOOKUP($CW218,'Audit Values'!$A:$BZ,2,FALSE)),'Preliminary SO66'!C217,VLOOKUP($CW218,'Audit Values'!$A:$BZ,76,FALSE))</f>
        <v>295.5</v>
      </c>
      <c r="Q218" s="58">
        <f>IF(ISNA(VLOOKUP($CW218,'Audit Values'!$A:$BZ,2,FALSE)),'Preliminary SO66'!F217,VLOOKUP($CW218,'Audit Values'!$A:$BZ,4,FALSE))</f>
        <v>0</v>
      </c>
      <c r="R218" s="58">
        <f t="shared" si="133"/>
        <v>295.5</v>
      </c>
      <c r="S218" s="58">
        <f>IF('Military Provision'!I218="YES", MAX('2024 Legal Max'!O218,'2024 Legal Max'!K218,AVERAGE('2024 Legal Max'!G218,'2024 Legal Max'!K218,'2024 Legal Max'!O218)), MAX(O218, K218))</f>
        <v>317.7</v>
      </c>
      <c r="T218" s="58">
        <f>IF(ISNA(VLOOKUP($CW218,'Audit Values'!$A:$BX,2,FALSE)),'Preliminary SO66'!AL217,VLOOKUP($CW218,'Audit Values'!$A:$BX,59,FALSE))</f>
        <v>1.5</v>
      </c>
      <c r="U218" s="58">
        <f t="shared" si="134"/>
        <v>319.2</v>
      </c>
      <c r="V218" s="58">
        <f>'Low-High ENRL- 2023 HSubSB 113'!N221</f>
        <v>152.5</v>
      </c>
      <c r="W218" s="58">
        <f>IF(ISNA(VLOOKUP($CW218,'Audit Values'!$A:$BZ,2,FALSE)),'Preliminary SO66'!AM217,VLOOKUP($CW218,'Audit Values'!$A:$BZ,63,FALSE))</f>
        <v>0</v>
      </c>
      <c r="X218" s="58">
        <f>(W218/6)*'Weighting Factors'!$O$7</f>
        <v>0</v>
      </c>
      <c r="Y218" s="61">
        <f>IF(ISNA(VLOOKUP($CW218,'Audit Values'!$A:$BZ,2,FALSE)),'Preliminary SO66'!AN217,VLOOKUP($CW218,'Audit Values'!$A:$BZ,62,FALSE))</f>
        <v>0</v>
      </c>
      <c r="Z218" s="58">
        <f>Y218*'Weighting Factors'!$O$8</f>
        <v>0</v>
      </c>
      <c r="AA218" s="58">
        <f t="shared" si="135"/>
        <v>0</v>
      </c>
      <c r="AB218" s="106">
        <f>IF(ISNA(VLOOKUP($CW218,'Audit Values'!$A:$BZ,2,FALSE)),'Preliminary SO66'!AO217,VLOOKUP($CW218,'Audit Values'!$A:$BZ,61,FALSE))</f>
        <v>105.2</v>
      </c>
      <c r="AC218" s="58">
        <f>AB218/6*'Weighting Factors'!$O$6</f>
        <v>8.8000000000000007</v>
      </c>
      <c r="AD218" s="24">
        <f>IF(ISNA(VLOOKUP($CW218,'Audit Values'!$A:$BX,2,FALSE)),'Preliminary SO66'!AS217,VLOOKUP($CW218,'Audit Values'!$A:$BX,64,FALSE))</f>
        <v>302</v>
      </c>
      <c r="AE218" s="24">
        <f>IF(ISNA(VLOOKUP($CW218,'Audit Values'!$A:$BX,2,FALSE)),'Preliminary SO66'!AP217,VLOOKUP($CW218,'Audit Values'!$A:$BX,65,FALSE))</f>
        <v>71</v>
      </c>
      <c r="AF218" s="58">
        <f>IF(A218=207, AE218,(AE218))*'Weighting Factors'!$O$9</f>
        <v>34.4</v>
      </c>
      <c r="AG218" s="58">
        <f t="shared" si="168"/>
        <v>0</v>
      </c>
      <c r="AH218" s="58">
        <f>IF(ISNA(VLOOKUP($CW218,'Audit Values'!$A:$BZ,2,FALSE)),'Preliminary SO66'!AG217,VLOOKUP($CW218,'Audit Values'!$A:$BZ,71,FALSE))</f>
        <v>0</v>
      </c>
      <c r="AI218" s="58">
        <f t="shared" si="136"/>
        <v>0</v>
      </c>
      <c r="AJ218" s="58">
        <f>IF(ISNA(VLOOKUP($CW218,'Audit Values'!$A:$BX,2,FALSE)),'Preliminary SO66'!AR217,VLOOKUP($CW218,'Audit Values'!$A:$BX,66,FALSE))</f>
        <v>52</v>
      </c>
      <c r="AK218" s="24">
        <f t="shared" si="137"/>
        <v>67970</v>
      </c>
      <c r="AL218" s="58">
        <f>AK218/'Weighting Factors'!$O$5</f>
        <v>13.4</v>
      </c>
      <c r="AM218" s="58">
        <f>CJ218/'Weighting Factors'!$O$5</f>
        <v>0</v>
      </c>
      <c r="AN218" s="58">
        <f>CN218/'Weighting Factors'!$O$5</f>
        <v>0</v>
      </c>
      <c r="AO218" s="24">
        <v>369467</v>
      </c>
      <c r="AP218" s="58">
        <f>AO218/'Weighting Factors'!$O$5</f>
        <v>72.599999999999994</v>
      </c>
      <c r="AQ218" s="58">
        <f>IF(ISNA(VLOOKUP($CW218,'Audit Values'!$A:$BX,2,FALSE)),'Preliminary SO66'!X217,VLOOKUP($CW218,'Audit Values'!$A:$BX,48,FALSE))</f>
        <v>0</v>
      </c>
      <c r="AR218" s="58">
        <f t="shared" si="166"/>
        <v>600.9</v>
      </c>
      <c r="AS218" s="58">
        <f t="shared" si="167"/>
        <v>528.29999999999995</v>
      </c>
      <c r="AT218" s="58">
        <f>IF(ISNA(VLOOKUP($CW218,'Audit Values'!$A$2:$BX$410,2,FALSE)),'Preliminary SO66'!AA217,VLOOKUP($CW218,'Audit Values'!$A$2:$BX$410,41,FALSE))</f>
        <v>0</v>
      </c>
      <c r="AU218" s="58">
        <f>IF(ISNA(VLOOKUP($CW218,'Audit Values'!$A$2:$BX$410,2,FALSE)),'Preliminary SO66'!AB217,VLOOKUP($CW218,'Audit Values'!$A$2:$BX$410,42,FALSE))</f>
        <v>0</v>
      </c>
      <c r="AV218" s="73">
        <v>0</v>
      </c>
      <c r="AW218" s="73">
        <v>0</v>
      </c>
      <c r="AX218" s="24">
        <f>SUM(AT218*'Weighting Factors'!$R$10)+('2024 Legal Max'!AU218*'Weighting Factors'!$R$11)+('2024 Legal Max'!AV218*'Weighting Factors'!$R$12)+('2024 Legal Max'!AW218*'Weighting Factors'!$R$12)</f>
        <v>0</v>
      </c>
      <c r="AY218" s="54">
        <f>IF(ISNA(VLOOKUP($CW218,'Audit Values'!$A$2:$BX$429,2,FALSE)),"",IF(AND('Weighting Factors'!G218&gt;0,VLOOKUP($CW218,'Audit Values'!$A$2:$BX$429,51,FALSE)&lt;'Weighting Factors'!G218),'Weighting Factors'!G218,VLOOKUP($CW218,'Audit Values'!$A$2:$BX$429,51,FALSE)))</f>
        <v>6</v>
      </c>
      <c r="AZ218" s="54" t="str">
        <f>IF(ISNA(VLOOKUP($CW218,'Audit Values'!$A:$BY,2,FALSE)),"",VLOOKUP($CW218,'Audit Values'!$A:$BY,52,FALSE))</f>
        <v>A</v>
      </c>
      <c r="BA218" s="54" t="str">
        <f>IF('Weighting Factors'!F218="","",IF('Weighting Factors'!H218="Pending","PX","R"))</f>
        <v/>
      </c>
      <c r="BB218" s="60">
        <f>SUM((U218+V218+AA218+AC218+AF218+AI218+AL218+AM218+AQ218+AN218)*'Weighting Factors'!$O$5)+'2024 Legal Max'!AX218</f>
        <v>2687990</v>
      </c>
      <c r="BC218" s="24">
        <f>SUM((AR218+AN218)*'Weighting Factors'!$O$5)+AX218</f>
        <v>3057379</v>
      </c>
      <c r="BD218" s="67">
        <f>IF('Weighting Factors'!F218&gt;0,'Weighting Factors'!F218,'Preliminary SO66'!AV217)</f>
        <v>3102662</v>
      </c>
      <c r="BE218" s="24">
        <f t="shared" si="138"/>
        <v>3057379</v>
      </c>
      <c r="BF218" s="71">
        <f>'Weighting Factors'!E218</f>
        <v>0</v>
      </c>
      <c r="BG218" s="71">
        <f>Transportation!G218</f>
        <v>0</v>
      </c>
      <c r="BH218" s="24">
        <f>IF(ISNA(VLOOKUP($CW218,'Audit Values'!$A:$BW,2,FALSE)), 0, VLOOKUP($CW218,'Audit Values'!$A:$BW,75,FALSE))</f>
        <v>0</v>
      </c>
      <c r="BI218" s="24">
        <f t="shared" si="139"/>
        <v>0</v>
      </c>
      <c r="BJ218" s="24">
        <f t="shared" si="140"/>
        <v>3057379</v>
      </c>
      <c r="BK218" s="24">
        <f>SUM((U218+V218+AA218+AC218+AF218+AI218+AL218+AM218+AN218)*'Weighting Factors'!O$12)+(MAX(AO218,'Weighting Factors'!B218))</f>
        <v>3094438</v>
      </c>
      <c r="BL218" s="78">
        <f>'LOB%'!F216</f>
        <v>0.316</v>
      </c>
      <c r="BM218" s="24">
        <f t="shared" si="147"/>
        <v>977842</v>
      </c>
      <c r="BN218" s="67">
        <v>992178</v>
      </c>
      <c r="BO218" s="24">
        <f t="shared" si="141"/>
        <v>977842</v>
      </c>
      <c r="BP218" s="89">
        <f t="shared" si="148"/>
        <v>0.316</v>
      </c>
      <c r="BQ218" s="58">
        <f t="shared" si="149"/>
        <v>0</v>
      </c>
      <c r="BR218" s="1" t="b">
        <f t="shared" si="150"/>
        <v>0</v>
      </c>
      <c r="BS218" s="76">
        <f t="shared" si="151"/>
        <v>0</v>
      </c>
      <c r="BT218" s="75">
        <f t="shared" si="142"/>
        <v>0</v>
      </c>
      <c r="BU218" s="58">
        <f t="shared" si="152"/>
        <v>0</v>
      </c>
      <c r="BV218" s="1" t="b">
        <f t="shared" si="153"/>
        <v>1</v>
      </c>
      <c r="BW218" s="1">
        <f t="shared" si="154"/>
        <v>23.76</v>
      </c>
      <c r="BX218" s="75">
        <f t="shared" si="143"/>
        <v>0.477663</v>
      </c>
      <c r="BY218" s="58">
        <f t="shared" si="155"/>
        <v>152.5</v>
      </c>
      <c r="BZ218" s="58">
        <f t="shared" si="156"/>
        <v>0</v>
      </c>
      <c r="CA218" s="61">
        <v>95</v>
      </c>
      <c r="CB218" s="102">
        <f t="shared" si="157"/>
        <v>0.54700000000000004</v>
      </c>
      <c r="CC218" s="105">
        <f>IF(CB218&lt;0.06,1,IF(CB218&gt;=18.29,52,MATCH(CB218-0.001,'Weighting Factors'!$W$5:$W$156)+1))</f>
        <v>26</v>
      </c>
      <c r="CD218" s="24">
        <f>VLOOKUP(CC218, 'Weighting Factors'!$U$5:$X$56,4)</f>
        <v>1070</v>
      </c>
      <c r="CE218" s="109">
        <f>('Weighting Factors'!$O$5/'Weighting Factors'!$O$14)</f>
        <v>1.2216</v>
      </c>
      <c r="CF218" s="100">
        <f t="shared" si="158"/>
        <v>55640</v>
      </c>
      <c r="CG218" s="100">
        <f>CF218*'Weighting Factors'!$Q$7</f>
        <v>55640</v>
      </c>
      <c r="CH218" s="100">
        <f t="shared" si="144"/>
        <v>67970</v>
      </c>
      <c r="CI218" s="58">
        <f>AK218/'Weighting Factors'!$O$5</f>
        <v>13.4</v>
      </c>
      <c r="CJ218" s="67">
        <v>0</v>
      </c>
      <c r="CK218" s="80">
        <v>0</v>
      </c>
      <c r="CL218" s="110">
        <v>0</v>
      </c>
      <c r="CM218" s="24">
        <f>SUM((AR218*'Weighting Factors'!$O$5)+'2024 Legal Max'!AX218)*CL218</f>
        <v>0</v>
      </c>
      <c r="CN218" s="24">
        <f t="shared" si="145"/>
        <v>0</v>
      </c>
      <c r="CO218" s="65">
        <f t="shared" si="146"/>
        <v>0.2351</v>
      </c>
      <c r="CP218" s="58">
        <f t="shared" si="159"/>
        <v>0</v>
      </c>
      <c r="CQ218" s="58">
        <f t="shared" si="160"/>
        <v>0</v>
      </c>
      <c r="CR218" s="58">
        <f t="shared" si="161"/>
        <v>600.9</v>
      </c>
      <c r="CS218" s="24">
        <f>'Required Transfers'!L218</f>
        <v>56128</v>
      </c>
      <c r="CT218" s="24">
        <f>'Required Transfers'!O218</f>
        <v>0</v>
      </c>
      <c r="CU218" s="24">
        <f>'Required Transfers'!H218</f>
        <v>175027</v>
      </c>
      <c r="CV218" s="58">
        <f t="shared" si="162"/>
        <v>297</v>
      </c>
      <c r="CW218" s="27" t="s">
        <v>403</v>
      </c>
    </row>
    <row r="219" spans="1:101" ht="15" customHeight="1">
      <c r="A219" s="54">
        <v>430</v>
      </c>
      <c r="B219" s="1" t="s">
        <v>94</v>
      </c>
      <c r="C219" s="1" t="s">
        <v>723</v>
      </c>
      <c r="D219" s="58">
        <v>463.7</v>
      </c>
      <c r="E219" s="58"/>
      <c r="F219" s="58">
        <v>0</v>
      </c>
      <c r="G219" s="58">
        <f t="shared" si="163"/>
        <v>463.7</v>
      </c>
      <c r="H219" s="58">
        <v>499</v>
      </c>
      <c r="I219" s="58"/>
      <c r="J219" s="58">
        <v>0</v>
      </c>
      <c r="K219" s="58">
        <f t="shared" si="164"/>
        <v>499</v>
      </c>
      <c r="L219" s="1">
        <v>515.5</v>
      </c>
      <c r="N219" s="1">
        <v>0</v>
      </c>
      <c r="O219" s="58">
        <f t="shared" si="165"/>
        <v>515.5</v>
      </c>
      <c r="P219" s="58">
        <f>IF(ISNA(VLOOKUP($CW219,'Audit Values'!$A:$BZ,2,FALSE)),'Preliminary SO66'!C218,VLOOKUP($CW219,'Audit Values'!$A:$BZ,76,FALSE))</f>
        <v>493.5</v>
      </c>
      <c r="Q219" s="58">
        <f>IF(ISNA(VLOOKUP($CW219,'Audit Values'!$A:$BZ,2,FALSE)),'Preliminary SO66'!F218,VLOOKUP($CW219,'Audit Values'!$A:$BZ,4,FALSE))</f>
        <v>0</v>
      </c>
      <c r="R219" s="58">
        <f t="shared" si="133"/>
        <v>493.5</v>
      </c>
      <c r="S219" s="58">
        <f>IF('Military Provision'!I219="YES", MAX('2024 Legal Max'!O219,'2024 Legal Max'!K219,AVERAGE('2024 Legal Max'!G219,'2024 Legal Max'!K219,'2024 Legal Max'!O219)), MAX(O219, K219))</f>
        <v>515.5</v>
      </c>
      <c r="T219" s="58">
        <f>IF(ISNA(VLOOKUP($CW219,'Audit Values'!$A:$BX,2,FALSE)),'Preliminary SO66'!AL218,VLOOKUP($CW219,'Audit Values'!$A:$BX,59,FALSE))</f>
        <v>5</v>
      </c>
      <c r="U219" s="58">
        <f t="shared" si="134"/>
        <v>520.5</v>
      </c>
      <c r="V219" s="58">
        <f>'Low-High ENRL- 2023 HSubSB 113'!N222</f>
        <v>213</v>
      </c>
      <c r="W219" s="58">
        <f>IF(ISNA(VLOOKUP($CW219,'Audit Values'!$A:$BZ,2,FALSE)),'Preliminary SO66'!AM218,VLOOKUP($CW219,'Audit Values'!$A:$BZ,63,FALSE))</f>
        <v>11.1</v>
      </c>
      <c r="X219" s="58">
        <f>(W219/6)*'Weighting Factors'!$O$7</f>
        <v>0.7</v>
      </c>
      <c r="Y219" s="61">
        <f>IF(ISNA(VLOOKUP($CW219,'Audit Values'!$A:$BZ,2,FALSE)),'Preliminary SO66'!AN218,VLOOKUP($CW219,'Audit Values'!$A:$BZ,62,FALSE))</f>
        <v>4</v>
      </c>
      <c r="Z219" s="58">
        <f>Y219*'Weighting Factors'!$O$8</f>
        <v>0.7</v>
      </c>
      <c r="AA219" s="58">
        <f t="shared" si="135"/>
        <v>0.7</v>
      </c>
      <c r="AB219" s="106">
        <f>IF(ISNA(VLOOKUP($CW219,'Audit Values'!$A:$BZ,2,FALSE)),'Preliminary SO66'!AO218,VLOOKUP($CW219,'Audit Values'!$A:$BZ,61,FALSE))</f>
        <v>121.9</v>
      </c>
      <c r="AC219" s="58">
        <f>AB219/6*'Weighting Factors'!$O$6</f>
        <v>10.199999999999999</v>
      </c>
      <c r="AD219" s="24">
        <f>IF(ISNA(VLOOKUP($CW219,'Audit Values'!$A:$BX,2,FALSE)),'Preliminary SO66'!AS218,VLOOKUP($CW219,'Audit Values'!$A:$BX,64,FALSE))</f>
        <v>515</v>
      </c>
      <c r="AE219" s="24">
        <f>IF(ISNA(VLOOKUP($CW219,'Audit Values'!$A:$BX,2,FALSE)),'Preliminary SO66'!AP218,VLOOKUP($CW219,'Audit Values'!$A:$BX,65,FALSE))</f>
        <v>274</v>
      </c>
      <c r="AF219" s="58">
        <f>IF(A219=207, AE219,(AE219))*'Weighting Factors'!$O$9</f>
        <v>132.6</v>
      </c>
      <c r="AG219" s="58">
        <f t="shared" si="168"/>
        <v>28.8</v>
      </c>
      <c r="AH219" s="58">
        <f>IF(ISNA(VLOOKUP($CW219,'Audit Values'!$A:$BZ,2,FALSE)),'Preliminary SO66'!AG218,VLOOKUP($CW219,'Audit Values'!$A:$BZ,71,FALSE))</f>
        <v>28.8</v>
      </c>
      <c r="AI219" s="58">
        <f t="shared" si="136"/>
        <v>28.8</v>
      </c>
      <c r="AJ219" s="58">
        <f>IF(ISNA(VLOOKUP($CW219,'Audit Values'!$A:$BX,2,FALSE)),'Preliminary SO66'!AR218,VLOOKUP($CW219,'Audit Values'!$A:$BX,66,FALSE))</f>
        <v>184.5</v>
      </c>
      <c r="AK219" s="24">
        <f t="shared" si="137"/>
        <v>209608</v>
      </c>
      <c r="AL219" s="58">
        <f>AK219/'Weighting Factors'!$O$5</f>
        <v>41.2</v>
      </c>
      <c r="AM219" s="58">
        <f>CJ219/'Weighting Factors'!$O$5</f>
        <v>0</v>
      </c>
      <c r="AN219" s="58">
        <f>CN219/'Weighting Factors'!$O$5</f>
        <v>0</v>
      </c>
      <c r="AO219" s="24">
        <v>554196</v>
      </c>
      <c r="AP219" s="58">
        <f>AO219/'Weighting Factors'!$O$5</f>
        <v>108.9</v>
      </c>
      <c r="AQ219" s="58">
        <f>IF(ISNA(VLOOKUP($CW219,'Audit Values'!$A:$BX,2,FALSE)),'Preliminary SO66'!X218,VLOOKUP($CW219,'Audit Values'!$A:$BX,48,FALSE))</f>
        <v>0</v>
      </c>
      <c r="AR219" s="58">
        <f t="shared" si="166"/>
        <v>1055.9000000000001</v>
      </c>
      <c r="AS219" s="58">
        <f t="shared" si="167"/>
        <v>947</v>
      </c>
      <c r="AT219" s="58">
        <f>IF(ISNA(VLOOKUP($CW219,'Audit Values'!$A$2:$BX$410,2,FALSE)),'Preliminary SO66'!AA218,VLOOKUP($CW219,'Audit Values'!$A$2:$BX$410,41,FALSE))</f>
        <v>0</v>
      </c>
      <c r="AU219" s="58">
        <f>IF(ISNA(VLOOKUP($CW219,'Audit Values'!$A$2:$BX$410,2,FALSE)),'Preliminary SO66'!AB218,VLOOKUP($CW219,'Audit Values'!$A$2:$BX$410,42,FALSE))</f>
        <v>0</v>
      </c>
      <c r="AV219" s="73">
        <v>0</v>
      </c>
      <c r="AW219" s="73">
        <v>0</v>
      </c>
      <c r="AX219" s="24">
        <f>SUM(AT219*'Weighting Factors'!$R$10)+('2024 Legal Max'!AU219*'Weighting Factors'!$R$11)+('2024 Legal Max'!AV219*'Weighting Factors'!$R$12)+('2024 Legal Max'!AW219*'Weighting Factors'!$R$12)</f>
        <v>0</v>
      </c>
      <c r="AY219" s="54">
        <f>IF(ISNA(VLOOKUP($CW219,'Audit Values'!$A$2:$BX$429,2,FALSE)),"",IF(AND('Weighting Factors'!G219&gt;0,VLOOKUP($CW219,'Audit Values'!$A$2:$BX$429,51,FALSE)&lt;'Weighting Factors'!G219),'Weighting Factors'!G219,VLOOKUP($CW219,'Audit Values'!$A$2:$BX$429,51,FALSE)))</f>
        <v>16</v>
      </c>
      <c r="AZ219" s="54" t="str">
        <f>IF(ISNA(VLOOKUP($CW219,'Audit Values'!$A:$BY,2,FALSE)),"",VLOOKUP($CW219,'Audit Values'!$A:$BY,52,FALSE))</f>
        <v>A</v>
      </c>
      <c r="BA219" s="54" t="str">
        <f>IF('Weighting Factors'!F219="","",IF('Weighting Factors'!H219="Pending","PX","R"))</f>
        <v/>
      </c>
      <c r="BB219" s="60">
        <f>SUM((U219+V219+AA219+AC219+AF219+AI219+AL219+AM219+AQ219+AN219)*'Weighting Factors'!$O$5)+'2024 Legal Max'!AX219</f>
        <v>4818336</v>
      </c>
      <c r="BC219" s="24">
        <f>SUM((AR219+AN219)*'Weighting Factors'!$O$5)+AX219</f>
        <v>5372419</v>
      </c>
      <c r="BD219" s="67">
        <f>IF('Weighting Factors'!F219&gt;0,'Weighting Factors'!F219,'Preliminary SO66'!AV218)</f>
        <v>5788618</v>
      </c>
      <c r="BE219" s="24">
        <f t="shared" si="138"/>
        <v>5372419</v>
      </c>
      <c r="BF219" s="71">
        <f>'Weighting Factors'!E219</f>
        <v>0</v>
      </c>
      <c r="BG219" s="71">
        <f>Transportation!G219</f>
        <v>0</v>
      </c>
      <c r="BH219" s="24">
        <f>IF(ISNA(VLOOKUP($CW219,'Audit Values'!$A:$BW,2,FALSE)), 0, VLOOKUP($CW219,'Audit Values'!$A:$BW,75,FALSE))</f>
        <v>0</v>
      </c>
      <c r="BI219" s="24">
        <f t="shared" si="139"/>
        <v>0</v>
      </c>
      <c r="BJ219" s="24">
        <f t="shared" si="140"/>
        <v>5372419</v>
      </c>
      <c r="BK219" s="24">
        <f>SUM((U219+V219+AA219+AC219+AF219+AI219+AL219+AM219+AN219)*'Weighting Factors'!O$12)+(MAX(AO219,'Weighting Factors'!B219))</f>
        <v>5715019</v>
      </c>
      <c r="BL219" s="78">
        <f>'LOB%'!F217</f>
        <v>0.316</v>
      </c>
      <c r="BM219" s="24">
        <f t="shared" si="147"/>
        <v>1805946</v>
      </c>
      <c r="BN219" s="67">
        <v>1892495</v>
      </c>
      <c r="BO219" s="24">
        <f t="shared" si="141"/>
        <v>1805946</v>
      </c>
      <c r="BP219" s="89">
        <f t="shared" si="148"/>
        <v>0.316</v>
      </c>
      <c r="BQ219" s="58">
        <f t="shared" si="149"/>
        <v>0</v>
      </c>
      <c r="BR219" s="1" t="b">
        <f t="shared" si="150"/>
        <v>0</v>
      </c>
      <c r="BS219" s="76">
        <f t="shared" si="151"/>
        <v>0</v>
      </c>
      <c r="BT219" s="75">
        <f t="shared" si="142"/>
        <v>0</v>
      </c>
      <c r="BU219" s="58">
        <f t="shared" si="152"/>
        <v>0</v>
      </c>
      <c r="BV219" s="1" t="b">
        <f t="shared" si="153"/>
        <v>1</v>
      </c>
      <c r="BW219" s="1">
        <f t="shared" si="154"/>
        <v>272.86880000000002</v>
      </c>
      <c r="BX219" s="75">
        <f t="shared" si="143"/>
        <v>0.40927200000000002</v>
      </c>
      <c r="BY219" s="58">
        <f t="shared" si="155"/>
        <v>213</v>
      </c>
      <c r="BZ219" s="58">
        <f t="shared" si="156"/>
        <v>0</v>
      </c>
      <c r="CA219" s="61">
        <v>156.4</v>
      </c>
      <c r="CB219" s="102">
        <f t="shared" si="157"/>
        <v>1.18</v>
      </c>
      <c r="CC219" s="105">
        <f>IF(CB219&lt;0.06,1,IF(CB219&gt;=18.29,52,MATCH(CB219-0.001,'Weighting Factors'!$W$5:$W$156)+1))</f>
        <v>33</v>
      </c>
      <c r="CD219" s="24">
        <f>VLOOKUP(CC219, 'Weighting Factors'!$U$5:$X$56,4)</f>
        <v>930</v>
      </c>
      <c r="CE219" s="109">
        <f>('Weighting Factors'!$O$5/'Weighting Factors'!$O$14)</f>
        <v>1.2216</v>
      </c>
      <c r="CF219" s="100">
        <f t="shared" si="158"/>
        <v>171585</v>
      </c>
      <c r="CG219" s="100">
        <f>CF219*'Weighting Factors'!$Q$7</f>
        <v>171585</v>
      </c>
      <c r="CH219" s="100">
        <f t="shared" si="144"/>
        <v>209608</v>
      </c>
      <c r="CI219" s="58">
        <f>AK219/'Weighting Factors'!$O$5</f>
        <v>41.2</v>
      </c>
      <c r="CJ219" s="67">
        <v>0</v>
      </c>
      <c r="CK219" s="80">
        <v>0</v>
      </c>
      <c r="CL219" s="110">
        <v>0</v>
      </c>
      <c r="CM219" s="24">
        <f>SUM((AR219*'Weighting Factors'!$O$5)+'2024 Legal Max'!AX219)*CL219</f>
        <v>0</v>
      </c>
      <c r="CN219" s="24">
        <f t="shared" si="145"/>
        <v>0</v>
      </c>
      <c r="CO219" s="65">
        <f t="shared" si="146"/>
        <v>0.53200000000000003</v>
      </c>
      <c r="CP219" s="58">
        <f t="shared" si="159"/>
        <v>28.8</v>
      </c>
      <c r="CQ219" s="58">
        <f t="shared" si="160"/>
        <v>0</v>
      </c>
      <c r="CR219" s="58">
        <f t="shared" si="161"/>
        <v>1055.9000000000001</v>
      </c>
      <c r="CS219" s="24">
        <f>'Required Transfers'!L219</f>
        <v>227910</v>
      </c>
      <c r="CT219" s="24">
        <f>'Required Transfers'!O219</f>
        <v>1264</v>
      </c>
      <c r="CU219" s="24">
        <f>'Required Transfers'!H219</f>
        <v>821203</v>
      </c>
      <c r="CV219" s="58">
        <f t="shared" si="162"/>
        <v>498.5</v>
      </c>
      <c r="CW219" s="27" t="s">
        <v>404</v>
      </c>
    </row>
    <row r="220" spans="1:101" ht="15" customHeight="1">
      <c r="A220" s="54">
        <v>431</v>
      </c>
      <c r="B220" s="1" t="s">
        <v>67</v>
      </c>
      <c r="C220" s="1" t="s">
        <v>724</v>
      </c>
      <c r="D220" s="58">
        <v>711.2</v>
      </c>
      <c r="E220" s="58"/>
      <c r="F220" s="58">
        <v>0</v>
      </c>
      <c r="G220" s="58">
        <f t="shared" si="163"/>
        <v>711.2</v>
      </c>
      <c r="H220" s="58">
        <v>732.9</v>
      </c>
      <c r="I220" s="58"/>
      <c r="J220" s="58">
        <v>0</v>
      </c>
      <c r="K220" s="58">
        <f t="shared" si="164"/>
        <v>732.9</v>
      </c>
      <c r="L220" s="1">
        <v>725.3</v>
      </c>
      <c r="N220" s="1">
        <v>0</v>
      </c>
      <c r="O220" s="58">
        <f t="shared" si="165"/>
        <v>725.3</v>
      </c>
      <c r="P220" s="58">
        <f>IF(ISNA(VLOOKUP($CW220,'Audit Values'!$A:$BZ,2,FALSE)),'Preliminary SO66'!C219,VLOOKUP($CW220,'Audit Values'!$A:$BZ,76,FALSE))</f>
        <v>666.3</v>
      </c>
      <c r="Q220" s="58">
        <f>IF(ISNA(VLOOKUP($CW220,'Audit Values'!$A:$BZ,2,FALSE)),'Preliminary SO66'!F219,VLOOKUP($CW220,'Audit Values'!$A:$BZ,4,FALSE))</f>
        <v>0</v>
      </c>
      <c r="R220" s="58">
        <f t="shared" si="133"/>
        <v>666.3</v>
      </c>
      <c r="S220" s="58">
        <f>IF('Military Provision'!I220="YES", MAX('2024 Legal Max'!O220,'2024 Legal Max'!K220,AVERAGE('2024 Legal Max'!G220,'2024 Legal Max'!K220,'2024 Legal Max'!O220)), MAX(O220, K220))</f>
        <v>732.9</v>
      </c>
      <c r="T220" s="58">
        <f>IF(ISNA(VLOOKUP($CW220,'Audit Values'!$A:$BX,2,FALSE)),'Preliminary SO66'!AL219,VLOOKUP($CW220,'Audit Values'!$A:$BX,59,FALSE))</f>
        <v>10.5</v>
      </c>
      <c r="U220" s="58">
        <f t="shared" si="134"/>
        <v>743.4</v>
      </c>
      <c r="V220" s="58">
        <f>'Low-High ENRL- 2023 HSubSB 113'!N223</f>
        <v>248</v>
      </c>
      <c r="W220" s="58">
        <f>IF(ISNA(VLOOKUP($CW220,'Audit Values'!$A:$BZ,2,FALSE)),'Preliminary SO66'!AM219,VLOOKUP($CW220,'Audit Values'!$A:$BZ,63,FALSE))</f>
        <v>0</v>
      </c>
      <c r="X220" s="58">
        <f>(W220/6)*'Weighting Factors'!$O$7</f>
        <v>0</v>
      </c>
      <c r="Y220" s="61">
        <f>IF(ISNA(VLOOKUP($CW220,'Audit Values'!$A:$BZ,2,FALSE)),'Preliminary SO66'!AN219,VLOOKUP($CW220,'Audit Values'!$A:$BZ,62,FALSE))</f>
        <v>0</v>
      </c>
      <c r="Z220" s="58">
        <f>Y220*'Weighting Factors'!$O$8</f>
        <v>0</v>
      </c>
      <c r="AA220" s="58">
        <f t="shared" si="135"/>
        <v>0</v>
      </c>
      <c r="AB220" s="106">
        <f>IF(ISNA(VLOOKUP($CW220,'Audit Values'!$A:$BZ,2,FALSE)),'Preliminary SO66'!AO219,VLOOKUP($CW220,'Audit Values'!$A:$BZ,61,FALSE))</f>
        <v>368.7</v>
      </c>
      <c r="AC220" s="58">
        <f>AB220/6*'Weighting Factors'!$O$6</f>
        <v>30.7</v>
      </c>
      <c r="AD220" s="24">
        <f>IF(ISNA(VLOOKUP($CW220,'Audit Values'!$A:$BX,2,FALSE)),'Preliminary SO66'!AS219,VLOOKUP($CW220,'Audit Values'!$A:$BX,64,FALSE))</f>
        <v>702</v>
      </c>
      <c r="AE220" s="24">
        <f>IF(ISNA(VLOOKUP($CW220,'Audit Values'!$A:$BX,2,FALSE)),'Preliminary SO66'!AP219,VLOOKUP($CW220,'Audit Values'!$A:$BX,65,FALSE))</f>
        <v>307</v>
      </c>
      <c r="AF220" s="58">
        <f>IF(A220=207, AE220,(AE220))*'Weighting Factors'!$O$9</f>
        <v>148.6</v>
      </c>
      <c r="AG220" s="58">
        <f t="shared" si="168"/>
        <v>18.8</v>
      </c>
      <c r="AH220" s="58">
        <f>IF(ISNA(VLOOKUP($CW220,'Audit Values'!$A:$BZ,2,FALSE)),'Preliminary SO66'!AG219,VLOOKUP($CW220,'Audit Values'!$A:$BZ,71,FALSE))</f>
        <v>19.600000000000001</v>
      </c>
      <c r="AI220" s="58">
        <f t="shared" si="136"/>
        <v>19.600000000000001</v>
      </c>
      <c r="AJ220" s="58">
        <f>IF(ISNA(VLOOKUP($CW220,'Audit Values'!$A:$BX,2,FALSE)),'Preliminary SO66'!AR219,VLOOKUP($CW220,'Audit Values'!$A:$BX,66,FALSE))</f>
        <v>71</v>
      </c>
      <c r="AK220" s="24">
        <f t="shared" si="137"/>
        <v>106682</v>
      </c>
      <c r="AL220" s="58">
        <f>AK220/'Weighting Factors'!$O$5</f>
        <v>21</v>
      </c>
      <c r="AM220" s="58">
        <f>CJ220/'Weighting Factors'!$O$5</f>
        <v>0</v>
      </c>
      <c r="AN220" s="58">
        <f>CN220/'Weighting Factors'!$O$5</f>
        <v>0</v>
      </c>
      <c r="AO220" s="24">
        <v>861350</v>
      </c>
      <c r="AP220" s="58">
        <f>AO220/'Weighting Factors'!$O$5</f>
        <v>169.3</v>
      </c>
      <c r="AQ220" s="58">
        <f>IF(ISNA(VLOOKUP($CW220,'Audit Values'!$A:$BX,2,FALSE)),'Preliminary SO66'!X219,VLOOKUP($CW220,'Audit Values'!$A:$BX,48,FALSE))</f>
        <v>0</v>
      </c>
      <c r="AR220" s="58">
        <f t="shared" si="166"/>
        <v>1380.6</v>
      </c>
      <c r="AS220" s="58">
        <f t="shared" si="167"/>
        <v>1211.3</v>
      </c>
      <c r="AT220" s="58">
        <f>IF(ISNA(VLOOKUP($CW220,'Audit Values'!$A$2:$BX$410,2,FALSE)),'Preliminary SO66'!AA219,VLOOKUP($CW220,'Audit Values'!$A$2:$BX$410,41,FALSE))</f>
        <v>0</v>
      </c>
      <c r="AU220" s="58">
        <f>IF(ISNA(VLOOKUP($CW220,'Audit Values'!$A$2:$BX$410,2,FALSE)),'Preliminary SO66'!AB219,VLOOKUP($CW220,'Audit Values'!$A$2:$BX$410,42,FALSE))</f>
        <v>0</v>
      </c>
      <c r="AV220" s="73">
        <v>0</v>
      </c>
      <c r="AW220" s="73">
        <v>0</v>
      </c>
      <c r="AX220" s="24">
        <f>SUM(AT220*'Weighting Factors'!$R$10)+('2024 Legal Max'!AU220*'Weighting Factors'!$R$11)+('2024 Legal Max'!AV220*'Weighting Factors'!$R$12)+('2024 Legal Max'!AW220*'Weighting Factors'!$R$12)</f>
        <v>0</v>
      </c>
      <c r="AY220" s="54">
        <f>IF(ISNA(VLOOKUP($CW220,'Audit Values'!$A$2:$BX$429,2,FALSE)),"",IF(AND('Weighting Factors'!G220&gt;0,VLOOKUP($CW220,'Audit Values'!$A$2:$BX$429,51,FALSE)&lt;'Weighting Factors'!G220),'Weighting Factors'!G220,VLOOKUP($CW220,'Audit Values'!$A$2:$BX$429,51,FALSE)))</f>
        <v>16</v>
      </c>
      <c r="AZ220" s="54" t="str">
        <f>IF(ISNA(VLOOKUP($CW220,'Audit Values'!$A:$BY,2,FALSE)),"",VLOOKUP($CW220,'Audit Values'!$A:$BY,52,FALSE))</f>
        <v>A</v>
      </c>
      <c r="BA220" s="54" t="str">
        <f>IF('Weighting Factors'!F220="","",IF('Weighting Factors'!H220="Pending","PX","R"))</f>
        <v/>
      </c>
      <c r="BB220" s="60">
        <f>SUM((U220+V220+AA220+AC220+AF220+AI220+AL220+AM220+AQ220+AN220)*'Weighting Factors'!$O$5)+'2024 Legal Max'!AX220</f>
        <v>6163094</v>
      </c>
      <c r="BC220" s="24">
        <f>SUM((AR220+AN220)*'Weighting Factors'!$O$5)+AX220</f>
        <v>7024493</v>
      </c>
      <c r="BD220" s="67">
        <f>IF('Weighting Factors'!F220&gt;0,'Weighting Factors'!F220,'Preliminary SO66'!AV219)</f>
        <v>7130832</v>
      </c>
      <c r="BE220" s="24">
        <f t="shared" si="138"/>
        <v>7024493</v>
      </c>
      <c r="BF220" s="71">
        <f>'Weighting Factors'!E220</f>
        <v>0</v>
      </c>
      <c r="BG220" s="71">
        <f>Transportation!G220</f>
        <v>0</v>
      </c>
      <c r="BH220" s="24">
        <f>IF(ISNA(VLOOKUP($CW220,'Audit Values'!$A:$BW,2,FALSE)), 0, VLOOKUP($CW220,'Audit Values'!$A:$BW,75,FALSE))</f>
        <v>0</v>
      </c>
      <c r="BI220" s="24">
        <f t="shared" si="139"/>
        <v>0</v>
      </c>
      <c r="BJ220" s="24">
        <f t="shared" si="140"/>
        <v>7024493</v>
      </c>
      <c r="BK220" s="24">
        <f>SUM((U220+V220+AA220+AC220+AF220+AI220+AL220+AM220+AN220)*'Weighting Factors'!O$12)+(MAX(AO220,'Weighting Factors'!B220))</f>
        <v>7109235</v>
      </c>
      <c r="BL220" s="78">
        <f>'LOB%'!F218</f>
        <v>0.316</v>
      </c>
      <c r="BM220" s="24">
        <f t="shared" si="147"/>
        <v>2246518</v>
      </c>
      <c r="BN220" s="67">
        <v>2280233</v>
      </c>
      <c r="BO220" s="24">
        <f t="shared" si="141"/>
        <v>2246518</v>
      </c>
      <c r="BP220" s="89">
        <f t="shared" si="148"/>
        <v>0.316</v>
      </c>
      <c r="BQ220" s="58">
        <f t="shared" si="149"/>
        <v>0</v>
      </c>
      <c r="BR220" s="1" t="b">
        <f t="shared" si="150"/>
        <v>0</v>
      </c>
      <c r="BS220" s="76">
        <f t="shared" si="151"/>
        <v>0</v>
      </c>
      <c r="BT220" s="75">
        <f t="shared" si="142"/>
        <v>0</v>
      </c>
      <c r="BU220" s="58">
        <f t="shared" si="152"/>
        <v>0</v>
      </c>
      <c r="BV220" s="1" t="b">
        <f t="shared" si="153"/>
        <v>1</v>
      </c>
      <c r="BW220" s="1">
        <f t="shared" si="154"/>
        <v>548.70749999999998</v>
      </c>
      <c r="BX220" s="75">
        <f t="shared" si="143"/>
        <v>0.33354200000000001</v>
      </c>
      <c r="BY220" s="58">
        <f t="shared" si="155"/>
        <v>248</v>
      </c>
      <c r="BZ220" s="58">
        <f t="shared" si="156"/>
        <v>0</v>
      </c>
      <c r="CA220" s="61">
        <v>292</v>
      </c>
      <c r="CB220" s="102">
        <f t="shared" si="157"/>
        <v>0.24299999999999999</v>
      </c>
      <c r="CC220" s="105">
        <f>IF(CB220&lt;0.06,1,IF(CB220&gt;=18.29,52,MATCH(CB220-0.001,'Weighting Factors'!$W$5:$W$156)+1))</f>
        <v>18</v>
      </c>
      <c r="CD220" s="24">
        <f>VLOOKUP(CC220, 'Weighting Factors'!$U$5:$X$56,4)</f>
        <v>1230</v>
      </c>
      <c r="CE220" s="109">
        <f>('Weighting Factors'!$O$5/'Weighting Factors'!$O$14)</f>
        <v>1.2216</v>
      </c>
      <c r="CF220" s="100">
        <f t="shared" si="158"/>
        <v>87330</v>
      </c>
      <c r="CG220" s="100">
        <f>CF220*'Weighting Factors'!$Q$7</f>
        <v>87330</v>
      </c>
      <c r="CH220" s="100">
        <f t="shared" si="144"/>
        <v>106682</v>
      </c>
      <c r="CI220" s="58">
        <f>AK220/'Weighting Factors'!$O$5</f>
        <v>21</v>
      </c>
      <c r="CJ220" s="67">
        <v>0</v>
      </c>
      <c r="CK220" s="80">
        <v>0</v>
      </c>
      <c r="CL220" s="110">
        <v>0</v>
      </c>
      <c r="CM220" s="24">
        <f>SUM((AR220*'Weighting Factors'!$O$5)+'2024 Legal Max'!AX220)*CL220</f>
        <v>0</v>
      </c>
      <c r="CN220" s="24">
        <f t="shared" si="145"/>
        <v>0</v>
      </c>
      <c r="CO220" s="65">
        <f t="shared" si="146"/>
        <v>0.43730000000000002</v>
      </c>
      <c r="CP220" s="58">
        <f t="shared" si="159"/>
        <v>0</v>
      </c>
      <c r="CQ220" s="58">
        <f t="shared" si="160"/>
        <v>18.8</v>
      </c>
      <c r="CR220" s="58">
        <f t="shared" si="161"/>
        <v>1380.6</v>
      </c>
      <c r="CS220" s="24">
        <f>'Required Transfers'!L220</f>
        <v>243747</v>
      </c>
      <c r="CT220" s="24">
        <f>'Required Transfers'!O220</f>
        <v>0</v>
      </c>
      <c r="CU220" s="24">
        <f>'Required Transfers'!H220</f>
        <v>855802</v>
      </c>
      <c r="CV220" s="58">
        <f t="shared" si="162"/>
        <v>676.8</v>
      </c>
      <c r="CW220" s="27" t="s">
        <v>405</v>
      </c>
    </row>
    <row r="221" spans="1:101" ht="15" customHeight="1">
      <c r="A221" s="54">
        <v>432</v>
      </c>
      <c r="B221" s="1" t="s">
        <v>84</v>
      </c>
      <c r="C221" s="1" t="s">
        <v>725</v>
      </c>
      <c r="D221" s="58">
        <v>272.3</v>
      </c>
      <c r="E221" s="58"/>
      <c r="F221" s="58">
        <v>0</v>
      </c>
      <c r="G221" s="58">
        <f t="shared" si="163"/>
        <v>272.3</v>
      </c>
      <c r="H221" s="58">
        <v>273</v>
      </c>
      <c r="I221" s="58"/>
      <c r="J221" s="58">
        <v>0</v>
      </c>
      <c r="K221" s="58">
        <f t="shared" si="164"/>
        <v>273</v>
      </c>
      <c r="L221" s="1">
        <v>267</v>
      </c>
      <c r="N221" s="1">
        <v>0</v>
      </c>
      <c r="O221" s="58">
        <f t="shared" si="165"/>
        <v>267</v>
      </c>
      <c r="P221" s="58">
        <f>IF(ISNA(VLOOKUP($CW221,'Audit Values'!$A:$BZ,2,FALSE)),'Preliminary SO66'!C220,VLOOKUP($CW221,'Audit Values'!$A:$BZ,76,FALSE))</f>
        <v>260</v>
      </c>
      <c r="Q221" s="58">
        <f>IF(ISNA(VLOOKUP($CW221,'Audit Values'!$A:$BZ,2,FALSE)),'Preliminary SO66'!F220,VLOOKUP($CW221,'Audit Values'!$A:$BZ,4,FALSE))</f>
        <v>0</v>
      </c>
      <c r="R221" s="58">
        <f t="shared" si="133"/>
        <v>260</v>
      </c>
      <c r="S221" s="58">
        <f>IF('Military Provision'!I221="YES", MAX('2024 Legal Max'!O221,'2024 Legal Max'!K221,AVERAGE('2024 Legal Max'!G221,'2024 Legal Max'!K221,'2024 Legal Max'!O221)), MAX(O221, K221))</f>
        <v>273</v>
      </c>
      <c r="T221" s="58">
        <f>IF(ISNA(VLOOKUP($CW221,'Audit Values'!$A:$BX,2,FALSE)),'Preliminary SO66'!AL220,VLOOKUP($CW221,'Audit Values'!$A:$BX,59,FALSE))</f>
        <v>1.5</v>
      </c>
      <c r="U221" s="58">
        <f t="shared" si="134"/>
        <v>274.5</v>
      </c>
      <c r="V221" s="58">
        <f>'Low-High ENRL- 2023 HSubSB 113'!N224</f>
        <v>151.5</v>
      </c>
      <c r="W221" s="58">
        <f>IF(ISNA(VLOOKUP($CW221,'Audit Values'!$A:$BZ,2,FALSE)),'Preliminary SO66'!AM220,VLOOKUP($CW221,'Audit Values'!$A:$BZ,63,FALSE))</f>
        <v>0</v>
      </c>
      <c r="X221" s="58">
        <f>(W221/6)*'Weighting Factors'!$O$7</f>
        <v>0</v>
      </c>
      <c r="Y221" s="61">
        <f>IF(ISNA(VLOOKUP($CW221,'Audit Values'!$A:$BZ,2,FALSE)),'Preliminary SO66'!AN220,VLOOKUP($CW221,'Audit Values'!$A:$BZ,62,FALSE))</f>
        <v>0</v>
      </c>
      <c r="Z221" s="58">
        <f>Y221*'Weighting Factors'!$O$8</f>
        <v>0</v>
      </c>
      <c r="AA221" s="58">
        <f t="shared" si="135"/>
        <v>0</v>
      </c>
      <c r="AB221" s="106">
        <f>IF(ISNA(VLOOKUP($CW221,'Audit Values'!$A:$BZ,2,FALSE)),'Preliminary SO66'!AO220,VLOOKUP($CW221,'Audit Values'!$A:$BZ,61,FALSE))</f>
        <v>136.4</v>
      </c>
      <c r="AC221" s="58">
        <f>AB221/6*'Weighting Factors'!$O$6</f>
        <v>11.4</v>
      </c>
      <c r="AD221" s="24">
        <f>IF(ISNA(VLOOKUP($CW221,'Audit Values'!$A:$BX,2,FALSE)),'Preliminary SO66'!AS220,VLOOKUP($CW221,'Audit Values'!$A:$BX,64,FALSE))</f>
        <v>264</v>
      </c>
      <c r="AE221" s="24">
        <f>IF(ISNA(VLOOKUP($CW221,'Audit Values'!$A:$BX,2,FALSE)),'Preliminary SO66'!AP220,VLOOKUP($CW221,'Audit Values'!$A:$BX,65,FALSE))</f>
        <v>60</v>
      </c>
      <c r="AF221" s="58">
        <f>IF(A221=207, AE221,(AE221))*'Weighting Factors'!$O$9</f>
        <v>29</v>
      </c>
      <c r="AG221" s="58">
        <f t="shared" si="168"/>
        <v>0</v>
      </c>
      <c r="AH221" s="58">
        <f>IF(ISNA(VLOOKUP($CW221,'Audit Values'!$A:$BZ,2,FALSE)),'Preliminary SO66'!AG220,VLOOKUP($CW221,'Audit Values'!$A:$BZ,71,FALSE))</f>
        <v>0</v>
      </c>
      <c r="AI221" s="58">
        <f t="shared" si="136"/>
        <v>0</v>
      </c>
      <c r="AJ221" s="58">
        <f>IF(ISNA(VLOOKUP($CW221,'Audit Values'!$A:$BX,2,FALSE)),'Preliminary SO66'!AR220,VLOOKUP($CW221,'Audit Values'!$A:$BX,66,FALSE))</f>
        <v>33</v>
      </c>
      <c r="AK221" s="24">
        <f t="shared" si="137"/>
        <v>53213</v>
      </c>
      <c r="AL221" s="58">
        <f>AK221/'Weighting Factors'!$O$5</f>
        <v>10.5</v>
      </c>
      <c r="AM221" s="58">
        <f>CJ221/'Weighting Factors'!$O$5</f>
        <v>0</v>
      </c>
      <c r="AN221" s="58">
        <f>CN221/'Weighting Factors'!$O$5</f>
        <v>0</v>
      </c>
      <c r="AO221" s="24">
        <v>305109</v>
      </c>
      <c r="AP221" s="58">
        <f>AO221/'Weighting Factors'!$O$5</f>
        <v>60</v>
      </c>
      <c r="AQ221" s="58">
        <f>IF(ISNA(VLOOKUP($CW221,'Audit Values'!$A:$BX,2,FALSE)),'Preliminary SO66'!X220,VLOOKUP($CW221,'Audit Values'!$A:$BX,48,FALSE))</f>
        <v>0</v>
      </c>
      <c r="AR221" s="58">
        <f t="shared" si="166"/>
        <v>536.9</v>
      </c>
      <c r="AS221" s="58">
        <f t="shared" si="167"/>
        <v>476.9</v>
      </c>
      <c r="AT221" s="58">
        <f>IF(ISNA(VLOOKUP($CW221,'Audit Values'!$A$2:$BX$410,2,FALSE)),'Preliminary SO66'!AA220,VLOOKUP($CW221,'Audit Values'!$A$2:$BX$410,41,FALSE))</f>
        <v>0</v>
      </c>
      <c r="AU221" s="58">
        <f>IF(ISNA(VLOOKUP($CW221,'Audit Values'!$A$2:$BX$410,2,FALSE)),'Preliminary SO66'!AB220,VLOOKUP($CW221,'Audit Values'!$A$2:$BX$410,42,FALSE))</f>
        <v>0</v>
      </c>
      <c r="AV221" s="73">
        <v>0</v>
      </c>
      <c r="AW221" s="73">
        <v>0</v>
      </c>
      <c r="AX221" s="24">
        <f>SUM(AT221*'Weighting Factors'!$R$10)+('2024 Legal Max'!AU221*'Weighting Factors'!$R$11)+('2024 Legal Max'!AV221*'Weighting Factors'!$R$12)+('2024 Legal Max'!AW221*'Weighting Factors'!$R$12)</f>
        <v>0</v>
      </c>
      <c r="AY221" s="54">
        <f>IF(ISNA(VLOOKUP($CW221,'Audit Values'!$A$2:$BX$429,2,FALSE)),"",IF(AND('Weighting Factors'!G221&gt;0,VLOOKUP($CW221,'Audit Values'!$A$2:$BX$429,51,FALSE)&lt;'Weighting Factors'!G221),'Weighting Factors'!G221,VLOOKUP($CW221,'Audit Values'!$A$2:$BX$429,51,FALSE)))</f>
        <v>7</v>
      </c>
      <c r="AZ221" s="54" t="str">
        <f>IF(ISNA(VLOOKUP($CW221,'Audit Values'!$A:$BY,2,FALSE)),"",VLOOKUP($CW221,'Audit Values'!$A:$BY,52,FALSE))</f>
        <v>A</v>
      </c>
      <c r="BA221" s="54" t="str">
        <f>IF('Weighting Factors'!F221="","",IF('Weighting Factors'!H221="Pending","PX","R"))</f>
        <v/>
      </c>
      <c r="BB221" s="60">
        <f>SUM((U221+V221+AA221+AC221+AF221+AI221+AL221+AM221+AQ221+AN221)*'Weighting Factors'!$O$5)+'2024 Legal Max'!AX221</f>
        <v>2426467</v>
      </c>
      <c r="BC221" s="24">
        <f>SUM((AR221+AN221)*'Weighting Factors'!$O$5)+AX221</f>
        <v>2731747</v>
      </c>
      <c r="BD221" s="67">
        <f>IF('Weighting Factors'!F221&gt;0,'Weighting Factors'!F221,'Preliminary SO66'!AV220)</f>
        <v>2770925</v>
      </c>
      <c r="BE221" s="24">
        <f t="shared" si="138"/>
        <v>2731747</v>
      </c>
      <c r="BF221" s="71">
        <f>'Weighting Factors'!E221</f>
        <v>0</v>
      </c>
      <c r="BG221" s="71">
        <f>Transportation!G221</f>
        <v>0</v>
      </c>
      <c r="BH221" s="24">
        <f>IF(ISNA(VLOOKUP($CW221,'Audit Values'!$A:$BW,2,FALSE)), 0, VLOOKUP($CW221,'Audit Values'!$A:$BW,75,FALSE))</f>
        <v>0</v>
      </c>
      <c r="BI221" s="24">
        <f t="shared" si="139"/>
        <v>0</v>
      </c>
      <c r="BJ221" s="24">
        <f t="shared" si="140"/>
        <v>2731747</v>
      </c>
      <c r="BK221" s="24">
        <f>SUM((U221+V221+AA221+AC221+AF221+AI221+AL221+AM221+AN221)*'Weighting Factors'!O$12)+(MAX(AO221,'Weighting Factors'!B221))</f>
        <v>2764959</v>
      </c>
      <c r="BL221" s="78">
        <f>'LOB%'!F219</f>
        <v>0.33</v>
      </c>
      <c r="BM221" s="24">
        <f t="shared" si="147"/>
        <v>912436</v>
      </c>
      <c r="BN221" s="67">
        <v>925607</v>
      </c>
      <c r="BO221" s="24">
        <f t="shared" si="141"/>
        <v>912436</v>
      </c>
      <c r="BP221" s="89">
        <f t="shared" si="148"/>
        <v>0.33</v>
      </c>
      <c r="BQ221" s="58">
        <f t="shared" si="149"/>
        <v>0</v>
      </c>
      <c r="BR221" s="1" t="b">
        <f t="shared" si="150"/>
        <v>1</v>
      </c>
      <c r="BS221" s="76">
        <f t="shared" si="151"/>
        <v>1684.798</v>
      </c>
      <c r="BT221" s="75">
        <f t="shared" si="142"/>
        <v>0.55178000000000005</v>
      </c>
      <c r="BU221" s="58">
        <f t="shared" si="152"/>
        <v>151.5</v>
      </c>
      <c r="BV221" s="1" t="b">
        <f t="shared" si="153"/>
        <v>0</v>
      </c>
      <c r="BW221" s="1">
        <f t="shared" si="154"/>
        <v>0</v>
      </c>
      <c r="BX221" s="75">
        <f t="shared" si="143"/>
        <v>0</v>
      </c>
      <c r="BY221" s="58">
        <f t="shared" si="155"/>
        <v>0</v>
      </c>
      <c r="BZ221" s="58">
        <f t="shared" si="156"/>
        <v>0</v>
      </c>
      <c r="CA221" s="61">
        <v>193.3</v>
      </c>
      <c r="CB221" s="102">
        <f t="shared" si="157"/>
        <v>0.17100000000000001</v>
      </c>
      <c r="CC221" s="105">
        <f>IF(CB221&lt;0.06,1,IF(CB221&gt;=18.29,52,MATCH(CB221-0.001,'Weighting Factors'!$W$5:$W$156)+1))</f>
        <v>13</v>
      </c>
      <c r="CD221" s="24">
        <f>VLOOKUP(CC221, 'Weighting Factors'!$U$5:$X$56,4)</f>
        <v>1320</v>
      </c>
      <c r="CE221" s="109">
        <f>('Weighting Factors'!$O$5/'Weighting Factors'!$O$14)</f>
        <v>1.2216</v>
      </c>
      <c r="CF221" s="100">
        <f t="shared" si="158"/>
        <v>43560</v>
      </c>
      <c r="CG221" s="100">
        <f>CF221*'Weighting Factors'!$Q$7</f>
        <v>43560</v>
      </c>
      <c r="CH221" s="100">
        <f t="shared" si="144"/>
        <v>53213</v>
      </c>
      <c r="CI221" s="58">
        <f>AK221/'Weighting Factors'!$O$5</f>
        <v>10.5</v>
      </c>
      <c r="CJ221" s="67">
        <v>0</v>
      </c>
      <c r="CK221" s="80">
        <v>0</v>
      </c>
      <c r="CL221" s="110">
        <v>0</v>
      </c>
      <c r="CM221" s="24">
        <f>SUM((AR221*'Weighting Factors'!$O$5)+'2024 Legal Max'!AX221)*CL221</f>
        <v>0</v>
      </c>
      <c r="CN221" s="24">
        <f t="shared" si="145"/>
        <v>0</v>
      </c>
      <c r="CO221" s="65">
        <f t="shared" si="146"/>
        <v>0.2273</v>
      </c>
      <c r="CP221" s="58">
        <f t="shared" si="159"/>
        <v>0</v>
      </c>
      <c r="CQ221" s="58">
        <f t="shared" si="160"/>
        <v>0</v>
      </c>
      <c r="CR221" s="58">
        <f t="shared" si="161"/>
        <v>536.9</v>
      </c>
      <c r="CS221" s="24">
        <f>'Required Transfers'!L221</f>
        <v>49454</v>
      </c>
      <c r="CT221" s="24">
        <f>'Required Transfers'!O221</f>
        <v>0</v>
      </c>
      <c r="CU221" s="24">
        <f>'Required Transfers'!H221</f>
        <v>147552</v>
      </c>
      <c r="CV221" s="58">
        <f t="shared" si="162"/>
        <v>261.5</v>
      </c>
      <c r="CW221" s="27" t="s">
        <v>406</v>
      </c>
    </row>
    <row r="222" spans="1:101" ht="15" customHeight="1">
      <c r="A222" s="54">
        <v>434</v>
      </c>
      <c r="B222" s="1" t="s">
        <v>96</v>
      </c>
      <c r="C222" s="1" t="s">
        <v>726</v>
      </c>
      <c r="D222" s="58">
        <v>954.5</v>
      </c>
      <c r="E222" s="58"/>
      <c r="F222" s="58">
        <v>0</v>
      </c>
      <c r="G222" s="58">
        <f t="shared" si="163"/>
        <v>954.5</v>
      </c>
      <c r="H222" s="58">
        <v>982.5</v>
      </c>
      <c r="I222" s="58"/>
      <c r="J222" s="58">
        <v>0</v>
      </c>
      <c r="K222" s="58">
        <f t="shared" si="164"/>
        <v>982.5</v>
      </c>
      <c r="L222" s="1">
        <v>1001</v>
      </c>
      <c r="N222" s="1">
        <v>0</v>
      </c>
      <c r="O222" s="58">
        <f t="shared" si="165"/>
        <v>1001</v>
      </c>
      <c r="P222" s="58">
        <f>IF(ISNA(VLOOKUP($CW222,'Audit Values'!$A:$BZ,2,FALSE)),'Preliminary SO66'!C221,VLOOKUP($CW222,'Audit Values'!$A:$BZ,76,FALSE))</f>
        <v>988.7</v>
      </c>
      <c r="Q222" s="58">
        <f>IF(ISNA(VLOOKUP($CW222,'Audit Values'!$A:$BZ,2,FALSE)),'Preliminary SO66'!F221,VLOOKUP($CW222,'Audit Values'!$A:$BZ,4,FALSE))</f>
        <v>0</v>
      </c>
      <c r="R222" s="58">
        <f t="shared" si="133"/>
        <v>988.7</v>
      </c>
      <c r="S222" s="58">
        <f>IF('Military Provision'!I222="YES", MAX('2024 Legal Max'!O222,'2024 Legal Max'!K222,AVERAGE('2024 Legal Max'!G222,'2024 Legal Max'!K222,'2024 Legal Max'!O222)), MAX(O222, K222))</f>
        <v>1001</v>
      </c>
      <c r="T222" s="58">
        <f>IF(ISNA(VLOOKUP($CW222,'Audit Values'!$A:$BX,2,FALSE)),'Preliminary SO66'!AL221,VLOOKUP($CW222,'Audit Values'!$A:$BX,59,FALSE))</f>
        <v>11.5</v>
      </c>
      <c r="U222" s="58">
        <f t="shared" si="134"/>
        <v>1012.5</v>
      </c>
      <c r="V222" s="58">
        <f>'Low-High ENRL- 2023 HSubSB 113'!N225</f>
        <v>245.1</v>
      </c>
      <c r="W222" s="58">
        <f>IF(ISNA(VLOOKUP($CW222,'Audit Values'!$A:$BZ,2,FALSE)),'Preliminary SO66'!AM221,VLOOKUP($CW222,'Audit Values'!$A:$BZ,63,FALSE))</f>
        <v>0</v>
      </c>
      <c r="X222" s="58">
        <f>(W222/6)*'Weighting Factors'!$O$7</f>
        <v>0</v>
      </c>
      <c r="Y222" s="61">
        <f>IF(ISNA(VLOOKUP($CW222,'Audit Values'!$A:$BZ,2,FALSE)),'Preliminary SO66'!AN221,VLOOKUP($CW222,'Audit Values'!$A:$BZ,62,FALSE))</f>
        <v>0</v>
      </c>
      <c r="Z222" s="58">
        <f>Y222*'Weighting Factors'!$O$8</f>
        <v>0</v>
      </c>
      <c r="AA222" s="58">
        <f t="shared" si="135"/>
        <v>0</v>
      </c>
      <c r="AB222" s="106">
        <f>IF(ISNA(VLOOKUP($CW222,'Audit Values'!$A:$BZ,2,FALSE)),'Preliminary SO66'!AO221,VLOOKUP($CW222,'Audit Values'!$A:$BZ,61,FALSE))</f>
        <v>177.5</v>
      </c>
      <c r="AC222" s="58">
        <f>AB222/6*'Weighting Factors'!$O$6</f>
        <v>14.8</v>
      </c>
      <c r="AD222" s="24">
        <f>IF(ISNA(VLOOKUP($CW222,'Audit Values'!$A:$BX,2,FALSE)),'Preliminary SO66'!AS221,VLOOKUP($CW222,'Audit Values'!$A:$BX,64,FALSE))</f>
        <v>1026</v>
      </c>
      <c r="AE222" s="24">
        <f>IF(ISNA(VLOOKUP($CW222,'Audit Values'!$A:$BX,2,FALSE)),'Preliminary SO66'!AP221,VLOOKUP($CW222,'Audit Values'!$A:$BX,65,FALSE))</f>
        <v>397</v>
      </c>
      <c r="AF222" s="58">
        <f>IF(A222=207, AE222,(AE222))*'Weighting Factors'!$O$9</f>
        <v>192.1</v>
      </c>
      <c r="AG222" s="58">
        <f t="shared" si="168"/>
        <v>10.3</v>
      </c>
      <c r="AH222" s="58">
        <f>IF(ISNA(VLOOKUP($CW222,'Audit Values'!$A:$BZ,2,FALSE)),'Preliminary SO66'!AG221,VLOOKUP($CW222,'Audit Values'!$A:$BZ,71,FALSE))</f>
        <v>10.4</v>
      </c>
      <c r="AI222" s="58">
        <f t="shared" si="136"/>
        <v>10.4</v>
      </c>
      <c r="AJ222" s="58">
        <f>IF(ISNA(VLOOKUP($CW222,'Audit Values'!$A:$BX,2,FALSE)),'Preliminary SO66'!AR221,VLOOKUP($CW222,'Audit Values'!$A:$BX,66,FALSE))</f>
        <v>669.5</v>
      </c>
      <c r="AK222" s="24">
        <f t="shared" si="137"/>
        <v>629753</v>
      </c>
      <c r="AL222" s="58">
        <f>AK222/'Weighting Factors'!$O$5</f>
        <v>123.8</v>
      </c>
      <c r="AM222" s="58">
        <f>CJ222/'Weighting Factors'!$O$5</f>
        <v>0</v>
      </c>
      <c r="AN222" s="58">
        <f>CN222/'Weighting Factors'!$O$5</f>
        <v>0</v>
      </c>
      <c r="AO222" s="24">
        <v>1303530</v>
      </c>
      <c r="AP222" s="58">
        <f>AO222/'Weighting Factors'!$O$5</f>
        <v>256.2</v>
      </c>
      <c r="AQ222" s="58">
        <f>IF(ISNA(VLOOKUP($CW222,'Audit Values'!$A:$BX,2,FALSE)),'Preliminary SO66'!X221,VLOOKUP($CW222,'Audit Values'!$A:$BX,48,FALSE))</f>
        <v>0</v>
      </c>
      <c r="AR222" s="58">
        <f t="shared" si="166"/>
        <v>1854.9</v>
      </c>
      <c r="AS222" s="58">
        <f t="shared" si="167"/>
        <v>1598.7</v>
      </c>
      <c r="AT222" s="58">
        <f>IF(ISNA(VLOOKUP($CW222,'Audit Values'!$A$2:$BX$410,2,FALSE)),'Preliminary SO66'!AA221,VLOOKUP($CW222,'Audit Values'!$A$2:$BX$410,41,FALSE))</f>
        <v>6</v>
      </c>
      <c r="AU222" s="58">
        <f>IF(ISNA(VLOOKUP($CW222,'Audit Values'!$A$2:$BX$410,2,FALSE)),'Preliminary SO66'!AB221,VLOOKUP($CW222,'Audit Values'!$A$2:$BX$410,42,FALSE))</f>
        <v>0</v>
      </c>
      <c r="AV222" s="73">
        <v>0</v>
      </c>
      <c r="AW222" s="73">
        <v>0</v>
      </c>
      <c r="AX222" s="24">
        <f>SUM(AT222*'Weighting Factors'!$R$10)+('2024 Legal Max'!AU222*'Weighting Factors'!$R$11)+('2024 Legal Max'!AV222*'Weighting Factors'!$R$12)+('2024 Legal Max'!AW222*'Weighting Factors'!$R$12)</f>
        <v>33600</v>
      </c>
      <c r="AY222" s="54">
        <f>IF(ISNA(VLOOKUP($CW222,'Audit Values'!$A$2:$BX$429,2,FALSE)),"",IF(AND('Weighting Factors'!G222&gt;0,VLOOKUP($CW222,'Audit Values'!$A$2:$BX$429,51,FALSE)&lt;'Weighting Factors'!G222),'Weighting Factors'!G222,VLOOKUP($CW222,'Audit Values'!$A$2:$BX$429,51,FALSE)))</f>
        <v>6</v>
      </c>
      <c r="AZ222" s="54" t="str">
        <f>IF(ISNA(VLOOKUP($CW222,'Audit Values'!$A:$BY,2,FALSE)),"",VLOOKUP($CW222,'Audit Values'!$A:$BY,52,FALSE))</f>
        <v>A</v>
      </c>
      <c r="BA222" s="54" t="str">
        <f>IF('Weighting Factors'!F222="","",IF('Weighting Factors'!H222="Pending","PX","R"))</f>
        <v/>
      </c>
      <c r="BB222" s="60">
        <f>SUM((U222+V222+AA222+AC222+AF222+AI222+AL222+AM222+AQ222+AN222)*'Weighting Factors'!$O$5)+'2024 Legal Max'!AX222</f>
        <v>8167786</v>
      </c>
      <c r="BC222" s="24">
        <f>SUM((AR222+AN222)*'Weighting Factors'!$O$5)+AX222</f>
        <v>9471331</v>
      </c>
      <c r="BD222" s="67">
        <f>IF('Weighting Factors'!F222&gt;0,'Weighting Factors'!F222,'Preliminary SO66'!AV221)</f>
        <v>9790476</v>
      </c>
      <c r="BE222" s="24">
        <f t="shared" si="138"/>
        <v>9471331</v>
      </c>
      <c r="BF222" s="71">
        <f>'Weighting Factors'!E222</f>
        <v>0</v>
      </c>
      <c r="BG222" s="71">
        <f>Transportation!G222</f>
        <v>0</v>
      </c>
      <c r="BH222" s="24">
        <f>IF(ISNA(VLOOKUP($CW222,'Audit Values'!$A:$BW,2,FALSE)), 0, VLOOKUP($CW222,'Audit Values'!$A:$BW,75,FALSE))</f>
        <v>-3545</v>
      </c>
      <c r="BI222" s="24">
        <f t="shared" si="139"/>
        <v>-3545</v>
      </c>
      <c r="BJ222" s="24">
        <f t="shared" si="140"/>
        <v>9467786</v>
      </c>
      <c r="BK222" s="24">
        <f>SUM((U222+V222+AA222+AC222+AF222+AI222+AL222+AM222+AN222)*'Weighting Factors'!O$12)+(MAX(AO222,'Weighting Factors'!B222))</f>
        <v>9657890</v>
      </c>
      <c r="BL222" s="78">
        <f>'LOB%'!F220</f>
        <v>0.33</v>
      </c>
      <c r="BM222" s="24">
        <f t="shared" si="147"/>
        <v>3187104</v>
      </c>
      <c r="BN222" s="67">
        <v>3246108</v>
      </c>
      <c r="BO222" s="24">
        <f t="shared" si="141"/>
        <v>3187104</v>
      </c>
      <c r="BP222" s="89">
        <f t="shared" si="148"/>
        <v>0.33</v>
      </c>
      <c r="BQ222" s="58">
        <f t="shared" si="149"/>
        <v>0</v>
      </c>
      <c r="BR222" s="1" t="b">
        <f t="shared" si="150"/>
        <v>0</v>
      </c>
      <c r="BS222" s="76">
        <f t="shared" si="151"/>
        <v>0</v>
      </c>
      <c r="BT222" s="75">
        <f t="shared" si="142"/>
        <v>0</v>
      </c>
      <c r="BU222" s="58">
        <f t="shared" si="152"/>
        <v>0</v>
      </c>
      <c r="BV222" s="1" t="b">
        <f t="shared" si="153"/>
        <v>1</v>
      </c>
      <c r="BW222" s="1">
        <f t="shared" si="154"/>
        <v>881.71879999999999</v>
      </c>
      <c r="BX222" s="75">
        <f t="shared" si="143"/>
        <v>0.242115</v>
      </c>
      <c r="BY222" s="58">
        <f t="shared" si="155"/>
        <v>245.1</v>
      </c>
      <c r="BZ222" s="58">
        <f t="shared" si="156"/>
        <v>0</v>
      </c>
      <c r="CA222" s="61">
        <v>201</v>
      </c>
      <c r="CB222" s="102">
        <f t="shared" si="157"/>
        <v>3.331</v>
      </c>
      <c r="CC222" s="105">
        <f>IF(CB222&lt;0.06,1,IF(CB222&gt;=18.29,52,MATCH(CB222-0.001,'Weighting Factors'!$W$5:$W$156)+1))</f>
        <v>41</v>
      </c>
      <c r="CD222" s="24">
        <f>VLOOKUP(CC222, 'Weighting Factors'!$U$5:$X$56,4)</f>
        <v>770</v>
      </c>
      <c r="CE222" s="109">
        <f>('Weighting Factors'!$O$5/'Weighting Factors'!$O$14)</f>
        <v>1.2216</v>
      </c>
      <c r="CF222" s="100">
        <f t="shared" si="158"/>
        <v>515515</v>
      </c>
      <c r="CG222" s="100">
        <f>CF222*'Weighting Factors'!$Q$7</f>
        <v>515515</v>
      </c>
      <c r="CH222" s="100">
        <f t="shared" si="144"/>
        <v>629753</v>
      </c>
      <c r="CI222" s="58">
        <f>AK222/'Weighting Factors'!$O$5</f>
        <v>123.8</v>
      </c>
      <c r="CJ222" s="67">
        <v>0</v>
      </c>
      <c r="CK222" s="80">
        <v>0</v>
      </c>
      <c r="CL222" s="110">
        <v>0</v>
      </c>
      <c r="CM222" s="24">
        <f>SUM((AR222*'Weighting Factors'!$O$5)+'2024 Legal Max'!AX222)*CL222</f>
        <v>0</v>
      </c>
      <c r="CN222" s="24">
        <f t="shared" si="145"/>
        <v>0</v>
      </c>
      <c r="CO222" s="65">
        <f t="shared" si="146"/>
        <v>0.38690000000000002</v>
      </c>
      <c r="CP222" s="58">
        <f t="shared" si="159"/>
        <v>0</v>
      </c>
      <c r="CQ222" s="58">
        <f t="shared" si="160"/>
        <v>10.3</v>
      </c>
      <c r="CR222" s="58">
        <f t="shared" si="161"/>
        <v>1854.9</v>
      </c>
      <c r="CS222" s="24">
        <f>'Required Transfers'!L222</f>
        <v>332096</v>
      </c>
      <c r="CT222" s="24">
        <f>'Required Transfers'!O222</f>
        <v>0</v>
      </c>
      <c r="CU222" s="24">
        <f>'Required Transfers'!H222</f>
        <v>1030320</v>
      </c>
      <c r="CV222" s="58">
        <f t="shared" si="162"/>
        <v>1006.2</v>
      </c>
      <c r="CW222" s="27" t="s">
        <v>407</v>
      </c>
    </row>
    <row r="223" spans="1:101" ht="15" customHeight="1">
      <c r="A223" s="54">
        <v>435</v>
      </c>
      <c r="B223" s="1" t="s">
        <v>87</v>
      </c>
      <c r="C223" s="1" t="s">
        <v>727</v>
      </c>
      <c r="D223" s="58">
        <v>1377</v>
      </c>
      <c r="E223" s="58"/>
      <c r="F223" s="58">
        <v>0</v>
      </c>
      <c r="G223" s="58">
        <f t="shared" si="163"/>
        <v>1377</v>
      </c>
      <c r="H223" s="58">
        <v>1388.5</v>
      </c>
      <c r="I223" s="58"/>
      <c r="J223" s="58">
        <v>0</v>
      </c>
      <c r="K223" s="58">
        <f t="shared" si="164"/>
        <v>1388.5</v>
      </c>
      <c r="L223" s="1">
        <v>1364.6</v>
      </c>
      <c r="N223" s="1">
        <v>0</v>
      </c>
      <c r="O223" s="58">
        <f t="shared" si="165"/>
        <v>1364.6</v>
      </c>
      <c r="P223" s="58">
        <f>IF(ISNA(VLOOKUP($CW223,'Audit Values'!$A:$BZ,2,FALSE)),'Preliminary SO66'!C222,VLOOKUP($CW223,'Audit Values'!$A:$BZ,76,FALSE))</f>
        <v>1328.1</v>
      </c>
      <c r="Q223" s="58">
        <f>IF(ISNA(VLOOKUP($CW223,'Audit Values'!$A:$BZ,2,FALSE)),'Preliminary SO66'!F222,VLOOKUP($CW223,'Audit Values'!$A:$BZ,4,FALSE))</f>
        <v>0</v>
      </c>
      <c r="R223" s="58">
        <f t="shared" ref="R223:R285" si="169">SUM(P223+Q223)</f>
        <v>1328.1</v>
      </c>
      <c r="S223" s="58">
        <f>IF('Military Provision'!I223="YES", MAX('2024 Legal Max'!O223,'2024 Legal Max'!K223,AVERAGE('2024 Legal Max'!G223,'2024 Legal Max'!K223,'2024 Legal Max'!O223)), MAX(O223, K223))</f>
        <v>1388.5</v>
      </c>
      <c r="T223" s="58">
        <f>IF(ISNA(VLOOKUP($CW223,'Audit Values'!$A:$BX,2,FALSE)),'Preliminary SO66'!AL222,VLOOKUP($CW223,'Audit Values'!$A:$BX,59,FALSE))</f>
        <v>18</v>
      </c>
      <c r="U223" s="58">
        <f t="shared" ref="U223:U285" si="170">S223+T223</f>
        <v>1406.5</v>
      </c>
      <c r="V223" s="58">
        <f>'Low-High ENRL- 2023 HSubSB 113'!N226</f>
        <v>152.30000000000001</v>
      </c>
      <c r="W223" s="58">
        <f>IF(ISNA(VLOOKUP($CW223,'Audit Values'!$A:$BZ,2,FALSE)),'Preliminary SO66'!AM222,VLOOKUP($CW223,'Audit Values'!$A:$BZ,63,FALSE))</f>
        <v>31.8</v>
      </c>
      <c r="X223" s="58">
        <f>(W223/6)*'Weighting Factors'!$O$7</f>
        <v>2.1</v>
      </c>
      <c r="Y223" s="61">
        <f>IF(ISNA(VLOOKUP($CW223,'Audit Values'!$A:$BZ,2,FALSE)),'Preliminary SO66'!AN222,VLOOKUP($CW223,'Audit Values'!$A:$BZ,62,FALSE))</f>
        <v>24</v>
      </c>
      <c r="Z223" s="58">
        <f>Y223*'Weighting Factors'!$O$8</f>
        <v>4.4000000000000004</v>
      </c>
      <c r="AA223" s="58">
        <f t="shared" ref="AA223:AA285" si="171">MAX(X223,Z223)</f>
        <v>4.4000000000000004</v>
      </c>
      <c r="AB223" s="106">
        <f>IF(ISNA(VLOOKUP($CW223,'Audit Values'!$A:$BZ,2,FALSE)),'Preliminary SO66'!AO222,VLOOKUP($CW223,'Audit Values'!$A:$BZ,61,FALSE))</f>
        <v>570.1</v>
      </c>
      <c r="AC223" s="58">
        <f>AB223/6*'Weighting Factors'!$O$6</f>
        <v>47.5</v>
      </c>
      <c r="AD223" s="24">
        <f>IF(ISNA(VLOOKUP($CW223,'Audit Values'!$A:$BX,2,FALSE)),'Preliminary SO66'!AS222,VLOOKUP($CW223,'Audit Values'!$A:$BX,64,FALSE))</f>
        <v>1455</v>
      </c>
      <c r="AE223" s="24">
        <f>IF(ISNA(VLOOKUP($CW223,'Audit Values'!$A:$BX,2,FALSE)),'Preliminary SO66'!AP222,VLOOKUP($CW223,'Audit Values'!$A:$BX,65,FALSE))</f>
        <v>569</v>
      </c>
      <c r="AF223" s="58">
        <f>IF(A223=207, AE223,(AE223))*'Weighting Factors'!$O$9</f>
        <v>275.39999999999998</v>
      </c>
      <c r="AG223" s="58">
        <f t="shared" si="168"/>
        <v>16.399999999999999</v>
      </c>
      <c r="AH223" s="58">
        <f>IF(ISNA(VLOOKUP($CW223,'Audit Values'!$A:$BZ,2,FALSE)),'Preliminary SO66'!AG222,VLOOKUP($CW223,'Audit Values'!$A:$BZ,71,FALSE))</f>
        <v>21.8</v>
      </c>
      <c r="AI223" s="58">
        <f t="shared" ref="AI223:AI285" si="172">MAX(AG223, AH223)</f>
        <v>21.8</v>
      </c>
      <c r="AJ223" s="58">
        <f>IF(ISNA(VLOOKUP($CW223,'Audit Values'!$A:$BX,2,FALSE)),'Preliminary SO66'!AR222,VLOOKUP($CW223,'Audit Values'!$A:$BX,66,FALSE))</f>
        <v>227</v>
      </c>
      <c r="AK223" s="24">
        <f t="shared" ref="AK223:AK285" si="173">CH223</f>
        <v>230162</v>
      </c>
      <c r="AL223" s="58">
        <f>AK223/'Weighting Factors'!$O$5</f>
        <v>45.2</v>
      </c>
      <c r="AM223" s="58">
        <f>CJ223/'Weighting Factors'!$O$5</f>
        <v>0</v>
      </c>
      <c r="AN223" s="58">
        <f>CN223/'Weighting Factors'!$O$5</f>
        <v>0</v>
      </c>
      <c r="AO223" s="24">
        <v>1474438</v>
      </c>
      <c r="AP223" s="58">
        <f>AO223/'Weighting Factors'!$O$5</f>
        <v>289.8</v>
      </c>
      <c r="AQ223" s="58">
        <f>IF(ISNA(VLOOKUP($CW223,'Audit Values'!$A:$BX,2,FALSE)),'Preliminary SO66'!X222,VLOOKUP($CW223,'Audit Values'!$A:$BX,48,FALSE))</f>
        <v>0</v>
      </c>
      <c r="AR223" s="58">
        <f t="shared" si="166"/>
        <v>2242.9</v>
      </c>
      <c r="AS223" s="58">
        <f t="shared" si="167"/>
        <v>1953.1</v>
      </c>
      <c r="AT223" s="58">
        <f>IF(ISNA(VLOOKUP($CW223,'Audit Values'!$A$2:$BX$410,2,FALSE)),'Preliminary SO66'!AA222,VLOOKUP($CW223,'Audit Values'!$A$2:$BX$410,41,FALSE))</f>
        <v>6</v>
      </c>
      <c r="AU223" s="58">
        <f>IF(ISNA(VLOOKUP($CW223,'Audit Values'!$A$2:$BX$410,2,FALSE)),'Preliminary SO66'!AB222,VLOOKUP($CW223,'Audit Values'!$A$2:$BX$410,42,FALSE))</f>
        <v>10.199999999999999</v>
      </c>
      <c r="AV223" s="73">
        <v>13.5</v>
      </c>
      <c r="AW223" s="73">
        <v>0</v>
      </c>
      <c r="AX223" s="24">
        <f>SUM(AT223*'Weighting Factors'!$R$10)+('2024 Legal Max'!AU223*'Weighting Factors'!$R$11)+('2024 Legal Max'!AV223*'Weighting Factors'!$R$12)+('2024 Legal Max'!AW223*'Weighting Factors'!$R$12)</f>
        <v>71732</v>
      </c>
      <c r="AY223" s="54">
        <f>IF(ISNA(VLOOKUP($CW223,'Audit Values'!$A$2:$BX$429,2,FALSE)),"",IF(AND('Weighting Factors'!G223&gt;0,VLOOKUP($CW223,'Audit Values'!$A$2:$BX$429,51,FALSE)&lt;'Weighting Factors'!G223),'Weighting Factors'!G223,VLOOKUP($CW223,'Audit Values'!$A$2:$BX$429,51,FALSE)))</f>
        <v>14</v>
      </c>
      <c r="AZ223" s="54" t="str">
        <f>IF(ISNA(VLOOKUP($CW223,'Audit Values'!$A:$BY,2,FALSE)),"",VLOOKUP($CW223,'Audit Values'!$A:$BY,52,FALSE))</f>
        <v>A</v>
      </c>
      <c r="BA223" s="54" t="str">
        <f>IF('Weighting Factors'!F223="","",IF('Weighting Factors'!H223="Pending","PX","R"))</f>
        <v/>
      </c>
      <c r="BB223" s="60">
        <f>SUM((U223+V223+AA223+AC223+AF223+AI223+AL223+AM223+AQ223+AN223)*'Weighting Factors'!$O$5)+'2024 Legal Max'!AX223</f>
        <v>10009105</v>
      </c>
      <c r="BC223" s="24">
        <f>SUM((AR223+AN223)*'Weighting Factors'!$O$5)+AX223</f>
        <v>11483607</v>
      </c>
      <c r="BD223" s="67">
        <f>IF('Weighting Factors'!F223&gt;0,'Weighting Factors'!F223,'Preliminary SO66'!AV222)</f>
        <v>11778052</v>
      </c>
      <c r="BE223" s="24">
        <f t="shared" ref="BE223:BE285" si="174">MIN(BC223,BD223)</f>
        <v>11483607</v>
      </c>
      <c r="BF223" s="71">
        <f>'Weighting Factors'!E223</f>
        <v>0</v>
      </c>
      <c r="BG223" s="71">
        <f>Transportation!G223</f>
        <v>0</v>
      </c>
      <c r="BH223" s="24">
        <f>IF(ISNA(VLOOKUP($CW223,'Audit Values'!$A:$BW,2,FALSE)), 0, VLOOKUP($CW223,'Audit Values'!$A:$BW,75,FALSE))</f>
        <v>-4254</v>
      </c>
      <c r="BI223" s="24">
        <f t="shared" ref="BI223:BI285" si="175">SUM(BF223:BH223)</f>
        <v>-4254</v>
      </c>
      <c r="BJ223" s="24">
        <f t="shared" ref="BJ223:BJ285" si="176">BE223+BI223</f>
        <v>11479353</v>
      </c>
      <c r="BK223" s="24">
        <f>SUM((U223+V223+AA223+AC223+AF223+AI223+AL223+AM223+AN223)*'Weighting Factors'!O$12)+(MAX(AO223,'Weighting Factors'!B223))</f>
        <v>11548528</v>
      </c>
      <c r="BL223" s="78">
        <f>'LOB%'!F221</f>
        <v>0.3</v>
      </c>
      <c r="BM223" s="24">
        <f t="shared" si="147"/>
        <v>3464558</v>
      </c>
      <c r="BN223" s="67">
        <v>3552462</v>
      </c>
      <c r="BO223" s="24">
        <f t="shared" ref="BO223:BO285" si="177">MIN(BM223,BN223)</f>
        <v>3464558</v>
      </c>
      <c r="BP223" s="89">
        <f t="shared" si="148"/>
        <v>0.3</v>
      </c>
      <c r="BQ223" s="58">
        <f t="shared" si="149"/>
        <v>0</v>
      </c>
      <c r="BR223" s="1" t="b">
        <f t="shared" si="150"/>
        <v>0</v>
      </c>
      <c r="BS223" s="76">
        <f t="shared" si="151"/>
        <v>0</v>
      </c>
      <c r="BT223" s="75">
        <f t="shared" ref="BT223:BT285" si="178">IF(BR223=TRUE,ROUND(((7337-BS223)/3642.4)-1,6),0)</f>
        <v>0</v>
      </c>
      <c r="BU223" s="58">
        <f t="shared" si="152"/>
        <v>0</v>
      </c>
      <c r="BV223" s="1" t="b">
        <f t="shared" si="153"/>
        <v>1</v>
      </c>
      <c r="BW223" s="1">
        <f t="shared" si="154"/>
        <v>1369.2937999999999</v>
      </c>
      <c r="BX223" s="75">
        <f t="shared" ref="BX223:BX285" si="179">IF(BV223=TRUE,ROUND(((5406-BW223)/3642.4)-1,6),0)</f>
        <v>0.108255</v>
      </c>
      <c r="BY223" s="58">
        <f t="shared" si="155"/>
        <v>152.30000000000001</v>
      </c>
      <c r="BZ223" s="58">
        <f t="shared" si="156"/>
        <v>0</v>
      </c>
      <c r="CA223" s="61">
        <v>101.5</v>
      </c>
      <c r="CB223" s="102">
        <f t="shared" si="157"/>
        <v>2.2360000000000002</v>
      </c>
      <c r="CC223" s="105">
        <f>IF(CB223&lt;0.06,1,IF(CB223&gt;=18.29,52,MATCH(CB223-0.001,'Weighting Factors'!$W$5:$W$156)+1))</f>
        <v>38</v>
      </c>
      <c r="CD223" s="24">
        <f>VLOOKUP(CC223, 'Weighting Factors'!$U$5:$X$56,4)</f>
        <v>830</v>
      </c>
      <c r="CE223" s="109">
        <f>('Weighting Factors'!$O$5/'Weighting Factors'!$O$14)</f>
        <v>1.2216</v>
      </c>
      <c r="CF223" s="100">
        <f t="shared" si="158"/>
        <v>188410</v>
      </c>
      <c r="CG223" s="100">
        <f>CF223*'Weighting Factors'!$Q$7</f>
        <v>188410</v>
      </c>
      <c r="CH223" s="100">
        <f t="shared" ref="CH223:CH285" si="180">CG223*CE223</f>
        <v>230162</v>
      </c>
      <c r="CI223" s="58">
        <f>AK223/'Weighting Factors'!$O$5</f>
        <v>45.2</v>
      </c>
      <c r="CJ223" s="67">
        <v>0</v>
      </c>
      <c r="CK223" s="80">
        <v>0</v>
      </c>
      <c r="CL223" s="110">
        <v>0</v>
      </c>
      <c r="CM223" s="24">
        <f>SUM((AR223*'Weighting Factors'!$O$5)+'2024 Legal Max'!AX223)*CL223</f>
        <v>0</v>
      </c>
      <c r="CN223" s="24">
        <f t="shared" ref="CN223:CN285" si="181">IF(CK223&gt;CM223,CM223,CK223)</f>
        <v>0</v>
      </c>
      <c r="CO223" s="65">
        <f t="shared" si="146"/>
        <v>0.3911</v>
      </c>
      <c r="CP223" s="58">
        <f t="shared" si="159"/>
        <v>0</v>
      </c>
      <c r="CQ223" s="58">
        <f t="shared" si="160"/>
        <v>16.399999999999999</v>
      </c>
      <c r="CR223" s="58">
        <f t="shared" si="161"/>
        <v>2242.9</v>
      </c>
      <c r="CS223" s="24">
        <f>'Required Transfers'!L223</f>
        <v>428912</v>
      </c>
      <c r="CT223" s="24">
        <f>'Required Transfers'!O223</f>
        <v>6929</v>
      </c>
      <c r="CU223" s="24">
        <f>'Required Transfers'!H223</f>
        <v>1512154</v>
      </c>
      <c r="CV223" s="58">
        <f t="shared" si="162"/>
        <v>1364.6</v>
      </c>
      <c r="CW223" s="27" t="s">
        <v>408</v>
      </c>
    </row>
    <row r="224" spans="1:101" ht="15" customHeight="1">
      <c r="A224" s="54">
        <v>436</v>
      </c>
      <c r="B224" s="1" t="s">
        <v>99</v>
      </c>
      <c r="C224" s="1" t="s">
        <v>728</v>
      </c>
      <c r="D224" s="58">
        <v>715.4</v>
      </c>
      <c r="E224" s="58"/>
      <c r="F224" s="58">
        <v>0</v>
      </c>
      <c r="G224" s="58">
        <f t="shared" si="163"/>
        <v>715.4</v>
      </c>
      <c r="H224" s="58">
        <v>737.5</v>
      </c>
      <c r="I224" s="58"/>
      <c r="J224" s="58">
        <v>0</v>
      </c>
      <c r="K224" s="58">
        <f t="shared" si="164"/>
        <v>737.5</v>
      </c>
      <c r="L224" s="1">
        <v>747.1</v>
      </c>
      <c r="N224" s="1">
        <v>0</v>
      </c>
      <c r="O224" s="58">
        <f t="shared" si="165"/>
        <v>747.1</v>
      </c>
      <c r="P224" s="58">
        <f>IF(ISNA(VLOOKUP($CW224,'Audit Values'!$A:$BZ,2,FALSE)),'Preliminary SO66'!C223,VLOOKUP($CW224,'Audit Values'!$A:$BZ,76,FALSE))</f>
        <v>746.8</v>
      </c>
      <c r="Q224" s="58">
        <f>IF(ISNA(VLOOKUP($CW224,'Audit Values'!$A:$BZ,2,FALSE)),'Preliminary SO66'!F223,VLOOKUP($CW224,'Audit Values'!$A:$BZ,4,FALSE))</f>
        <v>0</v>
      </c>
      <c r="R224" s="58">
        <f t="shared" si="169"/>
        <v>746.8</v>
      </c>
      <c r="S224" s="58">
        <f>IF('Military Provision'!I224="YES", MAX('2024 Legal Max'!O224,'2024 Legal Max'!K224,AVERAGE('2024 Legal Max'!G224,'2024 Legal Max'!K224,'2024 Legal Max'!O224)), MAX(O224, K224))</f>
        <v>747.1</v>
      </c>
      <c r="T224" s="58">
        <f>IF(ISNA(VLOOKUP($CW224,'Audit Values'!$A:$BX,2,FALSE)),'Preliminary SO66'!AL223,VLOOKUP($CW224,'Audit Values'!$A:$BX,59,FALSE))</f>
        <v>7</v>
      </c>
      <c r="U224" s="58">
        <f t="shared" si="170"/>
        <v>754.1</v>
      </c>
      <c r="V224" s="58">
        <f>'Low-High ENRL- 2023 HSubSB 113'!N227</f>
        <v>248.8</v>
      </c>
      <c r="W224" s="58">
        <f>IF(ISNA(VLOOKUP($CW224,'Audit Values'!$A:$BZ,2,FALSE)),'Preliminary SO66'!AM223,VLOOKUP($CW224,'Audit Values'!$A:$BZ,63,FALSE))</f>
        <v>3.7</v>
      </c>
      <c r="X224" s="58">
        <f>(W224/6)*'Weighting Factors'!$O$7</f>
        <v>0.2</v>
      </c>
      <c r="Y224" s="61">
        <f>IF(ISNA(VLOOKUP($CW224,'Audit Values'!$A:$BZ,2,FALSE)),'Preliminary SO66'!AN223,VLOOKUP($CW224,'Audit Values'!$A:$BZ,62,FALSE))</f>
        <v>5</v>
      </c>
      <c r="Z224" s="58">
        <f>Y224*'Weighting Factors'!$O$8</f>
        <v>0.9</v>
      </c>
      <c r="AA224" s="58">
        <f t="shared" si="171"/>
        <v>0.9</v>
      </c>
      <c r="AB224" s="106">
        <f>IF(ISNA(VLOOKUP($CW224,'Audit Values'!$A:$BZ,2,FALSE)),'Preliminary SO66'!AO223,VLOOKUP($CW224,'Audit Values'!$A:$BZ,61,FALSE))</f>
        <v>235.7</v>
      </c>
      <c r="AC224" s="58">
        <f>AB224/6*'Weighting Factors'!$O$6</f>
        <v>19.600000000000001</v>
      </c>
      <c r="AD224" s="24">
        <f>IF(ISNA(VLOOKUP($CW224,'Audit Values'!$A:$BX,2,FALSE)),'Preliminary SO66'!AS223,VLOOKUP($CW224,'Audit Values'!$A:$BX,64,FALSE))</f>
        <v>771</v>
      </c>
      <c r="AE224" s="24">
        <f>IF(ISNA(VLOOKUP($CW224,'Audit Values'!$A:$BX,2,FALSE)),'Preliminary SO66'!AP223,VLOOKUP($CW224,'Audit Values'!$A:$BX,65,FALSE))</f>
        <v>309</v>
      </c>
      <c r="AF224" s="58">
        <f>IF(A224=207, AE224,(AE224))*'Weighting Factors'!$O$9</f>
        <v>149.6</v>
      </c>
      <c r="AG224" s="58">
        <f t="shared" si="168"/>
        <v>11</v>
      </c>
      <c r="AH224" s="58">
        <f>IF(ISNA(VLOOKUP($CW224,'Audit Values'!$A:$BZ,2,FALSE)),'Preliminary SO66'!AG223,VLOOKUP($CW224,'Audit Values'!$A:$BZ,71,FALSE))</f>
        <v>11.2</v>
      </c>
      <c r="AI224" s="58">
        <f t="shared" si="172"/>
        <v>11.2</v>
      </c>
      <c r="AJ224" s="58">
        <f>IF(ISNA(VLOOKUP($CW224,'Audit Values'!$A:$BX,2,FALSE)),'Preliminary SO66'!AR223,VLOOKUP($CW224,'Audit Values'!$A:$BX,66,FALSE))</f>
        <v>253.5</v>
      </c>
      <c r="AK224" s="24">
        <f t="shared" si="173"/>
        <v>275611</v>
      </c>
      <c r="AL224" s="58">
        <f>AK224/'Weighting Factors'!$O$5</f>
        <v>54.2</v>
      </c>
      <c r="AM224" s="58">
        <f>CJ224/'Weighting Factors'!$O$5</f>
        <v>0</v>
      </c>
      <c r="AN224" s="58">
        <f>CN224/'Weighting Factors'!$O$5</f>
        <v>0</v>
      </c>
      <c r="AO224" s="24">
        <v>606109</v>
      </c>
      <c r="AP224" s="58">
        <f>AO224/'Weighting Factors'!$O$5</f>
        <v>119.1</v>
      </c>
      <c r="AQ224" s="58">
        <f>IF(ISNA(VLOOKUP($CW224,'Audit Values'!$A:$BX,2,FALSE)),'Preliminary SO66'!X223,VLOOKUP($CW224,'Audit Values'!$A:$BX,48,FALSE))</f>
        <v>0</v>
      </c>
      <c r="AR224" s="58">
        <f t="shared" si="166"/>
        <v>1357.5</v>
      </c>
      <c r="AS224" s="58">
        <f t="shared" si="167"/>
        <v>1238.4000000000001</v>
      </c>
      <c r="AT224" s="58">
        <f>IF(ISNA(VLOOKUP($CW224,'Audit Values'!$A$2:$BX$410,2,FALSE)),'Preliminary SO66'!AA223,VLOOKUP($CW224,'Audit Values'!$A$2:$BX$410,41,FALSE))</f>
        <v>0</v>
      </c>
      <c r="AU224" s="58">
        <f>IF(ISNA(VLOOKUP($CW224,'Audit Values'!$A$2:$BX$410,2,FALSE)),'Preliminary SO66'!AB223,VLOOKUP($CW224,'Audit Values'!$A$2:$BX$410,42,FALSE))</f>
        <v>0.9</v>
      </c>
      <c r="AV224" s="73">
        <v>0</v>
      </c>
      <c r="AW224" s="73">
        <v>0</v>
      </c>
      <c r="AX224" s="24">
        <f>SUM(AT224*'Weighting Factors'!$R$10)+('2024 Legal Max'!AU224*'Weighting Factors'!$R$11)+('2024 Legal Max'!AV224*'Weighting Factors'!$R$12)+('2024 Legal Max'!AW224*'Weighting Factors'!$R$12)</f>
        <v>2520</v>
      </c>
      <c r="AY224" s="54">
        <f>IF(ISNA(VLOOKUP($CW224,'Audit Values'!$A$2:$BX$429,2,FALSE)),"",IF(AND('Weighting Factors'!G224&gt;0,VLOOKUP($CW224,'Audit Values'!$A$2:$BX$429,51,FALSE)&lt;'Weighting Factors'!G224),'Weighting Factors'!G224,VLOOKUP($CW224,'Audit Values'!$A$2:$BX$429,51,FALSE)))</f>
        <v>16</v>
      </c>
      <c r="AZ224" s="54" t="str">
        <f>IF(ISNA(VLOOKUP($CW224,'Audit Values'!$A:$BY,2,FALSE)),"",VLOOKUP($CW224,'Audit Values'!$A:$BY,52,FALSE))</f>
        <v>A</v>
      </c>
      <c r="BA224" s="54" t="str">
        <f>IF('Weighting Factors'!F224="","",IF('Weighting Factors'!H224="Pending","PX","R"))</f>
        <v/>
      </c>
      <c r="BB224" s="60">
        <f>SUM((U224+V224+AA224+AC224+AF224+AI224+AL224+AM224+AQ224+AN224)*'Weighting Factors'!$O$5)+'2024 Legal Max'!AX224</f>
        <v>6303499</v>
      </c>
      <c r="BC224" s="24">
        <f>SUM((AR224+AN224)*'Weighting Factors'!$O$5)+AX224</f>
        <v>6909480</v>
      </c>
      <c r="BD224" s="67">
        <f>IF('Weighting Factors'!F224&gt;0,'Weighting Factors'!F224,'Preliminary SO66'!AV223)</f>
        <v>6982525</v>
      </c>
      <c r="BE224" s="24">
        <f t="shared" si="174"/>
        <v>6909480</v>
      </c>
      <c r="BF224" s="71">
        <f>'Weighting Factors'!E224</f>
        <v>0</v>
      </c>
      <c r="BG224" s="71">
        <f>Transportation!G224</f>
        <v>0</v>
      </c>
      <c r="BH224" s="24">
        <f>IF(ISNA(VLOOKUP($CW224,'Audit Values'!$A:$BW,2,FALSE)), 0, VLOOKUP($CW224,'Audit Values'!$A:$BW,75,FALSE))</f>
        <v>-2127</v>
      </c>
      <c r="BI224" s="24">
        <f t="shared" si="175"/>
        <v>-2127</v>
      </c>
      <c r="BJ224" s="24">
        <f t="shared" si="176"/>
        <v>6907353</v>
      </c>
      <c r="BK224" s="24">
        <f>SUM((U224+V224+AA224+AC224+AF224+AI224+AL224+AM224+AN224)*'Weighting Factors'!O$12)+(MAX(AO224,'Weighting Factors'!B224))</f>
        <v>6993776</v>
      </c>
      <c r="BL224" s="78">
        <f>'LOB%'!F222</f>
        <v>0.33</v>
      </c>
      <c r="BM224" s="24">
        <f t="shared" si="147"/>
        <v>2307946</v>
      </c>
      <c r="BN224" s="67">
        <v>2328023</v>
      </c>
      <c r="BO224" s="24">
        <f t="shared" si="177"/>
        <v>2307946</v>
      </c>
      <c r="BP224" s="89">
        <f t="shared" si="148"/>
        <v>0.33</v>
      </c>
      <c r="BQ224" s="58">
        <f t="shared" si="149"/>
        <v>0</v>
      </c>
      <c r="BR224" s="1" t="b">
        <f t="shared" si="150"/>
        <v>0</v>
      </c>
      <c r="BS224" s="76">
        <f t="shared" si="151"/>
        <v>0</v>
      </c>
      <c r="BT224" s="75">
        <f t="shared" si="178"/>
        <v>0</v>
      </c>
      <c r="BU224" s="58">
        <f t="shared" si="152"/>
        <v>0</v>
      </c>
      <c r="BV224" s="1" t="b">
        <f t="shared" si="153"/>
        <v>1</v>
      </c>
      <c r="BW224" s="1">
        <f t="shared" si="154"/>
        <v>561.94880000000001</v>
      </c>
      <c r="BX224" s="75">
        <f t="shared" si="179"/>
        <v>0.32990599999999998</v>
      </c>
      <c r="BY224" s="58">
        <f t="shared" si="155"/>
        <v>248.8</v>
      </c>
      <c r="BZ224" s="58">
        <f t="shared" si="156"/>
        <v>0</v>
      </c>
      <c r="CA224" s="61">
        <v>168</v>
      </c>
      <c r="CB224" s="102">
        <f t="shared" si="157"/>
        <v>1.5089999999999999</v>
      </c>
      <c r="CC224" s="105">
        <f>IF(CB224&lt;0.06,1,IF(CB224&gt;=18.29,52,MATCH(CB224-0.001,'Weighting Factors'!$W$5:$W$156)+1))</f>
        <v>35</v>
      </c>
      <c r="CD224" s="24">
        <f>VLOOKUP(CC224, 'Weighting Factors'!$U$5:$X$56,4)</f>
        <v>890</v>
      </c>
      <c r="CE224" s="109">
        <f>('Weighting Factors'!$O$5/'Weighting Factors'!$O$14)</f>
        <v>1.2216</v>
      </c>
      <c r="CF224" s="100">
        <f t="shared" si="158"/>
        <v>225615</v>
      </c>
      <c r="CG224" s="100">
        <f>CF224*'Weighting Factors'!$Q$7</f>
        <v>225615</v>
      </c>
      <c r="CH224" s="100">
        <f t="shared" si="180"/>
        <v>275611</v>
      </c>
      <c r="CI224" s="58">
        <f>AK224/'Weighting Factors'!$O$5</f>
        <v>54.2</v>
      </c>
      <c r="CJ224" s="67">
        <v>0</v>
      </c>
      <c r="CK224" s="80">
        <v>0</v>
      </c>
      <c r="CL224" s="110">
        <v>0</v>
      </c>
      <c r="CM224" s="24">
        <f>SUM((AR224*'Weighting Factors'!$O$5)+'2024 Legal Max'!AX224)*CL224</f>
        <v>0</v>
      </c>
      <c r="CN224" s="24">
        <f t="shared" si="181"/>
        <v>0</v>
      </c>
      <c r="CO224" s="65">
        <f t="shared" si="146"/>
        <v>0.40079999999999999</v>
      </c>
      <c r="CP224" s="58">
        <f t="shared" si="159"/>
        <v>0</v>
      </c>
      <c r="CQ224" s="58">
        <f t="shared" si="160"/>
        <v>11</v>
      </c>
      <c r="CR224" s="58">
        <f t="shared" si="161"/>
        <v>1357.5</v>
      </c>
      <c r="CS224" s="24">
        <f>'Required Transfers'!L224</f>
        <v>255720</v>
      </c>
      <c r="CT224" s="24">
        <f>'Required Transfers'!O224</f>
        <v>1616</v>
      </c>
      <c r="CU224" s="24">
        <f>'Required Transfers'!H224</f>
        <v>818150</v>
      </c>
      <c r="CV224" s="58">
        <f t="shared" si="162"/>
        <v>754.7</v>
      </c>
      <c r="CW224" s="27" t="s">
        <v>409</v>
      </c>
    </row>
    <row r="225" spans="1:101" ht="15" customHeight="1">
      <c r="A225" s="54">
        <v>437</v>
      </c>
      <c r="B225" s="1" t="s">
        <v>61</v>
      </c>
      <c r="C225" s="1" t="s">
        <v>729</v>
      </c>
      <c r="D225" s="58">
        <v>5881</v>
      </c>
      <c r="E225" s="58"/>
      <c r="F225" s="58">
        <v>0</v>
      </c>
      <c r="G225" s="58">
        <f t="shared" si="163"/>
        <v>5881</v>
      </c>
      <c r="H225" s="58">
        <v>5927.1</v>
      </c>
      <c r="I225" s="58"/>
      <c r="J225" s="58">
        <v>0</v>
      </c>
      <c r="K225" s="58">
        <f t="shared" si="164"/>
        <v>5927.1</v>
      </c>
      <c r="L225" s="1">
        <v>5901.2</v>
      </c>
      <c r="N225" s="1">
        <v>0</v>
      </c>
      <c r="O225" s="58">
        <f t="shared" si="165"/>
        <v>5901.2</v>
      </c>
      <c r="P225" s="58">
        <f>IF(ISNA(VLOOKUP($CW225,'Audit Values'!$A:$BZ,2,FALSE)),'Preliminary SO66'!C224,VLOOKUP($CW225,'Audit Values'!$A:$BZ,76,FALSE))</f>
        <v>5838.2</v>
      </c>
      <c r="Q225" s="58">
        <f>IF(ISNA(VLOOKUP($CW225,'Audit Values'!$A:$BZ,2,FALSE)),'Preliminary SO66'!F224,VLOOKUP($CW225,'Audit Values'!$A:$BZ,4,FALSE))</f>
        <v>0</v>
      </c>
      <c r="R225" s="58">
        <f t="shared" si="169"/>
        <v>5838.2</v>
      </c>
      <c r="S225" s="58">
        <f>IF('Military Provision'!I225="YES", MAX('2024 Legal Max'!O225,'2024 Legal Max'!K225,AVERAGE('2024 Legal Max'!G225,'2024 Legal Max'!K225,'2024 Legal Max'!O225)), MAX(O225, K225))</f>
        <v>5927.1</v>
      </c>
      <c r="T225" s="58">
        <f>IF(ISNA(VLOOKUP($CW225,'Audit Values'!$A:$BX,2,FALSE)),'Preliminary SO66'!AL224,VLOOKUP($CW225,'Audit Values'!$A:$BX,59,FALSE))</f>
        <v>40.5</v>
      </c>
      <c r="U225" s="58">
        <f t="shared" si="170"/>
        <v>5967.6</v>
      </c>
      <c r="V225" s="58">
        <f>'Low-High ENRL- 2023 HSubSB 113'!N228</f>
        <v>209.1</v>
      </c>
      <c r="W225" s="58">
        <f>IF(ISNA(VLOOKUP($CW225,'Audit Values'!$A:$BZ,2,FALSE)),'Preliminary SO66'!AM224,VLOOKUP($CW225,'Audit Values'!$A:$BZ,63,FALSE))</f>
        <v>128.19999999999999</v>
      </c>
      <c r="X225" s="58">
        <f>(W225/6)*'Weighting Factors'!$O$7</f>
        <v>8.4</v>
      </c>
      <c r="Y225" s="61">
        <f>IF(ISNA(VLOOKUP($CW225,'Audit Values'!$A:$BZ,2,FALSE)),'Preliminary SO66'!AN224,VLOOKUP($CW225,'Audit Values'!$A:$BZ,62,FALSE))</f>
        <v>124</v>
      </c>
      <c r="Z225" s="58">
        <f>Y225*'Weighting Factors'!$O$8</f>
        <v>22.9</v>
      </c>
      <c r="AA225" s="58">
        <f t="shared" si="171"/>
        <v>22.9</v>
      </c>
      <c r="AB225" s="106">
        <f>IF(ISNA(VLOOKUP($CW225,'Audit Values'!$A:$BZ,2,FALSE)),'Preliminary SO66'!AO224,VLOOKUP($CW225,'Audit Values'!$A:$BZ,61,FALSE))</f>
        <v>1906.8</v>
      </c>
      <c r="AC225" s="58">
        <f>AB225/6*'Weighting Factors'!$O$6</f>
        <v>158.9</v>
      </c>
      <c r="AD225" s="24">
        <f>IF(ISNA(VLOOKUP($CW225,'Audit Values'!$A:$BX,2,FALSE)),'Preliminary SO66'!AS224,VLOOKUP($CW225,'Audit Values'!$A:$BX,64,FALSE))</f>
        <v>5967</v>
      </c>
      <c r="AE225" s="24">
        <f>IF(ISNA(VLOOKUP($CW225,'Audit Values'!$A:$BX,2,FALSE)),'Preliminary SO66'!AP224,VLOOKUP($CW225,'Audit Values'!$A:$BX,65,FALSE))</f>
        <v>1820</v>
      </c>
      <c r="AF225" s="58">
        <f>IF(A225=207, AE225,(AE225))*'Weighting Factors'!$O$9</f>
        <v>880.9</v>
      </c>
      <c r="AG225" s="58">
        <f t="shared" si="168"/>
        <v>0</v>
      </c>
      <c r="AH225" s="58">
        <f>IF(ISNA(VLOOKUP($CW225,'Audit Values'!$A:$BZ,2,FALSE)),'Preliminary SO66'!AG224,VLOOKUP($CW225,'Audit Values'!$A:$BZ,71,FALSE))</f>
        <v>47.7</v>
      </c>
      <c r="AI225" s="58">
        <f t="shared" si="172"/>
        <v>47.7</v>
      </c>
      <c r="AJ225" s="58">
        <f>IF(ISNA(VLOOKUP($CW225,'Audit Values'!$A:$BX,2,FALSE)),'Preliminary SO66'!AR224,VLOOKUP($CW225,'Audit Values'!$A:$BX,66,FALSE))</f>
        <v>3181.5</v>
      </c>
      <c r="AK225" s="24">
        <f t="shared" si="173"/>
        <v>2137586</v>
      </c>
      <c r="AL225" s="58">
        <f>AK225/'Weighting Factors'!$O$5</f>
        <v>420.1</v>
      </c>
      <c r="AM225" s="58">
        <f>CJ225/'Weighting Factors'!$O$5</f>
        <v>0</v>
      </c>
      <c r="AN225" s="58">
        <f>CN225/'Weighting Factors'!$O$5</f>
        <v>0</v>
      </c>
      <c r="AO225" s="24">
        <v>8175953</v>
      </c>
      <c r="AP225" s="58">
        <f>AO225/'Weighting Factors'!$O$5</f>
        <v>1606.9</v>
      </c>
      <c r="AQ225" s="58">
        <f>IF(ISNA(VLOOKUP($CW225,'Audit Values'!$A:$BX,2,FALSE)),'Preliminary SO66'!X224,VLOOKUP($CW225,'Audit Values'!$A:$BX,48,FALSE))</f>
        <v>3</v>
      </c>
      <c r="AR225" s="58">
        <f t="shared" si="166"/>
        <v>9317.1</v>
      </c>
      <c r="AS225" s="58">
        <f t="shared" si="167"/>
        <v>7710.2</v>
      </c>
      <c r="AT225" s="58">
        <f>IF(ISNA(VLOOKUP($CW225,'Audit Values'!$A$2:$BX$410,2,FALSE)),'Preliminary SO66'!AA224,VLOOKUP($CW225,'Audit Values'!$A$2:$BX$410,41,FALSE))</f>
        <v>0</v>
      </c>
      <c r="AU225" s="58">
        <f>IF(ISNA(VLOOKUP($CW225,'Audit Values'!$A$2:$BX$410,2,FALSE)),'Preliminary SO66'!AB224,VLOOKUP($CW225,'Audit Values'!$A$2:$BX$410,42,FALSE))</f>
        <v>0</v>
      </c>
      <c r="AV225" s="73">
        <v>5</v>
      </c>
      <c r="AW225" s="73">
        <v>0</v>
      </c>
      <c r="AX225" s="24">
        <f>SUM(AT225*'Weighting Factors'!$R$10)+('2024 Legal Max'!AU225*'Weighting Factors'!$R$11)+('2024 Legal Max'!AV225*'Weighting Factors'!$R$12)+('2024 Legal Max'!AW225*'Weighting Factors'!$R$12)</f>
        <v>3545</v>
      </c>
      <c r="AY225" s="54">
        <f>IF(ISNA(VLOOKUP($CW225,'Audit Values'!$A$2:$BX$429,2,FALSE)),"",IF(AND('Weighting Factors'!G225&gt;0,VLOOKUP($CW225,'Audit Values'!$A$2:$BX$429,51,FALSE)&lt;'Weighting Factors'!G225),'Weighting Factors'!G225,VLOOKUP($CW225,'Audit Values'!$A$2:$BX$429,51,FALSE)))</f>
        <v>27</v>
      </c>
      <c r="AZ225" s="54" t="str">
        <f>IF(ISNA(VLOOKUP($CW225,'Audit Values'!$A:$BY,2,FALSE)),"",VLOOKUP($CW225,'Audit Values'!$A:$BY,52,FALSE))</f>
        <v>A</v>
      </c>
      <c r="BA225" s="54" t="str">
        <f>IF('Weighting Factors'!F225="","",IF('Weighting Factors'!H225="Pending","PX","R"))</f>
        <v/>
      </c>
      <c r="BB225" s="60">
        <f>SUM((U225+V225+AA225+AC225+AF225+AI225+AL225+AM225+AQ225+AN225)*'Weighting Factors'!$O$5)+'2024 Legal Max'!AX225</f>
        <v>39233043</v>
      </c>
      <c r="BC225" s="24">
        <f>SUM((AR225+AN225)*'Weighting Factors'!$O$5)+AX225</f>
        <v>47408950</v>
      </c>
      <c r="BD225" s="67">
        <f>IF('Weighting Factors'!F225&gt;0,'Weighting Factors'!F225,'Preliminary SO66'!AV224)</f>
        <v>47585195</v>
      </c>
      <c r="BE225" s="24">
        <f t="shared" si="174"/>
        <v>47408950</v>
      </c>
      <c r="BF225" s="71">
        <f>'Weighting Factors'!E225</f>
        <v>0</v>
      </c>
      <c r="BG225" s="71">
        <f>Transportation!G225</f>
        <v>0</v>
      </c>
      <c r="BH225" s="24">
        <f>IF(ISNA(VLOOKUP($CW225,'Audit Values'!$A:$BW,2,FALSE)), 0, VLOOKUP($CW225,'Audit Values'!$A:$BW,75,FALSE))</f>
        <v>-5600</v>
      </c>
      <c r="BI225" s="24">
        <f t="shared" si="175"/>
        <v>-5600</v>
      </c>
      <c r="BJ225" s="24">
        <f t="shared" si="176"/>
        <v>47403350</v>
      </c>
      <c r="BK225" s="24">
        <f>SUM((U225+V225+AA225+AC225+AF225+AI225+AL225+AM225+AN225)*'Weighting Factors'!O$12)+(MAX(AO225,'Weighting Factors'!B225))</f>
        <v>47929691</v>
      </c>
      <c r="BL225" s="78">
        <f>'LOB%'!F223</f>
        <v>0.33</v>
      </c>
      <c r="BM225" s="24">
        <f t="shared" si="147"/>
        <v>15816798</v>
      </c>
      <c r="BN225" s="67">
        <v>15875684</v>
      </c>
      <c r="BO225" s="24">
        <f t="shared" si="177"/>
        <v>15816798</v>
      </c>
      <c r="BP225" s="89">
        <f t="shared" si="148"/>
        <v>0.33</v>
      </c>
      <c r="BQ225" s="58">
        <f t="shared" si="149"/>
        <v>0</v>
      </c>
      <c r="BR225" s="1" t="b">
        <f t="shared" si="150"/>
        <v>0</v>
      </c>
      <c r="BS225" s="76">
        <f t="shared" si="151"/>
        <v>0</v>
      </c>
      <c r="BT225" s="75">
        <f t="shared" si="178"/>
        <v>0</v>
      </c>
      <c r="BU225" s="58">
        <f t="shared" si="152"/>
        <v>0</v>
      </c>
      <c r="BV225" s="1" t="b">
        <f t="shared" si="153"/>
        <v>0</v>
      </c>
      <c r="BW225" s="1">
        <f t="shared" si="154"/>
        <v>0</v>
      </c>
      <c r="BX225" s="75">
        <f t="shared" si="179"/>
        <v>0</v>
      </c>
      <c r="BY225" s="58">
        <f t="shared" si="155"/>
        <v>0</v>
      </c>
      <c r="BZ225" s="58">
        <f t="shared" si="156"/>
        <v>209.1</v>
      </c>
      <c r="CA225" s="61">
        <v>128</v>
      </c>
      <c r="CB225" s="102">
        <f t="shared" si="157"/>
        <v>24.855</v>
      </c>
      <c r="CC225" s="105">
        <f>IF(CB225&lt;0.06,1,IF(CB225&gt;=18.29,52,MATCH(CB225-0.001,'Weighting Factors'!$W$5:$W$156)+1))</f>
        <v>52</v>
      </c>
      <c r="CD225" s="24">
        <f>VLOOKUP(CC225, 'Weighting Factors'!$U$5:$X$56,4)</f>
        <v>550</v>
      </c>
      <c r="CE225" s="109">
        <f>('Weighting Factors'!$O$5/'Weighting Factors'!$O$14)</f>
        <v>1.2216</v>
      </c>
      <c r="CF225" s="100">
        <f t="shared" si="158"/>
        <v>1749825</v>
      </c>
      <c r="CG225" s="100">
        <f>CF225*'Weighting Factors'!$Q$7</f>
        <v>1749825</v>
      </c>
      <c r="CH225" s="100">
        <f t="shared" si="180"/>
        <v>2137586</v>
      </c>
      <c r="CI225" s="58">
        <f>AK225/'Weighting Factors'!$O$5</f>
        <v>420.1</v>
      </c>
      <c r="CJ225" s="67">
        <v>0</v>
      </c>
      <c r="CK225" s="80">
        <v>0</v>
      </c>
      <c r="CL225" s="110">
        <v>2.0799999999999999E-2</v>
      </c>
      <c r="CM225" s="24">
        <f>SUM((AR225*'Weighting Factors'!$O$5)+'2024 Legal Max'!AX225)*CL225</f>
        <v>986106</v>
      </c>
      <c r="CN225" s="24">
        <f t="shared" si="181"/>
        <v>0</v>
      </c>
      <c r="CO225" s="65">
        <f t="shared" si="146"/>
        <v>0.30499999999999999</v>
      </c>
      <c r="CP225" s="58">
        <f t="shared" si="159"/>
        <v>0</v>
      </c>
      <c r="CQ225" s="58">
        <f t="shared" si="160"/>
        <v>0</v>
      </c>
      <c r="CR225" s="58">
        <f t="shared" si="161"/>
        <v>9317.1</v>
      </c>
      <c r="CS225" s="24">
        <f>'Required Transfers'!L225</f>
        <v>1502596</v>
      </c>
      <c r="CT225" s="24">
        <f>'Required Transfers'!O225</f>
        <v>39542</v>
      </c>
      <c r="CU225" s="24">
        <f>'Required Transfers'!H225</f>
        <v>4724717</v>
      </c>
      <c r="CV225" s="58">
        <f t="shared" si="162"/>
        <v>5879.5</v>
      </c>
      <c r="CW225" s="27" t="s">
        <v>410</v>
      </c>
    </row>
    <row r="226" spans="1:101" ht="15" customHeight="1">
      <c r="A226" s="54">
        <v>438</v>
      </c>
      <c r="B226" s="1" t="s">
        <v>81</v>
      </c>
      <c r="C226" s="1" t="s">
        <v>730</v>
      </c>
      <c r="D226" s="58">
        <v>335.8</v>
      </c>
      <c r="E226" s="58"/>
      <c r="F226" s="58">
        <v>0</v>
      </c>
      <c r="G226" s="58">
        <f t="shared" si="163"/>
        <v>335.8</v>
      </c>
      <c r="H226" s="58">
        <v>354.5</v>
      </c>
      <c r="I226" s="58"/>
      <c r="J226" s="58">
        <v>0</v>
      </c>
      <c r="K226" s="58">
        <f t="shared" si="164"/>
        <v>354.5</v>
      </c>
      <c r="L226" s="1">
        <v>351</v>
      </c>
      <c r="N226" s="1">
        <v>0</v>
      </c>
      <c r="O226" s="58">
        <f t="shared" si="165"/>
        <v>351</v>
      </c>
      <c r="P226" s="58">
        <f>IF(ISNA(VLOOKUP($CW226,'Audit Values'!$A:$BZ,2,FALSE)),'Preliminary SO66'!C225,VLOOKUP($CW226,'Audit Values'!$A:$BZ,76,FALSE))</f>
        <v>307.5</v>
      </c>
      <c r="Q226" s="58">
        <f>IF(ISNA(VLOOKUP($CW226,'Audit Values'!$A:$BZ,2,FALSE)),'Preliminary SO66'!F225,VLOOKUP($CW226,'Audit Values'!$A:$BZ,4,FALSE))</f>
        <v>0</v>
      </c>
      <c r="R226" s="58">
        <f t="shared" si="169"/>
        <v>307.5</v>
      </c>
      <c r="S226" s="58">
        <f>IF('Military Provision'!I226="YES", MAX('2024 Legal Max'!O226,'2024 Legal Max'!K226,AVERAGE('2024 Legal Max'!G226,'2024 Legal Max'!K226,'2024 Legal Max'!O226)), MAX(O226, K226))</f>
        <v>354.5</v>
      </c>
      <c r="T226" s="58">
        <f>IF(ISNA(VLOOKUP($CW226,'Audit Values'!$A:$BX,2,FALSE)),'Preliminary SO66'!AL225,VLOOKUP($CW226,'Audit Values'!$A:$BX,59,FALSE))</f>
        <v>6.5</v>
      </c>
      <c r="U226" s="58">
        <f t="shared" si="170"/>
        <v>361</v>
      </c>
      <c r="V226" s="58">
        <f>'Low-High ENRL- 2023 HSubSB 113'!N229</f>
        <v>167.3</v>
      </c>
      <c r="W226" s="58">
        <f>IF(ISNA(VLOOKUP($CW226,'Audit Values'!$A:$BZ,2,FALSE)),'Preliminary SO66'!AM225,VLOOKUP($CW226,'Audit Values'!$A:$BZ,63,FALSE))</f>
        <v>2.2999999999999998</v>
      </c>
      <c r="X226" s="58">
        <f>(W226/6)*'Weighting Factors'!$O$7</f>
        <v>0.2</v>
      </c>
      <c r="Y226" s="61">
        <f>IF(ISNA(VLOOKUP($CW226,'Audit Values'!$A:$BZ,2,FALSE)),'Preliminary SO66'!AN225,VLOOKUP($CW226,'Audit Values'!$A:$BZ,62,FALSE))</f>
        <v>10</v>
      </c>
      <c r="Z226" s="58">
        <f>Y226*'Weighting Factors'!$O$8</f>
        <v>1.9</v>
      </c>
      <c r="AA226" s="58">
        <f t="shared" si="171"/>
        <v>1.9</v>
      </c>
      <c r="AB226" s="106">
        <f>IF(ISNA(VLOOKUP($CW226,'Audit Values'!$A:$BZ,2,FALSE)),'Preliminary SO66'!AO225,VLOOKUP($CW226,'Audit Values'!$A:$BZ,61,FALSE))</f>
        <v>155.5</v>
      </c>
      <c r="AC226" s="58">
        <f>AB226/6*'Weighting Factors'!$O$6</f>
        <v>13</v>
      </c>
      <c r="AD226" s="24">
        <f>IF(ISNA(VLOOKUP($CW226,'Audit Values'!$A:$BX,2,FALSE)),'Preliminary SO66'!AS225,VLOOKUP($CW226,'Audit Values'!$A:$BX,64,FALSE))</f>
        <v>322</v>
      </c>
      <c r="AE226" s="24">
        <f>IF(ISNA(VLOOKUP($CW226,'Audit Values'!$A:$BX,2,FALSE)),'Preliminary SO66'!AP225,VLOOKUP($CW226,'Audit Values'!$A:$BX,65,FALSE))</f>
        <v>150</v>
      </c>
      <c r="AF226" s="58">
        <f>IF(A226=207, AE226,(AE226))*'Weighting Factors'!$O$9</f>
        <v>72.599999999999994</v>
      </c>
      <c r="AG226" s="58">
        <f t="shared" si="168"/>
        <v>12.2</v>
      </c>
      <c r="AH226" s="58">
        <f>IF(ISNA(VLOOKUP($CW226,'Audit Values'!$A:$BZ,2,FALSE)),'Preliminary SO66'!AG225,VLOOKUP($CW226,'Audit Values'!$A:$BZ,71,FALSE))</f>
        <v>12.5</v>
      </c>
      <c r="AI226" s="58">
        <f t="shared" si="172"/>
        <v>12.5</v>
      </c>
      <c r="AJ226" s="58">
        <f>IF(ISNA(VLOOKUP($CW226,'Audit Values'!$A:$BX,2,FALSE)),'Preliminary SO66'!AR225,VLOOKUP($CW226,'Audit Values'!$A:$BX,66,FALSE))</f>
        <v>89</v>
      </c>
      <c r="AK226" s="24">
        <f t="shared" si="173"/>
        <v>141339</v>
      </c>
      <c r="AL226" s="58">
        <f>AK226/'Weighting Factors'!$O$5</f>
        <v>27.8</v>
      </c>
      <c r="AM226" s="58">
        <f>CJ226/'Weighting Factors'!$O$5</f>
        <v>0</v>
      </c>
      <c r="AN226" s="58">
        <f>CN226/'Weighting Factors'!$O$5</f>
        <v>0</v>
      </c>
      <c r="AO226" s="24">
        <v>455598</v>
      </c>
      <c r="AP226" s="58">
        <f>AO226/'Weighting Factors'!$O$5</f>
        <v>89.5</v>
      </c>
      <c r="AQ226" s="58">
        <f>IF(ISNA(VLOOKUP($CW226,'Audit Values'!$A:$BX,2,FALSE)),'Preliminary SO66'!X225,VLOOKUP($CW226,'Audit Values'!$A:$BX,48,FALSE))</f>
        <v>0</v>
      </c>
      <c r="AR226" s="58">
        <f t="shared" si="166"/>
        <v>745.6</v>
      </c>
      <c r="AS226" s="58">
        <f t="shared" si="167"/>
        <v>656.1</v>
      </c>
      <c r="AT226" s="58">
        <f>IF(ISNA(VLOOKUP($CW226,'Audit Values'!$A$2:$BX$410,2,FALSE)),'Preliminary SO66'!AA225,VLOOKUP($CW226,'Audit Values'!$A$2:$BX$410,41,FALSE))</f>
        <v>0</v>
      </c>
      <c r="AU226" s="58">
        <f>IF(ISNA(VLOOKUP($CW226,'Audit Values'!$A$2:$BX$410,2,FALSE)),'Preliminary SO66'!AB225,VLOOKUP($CW226,'Audit Values'!$A$2:$BX$410,42,FALSE))</f>
        <v>0</v>
      </c>
      <c r="AV226" s="73">
        <v>0</v>
      </c>
      <c r="AW226" s="73">
        <v>0</v>
      </c>
      <c r="AX226" s="24">
        <f>SUM(AT226*'Weighting Factors'!$R$10)+('2024 Legal Max'!AU226*'Weighting Factors'!$R$11)+('2024 Legal Max'!AV226*'Weighting Factors'!$R$12)+('2024 Legal Max'!AW226*'Weighting Factors'!$R$12)</f>
        <v>0</v>
      </c>
      <c r="AY226" s="54">
        <f>IF(ISNA(VLOOKUP($CW226,'Audit Values'!$A$2:$BX$429,2,FALSE)),"",IF(AND('Weighting Factors'!G226&gt;0,VLOOKUP($CW226,'Audit Values'!$A$2:$BX$429,51,FALSE)&lt;'Weighting Factors'!G226),'Weighting Factors'!G226,VLOOKUP($CW226,'Audit Values'!$A$2:$BX$429,51,FALSE)))</f>
        <v>7</v>
      </c>
      <c r="AZ226" s="54" t="str">
        <f>IF(ISNA(VLOOKUP($CW226,'Audit Values'!$A:$BY,2,FALSE)),"",VLOOKUP($CW226,'Audit Values'!$A:$BY,52,FALSE))</f>
        <v>A</v>
      </c>
      <c r="BA226" s="54" t="str">
        <f>IF('Weighting Factors'!F226="","",IF('Weighting Factors'!H226="Pending","PX","R"))</f>
        <v/>
      </c>
      <c r="BB226" s="60">
        <f>SUM((U226+V226+AA226+AC226+AF226+AI226+AL226+AM226+AQ226+AN226)*'Weighting Factors'!$O$5)+'2024 Legal Max'!AX226</f>
        <v>3338237</v>
      </c>
      <c r="BC226" s="24">
        <f>SUM((AR226+AN226)*'Weighting Factors'!$O$5)+AX226</f>
        <v>3793613</v>
      </c>
      <c r="BD226" s="67">
        <f>IF('Weighting Factors'!F226&gt;0,'Weighting Factors'!F226,'Preliminary SO66'!AV225)</f>
        <v>4121789</v>
      </c>
      <c r="BE226" s="24">
        <f t="shared" si="174"/>
        <v>3793613</v>
      </c>
      <c r="BF226" s="71">
        <f>'Weighting Factors'!E226</f>
        <v>0</v>
      </c>
      <c r="BG226" s="71">
        <f>Transportation!G226</f>
        <v>0</v>
      </c>
      <c r="BH226" s="24">
        <f>IF(ISNA(VLOOKUP($CW226,'Audit Values'!$A:$BW,2,FALSE)), 0, VLOOKUP($CW226,'Audit Values'!$A:$BW,75,FALSE))</f>
        <v>0</v>
      </c>
      <c r="BI226" s="24">
        <f t="shared" si="175"/>
        <v>0</v>
      </c>
      <c r="BJ226" s="24">
        <f t="shared" si="176"/>
        <v>3793613</v>
      </c>
      <c r="BK226" s="24">
        <f>SUM((U226+V226+AA226+AC226+AF226+AI226+AL226+AM226+AN226)*'Weighting Factors'!O$12)+(MAX(AO226,'Weighting Factors'!B226))</f>
        <v>3839762</v>
      </c>
      <c r="BL226" s="78">
        <f>'LOB%'!F224</f>
        <v>0.316</v>
      </c>
      <c r="BM226" s="24">
        <f t="shared" si="147"/>
        <v>1213365</v>
      </c>
      <c r="BN226" s="67">
        <v>1317936</v>
      </c>
      <c r="BO226" s="24">
        <f t="shared" si="177"/>
        <v>1213365</v>
      </c>
      <c r="BP226" s="89">
        <f t="shared" si="148"/>
        <v>0.316</v>
      </c>
      <c r="BQ226" s="58">
        <f t="shared" si="149"/>
        <v>0</v>
      </c>
      <c r="BR226" s="1" t="b">
        <f t="shared" si="150"/>
        <v>0</v>
      </c>
      <c r="BS226" s="76">
        <f t="shared" si="151"/>
        <v>0</v>
      </c>
      <c r="BT226" s="75">
        <f t="shared" si="178"/>
        <v>0</v>
      </c>
      <c r="BU226" s="58">
        <f t="shared" si="152"/>
        <v>0</v>
      </c>
      <c r="BV226" s="1" t="b">
        <f t="shared" si="153"/>
        <v>1</v>
      </c>
      <c r="BW226" s="1">
        <f t="shared" si="154"/>
        <v>75.487499999999997</v>
      </c>
      <c r="BX226" s="75">
        <f t="shared" si="179"/>
        <v>0.46346199999999999</v>
      </c>
      <c r="BY226" s="58">
        <f t="shared" si="155"/>
        <v>167.3</v>
      </c>
      <c r="BZ226" s="58">
        <f t="shared" si="156"/>
        <v>0</v>
      </c>
      <c r="CA226" s="61">
        <v>490</v>
      </c>
      <c r="CB226" s="102">
        <f t="shared" si="157"/>
        <v>0.182</v>
      </c>
      <c r="CC226" s="105">
        <f>IF(CB226&lt;0.06,1,IF(CB226&gt;=18.29,52,MATCH(CB226-0.001,'Weighting Factors'!$W$5:$W$156)+1))</f>
        <v>14</v>
      </c>
      <c r="CD226" s="24">
        <f>VLOOKUP(CC226, 'Weighting Factors'!$U$5:$X$56,4)</f>
        <v>1300</v>
      </c>
      <c r="CE226" s="109">
        <f>('Weighting Factors'!$O$5/'Weighting Factors'!$O$14)</f>
        <v>1.2216</v>
      </c>
      <c r="CF226" s="100">
        <f t="shared" si="158"/>
        <v>115700</v>
      </c>
      <c r="CG226" s="100">
        <f>CF226*'Weighting Factors'!$Q$7</f>
        <v>115700</v>
      </c>
      <c r="CH226" s="100">
        <f t="shared" si="180"/>
        <v>141339</v>
      </c>
      <c r="CI226" s="58">
        <f>AK226/'Weighting Factors'!$O$5</f>
        <v>27.8</v>
      </c>
      <c r="CJ226" s="67">
        <v>0</v>
      </c>
      <c r="CK226" s="80">
        <v>0</v>
      </c>
      <c r="CL226" s="110">
        <v>0</v>
      </c>
      <c r="CM226" s="24">
        <f>SUM((AR226*'Weighting Factors'!$O$5)+'2024 Legal Max'!AX226)*CL226</f>
        <v>0</v>
      </c>
      <c r="CN226" s="24">
        <f t="shared" si="181"/>
        <v>0</v>
      </c>
      <c r="CO226" s="65">
        <f t="shared" si="146"/>
        <v>0.46579999999999999</v>
      </c>
      <c r="CP226" s="58">
        <f t="shared" si="159"/>
        <v>0</v>
      </c>
      <c r="CQ226" s="58">
        <f t="shared" si="160"/>
        <v>12.2</v>
      </c>
      <c r="CR226" s="58">
        <f t="shared" si="161"/>
        <v>745.6</v>
      </c>
      <c r="CS226" s="24">
        <f>'Required Transfers'!L226</f>
        <v>119152</v>
      </c>
      <c r="CT226" s="24">
        <f>'Required Transfers'!O226</f>
        <v>3155</v>
      </c>
      <c r="CU226" s="24">
        <f>'Required Transfers'!H226</f>
        <v>432989</v>
      </c>
      <c r="CV226" s="58">
        <f t="shared" si="162"/>
        <v>314</v>
      </c>
      <c r="CW226" s="27" t="s">
        <v>411</v>
      </c>
    </row>
    <row r="227" spans="1:101" ht="15" customHeight="1">
      <c r="A227" s="54">
        <v>439</v>
      </c>
      <c r="B227" s="1" t="s">
        <v>74</v>
      </c>
      <c r="C227" s="1" t="s">
        <v>731</v>
      </c>
      <c r="D227" s="58">
        <v>456</v>
      </c>
      <c r="E227" s="58"/>
      <c r="F227" s="58">
        <v>0</v>
      </c>
      <c r="G227" s="58">
        <f t="shared" si="163"/>
        <v>456</v>
      </c>
      <c r="H227" s="58">
        <v>487.5</v>
      </c>
      <c r="I227" s="58"/>
      <c r="J227" s="58">
        <v>0</v>
      </c>
      <c r="K227" s="58">
        <f t="shared" si="164"/>
        <v>487.5</v>
      </c>
      <c r="L227" s="1">
        <v>487</v>
      </c>
      <c r="N227" s="1">
        <v>0</v>
      </c>
      <c r="O227" s="58">
        <f t="shared" si="165"/>
        <v>487</v>
      </c>
      <c r="P227" s="58">
        <f>IF(ISNA(VLOOKUP($CW227,'Audit Values'!$A:$BZ,2,FALSE)),'Preliminary SO66'!C226,VLOOKUP($CW227,'Audit Values'!$A:$BZ,76,FALSE))</f>
        <v>480.5</v>
      </c>
      <c r="Q227" s="58">
        <f>IF(ISNA(VLOOKUP($CW227,'Audit Values'!$A:$BZ,2,FALSE)),'Preliminary SO66'!F226,VLOOKUP($CW227,'Audit Values'!$A:$BZ,4,FALSE))</f>
        <v>0</v>
      </c>
      <c r="R227" s="58">
        <f t="shared" si="169"/>
        <v>480.5</v>
      </c>
      <c r="S227" s="58">
        <f>IF('Military Provision'!I227="YES", MAX('2024 Legal Max'!O227,'2024 Legal Max'!K227,AVERAGE('2024 Legal Max'!G227,'2024 Legal Max'!K227,'2024 Legal Max'!O227)), MAX(O227, K227))</f>
        <v>487.5</v>
      </c>
      <c r="T227" s="58">
        <f>IF(ISNA(VLOOKUP($CW227,'Audit Values'!$A:$BX,2,FALSE)),'Preliminary SO66'!AL226,VLOOKUP($CW227,'Audit Values'!$A:$BX,59,FALSE))</f>
        <v>9.5</v>
      </c>
      <c r="U227" s="58">
        <f t="shared" si="170"/>
        <v>497</v>
      </c>
      <c r="V227" s="58">
        <f>'Low-High ENRL- 2023 HSubSB 113'!N230</f>
        <v>207.4</v>
      </c>
      <c r="W227" s="58">
        <f>IF(ISNA(VLOOKUP($CW227,'Audit Values'!$A:$BZ,2,FALSE)),'Preliminary SO66'!AM226,VLOOKUP($CW227,'Audit Values'!$A:$BZ,63,FALSE))</f>
        <v>0</v>
      </c>
      <c r="X227" s="58">
        <f>(W227/6)*'Weighting Factors'!$O$7</f>
        <v>0</v>
      </c>
      <c r="Y227" s="61">
        <f>IF(ISNA(VLOOKUP($CW227,'Audit Values'!$A:$BZ,2,FALSE)),'Preliminary SO66'!AN226,VLOOKUP($CW227,'Audit Values'!$A:$BZ,62,FALSE))</f>
        <v>1</v>
      </c>
      <c r="Z227" s="58">
        <f>Y227*'Weighting Factors'!$O$8</f>
        <v>0.2</v>
      </c>
      <c r="AA227" s="58">
        <f t="shared" si="171"/>
        <v>0.2</v>
      </c>
      <c r="AB227" s="106">
        <f>IF(ISNA(VLOOKUP($CW227,'Audit Values'!$A:$BZ,2,FALSE)),'Preliminary SO66'!AO226,VLOOKUP($CW227,'Audit Values'!$A:$BZ,61,FALSE))</f>
        <v>152.1</v>
      </c>
      <c r="AC227" s="58">
        <f>AB227/6*'Weighting Factors'!$O$6</f>
        <v>12.7</v>
      </c>
      <c r="AD227" s="24">
        <f>IF(ISNA(VLOOKUP($CW227,'Audit Values'!$A:$BX,2,FALSE)),'Preliminary SO66'!AS226,VLOOKUP($CW227,'Audit Values'!$A:$BX,64,FALSE))</f>
        <v>502</v>
      </c>
      <c r="AE227" s="24">
        <f>IF(ISNA(VLOOKUP($CW227,'Audit Values'!$A:$BX,2,FALSE)),'Preliminary SO66'!AP226,VLOOKUP($CW227,'Audit Values'!$A:$BX,65,FALSE))</f>
        <v>151</v>
      </c>
      <c r="AF227" s="58">
        <f>IF(A227=207, AE227,(AE227))*'Weighting Factors'!$O$9</f>
        <v>73.099999999999994</v>
      </c>
      <c r="AG227" s="58">
        <f t="shared" si="168"/>
        <v>0</v>
      </c>
      <c r="AH227" s="58">
        <f>IF(ISNA(VLOOKUP($CW227,'Audit Values'!$A:$BZ,2,FALSE)),'Preliminary SO66'!AG226,VLOOKUP($CW227,'Audit Values'!$A:$BZ,71,FALSE))</f>
        <v>0.4</v>
      </c>
      <c r="AI227" s="58">
        <f t="shared" si="172"/>
        <v>0.4</v>
      </c>
      <c r="AJ227" s="58">
        <f>IF(ISNA(VLOOKUP($CW227,'Audit Values'!$A:$BX,2,FALSE)),'Preliminary SO66'!AR226,VLOOKUP($CW227,'Audit Values'!$A:$BX,66,FALSE))</f>
        <v>42</v>
      </c>
      <c r="AK227" s="24">
        <f t="shared" si="173"/>
        <v>48742</v>
      </c>
      <c r="AL227" s="58">
        <f>AK227/'Weighting Factors'!$O$5</f>
        <v>9.6</v>
      </c>
      <c r="AM227" s="58">
        <f>CJ227/'Weighting Factors'!$O$5</f>
        <v>0</v>
      </c>
      <c r="AN227" s="58">
        <f>CN227/'Weighting Factors'!$O$5</f>
        <v>0</v>
      </c>
      <c r="AO227" s="24">
        <v>645057</v>
      </c>
      <c r="AP227" s="58">
        <f>AO227/'Weighting Factors'!$O$5</f>
        <v>126.8</v>
      </c>
      <c r="AQ227" s="58">
        <f>IF(ISNA(VLOOKUP($CW227,'Audit Values'!$A:$BX,2,FALSE)),'Preliminary SO66'!X226,VLOOKUP($CW227,'Audit Values'!$A:$BX,48,FALSE))</f>
        <v>0</v>
      </c>
      <c r="AR227" s="58">
        <f t="shared" si="166"/>
        <v>927.2</v>
      </c>
      <c r="AS227" s="58">
        <f t="shared" si="167"/>
        <v>800.4</v>
      </c>
      <c r="AT227" s="58">
        <f>IF(ISNA(VLOOKUP($CW227,'Audit Values'!$A$2:$BX$410,2,FALSE)),'Preliminary SO66'!AA226,VLOOKUP($CW227,'Audit Values'!$A$2:$BX$410,41,FALSE))</f>
        <v>0</v>
      </c>
      <c r="AU227" s="58">
        <f>IF(ISNA(VLOOKUP($CW227,'Audit Values'!$A$2:$BX$410,2,FALSE)),'Preliminary SO66'!AB226,VLOOKUP($CW227,'Audit Values'!$A$2:$BX$410,42,FALSE))</f>
        <v>0</v>
      </c>
      <c r="AV227" s="73">
        <v>0</v>
      </c>
      <c r="AW227" s="73">
        <v>0</v>
      </c>
      <c r="AX227" s="24">
        <f>SUM(AT227*'Weighting Factors'!$R$10)+('2024 Legal Max'!AU227*'Weighting Factors'!$R$11)+('2024 Legal Max'!AV227*'Weighting Factors'!$R$12)+('2024 Legal Max'!AW227*'Weighting Factors'!$R$12)</f>
        <v>0</v>
      </c>
      <c r="AY227" s="54">
        <f>IF(ISNA(VLOOKUP($CW227,'Audit Values'!$A$2:$BX$429,2,FALSE)),"",IF(AND('Weighting Factors'!G227&gt;0,VLOOKUP($CW227,'Audit Values'!$A$2:$BX$429,51,FALSE)&lt;'Weighting Factors'!G227),'Weighting Factors'!G227,VLOOKUP($CW227,'Audit Values'!$A$2:$BX$429,51,FALSE)))</f>
        <v>16</v>
      </c>
      <c r="AZ227" s="54" t="str">
        <f>IF(ISNA(VLOOKUP($CW227,'Audit Values'!$A:$BY,2,FALSE)),"",VLOOKUP($CW227,'Audit Values'!$A:$BY,52,FALSE))</f>
        <v>A</v>
      </c>
      <c r="BA227" s="54" t="str">
        <f>IF('Weighting Factors'!F227="","",IF('Weighting Factors'!H227="Pending","PX","R"))</f>
        <v/>
      </c>
      <c r="BB227" s="60">
        <f>SUM((U227+V227+AA227+AC227+AF227+AI227+AL227+AM227+AQ227+AN227)*'Weighting Factors'!$O$5)+'2024 Legal Max'!AX227</f>
        <v>4072435</v>
      </c>
      <c r="BC227" s="24">
        <f>SUM((AR227+AN227)*'Weighting Factors'!$O$5)+AX227</f>
        <v>4717594</v>
      </c>
      <c r="BD227" s="67">
        <f>IF('Weighting Factors'!F227&gt;0,'Weighting Factors'!F227,'Preliminary SO66'!AV226)</f>
        <v>4897709</v>
      </c>
      <c r="BE227" s="24">
        <f t="shared" si="174"/>
        <v>4717594</v>
      </c>
      <c r="BF227" s="71">
        <f>'Weighting Factors'!E227</f>
        <v>0</v>
      </c>
      <c r="BG227" s="71">
        <f>Transportation!G227</f>
        <v>0</v>
      </c>
      <c r="BH227" s="24">
        <f>IF(ISNA(VLOOKUP($CW227,'Audit Values'!$A:$BW,2,FALSE)), 0, VLOOKUP($CW227,'Audit Values'!$A:$BW,75,FALSE))</f>
        <v>0</v>
      </c>
      <c r="BI227" s="24">
        <f t="shared" si="175"/>
        <v>0</v>
      </c>
      <c r="BJ227" s="24">
        <f t="shared" si="176"/>
        <v>4717594</v>
      </c>
      <c r="BK227" s="24">
        <f>SUM((U227+V227+AA227+AC227+AF227+AI227+AL227+AM227+AN227)*'Weighting Factors'!O$12)+(MAX(AO227,'Weighting Factors'!B227))</f>
        <v>4773520</v>
      </c>
      <c r="BL227" s="78">
        <f>'LOB%'!F225</f>
        <v>0.316</v>
      </c>
      <c r="BM227" s="24">
        <f t="shared" si="147"/>
        <v>1508432</v>
      </c>
      <c r="BN227" s="67">
        <v>1564151</v>
      </c>
      <c r="BO227" s="24">
        <f t="shared" si="177"/>
        <v>1508432</v>
      </c>
      <c r="BP227" s="89">
        <f t="shared" si="148"/>
        <v>0.316</v>
      </c>
      <c r="BQ227" s="58">
        <f t="shared" si="149"/>
        <v>0</v>
      </c>
      <c r="BR227" s="1" t="b">
        <f t="shared" si="150"/>
        <v>0</v>
      </c>
      <c r="BS227" s="76">
        <f t="shared" si="151"/>
        <v>0</v>
      </c>
      <c r="BT227" s="75">
        <f t="shared" si="178"/>
        <v>0</v>
      </c>
      <c r="BU227" s="58">
        <f t="shared" si="152"/>
        <v>0</v>
      </c>
      <c r="BV227" s="1" t="b">
        <f t="shared" si="153"/>
        <v>1</v>
      </c>
      <c r="BW227" s="1">
        <f t="shared" si="154"/>
        <v>243.78749999999999</v>
      </c>
      <c r="BX227" s="75">
        <f t="shared" si="179"/>
        <v>0.41725600000000002</v>
      </c>
      <c r="BY227" s="58">
        <f t="shared" si="155"/>
        <v>207.4</v>
      </c>
      <c r="BZ227" s="58">
        <f t="shared" si="156"/>
        <v>0</v>
      </c>
      <c r="CA227" s="61">
        <v>42</v>
      </c>
      <c r="CB227" s="102">
        <f t="shared" si="157"/>
        <v>1</v>
      </c>
      <c r="CC227" s="105">
        <f>IF(CB227&lt;0.06,1,IF(CB227&gt;=18.29,52,MATCH(CB227-0.001,'Weighting Factors'!$W$5:$W$156)+1))</f>
        <v>32</v>
      </c>
      <c r="CD227" s="24">
        <f>VLOOKUP(CC227, 'Weighting Factors'!$U$5:$X$56,4)</f>
        <v>950</v>
      </c>
      <c r="CE227" s="109">
        <f>('Weighting Factors'!$O$5/'Weighting Factors'!$O$14)</f>
        <v>1.2216</v>
      </c>
      <c r="CF227" s="100">
        <f t="shared" si="158"/>
        <v>39900</v>
      </c>
      <c r="CG227" s="100">
        <f>CF227*'Weighting Factors'!$Q$7</f>
        <v>39900</v>
      </c>
      <c r="CH227" s="100">
        <f t="shared" si="180"/>
        <v>48742</v>
      </c>
      <c r="CI227" s="58">
        <f>AK227/'Weighting Factors'!$O$5</f>
        <v>9.6</v>
      </c>
      <c r="CJ227" s="67">
        <v>0</v>
      </c>
      <c r="CK227" s="80">
        <v>0</v>
      </c>
      <c r="CL227" s="110">
        <v>0</v>
      </c>
      <c r="CM227" s="24">
        <f>SUM((AR227*'Weighting Factors'!$O$5)+'2024 Legal Max'!AX227)*CL227</f>
        <v>0</v>
      </c>
      <c r="CN227" s="24">
        <f t="shared" si="181"/>
        <v>0</v>
      </c>
      <c r="CO227" s="65">
        <f t="shared" si="146"/>
        <v>0.30080000000000001</v>
      </c>
      <c r="CP227" s="58">
        <f t="shared" si="159"/>
        <v>0</v>
      </c>
      <c r="CQ227" s="58">
        <f t="shared" si="160"/>
        <v>0</v>
      </c>
      <c r="CR227" s="58">
        <f t="shared" si="161"/>
        <v>927.2</v>
      </c>
      <c r="CS227" s="24">
        <f>'Required Transfers'!L227</f>
        <v>120222</v>
      </c>
      <c r="CT227" s="24">
        <f>'Required Transfers'!O227</f>
        <v>302</v>
      </c>
      <c r="CU227" s="24">
        <f>'Required Transfers'!H227</f>
        <v>373968</v>
      </c>
      <c r="CV227" s="58">
        <f t="shared" si="162"/>
        <v>490</v>
      </c>
      <c r="CW227" s="27" t="s">
        <v>412</v>
      </c>
    </row>
    <row r="228" spans="1:101" ht="15" customHeight="1">
      <c r="A228" s="54">
        <v>440</v>
      </c>
      <c r="B228" s="1" t="s">
        <v>74</v>
      </c>
      <c r="C228" s="1" t="s">
        <v>732</v>
      </c>
      <c r="D228" s="58">
        <v>763.5</v>
      </c>
      <c r="E228" s="58">
        <v>1</v>
      </c>
      <c r="F228" s="58">
        <v>0</v>
      </c>
      <c r="G228" s="58">
        <f t="shared" si="163"/>
        <v>762.5</v>
      </c>
      <c r="H228" s="58">
        <v>777.1</v>
      </c>
      <c r="I228" s="58"/>
      <c r="J228" s="58">
        <v>0</v>
      </c>
      <c r="K228" s="58">
        <f t="shared" si="164"/>
        <v>777.1</v>
      </c>
      <c r="L228" s="1">
        <v>782.1</v>
      </c>
      <c r="N228" s="1">
        <v>0</v>
      </c>
      <c r="O228" s="58">
        <f t="shared" si="165"/>
        <v>782.1</v>
      </c>
      <c r="P228" s="58">
        <f>IF(ISNA(VLOOKUP($CW228,'Audit Values'!$A:$BZ,2,FALSE)),'Preliminary SO66'!C227,VLOOKUP($CW228,'Audit Values'!$A:$BZ,76,FALSE))</f>
        <v>754</v>
      </c>
      <c r="Q228" s="58">
        <f>IF(ISNA(VLOOKUP($CW228,'Audit Values'!$A:$BZ,2,FALSE)),'Preliminary SO66'!F227,VLOOKUP($CW228,'Audit Values'!$A:$BZ,4,FALSE))</f>
        <v>0</v>
      </c>
      <c r="R228" s="58">
        <f t="shared" si="169"/>
        <v>754</v>
      </c>
      <c r="S228" s="58">
        <f>IF('Military Provision'!I228="YES", MAX('2024 Legal Max'!O228,'2024 Legal Max'!K228,AVERAGE('2024 Legal Max'!G228,'2024 Legal Max'!K228,'2024 Legal Max'!O228)), MAX(O228, K228))</f>
        <v>782.1</v>
      </c>
      <c r="T228" s="58">
        <f>IF(ISNA(VLOOKUP($CW228,'Audit Values'!$A:$BX,2,FALSE)),'Preliminary SO66'!AL227,VLOOKUP($CW228,'Audit Values'!$A:$BX,59,FALSE))</f>
        <v>16</v>
      </c>
      <c r="U228" s="58">
        <f t="shared" si="170"/>
        <v>798.1</v>
      </c>
      <c r="V228" s="58">
        <f>'Low-High ENRL- 2023 HSubSB 113'!N231</f>
        <v>251.4</v>
      </c>
      <c r="W228" s="58">
        <f>IF(ISNA(VLOOKUP($CW228,'Audit Values'!$A:$BZ,2,FALSE)),'Preliminary SO66'!AM227,VLOOKUP($CW228,'Audit Values'!$A:$BZ,63,FALSE))</f>
        <v>29.2</v>
      </c>
      <c r="X228" s="58">
        <f>(W228/6)*'Weighting Factors'!$O$7</f>
        <v>1.9</v>
      </c>
      <c r="Y228" s="61">
        <f>IF(ISNA(VLOOKUP($CW228,'Audit Values'!$A:$BZ,2,FALSE)),'Preliminary SO66'!AN227,VLOOKUP($CW228,'Audit Values'!$A:$BZ,62,FALSE))</f>
        <v>14</v>
      </c>
      <c r="Z228" s="58">
        <f>Y228*'Weighting Factors'!$O$8</f>
        <v>2.6</v>
      </c>
      <c r="AA228" s="58">
        <f t="shared" si="171"/>
        <v>2.6</v>
      </c>
      <c r="AB228" s="106">
        <f>IF(ISNA(VLOOKUP($CW228,'Audit Values'!$A:$BZ,2,FALSE)),'Preliminary SO66'!AO227,VLOOKUP($CW228,'Audit Values'!$A:$BZ,61,FALSE))</f>
        <v>254.7</v>
      </c>
      <c r="AC228" s="58">
        <f>AB228/6*'Weighting Factors'!$O$6</f>
        <v>21.2</v>
      </c>
      <c r="AD228" s="24">
        <f>IF(ISNA(VLOOKUP($CW228,'Audit Values'!$A:$BX,2,FALSE)),'Preliminary SO66'!AS227,VLOOKUP($CW228,'Audit Values'!$A:$BX,64,FALSE))</f>
        <v>793</v>
      </c>
      <c r="AE228" s="24">
        <f>IF(ISNA(VLOOKUP($CW228,'Audit Values'!$A:$BX,2,FALSE)),'Preliminary SO66'!AP227,VLOOKUP($CW228,'Audit Values'!$A:$BX,65,FALSE))</f>
        <v>280</v>
      </c>
      <c r="AF228" s="58">
        <f>IF(A228=207, AE228,(AE228))*'Weighting Factors'!$O$9</f>
        <v>135.5</v>
      </c>
      <c r="AG228" s="58">
        <f t="shared" si="168"/>
        <v>0.6</v>
      </c>
      <c r="AH228" s="58">
        <f>IF(ISNA(VLOOKUP($CW228,'Audit Values'!$A:$BZ,2,FALSE)),'Preliminary SO66'!AG227,VLOOKUP($CW228,'Audit Values'!$A:$BZ,71,FALSE))</f>
        <v>4.2</v>
      </c>
      <c r="AI228" s="58">
        <f t="shared" si="172"/>
        <v>4.2</v>
      </c>
      <c r="AJ228" s="58">
        <f>IF(ISNA(VLOOKUP($CW228,'Audit Values'!$A:$BX,2,FALSE)),'Preliminary SO66'!AR227,VLOOKUP($CW228,'Audit Values'!$A:$BX,66,FALSE))</f>
        <v>316</v>
      </c>
      <c r="AK228" s="24">
        <f t="shared" si="173"/>
        <v>312681</v>
      </c>
      <c r="AL228" s="58">
        <f>AK228/'Weighting Factors'!$O$5</f>
        <v>61.5</v>
      </c>
      <c r="AM228" s="58">
        <f>CJ228/'Weighting Factors'!$O$5</f>
        <v>0</v>
      </c>
      <c r="AN228" s="58">
        <f>CN228/'Weighting Factors'!$O$5</f>
        <v>0</v>
      </c>
      <c r="AO228" s="24">
        <v>656168</v>
      </c>
      <c r="AP228" s="58">
        <f>AO228/'Weighting Factors'!$O$5</f>
        <v>129</v>
      </c>
      <c r="AQ228" s="58">
        <f>IF(ISNA(VLOOKUP($CW228,'Audit Values'!$A:$BX,2,FALSE)),'Preliminary SO66'!X227,VLOOKUP($CW228,'Audit Values'!$A:$BX,48,FALSE))</f>
        <v>0</v>
      </c>
      <c r="AR228" s="58">
        <f t="shared" si="166"/>
        <v>1403.5</v>
      </c>
      <c r="AS228" s="58">
        <f t="shared" si="167"/>
        <v>1274.5</v>
      </c>
      <c r="AT228" s="58">
        <f>IF(ISNA(VLOOKUP($CW228,'Audit Values'!$A$2:$BX$410,2,FALSE)),'Preliminary SO66'!AA227,VLOOKUP($CW228,'Audit Values'!$A$2:$BX$410,41,FALSE))</f>
        <v>1</v>
      </c>
      <c r="AU228" s="58">
        <f>IF(ISNA(VLOOKUP($CW228,'Audit Values'!$A$2:$BX$410,2,FALSE)),'Preliminary SO66'!AB227,VLOOKUP($CW228,'Audit Values'!$A$2:$BX$410,42,FALSE))</f>
        <v>0</v>
      </c>
      <c r="AV228" s="73">
        <v>0</v>
      </c>
      <c r="AW228" s="73">
        <v>0</v>
      </c>
      <c r="AX228" s="24">
        <f>SUM(AT228*'Weighting Factors'!$R$10)+('2024 Legal Max'!AU228*'Weighting Factors'!$R$11)+('2024 Legal Max'!AV228*'Weighting Factors'!$R$12)+('2024 Legal Max'!AW228*'Weighting Factors'!$R$12)</f>
        <v>5600</v>
      </c>
      <c r="AY228" s="54">
        <f>IF(ISNA(VLOOKUP($CW228,'Audit Values'!$A$2:$BX$429,2,FALSE)),"",IF(AND('Weighting Factors'!G228&gt;0,VLOOKUP($CW228,'Audit Values'!$A$2:$BX$429,51,FALSE)&lt;'Weighting Factors'!G228),'Weighting Factors'!G228,VLOOKUP($CW228,'Audit Values'!$A$2:$BX$429,51,FALSE)))</f>
        <v>9</v>
      </c>
      <c r="AZ228" s="54" t="str">
        <f>IF(ISNA(VLOOKUP($CW228,'Audit Values'!$A:$BY,2,FALSE)),"",VLOOKUP($CW228,'Audit Values'!$A:$BY,52,FALSE))</f>
        <v>A</v>
      </c>
      <c r="BA228" s="54" t="str">
        <f>IF('Weighting Factors'!F228="","",IF('Weighting Factors'!H228="Pending","PX","R"))</f>
        <v/>
      </c>
      <c r="BB228" s="60">
        <f>SUM((U228+V228+AA228+AC228+AF228+AI228+AL228+AM228+AQ228+AN228)*'Weighting Factors'!$O$5)+'2024 Legal Max'!AX228</f>
        <v>6490256</v>
      </c>
      <c r="BC228" s="24">
        <f>SUM((AR228+AN228)*'Weighting Factors'!$O$5)+AX228</f>
        <v>7146608</v>
      </c>
      <c r="BD228" s="67">
        <f>IF('Weighting Factors'!F228&gt;0,'Weighting Factors'!F228,'Preliminary SO66'!AV227)</f>
        <v>7542451</v>
      </c>
      <c r="BE228" s="24">
        <f t="shared" si="174"/>
        <v>7146608</v>
      </c>
      <c r="BF228" s="71">
        <f>'Weighting Factors'!E228</f>
        <v>0</v>
      </c>
      <c r="BG228" s="71">
        <f>Transportation!G228</f>
        <v>0</v>
      </c>
      <c r="BH228" s="24">
        <f>IF(ISNA(VLOOKUP($CW228,'Audit Values'!$A:$BW,2,FALSE)), 0, VLOOKUP($CW228,'Audit Values'!$A:$BW,75,FALSE))</f>
        <v>0</v>
      </c>
      <c r="BI228" s="24">
        <f t="shared" si="175"/>
        <v>0</v>
      </c>
      <c r="BJ228" s="24">
        <f t="shared" si="176"/>
        <v>7146608</v>
      </c>
      <c r="BK228" s="24">
        <f>SUM((U228+V228+AA228+AC228+AF228+AI228+AL228+AM228+AN228)*'Weighting Factors'!O$12)+(MAX(AO228,'Weighting Factors'!B228))</f>
        <v>7231606</v>
      </c>
      <c r="BL228" s="78">
        <f>'LOB%'!F226</f>
        <v>0.316</v>
      </c>
      <c r="BM228" s="24">
        <f t="shared" si="147"/>
        <v>2285187</v>
      </c>
      <c r="BN228" s="67">
        <v>2412288</v>
      </c>
      <c r="BO228" s="24">
        <f t="shared" si="177"/>
        <v>2285187</v>
      </c>
      <c r="BP228" s="89">
        <f t="shared" si="148"/>
        <v>0.316</v>
      </c>
      <c r="BQ228" s="58">
        <f t="shared" si="149"/>
        <v>0</v>
      </c>
      <c r="BR228" s="1" t="b">
        <f t="shared" si="150"/>
        <v>0</v>
      </c>
      <c r="BS228" s="76">
        <f t="shared" si="151"/>
        <v>0</v>
      </c>
      <c r="BT228" s="75">
        <f t="shared" si="178"/>
        <v>0</v>
      </c>
      <c r="BU228" s="58">
        <f t="shared" si="152"/>
        <v>0</v>
      </c>
      <c r="BV228" s="1" t="b">
        <f t="shared" si="153"/>
        <v>1</v>
      </c>
      <c r="BW228" s="1">
        <f t="shared" si="154"/>
        <v>616.39880000000005</v>
      </c>
      <c r="BX228" s="75">
        <f t="shared" si="179"/>
        <v>0.31495800000000002</v>
      </c>
      <c r="BY228" s="58">
        <f t="shared" si="155"/>
        <v>251.4</v>
      </c>
      <c r="BZ228" s="58">
        <f t="shared" si="156"/>
        <v>0</v>
      </c>
      <c r="CA228" s="61">
        <v>130</v>
      </c>
      <c r="CB228" s="102">
        <f t="shared" si="157"/>
        <v>2.431</v>
      </c>
      <c r="CC228" s="105">
        <f>IF(CB228&lt;0.06,1,IF(CB228&gt;=18.29,52,MATCH(CB228-0.001,'Weighting Factors'!$W$5:$W$156)+1))</f>
        <v>39</v>
      </c>
      <c r="CD228" s="24">
        <f>VLOOKUP(CC228, 'Weighting Factors'!$U$5:$X$56,4)</f>
        <v>810</v>
      </c>
      <c r="CE228" s="109">
        <f>('Weighting Factors'!$O$5/'Weighting Factors'!$O$14)</f>
        <v>1.2216</v>
      </c>
      <c r="CF228" s="100">
        <f t="shared" si="158"/>
        <v>255960</v>
      </c>
      <c r="CG228" s="100">
        <f>CF228*'Weighting Factors'!$Q$7</f>
        <v>255960</v>
      </c>
      <c r="CH228" s="100">
        <f t="shared" si="180"/>
        <v>312681</v>
      </c>
      <c r="CI228" s="58">
        <f>AK228/'Weighting Factors'!$O$5</f>
        <v>61.5</v>
      </c>
      <c r="CJ228" s="67">
        <v>0</v>
      </c>
      <c r="CK228" s="80">
        <v>0</v>
      </c>
      <c r="CL228" s="110">
        <v>0</v>
      </c>
      <c r="CM228" s="24">
        <f>SUM((AR228*'Weighting Factors'!$O$5)+'2024 Legal Max'!AX228)*CL228</f>
        <v>0</v>
      </c>
      <c r="CN228" s="24">
        <f t="shared" si="181"/>
        <v>0</v>
      </c>
      <c r="CO228" s="65">
        <f t="shared" si="146"/>
        <v>0.35310000000000002</v>
      </c>
      <c r="CP228" s="58">
        <f t="shared" si="159"/>
        <v>0</v>
      </c>
      <c r="CQ228" s="58">
        <f t="shared" si="160"/>
        <v>0.6</v>
      </c>
      <c r="CR228" s="58">
        <f t="shared" si="161"/>
        <v>1403.5</v>
      </c>
      <c r="CS228" s="24">
        <f>'Required Transfers'!L228</f>
        <v>223263</v>
      </c>
      <c r="CT228" s="24">
        <f>'Required Transfers'!O228</f>
        <v>4342</v>
      </c>
      <c r="CU228" s="24">
        <f>'Required Transfers'!H228</f>
        <v>710794</v>
      </c>
      <c r="CV228" s="58">
        <f t="shared" si="162"/>
        <v>771</v>
      </c>
      <c r="CW228" s="27" t="s">
        <v>413</v>
      </c>
    </row>
    <row r="229" spans="1:101" ht="15" customHeight="1">
      <c r="A229" s="54">
        <v>443</v>
      </c>
      <c r="B229" s="1" t="s">
        <v>80</v>
      </c>
      <c r="C229" s="1" t="s">
        <v>733</v>
      </c>
      <c r="D229" s="58">
        <v>6681.6</v>
      </c>
      <c r="E229" s="58">
        <v>7</v>
      </c>
      <c r="F229" s="58">
        <v>0</v>
      </c>
      <c r="G229" s="58">
        <f t="shared" si="163"/>
        <v>6674.6</v>
      </c>
      <c r="H229" s="58">
        <v>6707.6</v>
      </c>
      <c r="I229" s="58">
        <v>3</v>
      </c>
      <c r="J229" s="58">
        <v>0</v>
      </c>
      <c r="K229" s="58">
        <f t="shared" si="164"/>
        <v>6704.6</v>
      </c>
      <c r="L229" s="1">
        <v>6778.7</v>
      </c>
      <c r="N229" s="1">
        <v>0</v>
      </c>
      <c r="O229" s="58">
        <f t="shared" si="165"/>
        <v>6778.7</v>
      </c>
      <c r="P229" s="58">
        <f>IF(ISNA(VLOOKUP($CW229,'Audit Values'!$A:$BZ,2,FALSE)),'Preliminary SO66'!C228,VLOOKUP($CW229,'Audit Values'!$A:$BZ,76,FALSE))</f>
        <v>6742.5</v>
      </c>
      <c r="Q229" s="58">
        <f>IF(ISNA(VLOOKUP($CW229,'Audit Values'!$A:$BZ,2,FALSE)),'Preliminary SO66'!F228,VLOOKUP($CW229,'Audit Values'!$A:$BZ,4,FALSE))</f>
        <v>0</v>
      </c>
      <c r="R229" s="58">
        <f t="shared" si="169"/>
        <v>6742.5</v>
      </c>
      <c r="S229" s="58">
        <f>IF('Military Provision'!I229="YES", MAX('2024 Legal Max'!O229,'2024 Legal Max'!K229,AVERAGE('2024 Legal Max'!G229,'2024 Legal Max'!K229,'2024 Legal Max'!O229)), MAX(O229, K229))</f>
        <v>6778.7</v>
      </c>
      <c r="T229" s="58">
        <f>IF(ISNA(VLOOKUP($CW229,'Audit Values'!$A:$BX,2,FALSE)),'Preliminary SO66'!AL228,VLOOKUP($CW229,'Audit Values'!$A:$BX,59,FALSE))</f>
        <v>168.5</v>
      </c>
      <c r="U229" s="58">
        <f t="shared" si="170"/>
        <v>6947.2</v>
      </c>
      <c r="V229" s="58">
        <f>'Low-High ENRL- 2023 HSubSB 113'!N232</f>
        <v>243.4</v>
      </c>
      <c r="W229" s="58">
        <f>IF(ISNA(VLOOKUP($CW229,'Audit Values'!$A:$BZ,2,FALSE)),'Preliminary SO66'!AM228,VLOOKUP($CW229,'Audit Values'!$A:$BZ,63,FALSE))</f>
        <v>12342.3</v>
      </c>
      <c r="X229" s="58">
        <f>(W229/6)*'Weighting Factors'!$O$7</f>
        <v>812.5</v>
      </c>
      <c r="Y229" s="61">
        <f>IF(ISNA(VLOOKUP($CW229,'Audit Values'!$A:$BZ,2,FALSE)),'Preliminary SO66'!AN228,VLOOKUP($CW229,'Audit Values'!$A:$BZ,62,FALSE))</f>
        <v>3244</v>
      </c>
      <c r="Z229" s="58">
        <f>Y229*'Weighting Factors'!$O$8</f>
        <v>600.1</v>
      </c>
      <c r="AA229" s="58">
        <f t="shared" si="171"/>
        <v>812.5</v>
      </c>
      <c r="AB229" s="106">
        <f>IF(ISNA(VLOOKUP($CW229,'Audit Values'!$A:$BZ,2,FALSE)),'Preliminary SO66'!AO228,VLOOKUP($CW229,'Audit Values'!$A:$BZ,61,FALSE))</f>
        <v>2154.1</v>
      </c>
      <c r="AC229" s="58">
        <f>AB229/6*'Weighting Factors'!$O$6</f>
        <v>179.5</v>
      </c>
      <c r="AD229" s="24">
        <f>IF(ISNA(VLOOKUP($CW229,'Audit Values'!$A:$BX,2,FALSE)),'Preliminary SO66'!AS228,VLOOKUP($CW229,'Audit Values'!$A:$BX,64,FALSE))</f>
        <v>7153</v>
      </c>
      <c r="AE229" s="24">
        <f>IF(ISNA(VLOOKUP($CW229,'Audit Values'!$A:$BX,2,FALSE)),'Preliminary SO66'!AP228,VLOOKUP($CW229,'Audit Values'!$A:$BX,65,FALSE))</f>
        <v>5023</v>
      </c>
      <c r="AF229" s="58">
        <f>IF(A229=207, AE229,(AE229))*'Weighting Factors'!$O$9</f>
        <v>2431.1</v>
      </c>
      <c r="AG229" s="58">
        <f t="shared" si="168"/>
        <v>527.4</v>
      </c>
      <c r="AH229" s="58">
        <f>IF(ISNA(VLOOKUP($CW229,'Audit Values'!$A:$BZ,2,FALSE)),'Preliminary SO66'!AG228,VLOOKUP($CW229,'Audit Values'!$A:$BZ,71,FALSE))</f>
        <v>527.5</v>
      </c>
      <c r="AI229" s="58">
        <f t="shared" si="172"/>
        <v>527.5</v>
      </c>
      <c r="AJ229" s="58">
        <f>IF(ISNA(VLOOKUP($CW229,'Audit Values'!$A:$BX,2,FALSE)),'Preliminary SO66'!AR228,VLOOKUP($CW229,'Audit Values'!$A:$BX,66,FALSE))</f>
        <v>2703</v>
      </c>
      <c r="AK229" s="24">
        <f t="shared" si="173"/>
        <v>2278370</v>
      </c>
      <c r="AL229" s="58">
        <f>AK229/'Weighting Factors'!$O$5</f>
        <v>447.8</v>
      </c>
      <c r="AM229" s="58">
        <f>CJ229/'Weighting Factors'!$O$5</f>
        <v>0</v>
      </c>
      <c r="AN229" s="58">
        <f>CN229/'Weighting Factors'!$O$5</f>
        <v>0</v>
      </c>
      <c r="AO229" s="24">
        <v>5549961</v>
      </c>
      <c r="AP229" s="58">
        <f>AO229/'Weighting Factors'!$O$5</f>
        <v>1090.8</v>
      </c>
      <c r="AQ229" s="58">
        <f>IF(ISNA(VLOOKUP($CW229,'Audit Values'!$A:$BX,2,FALSE)),'Preliminary SO66'!X228,VLOOKUP($CW229,'Audit Values'!$A:$BX,48,FALSE))</f>
        <v>0</v>
      </c>
      <c r="AR229" s="58">
        <f t="shared" si="166"/>
        <v>12679.8</v>
      </c>
      <c r="AS229" s="58">
        <f t="shared" si="167"/>
        <v>11589</v>
      </c>
      <c r="AT229" s="58">
        <f>IF(ISNA(VLOOKUP($CW229,'Audit Values'!$A$2:$BX$410,2,FALSE)),'Preliminary SO66'!AA228,VLOOKUP($CW229,'Audit Values'!$A$2:$BX$410,41,FALSE))</f>
        <v>2</v>
      </c>
      <c r="AU229" s="58">
        <f>IF(ISNA(VLOOKUP($CW229,'Audit Values'!$A$2:$BX$410,2,FALSE)),'Preliminary SO66'!AB228,VLOOKUP($CW229,'Audit Values'!$A$2:$BX$410,42,FALSE))</f>
        <v>0</v>
      </c>
      <c r="AV229" s="73">
        <v>50</v>
      </c>
      <c r="AW229" s="73">
        <v>20</v>
      </c>
      <c r="AX229" s="24">
        <f>SUM(AT229*'Weighting Factors'!$R$10)+('2024 Legal Max'!AU229*'Weighting Factors'!$R$11)+('2024 Legal Max'!AV229*'Weighting Factors'!$R$12)+('2024 Legal Max'!AW229*'Weighting Factors'!$R$12)</f>
        <v>60830</v>
      </c>
      <c r="AY229" s="54">
        <f>IF(ISNA(VLOOKUP($CW229,'Audit Values'!$A$2:$BX$429,2,FALSE)),"",IF(AND('Weighting Factors'!G229&gt;0,VLOOKUP($CW229,'Audit Values'!$A$2:$BX$429,51,FALSE)&lt;'Weighting Factors'!G229),'Weighting Factors'!G229,VLOOKUP($CW229,'Audit Values'!$A$2:$BX$429,51,FALSE)))</f>
        <v>25</v>
      </c>
      <c r="AZ229" s="54" t="str">
        <f>IF(ISNA(VLOOKUP($CW229,'Audit Values'!$A:$BY,2,FALSE)),"",VLOOKUP($CW229,'Audit Values'!$A:$BY,52,FALSE))</f>
        <v>A</v>
      </c>
      <c r="BA229" s="54" t="str">
        <f>IF('Weighting Factors'!F229="","",IF('Weighting Factors'!H229="Pending","PX","R"))</f>
        <v>R</v>
      </c>
      <c r="BB229" s="60">
        <f>SUM((U229+V229+AA229+AC229+AF229+AI229+AL229+AM229+AQ229+AN229)*'Weighting Factors'!$O$5)+'2024 Legal Max'!AX229</f>
        <v>59025662</v>
      </c>
      <c r="BC229" s="24">
        <f>SUM((AR229+AN229)*'Weighting Factors'!$O$5)+AX229</f>
        <v>64575652</v>
      </c>
      <c r="BD229" s="67">
        <f>IF('Weighting Factors'!F229&gt;0,'Weighting Factors'!F229,'Preliminary SO66'!AV228)</f>
        <v>65088091</v>
      </c>
      <c r="BE229" s="24">
        <f t="shared" si="174"/>
        <v>64575652</v>
      </c>
      <c r="BF229" s="71">
        <f>'Weighting Factors'!E229</f>
        <v>0</v>
      </c>
      <c r="BG229" s="71">
        <f>Transportation!G229</f>
        <v>-733519</v>
      </c>
      <c r="BH229" s="24">
        <f>IF(ISNA(VLOOKUP($CW229,'Audit Values'!$A:$BW,2,FALSE)), 0, VLOOKUP($CW229,'Audit Values'!$A:$BW,75,FALSE))</f>
        <v>0</v>
      </c>
      <c r="BI229" s="24">
        <f t="shared" si="175"/>
        <v>-733519</v>
      </c>
      <c r="BJ229" s="24">
        <f t="shared" si="176"/>
        <v>63842133</v>
      </c>
      <c r="BK229" s="24">
        <f>SUM((U229+V229+AA229+AC229+AF229+AI229+AL229+AM229+AN229)*'Weighting Factors'!O$12)+(MAX(AO229,'Weighting Factors'!B229))</f>
        <v>65326023</v>
      </c>
      <c r="BL229" s="78">
        <f>'LOB%'!F227</f>
        <v>0.33</v>
      </c>
      <c r="BM229" s="24">
        <f t="shared" si="147"/>
        <v>21557588</v>
      </c>
      <c r="BN229" s="67">
        <v>21466935</v>
      </c>
      <c r="BO229" s="24">
        <f t="shared" si="177"/>
        <v>21466935</v>
      </c>
      <c r="BP229" s="89">
        <f t="shared" si="148"/>
        <v>0.3286</v>
      </c>
      <c r="BQ229" s="58">
        <f t="shared" si="149"/>
        <v>0</v>
      </c>
      <c r="BR229" s="1" t="b">
        <f t="shared" si="150"/>
        <v>0</v>
      </c>
      <c r="BS229" s="76">
        <f t="shared" si="151"/>
        <v>0</v>
      </c>
      <c r="BT229" s="75">
        <f t="shared" si="178"/>
        <v>0</v>
      </c>
      <c r="BU229" s="58">
        <f t="shared" si="152"/>
        <v>0</v>
      </c>
      <c r="BV229" s="1" t="b">
        <f t="shared" si="153"/>
        <v>0</v>
      </c>
      <c r="BW229" s="1">
        <f t="shared" si="154"/>
        <v>0</v>
      </c>
      <c r="BX229" s="75">
        <f t="shared" si="179"/>
        <v>0</v>
      </c>
      <c r="BY229" s="58">
        <f t="shared" si="155"/>
        <v>0</v>
      </c>
      <c r="BZ229" s="58">
        <f t="shared" si="156"/>
        <v>243.4</v>
      </c>
      <c r="CA229" s="61">
        <v>425.7</v>
      </c>
      <c r="CB229" s="102">
        <f t="shared" si="157"/>
        <v>6.35</v>
      </c>
      <c r="CC229" s="105">
        <f>IF(CB229&lt;0.06,1,IF(CB229&gt;=18.29,52,MATCH(CB229-0.001,'Weighting Factors'!$W$5:$W$156)+1))</f>
        <v>45</v>
      </c>
      <c r="CD229" s="24">
        <f>VLOOKUP(CC229, 'Weighting Factors'!$U$5:$X$56,4)</f>
        <v>690</v>
      </c>
      <c r="CE229" s="109">
        <f>('Weighting Factors'!$O$5/'Weighting Factors'!$O$14)</f>
        <v>1.2216</v>
      </c>
      <c r="CF229" s="100">
        <f t="shared" si="158"/>
        <v>1865070</v>
      </c>
      <c r="CG229" s="100">
        <f>CF229*'Weighting Factors'!$Q$7</f>
        <v>1865070</v>
      </c>
      <c r="CH229" s="100">
        <f t="shared" si="180"/>
        <v>2278370</v>
      </c>
      <c r="CI229" s="58">
        <f>AK229/'Weighting Factors'!$O$5</f>
        <v>447.8</v>
      </c>
      <c r="CJ229" s="67">
        <v>0</v>
      </c>
      <c r="CK229" s="80">
        <v>0</v>
      </c>
      <c r="CL229" s="110">
        <v>0</v>
      </c>
      <c r="CM229" s="24">
        <f>SUM((AR229*'Weighting Factors'!$O$5)+'2024 Legal Max'!AX229)*CL229</f>
        <v>0</v>
      </c>
      <c r="CN229" s="24">
        <f t="shared" si="181"/>
        <v>0</v>
      </c>
      <c r="CO229" s="65">
        <f t="shared" si="146"/>
        <v>0.70220000000000005</v>
      </c>
      <c r="CP229" s="58">
        <f t="shared" si="159"/>
        <v>527.4</v>
      </c>
      <c r="CQ229" s="58">
        <f t="shared" si="160"/>
        <v>0</v>
      </c>
      <c r="CR229" s="58">
        <f t="shared" si="161"/>
        <v>12679.8</v>
      </c>
      <c r="CS229" s="24">
        <f>'Required Transfers'!L229</f>
        <v>4171025</v>
      </c>
      <c r="CT229" s="24">
        <f>'Required Transfers'!O229</f>
        <v>1393204</v>
      </c>
      <c r="CU229" s="24">
        <f>'Required Transfers'!H229</f>
        <v>15053357</v>
      </c>
      <c r="CV229" s="58">
        <f t="shared" si="162"/>
        <v>6924.7</v>
      </c>
      <c r="CW229" s="27" t="s">
        <v>414</v>
      </c>
    </row>
    <row r="230" spans="1:101" ht="15" customHeight="1">
      <c r="A230" s="54">
        <v>444</v>
      </c>
      <c r="B230" s="1" t="s">
        <v>76</v>
      </c>
      <c r="C230" s="1" t="s">
        <v>734</v>
      </c>
      <c r="D230" s="58">
        <v>267.5</v>
      </c>
      <c r="E230" s="58"/>
      <c r="F230" s="58">
        <v>0</v>
      </c>
      <c r="G230" s="58">
        <f t="shared" si="163"/>
        <v>267.5</v>
      </c>
      <c r="H230" s="58">
        <v>273.5</v>
      </c>
      <c r="I230" s="58"/>
      <c r="J230" s="58">
        <v>0</v>
      </c>
      <c r="K230" s="58">
        <f t="shared" si="164"/>
        <v>273.5</v>
      </c>
      <c r="L230" s="1">
        <v>270.5</v>
      </c>
      <c r="N230" s="1">
        <v>0</v>
      </c>
      <c r="O230" s="58">
        <f t="shared" si="165"/>
        <v>270.5</v>
      </c>
      <c r="P230" s="58">
        <f>IF(ISNA(VLOOKUP($CW230,'Audit Values'!$A:$BZ,2,FALSE)),'Preliminary SO66'!C229,VLOOKUP($CW230,'Audit Values'!$A:$BZ,76,FALSE))</f>
        <v>273</v>
      </c>
      <c r="Q230" s="58">
        <f>IF(ISNA(VLOOKUP($CW230,'Audit Values'!$A:$BZ,2,FALSE)),'Preliminary SO66'!F229,VLOOKUP($CW230,'Audit Values'!$A:$BZ,4,FALSE))</f>
        <v>0</v>
      </c>
      <c r="R230" s="58">
        <f t="shared" si="169"/>
        <v>273</v>
      </c>
      <c r="S230" s="58">
        <f>IF('Military Provision'!I230="YES", MAX('2024 Legal Max'!O230,'2024 Legal Max'!K230,AVERAGE('2024 Legal Max'!G230,'2024 Legal Max'!K230,'2024 Legal Max'!O230)), MAX(O230, K230))</f>
        <v>273.5</v>
      </c>
      <c r="T230" s="58">
        <f>IF(ISNA(VLOOKUP($CW230,'Audit Values'!$A:$BX,2,FALSE)),'Preliminary SO66'!AL229,VLOOKUP($CW230,'Audit Values'!$A:$BX,59,FALSE))</f>
        <v>4</v>
      </c>
      <c r="U230" s="58">
        <f t="shared" si="170"/>
        <v>277.5</v>
      </c>
      <c r="V230" s="58">
        <f>'Low-High ENRL- 2023 HSubSB 113'!N233</f>
        <v>150.9</v>
      </c>
      <c r="W230" s="58">
        <f>IF(ISNA(VLOOKUP($CW230,'Audit Values'!$A:$BZ,2,FALSE)),'Preliminary SO66'!AM229,VLOOKUP($CW230,'Audit Values'!$A:$BZ,63,FALSE))</f>
        <v>0</v>
      </c>
      <c r="X230" s="58">
        <f>(W230/6)*'Weighting Factors'!$O$7</f>
        <v>0</v>
      </c>
      <c r="Y230" s="61">
        <f>IF(ISNA(VLOOKUP($CW230,'Audit Values'!$A:$BZ,2,FALSE)),'Preliminary SO66'!AN229,VLOOKUP($CW230,'Audit Values'!$A:$BZ,62,FALSE))</f>
        <v>0</v>
      </c>
      <c r="Z230" s="58">
        <f>Y230*'Weighting Factors'!$O$8</f>
        <v>0</v>
      </c>
      <c r="AA230" s="58">
        <f t="shared" si="171"/>
        <v>0</v>
      </c>
      <c r="AB230" s="106">
        <f>IF(ISNA(VLOOKUP($CW230,'Audit Values'!$A:$BZ,2,FALSE)),'Preliminary SO66'!AO229,VLOOKUP($CW230,'Audit Values'!$A:$BZ,61,FALSE))</f>
        <v>102.1</v>
      </c>
      <c r="AC230" s="58">
        <f>AB230/6*'Weighting Factors'!$O$6</f>
        <v>8.5</v>
      </c>
      <c r="AD230" s="24">
        <f>IF(ISNA(VLOOKUP($CW230,'Audit Values'!$A:$BX,2,FALSE)),'Preliminary SO66'!AS229,VLOOKUP($CW230,'Audit Values'!$A:$BX,64,FALSE))</f>
        <v>282</v>
      </c>
      <c r="AE230" s="24">
        <f>IF(ISNA(VLOOKUP($CW230,'Audit Values'!$A:$BX,2,FALSE)),'Preliminary SO66'!AP229,VLOOKUP($CW230,'Audit Values'!$A:$BX,65,FALSE))</f>
        <v>71</v>
      </c>
      <c r="AF230" s="58">
        <f>IF(A230=207, AE230,(AE230))*'Weighting Factors'!$O$9</f>
        <v>34.4</v>
      </c>
      <c r="AG230" s="58">
        <f t="shared" si="168"/>
        <v>0</v>
      </c>
      <c r="AH230" s="58">
        <f>IF(ISNA(VLOOKUP($CW230,'Audit Values'!$A:$BZ,2,FALSE)),'Preliminary SO66'!AG229,VLOOKUP($CW230,'Audit Values'!$A:$BZ,71,FALSE))</f>
        <v>0</v>
      </c>
      <c r="AI230" s="58">
        <f t="shared" si="172"/>
        <v>0</v>
      </c>
      <c r="AJ230" s="58">
        <f>IF(ISNA(VLOOKUP($CW230,'Audit Values'!$A:$BX,2,FALSE)),'Preliminary SO66'!AR229,VLOOKUP($CW230,'Audit Values'!$A:$BX,66,FALSE))</f>
        <v>139.5</v>
      </c>
      <c r="AK230" s="24">
        <f t="shared" si="173"/>
        <v>182342</v>
      </c>
      <c r="AL230" s="58">
        <f>AK230/'Weighting Factors'!$O$5</f>
        <v>35.799999999999997</v>
      </c>
      <c r="AM230" s="58">
        <f>CJ230/'Weighting Factors'!$O$5</f>
        <v>0</v>
      </c>
      <c r="AN230" s="58">
        <f>CN230/'Weighting Factors'!$O$5</f>
        <v>0</v>
      </c>
      <c r="AO230" s="24">
        <v>314994</v>
      </c>
      <c r="AP230" s="58">
        <f>AO230/'Weighting Factors'!$O$5</f>
        <v>61.9</v>
      </c>
      <c r="AQ230" s="58">
        <f>IF(ISNA(VLOOKUP($CW230,'Audit Values'!$A:$BX,2,FALSE)),'Preliminary SO66'!X229,VLOOKUP($CW230,'Audit Values'!$A:$BX,48,FALSE))</f>
        <v>0</v>
      </c>
      <c r="AR230" s="58">
        <f t="shared" si="166"/>
        <v>569</v>
      </c>
      <c r="AS230" s="58">
        <f t="shared" si="167"/>
        <v>507.1</v>
      </c>
      <c r="AT230" s="58">
        <f>IF(ISNA(VLOOKUP($CW230,'Audit Values'!$A$2:$BX$410,2,FALSE)),'Preliminary SO66'!AA229,VLOOKUP($CW230,'Audit Values'!$A$2:$BX$410,41,FALSE))</f>
        <v>0</v>
      </c>
      <c r="AU230" s="58">
        <f>IF(ISNA(VLOOKUP($CW230,'Audit Values'!$A$2:$BX$410,2,FALSE)),'Preliminary SO66'!AB229,VLOOKUP($CW230,'Audit Values'!$A$2:$BX$410,42,FALSE))</f>
        <v>0</v>
      </c>
      <c r="AV230" s="73">
        <v>0</v>
      </c>
      <c r="AW230" s="73">
        <v>0</v>
      </c>
      <c r="AX230" s="24">
        <f>SUM(AT230*'Weighting Factors'!$R$10)+('2024 Legal Max'!AU230*'Weighting Factors'!$R$11)+('2024 Legal Max'!AV230*'Weighting Factors'!$R$12)+('2024 Legal Max'!AW230*'Weighting Factors'!$R$12)</f>
        <v>0</v>
      </c>
      <c r="AY230" s="54">
        <f>IF(ISNA(VLOOKUP($CW230,'Audit Values'!$A$2:$BX$429,2,FALSE)),"",IF(AND('Weighting Factors'!G230&gt;0,VLOOKUP($CW230,'Audit Values'!$A$2:$BX$429,51,FALSE)&lt;'Weighting Factors'!G230),'Weighting Factors'!G230,VLOOKUP($CW230,'Audit Values'!$A$2:$BX$429,51,FALSE)))</f>
        <v>17</v>
      </c>
      <c r="AZ230" s="54" t="str">
        <f>IF(ISNA(VLOOKUP($CW230,'Audit Values'!$A:$BY,2,FALSE)),"",VLOOKUP($CW230,'Audit Values'!$A:$BY,52,FALSE))</f>
        <v>A</v>
      </c>
      <c r="BA230" s="54" t="str">
        <f>IF('Weighting Factors'!F230="","",IF('Weighting Factors'!H230="Pending","PX","R"))</f>
        <v/>
      </c>
      <c r="BB230" s="60">
        <f>SUM((U230+V230+AA230+AC230+AF230+AI230+AL230+AM230+AQ230+AN230)*'Weighting Factors'!$O$5)+'2024 Legal Max'!AX230</f>
        <v>2580125</v>
      </c>
      <c r="BC230" s="24">
        <f>SUM((AR230+AN230)*'Weighting Factors'!$O$5)+AX230</f>
        <v>2895072</v>
      </c>
      <c r="BD230" s="67">
        <f>IF('Weighting Factors'!F230&gt;0,'Weighting Factors'!F230,'Preliminary SO66'!AV229)</f>
        <v>2962234</v>
      </c>
      <c r="BE230" s="24">
        <f t="shared" si="174"/>
        <v>2895072</v>
      </c>
      <c r="BF230" s="71">
        <f>'Weighting Factors'!E230</f>
        <v>0</v>
      </c>
      <c r="BG230" s="71">
        <f>Transportation!G230</f>
        <v>0</v>
      </c>
      <c r="BH230" s="24">
        <f>IF(ISNA(VLOOKUP($CW230,'Audit Values'!$A:$BW,2,FALSE)), 0, VLOOKUP($CW230,'Audit Values'!$A:$BW,75,FALSE))</f>
        <v>0</v>
      </c>
      <c r="BI230" s="24">
        <f t="shared" si="175"/>
        <v>0</v>
      </c>
      <c r="BJ230" s="24">
        <f t="shared" si="176"/>
        <v>2895072</v>
      </c>
      <c r="BK230" s="24">
        <f>SUM((U230+V230+AA230+AC230+AF230+AI230+AL230+AM230+AN230)*'Weighting Factors'!O$12)+(MAX(AO230,'Weighting Factors'!B230))</f>
        <v>2963662</v>
      </c>
      <c r="BL230" s="78">
        <f>'LOB%'!F228</f>
        <v>0.316</v>
      </c>
      <c r="BM230" s="24">
        <f t="shared" si="147"/>
        <v>936517</v>
      </c>
      <c r="BN230" s="67">
        <v>955261</v>
      </c>
      <c r="BO230" s="24">
        <f t="shared" si="177"/>
        <v>936517</v>
      </c>
      <c r="BP230" s="89">
        <f t="shared" si="148"/>
        <v>0.316</v>
      </c>
      <c r="BQ230" s="58">
        <f t="shared" si="149"/>
        <v>0</v>
      </c>
      <c r="BR230" s="1" t="b">
        <f t="shared" si="150"/>
        <v>1</v>
      </c>
      <c r="BS230" s="76">
        <f t="shared" si="151"/>
        <v>1713.7629999999999</v>
      </c>
      <c r="BT230" s="75">
        <f t="shared" si="178"/>
        <v>0.54382699999999995</v>
      </c>
      <c r="BU230" s="58">
        <f t="shared" si="152"/>
        <v>150.9</v>
      </c>
      <c r="BV230" s="1" t="b">
        <f t="shared" si="153"/>
        <v>0</v>
      </c>
      <c r="BW230" s="1">
        <f t="shared" si="154"/>
        <v>0</v>
      </c>
      <c r="BX230" s="75">
        <f t="shared" si="179"/>
        <v>0</v>
      </c>
      <c r="BY230" s="58">
        <f t="shared" si="155"/>
        <v>0</v>
      </c>
      <c r="BZ230" s="58">
        <f t="shared" si="156"/>
        <v>0</v>
      </c>
      <c r="CA230" s="61">
        <v>244.5</v>
      </c>
      <c r="CB230" s="102">
        <f t="shared" si="157"/>
        <v>0.57099999999999995</v>
      </c>
      <c r="CC230" s="105">
        <f>IF(CB230&lt;0.06,1,IF(CB230&gt;=18.29,52,MATCH(CB230-0.001,'Weighting Factors'!$W$5:$W$156)+1))</f>
        <v>26</v>
      </c>
      <c r="CD230" s="24">
        <f>VLOOKUP(CC230, 'Weighting Factors'!$U$5:$X$56,4)</f>
        <v>1070</v>
      </c>
      <c r="CE230" s="109">
        <f>('Weighting Factors'!$O$5/'Weighting Factors'!$O$14)</f>
        <v>1.2216</v>
      </c>
      <c r="CF230" s="100">
        <f t="shared" si="158"/>
        <v>149265</v>
      </c>
      <c r="CG230" s="100">
        <f>CF230*'Weighting Factors'!$Q$7</f>
        <v>149265</v>
      </c>
      <c r="CH230" s="100">
        <f t="shared" si="180"/>
        <v>182342</v>
      </c>
      <c r="CI230" s="58">
        <f>AK230/'Weighting Factors'!$O$5</f>
        <v>35.799999999999997</v>
      </c>
      <c r="CJ230" s="67">
        <v>0</v>
      </c>
      <c r="CK230" s="80">
        <v>0</v>
      </c>
      <c r="CL230" s="110">
        <v>0</v>
      </c>
      <c r="CM230" s="24">
        <f>SUM((AR230*'Weighting Factors'!$O$5)+'2024 Legal Max'!AX230)*CL230</f>
        <v>0</v>
      </c>
      <c r="CN230" s="24">
        <f t="shared" si="181"/>
        <v>0</v>
      </c>
      <c r="CO230" s="65">
        <f t="shared" si="146"/>
        <v>0.25180000000000002</v>
      </c>
      <c r="CP230" s="58">
        <f t="shared" si="159"/>
        <v>0</v>
      </c>
      <c r="CQ230" s="58">
        <f t="shared" si="160"/>
        <v>0</v>
      </c>
      <c r="CR230" s="58">
        <f t="shared" si="161"/>
        <v>569</v>
      </c>
      <c r="CS230" s="24">
        <f>'Required Transfers'!L230</f>
        <v>57034</v>
      </c>
      <c r="CT230" s="24">
        <f>'Required Transfers'!O230</f>
        <v>0</v>
      </c>
      <c r="CU230" s="24">
        <f>'Required Transfers'!H230</f>
        <v>175027</v>
      </c>
      <c r="CV230" s="58">
        <f t="shared" si="162"/>
        <v>277</v>
      </c>
      <c r="CW230" s="27" t="s">
        <v>415</v>
      </c>
    </row>
    <row r="231" spans="1:101" ht="15" customHeight="1">
      <c r="A231" s="54">
        <v>445</v>
      </c>
      <c r="B231" s="1" t="s">
        <v>99</v>
      </c>
      <c r="C231" s="1" t="s">
        <v>735</v>
      </c>
      <c r="D231" s="58">
        <v>1630</v>
      </c>
      <c r="E231" s="58"/>
      <c r="F231" s="58">
        <v>0</v>
      </c>
      <c r="G231" s="58">
        <f t="shared" si="163"/>
        <v>1630</v>
      </c>
      <c r="H231" s="58">
        <v>1621.7</v>
      </c>
      <c r="I231" s="58">
        <v>1</v>
      </c>
      <c r="J231" s="58">
        <v>0</v>
      </c>
      <c r="K231" s="58">
        <f t="shared" si="164"/>
        <v>1620.7</v>
      </c>
      <c r="L231" s="1">
        <v>1571.3</v>
      </c>
      <c r="N231" s="1">
        <v>0</v>
      </c>
      <c r="O231" s="58">
        <f t="shared" si="165"/>
        <v>1571.3</v>
      </c>
      <c r="P231" s="58">
        <f>IF(ISNA(VLOOKUP($CW231,'Audit Values'!$A:$BZ,2,FALSE)),'Preliminary SO66'!C230,VLOOKUP($CW231,'Audit Values'!$A:$BZ,76,FALSE))</f>
        <v>1599.8</v>
      </c>
      <c r="Q231" s="58">
        <f>IF(ISNA(VLOOKUP($CW231,'Audit Values'!$A:$BZ,2,FALSE)),'Preliminary SO66'!F230,VLOOKUP($CW231,'Audit Values'!$A:$BZ,4,FALSE))</f>
        <v>0</v>
      </c>
      <c r="R231" s="58">
        <f t="shared" si="169"/>
        <v>1599.8</v>
      </c>
      <c r="S231" s="58">
        <f>IF('Military Provision'!I231="YES", MAX('2024 Legal Max'!O231,'2024 Legal Max'!K231,AVERAGE('2024 Legal Max'!G231,'2024 Legal Max'!K231,'2024 Legal Max'!O231)), MAX(O231, K231))</f>
        <v>1620.7</v>
      </c>
      <c r="T231" s="58">
        <f>IF(ISNA(VLOOKUP($CW231,'Audit Values'!$A:$BX,2,FALSE)),'Preliminary SO66'!AL230,VLOOKUP($CW231,'Audit Values'!$A:$BX,59,FALSE))</f>
        <v>56</v>
      </c>
      <c r="U231" s="58">
        <f t="shared" si="170"/>
        <v>1676.7</v>
      </c>
      <c r="V231" s="58">
        <f>'Low-High ENRL- 2023 HSubSB 113'!N234</f>
        <v>58.8</v>
      </c>
      <c r="W231" s="58">
        <f>IF(ISNA(VLOOKUP($CW231,'Audit Values'!$A:$BZ,2,FALSE)),'Preliminary SO66'!AM230,VLOOKUP($CW231,'Audit Values'!$A:$BZ,63,FALSE))</f>
        <v>287.10000000000002</v>
      </c>
      <c r="X231" s="58">
        <f>(W231/6)*'Weighting Factors'!$O$7</f>
        <v>18.899999999999999</v>
      </c>
      <c r="Y231" s="61">
        <f>IF(ISNA(VLOOKUP($CW231,'Audit Values'!$A:$BZ,2,FALSE)),'Preliminary SO66'!AN230,VLOOKUP($CW231,'Audit Values'!$A:$BZ,62,FALSE))</f>
        <v>268</v>
      </c>
      <c r="Z231" s="58">
        <f>Y231*'Weighting Factors'!$O$8</f>
        <v>49.6</v>
      </c>
      <c r="AA231" s="58">
        <f t="shared" si="171"/>
        <v>49.6</v>
      </c>
      <c r="AB231" s="106">
        <f>IF(ISNA(VLOOKUP($CW231,'Audit Values'!$A:$BZ,2,FALSE)),'Preliminary SO66'!AO230,VLOOKUP($CW231,'Audit Values'!$A:$BZ,61,FALSE))</f>
        <v>239.2</v>
      </c>
      <c r="AC231" s="58">
        <f>AB231/6*'Weighting Factors'!$O$6</f>
        <v>19.899999999999999</v>
      </c>
      <c r="AD231" s="24">
        <v>1719</v>
      </c>
      <c r="AE231" s="24">
        <f>IF(ISNA(VLOOKUP($CW231,'Audit Values'!$A:$BX,2,FALSE)),'Preliminary SO66'!AP230,VLOOKUP($CW231,'Audit Values'!$A:$BX,65,FALSE))</f>
        <v>1068</v>
      </c>
      <c r="AF231" s="58">
        <f>IF(A231=207, AE231,(AE231))*'Weighting Factors'!$O$9</f>
        <v>516.9</v>
      </c>
      <c r="AG231" s="58">
        <f t="shared" si="168"/>
        <v>112.1</v>
      </c>
      <c r="AH231" s="58">
        <f>IF(ISNA(VLOOKUP($CW231,'Audit Values'!$A:$BZ,2,FALSE)),'Preliminary SO66'!AG230,VLOOKUP($CW231,'Audit Values'!$A:$BZ,71,FALSE))</f>
        <v>108.9</v>
      </c>
      <c r="AI231" s="58">
        <f t="shared" si="172"/>
        <v>112.1</v>
      </c>
      <c r="AJ231" s="58">
        <f>IF(ISNA(VLOOKUP($CW231,'Audit Values'!$A:$BX,2,FALSE)),'Preliminary SO66'!AR230,VLOOKUP($CW231,'Audit Values'!$A:$BX,66,FALSE))</f>
        <v>368</v>
      </c>
      <c r="AK231" s="24">
        <f t="shared" si="173"/>
        <v>346153</v>
      </c>
      <c r="AL231" s="58">
        <f>AK231/'Weighting Factors'!$O$5</f>
        <v>68</v>
      </c>
      <c r="AM231" s="58">
        <f>CJ231/'Weighting Factors'!$O$5</f>
        <v>0</v>
      </c>
      <c r="AN231" s="58">
        <f>CN231/'Weighting Factors'!$O$5</f>
        <v>0</v>
      </c>
      <c r="AO231" s="24">
        <v>1613209</v>
      </c>
      <c r="AP231" s="58">
        <f>AO231/'Weighting Factors'!$O$5</f>
        <v>317.10000000000002</v>
      </c>
      <c r="AQ231" s="58">
        <f>IF(ISNA(VLOOKUP($CW231,'Audit Values'!$A:$BX,2,FALSE)),'Preliminary SO66'!X230,VLOOKUP($CW231,'Audit Values'!$A:$BX,48,FALSE))</f>
        <v>0</v>
      </c>
      <c r="AR231" s="58">
        <f t="shared" si="166"/>
        <v>2819.1</v>
      </c>
      <c r="AS231" s="58">
        <f t="shared" si="167"/>
        <v>2502</v>
      </c>
      <c r="AT231" s="58">
        <f>IF(ISNA(VLOOKUP($CW231,'Audit Values'!$A$2:$BX$410,2,FALSE)),'Preliminary SO66'!AA230,VLOOKUP($CW231,'Audit Values'!$A$2:$BX$410,41,FALSE))</f>
        <v>15</v>
      </c>
      <c r="AU231" s="58">
        <f>IF(ISNA(VLOOKUP($CW231,'Audit Values'!$A$2:$BX$410,2,FALSE)),'Preliminary SO66'!AB230,VLOOKUP($CW231,'Audit Values'!$A$2:$BX$410,42,FALSE))</f>
        <v>12.1</v>
      </c>
      <c r="AV231" s="73">
        <v>84</v>
      </c>
      <c r="AW231" s="73">
        <v>0</v>
      </c>
      <c r="AX231" s="24">
        <f>SUM(AT231*'Weighting Factors'!$R$10)+('2024 Legal Max'!AU231*'Weighting Factors'!$R$11)+('2024 Legal Max'!AV231*'Weighting Factors'!$R$12)+('2024 Legal Max'!AW231*'Weighting Factors'!$R$12)</f>
        <v>177436</v>
      </c>
      <c r="AY231" s="54">
        <f>IF(ISNA(VLOOKUP($CW231,'Audit Values'!$A$2:$BX$429,2,FALSE)),"",IF(AND('Weighting Factors'!G231&gt;0,VLOOKUP($CW231,'Audit Values'!$A$2:$BX$429,51,FALSE)&lt;'Weighting Factors'!G231),'Weighting Factors'!G231,VLOOKUP($CW231,'Audit Values'!$A$2:$BX$429,51,FALSE)))</f>
        <v>9</v>
      </c>
      <c r="AZ231" s="54" t="str">
        <f>IF(ISNA(VLOOKUP($CW231,'Audit Values'!$A:$BY,2,FALSE)),"",VLOOKUP($CW231,'Audit Values'!$A:$BY,52,FALSE))</f>
        <v>A</v>
      </c>
      <c r="BA231" s="54" t="str">
        <f>IF('Weighting Factors'!F231="","",IF('Weighting Factors'!H231="Pending","PX","R"))</f>
        <v/>
      </c>
      <c r="BB231" s="60">
        <f>SUM((U231+V231+AA231+AC231+AF231+AI231+AL231+AM231+AQ231+AN231)*'Weighting Factors'!$O$5)+'2024 Legal Max'!AX231</f>
        <v>12907612</v>
      </c>
      <c r="BC231" s="24">
        <f>SUM((AR231+AN231)*'Weighting Factors'!$O$5)+AX231</f>
        <v>14521017</v>
      </c>
      <c r="BD231" s="67">
        <f>IF('Weighting Factors'!F231&gt;0,'Weighting Factors'!F231,'Preliminary SO66'!AV230)</f>
        <v>14912334</v>
      </c>
      <c r="BE231" s="24">
        <f t="shared" si="174"/>
        <v>14521017</v>
      </c>
      <c r="BF231" s="71">
        <f>'Weighting Factors'!E231</f>
        <v>0</v>
      </c>
      <c r="BG231" s="71">
        <f>Transportation!G231</f>
        <v>0</v>
      </c>
      <c r="BH231" s="24">
        <f>IF(ISNA(VLOOKUP($CW231,'Audit Values'!$A:$BW,2,FALSE)), 0, VLOOKUP($CW231,'Audit Values'!$A:$BW,75,FALSE))</f>
        <v>-45863</v>
      </c>
      <c r="BI231" s="24">
        <f t="shared" si="175"/>
        <v>-45863</v>
      </c>
      <c r="BJ231" s="24">
        <f t="shared" si="176"/>
        <v>14475154</v>
      </c>
      <c r="BK231" s="24">
        <f>SUM((U231+V231+AA231+AC231+AF231+AI231+AL231+AM231+AN231)*'Weighting Factors'!O$12)+(MAX(AO231,'Weighting Factors'!B231))</f>
        <v>14518525</v>
      </c>
      <c r="BL231" s="78">
        <f>'LOB%'!F229</f>
        <v>0.316</v>
      </c>
      <c r="BM231" s="24">
        <f t="shared" si="147"/>
        <v>4587854</v>
      </c>
      <c r="BN231" s="67">
        <v>4336800</v>
      </c>
      <c r="BO231" s="24">
        <f t="shared" si="177"/>
        <v>4336800</v>
      </c>
      <c r="BP231" s="89">
        <f t="shared" si="148"/>
        <v>0.29870000000000002</v>
      </c>
      <c r="BQ231" s="58">
        <f t="shared" si="149"/>
        <v>0</v>
      </c>
      <c r="BR231" s="1" t="b">
        <f t="shared" si="150"/>
        <v>0</v>
      </c>
      <c r="BS231" s="76">
        <f t="shared" si="151"/>
        <v>0</v>
      </c>
      <c r="BT231" s="75">
        <f t="shared" si="178"/>
        <v>0</v>
      </c>
      <c r="BU231" s="58">
        <f t="shared" si="152"/>
        <v>0</v>
      </c>
      <c r="BV231" s="1" t="b">
        <f t="shared" si="153"/>
        <v>0</v>
      </c>
      <c r="BW231" s="1">
        <f t="shared" si="154"/>
        <v>0</v>
      </c>
      <c r="BX231" s="75">
        <f t="shared" si="179"/>
        <v>0</v>
      </c>
      <c r="BY231" s="58">
        <f t="shared" si="155"/>
        <v>0</v>
      </c>
      <c r="BZ231" s="58">
        <f t="shared" si="156"/>
        <v>58.8</v>
      </c>
      <c r="CA231" s="61">
        <v>120</v>
      </c>
      <c r="CB231" s="102">
        <f t="shared" si="157"/>
        <v>3.0670000000000002</v>
      </c>
      <c r="CC231" s="105">
        <f>IF(CB231&lt;0.06,1,IF(CB231&gt;=18.29,52,MATCH(CB231-0.001,'Weighting Factors'!$W$5:$W$156)+1))</f>
        <v>41</v>
      </c>
      <c r="CD231" s="24">
        <f>VLOOKUP(CC231, 'Weighting Factors'!$U$5:$X$56,4)</f>
        <v>770</v>
      </c>
      <c r="CE231" s="109">
        <f>('Weighting Factors'!$O$5/'Weighting Factors'!$O$14)</f>
        <v>1.2216</v>
      </c>
      <c r="CF231" s="100">
        <f t="shared" si="158"/>
        <v>283360</v>
      </c>
      <c r="CG231" s="100">
        <f>CF231*'Weighting Factors'!$Q$7</f>
        <v>283360</v>
      </c>
      <c r="CH231" s="100">
        <f t="shared" si="180"/>
        <v>346153</v>
      </c>
      <c r="CI231" s="58">
        <f>AK231/'Weighting Factors'!$O$5</f>
        <v>68</v>
      </c>
      <c r="CJ231" s="67">
        <v>0</v>
      </c>
      <c r="CK231" s="80">
        <v>0</v>
      </c>
      <c r="CL231" s="110">
        <v>0</v>
      </c>
      <c r="CM231" s="24">
        <f>SUM((AR231*'Weighting Factors'!$O$5)+'2024 Legal Max'!AX231)*CL231</f>
        <v>0</v>
      </c>
      <c r="CN231" s="24">
        <f t="shared" si="181"/>
        <v>0</v>
      </c>
      <c r="CO231" s="65">
        <f t="shared" si="146"/>
        <v>0.62129999999999996</v>
      </c>
      <c r="CP231" s="58">
        <f t="shared" si="159"/>
        <v>112.1</v>
      </c>
      <c r="CQ231" s="58">
        <f t="shared" si="160"/>
        <v>0</v>
      </c>
      <c r="CR231" s="58">
        <f t="shared" si="161"/>
        <v>2819.1</v>
      </c>
      <c r="CS231" s="24">
        <f>'Required Transfers'!L231</f>
        <v>811415</v>
      </c>
      <c r="CT231" s="24">
        <f>'Required Transfers'!O231</f>
        <v>78062</v>
      </c>
      <c r="CU231" s="24">
        <f>'Required Transfers'!H231</f>
        <v>3200352</v>
      </c>
      <c r="CV231" s="58">
        <f t="shared" si="162"/>
        <v>1696.9</v>
      </c>
      <c r="CW231" s="27" t="s">
        <v>416</v>
      </c>
    </row>
    <row r="232" spans="1:101" ht="15" customHeight="1">
      <c r="A232" s="54">
        <v>446</v>
      </c>
      <c r="B232" s="1" t="s">
        <v>99</v>
      </c>
      <c r="C232" s="1" t="s">
        <v>736</v>
      </c>
      <c r="D232" s="58">
        <v>1877</v>
      </c>
      <c r="E232" s="58">
        <v>3</v>
      </c>
      <c r="F232" s="58">
        <v>0</v>
      </c>
      <c r="G232" s="58">
        <f t="shared" si="163"/>
        <v>1874</v>
      </c>
      <c r="H232" s="58">
        <v>1830.5</v>
      </c>
      <c r="I232" s="58">
        <v>5</v>
      </c>
      <c r="J232" s="58">
        <v>0</v>
      </c>
      <c r="K232" s="58">
        <f t="shared" si="164"/>
        <v>1825.5</v>
      </c>
      <c r="L232" s="1">
        <v>1826.9</v>
      </c>
      <c r="N232" s="1">
        <v>0</v>
      </c>
      <c r="O232" s="58">
        <f t="shared" si="165"/>
        <v>1826.9</v>
      </c>
      <c r="P232" s="58">
        <f>IF(ISNA(VLOOKUP($CW232,'Audit Values'!$A:$BZ,2,FALSE)),'Preliminary SO66'!C231,VLOOKUP($CW232,'Audit Values'!$A:$BZ,76,FALSE))</f>
        <v>1674.1</v>
      </c>
      <c r="Q232" s="58">
        <f>IF(ISNA(VLOOKUP($CW232,'Audit Values'!$A:$BZ,2,FALSE)),'Preliminary SO66'!F231,VLOOKUP($CW232,'Audit Values'!$A:$BZ,4,FALSE))</f>
        <v>0</v>
      </c>
      <c r="R232" s="58">
        <f t="shared" si="169"/>
        <v>1674.1</v>
      </c>
      <c r="S232" s="58">
        <f>IF('Military Provision'!I232="YES", MAX('2024 Legal Max'!O232,'2024 Legal Max'!K232,AVERAGE('2024 Legal Max'!G232,'2024 Legal Max'!K232,'2024 Legal Max'!O232)), MAX(O232, K232))</f>
        <v>1826.9</v>
      </c>
      <c r="T232" s="58">
        <f>IF(ISNA(VLOOKUP($CW232,'Audit Values'!$A:$BX,2,FALSE)),'Preliminary SO66'!AL231,VLOOKUP($CW232,'Audit Values'!$A:$BX,59,FALSE))</f>
        <v>31.5</v>
      </c>
      <c r="U232" s="58">
        <f t="shared" si="170"/>
        <v>1858.4</v>
      </c>
      <c r="V232" s="58">
        <f>'Low-High ENRL- 2023 HSubSB 113'!N235</f>
        <v>65.099999999999994</v>
      </c>
      <c r="W232" s="58">
        <f>IF(ISNA(VLOOKUP($CW232,'Audit Values'!$A:$BZ,2,FALSE)),'Preliminary SO66'!AM231,VLOOKUP($CW232,'Audit Values'!$A:$BZ,63,FALSE))</f>
        <v>79.599999999999994</v>
      </c>
      <c r="X232" s="58">
        <f>(W232/6)*'Weighting Factors'!$O$7</f>
        <v>5.2</v>
      </c>
      <c r="Y232" s="61">
        <f>IF(ISNA(VLOOKUP($CW232,'Audit Values'!$A:$BZ,2,FALSE)),'Preliminary SO66'!AN231,VLOOKUP($CW232,'Audit Values'!$A:$BZ,62,FALSE))</f>
        <v>57</v>
      </c>
      <c r="Z232" s="58">
        <f>Y232*'Weighting Factors'!$O$8</f>
        <v>10.5</v>
      </c>
      <c r="AA232" s="58">
        <f t="shared" si="171"/>
        <v>10.5</v>
      </c>
      <c r="AB232" s="106">
        <f>IF(ISNA(VLOOKUP($CW232,'Audit Values'!$A:$BZ,2,FALSE)),'Preliminary SO66'!AO231,VLOOKUP($CW232,'Audit Values'!$A:$BZ,61,FALSE))</f>
        <v>282.60000000000002</v>
      </c>
      <c r="AC232" s="58">
        <f>AB232/6*'Weighting Factors'!$O$6</f>
        <v>23.6</v>
      </c>
      <c r="AD232" s="24">
        <f>IF(ISNA(VLOOKUP($CW232,'Audit Values'!$A:$BX,2,FALSE)),'Preliminary SO66'!AS231,VLOOKUP($CW232,'Audit Values'!$A:$BX,64,FALSE))</f>
        <v>1785</v>
      </c>
      <c r="AE232" s="24">
        <f>IF(ISNA(VLOOKUP($CW232,'Audit Values'!$A:$BX,2,FALSE)),'Preliminary SO66'!AP231,VLOOKUP($CW232,'Audit Values'!$A:$BX,65,FALSE))</f>
        <v>1057</v>
      </c>
      <c r="AF232" s="58">
        <f>IF(A232=207, AE232,(AE232))*'Weighting Factors'!$O$9</f>
        <v>511.6</v>
      </c>
      <c r="AG232" s="58">
        <f t="shared" si="168"/>
        <v>111</v>
      </c>
      <c r="AH232" s="58">
        <f>IF(ISNA(VLOOKUP($CW232,'Audit Values'!$A:$BZ,2,FALSE)),'Preliminary SO66'!AG231,VLOOKUP($CW232,'Audit Values'!$A:$BZ,71,FALSE))</f>
        <v>103.5</v>
      </c>
      <c r="AI232" s="58">
        <f t="shared" si="172"/>
        <v>111</v>
      </c>
      <c r="AJ232" s="58">
        <f>IF(ISNA(VLOOKUP($CW232,'Audit Values'!$A:$BX,2,FALSE)),'Preliminary SO66'!AR231,VLOOKUP($CW232,'Audit Values'!$A:$BX,66,FALSE))</f>
        <v>342</v>
      </c>
      <c r="AK232" s="24">
        <f t="shared" si="173"/>
        <v>363475</v>
      </c>
      <c r="AL232" s="58">
        <f>AK232/'Weighting Factors'!$O$5</f>
        <v>71.400000000000006</v>
      </c>
      <c r="AM232" s="58">
        <f>CJ232/'Weighting Factors'!$O$5</f>
        <v>0</v>
      </c>
      <c r="AN232" s="58">
        <f>CN232/'Weighting Factors'!$O$5</f>
        <v>0</v>
      </c>
      <c r="AO232" s="24">
        <v>1718698</v>
      </c>
      <c r="AP232" s="58">
        <f>AO232/'Weighting Factors'!$O$5</f>
        <v>337.8</v>
      </c>
      <c r="AQ232" s="58">
        <f>IF(ISNA(VLOOKUP($CW232,'Audit Values'!$A:$BX,2,FALSE)),'Preliminary SO66'!X231,VLOOKUP($CW232,'Audit Values'!$A:$BX,48,FALSE))</f>
        <v>0</v>
      </c>
      <c r="AR232" s="58">
        <f t="shared" si="166"/>
        <v>2989.4</v>
      </c>
      <c r="AS232" s="58">
        <f t="shared" si="167"/>
        <v>2651.6</v>
      </c>
      <c r="AT232" s="58">
        <f>IF(ISNA(VLOOKUP($CW232,'Audit Values'!$A$2:$BX$410,2,FALSE)),'Preliminary SO66'!AA231,VLOOKUP($CW232,'Audit Values'!$A$2:$BX$410,41,FALSE))</f>
        <v>23</v>
      </c>
      <c r="AU232" s="58">
        <f>IF(ISNA(VLOOKUP($CW232,'Audit Values'!$A$2:$BX$410,2,FALSE)),'Preliminary SO66'!AB231,VLOOKUP($CW232,'Audit Values'!$A$2:$BX$410,42,FALSE))</f>
        <v>5.6</v>
      </c>
      <c r="AV232" s="73">
        <v>0</v>
      </c>
      <c r="AW232" s="73">
        <v>0</v>
      </c>
      <c r="AX232" s="24">
        <f>SUM(AT232*'Weighting Factors'!$R$10)+('2024 Legal Max'!AU232*'Weighting Factors'!$R$11)+('2024 Legal Max'!AV232*'Weighting Factors'!$R$12)+('2024 Legal Max'!AW232*'Weighting Factors'!$R$12)</f>
        <v>144480</v>
      </c>
      <c r="AY232" s="54">
        <f>IF(ISNA(VLOOKUP($CW232,'Audit Values'!$A$2:$BX$429,2,FALSE)),"",IF(AND('Weighting Factors'!G232&gt;0,VLOOKUP($CW232,'Audit Values'!$A$2:$BX$429,51,FALSE)&lt;'Weighting Factors'!G232),'Weighting Factors'!G232,VLOOKUP($CW232,'Audit Values'!$A$2:$BX$429,51,FALSE)))</f>
        <v>7</v>
      </c>
      <c r="AZ232" s="54" t="str">
        <f>IF(ISNA(VLOOKUP($CW232,'Audit Values'!$A:$BY,2,FALSE)),"",VLOOKUP($CW232,'Audit Values'!$A:$BY,52,FALSE))</f>
        <v>A</v>
      </c>
      <c r="BA232" s="54" t="str">
        <f>IF('Weighting Factors'!F232="","",IF('Weighting Factors'!H232="Pending","PX","R"))</f>
        <v/>
      </c>
      <c r="BB232" s="60">
        <f>SUM((U232+V232+AA232+AC232+AF232+AI232+AL232+AM232+AQ232+AN232)*'Weighting Factors'!$O$5)+'2024 Legal Max'!AX232</f>
        <v>13635821</v>
      </c>
      <c r="BC232" s="24">
        <f>SUM((AR232+AN232)*'Weighting Factors'!$O$5)+AX232</f>
        <v>15354547</v>
      </c>
      <c r="BD232" s="67">
        <f>IF('Weighting Factors'!F232&gt;0,'Weighting Factors'!F232,'Preliminary SO66'!AV231)</f>
        <v>15909659</v>
      </c>
      <c r="BE232" s="24">
        <f t="shared" si="174"/>
        <v>15354547</v>
      </c>
      <c r="BF232" s="71">
        <f>'Weighting Factors'!E232</f>
        <v>0</v>
      </c>
      <c r="BG232" s="71">
        <f>Transportation!G232</f>
        <v>0</v>
      </c>
      <c r="BH232" s="24">
        <f>IF(ISNA(VLOOKUP($CW232,'Audit Values'!$A:$BW,2,FALSE)), 0, VLOOKUP($CW232,'Audit Values'!$A:$BW,75,FALSE))</f>
        <v>-13272</v>
      </c>
      <c r="BI232" s="24">
        <f t="shared" si="175"/>
        <v>-13272</v>
      </c>
      <c r="BJ232" s="24">
        <f t="shared" si="176"/>
        <v>15341275</v>
      </c>
      <c r="BK232" s="24">
        <f>SUM((U232+V232+AA232+AC232+AF232+AI232+AL232+AM232+AN232)*'Weighting Factors'!O$12)+(MAX(AO232,'Weighting Factors'!B232))</f>
        <v>15395651</v>
      </c>
      <c r="BL232" s="78">
        <f>'LOB%'!F230</f>
        <v>0.33</v>
      </c>
      <c r="BM232" s="24">
        <f t="shared" si="147"/>
        <v>5080565</v>
      </c>
      <c r="BN232" s="67">
        <v>5256236</v>
      </c>
      <c r="BO232" s="24">
        <f t="shared" si="177"/>
        <v>5080565</v>
      </c>
      <c r="BP232" s="89">
        <f t="shared" si="148"/>
        <v>0.33</v>
      </c>
      <c r="BQ232" s="58">
        <f t="shared" si="149"/>
        <v>0</v>
      </c>
      <c r="BR232" s="1" t="b">
        <f t="shared" si="150"/>
        <v>0</v>
      </c>
      <c r="BS232" s="76">
        <f t="shared" si="151"/>
        <v>0</v>
      </c>
      <c r="BT232" s="75">
        <f t="shared" si="178"/>
        <v>0</v>
      </c>
      <c r="BU232" s="58">
        <f t="shared" si="152"/>
        <v>0</v>
      </c>
      <c r="BV232" s="1" t="b">
        <f t="shared" si="153"/>
        <v>0</v>
      </c>
      <c r="BW232" s="1">
        <f t="shared" si="154"/>
        <v>0</v>
      </c>
      <c r="BX232" s="75">
        <f t="shared" si="179"/>
        <v>0</v>
      </c>
      <c r="BY232" s="58">
        <f t="shared" si="155"/>
        <v>0</v>
      </c>
      <c r="BZ232" s="58">
        <f t="shared" si="156"/>
        <v>65.099999999999994</v>
      </c>
      <c r="CA232" s="61">
        <v>210.9</v>
      </c>
      <c r="CB232" s="102">
        <f t="shared" si="157"/>
        <v>1.6220000000000001</v>
      </c>
      <c r="CC232" s="105">
        <f>IF(CB232&lt;0.06,1,IF(CB232&gt;=18.29,52,MATCH(CB232-0.001,'Weighting Factors'!$W$5:$W$156)+1))</f>
        <v>36</v>
      </c>
      <c r="CD232" s="24">
        <f>VLOOKUP(CC232, 'Weighting Factors'!$U$5:$X$56,4)</f>
        <v>870</v>
      </c>
      <c r="CE232" s="109">
        <f>('Weighting Factors'!$O$5/'Weighting Factors'!$O$14)</f>
        <v>1.2216</v>
      </c>
      <c r="CF232" s="100">
        <f t="shared" si="158"/>
        <v>297540</v>
      </c>
      <c r="CG232" s="100">
        <f>CF232*'Weighting Factors'!$Q$7</f>
        <v>297540</v>
      </c>
      <c r="CH232" s="100">
        <f t="shared" si="180"/>
        <v>363475</v>
      </c>
      <c r="CI232" s="58">
        <f>AK232/'Weighting Factors'!$O$5</f>
        <v>71.400000000000006</v>
      </c>
      <c r="CJ232" s="67">
        <v>0</v>
      </c>
      <c r="CK232" s="80">
        <v>0</v>
      </c>
      <c r="CL232" s="110">
        <v>0</v>
      </c>
      <c r="CM232" s="24">
        <f>SUM((AR232*'Weighting Factors'!$O$5)+'2024 Legal Max'!AX232)*CL232</f>
        <v>0</v>
      </c>
      <c r="CN232" s="24">
        <f t="shared" si="181"/>
        <v>0</v>
      </c>
      <c r="CO232" s="65">
        <f t="shared" si="146"/>
        <v>0.59219999999999995</v>
      </c>
      <c r="CP232" s="58">
        <f t="shared" si="159"/>
        <v>111</v>
      </c>
      <c r="CQ232" s="58">
        <f t="shared" si="160"/>
        <v>0</v>
      </c>
      <c r="CR232" s="58">
        <f t="shared" si="161"/>
        <v>2989.4</v>
      </c>
      <c r="CS232" s="24">
        <f>'Required Transfers'!L232</f>
        <v>878938</v>
      </c>
      <c r="CT232" s="24">
        <f>'Required Transfers'!O232</f>
        <v>17782</v>
      </c>
      <c r="CU232" s="24">
        <f>'Required Transfers'!H232</f>
        <v>3167789</v>
      </c>
      <c r="CV232" s="58">
        <f t="shared" si="162"/>
        <v>1734.2</v>
      </c>
      <c r="CW232" s="27" t="s">
        <v>417</v>
      </c>
    </row>
    <row r="233" spans="1:101" ht="15" customHeight="1">
      <c r="A233" s="54">
        <v>447</v>
      </c>
      <c r="B233" s="1" t="s">
        <v>99</v>
      </c>
      <c r="C233" s="1" t="s">
        <v>737</v>
      </c>
      <c r="D233" s="58">
        <v>730</v>
      </c>
      <c r="E233" s="58"/>
      <c r="F233" s="58">
        <v>0</v>
      </c>
      <c r="G233" s="58">
        <f t="shared" si="163"/>
        <v>730</v>
      </c>
      <c r="H233" s="58">
        <v>711.1</v>
      </c>
      <c r="I233" s="58"/>
      <c r="J233" s="58">
        <v>0</v>
      </c>
      <c r="K233" s="58">
        <f t="shared" si="164"/>
        <v>711.1</v>
      </c>
      <c r="L233" s="1">
        <v>671</v>
      </c>
      <c r="N233" s="1">
        <v>0</v>
      </c>
      <c r="O233" s="58">
        <f t="shared" si="165"/>
        <v>671</v>
      </c>
      <c r="P233" s="58">
        <f>IF(ISNA(VLOOKUP($CW233,'Audit Values'!$A:$BZ,2,FALSE)),'Preliminary SO66'!C232,VLOOKUP($CW233,'Audit Values'!$A:$BZ,76,FALSE))</f>
        <v>659</v>
      </c>
      <c r="Q233" s="58">
        <f>IF(ISNA(VLOOKUP($CW233,'Audit Values'!$A:$BZ,2,FALSE)),'Preliminary SO66'!F232,VLOOKUP($CW233,'Audit Values'!$A:$BZ,4,FALSE))</f>
        <v>0</v>
      </c>
      <c r="R233" s="58">
        <f t="shared" si="169"/>
        <v>659</v>
      </c>
      <c r="S233" s="58">
        <f>IF('Military Provision'!I233="YES", MAX('2024 Legal Max'!O233,'2024 Legal Max'!K233,AVERAGE('2024 Legal Max'!G233,'2024 Legal Max'!K233,'2024 Legal Max'!O233)), MAX(O233, K233))</f>
        <v>711.1</v>
      </c>
      <c r="T233" s="58">
        <f>IF(ISNA(VLOOKUP($CW233,'Audit Values'!$A:$BX,2,FALSE)),'Preliminary SO66'!AL232,VLOOKUP($CW233,'Audit Values'!$A:$BX,59,FALSE))</f>
        <v>12</v>
      </c>
      <c r="U233" s="58">
        <f t="shared" si="170"/>
        <v>723.1</v>
      </c>
      <c r="V233" s="58">
        <f>'Low-High ENRL- 2023 HSubSB 113'!N236</f>
        <v>246.2</v>
      </c>
      <c r="W233" s="58">
        <f>IF(ISNA(VLOOKUP($CW233,'Audit Values'!$A:$BZ,2,FALSE)),'Preliminary SO66'!AM232,VLOOKUP($CW233,'Audit Values'!$A:$BZ,63,FALSE))</f>
        <v>0</v>
      </c>
      <c r="X233" s="58">
        <f>(W233/6)*'Weighting Factors'!$O$7</f>
        <v>0</v>
      </c>
      <c r="Y233" s="61">
        <f>IF(ISNA(VLOOKUP($CW233,'Audit Values'!$A:$BZ,2,FALSE)),'Preliminary SO66'!AN232,VLOOKUP($CW233,'Audit Values'!$A:$BZ,62,FALSE))</f>
        <v>4</v>
      </c>
      <c r="Z233" s="58">
        <f>Y233*'Weighting Factors'!$O$8</f>
        <v>0.7</v>
      </c>
      <c r="AA233" s="58">
        <f t="shared" si="171"/>
        <v>0.7</v>
      </c>
      <c r="AB233" s="106">
        <f>IF(ISNA(VLOOKUP($CW233,'Audit Values'!$A:$BZ,2,FALSE)),'Preliminary SO66'!AO232,VLOOKUP($CW233,'Audit Values'!$A:$BZ,61,FALSE))</f>
        <v>230.9</v>
      </c>
      <c r="AC233" s="58">
        <f>AB233/6*'Weighting Factors'!$O$6</f>
        <v>19.2</v>
      </c>
      <c r="AD233" s="24">
        <f>IF(ISNA(VLOOKUP($CW233,'Audit Values'!$A:$BX,2,FALSE)),'Preliminary SO66'!AS232,VLOOKUP($CW233,'Audit Values'!$A:$BX,64,FALSE))</f>
        <v>684</v>
      </c>
      <c r="AE233" s="24">
        <f>IF(ISNA(VLOOKUP($CW233,'Audit Values'!$A:$BX,2,FALSE)),'Preliminary SO66'!AP232,VLOOKUP($CW233,'Audit Values'!$A:$BX,65,FALSE))</f>
        <v>400</v>
      </c>
      <c r="AF233" s="58">
        <f>IF(A233=207, AE233,(AE233))*'Weighting Factors'!$O$9</f>
        <v>193.6</v>
      </c>
      <c r="AG233" s="58">
        <f t="shared" si="168"/>
        <v>42</v>
      </c>
      <c r="AH233" s="58">
        <f>IF(ISNA(VLOOKUP($CW233,'Audit Values'!$A:$BZ,2,FALSE)),'Preliminary SO66'!AG232,VLOOKUP($CW233,'Audit Values'!$A:$BZ,71,FALSE))</f>
        <v>40.4</v>
      </c>
      <c r="AI233" s="58">
        <f t="shared" si="172"/>
        <v>42</v>
      </c>
      <c r="AJ233" s="58">
        <f>IF(ISNA(VLOOKUP($CW233,'Audit Values'!$A:$BX,2,FALSE)),'Preliminary SO66'!AR232,VLOOKUP($CW233,'Audit Values'!$A:$BX,66,FALSE))</f>
        <v>125</v>
      </c>
      <c r="AK233" s="24">
        <f t="shared" si="173"/>
        <v>148119</v>
      </c>
      <c r="AL233" s="58">
        <f>AK233/'Weighting Factors'!$O$5</f>
        <v>29.1</v>
      </c>
      <c r="AM233" s="58">
        <f>CJ233/'Weighting Factors'!$O$5</f>
        <v>0</v>
      </c>
      <c r="AN233" s="58">
        <f>CN233/'Weighting Factors'!$O$5</f>
        <v>0</v>
      </c>
      <c r="AO233" s="24">
        <v>585969</v>
      </c>
      <c r="AP233" s="58">
        <f>AO233/'Weighting Factors'!$O$5</f>
        <v>115.2</v>
      </c>
      <c r="AQ233" s="58">
        <f>IF(ISNA(VLOOKUP($CW233,'Audit Values'!$A:$BX,2,FALSE)),'Preliminary SO66'!X232,VLOOKUP($CW233,'Audit Values'!$A:$BX,48,FALSE))</f>
        <v>0</v>
      </c>
      <c r="AR233" s="58">
        <f t="shared" si="166"/>
        <v>1369.1</v>
      </c>
      <c r="AS233" s="58">
        <f t="shared" si="167"/>
        <v>1253.9000000000001</v>
      </c>
      <c r="AT233" s="58">
        <f>IF(ISNA(VLOOKUP($CW233,'Audit Values'!$A$2:$BX$410,2,FALSE)),'Preliminary SO66'!AA232,VLOOKUP($CW233,'Audit Values'!$A$2:$BX$410,41,FALSE))</f>
        <v>3</v>
      </c>
      <c r="AU233" s="58">
        <f>IF(ISNA(VLOOKUP($CW233,'Audit Values'!$A$2:$BX$410,2,FALSE)),'Preliminary SO66'!AB232,VLOOKUP($CW233,'Audit Values'!$A$2:$BX$410,42,FALSE))</f>
        <v>0.8</v>
      </c>
      <c r="AV233" s="73">
        <v>0</v>
      </c>
      <c r="AW233" s="73">
        <v>0</v>
      </c>
      <c r="AX233" s="24">
        <f>SUM(AT233*'Weighting Factors'!$R$10)+('2024 Legal Max'!AU233*'Weighting Factors'!$R$11)+('2024 Legal Max'!AV233*'Weighting Factors'!$R$12)+('2024 Legal Max'!AW233*'Weighting Factors'!$R$12)</f>
        <v>19040</v>
      </c>
      <c r="AY233" s="54">
        <f>IF(ISNA(VLOOKUP($CW233,'Audit Values'!$A$2:$BX$429,2,FALSE)),"",IF(AND('Weighting Factors'!G233&gt;0,VLOOKUP($CW233,'Audit Values'!$A$2:$BX$429,51,FALSE)&lt;'Weighting Factors'!G233),'Weighting Factors'!G233,VLOOKUP($CW233,'Audit Values'!$A$2:$BX$429,51,FALSE)))</f>
        <v>7</v>
      </c>
      <c r="AZ233" s="54" t="str">
        <f>IF(ISNA(VLOOKUP($CW233,'Audit Values'!$A:$BY,2,FALSE)),"",VLOOKUP($CW233,'Audit Values'!$A:$BY,52,FALSE))</f>
        <v>A</v>
      </c>
      <c r="BA233" s="54" t="str">
        <f>IF('Weighting Factors'!F233="","",IF('Weighting Factors'!H233="Pending","PX","R"))</f>
        <v/>
      </c>
      <c r="BB233" s="60">
        <f>SUM((U233+V233+AA233+AC233+AF233+AI233+AL233+AM233+AQ233+AN233)*'Weighting Factors'!$O$5)+'2024 Legal Max'!AX233</f>
        <v>6398883</v>
      </c>
      <c r="BC233" s="24">
        <f>SUM((AR233+AN233)*'Weighting Factors'!$O$5)+AX233</f>
        <v>6985021</v>
      </c>
      <c r="BD233" s="67">
        <f>IF('Weighting Factors'!F233&gt;0,'Weighting Factors'!F233,'Preliminary SO66'!AV232)</f>
        <v>7248328</v>
      </c>
      <c r="BE233" s="24">
        <f t="shared" si="174"/>
        <v>6985021</v>
      </c>
      <c r="BF233" s="71">
        <f>'Weighting Factors'!E233</f>
        <v>0</v>
      </c>
      <c r="BG233" s="71">
        <f>Transportation!G233</f>
        <v>0</v>
      </c>
      <c r="BH233" s="24">
        <f>IF(ISNA(VLOOKUP($CW233,'Audit Values'!$A:$BW,2,FALSE)), 0, VLOOKUP($CW233,'Audit Values'!$A:$BW,75,FALSE))</f>
        <v>-3545</v>
      </c>
      <c r="BI233" s="24">
        <f t="shared" si="175"/>
        <v>-3545</v>
      </c>
      <c r="BJ233" s="24">
        <f t="shared" si="176"/>
        <v>6981476</v>
      </c>
      <c r="BK233" s="24">
        <f>SUM((U233+V233+AA233+AC233+AF233+AI233+AL233+AM233+AN233)*'Weighting Factors'!O$12)+(MAX(AO233,'Weighting Factors'!B233))</f>
        <v>7077162</v>
      </c>
      <c r="BL233" s="78">
        <f>'LOB%'!F231</f>
        <v>0.316</v>
      </c>
      <c r="BM233" s="24">
        <f t="shared" si="147"/>
        <v>2236383</v>
      </c>
      <c r="BN233" s="67">
        <v>2256500</v>
      </c>
      <c r="BO233" s="24">
        <f t="shared" si="177"/>
        <v>2236383</v>
      </c>
      <c r="BP233" s="89">
        <f t="shared" si="148"/>
        <v>0.316</v>
      </c>
      <c r="BQ233" s="58">
        <f t="shared" si="149"/>
        <v>0</v>
      </c>
      <c r="BR233" s="1" t="b">
        <f t="shared" si="150"/>
        <v>0</v>
      </c>
      <c r="BS233" s="76">
        <f t="shared" si="151"/>
        <v>0</v>
      </c>
      <c r="BT233" s="75">
        <f t="shared" si="178"/>
        <v>0</v>
      </c>
      <c r="BU233" s="58">
        <f t="shared" si="152"/>
        <v>0</v>
      </c>
      <c r="BV233" s="1" t="b">
        <f t="shared" si="153"/>
        <v>1</v>
      </c>
      <c r="BW233" s="1">
        <f t="shared" si="154"/>
        <v>523.58630000000005</v>
      </c>
      <c r="BX233" s="75">
        <f t="shared" si="179"/>
        <v>0.34043899999999999</v>
      </c>
      <c r="BY233" s="58">
        <f t="shared" si="155"/>
        <v>246.2</v>
      </c>
      <c r="BZ233" s="58">
        <f t="shared" si="156"/>
        <v>0</v>
      </c>
      <c r="CA233" s="61">
        <v>140</v>
      </c>
      <c r="CB233" s="102">
        <f t="shared" si="157"/>
        <v>0.89300000000000002</v>
      </c>
      <c r="CC233" s="105">
        <f>IF(CB233&lt;0.06,1,IF(CB233&gt;=18.29,52,MATCH(CB233-0.001,'Weighting Factors'!$W$5:$W$156)+1))</f>
        <v>31</v>
      </c>
      <c r="CD233" s="24">
        <f>VLOOKUP(CC233, 'Weighting Factors'!$U$5:$X$56,4)</f>
        <v>970</v>
      </c>
      <c r="CE233" s="109">
        <f>('Weighting Factors'!$O$5/'Weighting Factors'!$O$14)</f>
        <v>1.2216</v>
      </c>
      <c r="CF233" s="100">
        <f t="shared" si="158"/>
        <v>121250</v>
      </c>
      <c r="CG233" s="100">
        <f>CF233*'Weighting Factors'!$Q$7</f>
        <v>121250</v>
      </c>
      <c r="CH233" s="100">
        <f t="shared" si="180"/>
        <v>148119</v>
      </c>
      <c r="CI233" s="58">
        <f>AK233/'Weighting Factors'!$O$5</f>
        <v>29.1</v>
      </c>
      <c r="CJ233" s="67">
        <v>0</v>
      </c>
      <c r="CK233" s="80">
        <v>0</v>
      </c>
      <c r="CL233" s="110">
        <v>0</v>
      </c>
      <c r="CM233" s="24">
        <f>SUM((AR233*'Weighting Factors'!$O$5)+'2024 Legal Max'!AX233)*CL233</f>
        <v>0</v>
      </c>
      <c r="CN233" s="24">
        <f t="shared" si="181"/>
        <v>0</v>
      </c>
      <c r="CO233" s="65">
        <f t="shared" si="146"/>
        <v>0.58479999999999999</v>
      </c>
      <c r="CP233" s="58">
        <f t="shared" si="159"/>
        <v>42</v>
      </c>
      <c r="CQ233" s="58">
        <f t="shared" si="160"/>
        <v>0</v>
      </c>
      <c r="CR233" s="58">
        <f t="shared" si="161"/>
        <v>1369.1</v>
      </c>
      <c r="CS233" s="24">
        <f>'Required Transfers'!L233</f>
        <v>319132</v>
      </c>
      <c r="CT233" s="24">
        <f>'Required Transfers'!O233</f>
        <v>1118</v>
      </c>
      <c r="CU233" s="24">
        <f>'Required Transfers'!H233</f>
        <v>1198733</v>
      </c>
      <c r="CV233" s="58">
        <f t="shared" si="162"/>
        <v>674.8</v>
      </c>
      <c r="CW233" s="27" t="s">
        <v>418</v>
      </c>
    </row>
    <row r="234" spans="1:101" ht="15" customHeight="1">
      <c r="A234" s="54">
        <v>448</v>
      </c>
      <c r="B234" s="1" t="s">
        <v>91</v>
      </c>
      <c r="C234" s="1" t="s">
        <v>738</v>
      </c>
      <c r="D234" s="58">
        <v>390.5</v>
      </c>
      <c r="E234" s="58"/>
      <c r="F234" s="58">
        <v>0</v>
      </c>
      <c r="G234" s="58">
        <f t="shared" si="163"/>
        <v>390.5</v>
      </c>
      <c r="H234" s="58">
        <v>401</v>
      </c>
      <c r="I234" s="58"/>
      <c r="J234" s="58">
        <v>0</v>
      </c>
      <c r="K234" s="58">
        <f t="shared" si="164"/>
        <v>401</v>
      </c>
      <c r="L234" s="1">
        <v>395</v>
      </c>
      <c r="N234" s="1">
        <v>0</v>
      </c>
      <c r="O234" s="58">
        <f t="shared" si="165"/>
        <v>395</v>
      </c>
      <c r="P234" s="58">
        <f>IF(ISNA(VLOOKUP($CW234,'Audit Values'!$A:$BZ,2,FALSE)),'Preliminary SO66'!C233,VLOOKUP($CW234,'Audit Values'!$A:$BZ,76,FALSE))</f>
        <v>408.5</v>
      </c>
      <c r="Q234" s="58">
        <f>IF(ISNA(VLOOKUP($CW234,'Audit Values'!$A:$BZ,2,FALSE)),'Preliminary SO66'!F233,VLOOKUP($CW234,'Audit Values'!$A:$BZ,4,FALSE))</f>
        <v>0</v>
      </c>
      <c r="R234" s="58">
        <f t="shared" si="169"/>
        <v>408.5</v>
      </c>
      <c r="S234" s="58">
        <f>IF('Military Provision'!I234="YES", MAX('2024 Legal Max'!O234,'2024 Legal Max'!K234,AVERAGE('2024 Legal Max'!G234,'2024 Legal Max'!K234,'2024 Legal Max'!O234)), MAX(O234, K234))</f>
        <v>401</v>
      </c>
      <c r="T234" s="58">
        <f>IF(ISNA(VLOOKUP($CW234,'Audit Values'!$A:$BX,2,FALSE)),'Preliminary SO66'!AL233,VLOOKUP($CW234,'Audit Values'!$A:$BX,59,FALSE))</f>
        <v>9</v>
      </c>
      <c r="U234" s="58">
        <f t="shared" si="170"/>
        <v>410</v>
      </c>
      <c r="V234" s="58">
        <f>'Low-High ENRL- 2023 HSubSB 113'!N237</f>
        <v>183.2</v>
      </c>
      <c r="W234" s="58">
        <f>IF(ISNA(VLOOKUP($CW234,'Audit Values'!$A:$BZ,2,FALSE)),'Preliminary SO66'!AM233,VLOOKUP($CW234,'Audit Values'!$A:$BZ,63,FALSE))</f>
        <v>0</v>
      </c>
      <c r="X234" s="58">
        <f>(W234/6)*'Weighting Factors'!$O$7</f>
        <v>0</v>
      </c>
      <c r="Y234" s="61">
        <f>IF(ISNA(VLOOKUP($CW234,'Audit Values'!$A:$BZ,2,FALSE)),'Preliminary SO66'!AN233,VLOOKUP($CW234,'Audit Values'!$A:$BZ,62,FALSE))</f>
        <v>0</v>
      </c>
      <c r="Z234" s="58">
        <f>Y234*'Weighting Factors'!$O$8</f>
        <v>0</v>
      </c>
      <c r="AA234" s="58">
        <f t="shared" si="171"/>
        <v>0</v>
      </c>
      <c r="AB234" s="106">
        <f>IF(ISNA(VLOOKUP($CW234,'Audit Values'!$A:$BZ,2,FALSE)),'Preliminary SO66'!AO233,VLOOKUP($CW234,'Audit Values'!$A:$BZ,61,FALSE))</f>
        <v>180.3</v>
      </c>
      <c r="AC234" s="58">
        <f>AB234/6*'Weighting Factors'!$O$6</f>
        <v>15</v>
      </c>
      <c r="AD234" s="24">
        <f>IF(ISNA(VLOOKUP($CW234,'Audit Values'!$A:$BX,2,FALSE)),'Preliminary SO66'!AS233,VLOOKUP($CW234,'Audit Values'!$A:$BX,64,FALSE))</f>
        <v>433</v>
      </c>
      <c r="AE234" s="24">
        <f>IF(ISNA(VLOOKUP($CW234,'Audit Values'!$A:$BX,2,FALSE)),'Preliminary SO66'!AP233,VLOOKUP($CW234,'Audit Values'!$A:$BX,65,FALSE))</f>
        <v>125</v>
      </c>
      <c r="AF234" s="58">
        <f>IF(A234=207, AE234,(AE234))*'Weighting Factors'!$O$9</f>
        <v>60.5</v>
      </c>
      <c r="AG234" s="58">
        <f t="shared" si="168"/>
        <v>0</v>
      </c>
      <c r="AH234" s="58">
        <f>IF(ISNA(VLOOKUP($CW234,'Audit Values'!$A:$BZ,2,FALSE)),'Preliminary SO66'!AG233,VLOOKUP($CW234,'Audit Values'!$A:$BZ,71,FALSE))</f>
        <v>0.9</v>
      </c>
      <c r="AI234" s="58">
        <f t="shared" si="172"/>
        <v>0.9</v>
      </c>
      <c r="AJ234" s="58">
        <f>IF(ISNA(VLOOKUP($CW234,'Audit Values'!$A:$BX,2,FALSE)),'Preliminary SO66'!AR233,VLOOKUP($CW234,'Audit Values'!$A:$BX,66,FALSE))</f>
        <v>87</v>
      </c>
      <c r="AK234" s="24">
        <f t="shared" si="173"/>
        <v>111593</v>
      </c>
      <c r="AL234" s="58">
        <f>AK234/'Weighting Factors'!$O$5</f>
        <v>21.9</v>
      </c>
      <c r="AM234" s="58">
        <f>CJ234/'Weighting Factors'!$O$5</f>
        <v>0</v>
      </c>
      <c r="AN234" s="58">
        <f>CN234/'Weighting Factors'!$O$5</f>
        <v>0</v>
      </c>
      <c r="AO234" s="24">
        <v>522192</v>
      </c>
      <c r="AP234" s="58">
        <f>AO234/'Weighting Factors'!$O$5</f>
        <v>102.6</v>
      </c>
      <c r="AQ234" s="58">
        <f>IF(ISNA(VLOOKUP($CW234,'Audit Values'!$A:$BX,2,FALSE)),'Preliminary SO66'!X233,VLOOKUP($CW234,'Audit Values'!$A:$BX,48,FALSE))</f>
        <v>0</v>
      </c>
      <c r="AR234" s="58">
        <f t="shared" si="166"/>
        <v>794.1</v>
      </c>
      <c r="AS234" s="58">
        <f t="shared" si="167"/>
        <v>691.5</v>
      </c>
      <c r="AT234" s="58">
        <f>IF(ISNA(VLOOKUP($CW234,'Audit Values'!$A$2:$BX$410,2,FALSE)),'Preliminary SO66'!AA233,VLOOKUP($CW234,'Audit Values'!$A$2:$BX$410,41,FALSE))</f>
        <v>0</v>
      </c>
      <c r="AU234" s="58">
        <f>IF(ISNA(VLOOKUP($CW234,'Audit Values'!$A$2:$BX$410,2,FALSE)),'Preliminary SO66'!AB233,VLOOKUP($CW234,'Audit Values'!$A$2:$BX$410,42,FALSE))</f>
        <v>0</v>
      </c>
      <c r="AV234" s="73">
        <v>0</v>
      </c>
      <c r="AW234" s="73">
        <v>0</v>
      </c>
      <c r="AX234" s="24">
        <f>SUM(AT234*'Weighting Factors'!$R$10)+('2024 Legal Max'!AU234*'Weighting Factors'!$R$11)+('2024 Legal Max'!AV234*'Weighting Factors'!$R$12)+('2024 Legal Max'!AW234*'Weighting Factors'!$R$12)</f>
        <v>0</v>
      </c>
      <c r="AY234" s="54">
        <f>IF(ISNA(VLOOKUP($CW234,'Audit Values'!$A$2:$BX$429,2,FALSE)),"",IF(AND('Weighting Factors'!G234&gt;0,VLOOKUP($CW234,'Audit Values'!$A$2:$BX$429,51,FALSE)&lt;'Weighting Factors'!G234),'Weighting Factors'!G234,VLOOKUP($CW234,'Audit Values'!$A$2:$BX$429,51,FALSE)))</f>
        <v>5</v>
      </c>
      <c r="AZ234" s="54" t="str">
        <f>IF(ISNA(VLOOKUP($CW234,'Audit Values'!$A:$BY,2,FALSE)),"",VLOOKUP($CW234,'Audit Values'!$A:$BY,52,FALSE))</f>
        <v>A</v>
      </c>
      <c r="BA234" s="54" t="str">
        <f>IF('Weighting Factors'!F234="","",IF('Weighting Factors'!H234="Pending","PX","R"))</f>
        <v/>
      </c>
      <c r="BB234" s="60">
        <f>SUM((U234+V234+AA234+AC234+AF234+AI234+AL234+AM234+AQ234+AN234)*'Weighting Factors'!$O$5)+'2024 Legal Max'!AX234</f>
        <v>3518352</v>
      </c>
      <c r="BC234" s="24">
        <f>SUM((AR234+AN234)*'Weighting Factors'!$O$5)+AX234</f>
        <v>4040381</v>
      </c>
      <c r="BD234" s="67">
        <f>IF('Weighting Factors'!F234&gt;0,'Weighting Factors'!F234,'Preliminary SO66'!AV233)</f>
        <v>4104998</v>
      </c>
      <c r="BE234" s="24">
        <f t="shared" si="174"/>
        <v>4040381</v>
      </c>
      <c r="BF234" s="71">
        <f>'Weighting Factors'!E234</f>
        <v>0</v>
      </c>
      <c r="BG234" s="71">
        <f>Transportation!G234</f>
        <v>0</v>
      </c>
      <c r="BH234" s="24">
        <f>IF(ISNA(VLOOKUP($CW234,'Audit Values'!$A:$BW,2,FALSE)), 0, VLOOKUP($CW234,'Audit Values'!$A:$BW,75,FALSE))</f>
        <v>0</v>
      </c>
      <c r="BI234" s="24">
        <f t="shared" si="175"/>
        <v>0</v>
      </c>
      <c r="BJ234" s="24">
        <f t="shared" si="176"/>
        <v>4040381</v>
      </c>
      <c r="BK234" s="24">
        <f>SUM((U234+V234+AA234+AC234+AF234+AI234+AL234+AM234+AN234)*'Weighting Factors'!O$12)+(MAX(AO234,'Weighting Factors'!B234))</f>
        <v>4088949</v>
      </c>
      <c r="BL234" s="78">
        <f>'LOB%'!F232</f>
        <v>0.33</v>
      </c>
      <c r="BM234" s="24">
        <f t="shared" si="147"/>
        <v>1349353</v>
      </c>
      <c r="BN234" s="67">
        <v>1370716</v>
      </c>
      <c r="BO234" s="24">
        <f t="shared" si="177"/>
        <v>1349353</v>
      </c>
      <c r="BP234" s="89">
        <f t="shared" si="148"/>
        <v>0.33</v>
      </c>
      <c r="BQ234" s="58">
        <f t="shared" si="149"/>
        <v>0</v>
      </c>
      <c r="BR234" s="1" t="b">
        <f t="shared" si="150"/>
        <v>0</v>
      </c>
      <c r="BS234" s="76">
        <f t="shared" si="151"/>
        <v>0</v>
      </c>
      <c r="BT234" s="75">
        <f t="shared" si="178"/>
        <v>0</v>
      </c>
      <c r="BU234" s="58">
        <f t="shared" si="152"/>
        <v>0</v>
      </c>
      <c r="BV234" s="1" t="b">
        <f t="shared" si="153"/>
        <v>1</v>
      </c>
      <c r="BW234" s="1">
        <f t="shared" si="154"/>
        <v>136.125</v>
      </c>
      <c r="BX234" s="75">
        <f t="shared" si="179"/>
        <v>0.44681399999999999</v>
      </c>
      <c r="BY234" s="58">
        <f t="shared" si="155"/>
        <v>183.2</v>
      </c>
      <c r="BZ234" s="58">
        <f t="shared" si="156"/>
        <v>0</v>
      </c>
      <c r="CA234" s="61">
        <v>144</v>
      </c>
      <c r="CB234" s="102">
        <f t="shared" si="157"/>
        <v>0.60399999999999998</v>
      </c>
      <c r="CC234" s="105">
        <f>IF(CB234&lt;0.06,1,IF(CB234&gt;=18.29,52,MATCH(CB234-0.001,'Weighting Factors'!$W$5:$W$156)+1))</f>
        <v>27</v>
      </c>
      <c r="CD234" s="24">
        <f>VLOOKUP(CC234, 'Weighting Factors'!$U$5:$X$56,4)</f>
        <v>1050</v>
      </c>
      <c r="CE234" s="109">
        <f>('Weighting Factors'!$O$5/'Weighting Factors'!$O$14)</f>
        <v>1.2216</v>
      </c>
      <c r="CF234" s="100">
        <f t="shared" si="158"/>
        <v>91350</v>
      </c>
      <c r="CG234" s="100">
        <f>CF234*'Weighting Factors'!$Q$7</f>
        <v>91350</v>
      </c>
      <c r="CH234" s="100">
        <f t="shared" si="180"/>
        <v>111593</v>
      </c>
      <c r="CI234" s="58">
        <f>AK234/'Weighting Factors'!$O$5</f>
        <v>21.9</v>
      </c>
      <c r="CJ234" s="67">
        <v>0</v>
      </c>
      <c r="CK234" s="80">
        <v>0</v>
      </c>
      <c r="CL234" s="110">
        <v>0</v>
      </c>
      <c r="CM234" s="24">
        <f>SUM((AR234*'Weighting Factors'!$O$5)+'2024 Legal Max'!AX234)*CL234</f>
        <v>0</v>
      </c>
      <c r="CN234" s="24">
        <f t="shared" si="181"/>
        <v>0</v>
      </c>
      <c r="CO234" s="65">
        <f t="shared" si="146"/>
        <v>0.28870000000000001</v>
      </c>
      <c r="CP234" s="58">
        <f t="shared" si="159"/>
        <v>0</v>
      </c>
      <c r="CQ234" s="58">
        <f t="shared" si="160"/>
        <v>0</v>
      </c>
      <c r="CR234" s="58">
        <f t="shared" si="161"/>
        <v>794.1</v>
      </c>
      <c r="CS234" s="24">
        <f>'Required Transfers'!L234</f>
        <v>104035</v>
      </c>
      <c r="CT234" s="24">
        <f>'Required Transfers'!O234</f>
        <v>0</v>
      </c>
      <c r="CU234" s="24">
        <f>'Required Transfers'!H234</f>
        <v>312403</v>
      </c>
      <c r="CV234" s="58">
        <f t="shared" si="162"/>
        <v>417.5</v>
      </c>
      <c r="CW234" s="27" t="s">
        <v>419</v>
      </c>
    </row>
    <row r="235" spans="1:101" ht="15" customHeight="1">
      <c r="A235" s="54">
        <v>449</v>
      </c>
      <c r="B235" s="1" t="s">
        <v>11</v>
      </c>
      <c r="C235" s="1" t="s">
        <v>739</v>
      </c>
      <c r="D235" s="58">
        <v>625</v>
      </c>
      <c r="E235" s="58"/>
      <c r="F235" s="58">
        <v>0</v>
      </c>
      <c r="G235" s="58">
        <f t="shared" si="163"/>
        <v>625</v>
      </c>
      <c r="H235" s="58">
        <v>617.9</v>
      </c>
      <c r="I235" s="58"/>
      <c r="J235" s="58">
        <v>0</v>
      </c>
      <c r="K235" s="58">
        <f t="shared" si="164"/>
        <v>617.9</v>
      </c>
      <c r="L235" s="1">
        <v>612.29999999999995</v>
      </c>
      <c r="N235" s="1">
        <v>0</v>
      </c>
      <c r="O235" s="58">
        <f t="shared" si="165"/>
        <v>612.29999999999995</v>
      </c>
      <c r="P235" s="58">
        <f>IF(ISNA(VLOOKUP($CW235,'Audit Values'!$A:$BZ,2,FALSE)),'Preliminary SO66'!C234,VLOOKUP($CW235,'Audit Values'!$A:$BZ,76,FALSE))</f>
        <v>633</v>
      </c>
      <c r="Q235" s="58">
        <f>IF(ISNA(VLOOKUP($CW235,'Audit Values'!$A:$BZ,2,FALSE)),'Preliminary SO66'!F234,VLOOKUP($CW235,'Audit Values'!$A:$BZ,4,FALSE))</f>
        <v>0</v>
      </c>
      <c r="R235" s="58">
        <f t="shared" si="169"/>
        <v>633</v>
      </c>
      <c r="S235" s="58">
        <f>IF('Military Provision'!I235="YES", MAX('2024 Legal Max'!O235,'2024 Legal Max'!K235,AVERAGE('2024 Legal Max'!G235,'2024 Legal Max'!K235,'2024 Legal Max'!O235)), MAX(O235, K235))</f>
        <v>617.9</v>
      </c>
      <c r="T235" s="58">
        <f>IF(ISNA(VLOOKUP($CW235,'Audit Values'!$A:$BX,2,FALSE)),'Preliminary SO66'!AL234,VLOOKUP($CW235,'Audit Values'!$A:$BX,59,FALSE))</f>
        <v>14</v>
      </c>
      <c r="U235" s="58">
        <f t="shared" si="170"/>
        <v>631.9</v>
      </c>
      <c r="V235" s="58">
        <f>'Low-High ENRL- 2023 HSubSB 113'!N238</f>
        <v>234.7</v>
      </c>
      <c r="W235" s="58">
        <f>IF(ISNA(VLOOKUP($CW235,'Audit Values'!$A:$BZ,2,FALSE)),'Preliminary SO66'!AM234,VLOOKUP($CW235,'Audit Values'!$A:$BZ,63,FALSE))</f>
        <v>0</v>
      </c>
      <c r="X235" s="58">
        <f>(W235/6)*'Weighting Factors'!$O$7</f>
        <v>0</v>
      </c>
      <c r="Y235" s="61">
        <f>IF(ISNA(VLOOKUP($CW235,'Audit Values'!$A:$BZ,2,FALSE)),'Preliminary SO66'!AN234,VLOOKUP($CW235,'Audit Values'!$A:$BZ,62,FALSE))</f>
        <v>0</v>
      </c>
      <c r="Z235" s="58">
        <f>Y235*'Weighting Factors'!$O$8</f>
        <v>0</v>
      </c>
      <c r="AA235" s="58">
        <f t="shared" si="171"/>
        <v>0</v>
      </c>
      <c r="AB235" s="106">
        <f>IF(ISNA(VLOOKUP($CW235,'Audit Values'!$A:$BZ,2,FALSE)),'Preliminary SO66'!AO234,VLOOKUP($CW235,'Audit Values'!$A:$BZ,61,FALSE))</f>
        <v>127.3</v>
      </c>
      <c r="AC235" s="58">
        <f>AB235/6*'Weighting Factors'!$O$6</f>
        <v>10.6</v>
      </c>
      <c r="AD235" s="24">
        <f>IF(ISNA(VLOOKUP($CW235,'Audit Values'!$A:$BX,2,FALSE)),'Preliminary SO66'!AS234,VLOOKUP($CW235,'Audit Values'!$A:$BX,64,FALSE))</f>
        <v>672</v>
      </c>
      <c r="AE235" s="24">
        <f>IF(ISNA(VLOOKUP($CW235,'Audit Values'!$A:$BX,2,FALSE)),'Preliminary SO66'!AP234,VLOOKUP($CW235,'Audit Values'!$A:$BX,65,FALSE))</f>
        <v>126</v>
      </c>
      <c r="AF235" s="58">
        <f>IF(A235=207, AE235,(AE235))*'Weighting Factors'!$O$9</f>
        <v>61</v>
      </c>
      <c r="AG235" s="58">
        <f t="shared" si="168"/>
        <v>0</v>
      </c>
      <c r="AH235" s="58">
        <f>IF(ISNA(VLOOKUP($CW235,'Audit Values'!$A:$BZ,2,FALSE)),'Preliminary SO66'!AG234,VLOOKUP($CW235,'Audit Values'!$A:$BZ,71,FALSE))</f>
        <v>0</v>
      </c>
      <c r="AI235" s="58">
        <f t="shared" si="172"/>
        <v>0</v>
      </c>
      <c r="AJ235" s="58">
        <f>IF(ISNA(VLOOKUP($CW235,'Audit Values'!$A:$BX,2,FALSE)),'Preliminary SO66'!AR234,VLOOKUP($CW235,'Audit Values'!$A:$BX,66,FALSE))</f>
        <v>376.5</v>
      </c>
      <c r="AK235" s="24">
        <f t="shared" si="173"/>
        <v>354148</v>
      </c>
      <c r="AL235" s="58">
        <f>AK235/'Weighting Factors'!$O$5</f>
        <v>69.599999999999994</v>
      </c>
      <c r="AM235" s="58">
        <f>CJ235/'Weighting Factors'!$O$5</f>
        <v>0</v>
      </c>
      <c r="AN235" s="58">
        <f>CN235/'Weighting Factors'!$O$5</f>
        <v>0</v>
      </c>
      <c r="AO235" s="24">
        <v>779923</v>
      </c>
      <c r="AP235" s="58">
        <f>AO235/'Weighting Factors'!$O$5</f>
        <v>153.30000000000001</v>
      </c>
      <c r="AQ235" s="58">
        <f>IF(ISNA(VLOOKUP($CW235,'Audit Values'!$A:$BX,2,FALSE)),'Preliminary SO66'!X234,VLOOKUP($CW235,'Audit Values'!$A:$BX,48,FALSE))</f>
        <v>0</v>
      </c>
      <c r="AR235" s="58">
        <f t="shared" si="166"/>
        <v>1161.0999999999999</v>
      </c>
      <c r="AS235" s="58">
        <f t="shared" si="167"/>
        <v>1007.8</v>
      </c>
      <c r="AT235" s="58">
        <f>IF(ISNA(VLOOKUP($CW235,'Audit Values'!$A$2:$BX$410,2,FALSE)),'Preliminary SO66'!AA234,VLOOKUP($CW235,'Audit Values'!$A$2:$BX$410,41,FALSE))</f>
        <v>0</v>
      </c>
      <c r="AU235" s="58">
        <f>IF(ISNA(VLOOKUP($CW235,'Audit Values'!$A$2:$BX$410,2,FALSE)),'Preliminary SO66'!AB234,VLOOKUP($CW235,'Audit Values'!$A$2:$BX$410,42,FALSE))</f>
        <v>0</v>
      </c>
      <c r="AV235" s="73">
        <v>0</v>
      </c>
      <c r="AW235" s="73">
        <v>0</v>
      </c>
      <c r="AX235" s="24">
        <f>SUM(AT235*'Weighting Factors'!$R$10)+('2024 Legal Max'!AU235*'Weighting Factors'!$R$11)+('2024 Legal Max'!AV235*'Weighting Factors'!$R$12)+('2024 Legal Max'!AW235*'Weighting Factors'!$R$12)</f>
        <v>0</v>
      </c>
      <c r="AY235" s="54">
        <f>IF(ISNA(VLOOKUP($CW235,'Audit Values'!$A$2:$BX$429,2,FALSE)),"",IF(AND('Weighting Factors'!G235&gt;0,VLOOKUP($CW235,'Audit Values'!$A$2:$BX$429,51,FALSE)&lt;'Weighting Factors'!G235),'Weighting Factors'!G235,VLOOKUP($CW235,'Audit Values'!$A$2:$BX$429,51,FALSE)))</f>
        <v>5</v>
      </c>
      <c r="AZ235" s="54" t="str">
        <f>IF(ISNA(VLOOKUP($CW235,'Audit Values'!$A:$BY,2,FALSE)),"",VLOOKUP($CW235,'Audit Values'!$A:$BY,52,FALSE))</f>
        <v>A</v>
      </c>
      <c r="BA235" s="54" t="str">
        <f>IF('Weighting Factors'!F235="","",IF('Weighting Factors'!H235="Pending","PX","R"))</f>
        <v/>
      </c>
      <c r="BB235" s="60">
        <f>SUM((U235+V235+AA235+AC235+AF235+AI235+AL235+AM235+AQ235+AN235)*'Weighting Factors'!$O$5)+'2024 Legal Max'!AX235</f>
        <v>5127686</v>
      </c>
      <c r="BC235" s="24">
        <f>SUM((AR235+AN235)*'Weighting Factors'!$O$5)+AX235</f>
        <v>5907677</v>
      </c>
      <c r="BD235" s="67">
        <f>IF('Weighting Factors'!F235&gt;0,'Weighting Factors'!F235,'Preliminary SO66'!AV234)</f>
        <v>6028771</v>
      </c>
      <c r="BE235" s="24">
        <f t="shared" si="174"/>
        <v>5907677</v>
      </c>
      <c r="BF235" s="71">
        <f>'Weighting Factors'!E235</f>
        <v>0</v>
      </c>
      <c r="BG235" s="71">
        <f>Transportation!G235</f>
        <v>0</v>
      </c>
      <c r="BH235" s="24">
        <f>IF(ISNA(VLOOKUP($CW235,'Audit Values'!$A:$BW,2,FALSE)), 0, VLOOKUP($CW235,'Audit Values'!$A:$BW,75,FALSE))</f>
        <v>0</v>
      </c>
      <c r="BI235" s="24">
        <f t="shared" si="175"/>
        <v>0</v>
      </c>
      <c r="BJ235" s="24">
        <f t="shared" si="176"/>
        <v>5907677</v>
      </c>
      <c r="BK235" s="24">
        <f>SUM((U235+V235+AA235+AC235+AF235+AI235+AL235+AM235+AN235)*'Weighting Factors'!O$12)+(MAX(AO235,'Weighting Factors'!B235))</f>
        <v>5978155</v>
      </c>
      <c r="BL235" s="78">
        <f>'LOB%'!F233</f>
        <v>0.316</v>
      </c>
      <c r="BM235" s="24">
        <f t="shared" si="147"/>
        <v>1889097</v>
      </c>
      <c r="BN235" s="67">
        <v>1927327</v>
      </c>
      <c r="BO235" s="24">
        <f t="shared" si="177"/>
        <v>1889097</v>
      </c>
      <c r="BP235" s="89">
        <f t="shared" si="148"/>
        <v>0.316</v>
      </c>
      <c r="BQ235" s="58">
        <f t="shared" si="149"/>
        <v>0</v>
      </c>
      <c r="BR235" s="1" t="b">
        <f t="shared" si="150"/>
        <v>0</v>
      </c>
      <c r="BS235" s="76">
        <f t="shared" si="151"/>
        <v>0</v>
      </c>
      <c r="BT235" s="75">
        <f t="shared" si="178"/>
        <v>0</v>
      </c>
      <c r="BU235" s="58">
        <f t="shared" si="152"/>
        <v>0</v>
      </c>
      <c r="BV235" s="1" t="b">
        <f t="shared" si="153"/>
        <v>1</v>
      </c>
      <c r="BW235" s="1">
        <f t="shared" si="154"/>
        <v>410.72629999999998</v>
      </c>
      <c r="BX235" s="75">
        <f t="shared" si="179"/>
        <v>0.37142399999999998</v>
      </c>
      <c r="BY235" s="58">
        <f t="shared" si="155"/>
        <v>234.7</v>
      </c>
      <c r="BZ235" s="58">
        <f t="shared" si="156"/>
        <v>0</v>
      </c>
      <c r="CA235" s="61">
        <v>117</v>
      </c>
      <c r="CB235" s="102">
        <f t="shared" si="157"/>
        <v>3.218</v>
      </c>
      <c r="CC235" s="105">
        <f>IF(CB235&lt;0.06,1,IF(CB235&gt;=18.29,52,MATCH(CB235-0.001,'Weighting Factors'!$W$5:$W$156)+1))</f>
        <v>41</v>
      </c>
      <c r="CD235" s="24">
        <f>VLOOKUP(CC235, 'Weighting Factors'!$U$5:$X$56,4)</f>
        <v>770</v>
      </c>
      <c r="CE235" s="109">
        <f>('Weighting Factors'!$O$5/'Weighting Factors'!$O$14)</f>
        <v>1.2216</v>
      </c>
      <c r="CF235" s="100">
        <f t="shared" si="158"/>
        <v>289905</v>
      </c>
      <c r="CG235" s="100">
        <f>CF235*'Weighting Factors'!$Q$7</f>
        <v>289905</v>
      </c>
      <c r="CH235" s="100">
        <f t="shared" si="180"/>
        <v>354148</v>
      </c>
      <c r="CI235" s="58">
        <f>AK235/'Weighting Factors'!$O$5</f>
        <v>69.599999999999994</v>
      </c>
      <c r="CJ235" s="67">
        <v>0</v>
      </c>
      <c r="CK235" s="80">
        <v>0</v>
      </c>
      <c r="CL235" s="110">
        <v>8.9999999999999993E-3</v>
      </c>
      <c r="CM235" s="24">
        <f>SUM((AR235*'Weighting Factors'!$O$5)+'2024 Legal Max'!AX235)*CL235</f>
        <v>53169</v>
      </c>
      <c r="CN235" s="24">
        <f t="shared" si="181"/>
        <v>0</v>
      </c>
      <c r="CO235" s="65">
        <f t="shared" si="146"/>
        <v>0.1875</v>
      </c>
      <c r="CP235" s="58">
        <f t="shared" si="159"/>
        <v>0</v>
      </c>
      <c r="CQ235" s="58">
        <f t="shared" si="160"/>
        <v>0</v>
      </c>
      <c r="CR235" s="58">
        <f t="shared" si="161"/>
        <v>1161.0999999999999</v>
      </c>
      <c r="CS235" s="24">
        <f>'Required Transfers'!L235</f>
        <v>100500</v>
      </c>
      <c r="CT235" s="24">
        <f>'Required Transfers'!O235</f>
        <v>0</v>
      </c>
      <c r="CU235" s="24">
        <f>'Required Transfers'!H235</f>
        <v>310368</v>
      </c>
      <c r="CV235" s="58">
        <f t="shared" si="162"/>
        <v>647</v>
      </c>
      <c r="CW235" s="27" t="s">
        <v>420</v>
      </c>
    </row>
    <row r="236" spans="1:101" ht="15" customHeight="1">
      <c r="A236" s="54">
        <v>450</v>
      </c>
      <c r="B236" s="1" t="s">
        <v>61</v>
      </c>
      <c r="C236" s="1" t="s">
        <v>740</v>
      </c>
      <c r="D236" s="58">
        <v>3493.5</v>
      </c>
      <c r="E236" s="58"/>
      <c r="F236" s="58">
        <v>0</v>
      </c>
      <c r="G236" s="58">
        <f t="shared" si="163"/>
        <v>3493.5</v>
      </c>
      <c r="H236" s="58">
        <v>3556.5</v>
      </c>
      <c r="I236" s="58">
        <v>1</v>
      </c>
      <c r="J236" s="58">
        <v>0</v>
      </c>
      <c r="K236" s="58">
        <f t="shared" si="164"/>
        <v>3555.5</v>
      </c>
      <c r="L236" s="1">
        <v>3603.7</v>
      </c>
      <c r="N236" s="1">
        <v>0</v>
      </c>
      <c r="O236" s="58">
        <f t="shared" si="165"/>
        <v>3603.7</v>
      </c>
      <c r="P236" s="58">
        <f>IF(ISNA(VLOOKUP($CW236,'Audit Values'!$A:$BZ,2,FALSE)),'Preliminary SO66'!C235,VLOOKUP($CW236,'Audit Values'!$A:$BZ,76,FALSE))</f>
        <v>3506.4</v>
      </c>
      <c r="Q236" s="58">
        <f>IF(ISNA(VLOOKUP($CW236,'Audit Values'!$A:$BZ,2,FALSE)),'Preliminary SO66'!F235,VLOOKUP($CW236,'Audit Values'!$A:$BZ,4,FALSE))</f>
        <v>0</v>
      </c>
      <c r="R236" s="58">
        <f t="shared" si="169"/>
        <v>3506.4</v>
      </c>
      <c r="S236" s="58">
        <f>IF('Military Provision'!I236="YES", MAX('2024 Legal Max'!O236,'2024 Legal Max'!K236,AVERAGE('2024 Legal Max'!G236,'2024 Legal Max'!K236,'2024 Legal Max'!O236)), MAX(O236, K236))</f>
        <v>3603.7</v>
      </c>
      <c r="T236" s="58">
        <f>IF(ISNA(VLOOKUP($CW236,'Audit Values'!$A:$BX,2,FALSE)),'Preliminary SO66'!AL235,VLOOKUP($CW236,'Audit Values'!$A:$BX,59,FALSE))</f>
        <v>19</v>
      </c>
      <c r="U236" s="58">
        <f t="shared" si="170"/>
        <v>3622.7</v>
      </c>
      <c r="V236" s="58">
        <f>'Low-High ENRL- 2023 HSubSB 113'!N239</f>
        <v>126.9</v>
      </c>
      <c r="W236" s="58">
        <f>IF(ISNA(VLOOKUP($CW236,'Audit Values'!$A:$BZ,2,FALSE)),'Preliminary SO66'!AM235,VLOOKUP($CW236,'Audit Values'!$A:$BZ,63,FALSE))</f>
        <v>184.1</v>
      </c>
      <c r="X236" s="58">
        <f>(W236/6)*'Weighting Factors'!$O$7</f>
        <v>12.1</v>
      </c>
      <c r="Y236" s="61">
        <f>IF(ISNA(VLOOKUP($CW236,'Audit Values'!$A:$BZ,2,FALSE)),'Preliminary SO66'!AN235,VLOOKUP($CW236,'Audit Values'!$A:$BZ,62,FALSE))</f>
        <v>79</v>
      </c>
      <c r="Z236" s="58">
        <f>Y236*'Weighting Factors'!$O$8</f>
        <v>14.6</v>
      </c>
      <c r="AA236" s="58">
        <f t="shared" si="171"/>
        <v>14.6</v>
      </c>
      <c r="AB236" s="106">
        <f>IF(ISNA(VLOOKUP($CW236,'Audit Values'!$A:$BZ,2,FALSE)),'Preliminary SO66'!AO235,VLOOKUP($CW236,'Audit Values'!$A:$BZ,61,FALSE))</f>
        <v>679.6</v>
      </c>
      <c r="AC236" s="58">
        <f>AB236/6*'Weighting Factors'!$O$6</f>
        <v>56.6</v>
      </c>
      <c r="AD236" s="24">
        <f>IF(ISNA(VLOOKUP($CW236,'Audit Values'!$A:$BX,2,FALSE)),'Preliminary SO66'!AS235,VLOOKUP($CW236,'Audit Values'!$A:$BX,64,FALSE))</f>
        <v>3573</v>
      </c>
      <c r="AE236" s="24">
        <f>IF(ISNA(VLOOKUP($CW236,'Audit Values'!$A:$BX,2,FALSE)),'Preliminary SO66'!AP235,VLOOKUP($CW236,'Audit Values'!$A:$BX,65,FALSE))</f>
        <v>1142</v>
      </c>
      <c r="AF236" s="58">
        <f>IF(A236=207, AE236,(AE236))*'Weighting Factors'!$O$9</f>
        <v>552.70000000000005</v>
      </c>
      <c r="AG236" s="58">
        <f t="shared" si="168"/>
        <v>0</v>
      </c>
      <c r="AH236" s="58">
        <f>IF(ISNA(VLOOKUP($CW236,'Audit Values'!$A:$BZ,2,FALSE)),'Preliminary SO66'!AG235,VLOOKUP($CW236,'Audit Values'!$A:$BZ,71,FALSE))</f>
        <v>15.9</v>
      </c>
      <c r="AI236" s="58">
        <f t="shared" si="172"/>
        <v>15.9</v>
      </c>
      <c r="AJ236" s="58">
        <f>IF(ISNA(VLOOKUP($CW236,'Audit Values'!$A:$BX,2,FALSE)),'Preliminary SO66'!AR235,VLOOKUP($CW236,'Audit Values'!$A:$BX,66,FALSE))</f>
        <v>2408</v>
      </c>
      <c r="AK236" s="24">
        <f t="shared" si="173"/>
        <v>1676719</v>
      </c>
      <c r="AL236" s="58">
        <f>AK236/'Weighting Factors'!$O$5</f>
        <v>329.5</v>
      </c>
      <c r="AM236" s="58">
        <f>CJ236/'Weighting Factors'!$O$5</f>
        <v>0</v>
      </c>
      <c r="AN236" s="58">
        <f>CN236/'Weighting Factors'!$O$5</f>
        <v>0</v>
      </c>
      <c r="AO236" s="24">
        <v>4344590</v>
      </c>
      <c r="AP236" s="58">
        <f>AO236/'Weighting Factors'!$O$5</f>
        <v>853.9</v>
      </c>
      <c r="AQ236" s="58">
        <f>IF(ISNA(VLOOKUP($CW236,'Audit Values'!$A:$BX,2,FALSE)),'Preliminary SO66'!X235,VLOOKUP($CW236,'Audit Values'!$A:$BX,48,FALSE))</f>
        <v>1</v>
      </c>
      <c r="AR236" s="58">
        <f t="shared" si="166"/>
        <v>5573.8</v>
      </c>
      <c r="AS236" s="58">
        <f t="shared" si="167"/>
        <v>4719.8999999999996</v>
      </c>
      <c r="AT236" s="58">
        <f>IF(ISNA(VLOOKUP($CW236,'Audit Values'!$A$2:$BX$410,2,FALSE)),'Preliminary SO66'!AA235,VLOOKUP($CW236,'Audit Values'!$A$2:$BX$410,41,FALSE))</f>
        <v>17</v>
      </c>
      <c r="AU236" s="58">
        <f>IF(ISNA(VLOOKUP($CW236,'Audit Values'!$A$2:$BX$410,2,FALSE)),'Preliminary SO66'!AB235,VLOOKUP($CW236,'Audit Values'!$A$2:$BX$410,42,FALSE))</f>
        <v>1.7</v>
      </c>
      <c r="AV236" s="73">
        <v>56</v>
      </c>
      <c r="AW236" s="73">
        <v>11</v>
      </c>
      <c r="AX236" s="24">
        <f>SUM(AT236*'Weighting Factors'!$R$10)+('2024 Legal Max'!AU236*'Weighting Factors'!$R$11)+('2024 Legal Max'!AV236*'Weighting Factors'!$R$12)+('2024 Legal Max'!AW236*'Weighting Factors'!$R$12)</f>
        <v>147463</v>
      </c>
      <c r="AY236" s="54">
        <f>IF(ISNA(VLOOKUP($CW236,'Audit Values'!$A$2:$BX$429,2,FALSE)),"",IF(AND('Weighting Factors'!G236&gt;0,VLOOKUP($CW236,'Audit Values'!$A$2:$BX$429,51,FALSE)&lt;'Weighting Factors'!G236),'Weighting Factors'!G236,VLOOKUP($CW236,'Audit Values'!$A$2:$BX$429,51,FALSE)))</f>
        <v>25</v>
      </c>
      <c r="AZ236" s="54" t="str">
        <f>IF(ISNA(VLOOKUP($CW236,'Audit Values'!$A:$BY,2,FALSE)),"",VLOOKUP($CW236,'Audit Values'!$A:$BY,52,FALSE))</f>
        <v>A</v>
      </c>
      <c r="BA236" s="54" t="str">
        <f>IF('Weighting Factors'!F236="","",IF('Weighting Factors'!H236="Pending","PX","R"))</f>
        <v/>
      </c>
      <c r="BB236" s="60">
        <f>SUM((U236+V236+AA236+AC236+AF236+AI236+AL236+AM236+AQ236+AN236)*'Weighting Factors'!$O$5)+'2024 Legal Max'!AX236</f>
        <v>24162314</v>
      </c>
      <c r="BC236" s="24">
        <f>SUM((AR236+AN236)*'Weighting Factors'!$O$5)+AX236</f>
        <v>28506957</v>
      </c>
      <c r="BD236" s="67">
        <f>IF('Weighting Factors'!F236&gt;0,'Weighting Factors'!F236,'Preliminary SO66'!AV235)</f>
        <v>29827680</v>
      </c>
      <c r="BE236" s="24">
        <f t="shared" si="174"/>
        <v>28506957</v>
      </c>
      <c r="BF236" s="71">
        <f>'Weighting Factors'!E236</f>
        <v>0</v>
      </c>
      <c r="BG236" s="71">
        <f>Transportation!G236</f>
        <v>0</v>
      </c>
      <c r="BH236" s="24">
        <f>IF(ISNA(VLOOKUP($CW236,'Audit Values'!$A:$BW,2,FALSE)), 0, VLOOKUP($CW236,'Audit Values'!$A:$BW,75,FALSE))</f>
        <v>-2836</v>
      </c>
      <c r="BI236" s="24">
        <f t="shared" si="175"/>
        <v>-2836</v>
      </c>
      <c r="BJ236" s="24">
        <f t="shared" si="176"/>
        <v>28504121</v>
      </c>
      <c r="BK236" s="24">
        <f>SUM((U236+V236+AA236+AC236+AF236+AI236+AL236+AM236+AN236)*'Weighting Factors'!O$12)+(MAX(AO236,'Weighting Factors'!B236))</f>
        <v>28684676</v>
      </c>
      <c r="BL236" s="78">
        <f>'LOB%'!F234</f>
        <v>0.33</v>
      </c>
      <c r="BM236" s="24">
        <f t="shared" si="147"/>
        <v>9465943</v>
      </c>
      <c r="BN236" s="67">
        <v>9904010</v>
      </c>
      <c r="BO236" s="24">
        <f t="shared" si="177"/>
        <v>9465943</v>
      </c>
      <c r="BP236" s="89">
        <f t="shared" si="148"/>
        <v>0.33</v>
      </c>
      <c r="BQ236" s="58">
        <f t="shared" si="149"/>
        <v>0</v>
      </c>
      <c r="BR236" s="1" t="b">
        <f t="shared" si="150"/>
        <v>0</v>
      </c>
      <c r="BS236" s="76">
        <f t="shared" si="151"/>
        <v>0</v>
      </c>
      <c r="BT236" s="75">
        <f t="shared" si="178"/>
        <v>0</v>
      </c>
      <c r="BU236" s="58">
        <f t="shared" si="152"/>
        <v>0</v>
      </c>
      <c r="BV236" s="1" t="b">
        <f t="shared" si="153"/>
        <v>0</v>
      </c>
      <c r="BW236" s="1">
        <f t="shared" si="154"/>
        <v>0</v>
      </c>
      <c r="BX236" s="75">
        <f t="shared" si="179"/>
        <v>0</v>
      </c>
      <c r="BY236" s="58">
        <f t="shared" si="155"/>
        <v>0</v>
      </c>
      <c r="BZ236" s="58">
        <f t="shared" si="156"/>
        <v>126.9</v>
      </c>
      <c r="CA236" s="61">
        <v>140</v>
      </c>
      <c r="CB236" s="102">
        <f t="shared" si="157"/>
        <v>17.2</v>
      </c>
      <c r="CC236" s="105">
        <f>IF(CB236&lt;0.06,1,IF(CB236&gt;=18.29,52,MATCH(CB236-0.001,'Weighting Factors'!$W$5:$W$156)+1))</f>
        <v>51</v>
      </c>
      <c r="CD236" s="24">
        <f>VLOOKUP(CC236, 'Weighting Factors'!$U$5:$X$56,4)</f>
        <v>570</v>
      </c>
      <c r="CE236" s="109">
        <f>('Weighting Factors'!$O$5/'Weighting Factors'!$O$14)</f>
        <v>1.2216</v>
      </c>
      <c r="CF236" s="100">
        <f t="shared" si="158"/>
        <v>1372560</v>
      </c>
      <c r="CG236" s="100">
        <f>CF236*'Weighting Factors'!$Q$7</f>
        <v>1372560</v>
      </c>
      <c r="CH236" s="100">
        <f t="shared" si="180"/>
        <v>1676719</v>
      </c>
      <c r="CI236" s="58">
        <f>AK236/'Weighting Factors'!$O$5</f>
        <v>329.5</v>
      </c>
      <c r="CJ236" s="67">
        <v>0</v>
      </c>
      <c r="CK236" s="80">
        <v>0</v>
      </c>
      <c r="CL236" s="110">
        <v>8.0000000000000004E-4</v>
      </c>
      <c r="CM236" s="24">
        <f>SUM((AR236*'Weighting Factors'!$O$5)+'2024 Legal Max'!AX236)*CL236</f>
        <v>22806</v>
      </c>
      <c r="CN236" s="24">
        <f t="shared" si="181"/>
        <v>0</v>
      </c>
      <c r="CO236" s="65">
        <f t="shared" si="146"/>
        <v>0.3196</v>
      </c>
      <c r="CP236" s="58">
        <f t="shared" si="159"/>
        <v>0</v>
      </c>
      <c r="CQ236" s="58">
        <f t="shared" si="160"/>
        <v>0</v>
      </c>
      <c r="CR236" s="58">
        <f t="shared" si="161"/>
        <v>5573.8</v>
      </c>
      <c r="CS236" s="24">
        <f>'Required Transfers'!L236</f>
        <v>941861</v>
      </c>
      <c r="CT236" s="24">
        <f>'Required Transfers'!O236</f>
        <v>24611</v>
      </c>
      <c r="CU236" s="24">
        <f>'Required Transfers'!H236</f>
        <v>2893037</v>
      </c>
      <c r="CV236" s="58">
        <f t="shared" si="162"/>
        <v>3555.3</v>
      </c>
      <c r="CW236" s="27" t="s">
        <v>421</v>
      </c>
    </row>
    <row r="237" spans="1:101" ht="15" customHeight="1">
      <c r="A237" s="54">
        <v>452</v>
      </c>
      <c r="B237" s="1" t="s">
        <v>101</v>
      </c>
      <c r="C237" s="1" t="s">
        <v>741</v>
      </c>
      <c r="D237" s="58">
        <v>420</v>
      </c>
      <c r="E237" s="58"/>
      <c r="F237" s="58">
        <v>0</v>
      </c>
      <c r="G237" s="58">
        <f t="shared" si="163"/>
        <v>420</v>
      </c>
      <c r="H237" s="58">
        <v>407</v>
      </c>
      <c r="I237" s="58"/>
      <c r="J237" s="58">
        <v>0</v>
      </c>
      <c r="K237" s="58">
        <f t="shared" si="164"/>
        <v>407</v>
      </c>
      <c r="L237" s="1">
        <v>398.5</v>
      </c>
      <c r="N237" s="1">
        <v>0</v>
      </c>
      <c r="O237" s="58">
        <f t="shared" si="165"/>
        <v>398.5</v>
      </c>
      <c r="P237" s="58">
        <f>IF(ISNA(VLOOKUP($CW237,'Audit Values'!$A:$BZ,2,FALSE)),'Preliminary SO66'!C236,VLOOKUP($CW237,'Audit Values'!$A:$BZ,76,FALSE))</f>
        <v>401.9</v>
      </c>
      <c r="Q237" s="58">
        <f>IF(ISNA(VLOOKUP($CW237,'Audit Values'!$A:$BZ,2,FALSE)),'Preliminary SO66'!F236,VLOOKUP($CW237,'Audit Values'!$A:$BZ,4,FALSE))</f>
        <v>0</v>
      </c>
      <c r="R237" s="58">
        <f t="shared" si="169"/>
        <v>401.9</v>
      </c>
      <c r="S237" s="58">
        <f>IF('Military Provision'!I237="YES", MAX('2024 Legal Max'!O237,'2024 Legal Max'!K237,AVERAGE('2024 Legal Max'!G237,'2024 Legal Max'!K237,'2024 Legal Max'!O237)), MAX(O237, K237))</f>
        <v>407</v>
      </c>
      <c r="T237" s="58">
        <f>IF(ISNA(VLOOKUP($CW237,'Audit Values'!$A:$BX,2,FALSE)),'Preliminary SO66'!AL236,VLOOKUP($CW237,'Audit Values'!$A:$BX,59,FALSE))</f>
        <v>8.5</v>
      </c>
      <c r="U237" s="58">
        <f t="shared" si="170"/>
        <v>415.5</v>
      </c>
      <c r="V237" s="58">
        <f>'Low-High ENRL- 2023 HSubSB 113'!N240</f>
        <v>184.9</v>
      </c>
      <c r="W237" s="58">
        <f>IF(ISNA(VLOOKUP($CW237,'Audit Values'!$A:$BZ,2,FALSE)),'Preliminary SO66'!AM236,VLOOKUP($CW237,'Audit Values'!$A:$BZ,63,FALSE))</f>
        <v>564</v>
      </c>
      <c r="X237" s="58">
        <f>(W237/6)*'Weighting Factors'!$O$7</f>
        <v>37.1</v>
      </c>
      <c r="Y237" s="61">
        <f>IF(ISNA(VLOOKUP($CW237,'Audit Values'!$A:$BZ,2,FALSE)),'Preliminary SO66'!AN236,VLOOKUP($CW237,'Audit Values'!$A:$BZ,62,FALSE))</f>
        <v>142</v>
      </c>
      <c r="Z237" s="58">
        <f>Y237*'Weighting Factors'!$O$8</f>
        <v>26.3</v>
      </c>
      <c r="AA237" s="58">
        <f t="shared" si="171"/>
        <v>37.1</v>
      </c>
      <c r="AB237" s="106">
        <f>IF(ISNA(VLOOKUP($CW237,'Audit Values'!$A:$BZ,2,FALSE)),'Preliminary SO66'!AO236,VLOOKUP($CW237,'Audit Values'!$A:$BZ,61,FALSE))</f>
        <v>167.5</v>
      </c>
      <c r="AC237" s="58">
        <f>AB237/6*'Weighting Factors'!$O$6</f>
        <v>14</v>
      </c>
      <c r="AD237" s="24">
        <f>IF(ISNA(VLOOKUP($CW237,'Audit Values'!$A:$BX,2,FALSE)),'Preliminary SO66'!AS236,VLOOKUP($CW237,'Audit Values'!$A:$BX,64,FALSE))</f>
        <v>422</v>
      </c>
      <c r="AE237" s="24">
        <f>IF(ISNA(VLOOKUP($CW237,'Audit Values'!$A:$BX,2,FALSE)),'Preliminary SO66'!AP236,VLOOKUP($CW237,'Audit Values'!$A:$BX,65,FALSE))</f>
        <v>207</v>
      </c>
      <c r="AF237" s="58">
        <f>IF(A237=207, AE237,(AE237))*'Weighting Factors'!$O$9</f>
        <v>100.2</v>
      </c>
      <c r="AG237" s="58">
        <f t="shared" si="168"/>
        <v>20.399999999999999</v>
      </c>
      <c r="AH237" s="58">
        <f>IF(ISNA(VLOOKUP($CW237,'Audit Values'!$A:$BZ,2,FALSE)),'Preliminary SO66'!AG236,VLOOKUP($CW237,'Audit Values'!$A:$BZ,71,FALSE))</f>
        <v>20.3</v>
      </c>
      <c r="AI237" s="58">
        <f t="shared" si="172"/>
        <v>20.399999999999999</v>
      </c>
      <c r="AJ237" s="58">
        <f>IF(ISNA(VLOOKUP($CW237,'Audit Values'!$A:$BX,2,FALSE)),'Preliminary SO66'!AR236,VLOOKUP($CW237,'Audit Values'!$A:$BX,66,FALSE))</f>
        <v>58.5</v>
      </c>
      <c r="AK237" s="24">
        <f t="shared" si="173"/>
        <v>107195</v>
      </c>
      <c r="AL237" s="58">
        <f>AK237/'Weighting Factors'!$O$5</f>
        <v>21.1</v>
      </c>
      <c r="AM237" s="58">
        <f>CJ237/'Weighting Factors'!$O$5</f>
        <v>0</v>
      </c>
      <c r="AN237" s="58">
        <f>CN237/'Weighting Factors'!$O$5</f>
        <v>0</v>
      </c>
      <c r="AO237" s="24">
        <v>293293</v>
      </c>
      <c r="AP237" s="58">
        <f>AO237/'Weighting Factors'!$O$5</f>
        <v>57.6</v>
      </c>
      <c r="AQ237" s="58">
        <f>IF(ISNA(VLOOKUP($CW237,'Audit Values'!$A:$BX,2,FALSE)),'Preliminary SO66'!X236,VLOOKUP($CW237,'Audit Values'!$A:$BX,48,FALSE))</f>
        <v>0</v>
      </c>
      <c r="AR237" s="58">
        <f t="shared" si="166"/>
        <v>850.8</v>
      </c>
      <c r="AS237" s="58">
        <f t="shared" si="167"/>
        <v>793.2</v>
      </c>
      <c r="AT237" s="58">
        <f>IF(ISNA(VLOOKUP($CW237,'Audit Values'!$A$2:$BX$410,2,FALSE)),'Preliminary SO66'!AA236,VLOOKUP($CW237,'Audit Values'!$A$2:$BX$410,41,FALSE))</f>
        <v>0</v>
      </c>
      <c r="AU237" s="58">
        <f>IF(ISNA(VLOOKUP($CW237,'Audit Values'!$A$2:$BX$410,2,FALSE)),'Preliminary SO66'!AB236,VLOOKUP($CW237,'Audit Values'!$A$2:$BX$410,42,FALSE))</f>
        <v>0</v>
      </c>
      <c r="AV237" s="73">
        <v>0</v>
      </c>
      <c r="AW237" s="73">
        <v>0</v>
      </c>
      <c r="AX237" s="24">
        <f>SUM(AT237*'Weighting Factors'!$R$10)+('2024 Legal Max'!AU237*'Weighting Factors'!$R$11)+('2024 Legal Max'!AV237*'Weighting Factors'!$R$12)+('2024 Legal Max'!AW237*'Weighting Factors'!$R$12)</f>
        <v>0</v>
      </c>
      <c r="AY237" s="54">
        <f>IF(ISNA(VLOOKUP($CW237,'Audit Values'!$A$2:$BX$429,2,FALSE)),"",IF(AND('Weighting Factors'!G237&gt;0,VLOOKUP($CW237,'Audit Values'!$A$2:$BX$429,51,FALSE)&lt;'Weighting Factors'!G237),'Weighting Factors'!G237,VLOOKUP($CW237,'Audit Values'!$A$2:$BX$429,51,FALSE)))</f>
        <v>29</v>
      </c>
      <c r="AZ237" s="54" t="str">
        <f>IF(ISNA(VLOOKUP($CW237,'Audit Values'!$A:$BY,2,FALSE)),"",VLOOKUP($CW237,'Audit Values'!$A:$BY,52,FALSE))</f>
        <v>A</v>
      </c>
      <c r="BA237" s="54" t="str">
        <f>IF('Weighting Factors'!F237="","",IF('Weighting Factors'!H237="Pending","PX","R"))</f>
        <v>R</v>
      </c>
      <c r="BB237" s="60">
        <f>SUM((U237+V237+AA237+AC237+AF237+AI237+AL237+AM237+AQ237+AN237)*'Weighting Factors'!$O$5)+'2024 Legal Max'!AX237</f>
        <v>4035802</v>
      </c>
      <c r="BC237" s="24">
        <f>SUM((AR237+AN237)*'Weighting Factors'!$O$5)+AX237</f>
        <v>4328870</v>
      </c>
      <c r="BD237" s="67">
        <f>IF('Weighting Factors'!F237&gt;0,'Weighting Factors'!F237,'Preliminary SO66'!AV236)</f>
        <v>4328870</v>
      </c>
      <c r="BE237" s="24">
        <f t="shared" si="174"/>
        <v>4328870</v>
      </c>
      <c r="BF237" s="71">
        <f>'Weighting Factors'!E237</f>
        <v>0</v>
      </c>
      <c r="BG237" s="71">
        <f>Transportation!G237</f>
        <v>0</v>
      </c>
      <c r="BH237" s="24">
        <f>IF(ISNA(VLOOKUP($CW237,'Audit Values'!$A:$BW,2,FALSE)), 0, VLOOKUP($CW237,'Audit Values'!$A:$BW,75,FALSE))</f>
        <v>0</v>
      </c>
      <c r="BI237" s="24">
        <f t="shared" si="175"/>
        <v>0</v>
      </c>
      <c r="BJ237" s="24">
        <f t="shared" si="176"/>
        <v>4328870</v>
      </c>
      <c r="BK237" s="24">
        <f>SUM((U237+V237+AA237+AC237+AF237+AI237+AL237+AM237+AN237)*'Weighting Factors'!O$12)+(MAX(AO237,'Weighting Factors'!B237))</f>
        <v>4384619</v>
      </c>
      <c r="BL237" s="78">
        <f>'LOB%'!F235</f>
        <v>0.31</v>
      </c>
      <c r="BM237" s="24">
        <f t="shared" si="147"/>
        <v>1359232</v>
      </c>
      <c r="BN237" s="67">
        <v>1312775</v>
      </c>
      <c r="BO237" s="24">
        <f t="shared" si="177"/>
        <v>1312775</v>
      </c>
      <c r="BP237" s="89">
        <f t="shared" si="148"/>
        <v>0.2994</v>
      </c>
      <c r="BQ237" s="58">
        <f t="shared" si="149"/>
        <v>0</v>
      </c>
      <c r="BR237" s="1" t="b">
        <f t="shared" si="150"/>
        <v>0</v>
      </c>
      <c r="BS237" s="76">
        <f t="shared" si="151"/>
        <v>0</v>
      </c>
      <c r="BT237" s="75">
        <f t="shared" si="178"/>
        <v>0</v>
      </c>
      <c r="BU237" s="58">
        <f t="shared" si="152"/>
        <v>0</v>
      </c>
      <c r="BV237" s="1" t="b">
        <f t="shared" si="153"/>
        <v>1</v>
      </c>
      <c r="BW237" s="1">
        <f t="shared" si="154"/>
        <v>142.93129999999999</v>
      </c>
      <c r="BX237" s="75">
        <f t="shared" si="179"/>
        <v>0.44494499999999998</v>
      </c>
      <c r="BY237" s="58">
        <f t="shared" si="155"/>
        <v>184.9</v>
      </c>
      <c r="BZ237" s="58">
        <f t="shared" si="156"/>
        <v>0</v>
      </c>
      <c r="CA237" s="61">
        <v>690</v>
      </c>
      <c r="CB237" s="102">
        <f t="shared" si="157"/>
        <v>8.5000000000000006E-2</v>
      </c>
      <c r="CC237" s="105">
        <f>IF(CB237&lt;0.06,1,IF(CB237&gt;=18.29,52,MATCH(CB237-0.001,'Weighting Factors'!$W$5:$W$156)+1))</f>
        <v>4</v>
      </c>
      <c r="CD237" s="24">
        <f>VLOOKUP(CC237, 'Weighting Factors'!$U$5:$X$56,4)</f>
        <v>1500</v>
      </c>
      <c r="CE237" s="109">
        <f>('Weighting Factors'!$O$5/'Weighting Factors'!$O$14)</f>
        <v>1.2216</v>
      </c>
      <c r="CF237" s="100">
        <f t="shared" si="158"/>
        <v>87750</v>
      </c>
      <c r="CG237" s="100">
        <f>CF237*'Weighting Factors'!$Q$7</f>
        <v>87750</v>
      </c>
      <c r="CH237" s="100">
        <f t="shared" si="180"/>
        <v>107195</v>
      </c>
      <c r="CI237" s="58">
        <f>AK237/'Weighting Factors'!$O$5</f>
        <v>21.1</v>
      </c>
      <c r="CJ237" s="67">
        <v>0</v>
      </c>
      <c r="CK237" s="80">
        <v>0</v>
      </c>
      <c r="CL237" s="110">
        <v>0</v>
      </c>
      <c r="CM237" s="24">
        <f>SUM((AR237*'Weighting Factors'!$O$5)+'2024 Legal Max'!AX237)*CL237</f>
        <v>0</v>
      </c>
      <c r="CN237" s="24">
        <f t="shared" si="181"/>
        <v>0</v>
      </c>
      <c r="CO237" s="65">
        <f t="shared" si="146"/>
        <v>0.49049999999999999</v>
      </c>
      <c r="CP237" s="58">
        <f t="shared" si="159"/>
        <v>0</v>
      </c>
      <c r="CQ237" s="58">
        <f t="shared" si="160"/>
        <v>20.399999999999999</v>
      </c>
      <c r="CR237" s="58">
        <f t="shared" si="161"/>
        <v>850.8</v>
      </c>
      <c r="CS237" s="24">
        <f>'Required Transfers'!L237</f>
        <v>156220</v>
      </c>
      <c r="CT237" s="24">
        <f>'Required Transfers'!O237</f>
        <v>57762</v>
      </c>
      <c r="CU237" s="24">
        <f>'Required Transfers'!H237</f>
        <v>613613</v>
      </c>
      <c r="CV237" s="58">
        <f t="shared" si="162"/>
        <v>410.4</v>
      </c>
      <c r="CW237" s="27" t="s">
        <v>422</v>
      </c>
    </row>
    <row r="238" spans="1:101" ht="15" customHeight="1">
      <c r="A238" s="54">
        <v>453</v>
      </c>
      <c r="B238" s="1" t="s">
        <v>11</v>
      </c>
      <c r="C238" s="1" t="s">
        <v>742</v>
      </c>
      <c r="D238" s="58">
        <v>3276.3</v>
      </c>
      <c r="E238" s="58"/>
      <c r="F238" s="58">
        <v>0</v>
      </c>
      <c r="G238" s="58">
        <f t="shared" si="163"/>
        <v>3276.3</v>
      </c>
      <c r="H238" s="58">
        <v>3468.2</v>
      </c>
      <c r="I238" s="58">
        <v>2</v>
      </c>
      <c r="J238" s="58">
        <v>0</v>
      </c>
      <c r="K238" s="58">
        <f t="shared" si="164"/>
        <v>3466.2</v>
      </c>
      <c r="L238" s="1">
        <v>3454.3</v>
      </c>
      <c r="N238" s="1">
        <v>0</v>
      </c>
      <c r="O238" s="58">
        <f t="shared" si="165"/>
        <v>3454.3</v>
      </c>
      <c r="P238" s="58">
        <f>IF(ISNA(VLOOKUP($CW238,'Audit Values'!$A:$BZ,2,FALSE)),'Preliminary SO66'!C237,VLOOKUP($CW238,'Audit Values'!$A:$BZ,76,FALSE))</f>
        <v>3336.7</v>
      </c>
      <c r="Q238" s="58">
        <f>IF(ISNA(VLOOKUP($CW238,'Audit Values'!$A:$BZ,2,FALSE)),'Preliminary SO66'!F237,VLOOKUP($CW238,'Audit Values'!$A:$BZ,4,FALSE))</f>
        <v>0</v>
      </c>
      <c r="R238" s="58">
        <f t="shared" si="169"/>
        <v>3336.7</v>
      </c>
      <c r="S238" s="58">
        <f>IF('Military Provision'!I238="YES", MAX('2024 Legal Max'!O238,'2024 Legal Max'!K238,AVERAGE('2024 Legal Max'!G238,'2024 Legal Max'!K238,'2024 Legal Max'!O238)), MAX(O238, K238))</f>
        <v>3466.2</v>
      </c>
      <c r="T238" s="58">
        <f>IF(ISNA(VLOOKUP($CW238,'Audit Values'!$A:$BX,2,FALSE)),'Preliminary SO66'!AL237,VLOOKUP($CW238,'Audit Values'!$A:$BX,59,FALSE))</f>
        <v>26.5</v>
      </c>
      <c r="U238" s="58">
        <f t="shared" si="170"/>
        <v>3492.7</v>
      </c>
      <c r="V238" s="58">
        <f>'Low-High ENRL- 2023 HSubSB 113'!N241</f>
        <v>122.4</v>
      </c>
      <c r="W238" s="58">
        <f>IF(ISNA(VLOOKUP($CW238,'Audit Values'!$A:$BZ,2,FALSE)),'Preliminary SO66'!AM237,VLOOKUP($CW238,'Audit Values'!$A:$BZ,63,FALSE))</f>
        <v>21</v>
      </c>
      <c r="X238" s="58">
        <f>(W238/6)*'Weighting Factors'!$O$7</f>
        <v>1.4</v>
      </c>
      <c r="Y238" s="61">
        <f>IF(ISNA(VLOOKUP($CW238,'Audit Values'!$A:$BZ,2,FALSE)),'Preliminary SO66'!AN237,VLOOKUP($CW238,'Audit Values'!$A:$BZ,62,FALSE))</f>
        <v>33</v>
      </c>
      <c r="Z238" s="58">
        <f>Y238*'Weighting Factors'!$O$8</f>
        <v>6.1</v>
      </c>
      <c r="AA238" s="58">
        <f t="shared" si="171"/>
        <v>6.1</v>
      </c>
      <c r="AB238" s="106">
        <f>IF(ISNA(VLOOKUP($CW238,'Audit Values'!$A:$BZ,2,FALSE)),'Preliminary SO66'!AO237,VLOOKUP($CW238,'Audit Values'!$A:$BZ,61,FALSE))</f>
        <v>539.9</v>
      </c>
      <c r="AC238" s="58">
        <f>AB238/6*'Weighting Factors'!$O$6</f>
        <v>45</v>
      </c>
      <c r="AD238" s="24">
        <f>IF(ISNA(VLOOKUP($CW238,'Audit Values'!$A:$BX,2,FALSE)),'Preliminary SO66'!AS237,VLOOKUP($CW238,'Audit Values'!$A:$BX,64,FALSE))</f>
        <v>3430</v>
      </c>
      <c r="AE238" s="24">
        <f>IF(ISNA(VLOOKUP($CW238,'Audit Values'!$A:$BX,2,FALSE)),'Preliminary SO66'!AP237,VLOOKUP($CW238,'Audit Values'!$A:$BX,65,FALSE))</f>
        <v>1699</v>
      </c>
      <c r="AF238" s="58">
        <f>IF(A238=207, AE238,(AE238))*'Weighting Factors'!$O$9</f>
        <v>822.3</v>
      </c>
      <c r="AG238" s="58">
        <f t="shared" si="168"/>
        <v>172.8</v>
      </c>
      <c r="AH238" s="58">
        <f>IF(ISNA(VLOOKUP($CW238,'Audit Values'!$A:$BZ,2,FALSE)),'Preliminary SO66'!AG237,VLOOKUP($CW238,'Audit Values'!$A:$BZ,71,FALSE))</f>
        <v>133.9</v>
      </c>
      <c r="AI238" s="58">
        <f t="shared" si="172"/>
        <v>172.8</v>
      </c>
      <c r="AJ238" s="58">
        <f>IF(ISNA(VLOOKUP($CW238,'Audit Values'!$A:$BX,2,FALSE)),'Preliminary SO66'!AR237,VLOOKUP($CW238,'Audit Values'!$A:$BX,66,FALSE))</f>
        <v>728</v>
      </c>
      <c r="AK238" s="24">
        <f t="shared" si="173"/>
        <v>489129</v>
      </c>
      <c r="AL238" s="58">
        <f>AK238/'Weighting Factors'!$O$5</f>
        <v>96.1</v>
      </c>
      <c r="AM238" s="58">
        <f>CJ238/'Weighting Factors'!$O$5</f>
        <v>0</v>
      </c>
      <c r="AN238" s="58">
        <f>CN238/'Weighting Factors'!$O$5</f>
        <v>0</v>
      </c>
      <c r="AO238" s="24">
        <v>3925771</v>
      </c>
      <c r="AP238" s="58">
        <f>AO238/'Weighting Factors'!$O$5</f>
        <v>771.6</v>
      </c>
      <c r="AQ238" s="58">
        <f>IF(ISNA(VLOOKUP($CW238,'Audit Values'!$A:$BX,2,FALSE)),'Preliminary SO66'!X237,VLOOKUP($CW238,'Audit Values'!$A:$BX,48,FALSE))</f>
        <v>0</v>
      </c>
      <c r="AR238" s="58">
        <f t="shared" si="166"/>
        <v>5529</v>
      </c>
      <c r="AS238" s="58">
        <f t="shared" si="167"/>
        <v>4757.3999999999996</v>
      </c>
      <c r="AT238" s="58">
        <f>IF(ISNA(VLOOKUP($CW238,'Audit Values'!$A$2:$BX$410,2,FALSE)),'Preliminary SO66'!AA237,VLOOKUP($CW238,'Audit Values'!$A$2:$BX$410,41,FALSE))</f>
        <v>22</v>
      </c>
      <c r="AU238" s="58">
        <f>IF(ISNA(VLOOKUP($CW238,'Audit Values'!$A$2:$BX$410,2,FALSE)),'Preliminary SO66'!AB237,VLOOKUP($CW238,'Audit Values'!$A$2:$BX$410,42,FALSE))</f>
        <v>0.9</v>
      </c>
      <c r="AV238" s="73">
        <v>0</v>
      </c>
      <c r="AW238" s="73">
        <v>0</v>
      </c>
      <c r="AX238" s="24">
        <f>SUM(AT238*'Weighting Factors'!$R$10)+('2024 Legal Max'!AU238*'Weighting Factors'!$R$11)+('2024 Legal Max'!AV238*'Weighting Factors'!$R$12)+('2024 Legal Max'!AW238*'Weighting Factors'!$R$12)</f>
        <v>125720</v>
      </c>
      <c r="AY238" s="54">
        <f>IF(ISNA(VLOOKUP($CW238,'Audit Values'!$A$2:$BX$429,2,FALSE)),"",IF(AND('Weighting Factors'!G238&gt;0,VLOOKUP($CW238,'Audit Values'!$A$2:$BX$429,51,FALSE)&lt;'Weighting Factors'!G238),'Weighting Factors'!G238,VLOOKUP($CW238,'Audit Values'!$A$2:$BX$429,51,FALSE)))</f>
        <v>17</v>
      </c>
      <c r="AZ238" s="54" t="str">
        <f>IF(ISNA(VLOOKUP($CW238,'Audit Values'!$A:$BY,2,FALSE)),"",VLOOKUP($CW238,'Audit Values'!$A:$BY,52,FALSE))</f>
        <v>A</v>
      </c>
      <c r="BA238" s="54" t="str">
        <f>IF('Weighting Factors'!F238="","",IF('Weighting Factors'!H238="Pending","PX","R"))</f>
        <v/>
      </c>
      <c r="BB238" s="60">
        <f>SUM((U238+V238+AA238+AC238+AF238+AI238+AL238+AM238+AQ238+AN238)*'Weighting Factors'!$O$5)+'2024 Legal Max'!AX238</f>
        <v>24331371</v>
      </c>
      <c r="BC238" s="24">
        <f>SUM((AR238+AN238)*'Weighting Factors'!$O$5)+AX238</f>
        <v>28257272</v>
      </c>
      <c r="BD238" s="67">
        <f>IF('Weighting Factors'!F238&gt;0,'Weighting Factors'!F238,'Preliminary SO66'!AV237)</f>
        <v>29958259</v>
      </c>
      <c r="BE238" s="24">
        <f t="shared" si="174"/>
        <v>28257272</v>
      </c>
      <c r="BF238" s="71">
        <f>'Weighting Factors'!E238</f>
        <v>0</v>
      </c>
      <c r="BG238" s="71">
        <f>Transportation!G238</f>
        <v>0</v>
      </c>
      <c r="BH238" s="24">
        <f>IF(ISNA(VLOOKUP($CW238,'Audit Values'!$A:$BW,2,FALSE)), 0, VLOOKUP($CW238,'Audit Values'!$A:$BW,75,FALSE))</f>
        <v>0</v>
      </c>
      <c r="BI238" s="24">
        <f t="shared" si="175"/>
        <v>0</v>
      </c>
      <c r="BJ238" s="24">
        <f t="shared" si="176"/>
        <v>28257272</v>
      </c>
      <c r="BK238" s="24">
        <f>SUM((U238+V238+AA238+AC238+AF238+AI238+AL238+AM238+AN238)*'Weighting Factors'!O$12)+(MAX(AO238,'Weighting Factors'!B238))</f>
        <v>28464440</v>
      </c>
      <c r="BL238" s="78">
        <f>'LOB%'!F236</f>
        <v>0.316</v>
      </c>
      <c r="BM238" s="24">
        <f t="shared" si="147"/>
        <v>8994763</v>
      </c>
      <c r="BN238" s="67">
        <v>9511472</v>
      </c>
      <c r="BO238" s="24">
        <f t="shared" si="177"/>
        <v>8994763</v>
      </c>
      <c r="BP238" s="89">
        <f t="shared" si="148"/>
        <v>0.316</v>
      </c>
      <c r="BQ238" s="58">
        <f t="shared" si="149"/>
        <v>0</v>
      </c>
      <c r="BR238" s="1" t="b">
        <f t="shared" si="150"/>
        <v>0</v>
      </c>
      <c r="BS238" s="76">
        <f t="shared" si="151"/>
        <v>0</v>
      </c>
      <c r="BT238" s="75">
        <f t="shared" si="178"/>
        <v>0</v>
      </c>
      <c r="BU238" s="58">
        <f t="shared" si="152"/>
        <v>0</v>
      </c>
      <c r="BV238" s="1" t="b">
        <f t="shared" si="153"/>
        <v>0</v>
      </c>
      <c r="BW238" s="1">
        <f t="shared" si="154"/>
        <v>0</v>
      </c>
      <c r="BX238" s="75">
        <f t="shared" si="179"/>
        <v>0</v>
      </c>
      <c r="BY238" s="58">
        <f t="shared" si="155"/>
        <v>0</v>
      </c>
      <c r="BZ238" s="58">
        <f t="shared" si="156"/>
        <v>122.4</v>
      </c>
      <c r="CA238" s="61">
        <v>17</v>
      </c>
      <c r="CB238" s="102">
        <f t="shared" si="157"/>
        <v>42.823999999999998</v>
      </c>
      <c r="CC238" s="105">
        <f>IF(CB238&lt;0.06,1,IF(CB238&gt;=18.29,52,MATCH(CB238-0.001,'Weighting Factors'!$W$5:$W$156)+1))</f>
        <v>52</v>
      </c>
      <c r="CD238" s="24">
        <f>VLOOKUP(CC238, 'Weighting Factors'!$U$5:$X$56,4)</f>
        <v>550</v>
      </c>
      <c r="CE238" s="109">
        <f>('Weighting Factors'!$O$5/'Weighting Factors'!$O$14)</f>
        <v>1.2216</v>
      </c>
      <c r="CF238" s="100">
        <f t="shared" si="158"/>
        <v>400400</v>
      </c>
      <c r="CG238" s="100">
        <f>CF238*'Weighting Factors'!$Q$7</f>
        <v>400400</v>
      </c>
      <c r="CH238" s="100">
        <f t="shared" si="180"/>
        <v>489129</v>
      </c>
      <c r="CI238" s="58">
        <f>AK238/'Weighting Factors'!$O$5</f>
        <v>96.1</v>
      </c>
      <c r="CJ238" s="67">
        <v>0</v>
      </c>
      <c r="CK238" s="80">
        <v>0</v>
      </c>
      <c r="CL238" s="110">
        <v>0</v>
      </c>
      <c r="CM238" s="24">
        <f>SUM((AR238*'Weighting Factors'!$O$5)+'2024 Legal Max'!AX238)*CL238</f>
        <v>0</v>
      </c>
      <c r="CN238" s="24">
        <f t="shared" si="181"/>
        <v>0</v>
      </c>
      <c r="CO238" s="65">
        <f t="shared" si="146"/>
        <v>0.49530000000000002</v>
      </c>
      <c r="CP238" s="58">
        <f t="shared" si="159"/>
        <v>0</v>
      </c>
      <c r="CQ238" s="58">
        <f t="shared" si="160"/>
        <v>172.8</v>
      </c>
      <c r="CR238" s="58">
        <f t="shared" si="161"/>
        <v>5529</v>
      </c>
      <c r="CS238" s="24">
        <f>'Required Transfers'!L238</f>
        <v>1343818</v>
      </c>
      <c r="CT238" s="24">
        <f>'Required Transfers'!O238</f>
        <v>9894</v>
      </c>
      <c r="CU238" s="24">
        <f>'Required Transfers'!H238</f>
        <v>5063069</v>
      </c>
      <c r="CV238" s="58">
        <f t="shared" si="162"/>
        <v>3386.1</v>
      </c>
      <c r="CW238" s="27" t="s">
        <v>423</v>
      </c>
    </row>
    <row r="239" spans="1:101" ht="15" customHeight="1">
      <c r="A239" s="54">
        <v>454</v>
      </c>
      <c r="B239" s="1" t="s">
        <v>96</v>
      </c>
      <c r="C239" s="1" t="s">
        <v>743</v>
      </c>
      <c r="D239" s="58">
        <v>264.5</v>
      </c>
      <c r="E239" s="58"/>
      <c r="F239" s="58">
        <v>0</v>
      </c>
      <c r="G239" s="58">
        <f t="shared" si="163"/>
        <v>264.5</v>
      </c>
      <c r="H239" s="58">
        <v>263.5</v>
      </c>
      <c r="I239" s="58"/>
      <c r="J239" s="58">
        <v>0</v>
      </c>
      <c r="K239" s="58">
        <f t="shared" si="164"/>
        <v>263.5</v>
      </c>
      <c r="L239" s="1">
        <v>284.3</v>
      </c>
      <c r="N239" s="1">
        <v>0</v>
      </c>
      <c r="O239" s="58">
        <f t="shared" si="165"/>
        <v>284.3</v>
      </c>
      <c r="P239" s="58">
        <f>IF(ISNA(VLOOKUP($CW239,'Audit Values'!$A:$BZ,2,FALSE)),'Preliminary SO66'!C238,VLOOKUP($CW239,'Audit Values'!$A:$BZ,76,FALSE))</f>
        <v>267</v>
      </c>
      <c r="Q239" s="58">
        <f>IF(ISNA(VLOOKUP($CW239,'Audit Values'!$A:$BZ,2,FALSE)),'Preliminary SO66'!F238,VLOOKUP($CW239,'Audit Values'!$A:$BZ,4,FALSE))</f>
        <v>0</v>
      </c>
      <c r="R239" s="58">
        <f t="shared" si="169"/>
        <v>267</v>
      </c>
      <c r="S239" s="58">
        <f>IF('Military Provision'!I239="YES", MAX('2024 Legal Max'!O239,'2024 Legal Max'!K239,AVERAGE('2024 Legal Max'!G239,'2024 Legal Max'!K239,'2024 Legal Max'!O239)), MAX(O239, K239))</f>
        <v>284.3</v>
      </c>
      <c r="T239" s="58">
        <f>IF(ISNA(VLOOKUP($CW239,'Audit Values'!$A:$BX,2,FALSE)),'Preliminary SO66'!AL238,VLOOKUP($CW239,'Audit Values'!$A:$BX,59,FALSE))</f>
        <v>2.5</v>
      </c>
      <c r="U239" s="58">
        <f t="shared" si="170"/>
        <v>286.8</v>
      </c>
      <c r="V239" s="58">
        <f>'Low-High ENRL- 2023 HSubSB 113'!N242</f>
        <v>148.9</v>
      </c>
      <c r="W239" s="58">
        <f>IF(ISNA(VLOOKUP($CW239,'Audit Values'!$A:$BZ,2,FALSE)),'Preliminary SO66'!AM238,VLOOKUP($CW239,'Audit Values'!$A:$BZ,63,FALSE))</f>
        <v>0.5</v>
      </c>
      <c r="X239" s="58">
        <f>(W239/6)*'Weighting Factors'!$O$7</f>
        <v>0</v>
      </c>
      <c r="Y239" s="61">
        <f>IF(ISNA(VLOOKUP($CW239,'Audit Values'!$A:$BZ,2,FALSE)),'Preliminary SO66'!AN238,VLOOKUP($CW239,'Audit Values'!$A:$BZ,62,FALSE))</f>
        <v>1</v>
      </c>
      <c r="Z239" s="58">
        <f>Y239*'Weighting Factors'!$O$8</f>
        <v>0.2</v>
      </c>
      <c r="AA239" s="58">
        <f t="shared" si="171"/>
        <v>0.2</v>
      </c>
      <c r="AB239" s="106">
        <f>IF(ISNA(VLOOKUP($CW239,'Audit Values'!$A:$BZ,2,FALSE)),'Preliminary SO66'!AO238,VLOOKUP($CW239,'Audit Values'!$A:$BZ,61,FALSE))</f>
        <v>11</v>
      </c>
      <c r="AC239" s="58">
        <f>AB239/6*'Weighting Factors'!$O$6</f>
        <v>0.9</v>
      </c>
      <c r="AD239" s="24">
        <f>IF(ISNA(VLOOKUP($CW239,'Audit Values'!$A:$BX,2,FALSE)),'Preliminary SO66'!AS238,VLOOKUP($CW239,'Audit Values'!$A:$BX,64,FALSE))</f>
        <v>278</v>
      </c>
      <c r="AE239" s="24">
        <f>IF(ISNA(VLOOKUP($CW239,'Audit Values'!$A:$BX,2,FALSE)),'Preliminary SO66'!AP238,VLOOKUP($CW239,'Audit Values'!$A:$BX,65,FALSE))</f>
        <v>122</v>
      </c>
      <c r="AF239" s="58">
        <f>IF(A239=207, AE239,(AE239))*'Weighting Factors'!$O$9</f>
        <v>59</v>
      </c>
      <c r="AG239" s="58">
        <f t="shared" si="168"/>
        <v>7.6</v>
      </c>
      <c r="AH239" s="58">
        <f>IF(ISNA(VLOOKUP($CW239,'Audit Values'!$A:$BZ,2,FALSE)),'Preliminary SO66'!AG238,VLOOKUP($CW239,'Audit Values'!$A:$BZ,71,FALSE))</f>
        <v>8</v>
      </c>
      <c r="AI239" s="58">
        <f t="shared" si="172"/>
        <v>8</v>
      </c>
      <c r="AJ239" s="58">
        <f>IF(ISNA(VLOOKUP($CW239,'Audit Values'!$A:$BX,2,FALSE)),'Preliminary SO66'!AR238,VLOOKUP($CW239,'Audit Values'!$A:$BX,66,FALSE))</f>
        <v>44</v>
      </c>
      <c r="AK239" s="24">
        <f t="shared" si="173"/>
        <v>56438</v>
      </c>
      <c r="AL239" s="58">
        <f>AK239/'Weighting Factors'!$O$5</f>
        <v>11.1</v>
      </c>
      <c r="AM239" s="58">
        <f>CJ239/'Weighting Factors'!$O$5</f>
        <v>0</v>
      </c>
      <c r="AN239" s="58">
        <f>CN239/'Weighting Factors'!$O$5</f>
        <v>0</v>
      </c>
      <c r="AO239" s="24">
        <v>323620</v>
      </c>
      <c r="AP239" s="58">
        <f>AO239/'Weighting Factors'!$O$5</f>
        <v>63.6</v>
      </c>
      <c r="AQ239" s="58">
        <f>IF(ISNA(VLOOKUP($CW239,'Audit Values'!$A:$BX,2,FALSE)),'Preliminary SO66'!X238,VLOOKUP($CW239,'Audit Values'!$A:$BX,48,FALSE))</f>
        <v>0</v>
      </c>
      <c r="AR239" s="58">
        <f t="shared" si="166"/>
        <v>578.5</v>
      </c>
      <c r="AS239" s="58">
        <f t="shared" si="167"/>
        <v>514.9</v>
      </c>
      <c r="AT239" s="58">
        <f>IF(ISNA(VLOOKUP($CW239,'Audit Values'!$A$2:$BX$410,2,FALSE)),'Preliminary SO66'!AA238,VLOOKUP($CW239,'Audit Values'!$A$2:$BX$410,41,FALSE))</f>
        <v>0</v>
      </c>
      <c r="AU239" s="58">
        <f>IF(ISNA(VLOOKUP($CW239,'Audit Values'!$A$2:$BX$410,2,FALSE)),'Preliminary SO66'!AB238,VLOOKUP($CW239,'Audit Values'!$A$2:$BX$410,42,FALSE))</f>
        <v>0</v>
      </c>
      <c r="AV239" s="73">
        <v>0</v>
      </c>
      <c r="AW239" s="73">
        <v>0</v>
      </c>
      <c r="AX239" s="24">
        <f>SUM(AT239*'Weighting Factors'!$R$10)+('2024 Legal Max'!AU239*'Weighting Factors'!$R$11)+('2024 Legal Max'!AV239*'Weighting Factors'!$R$12)+('2024 Legal Max'!AW239*'Weighting Factors'!$R$12)</f>
        <v>0</v>
      </c>
      <c r="AY239" s="54">
        <f>IF(ISNA(VLOOKUP($CW239,'Audit Values'!$A$2:$BX$429,2,FALSE)),"",IF(AND('Weighting Factors'!G239&gt;0,VLOOKUP($CW239,'Audit Values'!$A$2:$BX$429,51,FALSE)&lt;'Weighting Factors'!G239),'Weighting Factors'!G239,VLOOKUP($CW239,'Audit Values'!$A$2:$BX$429,51,FALSE)))</f>
        <v>9</v>
      </c>
      <c r="AZ239" s="54" t="str">
        <f>IF(ISNA(VLOOKUP($CW239,'Audit Values'!$A:$BY,2,FALSE)),"",VLOOKUP($CW239,'Audit Values'!$A:$BY,52,FALSE))</f>
        <v>A</v>
      </c>
      <c r="BA239" s="54" t="str">
        <f>IF('Weighting Factors'!F239="","",IF('Weighting Factors'!H239="Pending","PX","R"))</f>
        <v/>
      </c>
      <c r="BB239" s="60">
        <f>SUM((U239+V239+AA239+AC239+AF239+AI239+AL239+AM239+AQ239+AN239)*'Weighting Factors'!$O$5)+'2024 Legal Max'!AX239</f>
        <v>2619811</v>
      </c>
      <c r="BC239" s="24">
        <f>SUM((AR239+AN239)*'Weighting Factors'!$O$5)+AX239</f>
        <v>2943408</v>
      </c>
      <c r="BD239" s="67">
        <f>IF('Weighting Factors'!F239&gt;0,'Weighting Factors'!F239,'Preliminary SO66'!AV238)</f>
        <v>3097581</v>
      </c>
      <c r="BE239" s="24">
        <f t="shared" si="174"/>
        <v>2943408</v>
      </c>
      <c r="BF239" s="71">
        <f>'Weighting Factors'!E239</f>
        <v>0</v>
      </c>
      <c r="BG239" s="71">
        <f>Transportation!G239</f>
        <v>0</v>
      </c>
      <c r="BH239" s="24">
        <f>IF(ISNA(VLOOKUP($CW239,'Audit Values'!$A:$BW,2,FALSE)), 0, VLOOKUP($CW239,'Audit Values'!$A:$BW,75,FALSE))</f>
        <v>0</v>
      </c>
      <c r="BI239" s="24">
        <f t="shared" si="175"/>
        <v>0</v>
      </c>
      <c r="BJ239" s="24">
        <f t="shared" si="176"/>
        <v>2943408</v>
      </c>
      <c r="BK239" s="24">
        <f>SUM((U239+V239+AA239+AC239+AF239+AI239+AL239+AM239+AN239)*'Weighting Factors'!O$12)+(MAX(AO239,'Weighting Factors'!B239))</f>
        <v>3042389</v>
      </c>
      <c r="BL239" s="78">
        <f>'LOB%'!F237</f>
        <v>0.316</v>
      </c>
      <c r="BM239" s="24">
        <f t="shared" si="147"/>
        <v>961395</v>
      </c>
      <c r="BN239" s="67">
        <v>986912</v>
      </c>
      <c r="BO239" s="24">
        <f t="shared" si="177"/>
        <v>961395</v>
      </c>
      <c r="BP239" s="89">
        <f t="shared" si="148"/>
        <v>0.316</v>
      </c>
      <c r="BQ239" s="58">
        <f t="shared" si="149"/>
        <v>0</v>
      </c>
      <c r="BR239" s="1" t="b">
        <f t="shared" si="150"/>
        <v>1</v>
      </c>
      <c r="BS239" s="76">
        <f t="shared" si="151"/>
        <v>1803.5540000000001</v>
      </c>
      <c r="BT239" s="75">
        <f t="shared" si="178"/>
        <v>0.51917599999999997</v>
      </c>
      <c r="BU239" s="58">
        <f t="shared" si="152"/>
        <v>148.9</v>
      </c>
      <c r="BV239" s="1" t="b">
        <f t="shared" si="153"/>
        <v>0</v>
      </c>
      <c r="BW239" s="1">
        <f t="shared" si="154"/>
        <v>0</v>
      </c>
      <c r="BX239" s="75">
        <f t="shared" si="179"/>
        <v>0</v>
      </c>
      <c r="BY239" s="58">
        <f t="shared" si="155"/>
        <v>0</v>
      </c>
      <c r="BZ239" s="58">
        <f t="shared" si="156"/>
        <v>0</v>
      </c>
      <c r="CA239" s="61">
        <v>74</v>
      </c>
      <c r="CB239" s="102">
        <f t="shared" si="157"/>
        <v>0.59499999999999997</v>
      </c>
      <c r="CC239" s="105">
        <f>IF(CB239&lt;0.06,1,IF(CB239&gt;=18.29,52,MATCH(CB239-0.001,'Weighting Factors'!$W$5:$W$156)+1))</f>
        <v>27</v>
      </c>
      <c r="CD239" s="24">
        <f>VLOOKUP(CC239, 'Weighting Factors'!$U$5:$X$56,4)</f>
        <v>1050</v>
      </c>
      <c r="CE239" s="109">
        <f>('Weighting Factors'!$O$5/'Weighting Factors'!$O$14)</f>
        <v>1.2216</v>
      </c>
      <c r="CF239" s="100">
        <f t="shared" si="158"/>
        <v>46200</v>
      </c>
      <c r="CG239" s="100">
        <f>CF239*'Weighting Factors'!$Q$7</f>
        <v>46200</v>
      </c>
      <c r="CH239" s="100">
        <f t="shared" si="180"/>
        <v>56438</v>
      </c>
      <c r="CI239" s="58">
        <f>AK239/'Weighting Factors'!$O$5</f>
        <v>11.1</v>
      </c>
      <c r="CJ239" s="67">
        <v>0</v>
      </c>
      <c r="CK239" s="80">
        <v>0</v>
      </c>
      <c r="CL239" s="110">
        <v>0</v>
      </c>
      <c r="CM239" s="24">
        <f>SUM((AR239*'Weighting Factors'!$O$5)+'2024 Legal Max'!AX239)*CL239</f>
        <v>0</v>
      </c>
      <c r="CN239" s="24">
        <f t="shared" si="181"/>
        <v>0</v>
      </c>
      <c r="CO239" s="65">
        <f t="shared" si="146"/>
        <v>0.43880000000000002</v>
      </c>
      <c r="CP239" s="58">
        <f t="shared" si="159"/>
        <v>0</v>
      </c>
      <c r="CQ239" s="58">
        <f t="shared" si="160"/>
        <v>7.6</v>
      </c>
      <c r="CR239" s="58">
        <f t="shared" si="161"/>
        <v>578.5</v>
      </c>
      <c r="CS239" s="24">
        <f>'Required Transfers'!L239</f>
        <v>98447</v>
      </c>
      <c r="CT239" s="24">
        <f>'Required Transfers'!O239</f>
        <v>288</v>
      </c>
      <c r="CU239" s="24">
        <f>'Required Transfers'!H239</f>
        <v>340896</v>
      </c>
      <c r="CV239" s="58">
        <f t="shared" si="162"/>
        <v>269.5</v>
      </c>
      <c r="CW239" s="27" t="s">
        <v>424</v>
      </c>
    </row>
    <row r="240" spans="1:101" ht="15" customHeight="1">
      <c r="A240" s="54">
        <v>456</v>
      </c>
      <c r="B240" s="1" t="s">
        <v>96</v>
      </c>
      <c r="C240" s="1" t="s">
        <v>744</v>
      </c>
      <c r="D240" s="58">
        <v>207</v>
      </c>
      <c r="E240" s="58"/>
      <c r="F240" s="58">
        <v>0</v>
      </c>
      <c r="G240" s="58">
        <f t="shared" si="163"/>
        <v>207</v>
      </c>
      <c r="H240" s="58">
        <v>204</v>
      </c>
      <c r="I240" s="58"/>
      <c r="J240" s="58">
        <v>0</v>
      </c>
      <c r="K240" s="58">
        <f t="shared" si="164"/>
        <v>204</v>
      </c>
      <c r="L240" s="1">
        <v>191.5</v>
      </c>
      <c r="N240" s="1">
        <v>0</v>
      </c>
      <c r="O240" s="58">
        <f t="shared" si="165"/>
        <v>191.5</v>
      </c>
      <c r="P240" s="58">
        <f>IF(ISNA(VLOOKUP($CW240,'Audit Values'!$A:$BZ,2,FALSE)),'Preliminary SO66'!C239,VLOOKUP($CW240,'Audit Values'!$A:$BZ,76,FALSE))</f>
        <v>183</v>
      </c>
      <c r="Q240" s="58">
        <f>IF(ISNA(VLOOKUP($CW240,'Audit Values'!$A:$BZ,2,FALSE)),'Preliminary SO66'!F239,VLOOKUP($CW240,'Audit Values'!$A:$BZ,4,FALSE))</f>
        <v>0</v>
      </c>
      <c r="R240" s="58">
        <f t="shared" si="169"/>
        <v>183</v>
      </c>
      <c r="S240" s="58">
        <f>IF('Military Provision'!I240="YES", MAX('2024 Legal Max'!O240,'2024 Legal Max'!K240,AVERAGE('2024 Legal Max'!G240,'2024 Legal Max'!K240,'2024 Legal Max'!O240)), MAX(O240, K240))</f>
        <v>204</v>
      </c>
      <c r="T240" s="58">
        <f>IF(ISNA(VLOOKUP($CW240,'Audit Values'!$A:$BX,2,FALSE)),'Preliminary SO66'!AL239,VLOOKUP($CW240,'Audit Values'!$A:$BX,59,FALSE))</f>
        <v>4</v>
      </c>
      <c r="U240" s="58">
        <f t="shared" si="170"/>
        <v>208</v>
      </c>
      <c r="V240" s="58">
        <f>'Low-High ENRL- 2023 HSubSB 113'!N243</f>
        <v>151.4</v>
      </c>
      <c r="W240" s="58">
        <f>IF(ISNA(VLOOKUP($CW240,'Audit Values'!$A:$BZ,2,FALSE)),'Preliminary SO66'!AM239,VLOOKUP($CW240,'Audit Values'!$A:$BZ,63,FALSE))</f>
        <v>0</v>
      </c>
      <c r="X240" s="58">
        <f>(W240/6)*'Weighting Factors'!$O$7</f>
        <v>0</v>
      </c>
      <c r="Y240" s="61">
        <f>IF(ISNA(VLOOKUP($CW240,'Audit Values'!$A:$BZ,2,FALSE)),'Preliminary SO66'!AN239,VLOOKUP($CW240,'Audit Values'!$A:$BZ,62,FALSE))</f>
        <v>0</v>
      </c>
      <c r="Z240" s="58">
        <f>Y240*'Weighting Factors'!$O$8</f>
        <v>0</v>
      </c>
      <c r="AA240" s="58">
        <f t="shared" si="171"/>
        <v>0</v>
      </c>
      <c r="AB240" s="106">
        <f>IF(ISNA(VLOOKUP($CW240,'Audit Values'!$A:$BZ,2,FALSE)),'Preliminary SO66'!AO239,VLOOKUP($CW240,'Audit Values'!$A:$BZ,61,FALSE))</f>
        <v>48.5</v>
      </c>
      <c r="AC240" s="58">
        <f>AB240/6*'Weighting Factors'!$O$6</f>
        <v>4</v>
      </c>
      <c r="AD240" s="24">
        <f>IF(ISNA(VLOOKUP($CW240,'Audit Values'!$A:$BX,2,FALSE)),'Preliminary SO66'!AS239,VLOOKUP($CW240,'Audit Values'!$A:$BX,64,FALSE))</f>
        <v>196</v>
      </c>
      <c r="AE240" s="24">
        <f>IF(ISNA(VLOOKUP($CW240,'Audit Values'!$A:$BX,2,FALSE)),'Preliminary SO66'!AP239,VLOOKUP($CW240,'Audit Values'!$A:$BX,65,FALSE))</f>
        <v>115</v>
      </c>
      <c r="AF240" s="58">
        <f>IF(A240=207, AE240,(AE240))*'Weighting Factors'!$O$9</f>
        <v>55.7</v>
      </c>
      <c r="AG240" s="58">
        <f t="shared" si="168"/>
        <v>12.1</v>
      </c>
      <c r="AH240" s="58">
        <f>IF(ISNA(VLOOKUP($CW240,'Audit Values'!$A:$BZ,2,FALSE)),'Preliminary SO66'!AG239,VLOOKUP($CW240,'Audit Values'!$A:$BZ,71,FALSE))</f>
        <v>11.1</v>
      </c>
      <c r="AI240" s="58">
        <f t="shared" si="172"/>
        <v>12.1</v>
      </c>
      <c r="AJ240" s="58">
        <f>IF(ISNA(VLOOKUP($CW240,'Audit Values'!$A:$BX,2,FALSE)),'Preliminary SO66'!AR239,VLOOKUP($CW240,'Audit Values'!$A:$BX,66,FALSE))</f>
        <v>96.5</v>
      </c>
      <c r="AK240" s="24">
        <f t="shared" si="173"/>
        <v>119063</v>
      </c>
      <c r="AL240" s="58">
        <f>AK240/'Weighting Factors'!$O$5</f>
        <v>23.4</v>
      </c>
      <c r="AM240" s="58">
        <f>CJ240/'Weighting Factors'!$O$5</f>
        <v>0</v>
      </c>
      <c r="AN240" s="58">
        <f>CN240/'Weighting Factors'!$O$5</f>
        <v>0</v>
      </c>
      <c r="AO240" s="24">
        <v>272282</v>
      </c>
      <c r="AP240" s="58">
        <f>AO240/'Weighting Factors'!$O$5</f>
        <v>53.5</v>
      </c>
      <c r="AQ240" s="58">
        <f>IF(ISNA(VLOOKUP($CW240,'Audit Values'!$A:$BX,2,FALSE)),'Preliminary SO66'!X239,VLOOKUP($CW240,'Audit Values'!$A:$BX,48,FALSE))</f>
        <v>0</v>
      </c>
      <c r="AR240" s="58">
        <f t="shared" si="166"/>
        <v>508.1</v>
      </c>
      <c r="AS240" s="58">
        <f t="shared" si="167"/>
        <v>454.6</v>
      </c>
      <c r="AT240" s="58">
        <f>IF(ISNA(VLOOKUP($CW240,'Audit Values'!$A$2:$BX$410,2,FALSE)),'Preliminary SO66'!AA239,VLOOKUP($CW240,'Audit Values'!$A$2:$BX$410,41,FALSE))</f>
        <v>2</v>
      </c>
      <c r="AU240" s="58">
        <f>IF(ISNA(VLOOKUP($CW240,'Audit Values'!$A$2:$BX$410,2,FALSE)),'Preliminary SO66'!AB239,VLOOKUP($CW240,'Audit Values'!$A$2:$BX$410,42,FALSE))</f>
        <v>0</v>
      </c>
      <c r="AV240" s="73">
        <v>0</v>
      </c>
      <c r="AW240" s="73">
        <v>0</v>
      </c>
      <c r="AX240" s="24">
        <f>SUM(AT240*'Weighting Factors'!$R$10)+('2024 Legal Max'!AU240*'Weighting Factors'!$R$11)+('2024 Legal Max'!AV240*'Weighting Factors'!$R$12)+('2024 Legal Max'!AW240*'Weighting Factors'!$R$12)</f>
        <v>11200</v>
      </c>
      <c r="AY240" s="54">
        <f>IF(ISNA(VLOOKUP($CW240,'Audit Values'!$A$2:$BX$429,2,FALSE)),"",IF(AND('Weighting Factors'!G240&gt;0,VLOOKUP($CW240,'Audit Values'!$A$2:$BX$429,51,FALSE)&lt;'Weighting Factors'!G240),'Weighting Factors'!G240,VLOOKUP($CW240,'Audit Values'!$A$2:$BX$429,51,FALSE)))</f>
        <v>3</v>
      </c>
      <c r="AZ240" s="54" t="str">
        <f>IF(ISNA(VLOOKUP($CW240,'Audit Values'!$A:$BY,2,FALSE)),"",VLOOKUP($CW240,'Audit Values'!$A:$BY,52,FALSE))</f>
        <v>A</v>
      </c>
      <c r="BA240" s="54" t="str">
        <f>IF('Weighting Factors'!F240="","",IF('Weighting Factors'!H240="Pending","PX","R"))</f>
        <v/>
      </c>
      <c r="BB240" s="60">
        <f>SUM((U240+V240+AA240+AC240+AF240+AI240+AL240+AM240+AQ240+AN240)*'Weighting Factors'!$O$5)+'2024 Legal Max'!AX240</f>
        <v>2324205</v>
      </c>
      <c r="BC240" s="24">
        <f>SUM((AR240+AN240)*'Weighting Factors'!$O$5)+AX240</f>
        <v>2596413</v>
      </c>
      <c r="BD240" s="67">
        <f>IF('Weighting Factors'!F240&gt;0,'Weighting Factors'!F240,'Preliminary SO66'!AV239)</f>
        <v>2607600</v>
      </c>
      <c r="BE240" s="24">
        <f t="shared" si="174"/>
        <v>2596413</v>
      </c>
      <c r="BF240" s="71">
        <f>'Weighting Factors'!E240</f>
        <v>0</v>
      </c>
      <c r="BG240" s="71">
        <f>Transportation!G240</f>
        <v>0</v>
      </c>
      <c r="BH240" s="24">
        <f>IF(ISNA(VLOOKUP($CW240,'Audit Values'!$A:$BW,2,FALSE)), 0, VLOOKUP($CW240,'Audit Values'!$A:$BW,75,FALSE))</f>
        <v>0</v>
      </c>
      <c r="BI240" s="24">
        <f t="shared" si="175"/>
        <v>0</v>
      </c>
      <c r="BJ240" s="24">
        <f t="shared" si="176"/>
        <v>2596413</v>
      </c>
      <c r="BK240" s="24">
        <f>SUM((U240+V240+AA240+AC240+AF240+AI240+AL240+AM240+AN240)*'Weighting Factors'!O$12)+(MAX(AO240,'Weighting Factors'!B240))</f>
        <v>2686275</v>
      </c>
      <c r="BL240" s="78">
        <f>'LOB%'!F238</f>
        <v>0.33</v>
      </c>
      <c r="BM240" s="24">
        <f t="shared" si="147"/>
        <v>886471</v>
      </c>
      <c r="BN240" s="67">
        <v>882556</v>
      </c>
      <c r="BO240" s="24">
        <f t="shared" si="177"/>
        <v>882556</v>
      </c>
      <c r="BP240" s="89">
        <f t="shared" si="148"/>
        <v>0.32850000000000001</v>
      </c>
      <c r="BQ240" s="58">
        <f t="shared" si="149"/>
        <v>0</v>
      </c>
      <c r="BR240" s="1" t="b">
        <f t="shared" si="150"/>
        <v>1</v>
      </c>
      <c r="BS240" s="76">
        <f t="shared" si="151"/>
        <v>1042.74</v>
      </c>
      <c r="BT240" s="75">
        <f t="shared" si="178"/>
        <v>0.72805299999999995</v>
      </c>
      <c r="BU240" s="58">
        <f t="shared" si="152"/>
        <v>151.4</v>
      </c>
      <c r="BV240" s="1" t="b">
        <f t="shared" si="153"/>
        <v>0</v>
      </c>
      <c r="BW240" s="1">
        <f t="shared" si="154"/>
        <v>0</v>
      </c>
      <c r="BX240" s="75">
        <f t="shared" si="179"/>
        <v>0</v>
      </c>
      <c r="BY240" s="58">
        <f t="shared" si="155"/>
        <v>0</v>
      </c>
      <c r="BZ240" s="58">
        <f t="shared" si="156"/>
        <v>0</v>
      </c>
      <c r="CA240" s="61">
        <v>133</v>
      </c>
      <c r="CB240" s="102">
        <f t="shared" si="157"/>
        <v>0.72599999999999998</v>
      </c>
      <c r="CC240" s="105">
        <f>IF(CB240&lt;0.06,1,IF(CB240&gt;=18.29,52,MATCH(CB240-0.001,'Weighting Factors'!$W$5:$W$156)+1))</f>
        <v>29</v>
      </c>
      <c r="CD240" s="24">
        <f>VLOOKUP(CC240, 'Weighting Factors'!$U$5:$X$56,4)</f>
        <v>1010</v>
      </c>
      <c r="CE240" s="109">
        <f>('Weighting Factors'!$O$5/'Weighting Factors'!$O$14)</f>
        <v>1.2216</v>
      </c>
      <c r="CF240" s="100">
        <f t="shared" si="158"/>
        <v>97465</v>
      </c>
      <c r="CG240" s="100">
        <f>CF240*'Weighting Factors'!$Q$7</f>
        <v>97465</v>
      </c>
      <c r="CH240" s="100">
        <f t="shared" si="180"/>
        <v>119063</v>
      </c>
      <c r="CI240" s="58">
        <f>AK240/'Weighting Factors'!$O$5</f>
        <v>23.4</v>
      </c>
      <c r="CJ240" s="67">
        <v>0</v>
      </c>
      <c r="CK240" s="80">
        <v>0</v>
      </c>
      <c r="CL240" s="110">
        <v>0</v>
      </c>
      <c r="CM240" s="24">
        <f>SUM((AR240*'Weighting Factors'!$O$5)+'2024 Legal Max'!AX240)*CL240</f>
        <v>0</v>
      </c>
      <c r="CN240" s="24">
        <f t="shared" si="181"/>
        <v>0</v>
      </c>
      <c r="CO240" s="65">
        <f t="shared" si="146"/>
        <v>0.5867</v>
      </c>
      <c r="CP240" s="58">
        <f t="shared" si="159"/>
        <v>12.1</v>
      </c>
      <c r="CQ240" s="58">
        <f t="shared" si="160"/>
        <v>0</v>
      </c>
      <c r="CR240" s="58">
        <f t="shared" si="161"/>
        <v>508.1</v>
      </c>
      <c r="CS240" s="24">
        <f>'Required Transfers'!L240</f>
        <v>97522</v>
      </c>
      <c r="CT240" s="24">
        <f>'Required Transfers'!O240</f>
        <v>0</v>
      </c>
      <c r="CU240" s="24">
        <f>'Required Transfers'!H240</f>
        <v>344966</v>
      </c>
      <c r="CV240" s="58">
        <f t="shared" si="162"/>
        <v>189</v>
      </c>
      <c r="CW240" s="27" t="s">
        <v>425</v>
      </c>
    </row>
    <row r="241" spans="1:101" ht="15" customHeight="1">
      <c r="A241" s="54">
        <v>457</v>
      </c>
      <c r="B241" s="1" t="s">
        <v>69</v>
      </c>
      <c r="C241" s="1" t="s">
        <v>745</v>
      </c>
      <c r="D241" s="58">
        <v>6822.6</v>
      </c>
      <c r="E241" s="58"/>
      <c r="F241" s="58">
        <v>0</v>
      </c>
      <c r="G241" s="58">
        <f t="shared" si="163"/>
        <v>6822.6</v>
      </c>
      <c r="H241" s="58">
        <v>6744</v>
      </c>
      <c r="I241" s="58">
        <v>9</v>
      </c>
      <c r="J241" s="58">
        <v>0</v>
      </c>
      <c r="K241" s="58">
        <f t="shared" si="164"/>
        <v>6735</v>
      </c>
      <c r="L241" s="1">
        <v>6669.6</v>
      </c>
      <c r="N241" s="1">
        <v>0</v>
      </c>
      <c r="O241" s="58">
        <f t="shared" si="165"/>
        <v>6669.6</v>
      </c>
      <c r="P241" s="58">
        <f>IF(ISNA(VLOOKUP($CW241,'Audit Values'!$A:$BZ,2,FALSE)),'Preliminary SO66'!C240,VLOOKUP($CW241,'Audit Values'!$A:$BZ,76,FALSE))</f>
        <v>6632</v>
      </c>
      <c r="Q241" s="58">
        <f>IF(ISNA(VLOOKUP($CW241,'Audit Values'!$A:$BZ,2,FALSE)),'Preliminary SO66'!F240,VLOOKUP($CW241,'Audit Values'!$A:$BZ,4,FALSE))</f>
        <v>0</v>
      </c>
      <c r="R241" s="58">
        <f t="shared" si="169"/>
        <v>6632</v>
      </c>
      <c r="S241" s="58">
        <f>IF('Military Provision'!I241="YES", MAX('2024 Legal Max'!O241,'2024 Legal Max'!K241,AVERAGE('2024 Legal Max'!G241,'2024 Legal Max'!K241,'2024 Legal Max'!O241)), MAX(O241, K241))</f>
        <v>6735</v>
      </c>
      <c r="T241" s="58">
        <f>IF(ISNA(VLOOKUP($CW241,'Audit Values'!$A:$BX,2,FALSE)),'Preliminary SO66'!AL240,VLOOKUP($CW241,'Audit Values'!$A:$BX,59,FALSE))</f>
        <v>171.5</v>
      </c>
      <c r="U241" s="58">
        <f t="shared" si="170"/>
        <v>6906.5</v>
      </c>
      <c r="V241" s="58">
        <f>'Low-High ENRL- 2023 HSubSB 113'!N244</f>
        <v>242</v>
      </c>
      <c r="W241" s="58">
        <f>IF(ISNA(VLOOKUP($CW241,'Audit Values'!$A:$BZ,2,FALSE)),'Preliminary SO66'!AM240,VLOOKUP($CW241,'Audit Values'!$A:$BZ,63,FALSE))</f>
        <v>6602.7</v>
      </c>
      <c r="X241" s="58">
        <f>(W241/6)*'Weighting Factors'!$O$7</f>
        <v>434.7</v>
      </c>
      <c r="Y241" s="61">
        <f>IF(ISNA(VLOOKUP($CW241,'Audit Values'!$A:$BZ,2,FALSE)),'Preliminary SO66'!AN240,VLOOKUP($CW241,'Audit Values'!$A:$BZ,62,FALSE))</f>
        <v>2296</v>
      </c>
      <c r="Z241" s="58">
        <f>Y241*'Weighting Factors'!$O$8</f>
        <v>424.8</v>
      </c>
      <c r="AA241" s="58">
        <f t="shared" si="171"/>
        <v>434.7</v>
      </c>
      <c r="AB241" s="106">
        <f>IF(ISNA(VLOOKUP($CW241,'Audit Values'!$A:$BZ,2,FALSE)),'Preliminary SO66'!AO240,VLOOKUP($CW241,'Audit Values'!$A:$BZ,61,FALSE))</f>
        <v>1858.6</v>
      </c>
      <c r="AC241" s="58">
        <f>AB241/6*'Weighting Factors'!$O$6</f>
        <v>154.9</v>
      </c>
      <c r="AD241" s="24">
        <f>IF(ISNA(VLOOKUP($CW241,'Audit Values'!$A:$BX,2,FALSE)),'Preliminary SO66'!AS240,VLOOKUP($CW241,'Audit Values'!$A:$BX,64,FALSE))</f>
        <v>7098</v>
      </c>
      <c r="AE241" s="24">
        <f>IF(ISNA(VLOOKUP($CW241,'Audit Values'!$A:$BX,2,FALSE)),'Preliminary SO66'!AP240,VLOOKUP($CW241,'Audit Values'!$A:$BX,65,FALSE))</f>
        <v>4467</v>
      </c>
      <c r="AF241" s="58">
        <f>IF(A241=207, AE241,(AE241))*'Weighting Factors'!$O$9</f>
        <v>2162</v>
      </c>
      <c r="AG241" s="58">
        <f t="shared" si="168"/>
        <v>469</v>
      </c>
      <c r="AH241" s="58">
        <f>IF(ISNA(VLOOKUP($CW241,'Audit Values'!$A:$BZ,2,FALSE)),'Preliminary SO66'!AG240,VLOOKUP($CW241,'Audit Values'!$A:$BZ,71,FALSE))</f>
        <v>459.2</v>
      </c>
      <c r="AI241" s="58">
        <f t="shared" si="172"/>
        <v>469</v>
      </c>
      <c r="AJ241" s="58">
        <f>IF(ISNA(VLOOKUP($CW241,'Audit Values'!$A:$BX,2,FALSE)),'Preliminary SO66'!AR240,VLOOKUP($CW241,'Audit Values'!$A:$BX,66,FALSE))</f>
        <v>2127</v>
      </c>
      <c r="AK241" s="24">
        <f t="shared" si="173"/>
        <v>2156625</v>
      </c>
      <c r="AL241" s="58">
        <f>AK241/'Weighting Factors'!$O$5</f>
        <v>423.9</v>
      </c>
      <c r="AM241" s="58">
        <f>CJ241/'Weighting Factors'!$O$5</f>
        <v>0</v>
      </c>
      <c r="AN241" s="58">
        <f>CN241/'Weighting Factors'!$O$5</f>
        <v>0</v>
      </c>
      <c r="AO241" s="24">
        <v>5030377</v>
      </c>
      <c r="AP241" s="58">
        <f>AO241/'Weighting Factors'!$O$5</f>
        <v>988.7</v>
      </c>
      <c r="AQ241" s="58">
        <f>IF(ISNA(VLOOKUP($CW241,'Audit Values'!$A:$BX,2,FALSE)),'Preliminary SO66'!X240,VLOOKUP($CW241,'Audit Values'!$A:$BX,48,FALSE))</f>
        <v>0</v>
      </c>
      <c r="AR241" s="58">
        <f t="shared" si="166"/>
        <v>11781.7</v>
      </c>
      <c r="AS241" s="58">
        <f t="shared" si="167"/>
        <v>10793</v>
      </c>
      <c r="AT241" s="58">
        <f>IF(ISNA(VLOOKUP($CW241,'Audit Values'!$A$2:$BX$410,2,FALSE)),'Preliminary SO66'!AA240,VLOOKUP($CW241,'Audit Values'!$A$2:$BX$410,41,FALSE))</f>
        <v>85</v>
      </c>
      <c r="AU241" s="58">
        <f>IF(ISNA(VLOOKUP($CW241,'Audit Values'!$A$2:$BX$410,2,FALSE)),'Preliminary SO66'!AB240,VLOOKUP($CW241,'Audit Values'!$A$2:$BX$410,42,FALSE))</f>
        <v>1.7</v>
      </c>
      <c r="AV241" s="73">
        <v>41</v>
      </c>
      <c r="AW241" s="73">
        <v>1</v>
      </c>
      <c r="AX241" s="24">
        <f>SUM(AT241*'Weighting Factors'!$R$10)+('2024 Legal Max'!AU241*'Weighting Factors'!$R$11)+('2024 Legal Max'!AV241*'Weighting Factors'!$R$12)+('2024 Legal Max'!AW241*'Weighting Factors'!$R$12)</f>
        <v>510538</v>
      </c>
      <c r="AY241" s="54">
        <f>IF(ISNA(VLOOKUP($CW241,'Audit Values'!$A$2:$BX$429,2,FALSE)),"",IF(AND('Weighting Factors'!G241&gt;0,VLOOKUP($CW241,'Audit Values'!$A$2:$BX$429,51,FALSE)&lt;'Weighting Factors'!G241),'Weighting Factors'!G241,VLOOKUP($CW241,'Audit Values'!$A$2:$BX$429,51,FALSE)))</f>
        <v>23</v>
      </c>
      <c r="AZ241" s="54" t="str">
        <f>IF(ISNA(VLOOKUP($CW241,'Audit Values'!$A:$BY,2,FALSE)),"",VLOOKUP($CW241,'Audit Values'!$A:$BY,52,FALSE))</f>
        <v>A</v>
      </c>
      <c r="BA241" s="54" t="str">
        <f>IF('Weighting Factors'!F241="","",IF('Weighting Factors'!H241="Pending","PX","R"))</f>
        <v/>
      </c>
      <c r="BB241" s="60">
        <f>SUM((U241+V241+AA241+AC241+AF241+AI241+AL241+AM241+AQ241+AN241)*'Weighting Factors'!$O$5)+'2024 Legal Max'!AX241</f>
        <v>55425322</v>
      </c>
      <c r="BC241" s="24">
        <f>SUM((AR241+AN241)*'Weighting Factors'!$O$5)+AX241</f>
        <v>60455828</v>
      </c>
      <c r="BD241" s="67">
        <f>IF('Weighting Factors'!F241&gt;0,'Weighting Factors'!F241,'Preliminary SO66'!AV240)</f>
        <v>61480548</v>
      </c>
      <c r="BE241" s="24">
        <f t="shared" si="174"/>
        <v>60455828</v>
      </c>
      <c r="BF241" s="71">
        <f>'Weighting Factors'!E241</f>
        <v>0</v>
      </c>
      <c r="BG241" s="71">
        <f>Transportation!G241</f>
        <v>0</v>
      </c>
      <c r="BH241" s="24">
        <f>IF(ISNA(VLOOKUP($CW241,'Audit Values'!$A:$BW,2,FALSE)), 0, VLOOKUP($CW241,'Audit Values'!$A:$BW,75,FALSE))</f>
        <v>-32675</v>
      </c>
      <c r="BI241" s="24">
        <f t="shared" si="175"/>
        <v>-32675</v>
      </c>
      <c r="BJ241" s="24">
        <f t="shared" si="176"/>
        <v>60423153</v>
      </c>
      <c r="BK241" s="24">
        <f>SUM((U241+V241+AA241+AC241+AF241+AI241+AL241+AM241+AN241)*'Weighting Factors'!O$12)+(MAX(AO241,'Weighting Factors'!B241))</f>
        <v>61032246</v>
      </c>
      <c r="BL241" s="78">
        <f>'LOB%'!F239</f>
        <v>0.316</v>
      </c>
      <c r="BM241" s="24">
        <f t="shared" si="147"/>
        <v>19286190</v>
      </c>
      <c r="BN241" s="67">
        <v>19447880</v>
      </c>
      <c r="BO241" s="24">
        <f t="shared" si="177"/>
        <v>19286190</v>
      </c>
      <c r="BP241" s="89">
        <f t="shared" si="148"/>
        <v>0.316</v>
      </c>
      <c r="BQ241" s="58">
        <f t="shared" si="149"/>
        <v>0</v>
      </c>
      <c r="BR241" s="1" t="b">
        <f t="shared" si="150"/>
        <v>0</v>
      </c>
      <c r="BS241" s="76">
        <f t="shared" si="151"/>
        <v>0</v>
      </c>
      <c r="BT241" s="75">
        <f t="shared" si="178"/>
        <v>0</v>
      </c>
      <c r="BU241" s="58">
        <f t="shared" si="152"/>
        <v>0</v>
      </c>
      <c r="BV241" s="1" t="b">
        <f t="shared" si="153"/>
        <v>0</v>
      </c>
      <c r="BW241" s="1">
        <f t="shared" si="154"/>
        <v>0</v>
      </c>
      <c r="BX241" s="75">
        <f t="shared" si="179"/>
        <v>0</v>
      </c>
      <c r="BY241" s="58">
        <f t="shared" si="155"/>
        <v>0</v>
      </c>
      <c r="BZ241" s="58">
        <f t="shared" si="156"/>
        <v>242</v>
      </c>
      <c r="CA241" s="61">
        <v>928</v>
      </c>
      <c r="CB241" s="102">
        <f t="shared" si="157"/>
        <v>2.2919999999999998</v>
      </c>
      <c r="CC241" s="105">
        <f>IF(CB241&lt;0.06,1,IF(CB241&gt;=18.29,52,MATCH(CB241-0.001,'Weighting Factors'!$W$5:$W$156)+1))</f>
        <v>38</v>
      </c>
      <c r="CD241" s="24">
        <f>VLOOKUP(CC241, 'Weighting Factors'!$U$5:$X$56,4)</f>
        <v>830</v>
      </c>
      <c r="CE241" s="109">
        <f>('Weighting Factors'!$O$5/'Weighting Factors'!$O$14)</f>
        <v>1.2216</v>
      </c>
      <c r="CF241" s="100">
        <f t="shared" si="158"/>
        <v>1765410</v>
      </c>
      <c r="CG241" s="100">
        <f>CF241*'Weighting Factors'!$Q$7</f>
        <v>1765410</v>
      </c>
      <c r="CH241" s="100">
        <f t="shared" si="180"/>
        <v>2156625</v>
      </c>
      <c r="CI241" s="58">
        <f>AK241/'Weighting Factors'!$O$5</f>
        <v>423.9</v>
      </c>
      <c r="CJ241" s="67">
        <v>0</v>
      </c>
      <c r="CK241" s="80">
        <v>0</v>
      </c>
      <c r="CL241" s="110">
        <v>0</v>
      </c>
      <c r="CM241" s="24">
        <f>SUM((AR241*'Weighting Factors'!$O$5)+'2024 Legal Max'!AX241)*CL241</f>
        <v>0</v>
      </c>
      <c r="CN241" s="24">
        <f t="shared" si="181"/>
        <v>0</v>
      </c>
      <c r="CO241" s="65">
        <f t="shared" si="146"/>
        <v>0.62929999999999997</v>
      </c>
      <c r="CP241" s="58">
        <f t="shared" si="159"/>
        <v>469</v>
      </c>
      <c r="CQ241" s="58">
        <f t="shared" si="160"/>
        <v>0</v>
      </c>
      <c r="CR241" s="58">
        <f t="shared" si="161"/>
        <v>11781.7</v>
      </c>
      <c r="CS241" s="24">
        <f>'Required Transfers'!L241</f>
        <v>3591089</v>
      </c>
      <c r="CT241" s="24">
        <f>'Required Transfers'!O241</f>
        <v>721304</v>
      </c>
      <c r="CU241" s="24">
        <f>'Required Transfers'!H241</f>
        <v>13386528</v>
      </c>
      <c r="CV241" s="58">
        <f t="shared" si="162"/>
        <v>6897.2</v>
      </c>
      <c r="CW241" s="27" t="s">
        <v>426</v>
      </c>
    </row>
    <row r="242" spans="1:101" ht="15" customHeight="1">
      <c r="A242" s="54">
        <v>458</v>
      </c>
      <c r="B242" s="1" t="s">
        <v>11</v>
      </c>
      <c r="C242" s="1" t="s">
        <v>746</v>
      </c>
      <c r="D242" s="58">
        <v>2434</v>
      </c>
      <c r="E242" s="58"/>
      <c r="F242" s="58">
        <v>0</v>
      </c>
      <c r="G242" s="58">
        <f t="shared" si="163"/>
        <v>2434</v>
      </c>
      <c r="H242" s="58">
        <v>2657.8</v>
      </c>
      <c r="I242" s="58"/>
      <c r="J242" s="58">
        <v>0</v>
      </c>
      <c r="K242" s="58">
        <f t="shared" si="164"/>
        <v>2657.8</v>
      </c>
      <c r="L242" s="1">
        <v>2766.4</v>
      </c>
      <c r="N242" s="1">
        <v>0</v>
      </c>
      <c r="O242" s="58">
        <f t="shared" si="165"/>
        <v>2766.4</v>
      </c>
      <c r="P242" s="58">
        <f>IF(ISNA(VLOOKUP($CW242,'Audit Values'!$A:$BZ,2,FALSE)),'Preliminary SO66'!C241,VLOOKUP($CW242,'Audit Values'!$A:$BZ,76,FALSE))</f>
        <v>2830.1</v>
      </c>
      <c r="Q242" s="58">
        <f>IF(ISNA(VLOOKUP($CW242,'Audit Values'!$A:$BZ,2,FALSE)),'Preliminary SO66'!F241,VLOOKUP($CW242,'Audit Values'!$A:$BZ,4,FALSE))</f>
        <v>0</v>
      </c>
      <c r="R242" s="58">
        <f t="shared" si="169"/>
        <v>2830.1</v>
      </c>
      <c r="S242" s="58">
        <f>IF('Military Provision'!I242="YES", MAX('2024 Legal Max'!O242,'2024 Legal Max'!K242,AVERAGE('2024 Legal Max'!G242,'2024 Legal Max'!K242,'2024 Legal Max'!O242)), MAX(O242, K242))</f>
        <v>2766.4</v>
      </c>
      <c r="T242" s="58">
        <f>IF(ISNA(VLOOKUP($CW242,'Audit Values'!$A:$BX,2,FALSE)),'Preliminary SO66'!AL241,VLOOKUP($CW242,'Audit Values'!$A:$BX,59,FALSE))</f>
        <v>21</v>
      </c>
      <c r="U242" s="58">
        <f t="shared" si="170"/>
        <v>2787.4</v>
      </c>
      <c r="V242" s="58">
        <f>'Low-High ENRL- 2023 HSubSB 113'!N245</f>
        <v>97.7</v>
      </c>
      <c r="W242" s="58">
        <f>IF(ISNA(VLOOKUP($CW242,'Audit Values'!$A:$BZ,2,FALSE)),'Preliminary SO66'!AM241,VLOOKUP($CW242,'Audit Values'!$A:$BZ,63,FALSE))</f>
        <v>117</v>
      </c>
      <c r="X242" s="58">
        <f>(W242/6)*'Weighting Factors'!$O$7</f>
        <v>7.7</v>
      </c>
      <c r="Y242" s="61">
        <f>IF(ISNA(VLOOKUP($CW242,'Audit Values'!$A:$BZ,2,FALSE)),'Preliminary SO66'!AN241,VLOOKUP($CW242,'Audit Values'!$A:$BZ,62,FALSE))</f>
        <v>66</v>
      </c>
      <c r="Z242" s="58">
        <f>Y242*'Weighting Factors'!$O$8</f>
        <v>12.2</v>
      </c>
      <c r="AA242" s="58">
        <f t="shared" si="171"/>
        <v>12.2</v>
      </c>
      <c r="AB242" s="106">
        <f>IF(ISNA(VLOOKUP($CW242,'Audit Values'!$A:$BZ,2,FALSE)),'Preliminary SO66'!AO241,VLOOKUP($CW242,'Audit Values'!$A:$BZ,61,FALSE))</f>
        <v>538.79999999999995</v>
      </c>
      <c r="AC242" s="58">
        <f>AB242/6*'Weighting Factors'!$O$6</f>
        <v>44.9</v>
      </c>
      <c r="AD242" s="24">
        <f>IF(ISNA(VLOOKUP($CW242,'Audit Values'!$A:$BX,2,FALSE)),'Preliminary SO66'!AS241,VLOOKUP($CW242,'Audit Values'!$A:$BX,64,FALSE))</f>
        <v>2899</v>
      </c>
      <c r="AE242" s="24">
        <f>IF(ISNA(VLOOKUP($CW242,'Audit Values'!$A:$BX,2,FALSE)),'Preliminary SO66'!AP241,VLOOKUP($CW242,'Audit Values'!$A:$BX,65,FALSE))</f>
        <v>440</v>
      </c>
      <c r="AF242" s="58">
        <f>IF(A242=207, AE242,(AE242))*'Weighting Factors'!$O$9</f>
        <v>213</v>
      </c>
      <c r="AG242" s="58">
        <f t="shared" si="168"/>
        <v>0</v>
      </c>
      <c r="AH242" s="58">
        <f>IF(ISNA(VLOOKUP($CW242,'Audit Values'!$A:$BZ,2,FALSE)),'Preliminary SO66'!AG241,VLOOKUP($CW242,'Audit Values'!$A:$BZ,71,FALSE))</f>
        <v>0</v>
      </c>
      <c r="AI242" s="58">
        <f t="shared" si="172"/>
        <v>0</v>
      </c>
      <c r="AJ242" s="58">
        <f>IF(ISNA(VLOOKUP($CW242,'Audit Values'!$A:$BX,2,FALSE)),'Preliminary SO66'!AR241,VLOOKUP($CW242,'Audit Values'!$A:$BX,66,FALSE))</f>
        <v>1460</v>
      </c>
      <c r="AK242" s="24">
        <f t="shared" si="173"/>
        <v>1016616</v>
      </c>
      <c r="AL242" s="58">
        <f>AK242/'Weighting Factors'!$O$5</f>
        <v>199.8</v>
      </c>
      <c r="AM242" s="58">
        <f>CJ242/'Weighting Factors'!$O$5</f>
        <v>0</v>
      </c>
      <c r="AN242" s="58">
        <f>CN242/'Weighting Factors'!$O$5</f>
        <v>0</v>
      </c>
      <c r="AO242" s="24">
        <v>3288860</v>
      </c>
      <c r="AP242" s="58">
        <f>AO242/'Weighting Factors'!$O$5</f>
        <v>646.4</v>
      </c>
      <c r="AQ242" s="58">
        <f>IF(ISNA(VLOOKUP($CW242,'Audit Values'!$A:$BX,2,FALSE)),'Preliminary SO66'!X241,VLOOKUP($CW242,'Audit Values'!$A:$BX,48,FALSE))</f>
        <v>0</v>
      </c>
      <c r="AR242" s="58">
        <f t="shared" si="166"/>
        <v>4001.4</v>
      </c>
      <c r="AS242" s="58">
        <f t="shared" si="167"/>
        <v>3355</v>
      </c>
      <c r="AT242" s="58">
        <f>IF(ISNA(VLOOKUP($CW242,'Audit Values'!$A$2:$BX$410,2,FALSE)),'Preliminary SO66'!AA241,VLOOKUP($CW242,'Audit Values'!$A$2:$BX$410,41,FALSE))</f>
        <v>121</v>
      </c>
      <c r="AU242" s="58">
        <f>IF(ISNA(VLOOKUP($CW242,'Audit Values'!$A$2:$BX$410,2,FALSE)),'Preliminary SO66'!AB241,VLOOKUP($CW242,'Audit Values'!$A$2:$BX$410,42,FALSE))</f>
        <v>7.8</v>
      </c>
      <c r="AV242" s="73">
        <v>41</v>
      </c>
      <c r="AW242" s="73">
        <v>12</v>
      </c>
      <c r="AX242" s="24">
        <f>SUM(AT242*'Weighting Factors'!$R$10)+('2024 Legal Max'!AU242*'Weighting Factors'!$R$11)+('2024 Legal Max'!AV242*'Weighting Factors'!$R$12)+('2024 Legal Max'!AW242*'Weighting Factors'!$R$12)</f>
        <v>737017</v>
      </c>
      <c r="AY242" s="54">
        <f>IF(ISNA(VLOOKUP($CW242,'Audit Values'!$A$2:$BX$429,2,FALSE)),"",IF(AND('Weighting Factors'!G242&gt;0,VLOOKUP($CW242,'Audit Values'!$A$2:$BX$429,51,FALSE)&lt;'Weighting Factors'!G242),'Weighting Factors'!G242,VLOOKUP($CW242,'Audit Values'!$A$2:$BX$429,51,FALSE)))</f>
        <v>25</v>
      </c>
      <c r="AZ242" s="54" t="str">
        <f>IF(ISNA(VLOOKUP($CW242,'Audit Values'!$A:$BY,2,FALSE)),"",VLOOKUP($CW242,'Audit Values'!$A:$BY,52,FALSE))</f>
        <v>A</v>
      </c>
      <c r="BA242" s="54"/>
      <c r="BB242" s="60">
        <f>SUM((U242+V242+AA242+AC242+AF242+AI242+AL242+AM242+AQ242+AN242)*'Weighting Factors'!$O$5)+'2024 Legal Max'!AX242</f>
        <v>17807257</v>
      </c>
      <c r="BC242" s="24">
        <f>SUM((AR242+AN242)*'Weighting Factors'!$O$5)+AX242</f>
        <v>21096140</v>
      </c>
      <c r="BD242" s="67">
        <f>IF('Weighting Factors'!F242&gt;0,'Weighting Factors'!F242,'Preliminary SO66'!AV241)</f>
        <v>22958085</v>
      </c>
      <c r="BE242" s="24">
        <f t="shared" si="174"/>
        <v>21096140</v>
      </c>
      <c r="BF242" s="71">
        <f>'Weighting Factors'!E242</f>
        <v>0</v>
      </c>
      <c r="BG242" s="71">
        <f>Transportation!G242</f>
        <v>0</v>
      </c>
      <c r="BH242" s="24">
        <f>IF(ISNA(VLOOKUP($CW242,'Audit Values'!$A:$BW,2,FALSE)), 0, VLOOKUP($CW242,'Audit Values'!$A:$BW,75,FALSE))</f>
        <v>-6381</v>
      </c>
      <c r="BI242" s="24">
        <f t="shared" si="175"/>
        <v>-6381</v>
      </c>
      <c r="BJ242" s="24">
        <f t="shared" si="176"/>
        <v>21089759</v>
      </c>
      <c r="BK242" s="24">
        <f>SUM((U242+V242+AA242+AC242+AF242+AI242+AL242+AM242+AN242)*'Weighting Factors'!O$12)+(MAX(AO242,'Weighting Factors'!B242))</f>
        <v>20593950</v>
      </c>
      <c r="BL242" s="78">
        <f>'LOB%'!F240</f>
        <v>0.33</v>
      </c>
      <c r="BM242" s="24">
        <f t="shared" si="147"/>
        <v>6796004</v>
      </c>
      <c r="BN242" s="67">
        <v>7172159</v>
      </c>
      <c r="BO242" s="24">
        <f t="shared" si="177"/>
        <v>6796004</v>
      </c>
      <c r="BP242" s="89">
        <f t="shared" si="148"/>
        <v>0.33</v>
      </c>
      <c r="BQ242" s="58">
        <f t="shared" si="149"/>
        <v>0</v>
      </c>
      <c r="BR242" s="1" t="b">
        <f t="shared" si="150"/>
        <v>0</v>
      </c>
      <c r="BS242" s="76">
        <f t="shared" si="151"/>
        <v>0</v>
      </c>
      <c r="BT242" s="75">
        <f t="shared" si="178"/>
        <v>0</v>
      </c>
      <c r="BU242" s="58">
        <f t="shared" si="152"/>
        <v>0</v>
      </c>
      <c r="BV242" s="1" t="b">
        <f t="shared" si="153"/>
        <v>0</v>
      </c>
      <c r="BW242" s="1">
        <f t="shared" si="154"/>
        <v>0</v>
      </c>
      <c r="BX242" s="75">
        <f t="shared" si="179"/>
        <v>0</v>
      </c>
      <c r="BY242" s="58">
        <f t="shared" si="155"/>
        <v>0</v>
      </c>
      <c r="BZ242" s="58">
        <f t="shared" si="156"/>
        <v>97.7</v>
      </c>
      <c r="CA242" s="61">
        <v>89.6</v>
      </c>
      <c r="CB242" s="102">
        <f t="shared" si="157"/>
        <v>16.295000000000002</v>
      </c>
      <c r="CC242" s="105">
        <f>IF(CB242&lt;0.06,1,IF(CB242&gt;=18.29,52,MATCH(CB242-0.001,'Weighting Factors'!$W$5:$W$156)+1))</f>
        <v>51</v>
      </c>
      <c r="CD242" s="24">
        <f>VLOOKUP(CC242, 'Weighting Factors'!$U$5:$X$56,4)</f>
        <v>570</v>
      </c>
      <c r="CE242" s="109">
        <f>('Weighting Factors'!$O$5/'Weighting Factors'!$O$14)</f>
        <v>1.2216</v>
      </c>
      <c r="CF242" s="100">
        <f t="shared" si="158"/>
        <v>832200</v>
      </c>
      <c r="CG242" s="100">
        <f>CF242*'Weighting Factors'!$Q$7</f>
        <v>832200</v>
      </c>
      <c r="CH242" s="100">
        <f t="shared" si="180"/>
        <v>1016616</v>
      </c>
      <c r="CI242" s="58">
        <f>AK242/'Weighting Factors'!$O$5</f>
        <v>199.8</v>
      </c>
      <c r="CJ242" s="67">
        <v>0</v>
      </c>
      <c r="CK242" s="80">
        <v>0</v>
      </c>
      <c r="CL242" s="110">
        <v>5.5E-2</v>
      </c>
      <c r="CM242" s="24">
        <f>SUM((AR242*'Weighting Factors'!$O$5)+'2024 Legal Max'!AX242)*CL242</f>
        <v>1160288</v>
      </c>
      <c r="CN242" s="24">
        <f t="shared" si="181"/>
        <v>0</v>
      </c>
      <c r="CO242" s="65">
        <f t="shared" si="146"/>
        <v>0.15179999999999999</v>
      </c>
      <c r="CP242" s="58">
        <f t="shared" si="159"/>
        <v>0</v>
      </c>
      <c r="CQ242" s="58">
        <f t="shared" si="160"/>
        <v>0</v>
      </c>
      <c r="CR242" s="58">
        <f t="shared" si="161"/>
        <v>4001.4</v>
      </c>
      <c r="CS242" s="24">
        <f>'Required Transfers'!L242</f>
        <v>363586</v>
      </c>
      <c r="CT242" s="24">
        <f>'Required Transfers'!O242</f>
        <v>21068</v>
      </c>
      <c r="CU242" s="24">
        <f>'Required Transfers'!H242</f>
        <v>1083744</v>
      </c>
      <c r="CV242" s="58">
        <f t="shared" si="162"/>
        <v>2988.7</v>
      </c>
      <c r="CW242" s="27" t="s">
        <v>427</v>
      </c>
    </row>
    <row r="243" spans="1:101" ht="15" customHeight="1">
      <c r="A243" s="54">
        <v>459</v>
      </c>
      <c r="B243" s="1" t="s">
        <v>80</v>
      </c>
      <c r="C243" s="1" t="s">
        <v>747</v>
      </c>
      <c r="D243" s="58">
        <v>231.1</v>
      </c>
      <c r="E243" s="58"/>
      <c r="F243" s="58">
        <v>0</v>
      </c>
      <c r="G243" s="58">
        <f t="shared" si="163"/>
        <v>231.1</v>
      </c>
      <c r="H243" s="58">
        <v>220.3</v>
      </c>
      <c r="I243" s="58"/>
      <c r="J243" s="58">
        <v>0</v>
      </c>
      <c r="K243" s="58">
        <f t="shared" si="164"/>
        <v>220.3</v>
      </c>
      <c r="L243" s="1">
        <v>209.9</v>
      </c>
      <c r="N243" s="1">
        <v>0</v>
      </c>
      <c r="O243" s="58">
        <f t="shared" si="165"/>
        <v>209.9</v>
      </c>
      <c r="P243" s="58">
        <f>IF(ISNA(VLOOKUP($CW243,'Audit Values'!$A:$BZ,2,FALSE)),'Preliminary SO66'!C242,VLOOKUP($CW243,'Audit Values'!$A:$BZ,76,FALSE))</f>
        <v>196.8</v>
      </c>
      <c r="Q243" s="58">
        <f>IF(ISNA(VLOOKUP($CW243,'Audit Values'!$A:$BZ,2,FALSE)),'Preliminary SO66'!F242,VLOOKUP($CW243,'Audit Values'!$A:$BZ,4,FALSE))</f>
        <v>0</v>
      </c>
      <c r="R243" s="58">
        <f t="shared" si="169"/>
        <v>196.8</v>
      </c>
      <c r="S243" s="58">
        <f>IF('Military Provision'!I243="YES", MAX('2024 Legal Max'!O243,'2024 Legal Max'!K243,AVERAGE('2024 Legal Max'!G243,'2024 Legal Max'!K243,'2024 Legal Max'!O243)), MAX(O243, K243))</f>
        <v>220.3</v>
      </c>
      <c r="T243" s="58">
        <f>IF(ISNA(VLOOKUP($CW243,'Audit Values'!$A:$BX,2,FALSE)),'Preliminary SO66'!AL242,VLOOKUP($CW243,'Audit Values'!$A:$BX,59,FALSE))</f>
        <v>8</v>
      </c>
      <c r="U243" s="58">
        <f t="shared" si="170"/>
        <v>228.3</v>
      </c>
      <c r="V243" s="58">
        <f>'Low-High ENRL- 2023 HSubSB 113'!N246</f>
        <v>153.9</v>
      </c>
      <c r="W243" s="58">
        <f>IF(ISNA(VLOOKUP($CW243,'Audit Values'!$A:$BZ,2,FALSE)),'Preliminary SO66'!AM242,VLOOKUP($CW243,'Audit Values'!$A:$BZ,63,FALSE))</f>
        <v>20.7</v>
      </c>
      <c r="X243" s="58">
        <f>(W243/6)*'Weighting Factors'!$O$7</f>
        <v>1.4</v>
      </c>
      <c r="Y243" s="61">
        <f>IF(ISNA(VLOOKUP($CW243,'Audit Values'!$A:$BZ,2,FALSE)),'Preliminary SO66'!AN242,VLOOKUP($CW243,'Audit Values'!$A:$BZ,62,FALSE))</f>
        <v>7</v>
      </c>
      <c r="Z243" s="58">
        <f>Y243*'Weighting Factors'!$O$8</f>
        <v>1.3</v>
      </c>
      <c r="AA243" s="58">
        <f t="shared" si="171"/>
        <v>1.4</v>
      </c>
      <c r="AB243" s="106">
        <f>IF(ISNA(VLOOKUP($CW243,'Audit Values'!$A:$BZ,2,FALSE)),'Preliminary SO66'!AO242,VLOOKUP($CW243,'Audit Values'!$A:$BZ,61,FALSE))</f>
        <v>52.5</v>
      </c>
      <c r="AC243" s="58">
        <f>AB243/6*'Weighting Factors'!$O$6</f>
        <v>4.4000000000000004</v>
      </c>
      <c r="AD243" s="24">
        <f>IF(ISNA(VLOOKUP($CW243,'Audit Values'!$A:$BX,2,FALSE)),'Preliminary SO66'!AS242,VLOOKUP($CW243,'Audit Values'!$A:$BX,64,FALSE))</f>
        <v>214</v>
      </c>
      <c r="AE243" s="24">
        <f>IF(ISNA(VLOOKUP($CW243,'Audit Values'!$A:$BX,2,FALSE)),'Preliminary SO66'!AP242,VLOOKUP($CW243,'Audit Values'!$A:$BX,65,FALSE))</f>
        <v>90</v>
      </c>
      <c r="AF243" s="58">
        <f>IF(A243=207, AE243,(AE243))*'Weighting Factors'!$O$9</f>
        <v>43.6</v>
      </c>
      <c r="AG243" s="58">
        <f t="shared" si="168"/>
        <v>4.4000000000000004</v>
      </c>
      <c r="AH243" s="58">
        <f>IF(ISNA(VLOOKUP($CW243,'Audit Values'!$A:$BZ,2,FALSE)),'Preliminary SO66'!AG242,VLOOKUP($CW243,'Audit Values'!$A:$BZ,71,FALSE))</f>
        <v>6.8</v>
      </c>
      <c r="AI243" s="58">
        <f t="shared" si="172"/>
        <v>6.8</v>
      </c>
      <c r="AJ243" s="58">
        <f>IF(ISNA(VLOOKUP($CW243,'Audit Values'!$A:$BX,2,FALSE)),'Preliminary SO66'!AR242,VLOOKUP($CW243,'Audit Values'!$A:$BX,66,FALSE))</f>
        <v>64</v>
      </c>
      <c r="AK243" s="24">
        <f t="shared" si="173"/>
        <v>103201</v>
      </c>
      <c r="AL243" s="58">
        <f>AK243/'Weighting Factors'!$O$5</f>
        <v>20.3</v>
      </c>
      <c r="AM243" s="58">
        <f>CJ243/'Weighting Factors'!$O$5</f>
        <v>0</v>
      </c>
      <c r="AN243" s="58">
        <f>CN243/'Weighting Factors'!$O$5</f>
        <v>0</v>
      </c>
      <c r="AO243" s="24">
        <v>188738</v>
      </c>
      <c r="AP243" s="58">
        <f>AO243/'Weighting Factors'!$O$5</f>
        <v>37.1</v>
      </c>
      <c r="AQ243" s="58">
        <f>IF(ISNA(VLOOKUP($CW243,'Audit Values'!$A:$BX,2,FALSE)),'Preliminary SO66'!X242,VLOOKUP($CW243,'Audit Values'!$A:$BX,48,FALSE))</f>
        <v>0</v>
      </c>
      <c r="AR243" s="58">
        <f t="shared" si="166"/>
        <v>495.8</v>
      </c>
      <c r="AS243" s="58">
        <f t="shared" si="167"/>
        <v>458.7</v>
      </c>
      <c r="AT243" s="58">
        <f>IF(ISNA(VLOOKUP($CW243,'Audit Values'!$A$2:$BX$410,2,FALSE)),'Preliminary SO66'!AA242,VLOOKUP($CW243,'Audit Values'!$A$2:$BX$410,41,FALSE))</f>
        <v>0</v>
      </c>
      <c r="AU243" s="58">
        <f>IF(ISNA(VLOOKUP($CW243,'Audit Values'!$A$2:$BX$410,2,FALSE)),'Preliminary SO66'!AB242,VLOOKUP($CW243,'Audit Values'!$A$2:$BX$410,42,FALSE))</f>
        <v>0</v>
      </c>
      <c r="AV243" s="73">
        <v>0</v>
      </c>
      <c r="AW243" s="73">
        <v>0</v>
      </c>
      <c r="AX243" s="24">
        <f>SUM(AT243*'Weighting Factors'!$R$10)+('2024 Legal Max'!AU243*'Weighting Factors'!$R$11)+('2024 Legal Max'!AV243*'Weighting Factors'!$R$12)+('2024 Legal Max'!AW243*'Weighting Factors'!$R$12)</f>
        <v>0</v>
      </c>
      <c r="AY243" s="54">
        <f>IF(ISNA(VLOOKUP($CW243,'Audit Values'!$A$2:$BX$429,2,FALSE)),"",IF(AND('Weighting Factors'!G243&gt;0,VLOOKUP($CW243,'Audit Values'!$A$2:$BX$429,51,FALSE)&lt;'Weighting Factors'!G243),'Weighting Factors'!G243,VLOOKUP($CW243,'Audit Values'!$A$2:$BX$429,51,FALSE)))</f>
        <v>3</v>
      </c>
      <c r="AZ243" s="54" t="str">
        <f>IF(ISNA(VLOOKUP($CW243,'Audit Values'!$A:$BY,2,FALSE)),"",VLOOKUP($CW243,'Audit Values'!$A:$BY,52,FALSE))</f>
        <v>A</v>
      </c>
      <c r="BA243" s="54" t="str">
        <f>IF('Weighting Factors'!F243="","",IF('Weighting Factors'!H243="Pending","PX","R"))</f>
        <v/>
      </c>
      <c r="BB243" s="60">
        <f>SUM((U243+V243+AA243+AC243+AF243+AI243+AL243+AM243+AQ243+AN243)*'Weighting Factors'!$O$5)+'2024 Legal Max'!AX243</f>
        <v>2333866</v>
      </c>
      <c r="BC243" s="24">
        <f>SUM((AR243+AN243)*'Weighting Factors'!$O$5)+AX243</f>
        <v>2522630</v>
      </c>
      <c r="BD243" s="67">
        <f>IF('Weighting Factors'!F243&gt;0,'Weighting Factors'!F243,'Preliminary SO66'!AV242)</f>
        <v>2721571</v>
      </c>
      <c r="BE243" s="24">
        <f t="shared" si="174"/>
        <v>2522630</v>
      </c>
      <c r="BF243" s="71">
        <f>'Weighting Factors'!E243</f>
        <v>0</v>
      </c>
      <c r="BG243" s="71">
        <f>Transportation!G243</f>
        <v>0</v>
      </c>
      <c r="BH243" s="24">
        <f>IF(ISNA(VLOOKUP($CW243,'Audit Values'!$A:$BW,2,FALSE)), 0, VLOOKUP($CW243,'Audit Values'!$A:$BW,75,FALSE))</f>
        <v>0</v>
      </c>
      <c r="BI243" s="24">
        <f t="shared" si="175"/>
        <v>0</v>
      </c>
      <c r="BJ243" s="24">
        <f t="shared" si="176"/>
        <v>2522630</v>
      </c>
      <c r="BK243" s="24">
        <f>SUM((U243+V243+AA243+AC243+AF243+AI243+AL243+AM243+AN243)*'Weighting Factors'!O$12)+(MAX(AO243,'Weighting Factors'!B243))</f>
        <v>2563902</v>
      </c>
      <c r="BL243" s="78">
        <f>'LOB%'!F241</f>
        <v>0.316</v>
      </c>
      <c r="BM243" s="24">
        <f t="shared" si="147"/>
        <v>810193</v>
      </c>
      <c r="BN243" s="67">
        <v>830275</v>
      </c>
      <c r="BO243" s="24">
        <f t="shared" si="177"/>
        <v>810193</v>
      </c>
      <c r="BP243" s="89">
        <f t="shared" si="148"/>
        <v>0.316</v>
      </c>
      <c r="BQ243" s="58">
        <f t="shared" si="149"/>
        <v>0</v>
      </c>
      <c r="BR243" s="1" t="b">
        <f t="shared" si="150"/>
        <v>1</v>
      </c>
      <c r="BS243" s="76">
        <f t="shared" si="151"/>
        <v>1238.7370000000001</v>
      </c>
      <c r="BT243" s="75">
        <f t="shared" si="178"/>
        <v>0.67424300000000004</v>
      </c>
      <c r="BU243" s="58">
        <f t="shared" si="152"/>
        <v>153.9</v>
      </c>
      <c r="BV243" s="1" t="b">
        <f t="shared" si="153"/>
        <v>0</v>
      </c>
      <c r="BW243" s="1">
        <f t="shared" si="154"/>
        <v>0</v>
      </c>
      <c r="BX243" s="75">
        <f t="shared" si="179"/>
        <v>0</v>
      </c>
      <c r="BY243" s="58">
        <f t="shared" si="155"/>
        <v>0</v>
      </c>
      <c r="BZ243" s="58">
        <f t="shared" si="156"/>
        <v>0</v>
      </c>
      <c r="CA243" s="61">
        <v>358.2</v>
      </c>
      <c r="CB243" s="102">
        <f t="shared" si="157"/>
        <v>0.17899999999999999</v>
      </c>
      <c r="CC243" s="105">
        <f>IF(CB243&lt;0.06,1,IF(CB243&gt;=18.29,52,MATCH(CB243-0.001,'Weighting Factors'!$W$5:$W$156)+1))</f>
        <v>13</v>
      </c>
      <c r="CD243" s="24">
        <f>VLOOKUP(CC243, 'Weighting Factors'!$U$5:$X$56,4)</f>
        <v>1320</v>
      </c>
      <c r="CE243" s="109">
        <f>('Weighting Factors'!$O$5/'Weighting Factors'!$O$14)</f>
        <v>1.2216</v>
      </c>
      <c r="CF243" s="100">
        <f t="shared" si="158"/>
        <v>84480</v>
      </c>
      <c r="CG243" s="100">
        <f>CF243*'Weighting Factors'!$Q$7</f>
        <v>84480</v>
      </c>
      <c r="CH243" s="100">
        <f t="shared" si="180"/>
        <v>103201</v>
      </c>
      <c r="CI243" s="58">
        <f>AK243/'Weighting Factors'!$O$5</f>
        <v>20.3</v>
      </c>
      <c r="CJ243" s="67">
        <v>0</v>
      </c>
      <c r="CK243" s="80">
        <v>0</v>
      </c>
      <c r="CL243" s="110">
        <v>0</v>
      </c>
      <c r="CM243" s="24">
        <f>SUM((AR243*'Weighting Factors'!$O$5)+'2024 Legal Max'!AX243)*CL243</f>
        <v>0</v>
      </c>
      <c r="CN243" s="24">
        <f t="shared" si="181"/>
        <v>0</v>
      </c>
      <c r="CO243" s="65">
        <f t="shared" si="146"/>
        <v>0.42059999999999997</v>
      </c>
      <c r="CP243" s="58">
        <f t="shared" si="159"/>
        <v>0</v>
      </c>
      <c r="CQ243" s="58">
        <f t="shared" si="160"/>
        <v>4.4000000000000004</v>
      </c>
      <c r="CR243" s="58">
        <f t="shared" si="161"/>
        <v>495.8</v>
      </c>
      <c r="CS243" s="24">
        <f>'Required Transfers'!L243</f>
        <v>72431</v>
      </c>
      <c r="CT243" s="24">
        <f>'Required Transfers'!O243</f>
        <v>2350</v>
      </c>
      <c r="CU243" s="24">
        <f>'Required Transfers'!H243</f>
        <v>256435</v>
      </c>
      <c r="CV243" s="58">
        <f t="shared" si="162"/>
        <v>204.8</v>
      </c>
      <c r="CW243" s="27" t="s">
        <v>428</v>
      </c>
    </row>
    <row r="244" spans="1:101" ht="15" customHeight="1">
      <c r="A244" s="54">
        <v>460</v>
      </c>
      <c r="B244" s="1" t="s">
        <v>74</v>
      </c>
      <c r="C244" s="1" t="s">
        <v>748</v>
      </c>
      <c r="D244" s="58">
        <v>813</v>
      </c>
      <c r="E244" s="58"/>
      <c r="F244" s="58">
        <v>0</v>
      </c>
      <c r="G244" s="58">
        <f t="shared" si="163"/>
        <v>813</v>
      </c>
      <c r="H244" s="58">
        <v>847.5</v>
      </c>
      <c r="I244" s="58"/>
      <c r="J244" s="58">
        <v>0</v>
      </c>
      <c r="K244" s="58">
        <f t="shared" si="164"/>
        <v>847.5</v>
      </c>
      <c r="L244" s="1">
        <v>864.5</v>
      </c>
      <c r="N244" s="1">
        <v>0</v>
      </c>
      <c r="O244" s="58">
        <f t="shared" si="165"/>
        <v>864.5</v>
      </c>
      <c r="P244" s="58">
        <f>IF(ISNA(VLOOKUP($CW244,'Audit Values'!$A:$BZ,2,FALSE)),'Preliminary SO66'!C243,VLOOKUP($CW244,'Audit Values'!$A:$BZ,76,FALSE))</f>
        <v>828.7</v>
      </c>
      <c r="Q244" s="58">
        <f>IF(ISNA(VLOOKUP($CW244,'Audit Values'!$A:$BZ,2,FALSE)),'Preliminary SO66'!F243,VLOOKUP($CW244,'Audit Values'!$A:$BZ,4,FALSE))</f>
        <v>0</v>
      </c>
      <c r="R244" s="58">
        <f t="shared" si="169"/>
        <v>828.7</v>
      </c>
      <c r="S244" s="58">
        <f>IF('Military Provision'!I244="YES", MAX('2024 Legal Max'!O244,'2024 Legal Max'!K244,AVERAGE('2024 Legal Max'!G244,'2024 Legal Max'!K244,'2024 Legal Max'!O244)), MAX(O244, K244))</f>
        <v>864.5</v>
      </c>
      <c r="T244" s="58">
        <f>IF(ISNA(VLOOKUP($CW244,'Audit Values'!$A:$BX,2,FALSE)),'Preliminary SO66'!AL243,VLOOKUP($CW244,'Audit Values'!$A:$BX,59,FALSE))</f>
        <v>0</v>
      </c>
      <c r="U244" s="58">
        <f t="shared" si="170"/>
        <v>864.5</v>
      </c>
      <c r="V244" s="58">
        <f>'Low-High ENRL- 2023 HSubSB 113'!N247</f>
        <v>252.8</v>
      </c>
      <c r="W244" s="58">
        <f>IF(ISNA(VLOOKUP($CW244,'Audit Values'!$A:$BZ,2,FALSE)),'Preliminary SO66'!AM243,VLOOKUP($CW244,'Audit Values'!$A:$BZ,63,FALSE))</f>
        <v>45.5</v>
      </c>
      <c r="X244" s="58">
        <f>(W244/6)*'Weighting Factors'!$O$7</f>
        <v>3</v>
      </c>
      <c r="Y244" s="61">
        <f>IF(ISNA(VLOOKUP($CW244,'Audit Values'!$A:$BZ,2,FALSE)),'Preliminary SO66'!AN243,VLOOKUP($CW244,'Audit Values'!$A:$BZ,62,FALSE))</f>
        <v>16</v>
      </c>
      <c r="Z244" s="58">
        <f>Y244*'Weighting Factors'!$O$8</f>
        <v>3</v>
      </c>
      <c r="AA244" s="58">
        <f t="shared" si="171"/>
        <v>3</v>
      </c>
      <c r="AB244" s="106">
        <f>IF(ISNA(VLOOKUP($CW244,'Audit Values'!$A:$BZ,2,FALSE)),'Preliminary SO66'!AO243,VLOOKUP($CW244,'Audit Values'!$A:$BZ,61,FALSE))</f>
        <v>180.8</v>
      </c>
      <c r="AC244" s="58">
        <f>AB244/6*'Weighting Factors'!$O$6</f>
        <v>15.1</v>
      </c>
      <c r="AD244" s="24">
        <f>IF(ISNA(VLOOKUP($CW244,'Audit Values'!$A:$BX,2,FALSE)),'Preliminary SO66'!AS243,VLOOKUP($CW244,'Audit Values'!$A:$BX,64,FALSE))</f>
        <v>832</v>
      </c>
      <c r="AE244" s="24">
        <f>IF(ISNA(VLOOKUP($CW244,'Audit Values'!$A:$BX,2,FALSE)),'Preliminary SO66'!AP243,VLOOKUP($CW244,'Audit Values'!$A:$BX,65,FALSE))</f>
        <v>155</v>
      </c>
      <c r="AF244" s="58">
        <f>IF(A244=207, AE244,(AE244))*'Weighting Factors'!$O$9</f>
        <v>75</v>
      </c>
      <c r="AG244" s="58">
        <f t="shared" si="168"/>
        <v>0</v>
      </c>
      <c r="AH244" s="58">
        <f>IF(ISNA(VLOOKUP($CW244,'Audit Values'!$A:$BZ,2,FALSE)),'Preliminary SO66'!AG243,VLOOKUP($CW244,'Audit Values'!$A:$BZ,71,FALSE))</f>
        <v>0</v>
      </c>
      <c r="AI244" s="58">
        <f t="shared" si="172"/>
        <v>0</v>
      </c>
      <c r="AJ244" s="58">
        <f>IF(ISNA(VLOOKUP($CW244,'Audit Values'!$A:$BX,2,FALSE)),'Preliminary SO66'!AR243,VLOOKUP($CW244,'Audit Values'!$A:$BX,66,FALSE))</f>
        <v>91</v>
      </c>
      <c r="AK244" s="24">
        <f t="shared" si="173"/>
        <v>98937</v>
      </c>
      <c r="AL244" s="58">
        <f>AK244/'Weighting Factors'!$O$5</f>
        <v>19.399999999999999</v>
      </c>
      <c r="AM244" s="58">
        <f>CJ244/'Weighting Factors'!$O$5</f>
        <v>0</v>
      </c>
      <c r="AN244" s="58">
        <f>CN244/'Weighting Factors'!$O$5</f>
        <v>0</v>
      </c>
      <c r="AO244" s="24">
        <v>606778</v>
      </c>
      <c r="AP244" s="58">
        <f>AO244/'Weighting Factors'!$O$5</f>
        <v>119.3</v>
      </c>
      <c r="AQ244" s="58">
        <f>IF(ISNA(VLOOKUP($CW244,'Audit Values'!$A:$BX,2,FALSE)),'Preliminary SO66'!X243,VLOOKUP($CW244,'Audit Values'!$A:$BX,48,FALSE))</f>
        <v>0</v>
      </c>
      <c r="AR244" s="58">
        <f t="shared" si="166"/>
        <v>1349.1</v>
      </c>
      <c r="AS244" s="58">
        <f t="shared" si="167"/>
        <v>1229.8</v>
      </c>
      <c r="AT244" s="58">
        <f>IF(ISNA(VLOOKUP($CW244,'Audit Values'!$A$2:$BX$410,2,FALSE)),'Preliminary SO66'!AA243,VLOOKUP($CW244,'Audit Values'!$A$2:$BX$410,41,FALSE))</f>
        <v>0</v>
      </c>
      <c r="AU244" s="58">
        <f>IF(ISNA(VLOOKUP($CW244,'Audit Values'!$A$2:$BX$410,2,FALSE)),'Preliminary SO66'!AB243,VLOOKUP($CW244,'Audit Values'!$A$2:$BX$410,42,FALSE))</f>
        <v>0</v>
      </c>
      <c r="AV244" s="73">
        <v>0</v>
      </c>
      <c r="AW244" s="73">
        <v>0</v>
      </c>
      <c r="AX244" s="24">
        <f>SUM(AT244*'Weighting Factors'!$R$10)+('2024 Legal Max'!AU244*'Weighting Factors'!$R$11)+('2024 Legal Max'!AV244*'Weighting Factors'!$R$12)+('2024 Legal Max'!AW244*'Weighting Factors'!$R$12)</f>
        <v>0</v>
      </c>
      <c r="AY244" s="54">
        <f>IF(ISNA(VLOOKUP($CW244,'Audit Values'!$A$2:$BX$429,2,FALSE)),"",IF(AND('Weighting Factors'!G244&gt;0,VLOOKUP($CW244,'Audit Values'!$A$2:$BX$429,51,FALSE)&lt;'Weighting Factors'!G244),'Weighting Factors'!G244,VLOOKUP($CW244,'Audit Values'!$A$2:$BX$429,51,FALSE)))</f>
        <v>18</v>
      </c>
      <c r="AZ244" s="54" t="str">
        <f>IF(ISNA(VLOOKUP($CW244,'Audit Values'!$A:$BY,2,FALSE)),"",VLOOKUP($CW244,'Audit Values'!$A:$BY,52,FALSE))</f>
        <v>A</v>
      </c>
      <c r="BA244" s="54" t="str">
        <f>IF('Weighting Factors'!F244="","",IF('Weighting Factors'!H244="Pending","PX","R"))</f>
        <v/>
      </c>
      <c r="BB244" s="60">
        <f>SUM((U244+V244+AA244+AC244+AF244+AI244+AL244+AM244+AQ244+AN244)*'Weighting Factors'!$O$5)+'2024 Legal Max'!AX244</f>
        <v>6257222</v>
      </c>
      <c r="BC244" s="24">
        <f>SUM((AR244+AN244)*'Weighting Factors'!$O$5)+AX244</f>
        <v>6864221</v>
      </c>
      <c r="BD244" s="67">
        <f>IF('Weighting Factors'!F244&gt;0,'Weighting Factors'!F244,'Preliminary SO66'!AV243)</f>
        <v>6998035</v>
      </c>
      <c r="BE244" s="24">
        <f t="shared" si="174"/>
        <v>6864221</v>
      </c>
      <c r="BF244" s="71">
        <f>'Weighting Factors'!E244</f>
        <v>0</v>
      </c>
      <c r="BG244" s="71">
        <f>Transportation!G244</f>
        <v>0</v>
      </c>
      <c r="BH244" s="24">
        <f>IF(ISNA(VLOOKUP($CW244,'Audit Values'!$A:$BW,2,FALSE)), 0, VLOOKUP($CW244,'Audit Values'!$A:$BW,75,FALSE))</f>
        <v>0</v>
      </c>
      <c r="BI244" s="24">
        <f t="shared" si="175"/>
        <v>0</v>
      </c>
      <c r="BJ244" s="24">
        <f t="shared" si="176"/>
        <v>6864221</v>
      </c>
      <c r="BK244" s="24">
        <f>SUM((U244+V244+AA244+AC244+AF244+AI244+AL244+AM244+AN244)*'Weighting Factors'!O$12)+(MAX(AO244,'Weighting Factors'!B244))</f>
        <v>6986131</v>
      </c>
      <c r="BL244" s="78">
        <f>'LOB%'!F242</f>
        <v>0.33</v>
      </c>
      <c r="BM244" s="24">
        <f t="shared" si="147"/>
        <v>2305423</v>
      </c>
      <c r="BN244" s="67">
        <v>2337905</v>
      </c>
      <c r="BO244" s="24">
        <f t="shared" si="177"/>
        <v>2305423</v>
      </c>
      <c r="BP244" s="89">
        <f t="shared" si="148"/>
        <v>0.33</v>
      </c>
      <c r="BQ244" s="58">
        <f t="shared" si="149"/>
        <v>0</v>
      </c>
      <c r="BR244" s="1" t="b">
        <f t="shared" si="150"/>
        <v>0</v>
      </c>
      <c r="BS244" s="76">
        <f t="shared" si="151"/>
        <v>0</v>
      </c>
      <c r="BT244" s="75">
        <f t="shared" si="178"/>
        <v>0</v>
      </c>
      <c r="BU244" s="58">
        <f t="shared" si="152"/>
        <v>0</v>
      </c>
      <c r="BV244" s="1" t="b">
        <f t="shared" si="153"/>
        <v>1</v>
      </c>
      <c r="BW244" s="1">
        <f t="shared" si="154"/>
        <v>698.56880000000001</v>
      </c>
      <c r="BX244" s="75">
        <f t="shared" si="179"/>
        <v>0.29239799999999999</v>
      </c>
      <c r="BY244" s="58">
        <f t="shared" si="155"/>
        <v>252.8</v>
      </c>
      <c r="BZ244" s="58">
        <f t="shared" si="156"/>
        <v>0</v>
      </c>
      <c r="CA244" s="61">
        <v>60</v>
      </c>
      <c r="CB244" s="102">
        <f t="shared" si="157"/>
        <v>1.5169999999999999</v>
      </c>
      <c r="CC244" s="105">
        <f>IF(CB244&lt;0.06,1,IF(CB244&gt;=18.29,52,MATCH(CB244-0.001,'Weighting Factors'!$W$5:$W$156)+1))</f>
        <v>35</v>
      </c>
      <c r="CD244" s="24">
        <f>VLOOKUP(CC244, 'Weighting Factors'!$U$5:$X$56,4)</f>
        <v>890</v>
      </c>
      <c r="CE244" s="109">
        <f>('Weighting Factors'!$O$5/'Weighting Factors'!$O$14)</f>
        <v>1.2216</v>
      </c>
      <c r="CF244" s="100">
        <f t="shared" si="158"/>
        <v>80990</v>
      </c>
      <c r="CG244" s="100">
        <f>CF244*'Weighting Factors'!$Q$7</f>
        <v>80990</v>
      </c>
      <c r="CH244" s="100">
        <f t="shared" si="180"/>
        <v>98937</v>
      </c>
      <c r="CI244" s="58">
        <f>AK244/'Weighting Factors'!$O$5</f>
        <v>19.399999999999999</v>
      </c>
      <c r="CJ244" s="67">
        <v>0</v>
      </c>
      <c r="CK244" s="80">
        <v>0</v>
      </c>
      <c r="CL244" s="110">
        <v>0</v>
      </c>
      <c r="CM244" s="24">
        <f>SUM((AR244*'Weighting Factors'!$O$5)+'2024 Legal Max'!AX244)*CL244</f>
        <v>0</v>
      </c>
      <c r="CN244" s="24">
        <f t="shared" si="181"/>
        <v>0</v>
      </c>
      <c r="CO244" s="65">
        <f t="shared" si="146"/>
        <v>0.18629999999999999</v>
      </c>
      <c r="CP244" s="58">
        <f t="shared" si="159"/>
        <v>0</v>
      </c>
      <c r="CQ244" s="58">
        <f t="shared" si="160"/>
        <v>0</v>
      </c>
      <c r="CR244" s="58">
        <f t="shared" si="161"/>
        <v>1349.1</v>
      </c>
      <c r="CS244" s="24">
        <f>'Required Transfers'!L244</f>
        <v>128182</v>
      </c>
      <c r="CT244" s="24">
        <f>'Required Transfers'!O244</f>
        <v>5072</v>
      </c>
      <c r="CU244" s="24">
        <f>'Required Transfers'!H244</f>
        <v>381600</v>
      </c>
      <c r="CV244" s="58">
        <f t="shared" si="162"/>
        <v>828.7</v>
      </c>
      <c r="CW244" s="27" t="s">
        <v>429</v>
      </c>
    </row>
    <row r="245" spans="1:101" ht="15" customHeight="1">
      <c r="A245" s="54">
        <v>461</v>
      </c>
      <c r="B245" s="1" t="s">
        <v>83</v>
      </c>
      <c r="C245" s="1" t="s">
        <v>749</v>
      </c>
      <c r="D245" s="58">
        <v>675.5</v>
      </c>
      <c r="E245" s="58"/>
      <c r="F245" s="58">
        <v>0</v>
      </c>
      <c r="G245" s="58">
        <f t="shared" si="163"/>
        <v>675.5</v>
      </c>
      <c r="H245" s="58">
        <v>703.5</v>
      </c>
      <c r="I245" s="58">
        <v>1</v>
      </c>
      <c r="J245" s="58">
        <v>0</v>
      </c>
      <c r="K245" s="58">
        <f t="shared" si="164"/>
        <v>702.5</v>
      </c>
      <c r="L245" s="1">
        <v>713.5</v>
      </c>
      <c r="N245" s="1">
        <v>0</v>
      </c>
      <c r="O245" s="58">
        <f t="shared" si="165"/>
        <v>713.5</v>
      </c>
      <c r="P245" s="58">
        <f>IF(ISNA(VLOOKUP($CW245,'Audit Values'!$A:$BZ,2,FALSE)),'Preliminary SO66'!C244,VLOOKUP($CW245,'Audit Values'!$A:$BZ,76,FALSE))</f>
        <v>728</v>
      </c>
      <c r="Q245" s="58">
        <f>IF(ISNA(VLOOKUP($CW245,'Audit Values'!$A:$BZ,2,FALSE)),'Preliminary SO66'!F244,VLOOKUP($CW245,'Audit Values'!$A:$BZ,4,FALSE))</f>
        <v>0</v>
      </c>
      <c r="R245" s="58">
        <f t="shared" si="169"/>
        <v>728</v>
      </c>
      <c r="S245" s="58">
        <f>IF('Military Provision'!I245="YES", MAX('2024 Legal Max'!O245,'2024 Legal Max'!K245,AVERAGE('2024 Legal Max'!G245,'2024 Legal Max'!K245,'2024 Legal Max'!O245)), MAX(O245, K245))</f>
        <v>713.5</v>
      </c>
      <c r="T245" s="58">
        <f>IF(ISNA(VLOOKUP($CW245,'Audit Values'!$A:$BX,2,FALSE)),'Preliminary SO66'!AL244,VLOOKUP($CW245,'Audit Values'!$A:$BX,59,FALSE))</f>
        <v>12.5</v>
      </c>
      <c r="U245" s="58">
        <f t="shared" si="170"/>
        <v>726</v>
      </c>
      <c r="V245" s="58">
        <f>'Low-High ENRL- 2023 HSubSB 113'!N248</f>
        <v>246.4</v>
      </c>
      <c r="W245" s="58">
        <f>IF(ISNA(VLOOKUP($CW245,'Audit Values'!$A:$BZ,2,FALSE)),'Preliminary SO66'!AM244,VLOOKUP($CW245,'Audit Values'!$A:$BZ,63,FALSE))</f>
        <v>0.7</v>
      </c>
      <c r="X245" s="58">
        <f>(W245/6)*'Weighting Factors'!$O$7</f>
        <v>0</v>
      </c>
      <c r="Y245" s="61">
        <f>IF(ISNA(VLOOKUP($CW245,'Audit Values'!$A:$BZ,2,FALSE)),'Preliminary SO66'!AN244,VLOOKUP($CW245,'Audit Values'!$A:$BZ,62,FALSE))</f>
        <v>1</v>
      </c>
      <c r="Z245" s="58">
        <f>Y245*'Weighting Factors'!$O$8</f>
        <v>0.2</v>
      </c>
      <c r="AA245" s="58">
        <f t="shared" si="171"/>
        <v>0.2</v>
      </c>
      <c r="AB245" s="106">
        <f>IF(ISNA(VLOOKUP($CW245,'Audit Values'!$A:$BZ,2,FALSE)),'Preliminary SO66'!AO244,VLOOKUP($CW245,'Audit Values'!$A:$BZ,61,FALSE))</f>
        <v>235</v>
      </c>
      <c r="AC245" s="58">
        <f>AB245/6*'Weighting Factors'!$O$6</f>
        <v>19.600000000000001</v>
      </c>
      <c r="AD245" s="24">
        <f>IF(ISNA(VLOOKUP($CW245,'Audit Values'!$A:$BX,2,FALSE)),'Preliminary SO66'!AS244,VLOOKUP($CW245,'Audit Values'!$A:$BX,64,FALSE))</f>
        <v>756</v>
      </c>
      <c r="AE245" s="24">
        <f>IF(ISNA(VLOOKUP($CW245,'Audit Values'!$A:$BX,2,FALSE)),'Preliminary SO66'!AP244,VLOOKUP($CW245,'Audit Values'!$A:$BX,65,FALSE))</f>
        <v>346</v>
      </c>
      <c r="AF245" s="58">
        <f>IF(A245=207, AE245,(AE245))*'Weighting Factors'!$O$9</f>
        <v>167.5</v>
      </c>
      <c r="AG245" s="58">
        <f t="shared" si="168"/>
        <v>26.1</v>
      </c>
      <c r="AH245" s="58">
        <f>IF(ISNA(VLOOKUP($CW245,'Audit Values'!$A:$BZ,2,FALSE)),'Preliminary SO66'!AG244,VLOOKUP($CW245,'Audit Values'!$A:$BZ,71,FALSE))</f>
        <v>26.4</v>
      </c>
      <c r="AI245" s="58">
        <f t="shared" si="172"/>
        <v>26.4</v>
      </c>
      <c r="AJ245" s="58">
        <f>IF(ISNA(VLOOKUP($CW245,'Audit Values'!$A:$BX,2,FALSE)),'Preliminary SO66'!AR244,VLOOKUP($CW245,'Audit Values'!$A:$BX,66,FALSE))</f>
        <v>36.5</v>
      </c>
      <c r="AK245" s="24">
        <f t="shared" si="173"/>
        <v>53060</v>
      </c>
      <c r="AL245" s="58">
        <f>AK245/'Weighting Factors'!$O$5</f>
        <v>10.4</v>
      </c>
      <c r="AM245" s="58">
        <f>CJ245/'Weighting Factors'!$O$5</f>
        <v>0</v>
      </c>
      <c r="AN245" s="58">
        <f>CN245/'Weighting Factors'!$O$5</f>
        <v>0</v>
      </c>
      <c r="AO245" s="24">
        <v>658044</v>
      </c>
      <c r="AP245" s="58">
        <f>AO245/'Weighting Factors'!$O$5</f>
        <v>129.30000000000001</v>
      </c>
      <c r="AQ245" s="58">
        <f>IF(ISNA(VLOOKUP($CW245,'Audit Values'!$A:$BX,2,FALSE)),'Preliminary SO66'!X244,VLOOKUP($CW245,'Audit Values'!$A:$BX,48,FALSE))</f>
        <v>0</v>
      </c>
      <c r="AR245" s="58">
        <f t="shared" si="166"/>
        <v>1325.8</v>
      </c>
      <c r="AS245" s="58">
        <f t="shared" si="167"/>
        <v>1196.5</v>
      </c>
      <c r="AT245" s="58">
        <f>IF(ISNA(VLOOKUP($CW245,'Audit Values'!$A$2:$BX$410,2,FALSE)),'Preliminary SO66'!AA244,VLOOKUP($CW245,'Audit Values'!$A$2:$BX$410,41,FALSE))</f>
        <v>2</v>
      </c>
      <c r="AU245" s="58">
        <f>IF(ISNA(VLOOKUP($CW245,'Audit Values'!$A$2:$BX$410,2,FALSE)),'Preliminary SO66'!AB244,VLOOKUP($CW245,'Audit Values'!$A$2:$BX$410,42,FALSE))</f>
        <v>2</v>
      </c>
      <c r="AV245" s="73">
        <v>0</v>
      </c>
      <c r="AW245" s="73">
        <v>0</v>
      </c>
      <c r="AX245" s="24">
        <f>SUM(AT245*'Weighting Factors'!$R$10)+('2024 Legal Max'!AU245*'Weighting Factors'!$R$11)+('2024 Legal Max'!AV245*'Weighting Factors'!$R$12)+('2024 Legal Max'!AW245*'Weighting Factors'!$R$12)</f>
        <v>16800</v>
      </c>
      <c r="AY245" s="54">
        <f>IF(ISNA(VLOOKUP($CW245,'Audit Values'!$A$2:$BX$429,2,FALSE)),"",IF(AND('Weighting Factors'!G245&gt;0,VLOOKUP($CW245,'Audit Values'!$A$2:$BX$429,51,FALSE)&lt;'Weighting Factors'!G245),'Weighting Factors'!G245,VLOOKUP($CW245,'Audit Values'!$A$2:$BX$429,51,FALSE)))</f>
        <v>14</v>
      </c>
      <c r="AZ245" s="54" t="str">
        <f>IF(ISNA(VLOOKUP($CW245,'Audit Values'!$A:$BY,2,FALSE)),"",VLOOKUP($CW245,'Audit Values'!$A:$BY,52,FALSE))</f>
        <v>A</v>
      </c>
      <c r="BA245" s="54" t="str">
        <f>IF('Weighting Factors'!F245="","",IF('Weighting Factors'!H245="Pending","PX","R"))</f>
        <v/>
      </c>
      <c r="BB245" s="60">
        <f>SUM((U245+V245+AA245+AC245+AF245+AI245+AL245+AM245+AQ245+AN245)*'Weighting Factors'!$O$5)+'2024 Legal Max'!AX245</f>
        <v>6104592</v>
      </c>
      <c r="BC245" s="24">
        <f>SUM((AR245+AN245)*'Weighting Factors'!$O$5)+AX245</f>
        <v>6762470</v>
      </c>
      <c r="BD245" s="67">
        <f>IF('Weighting Factors'!F245&gt;0,'Weighting Factors'!F245,'Preliminary SO66'!AV244)</f>
        <v>7097523</v>
      </c>
      <c r="BE245" s="24">
        <f t="shared" si="174"/>
        <v>6762470</v>
      </c>
      <c r="BF245" s="71">
        <f>'Weighting Factors'!E245</f>
        <v>0</v>
      </c>
      <c r="BG245" s="71">
        <f>Transportation!G245</f>
        <v>0</v>
      </c>
      <c r="BH245" s="24">
        <f>IF(ISNA(VLOOKUP($CW245,'Audit Values'!$A:$BW,2,FALSE)), 0, VLOOKUP($CW245,'Audit Values'!$A:$BW,75,FALSE))</f>
        <v>-3545</v>
      </c>
      <c r="BI245" s="24">
        <f t="shared" si="175"/>
        <v>-3545</v>
      </c>
      <c r="BJ245" s="24">
        <f t="shared" si="176"/>
        <v>6758925</v>
      </c>
      <c r="BK245" s="24">
        <f>SUM((U245+V245+AA245+AC245+AF245+AI245+AL245+AM245+AN245)*'Weighting Factors'!O$12)+(MAX(AO245,'Weighting Factors'!B245))</f>
        <v>6829591</v>
      </c>
      <c r="BL245" s="78">
        <f>'LOB%'!F243</f>
        <v>0.33</v>
      </c>
      <c r="BM245" s="24">
        <f t="shared" si="147"/>
        <v>2253765</v>
      </c>
      <c r="BN245" s="67">
        <v>2360771</v>
      </c>
      <c r="BO245" s="24">
        <f t="shared" si="177"/>
        <v>2253765</v>
      </c>
      <c r="BP245" s="89">
        <f t="shared" si="148"/>
        <v>0.33</v>
      </c>
      <c r="BQ245" s="58">
        <f t="shared" si="149"/>
        <v>0</v>
      </c>
      <c r="BR245" s="1" t="b">
        <f t="shared" si="150"/>
        <v>0</v>
      </c>
      <c r="BS245" s="76">
        <f t="shared" si="151"/>
        <v>0</v>
      </c>
      <c r="BT245" s="75">
        <f t="shared" si="178"/>
        <v>0</v>
      </c>
      <c r="BU245" s="58">
        <f t="shared" si="152"/>
        <v>0</v>
      </c>
      <c r="BV245" s="1" t="b">
        <f t="shared" si="153"/>
        <v>1</v>
      </c>
      <c r="BW245" s="1">
        <f t="shared" si="154"/>
        <v>527.17499999999995</v>
      </c>
      <c r="BX245" s="75">
        <f t="shared" si="179"/>
        <v>0.339453</v>
      </c>
      <c r="BY245" s="58">
        <f t="shared" si="155"/>
        <v>246.4</v>
      </c>
      <c r="BZ245" s="58">
        <f t="shared" si="156"/>
        <v>0</v>
      </c>
      <c r="CA245" s="61">
        <v>119</v>
      </c>
      <c r="CB245" s="102">
        <f t="shared" si="157"/>
        <v>0.307</v>
      </c>
      <c r="CC245" s="105">
        <f>IF(CB245&lt;0.06,1,IF(CB245&gt;=18.29,52,MATCH(CB245-0.001,'Weighting Factors'!$W$5:$W$156)+1))</f>
        <v>20</v>
      </c>
      <c r="CD245" s="24">
        <f>VLOOKUP(CC245, 'Weighting Factors'!$U$5:$X$56,4)</f>
        <v>1190</v>
      </c>
      <c r="CE245" s="109">
        <f>('Weighting Factors'!$O$5/'Weighting Factors'!$O$14)</f>
        <v>1.2216</v>
      </c>
      <c r="CF245" s="100">
        <f t="shared" si="158"/>
        <v>43435</v>
      </c>
      <c r="CG245" s="100">
        <f>CF245*'Weighting Factors'!$Q$7</f>
        <v>43435</v>
      </c>
      <c r="CH245" s="100">
        <f t="shared" si="180"/>
        <v>53060</v>
      </c>
      <c r="CI245" s="58">
        <f>AK245/'Weighting Factors'!$O$5</f>
        <v>10.4</v>
      </c>
      <c r="CJ245" s="67">
        <v>0</v>
      </c>
      <c r="CK245" s="80">
        <v>0</v>
      </c>
      <c r="CL245" s="110">
        <v>0</v>
      </c>
      <c r="CM245" s="24">
        <f>SUM((AR245*'Weighting Factors'!$O$5)+'2024 Legal Max'!AX245)*CL245</f>
        <v>0</v>
      </c>
      <c r="CN245" s="24">
        <f t="shared" si="181"/>
        <v>0</v>
      </c>
      <c r="CO245" s="65">
        <f t="shared" si="146"/>
        <v>0.4577</v>
      </c>
      <c r="CP245" s="58">
        <f t="shared" si="159"/>
        <v>0</v>
      </c>
      <c r="CQ245" s="58">
        <f t="shared" si="160"/>
        <v>26.1</v>
      </c>
      <c r="CR245" s="58">
        <f t="shared" si="161"/>
        <v>1325.8</v>
      </c>
      <c r="CS245" s="24">
        <f>'Required Transfers'!L245</f>
        <v>287355</v>
      </c>
      <c r="CT245" s="24">
        <f>'Required Transfers'!O245</f>
        <v>451</v>
      </c>
      <c r="CU245" s="24">
        <f>'Required Transfers'!H245</f>
        <v>986563</v>
      </c>
      <c r="CV245" s="58">
        <f t="shared" si="162"/>
        <v>744.5</v>
      </c>
      <c r="CW245" s="27" t="s">
        <v>430</v>
      </c>
    </row>
    <row r="246" spans="1:101" ht="15" customHeight="1">
      <c r="A246" s="54">
        <v>462</v>
      </c>
      <c r="B246" s="1" t="s">
        <v>102</v>
      </c>
      <c r="C246" s="1" t="s">
        <v>750</v>
      </c>
      <c r="D246" s="58">
        <v>280.5</v>
      </c>
      <c r="E246" s="58"/>
      <c r="F246" s="58">
        <v>0</v>
      </c>
      <c r="G246" s="58">
        <f t="shared" si="163"/>
        <v>280.5</v>
      </c>
      <c r="H246" s="58">
        <v>278</v>
      </c>
      <c r="I246" s="58"/>
      <c r="J246" s="58">
        <v>0</v>
      </c>
      <c r="K246" s="58">
        <f t="shared" si="164"/>
        <v>278</v>
      </c>
      <c r="L246" s="1">
        <v>270.5</v>
      </c>
      <c r="N246" s="1">
        <v>0</v>
      </c>
      <c r="O246" s="58">
        <f t="shared" si="165"/>
        <v>270.5</v>
      </c>
      <c r="P246" s="58">
        <f>IF(ISNA(VLOOKUP($CW246,'Audit Values'!$A:$BZ,2,FALSE)),'Preliminary SO66'!C245,VLOOKUP($CW246,'Audit Values'!$A:$BZ,76,FALSE))</f>
        <v>261.7</v>
      </c>
      <c r="Q246" s="58">
        <f>IF(ISNA(VLOOKUP($CW246,'Audit Values'!$A:$BZ,2,FALSE)),'Preliminary SO66'!F245,VLOOKUP($CW246,'Audit Values'!$A:$BZ,4,FALSE))</f>
        <v>0</v>
      </c>
      <c r="R246" s="58">
        <f t="shared" si="169"/>
        <v>261.7</v>
      </c>
      <c r="S246" s="58">
        <f>IF('Military Provision'!I246="YES", MAX('2024 Legal Max'!O246,'2024 Legal Max'!K246,AVERAGE('2024 Legal Max'!G246,'2024 Legal Max'!K246,'2024 Legal Max'!O246)), MAX(O246, K246))</f>
        <v>278</v>
      </c>
      <c r="T246" s="58">
        <f>IF(ISNA(VLOOKUP($CW246,'Audit Values'!$A:$BX,2,FALSE)),'Preliminary SO66'!AL245,VLOOKUP($CW246,'Audit Values'!$A:$BX,59,FALSE))</f>
        <v>5</v>
      </c>
      <c r="U246" s="58">
        <f t="shared" si="170"/>
        <v>283</v>
      </c>
      <c r="V246" s="58">
        <f>'Low-High ENRL- 2023 HSubSB 113'!N249</f>
        <v>149.80000000000001</v>
      </c>
      <c r="W246" s="58">
        <f>IF(ISNA(VLOOKUP($CW246,'Audit Values'!$A:$BZ,2,FALSE)),'Preliminary SO66'!AM245,VLOOKUP($CW246,'Audit Values'!$A:$BZ,63,FALSE))</f>
        <v>0</v>
      </c>
      <c r="X246" s="58">
        <f>(W246/6)*'Weighting Factors'!$O$7</f>
        <v>0</v>
      </c>
      <c r="Y246" s="61">
        <f>IF(ISNA(VLOOKUP($CW246,'Audit Values'!$A:$BZ,2,FALSE)),'Preliminary SO66'!AN245,VLOOKUP($CW246,'Audit Values'!$A:$BZ,62,FALSE))</f>
        <v>0</v>
      </c>
      <c r="Z246" s="58">
        <f>Y246*'Weighting Factors'!$O$8</f>
        <v>0</v>
      </c>
      <c r="AA246" s="58">
        <f t="shared" si="171"/>
        <v>0</v>
      </c>
      <c r="AB246" s="106">
        <f>IF(ISNA(VLOOKUP($CW246,'Audit Values'!$A:$BZ,2,FALSE)),'Preliminary SO66'!AO245,VLOOKUP($CW246,'Audit Values'!$A:$BZ,61,FALSE))</f>
        <v>165.3</v>
      </c>
      <c r="AC246" s="58">
        <f>AB246/6*'Weighting Factors'!$O$6</f>
        <v>13.8</v>
      </c>
      <c r="AD246" s="24">
        <f>IF(ISNA(VLOOKUP($CW246,'Audit Values'!$A:$BX,2,FALSE)),'Preliminary SO66'!AS245,VLOOKUP($CW246,'Audit Values'!$A:$BX,64,FALSE))</f>
        <v>274</v>
      </c>
      <c r="AE246" s="24">
        <f>IF(ISNA(VLOOKUP($CW246,'Audit Values'!$A:$BX,2,FALSE)),'Preliminary SO66'!AP245,VLOOKUP($CW246,'Audit Values'!$A:$BX,65,FALSE))</f>
        <v>139</v>
      </c>
      <c r="AF246" s="58">
        <f>IF(A246=207, AE246,(AE246))*'Weighting Factors'!$O$9</f>
        <v>67.3</v>
      </c>
      <c r="AG246" s="58">
        <f t="shared" si="168"/>
        <v>14.6</v>
      </c>
      <c r="AH246" s="58">
        <f>IF(ISNA(VLOOKUP($CW246,'Audit Values'!$A:$BZ,2,FALSE)),'Preliminary SO66'!AG245,VLOOKUP($CW246,'Audit Values'!$A:$BZ,71,FALSE))</f>
        <v>13.5</v>
      </c>
      <c r="AI246" s="58">
        <f t="shared" si="172"/>
        <v>14.6</v>
      </c>
      <c r="AJ246" s="58">
        <f>IF(ISNA(VLOOKUP($CW246,'Audit Values'!$A:$BX,2,FALSE)),'Preliminary SO66'!AR245,VLOOKUP($CW246,'Audit Values'!$A:$BX,66,FALSE))</f>
        <v>99</v>
      </c>
      <c r="AK246" s="24">
        <f t="shared" si="173"/>
        <v>141498</v>
      </c>
      <c r="AL246" s="58">
        <f>AK246/'Weighting Factors'!$O$5</f>
        <v>27.8</v>
      </c>
      <c r="AM246" s="58">
        <f>CJ246/'Weighting Factors'!$O$5</f>
        <v>0</v>
      </c>
      <c r="AN246" s="58">
        <f>CN246/'Weighting Factors'!$O$5</f>
        <v>0</v>
      </c>
      <c r="AO246" s="24">
        <v>324206</v>
      </c>
      <c r="AP246" s="58">
        <f>AO246/'Weighting Factors'!$O$5</f>
        <v>63.7</v>
      </c>
      <c r="AQ246" s="58">
        <f>IF(ISNA(VLOOKUP($CW246,'Audit Values'!$A:$BX,2,FALSE)),'Preliminary SO66'!X245,VLOOKUP($CW246,'Audit Values'!$A:$BX,48,FALSE))</f>
        <v>0</v>
      </c>
      <c r="AR246" s="58">
        <f t="shared" si="166"/>
        <v>620</v>
      </c>
      <c r="AS246" s="58">
        <f t="shared" si="167"/>
        <v>556.29999999999995</v>
      </c>
      <c r="AT246" s="58">
        <f>IF(ISNA(VLOOKUP($CW246,'Audit Values'!$A$2:$BX$410,2,FALSE)),'Preliminary SO66'!AA245,VLOOKUP($CW246,'Audit Values'!$A$2:$BX$410,41,FALSE))</f>
        <v>9</v>
      </c>
      <c r="AU246" s="58">
        <f>IF(ISNA(VLOOKUP($CW246,'Audit Values'!$A$2:$BX$410,2,FALSE)),'Preliminary SO66'!AB245,VLOOKUP($CW246,'Audit Values'!$A$2:$BX$410,42,FALSE))</f>
        <v>0.6</v>
      </c>
      <c r="AV246" s="73">
        <v>0</v>
      </c>
      <c r="AW246" s="73">
        <v>0</v>
      </c>
      <c r="AX246" s="24">
        <f>SUM(AT246*'Weighting Factors'!$R$10)+('2024 Legal Max'!AU246*'Weighting Factors'!$R$11)+('2024 Legal Max'!AV246*'Weighting Factors'!$R$12)+('2024 Legal Max'!AW246*'Weighting Factors'!$R$12)</f>
        <v>52080</v>
      </c>
      <c r="AY246" s="54">
        <f>IF(ISNA(VLOOKUP($CW246,'Audit Values'!$A$2:$BX$429,2,FALSE)),"",IF(AND('Weighting Factors'!G246&gt;0,VLOOKUP($CW246,'Audit Values'!$A$2:$BX$429,51,FALSE)&lt;'Weighting Factors'!G246),'Weighting Factors'!G246,VLOOKUP($CW246,'Audit Values'!$A$2:$BX$429,51,FALSE)))</f>
        <v>14</v>
      </c>
      <c r="AZ246" s="54" t="str">
        <f>IF(ISNA(VLOOKUP($CW246,'Audit Values'!$A:$BY,2,FALSE)),"",VLOOKUP($CW246,'Audit Values'!$A:$BY,52,FALSE))</f>
        <v>A</v>
      </c>
      <c r="BA246" s="54" t="str">
        <f>IF('Weighting Factors'!F246="","",IF('Weighting Factors'!H246="Pending","PX","R"))</f>
        <v/>
      </c>
      <c r="BB246" s="60">
        <f>SUM((U246+V246+AA246+AC246+AF246+AI246+AL246+AM246+AQ246+AN246)*'Weighting Factors'!$O$5)+'2024 Legal Max'!AX246</f>
        <v>2882534</v>
      </c>
      <c r="BC246" s="24">
        <f>SUM((AR246+AN246)*'Weighting Factors'!$O$5)+AX246</f>
        <v>3206640</v>
      </c>
      <c r="BD246" s="67">
        <f>IF('Weighting Factors'!F246&gt;0,'Weighting Factors'!F246,'Preliminary SO66'!AV245)</f>
        <v>3239034</v>
      </c>
      <c r="BE246" s="24">
        <f t="shared" si="174"/>
        <v>3206640</v>
      </c>
      <c r="BF246" s="71">
        <f>'Weighting Factors'!E246</f>
        <v>0</v>
      </c>
      <c r="BG246" s="71">
        <f>Transportation!G246</f>
        <v>0</v>
      </c>
      <c r="BH246" s="24">
        <f>IF(ISNA(VLOOKUP($CW246,'Audit Values'!$A:$BW,2,FALSE)), 0, VLOOKUP($CW246,'Audit Values'!$A:$BW,75,FALSE))</f>
        <v>0</v>
      </c>
      <c r="BI246" s="24">
        <f t="shared" si="175"/>
        <v>0</v>
      </c>
      <c r="BJ246" s="24">
        <f t="shared" si="176"/>
        <v>3206640</v>
      </c>
      <c r="BK246" s="24">
        <f>SUM((U246+V246+AA246+AC246+AF246+AI246+AL246+AM246+AN246)*'Weighting Factors'!O$12)+(MAX(AO246,'Weighting Factors'!B246))</f>
        <v>3193601</v>
      </c>
      <c r="BL246" s="78">
        <f>'LOB%'!F244</f>
        <v>0.316</v>
      </c>
      <c r="BM246" s="24">
        <f t="shared" si="147"/>
        <v>1009178</v>
      </c>
      <c r="BN246" s="67">
        <v>993781</v>
      </c>
      <c r="BO246" s="24">
        <f t="shared" si="177"/>
        <v>993781</v>
      </c>
      <c r="BP246" s="89">
        <f t="shared" si="148"/>
        <v>0.31119999999999998</v>
      </c>
      <c r="BQ246" s="58">
        <f t="shared" si="149"/>
        <v>0</v>
      </c>
      <c r="BR246" s="1" t="b">
        <f t="shared" si="150"/>
        <v>1</v>
      </c>
      <c r="BS246" s="76">
        <f t="shared" si="151"/>
        <v>1766.865</v>
      </c>
      <c r="BT246" s="75">
        <f t="shared" si="178"/>
        <v>0.52924899999999997</v>
      </c>
      <c r="BU246" s="58">
        <f t="shared" si="152"/>
        <v>149.80000000000001</v>
      </c>
      <c r="BV246" s="1" t="b">
        <f t="shared" si="153"/>
        <v>0</v>
      </c>
      <c r="BW246" s="1">
        <f t="shared" si="154"/>
        <v>0</v>
      </c>
      <c r="BX246" s="75">
        <f t="shared" si="179"/>
        <v>0</v>
      </c>
      <c r="BY246" s="58">
        <f t="shared" si="155"/>
        <v>0</v>
      </c>
      <c r="BZ246" s="58">
        <f t="shared" si="156"/>
        <v>0</v>
      </c>
      <c r="CA246" s="61">
        <v>308.89999999999998</v>
      </c>
      <c r="CB246" s="102">
        <f t="shared" si="157"/>
        <v>0.32</v>
      </c>
      <c r="CC246" s="105">
        <f>IF(CB246&lt;0.06,1,IF(CB246&gt;=18.29,52,MATCH(CB246-0.001,'Weighting Factors'!$W$5:$W$156)+1))</f>
        <v>21</v>
      </c>
      <c r="CD246" s="24">
        <f>VLOOKUP(CC246, 'Weighting Factors'!$U$5:$X$56,4)</f>
        <v>1170</v>
      </c>
      <c r="CE246" s="109">
        <f>('Weighting Factors'!$O$5/'Weighting Factors'!$O$14)</f>
        <v>1.2216</v>
      </c>
      <c r="CF246" s="100">
        <f t="shared" si="158"/>
        <v>115830</v>
      </c>
      <c r="CG246" s="100">
        <f>CF246*'Weighting Factors'!$Q$7</f>
        <v>115830</v>
      </c>
      <c r="CH246" s="100">
        <f t="shared" si="180"/>
        <v>141498</v>
      </c>
      <c r="CI246" s="58">
        <f>AK246/'Weighting Factors'!$O$5</f>
        <v>27.8</v>
      </c>
      <c r="CJ246" s="67">
        <v>0</v>
      </c>
      <c r="CK246" s="80">
        <v>0</v>
      </c>
      <c r="CL246" s="110">
        <v>0</v>
      </c>
      <c r="CM246" s="24">
        <f>SUM((AR246*'Weighting Factors'!$O$5)+'2024 Legal Max'!AX246)*CL246</f>
        <v>0</v>
      </c>
      <c r="CN246" s="24">
        <f t="shared" si="181"/>
        <v>0</v>
      </c>
      <c r="CO246" s="65">
        <f t="shared" si="146"/>
        <v>0.50729999999999997</v>
      </c>
      <c r="CP246" s="58">
        <f t="shared" si="159"/>
        <v>14.6</v>
      </c>
      <c r="CQ246" s="58">
        <f t="shared" si="160"/>
        <v>0</v>
      </c>
      <c r="CR246" s="58">
        <f t="shared" si="161"/>
        <v>620</v>
      </c>
      <c r="CS246" s="24">
        <f>'Required Transfers'!L246</f>
        <v>108720</v>
      </c>
      <c r="CT246" s="24">
        <f>'Required Transfers'!O246</f>
        <v>0</v>
      </c>
      <c r="CU246" s="24">
        <f>'Required Transfers'!H246</f>
        <v>416707</v>
      </c>
      <c r="CV246" s="58">
        <f t="shared" si="162"/>
        <v>276.3</v>
      </c>
      <c r="CW246" s="27" t="s">
        <v>431</v>
      </c>
    </row>
    <row r="247" spans="1:101" ht="15" customHeight="1">
      <c r="A247" s="54">
        <v>463</v>
      </c>
      <c r="B247" s="1" t="s">
        <v>102</v>
      </c>
      <c r="C247" s="1" t="s">
        <v>751</v>
      </c>
      <c r="D247" s="58">
        <v>330</v>
      </c>
      <c r="E247" s="58"/>
      <c r="F247" s="58">
        <v>0</v>
      </c>
      <c r="G247" s="58">
        <f t="shared" si="163"/>
        <v>330</v>
      </c>
      <c r="H247" s="58">
        <v>320.5</v>
      </c>
      <c r="I247" s="58"/>
      <c r="J247" s="58">
        <v>0</v>
      </c>
      <c r="K247" s="58">
        <f t="shared" si="164"/>
        <v>320.5</v>
      </c>
      <c r="L247" s="1">
        <v>302.5</v>
      </c>
      <c r="N247" s="1">
        <v>0</v>
      </c>
      <c r="O247" s="58">
        <f t="shared" si="165"/>
        <v>302.5</v>
      </c>
      <c r="P247" s="58">
        <f>IF(ISNA(VLOOKUP($CW247,'Audit Values'!$A:$BZ,2,FALSE)),'Preliminary SO66'!C246,VLOOKUP($CW247,'Audit Values'!$A:$BZ,76,FALSE))</f>
        <v>281.5</v>
      </c>
      <c r="Q247" s="58">
        <f>IF(ISNA(VLOOKUP($CW247,'Audit Values'!$A:$BZ,2,FALSE)),'Preliminary SO66'!F246,VLOOKUP($CW247,'Audit Values'!$A:$BZ,4,FALSE))</f>
        <v>0</v>
      </c>
      <c r="R247" s="58">
        <f t="shared" si="169"/>
        <v>281.5</v>
      </c>
      <c r="S247" s="58">
        <f>IF('Military Provision'!I247="YES", MAX('2024 Legal Max'!O247,'2024 Legal Max'!K247,AVERAGE('2024 Legal Max'!G247,'2024 Legal Max'!K247,'2024 Legal Max'!O247)), MAX(O247, K247))</f>
        <v>320.5</v>
      </c>
      <c r="T247" s="58">
        <f>IF(ISNA(VLOOKUP($CW247,'Audit Values'!$A:$BX,2,FALSE)),'Preliminary SO66'!AL246,VLOOKUP($CW247,'Audit Values'!$A:$BX,59,FALSE))</f>
        <v>5</v>
      </c>
      <c r="U247" s="58">
        <f t="shared" si="170"/>
        <v>325.5</v>
      </c>
      <c r="V247" s="58">
        <f>'Low-High ENRL- 2023 HSubSB 113'!N250</f>
        <v>154.80000000000001</v>
      </c>
      <c r="W247" s="58">
        <f>IF(ISNA(VLOOKUP($CW247,'Audit Values'!$A:$BZ,2,FALSE)),'Preliminary SO66'!AM246,VLOOKUP($CW247,'Audit Values'!$A:$BZ,63,FALSE))</f>
        <v>2.2000000000000002</v>
      </c>
      <c r="X247" s="58">
        <f>(W247/6)*'Weighting Factors'!$O$7</f>
        <v>0.1</v>
      </c>
      <c r="Y247" s="61">
        <f>IF(ISNA(VLOOKUP($CW247,'Audit Values'!$A:$BZ,2,FALSE)),'Preliminary SO66'!AN246,VLOOKUP($CW247,'Audit Values'!$A:$BZ,62,FALSE))</f>
        <v>2</v>
      </c>
      <c r="Z247" s="58">
        <f>Y247*'Weighting Factors'!$O$8</f>
        <v>0.4</v>
      </c>
      <c r="AA247" s="58">
        <f t="shared" si="171"/>
        <v>0.4</v>
      </c>
      <c r="AB247" s="106">
        <f>IF(ISNA(VLOOKUP($CW247,'Audit Values'!$A:$BZ,2,FALSE)),'Preliminary SO66'!AO246,VLOOKUP($CW247,'Audit Values'!$A:$BZ,61,FALSE))</f>
        <v>100.4</v>
      </c>
      <c r="AC247" s="58">
        <f>AB247/6*'Weighting Factors'!$O$6</f>
        <v>8.4</v>
      </c>
      <c r="AD247" s="24">
        <f>IF(ISNA(VLOOKUP($CW247,'Audit Values'!$A:$BX,2,FALSE)),'Preliminary SO66'!AS246,VLOOKUP($CW247,'Audit Values'!$A:$BX,64,FALSE))</f>
        <v>296</v>
      </c>
      <c r="AE247" s="24">
        <f>IF(ISNA(VLOOKUP($CW247,'Audit Values'!$A:$BX,2,FALSE)),'Preliminary SO66'!AP246,VLOOKUP($CW247,'Audit Values'!$A:$BX,65,FALSE))</f>
        <v>121</v>
      </c>
      <c r="AF247" s="58">
        <f>IF(A247=207, AE247,(AE247))*'Weighting Factors'!$O$9</f>
        <v>58.6</v>
      </c>
      <c r="AG247" s="58">
        <f t="shared" si="168"/>
        <v>5</v>
      </c>
      <c r="AH247" s="58">
        <f>IF(ISNA(VLOOKUP($CW247,'Audit Values'!$A:$BZ,2,FALSE)),'Preliminary SO66'!AG246,VLOOKUP($CW247,'Audit Values'!$A:$BZ,71,FALSE))</f>
        <v>7.1</v>
      </c>
      <c r="AI247" s="58">
        <f t="shared" si="172"/>
        <v>7.1</v>
      </c>
      <c r="AJ247" s="58">
        <f>IF(ISNA(VLOOKUP($CW247,'Audit Values'!$A:$BX,2,FALSE)),'Preliminary SO66'!AR246,VLOOKUP($CW247,'Audit Values'!$A:$BX,66,FALSE))</f>
        <v>125</v>
      </c>
      <c r="AK247" s="24">
        <f t="shared" si="173"/>
        <v>148119</v>
      </c>
      <c r="AL247" s="58">
        <f>AK247/'Weighting Factors'!$O$5</f>
        <v>29.1</v>
      </c>
      <c r="AM247" s="58">
        <f>CJ247/'Weighting Factors'!$O$5</f>
        <v>0</v>
      </c>
      <c r="AN247" s="58">
        <f>CN247/'Weighting Factors'!$O$5</f>
        <v>0</v>
      </c>
      <c r="AO247" s="24">
        <v>351470</v>
      </c>
      <c r="AP247" s="58">
        <f>AO247/'Weighting Factors'!$O$5</f>
        <v>69.099999999999994</v>
      </c>
      <c r="AQ247" s="58">
        <f>IF(ISNA(VLOOKUP($CW247,'Audit Values'!$A:$BX,2,FALSE)),'Preliminary SO66'!X246,VLOOKUP($CW247,'Audit Values'!$A:$BX,48,FALSE))</f>
        <v>0</v>
      </c>
      <c r="AR247" s="58">
        <f t="shared" si="166"/>
        <v>653</v>
      </c>
      <c r="AS247" s="58">
        <f t="shared" si="167"/>
        <v>583.9</v>
      </c>
      <c r="AT247" s="58">
        <f>IF(ISNA(VLOOKUP($CW247,'Audit Values'!$A$2:$BX$410,2,FALSE)),'Preliminary SO66'!AA246,VLOOKUP($CW247,'Audit Values'!$A$2:$BX$410,41,FALSE))</f>
        <v>1</v>
      </c>
      <c r="AU247" s="58">
        <f>IF(ISNA(VLOOKUP($CW247,'Audit Values'!$A$2:$BX$410,2,FALSE)),'Preliminary SO66'!AB246,VLOOKUP($CW247,'Audit Values'!$A$2:$BX$410,42,FALSE))</f>
        <v>0.5</v>
      </c>
      <c r="AV247" s="73">
        <v>0</v>
      </c>
      <c r="AW247" s="73">
        <v>0</v>
      </c>
      <c r="AX247" s="24">
        <f>SUM(AT247*'Weighting Factors'!$R$10)+('2024 Legal Max'!AU247*'Weighting Factors'!$R$11)+('2024 Legal Max'!AV247*'Weighting Factors'!$R$12)+('2024 Legal Max'!AW247*'Weighting Factors'!$R$12)</f>
        <v>7000</v>
      </c>
      <c r="AY247" s="54">
        <f>IF(ISNA(VLOOKUP($CW247,'Audit Values'!$A$2:$BX$429,2,FALSE)),"",IF(AND('Weighting Factors'!G247&gt;0,VLOOKUP($CW247,'Audit Values'!$A$2:$BX$429,51,FALSE)&lt;'Weighting Factors'!G247),'Weighting Factors'!G247,VLOOKUP($CW247,'Audit Values'!$A$2:$BX$429,51,FALSE)))</f>
        <v>16</v>
      </c>
      <c r="AZ247" s="54" t="str">
        <f>IF(ISNA(VLOOKUP($CW247,'Audit Values'!$A:$BY,2,FALSE)),"",VLOOKUP($CW247,'Audit Values'!$A:$BY,52,FALSE))</f>
        <v>A</v>
      </c>
      <c r="BA247" s="54" t="str">
        <f>IF('Weighting Factors'!F247="","",IF('Weighting Factors'!H247="Pending","PX","R"))</f>
        <v/>
      </c>
      <c r="BB247" s="60">
        <f>SUM((U247+V247+AA247+AC247+AF247+AI247+AL247+AM247+AQ247+AN247)*'Weighting Factors'!$O$5)+'2024 Legal Max'!AX247</f>
        <v>2977883</v>
      </c>
      <c r="BC247" s="24">
        <f>SUM((AR247+AN247)*'Weighting Factors'!$O$5)+AX247</f>
        <v>3329464</v>
      </c>
      <c r="BD247" s="67">
        <f>IF('Weighting Factors'!F247&gt;0,'Weighting Factors'!F247,'Preliminary SO66'!AV246)</f>
        <v>3509200</v>
      </c>
      <c r="BE247" s="24">
        <f t="shared" si="174"/>
        <v>3329464</v>
      </c>
      <c r="BF247" s="71">
        <f>'Weighting Factors'!E247</f>
        <v>0</v>
      </c>
      <c r="BG247" s="71">
        <f>Transportation!G247</f>
        <v>0</v>
      </c>
      <c r="BH247" s="24">
        <f>IF(ISNA(VLOOKUP($CW247,'Audit Values'!$A:$BW,2,FALSE)), 0, VLOOKUP($CW247,'Audit Values'!$A:$BW,75,FALSE))</f>
        <v>0</v>
      </c>
      <c r="BI247" s="24">
        <f t="shared" si="175"/>
        <v>0</v>
      </c>
      <c r="BJ247" s="24">
        <f t="shared" si="176"/>
        <v>3329464</v>
      </c>
      <c r="BK247" s="24">
        <f>SUM((U247+V247+AA247+AC247+AF247+AI247+AL247+AM247+AN247)*'Weighting Factors'!O$12)+(MAX(AO247,'Weighting Factors'!B247))</f>
        <v>3383349</v>
      </c>
      <c r="BL247" s="78">
        <f>'LOB%'!F245</f>
        <v>0.316</v>
      </c>
      <c r="BM247" s="24">
        <f t="shared" si="147"/>
        <v>1069138</v>
      </c>
      <c r="BN247" s="67">
        <v>1118587</v>
      </c>
      <c r="BO247" s="24">
        <f t="shared" si="177"/>
        <v>1069138</v>
      </c>
      <c r="BP247" s="89">
        <f t="shared" si="148"/>
        <v>0.316</v>
      </c>
      <c r="BQ247" s="58">
        <f t="shared" si="149"/>
        <v>0</v>
      </c>
      <c r="BR247" s="1" t="b">
        <f t="shared" si="150"/>
        <v>0</v>
      </c>
      <c r="BS247" s="76">
        <f t="shared" si="151"/>
        <v>0</v>
      </c>
      <c r="BT247" s="75">
        <f t="shared" si="178"/>
        <v>0</v>
      </c>
      <c r="BU247" s="58">
        <f t="shared" si="152"/>
        <v>0</v>
      </c>
      <c r="BV247" s="1" t="b">
        <f t="shared" si="153"/>
        <v>1</v>
      </c>
      <c r="BW247" s="1">
        <f t="shared" si="154"/>
        <v>31.5563</v>
      </c>
      <c r="BX247" s="75">
        <f t="shared" si="179"/>
        <v>0.47552299999999997</v>
      </c>
      <c r="BY247" s="58">
        <f t="shared" si="155"/>
        <v>154.80000000000001</v>
      </c>
      <c r="BZ247" s="58">
        <f t="shared" si="156"/>
        <v>0</v>
      </c>
      <c r="CA247" s="61">
        <v>140</v>
      </c>
      <c r="CB247" s="102">
        <f t="shared" si="157"/>
        <v>0.89300000000000002</v>
      </c>
      <c r="CC247" s="105">
        <f>IF(CB247&lt;0.06,1,IF(CB247&gt;=18.29,52,MATCH(CB247-0.001,'Weighting Factors'!$W$5:$W$156)+1))</f>
        <v>31</v>
      </c>
      <c r="CD247" s="24">
        <f>VLOOKUP(CC247, 'Weighting Factors'!$U$5:$X$56,4)</f>
        <v>970</v>
      </c>
      <c r="CE247" s="109">
        <f>('Weighting Factors'!$O$5/'Weighting Factors'!$O$14)</f>
        <v>1.2216</v>
      </c>
      <c r="CF247" s="100">
        <f t="shared" si="158"/>
        <v>121250</v>
      </c>
      <c r="CG247" s="100">
        <f>CF247*'Weighting Factors'!$Q$7</f>
        <v>121250</v>
      </c>
      <c r="CH247" s="100">
        <f t="shared" si="180"/>
        <v>148119</v>
      </c>
      <c r="CI247" s="58">
        <f>AK247/'Weighting Factors'!$O$5</f>
        <v>29.1</v>
      </c>
      <c r="CJ247" s="67">
        <v>0</v>
      </c>
      <c r="CK247" s="80">
        <v>0</v>
      </c>
      <c r="CL247" s="110">
        <v>0</v>
      </c>
      <c r="CM247" s="24">
        <f>SUM((AR247*'Weighting Factors'!$O$5)+'2024 Legal Max'!AX247)*CL247</f>
        <v>0</v>
      </c>
      <c r="CN247" s="24">
        <f t="shared" si="181"/>
        <v>0</v>
      </c>
      <c r="CO247" s="65">
        <f t="shared" si="146"/>
        <v>0.4088</v>
      </c>
      <c r="CP247" s="58">
        <f t="shared" si="159"/>
        <v>0</v>
      </c>
      <c r="CQ247" s="58">
        <f t="shared" si="160"/>
        <v>5</v>
      </c>
      <c r="CR247" s="58">
        <f t="shared" si="161"/>
        <v>653</v>
      </c>
      <c r="CS247" s="24">
        <f>'Required Transfers'!L247</f>
        <v>96650</v>
      </c>
      <c r="CT247" s="24">
        <f>'Required Transfers'!O247</f>
        <v>641</v>
      </c>
      <c r="CU247" s="24">
        <f>'Required Transfers'!H247</f>
        <v>334282</v>
      </c>
      <c r="CV247" s="58">
        <f t="shared" si="162"/>
        <v>288</v>
      </c>
      <c r="CW247" s="27" t="s">
        <v>432</v>
      </c>
    </row>
    <row r="248" spans="1:101" ht="15" customHeight="1">
      <c r="A248" s="54">
        <v>464</v>
      </c>
      <c r="B248" s="1" t="s">
        <v>11</v>
      </c>
      <c r="C248" s="1" t="s">
        <v>752</v>
      </c>
      <c r="D248" s="58">
        <v>1836.2</v>
      </c>
      <c r="E248" s="58"/>
      <c r="F248" s="58">
        <v>0</v>
      </c>
      <c r="G248" s="58">
        <f t="shared" si="163"/>
        <v>1836.2</v>
      </c>
      <c r="H248" s="58">
        <v>1854</v>
      </c>
      <c r="I248" s="58"/>
      <c r="J248" s="58">
        <v>0</v>
      </c>
      <c r="K248" s="58">
        <f t="shared" si="164"/>
        <v>1854</v>
      </c>
      <c r="L248" s="1">
        <v>1897.8</v>
      </c>
      <c r="N248" s="1">
        <v>0</v>
      </c>
      <c r="O248" s="58">
        <f t="shared" si="165"/>
        <v>1897.8</v>
      </c>
      <c r="P248" s="58">
        <f>IF(ISNA(VLOOKUP($CW248,'Audit Values'!$A:$BZ,2,FALSE)),'Preliminary SO66'!C247,VLOOKUP($CW248,'Audit Values'!$A:$BZ,76,FALSE))</f>
        <v>1898.2</v>
      </c>
      <c r="Q248" s="58">
        <f>IF(ISNA(VLOOKUP($CW248,'Audit Values'!$A:$BZ,2,FALSE)),'Preliminary SO66'!F247,VLOOKUP($CW248,'Audit Values'!$A:$BZ,4,FALSE))</f>
        <v>0</v>
      </c>
      <c r="R248" s="58">
        <f t="shared" si="169"/>
        <v>1898.2</v>
      </c>
      <c r="S248" s="58">
        <f>IF('Military Provision'!I248="YES", MAX('2024 Legal Max'!O248,'2024 Legal Max'!K248,AVERAGE('2024 Legal Max'!G248,'2024 Legal Max'!K248,'2024 Legal Max'!O248)), MAX(O248, K248))</f>
        <v>1897.8</v>
      </c>
      <c r="T248" s="58">
        <f>IF(ISNA(VLOOKUP($CW248,'Audit Values'!$A:$BX,2,FALSE)),'Preliminary SO66'!AL247,VLOOKUP($CW248,'Audit Values'!$A:$BX,59,FALSE))</f>
        <v>14.5</v>
      </c>
      <c r="U248" s="58">
        <f t="shared" si="170"/>
        <v>1912.3</v>
      </c>
      <c r="V248" s="58">
        <f>'Low-High ENRL- 2023 HSubSB 113'!N251</f>
        <v>67</v>
      </c>
      <c r="W248" s="58">
        <f>IF(ISNA(VLOOKUP($CW248,'Audit Values'!$A:$BZ,2,FALSE)),'Preliminary SO66'!AM247,VLOOKUP($CW248,'Audit Values'!$A:$BZ,63,FALSE))</f>
        <v>38.9</v>
      </c>
      <c r="X248" s="58">
        <f>(W248/6)*'Weighting Factors'!$O$7</f>
        <v>2.6</v>
      </c>
      <c r="Y248" s="61">
        <f>IF(ISNA(VLOOKUP($CW248,'Audit Values'!$A:$BZ,2,FALSE)),'Preliminary SO66'!AN247,VLOOKUP($CW248,'Audit Values'!$A:$BZ,62,FALSE))</f>
        <v>29</v>
      </c>
      <c r="Z248" s="58">
        <f>Y248*'Weighting Factors'!$O$8</f>
        <v>5.4</v>
      </c>
      <c r="AA248" s="58">
        <f t="shared" si="171"/>
        <v>5.4</v>
      </c>
      <c r="AB248" s="106">
        <f>IF(ISNA(VLOOKUP($CW248,'Audit Values'!$A:$BZ,2,FALSE)),'Preliminary SO66'!AO247,VLOOKUP($CW248,'Audit Values'!$A:$BZ,61,FALSE))</f>
        <v>491.3</v>
      </c>
      <c r="AC248" s="58">
        <f>AB248/6*'Weighting Factors'!$O$6</f>
        <v>40.9</v>
      </c>
      <c r="AD248" s="24">
        <f>IF(ISNA(VLOOKUP($CW248,'Audit Values'!$A:$BX,2,FALSE)),'Preliminary SO66'!AS247,VLOOKUP($CW248,'Audit Values'!$A:$BX,64,FALSE))</f>
        <v>1940</v>
      </c>
      <c r="AE248" s="24">
        <f>IF(ISNA(VLOOKUP($CW248,'Audit Values'!$A:$BX,2,FALSE)),'Preliminary SO66'!AP247,VLOOKUP($CW248,'Audit Values'!$A:$BX,65,FALSE))</f>
        <v>444</v>
      </c>
      <c r="AF248" s="58">
        <f>IF(A248=207, AE248,(AE248))*'Weighting Factors'!$O$9</f>
        <v>214.9</v>
      </c>
      <c r="AG248" s="58">
        <f t="shared" si="168"/>
        <v>0</v>
      </c>
      <c r="AH248" s="58">
        <f>IF(ISNA(VLOOKUP($CW248,'Audit Values'!$A:$BZ,2,FALSE)),'Preliminary SO66'!AG247,VLOOKUP($CW248,'Audit Values'!$A:$BZ,71,FALSE))</f>
        <v>0</v>
      </c>
      <c r="AI248" s="58">
        <f t="shared" si="172"/>
        <v>0</v>
      </c>
      <c r="AJ248" s="58">
        <f>IF(ISNA(VLOOKUP($CW248,'Audit Values'!$A:$BX,2,FALSE)),'Preliminary SO66'!AR247,VLOOKUP($CW248,'Audit Values'!$A:$BX,66,FALSE))</f>
        <v>605</v>
      </c>
      <c r="AK248" s="24">
        <f t="shared" si="173"/>
        <v>539520</v>
      </c>
      <c r="AL248" s="58">
        <f>AK248/'Weighting Factors'!$O$5</f>
        <v>106</v>
      </c>
      <c r="AM248" s="58">
        <f>CJ248/'Weighting Factors'!$O$5</f>
        <v>0</v>
      </c>
      <c r="AN248" s="58">
        <f>CN248/'Weighting Factors'!$O$5</f>
        <v>0</v>
      </c>
      <c r="AO248" s="24">
        <v>2181657</v>
      </c>
      <c r="AP248" s="58">
        <f>AO248/'Weighting Factors'!$O$5</f>
        <v>428.8</v>
      </c>
      <c r="AQ248" s="58">
        <f>IF(ISNA(VLOOKUP($CW248,'Audit Values'!$A:$BX,2,FALSE)),'Preliminary SO66'!X247,VLOOKUP($CW248,'Audit Values'!$A:$BX,48,FALSE))</f>
        <v>1</v>
      </c>
      <c r="AR248" s="58">
        <f t="shared" si="166"/>
        <v>2776.3</v>
      </c>
      <c r="AS248" s="58">
        <f t="shared" si="167"/>
        <v>2347.5</v>
      </c>
      <c r="AT248" s="58">
        <f>IF(ISNA(VLOOKUP($CW248,'Audit Values'!$A$2:$BX$410,2,FALSE)),'Preliminary SO66'!AA247,VLOOKUP($CW248,'Audit Values'!$A$2:$BX$410,41,FALSE))</f>
        <v>14</v>
      </c>
      <c r="AU248" s="58">
        <f>IF(ISNA(VLOOKUP($CW248,'Audit Values'!$A$2:$BX$410,2,FALSE)),'Preliminary SO66'!AB247,VLOOKUP($CW248,'Audit Values'!$A$2:$BX$410,42,FALSE))</f>
        <v>1.7</v>
      </c>
      <c r="AV248" s="73">
        <v>0</v>
      </c>
      <c r="AW248" s="73">
        <v>0</v>
      </c>
      <c r="AX248" s="24">
        <f>SUM(AT248*'Weighting Factors'!$R$10)+('2024 Legal Max'!AU248*'Weighting Factors'!$R$11)+('2024 Legal Max'!AV248*'Weighting Factors'!$R$12)+('2024 Legal Max'!AW248*'Weighting Factors'!$R$12)</f>
        <v>83160</v>
      </c>
      <c r="AY248" s="54">
        <f>IF(ISNA(VLOOKUP($CW248,'Audit Values'!$A$2:$BX$429,2,FALSE)),"",IF(AND('Weighting Factors'!G248&gt;0,VLOOKUP($CW248,'Audit Values'!$A$2:$BX$429,51,FALSE)&lt;'Weighting Factors'!G248),'Weighting Factors'!G248,VLOOKUP($CW248,'Audit Values'!$A$2:$BX$429,51,FALSE)))</f>
        <v>10</v>
      </c>
      <c r="AZ248" s="54" t="str">
        <f>IF(ISNA(VLOOKUP($CW248,'Audit Values'!$A:$BY,2,FALSE)),"",VLOOKUP($CW248,'Audit Values'!$A:$BY,52,FALSE))</f>
        <v>A</v>
      </c>
      <c r="BA248" s="54" t="str">
        <f>IF('Weighting Factors'!F248="","",IF('Weighting Factors'!H248="Pending","PX","R"))</f>
        <v/>
      </c>
      <c r="BB248" s="60">
        <f>SUM((U248+V248+AA248+AC248+AF248+AI248+AL248+AM248+AQ248+AN248)*'Weighting Factors'!$O$5)+'2024 Legal Max'!AX248</f>
        <v>12027240</v>
      </c>
      <c r="BC248" s="24">
        <f>SUM((AR248+AN248)*'Weighting Factors'!$O$5)+AX248</f>
        <v>14208974</v>
      </c>
      <c r="BD248" s="67">
        <f>IF('Weighting Factors'!F248&gt;0,'Weighting Factors'!F248,'Preliminary SO66'!AV247)</f>
        <v>14567254</v>
      </c>
      <c r="BE248" s="24">
        <f t="shared" si="174"/>
        <v>14208974</v>
      </c>
      <c r="BF248" s="71">
        <f>'Weighting Factors'!E248</f>
        <v>0</v>
      </c>
      <c r="BG248" s="71">
        <f>Transportation!G248</f>
        <v>0</v>
      </c>
      <c r="BH248" s="24">
        <f>IF(ISNA(VLOOKUP($CW248,'Audit Values'!$A:$BW,2,FALSE)), 0, VLOOKUP($CW248,'Audit Values'!$A:$BW,75,FALSE))</f>
        <v>-5600</v>
      </c>
      <c r="BI248" s="24">
        <f t="shared" si="175"/>
        <v>-5600</v>
      </c>
      <c r="BJ248" s="24">
        <f t="shared" si="176"/>
        <v>14203374</v>
      </c>
      <c r="BK248" s="24">
        <f>SUM((U248+V248+AA248+AC248+AF248+AI248+AL248+AM248+AN248)*'Weighting Factors'!O$12)+(MAX(AO248,'Weighting Factors'!B248))</f>
        <v>14284904</v>
      </c>
      <c r="BL248" s="78">
        <f>'LOB%'!F246</f>
        <v>0.316</v>
      </c>
      <c r="BM248" s="24">
        <f t="shared" si="147"/>
        <v>4514030</v>
      </c>
      <c r="BN248" s="67">
        <v>4622557</v>
      </c>
      <c r="BO248" s="24">
        <f t="shared" si="177"/>
        <v>4514030</v>
      </c>
      <c r="BP248" s="89">
        <f t="shared" si="148"/>
        <v>0.316</v>
      </c>
      <c r="BQ248" s="58">
        <f t="shared" si="149"/>
        <v>0</v>
      </c>
      <c r="BR248" s="1" t="b">
        <f t="shared" si="150"/>
        <v>0</v>
      </c>
      <c r="BS248" s="76">
        <f t="shared" si="151"/>
        <v>0</v>
      </c>
      <c r="BT248" s="75">
        <f t="shared" si="178"/>
        <v>0</v>
      </c>
      <c r="BU248" s="58">
        <f t="shared" si="152"/>
        <v>0</v>
      </c>
      <c r="BV248" s="1" t="b">
        <f t="shared" si="153"/>
        <v>0</v>
      </c>
      <c r="BW248" s="1">
        <f t="shared" si="154"/>
        <v>0</v>
      </c>
      <c r="BX248" s="75">
        <f t="shared" si="179"/>
        <v>0</v>
      </c>
      <c r="BY248" s="58">
        <f t="shared" si="155"/>
        <v>0</v>
      </c>
      <c r="BZ248" s="58">
        <f t="shared" si="156"/>
        <v>67</v>
      </c>
      <c r="CA248" s="61">
        <v>141.9</v>
      </c>
      <c r="CB248" s="102">
        <f t="shared" si="157"/>
        <v>4.2640000000000002</v>
      </c>
      <c r="CC248" s="105">
        <f>IF(CB248&lt;0.06,1,IF(CB248&gt;=18.29,52,MATCH(CB248-0.001,'Weighting Factors'!$W$5:$W$156)+1))</f>
        <v>43</v>
      </c>
      <c r="CD248" s="24">
        <f>VLOOKUP(CC248, 'Weighting Factors'!$U$5:$X$56,4)</f>
        <v>730</v>
      </c>
      <c r="CE248" s="109">
        <f>('Weighting Factors'!$O$5/'Weighting Factors'!$O$14)</f>
        <v>1.2216</v>
      </c>
      <c r="CF248" s="100">
        <f t="shared" si="158"/>
        <v>441650</v>
      </c>
      <c r="CG248" s="100">
        <f>CF248*'Weighting Factors'!$Q$7</f>
        <v>441650</v>
      </c>
      <c r="CH248" s="100">
        <f t="shared" si="180"/>
        <v>539520</v>
      </c>
      <c r="CI248" s="58">
        <f>AK248/'Weighting Factors'!$O$5</f>
        <v>106</v>
      </c>
      <c r="CJ248" s="67">
        <v>0</v>
      </c>
      <c r="CK248" s="80">
        <v>0</v>
      </c>
      <c r="CL248" s="110">
        <v>3.0099999999999998E-2</v>
      </c>
      <c r="CM248" s="24">
        <f>SUM((AR248*'Weighting Factors'!$O$5)+'2024 Legal Max'!AX248)*CL248</f>
        <v>427690</v>
      </c>
      <c r="CN248" s="24">
        <f t="shared" si="181"/>
        <v>0</v>
      </c>
      <c r="CO248" s="65">
        <f t="shared" si="146"/>
        <v>0.22889999999999999</v>
      </c>
      <c r="CP248" s="58">
        <f t="shared" si="159"/>
        <v>0</v>
      </c>
      <c r="CQ248" s="58">
        <f t="shared" si="160"/>
        <v>0</v>
      </c>
      <c r="CR248" s="58">
        <f t="shared" si="161"/>
        <v>2776.3</v>
      </c>
      <c r="CS248" s="24">
        <f>'Required Transfers'!L248</f>
        <v>351192</v>
      </c>
      <c r="CT248" s="24">
        <f>'Required Transfers'!O248</f>
        <v>9028</v>
      </c>
      <c r="CU248" s="24">
        <f>'Required Transfers'!H248</f>
        <v>1093411</v>
      </c>
      <c r="CV248" s="58">
        <f t="shared" si="162"/>
        <v>1928.4</v>
      </c>
      <c r="CW248" s="27" t="s">
        <v>433</v>
      </c>
    </row>
    <row r="249" spans="1:101" ht="15" customHeight="1">
      <c r="A249" s="54">
        <v>465</v>
      </c>
      <c r="B249" s="1" t="s">
        <v>102</v>
      </c>
      <c r="C249" s="1" t="s">
        <v>753</v>
      </c>
      <c r="D249" s="58">
        <v>2062.5</v>
      </c>
      <c r="E249" s="58"/>
      <c r="F249" s="58">
        <v>0</v>
      </c>
      <c r="G249" s="58">
        <f t="shared" si="163"/>
        <v>2062.5</v>
      </c>
      <c r="H249" s="58">
        <v>2049.3000000000002</v>
      </c>
      <c r="I249" s="58">
        <v>1</v>
      </c>
      <c r="J249" s="58">
        <v>0</v>
      </c>
      <c r="K249" s="58">
        <f t="shared" si="164"/>
        <v>2048.3000000000002</v>
      </c>
      <c r="L249" s="1">
        <v>2046.5</v>
      </c>
      <c r="N249" s="1">
        <v>0</v>
      </c>
      <c r="O249" s="58">
        <f t="shared" si="165"/>
        <v>2046.5</v>
      </c>
      <c r="P249" s="58">
        <f>IF(ISNA(VLOOKUP($CW249,'Audit Values'!$A:$BZ,2,FALSE)),'Preliminary SO66'!C248,VLOOKUP($CW249,'Audit Values'!$A:$BZ,76,FALSE))</f>
        <v>1964.6</v>
      </c>
      <c r="Q249" s="58">
        <f>IF(ISNA(VLOOKUP($CW249,'Audit Values'!$A:$BZ,2,FALSE)),'Preliminary SO66'!F248,VLOOKUP($CW249,'Audit Values'!$A:$BZ,4,FALSE))</f>
        <v>0</v>
      </c>
      <c r="R249" s="58">
        <f t="shared" si="169"/>
        <v>1964.6</v>
      </c>
      <c r="S249" s="58">
        <f>IF('Military Provision'!I249="YES", MAX('2024 Legal Max'!O249,'2024 Legal Max'!K249,AVERAGE('2024 Legal Max'!G249,'2024 Legal Max'!K249,'2024 Legal Max'!O249)), MAX(O249, K249))</f>
        <v>2048.3000000000002</v>
      </c>
      <c r="T249" s="58">
        <f>IF(ISNA(VLOOKUP($CW249,'Audit Values'!$A:$BX,2,FALSE)),'Preliminary SO66'!AL248,VLOOKUP($CW249,'Audit Values'!$A:$BX,59,FALSE))</f>
        <v>18.5</v>
      </c>
      <c r="U249" s="58">
        <f t="shared" si="170"/>
        <v>2066.8000000000002</v>
      </c>
      <c r="V249" s="58">
        <f>'Low-High ENRL- 2023 HSubSB 113'!N252</f>
        <v>72.400000000000006</v>
      </c>
      <c r="W249" s="58">
        <f>IF(ISNA(VLOOKUP($CW249,'Audit Values'!$A:$BZ,2,FALSE)),'Preliminary SO66'!AM248,VLOOKUP($CW249,'Audit Values'!$A:$BZ,63,FALSE))</f>
        <v>55.5</v>
      </c>
      <c r="X249" s="58">
        <f>(W249/6)*'Weighting Factors'!$O$7</f>
        <v>3.7</v>
      </c>
      <c r="Y249" s="61">
        <f>IF(ISNA(VLOOKUP($CW249,'Audit Values'!$A:$BZ,2,FALSE)),'Preliminary SO66'!AN248,VLOOKUP($CW249,'Audit Values'!$A:$BZ,62,FALSE))</f>
        <v>77</v>
      </c>
      <c r="Z249" s="58">
        <f>Y249*'Weighting Factors'!$O$8</f>
        <v>14.2</v>
      </c>
      <c r="AA249" s="58">
        <f t="shared" si="171"/>
        <v>14.2</v>
      </c>
      <c r="AB249" s="106">
        <f>IF(ISNA(VLOOKUP($CW249,'Audit Values'!$A:$BZ,2,FALSE)),'Preliminary SO66'!AO248,VLOOKUP($CW249,'Audit Values'!$A:$BZ,61,FALSE))</f>
        <v>643.9</v>
      </c>
      <c r="AC249" s="58">
        <f>AB249/6*'Weighting Factors'!$O$6</f>
        <v>53.7</v>
      </c>
      <c r="AD249" s="24">
        <f>IF(ISNA(VLOOKUP($CW249,'Audit Values'!$A:$BX,2,FALSE)),'Preliminary SO66'!AS248,VLOOKUP($CW249,'Audit Values'!$A:$BX,64,FALSE))</f>
        <v>2030</v>
      </c>
      <c r="AE249" s="24">
        <f>IF(ISNA(VLOOKUP($CW249,'Audit Values'!$A:$BX,2,FALSE)),'Preliminary SO66'!AP248,VLOOKUP($CW249,'Audit Values'!$A:$BX,65,FALSE))</f>
        <v>1030</v>
      </c>
      <c r="AF249" s="58">
        <f>IF(A249=207, AE249,(AE249))*'Weighting Factors'!$O$9</f>
        <v>498.5</v>
      </c>
      <c r="AG249" s="58">
        <f t="shared" si="168"/>
        <v>108.2</v>
      </c>
      <c r="AH249" s="58">
        <f>IF(ISNA(VLOOKUP($CW249,'Audit Values'!$A:$BZ,2,FALSE)),'Preliminary SO66'!AG248,VLOOKUP($CW249,'Audit Values'!$A:$BZ,71,FALSE))</f>
        <v>85</v>
      </c>
      <c r="AI249" s="58">
        <f t="shared" si="172"/>
        <v>108.2</v>
      </c>
      <c r="AJ249" s="58">
        <f>IF(ISNA(VLOOKUP($CW249,'Audit Values'!$A:$BX,2,FALSE)),'Preliminary SO66'!AR248,VLOOKUP($CW249,'Audit Values'!$A:$BX,66,FALSE))</f>
        <v>536</v>
      </c>
      <c r="AK249" s="24">
        <f t="shared" si="173"/>
        <v>543465</v>
      </c>
      <c r="AL249" s="58">
        <f>AK249/'Weighting Factors'!$O$5</f>
        <v>106.8</v>
      </c>
      <c r="AM249" s="58">
        <f>CJ249/'Weighting Factors'!$O$5</f>
        <v>0</v>
      </c>
      <c r="AN249" s="58">
        <f>CN249/'Weighting Factors'!$O$5</f>
        <v>0</v>
      </c>
      <c r="AO249" s="24">
        <v>2541773</v>
      </c>
      <c r="AP249" s="58">
        <f>AO249/'Weighting Factors'!$O$5</f>
        <v>499.6</v>
      </c>
      <c r="AQ249" s="58">
        <f>IF(ISNA(VLOOKUP($CW249,'Audit Values'!$A:$BX,2,FALSE)),'Preliminary SO66'!X248,VLOOKUP($CW249,'Audit Values'!$A:$BX,48,FALSE))</f>
        <v>0</v>
      </c>
      <c r="AR249" s="58">
        <f t="shared" si="166"/>
        <v>3420.2</v>
      </c>
      <c r="AS249" s="58">
        <f t="shared" si="167"/>
        <v>2920.6</v>
      </c>
      <c r="AT249" s="58">
        <f>IF(ISNA(VLOOKUP($CW249,'Audit Values'!$A$2:$BX$410,2,FALSE)),'Preliminary SO66'!AA248,VLOOKUP($CW249,'Audit Values'!$A$2:$BX$410,41,FALSE))</f>
        <v>25</v>
      </c>
      <c r="AU249" s="58">
        <f>IF(ISNA(VLOOKUP($CW249,'Audit Values'!$A$2:$BX$410,2,FALSE)),'Preliminary SO66'!AB248,VLOOKUP($CW249,'Audit Values'!$A$2:$BX$410,42,FALSE))</f>
        <v>4.5999999999999996</v>
      </c>
      <c r="AV249" s="73">
        <v>0</v>
      </c>
      <c r="AW249" s="73">
        <v>3</v>
      </c>
      <c r="AX249" s="24">
        <f>SUM(AT249*'Weighting Factors'!$R$10)+('2024 Legal Max'!AU249*'Weighting Factors'!$R$11)+('2024 Legal Max'!AV249*'Weighting Factors'!$R$12)+('2024 Legal Max'!AW249*'Weighting Factors'!$R$12)</f>
        <v>155007</v>
      </c>
      <c r="AY249" s="54">
        <f>IF(ISNA(VLOOKUP($CW249,'Audit Values'!$A$2:$BX$429,2,FALSE)),"",IF(AND('Weighting Factors'!G249&gt;0,VLOOKUP($CW249,'Audit Values'!$A$2:$BX$429,51,FALSE)&lt;'Weighting Factors'!G249),'Weighting Factors'!G249,VLOOKUP($CW249,'Audit Values'!$A$2:$BX$429,51,FALSE)))</f>
        <v>24</v>
      </c>
      <c r="AZ249" s="54" t="str">
        <f>IF(ISNA(VLOOKUP($CW249,'Audit Values'!$A:$BY,2,FALSE)),"",VLOOKUP($CW249,'Audit Values'!$A:$BY,52,FALSE))</f>
        <v>A</v>
      </c>
      <c r="BA249" s="54" t="str">
        <f>IF('Weighting Factors'!F249="","",IF('Weighting Factors'!H249="Pending","PX","R"))</f>
        <v/>
      </c>
      <c r="BB249" s="60">
        <f>SUM((U249+V249+AA249+AC249+AF249+AI249+AL249+AM249+AQ249+AN249)*'Weighting Factors'!$O$5)+'2024 Legal Max'!AX249</f>
        <v>15015020</v>
      </c>
      <c r="BC249" s="24">
        <f>SUM((AR249+AN249)*'Weighting Factors'!$O$5)+AX249</f>
        <v>17556985</v>
      </c>
      <c r="BD249" s="67">
        <f>IF('Weighting Factors'!F249&gt;0,'Weighting Factors'!F249,'Preliminary SO66'!AV248)</f>
        <v>18967674</v>
      </c>
      <c r="BE249" s="24">
        <f t="shared" si="174"/>
        <v>17556985</v>
      </c>
      <c r="BF249" s="71">
        <f>'Weighting Factors'!E249</f>
        <v>0</v>
      </c>
      <c r="BG249" s="71">
        <f>Transportation!G249</f>
        <v>0</v>
      </c>
      <c r="BH249" s="24">
        <f>IF(ISNA(VLOOKUP($CW249,'Audit Values'!$A:$BW,2,FALSE)), 0, VLOOKUP($CW249,'Audit Values'!$A:$BW,75,FALSE))</f>
        <v>-709</v>
      </c>
      <c r="BI249" s="24">
        <f t="shared" si="175"/>
        <v>-709</v>
      </c>
      <c r="BJ249" s="24">
        <f t="shared" si="176"/>
        <v>17556276</v>
      </c>
      <c r="BK249" s="24">
        <f>SUM((U249+V249+AA249+AC249+AF249+AI249+AL249+AM249+AN249)*'Weighting Factors'!O$12)+(MAX(AO249,'Weighting Factors'!B249))</f>
        <v>17606228</v>
      </c>
      <c r="BL249" s="78">
        <f>'LOB%'!F247</f>
        <v>0.33</v>
      </c>
      <c r="BM249" s="24">
        <f t="shared" si="147"/>
        <v>5810055</v>
      </c>
      <c r="BN249" s="67">
        <v>6260717</v>
      </c>
      <c r="BO249" s="24">
        <f t="shared" si="177"/>
        <v>5810055</v>
      </c>
      <c r="BP249" s="89">
        <f t="shared" si="148"/>
        <v>0.33</v>
      </c>
      <c r="BQ249" s="58">
        <f t="shared" si="149"/>
        <v>0</v>
      </c>
      <c r="BR249" s="1" t="b">
        <f t="shared" si="150"/>
        <v>0</v>
      </c>
      <c r="BS249" s="76">
        <f t="shared" si="151"/>
        <v>0</v>
      </c>
      <c r="BT249" s="75">
        <f t="shared" si="178"/>
        <v>0</v>
      </c>
      <c r="BU249" s="58">
        <f t="shared" si="152"/>
        <v>0</v>
      </c>
      <c r="BV249" s="1" t="b">
        <f t="shared" si="153"/>
        <v>0</v>
      </c>
      <c r="BW249" s="1">
        <f t="shared" si="154"/>
        <v>0</v>
      </c>
      <c r="BX249" s="75">
        <f t="shared" si="179"/>
        <v>0</v>
      </c>
      <c r="BY249" s="58">
        <f t="shared" si="155"/>
        <v>0</v>
      </c>
      <c r="BZ249" s="58">
        <f t="shared" si="156"/>
        <v>72.400000000000006</v>
      </c>
      <c r="CA249" s="61">
        <v>262</v>
      </c>
      <c r="CB249" s="102">
        <f t="shared" si="157"/>
        <v>2.0459999999999998</v>
      </c>
      <c r="CC249" s="105">
        <f>IF(CB249&lt;0.06,1,IF(CB249&gt;=18.29,52,MATCH(CB249-0.001,'Weighting Factors'!$W$5:$W$156)+1))</f>
        <v>38</v>
      </c>
      <c r="CD249" s="24">
        <f>VLOOKUP(CC249, 'Weighting Factors'!$U$5:$X$56,4)</f>
        <v>830</v>
      </c>
      <c r="CE249" s="109">
        <f>('Weighting Factors'!$O$5/'Weighting Factors'!$O$14)</f>
        <v>1.2216</v>
      </c>
      <c r="CF249" s="100">
        <f t="shared" si="158"/>
        <v>444880</v>
      </c>
      <c r="CG249" s="100">
        <f>CF249*'Weighting Factors'!$Q$7</f>
        <v>444880</v>
      </c>
      <c r="CH249" s="100">
        <f t="shared" si="180"/>
        <v>543465</v>
      </c>
      <c r="CI249" s="58">
        <f>AK249/'Weighting Factors'!$O$5</f>
        <v>106.8</v>
      </c>
      <c r="CJ249" s="67">
        <v>0</v>
      </c>
      <c r="CK249" s="80">
        <v>0</v>
      </c>
      <c r="CL249" s="110">
        <v>0</v>
      </c>
      <c r="CM249" s="24">
        <f>SUM((AR249*'Weighting Factors'!$O$5)+'2024 Legal Max'!AX249)*CL249</f>
        <v>0</v>
      </c>
      <c r="CN249" s="24">
        <f t="shared" si="181"/>
        <v>0</v>
      </c>
      <c r="CO249" s="65">
        <f t="shared" si="146"/>
        <v>0.50739999999999996</v>
      </c>
      <c r="CP249" s="58">
        <f t="shared" si="159"/>
        <v>108.2</v>
      </c>
      <c r="CQ249" s="58">
        <f t="shared" si="160"/>
        <v>0</v>
      </c>
      <c r="CR249" s="58">
        <f t="shared" si="161"/>
        <v>3420.2</v>
      </c>
      <c r="CS249" s="24">
        <f>'Required Transfers'!L249</f>
        <v>851173</v>
      </c>
      <c r="CT249" s="24">
        <f>'Required Transfers'!O249</f>
        <v>24402</v>
      </c>
      <c r="CU249" s="24">
        <f>'Required Transfers'!H249</f>
        <v>3086890</v>
      </c>
      <c r="CV249" s="58">
        <f t="shared" si="162"/>
        <v>2013.2</v>
      </c>
      <c r="CW249" s="27" t="s">
        <v>434</v>
      </c>
    </row>
    <row r="250" spans="1:101" ht="15" customHeight="1">
      <c r="A250" s="54">
        <v>466</v>
      </c>
      <c r="B250" s="1" t="s">
        <v>103</v>
      </c>
      <c r="C250" s="1" t="s">
        <v>754</v>
      </c>
      <c r="D250" s="58">
        <v>937.8</v>
      </c>
      <c r="E250" s="58"/>
      <c r="F250" s="58">
        <v>0</v>
      </c>
      <c r="G250" s="58">
        <f t="shared" si="163"/>
        <v>937.8</v>
      </c>
      <c r="H250" s="58">
        <v>932.3</v>
      </c>
      <c r="I250" s="58"/>
      <c r="J250" s="58">
        <v>0</v>
      </c>
      <c r="K250" s="58">
        <f t="shared" si="164"/>
        <v>932.3</v>
      </c>
      <c r="L250" s="1">
        <v>915.8</v>
      </c>
      <c r="N250" s="1">
        <v>0</v>
      </c>
      <c r="O250" s="58">
        <f t="shared" si="165"/>
        <v>915.8</v>
      </c>
      <c r="P250" s="58">
        <f>IF(ISNA(VLOOKUP($CW250,'Audit Values'!$A:$BZ,2,FALSE)),'Preliminary SO66'!C249,VLOOKUP($CW250,'Audit Values'!$A:$BZ,76,FALSE))</f>
        <v>925.6</v>
      </c>
      <c r="Q250" s="58">
        <f>IF(ISNA(VLOOKUP($CW250,'Audit Values'!$A:$BZ,2,FALSE)),'Preliminary SO66'!F249,VLOOKUP($CW250,'Audit Values'!$A:$BZ,4,FALSE))</f>
        <v>0</v>
      </c>
      <c r="R250" s="58">
        <f t="shared" si="169"/>
        <v>925.6</v>
      </c>
      <c r="S250" s="58">
        <f>IF('Military Provision'!I250="YES", MAX('2024 Legal Max'!O250,'2024 Legal Max'!K250,AVERAGE('2024 Legal Max'!G250,'2024 Legal Max'!K250,'2024 Legal Max'!O250)), MAX(O250, K250))</f>
        <v>932.3</v>
      </c>
      <c r="T250" s="58">
        <f>IF(ISNA(VLOOKUP($CW250,'Audit Values'!$A:$BX,2,FALSE)),'Preliminary SO66'!AL249,VLOOKUP($CW250,'Audit Values'!$A:$BX,59,FALSE))</f>
        <v>7</v>
      </c>
      <c r="U250" s="58">
        <f t="shared" si="170"/>
        <v>939.3</v>
      </c>
      <c r="V250" s="58">
        <f>'Low-High ENRL- 2023 HSubSB 113'!N253</f>
        <v>250.8</v>
      </c>
      <c r="W250" s="58">
        <f>IF(ISNA(VLOOKUP($CW250,'Audit Values'!$A:$BZ,2,FALSE)),'Preliminary SO66'!AM249,VLOOKUP($CW250,'Audit Values'!$A:$BZ,63,FALSE))</f>
        <v>326.8</v>
      </c>
      <c r="X250" s="58">
        <f>(W250/6)*'Weighting Factors'!$O$7</f>
        <v>21.5</v>
      </c>
      <c r="Y250" s="61">
        <f>IF(ISNA(VLOOKUP($CW250,'Audit Values'!$A:$BZ,2,FALSE)),'Preliminary SO66'!AN249,VLOOKUP($CW250,'Audit Values'!$A:$BZ,62,FALSE))</f>
        <v>166</v>
      </c>
      <c r="Z250" s="58">
        <f>Y250*'Weighting Factors'!$O$8</f>
        <v>30.7</v>
      </c>
      <c r="AA250" s="58">
        <f t="shared" si="171"/>
        <v>30.7</v>
      </c>
      <c r="AB250" s="106">
        <f>IF(ISNA(VLOOKUP($CW250,'Audit Values'!$A:$BZ,2,FALSE)),'Preliminary SO66'!AO249,VLOOKUP($CW250,'Audit Values'!$A:$BZ,61,FALSE))</f>
        <v>231.1</v>
      </c>
      <c r="AC250" s="58">
        <f>AB250/6*'Weighting Factors'!$O$6</f>
        <v>19.3</v>
      </c>
      <c r="AD250" s="24">
        <f>IF(ISNA(VLOOKUP($CW250,'Audit Values'!$A:$BX,2,FALSE)),'Preliminary SO66'!AS249,VLOOKUP($CW250,'Audit Values'!$A:$BX,64,FALSE))</f>
        <v>957</v>
      </c>
      <c r="AE250" s="24">
        <f>IF(ISNA(VLOOKUP($CW250,'Audit Values'!$A:$BX,2,FALSE)),'Preliminary SO66'!AP249,VLOOKUP($CW250,'Audit Values'!$A:$BX,65,FALSE))</f>
        <v>413</v>
      </c>
      <c r="AF250" s="58">
        <f>IF(A250=207, AE250,(AE250))*'Weighting Factors'!$O$9</f>
        <v>199.9</v>
      </c>
      <c r="AG250" s="58">
        <f t="shared" si="168"/>
        <v>23.6</v>
      </c>
      <c r="AH250" s="58">
        <f>IF(ISNA(VLOOKUP($CW250,'Audit Values'!$A:$BZ,2,FALSE)),'Preliminary SO66'!AG249,VLOOKUP($CW250,'Audit Values'!$A:$BZ,71,FALSE))</f>
        <v>24.1</v>
      </c>
      <c r="AI250" s="58">
        <f t="shared" si="172"/>
        <v>24.1</v>
      </c>
      <c r="AJ250" s="58">
        <f>IF(ISNA(VLOOKUP($CW250,'Audit Values'!$A:$BX,2,FALSE)),'Preliminary SO66'!AR249,VLOOKUP($CW250,'Audit Values'!$A:$BX,66,FALSE))</f>
        <v>98</v>
      </c>
      <c r="AK250" s="24">
        <f t="shared" si="173"/>
        <v>166406</v>
      </c>
      <c r="AL250" s="58">
        <f>AK250/'Weighting Factors'!$O$5</f>
        <v>32.700000000000003</v>
      </c>
      <c r="AM250" s="58">
        <f>CJ250/'Weighting Factors'!$O$5</f>
        <v>0</v>
      </c>
      <c r="AN250" s="58">
        <f>CN250/'Weighting Factors'!$O$5</f>
        <v>0</v>
      </c>
      <c r="AO250" s="24">
        <v>586268</v>
      </c>
      <c r="AP250" s="58">
        <f>AO250/'Weighting Factors'!$O$5</f>
        <v>115.2</v>
      </c>
      <c r="AQ250" s="58">
        <f>IF(ISNA(VLOOKUP($CW250,'Audit Values'!$A:$BX,2,FALSE)),'Preliminary SO66'!X249,VLOOKUP($CW250,'Audit Values'!$A:$BX,48,FALSE))</f>
        <v>0</v>
      </c>
      <c r="AR250" s="58">
        <f t="shared" si="166"/>
        <v>1612</v>
      </c>
      <c r="AS250" s="58">
        <f t="shared" si="167"/>
        <v>1496.8</v>
      </c>
      <c r="AT250" s="58">
        <f>IF(ISNA(VLOOKUP($CW250,'Audit Values'!$A$2:$BX$410,2,FALSE)),'Preliminary SO66'!AA249,VLOOKUP($CW250,'Audit Values'!$A$2:$BX$410,41,FALSE))</f>
        <v>4</v>
      </c>
      <c r="AU250" s="58">
        <f>IF(ISNA(VLOOKUP($CW250,'Audit Values'!$A$2:$BX$410,2,FALSE)),'Preliminary SO66'!AB249,VLOOKUP($CW250,'Audit Values'!$A$2:$BX$410,42,FALSE))</f>
        <v>0</v>
      </c>
      <c r="AV250" s="73">
        <v>6</v>
      </c>
      <c r="AW250" s="73">
        <v>0</v>
      </c>
      <c r="AX250" s="24">
        <f>SUM(AT250*'Weighting Factors'!$R$10)+('2024 Legal Max'!AU250*'Weighting Factors'!$R$11)+('2024 Legal Max'!AV250*'Weighting Factors'!$R$12)+('2024 Legal Max'!AW250*'Weighting Factors'!$R$12)</f>
        <v>26654</v>
      </c>
      <c r="AY250" s="54">
        <f>IF(ISNA(VLOOKUP($CW250,'Audit Values'!$A$2:$BX$429,2,FALSE)),"",IF(AND('Weighting Factors'!G250&gt;0,VLOOKUP($CW250,'Audit Values'!$A$2:$BX$429,51,FALSE)&lt;'Weighting Factors'!G250),'Weighting Factors'!G250,VLOOKUP($CW250,'Audit Values'!$A$2:$BX$429,51,FALSE)))</f>
        <v>16</v>
      </c>
      <c r="AZ250" s="54" t="str">
        <f>IF(ISNA(VLOOKUP($CW250,'Audit Values'!$A:$BY,2,FALSE)),"",VLOOKUP($CW250,'Audit Values'!$A:$BY,52,FALSE))</f>
        <v>A</v>
      </c>
      <c r="BA250" s="54" t="str">
        <f>IF('Weighting Factors'!F250="","",IF('Weighting Factors'!H250="Pending","PX","R"))</f>
        <v>R</v>
      </c>
      <c r="BB250" s="60">
        <f>SUM((U250+V250+AA250+AC250+AF250+AI250+AL250+AM250+AQ250+AN250)*'Weighting Factors'!$O$5)+'2024 Legal Max'!AX250</f>
        <v>7642372</v>
      </c>
      <c r="BC250" s="24">
        <f>SUM((AR250+AN250)*'Weighting Factors'!$O$5)+AX250</f>
        <v>8228510</v>
      </c>
      <c r="BD250" s="67">
        <f>IF('Weighting Factors'!F250&gt;0,'Weighting Factors'!F250,'Preliminary SO66'!AV249)</f>
        <v>8318265</v>
      </c>
      <c r="BE250" s="24">
        <f t="shared" si="174"/>
        <v>8228510</v>
      </c>
      <c r="BF250" s="71">
        <f>'Weighting Factors'!E250</f>
        <v>0</v>
      </c>
      <c r="BG250" s="71">
        <f>Transportation!G250</f>
        <v>0</v>
      </c>
      <c r="BH250" s="24">
        <f>IF(ISNA(VLOOKUP($CW250,'Audit Values'!$A:$BW,2,FALSE)), 0, VLOOKUP($CW250,'Audit Values'!$A:$BW,75,FALSE))</f>
        <v>-4254</v>
      </c>
      <c r="BI250" s="24">
        <f t="shared" si="175"/>
        <v>-4254</v>
      </c>
      <c r="BJ250" s="24">
        <f t="shared" si="176"/>
        <v>8224256</v>
      </c>
      <c r="BK250" s="24">
        <f>SUM((U250+V250+AA250+AC250+AF250+AI250+AL250+AM250+AN250)*'Weighting Factors'!O$12)+(MAX(AO250,'Weighting Factors'!B250))</f>
        <v>8306762</v>
      </c>
      <c r="BL250" s="78">
        <f>'LOB%'!F248</f>
        <v>0.33</v>
      </c>
      <c r="BM250" s="24">
        <f t="shared" si="147"/>
        <v>2741231</v>
      </c>
      <c r="BN250" s="67">
        <v>2706595</v>
      </c>
      <c r="BO250" s="24">
        <f t="shared" si="177"/>
        <v>2706595</v>
      </c>
      <c r="BP250" s="89">
        <f t="shared" si="148"/>
        <v>0.32579999999999998</v>
      </c>
      <c r="BQ250" s="58">
        <f t="shared" si="149"/>
        <v>0</v>
      </c>
      <c r="BR250" s="1" t="b">
        <f t="shared" si="150"/>
        <v>0</v>
      </c>
      <c r="BS250" s="76">
        <f t="shared" si="151"/>
        <v>0</v>
      </c>
      <c r="BT250" s="75">
        <f t="shared" si="178"/>
        <v>0</v>
      </c>
      <c r="BU250" s="58">
        <f t="shared" si="152"/>
        <v>0</v>
      </c>
      <c r="BV250" s="1" t="b">
        <f t="shared" si="153"/>
        <v>1</v>
      </c>
      <c r="BW250" s="1">
        <f t="shared" si="154"/>
        <v>791.13379999999995</v>
      </c>
      <c r="BX250" s="75">
        <f t="shared" si="179"/>
        <v>0.26698499999999997</v>
      </c>
      <c r="BY250" s="58">
        <f t="shared" si="155"/>
        <v>250.8</v>
      </c>
      <c r="BZ250" s="58">
        <f t="shared" si="156"/>
        <v>0</v>
      </c>
      <c r="CA250" s="61">
        <v>756</v>
      </c>
      <c r="CB250" s="102">
        <f t="shared" si="157"/>
        <v>0.13</v>
      </c>
      <c r="CC250" s="105">
        <f>IF(CB250&lt;0.06,1,IF(CB250&gt;=18.29,52,MATCH(CB250-0.001,'Weighting Factors'!$W$5:$W$156)+1))</f>
        <v>9</v>
      </c>
      <c r="CD250" s="24">
        <f>VLOOKUP(CC250, 'Weighting Factors'!$U$5:$X$56,4)</f>
        <v>1390</v>
      </c>
      <c r="CE250" s="109">
        <f>('Weighting Factors'!$O$5/'Weighting Factors'!$O$14)</f>
        <v>1.2216</v>
      </c>
      <c r="CF250" s="100">
        <f t="shared" si="158"/>
        <v>136220</v>
      </c>
      <c r="CG250" s="100">
        <f>CF250*'Weighting Factors'!$Q$7</f>
        <v>136220</v>
      </c>
      <c r="CH250" s="100">
        <f t="shared" si="180"/>
        <v>166406</v>
      </c>
      <c r="CI250" s="58">
        <f>AK250/'Weighting Factors'!$O$5</f>
        <v>32.700000000000003</v>
      </c>
      <c r="CJ250" s="67">
        <v>0</v>
      </c>
      <c r="CK250" s="80">
        <v>0</v>
      </c>
      <c r="CL250" s="110">
        <v>0</v>
      </c>
      <c r="CM250" s="24">
        <f>SUM((AR250*'Weighting Factors'!$O$5)+'2024 Legal Max'!AX250)*CL250</f>
        <v>0</v>
      </c>
      <c r="CN250" s="24">
        <f t="shared" si="181"/>
        <v>0</v>
      </c>
      <c r="CO250" s="65">
        <f t="shared" si="146"/>
        <v>0.43159999999999998</v>
      </c>
      <c r="CP250" s="58">
        <f t="shared" si="159"/>
        <v>0</v>
      </c>
      <c r="CQ250" s="58">
        <f t="shared" si="160"/>
        <v>23.6</v>
      </c>
      <c r="CR250" s="58">
        <f t="shared" si="161"/>
        <v>1612</v>
      </c>
      <c r="CS250" s="24">
        <f>'Required Transfers'!L250</f>
        <v>336971</v>
      </c>
      <c r="CT250" s="24">
        <f>'Required Transfers'!O250</f>
        <v>51696</v>
      </c>
      <c r="CU250" s="24">
        <f>'Required Transfers'!H250</f>
        <v>1139712</v>
      </c>
      <c r="CV250" s="58">
        <f t="shared" si="162"/>
        <v>937.6</v>
      </c>
      <c r="CW250" s="27" t="s">
        <v>435</v>
      </c>
    </row>
    <row r="251" spans="1:101" ht="15" customHeight="1">
      <c r="A251" s="54">
        <v>467</v>
      </c>
      <c r="B251" s="1" t="s">
        <v>34</v>
      </c>
      <c r="C251" s="1" t="s">
        <v>755</v>
      </c>
      <c r="D251" s="58">
        <v>389.7</v>
      </c>
      <c r="E251" s="58"/>
      <c r="F251" s="58">
        <v>0</v>
      </c>
      <c r="G251" s="58">
        <f t="shared" si="163"/>
        <v>389.7</v>
      </c>
      <c r="H251" s="58">
        <v>371.1</v>
      </c>
      <c r="I251" s="58"/>
      <c r="J251" s="58">
        <v>0</v>
      </c>
      <c r="K251" s="58">
        <f t="shared" si="164"/>
        <v>371.1</v>
      </c>
      <c r="L251" s="1">
        <v>369.3</v>
      </c>
      <c r="N251" s="1">
        <v>0</v>
      </c>
      <c r="O251" s="58">
        <f t="shared" si="165"/>
        <v>369.3</v>
      </c>
      <c r="P251" s="58">
        <f>IF(ISNA(VLOOKUP($CW251,'Audit Values'!$A:$BZ,2,FALSE)),'Preliminary SO66'!C250,VLOOKUP($CW251,'Audit Values'!$A:$BZ,76,FALSE))</f>
        <v>368.4</v>
      </c>
      <c r="Q251" s="58">
        <f>IF(ISNA(VLOOKUP($CW251,'Audit Values'!$A:$BZ,2,FALSE)),'Preliminary SO66'!F250,VLOOKUP($CW251,'Audit Values'!$A:$BZ,4,FALSE))</f>
        <v>0</v>
      </c>
      <c r="R251" s="58">
        <f t="shared" si="169"/>
        <v>368.4</v>
      </c>
      <c r="S251" s="58">
        <f>IF('Military Provision'!I251="YES", MAX('2024 Legal Max'!O251,'2024 Legal Max'!K251,AVERAGE('2024 Legal Max'!G251,'2024 Legal Max'!K251,'2024 Legal Max'!O251)), MAX(O251, K251))</f>
        <v>371.1</v>
      </c>
      <c r="T251" s="58">
        <f>IF(ISNA(VLOOKUP($CW251,'Audit Values'!$A:$BX,2,FALSE)),'Preliminary SO66'!AL250,VLOOKUP($CW251,'Audit Values'!$A:$BX,59,FALSE))</f>
        <v>4</v>
      </c>
      <c r="U251" s="58">
        <f t="shared" si="170"/>
        <v>375.1</v>
      </c>
      <c r="V251" s="58">
        <f>'Low-High ENRL- 2023 HSubSB 113'!N254</f>
        <v>172</v>
      </c>
      <c r="W251" s="58">
        <f>IF(ISNA(VLOOKUP($CW251,'Audit Values'!$A:$BZ,2,FALSE)),'Preliminary SO66'!AM250,VLOOKUP($CW251,'Audit Values'!$A:$BZ,63,FALSE))</f>
        <v>269.10000000000002</v>
      </c>
      <c r="X251" s="58">
        <f>(W251/6)*'Weighting Factors'!$O$7</f>
        <v>17.7</v>
      </c>
      <c r="Y251" s="61">
        <f>IF(ISNA(VLOOKUP($CW251,'Audit Values'!$A:$BZ,2,FALSE)),'Preliminary SO66'!AN250,VLOOKUP($CW251,'Audit Values'!$A:$BZ,62,FALSE))</f>
        <v>73</v>
      </c>
      <c r="Z251" s="58">
        <f>Y251*'Weighting Factors'!$O$8</f>
        <v>13.5</v>
      </c>
      <c r="AA251" s="58">
        <f t="shared" si="171"/>
        <v>17.7</v>
      </c>
      <c r="AB251" s="106">
        <f>IF(ISNA(VLOOKUP($CW251,'Audit Values'!$A:$BZ,2,FALSE)),'Preliminary SO66'!AO250,VLOOKUP($CW251,'Audit Values'!$A:$BZ,61,FALSE))</f>
        <v>71.099999999999994</v>
      </c>
      <c r="AC251" s="58">
        <f>AB251/6*'Weighting Factors'!$O$6</f>
        <v>5.9</v>
      </c>
      <c r="AD251" s="24">
        <f>IF(ISNA(VLOOKUP($CW251,'Audit Values'!$A:$BX,2,FALSE)),'Preliminary SO66'!AS250,VLOOKUP($CW251,'Audit Values'!$A:$BX,64,FALSE))</f>
        <v>382</v>
      </c>
      <c r="AE251" s="24">
        <f>IF(ISNA(VLOOKUP($CW251,'Audit Values'!$A:$BX,2,FALSE)),'Preliminary SO66'!AP250,VLOOKUP($CW251,'Audit Values'!$A:$BX,65,FALSE))</f>
        <v>139</v>
      </c>
      <c r="AF251" s="58">
        <f>IF(A251=207, AE251,(AE251))*'Weighting Factors'!$O$9</f>
        <v>67.3</v>
      </c>
      <c r="AG251" s="58">
        <f t="shared" si="168"/>
        <v>1.4</v>
      </c>
      <c r="AH251" s="58">
        <f>IF(ISNA(VLOOKUP($CW251,'Audit Values'!$A:$BZ,2,FALSE)),'Preliminary SO66'!AG250,VLOOKUP($CW251,'Audit Values'!$A:$BZ,71,FALSE))</f>
        <v>3.3</v>
      </c>
      <c r="AI251" s="58">
        <f t="shared" si="172"/>
        <v>3.3</v>
      </c>
      <c r="AJ251" s="58">
        <f>IF(ISNA(VLOOKUP($CW251,'Audit Values'!$A:$BX,2,FALSE)),'Preliminary SO66'!AR250,VLOOKUP($CW251,'Audit Values'!$A:$BX,66,FALSE))</f>
        <v>71.5</v>
      </c>
      <c r="AK251" s="24">
        <f t="shared" si="173"/>
        <v>129270</v>
      </c>
      <c r="AL251" s="58">
        <f>AK251/'Weighting Factors'!$O$5</f>
        <v>25.4</v>
      </c>
      <c r="AM251" s="58">
        <f>CJ251/'Weighting Factors'!$O$5</f>
        <v>0</v>
      </c>
      <c r="AN251" s="58">
        <f>CN251/'Weighting Factors'!$O$5</f>
        <v>0</v>
      </c>
      <c r="AO251" s="24">
        <v>242462</v>
      </c>
      <c r="AP251" s="58">
        <f>AO251/'Weighting Factors'!$O$5</f>
        <v>47.7</v>
      </c>
      <c r="AQ251" s="58">
        <f>IF(ISNA(VLOOKUP($CW251,'Audit Values'!$A:$BX,2,FALSE)),'Preliminary SO66'!X250,VLOOKUP($CW251,'Audit Values'!$A:$BX,48,FALSE))</f>
        <v>0</v>
      </c>
      <c r="AR251" s="58">
        <f t="shared" si="166"/>
        <v>714.4</v>
      </c>
      <c r="AS251" s="58">
        <f t="shared" si="167"/>
        <v>666.7</v>
      </c>
      <c r="AT251" s="58">
        <f>IF(ISNA(VLOOKUP($CW251,'Audit Values'!$A$2:$BX$410,2,FALSE)),'Preliminary SO66'!AA250,VLOOKUP($CW251,'Audit Values'!$A$2:$BX$410,41,FALSE))</f>
        <v>0</v>
      </c>
      <c r="AU251" s="58">
        <f>IF(ISNA(VLOOKUP($CW251,'Audit Values'!$A$2:$BX$410,2,FALSE)),'Preliminary SO66'!AB250,VLOOKUP($CW251,'Audit Values'!$A$2:$BX$410,42,FALSE))</f>
        <v>0</v>
      </c>
      <c r="AV251" s="73">
        <v>0</v>
      </c>
      <c r="AW251" s="73">
        <v>0</v>
      </c>
      <c r="AX251" s="24">
        <f>SUM(AT251*'Weighting Factors'!$R$10)+('2024 Legal Max'!AU251*'Weighting Factors'!$R$11)+('2024 Legal Max'!AV251*'Weighting Factors'!$R$12)+('2024 Legal Max'!AW251*'Weighting Factors'!$R$12)</f>
        <v>0</v>
      </c>
      <c r="AY251" s="54">
        <f>IF(ISNA(VLOOKUP($CW251,'Audit Values'!$A$2:$BX$429,2,FALSE)),"",IF(AND('Weighting Factors'!G251&gt;0,VLOOKUP($CW251,'Audit Values'!$A$2:$BX$429,51,FALSE)&lt;'Weighting Factors'!G251),'Weighting Factors'!G251,VLOOKUP($CW251,'Audit Values'!$A$2:$BX$429,51,FALSE)))</f>
        <v>8</v>
      </c>
      <c r="AZ251" s="54" t="str">
        <f>IF(ISNA(VLOOKUP($CW251,'Audit Values'!$A:$BY,2,FALSE)),"",VLOOKUP($CW251,'Audit Values'!$A:$BY,52,FALSE))</f>
        <v>A</v>
      </c>
      <c r="BA251" s="54" t="str">
        <f>IF('Weighting Factors'!F251="","",IF('Weighting Factors'!H251="Pending","PX","R"))</f>
        <v/>
      </c>
      <c r="BB251" s="60">
        <f>SUM((U251+V251+AA251+AC251+AF251+AI251+AL251+AM251+AQ251+AN251)*'Weighting Factors'!$O$5)+'2024 Legal Max'!AX251</f>
        <v>3392170</v>
      </c>
      <c r="BC251" s="24">
        <f>SUM((AR251+AN251)*'Weighting Factors'!$O$5)+AX251</f>
        <v>3634867</v>
      </c>
      <c r="BD251" s="67">
        <f>IF('Weighting Factors'!F251&gt;0,'Weighting Factors'!F251,'Preliminary SO66'!AV250)</f>
        <v>3798192</v>
      </c>
      <c r="BE251" s="24">
        <f t="shared" si="174"/>
        <v>3634867</v>
      </c>
      <c r="BF251" s="71">
        <f>'Weighting Factors'!E251</f>
        <v>0</v>
      </c>
      <c r="BG251" s="71">
        <f>Transportation!G251</f>
        <v>0</v>
      </c>
      <c r="BH251" s="24">
        <f>IF(ISNA(VLOOKUP($CW251,'Audit Values'!$A:$BW,2,FALSE)), 0, VLOOKUP($CW251,'Audit Values'!$A:$BW,75,FALSE))</f>
        <v>0</v>
      </c>
      <c r="BI251" s="24">
        <f t="shared" si="175"/>
        <v>0</v>
      </c>
      <c r="BJ251" s="24">
        <f t="shared" si="176"/>
        <v>3634867</v>
      </c>
      <c r="BK251" s="24">
        <f>SUM((U251+V251+AA251+AC251+AF251+AI251+AL251+AM251+AN251)*'Weighting Factors'!O$12)+(MAX(AO251,'Weighting Factors'!B251))</f>
        <v>3717745</v>
      </c>
      <c r="BL251" s="78">
        <f>'LOB%'!F249</f>
        <v>0.33</v>
      </c>
      <c r="BM251" s="24">
        <f t="shared" si="147"/>
        <v>1226856</v>
      </c>
      <c r="BN251" s="67">
        <v>1269221</v>
      </c>
      <c r="BO251" s="24">
        <f t="shared" si="177"/>
        <v>1226856</v>
      </c>
      <c r="BP251" s="89">
        <f t="shared" si="148"/>
        <v>0.33</v>
      </c>
      <c r="BQ251" s="58">
        <f t="shared" si="149"/>
        <v>0</v>
      </c>
      <c r="BR251" s="1" t="b">
        <f t="shared" si="150"/>
        <v>0</v>
      </c>
      <c r="BS251" s="76">
        <f t="shared" si="151"/>
        <v>0</v>
      </c>
      <c r="BT251" s="75">
        <f t="shared" si="178"/>
        <v>0</v>
      </c>
      <c r="BU251" s="58">
        <f t="shared" si="152"/>
        <v>0</v>
      </c>
      <c r="BV251" s="1" t="b">
        <f t="shared" si="153"/>
        <v>1</v>
      </c>
      <c r="BW251" s="1">
        <f t="shared" si="154"/>
        <v>92.936300000000003</v>
      </c>
      <c r="BX251" s="75">
        <f t="shared" si="179"/>
        <v>0.458671</v>
      </c>
      <c r="BY251" s="58">
        <f t="shared" si="155"/>
        <v>172</v>
      </c>
      <c r="BZ251" s="58">
        <f t="shared" si="156"/>
        <v>0</v>
      </c>
      <c r="CA251" s="61">
        <v>775.3</v>
      </c>
      <c r="CB251" s="102">
        <f t="shared" si="157"/>
        <v>9.1999999999999998E-2</v>
      </c>
      <c r="CC251" s="105">
        <f>IF(CB251&lt;0.06,1,IF(CB251&gt;=18.29,52,MATCH(CB251-0.001,'Weighting Factors'!$W$5:$W$156)+1))</f>
        <v>5</v>
      </c>
      <c r="CD251" s="24">
        <f>VLOOKUP(CC251, 'Weighting Factors'!$U$5:$X$56,4)</f>
        <v>1480</v>
      </c>
      <c r="CE251" s="109">
        <f>('Weighting Factors'!$O$5/'Weighting Factors'!$O$14)</f>
        <v>1.2216</v>
      </c>
      <c r="CF251" s="100">
        <f t="shared" si="158"/>
        <v>105820</v>
      </c>
      <c r="CG251" s="100">
        <f>CF251*'Weighting Factors'!$Q$7</f>
        <v>105820</v>
      </c>
      <c r="CH251" s="100">
        <f t="shared" si="180"/>
        <v>129270</v>
      </c>
      <c r="CI251" s="58">
        <f>AK251/'Weighting Factors'!$O$5</f>
        <v>25.4</v>
      </c>
      <c r="CJ251" s="67">
        <v>0</v>
      </c>
      <c r="CK251" s="80">
        <v>0</v>
      </c>
      <c r="CL251" s="110">
        <v>0</v>
      </c>
      <c r="CM251" s="24">
        <f>SUM((AR251*'Weighting Factors'!$O$5)+'2024 Legal Max'!AX251)*CL251</f>
        <v>0</v>
      </c>
      <c r="CN251" s="24">
        <f t="shared" si="181"/>
        <v>0</v>
      </c>
      <c r="CO251" s="65">
        <f t="shared" si="146"/>
        <v>0.3639</v>
      </c>
      <c r="CP251" s="58">
        <f t="shared" si="159"/>
        <v>0</v>
      </c>
      <c r="CQ251" s="58">
        <f t="shared" si="160"/>
        <v>1.4</v>
      </c>
      <c r="CR251" s="58">
        <f t="shared" si="161"/>
        <v>714.4</v>
      </c>
      <c r="CS251" s="24">
        <f>'Required Transfers'!L251</f>
        <v>116183</v>
      </c>
      <c r="CT251" s="24">
        <f>'Required Transfers'!O251</f>
        <v>30549</v>
      </c>
      <c r="CU251" s="24">
        <f>'Required Transfers'!H251</f>
        <v>359213</v>
      </c>
      <c r="CV251" s="58">
        <f t="shared" si="162"/>
        <v>372.4</v>
      </c>
      <c r="CW251" s="27" t="s">
        <v>436</v>
      </c>
    </row>
    <row r="252" spans="1:101" ht="15" customHeight="1">
      <c r="A252" s="54">
        <v>468</v>
      </c>
      <c r="B252" s="1" t="s">
        <v>104</v>
      </c>
      <c r="C252" s="1" t="s">
        <v>756</v>
      </c>
      <c r="D252" s="58">
        <v>41.7</v>
      </c>
      <c r="E252" s="58"/>
      <c r="F252" s="58">
        <v>0</v>
      </c>
      <c r="G252" s="58">
        <f t="shared" si="163"/>
        <v>41.7</v>
      </c>
      <c r="H252" s="58">
        <v>40</v>
      </c>
      <c r="I252" s="58"/>
      <c r="J252" s="58">
        <v>0</v>
      </c>
      <c r="K252" s="58">
        <f t="shared" si="164"/>
        <v>40</v>
      </c>
      <c r="L252" s="1">
        <v>37</v>
      </c>
      <c r="N252" s="1">
        <v>0</v>
      </c>
      <c r="O252" s="58">
        <f t="shared" si="165"/>
        <v>37</v>
      </c>
      <c r="P252" s="58">
        <f>IF(ISNA(VLOOKUP($CW252,'Audit Values'!$A:$BZ,2,FALSE)),'Preliminary SO66'!C251,VLOOKUP($CW252,'Audit Values'!$A:$BZ,76,FALSE))</f>
        <v>20</v>
      </c>
      <c r="Q252" s="58">
        <f>IF(ISNA(VLOOKUP($CW252,'Audit Values'!$A:$BZ,2,FALSE)),'Preliminary SO66'!F251,VLOOKUP($CW252,'Audit Values'!$A:$BZ,4,FALSE))</f>
        <v>0</v>
      </c>
      <c r="R252" s="58">
        <f t="shared" si="169"/>
        <v>20</v>
      </c>
      <c r="S252" s="58">
        <f>IF('Military Provision'!I252="YES", MAX('2024 Legal Max'!O252,'2024 Legal Max'!K252,AVERAGE('2024 Legal Max'!G252,'2024 Legal Max'!K252,'2024 Legal Max'!O252)), MAX(O252, K252))</f>
        <v>40</v>
      </c>
      <c r="T252" s="58">
        <f>IF(ISNA(VLOOKUP($CW252,'Audit Values'!$A:$BX,2,FALSE)),'Preliminary SO66'!AL251,VLOOKUP($CW252,'Audit Values'!$A:$BX,59,FALSE))</f>
        <v>0</v>
      </c>
      <c r="U252" s="58">
        <f t="shared" si="170"/>
        <v>40</v>
      </c>
      <c r="V252" s="58">
        <f>'Low-High ENRL- 2023 HSubSB 113'!N255</f>
        <v>40.6</v>
      </c>
      <c r="W252" s="58">
        <f>IF(ISNA(VLOOKUP($CW252,'Audit Values'!$A:$BZ,2,FALSE)),'Preliminary SO66'!AM251,VLOOKUP($CW252,'Audit Values'!$A:$BZ,63,FALSE))</f>
        <v>8.1</v>
      </c>
      <c r="X252" s="58">
        <f>(W252/6)*'Weighting Factors'!$O$7</f>
        <v>0.5</v>
      </c>
      <c r="Y252" s="61">
        <f>IF(ISNA(VLOOKUP($CW252,'Audit Values'!$A:$BZ,2,FALSE)),'Preliminary SO66'!AN251,VLOOKUP($CW252,'Audit Values'!$A:$BZ,62,FALSE))</f>
        <v>5</v>
      </c>
      <c r="Z252" s="58">
        <f>Y252*'Weighting Factors'!$O$8</f>
        <v>0.9</v>
      </c>
      <c r="AA252" s="58">
        <f t="shared" si="171"/>
        <v>0.9</v>
      </c>
      <c r="AB252" s="106">
        <f>IF(ISNA(VLOOKUP($CW252,'Audit Values'!$A:$BZ,2,FALSE)),'Preliminary SO66'!AO251,VLOOKUP($CW252,'Audit Values'!$A:$BZ,61,FALSE))</f>
        <v>6.7</v>
      </c>
      <c r="AC252" s="58">
        <f>AB252/6*'Weighting Factors'!$O$6</f>
        <v>0.6</v>
      </c>
      <c r="AD252" s="24">
        <f>IF(ISNA(VLOOKUP($CW252,'Audit Values'!$A:$BX,2,FALSE)),'Preliminary SO66'!AS251,VLOOKUP($CW252,'Audit Values'!$A:$BX,64,FALSE))</f>
        <v>20</v>
      </c>
      <c r="AE252" s="24">
        <f>IF(ISNA(VLOOKUP($CW252,'Audit Values'!$A:$BX,2,FALSE)),'Preliminary SO66'!AP251,VLOOKUP($CW252,'Audit Values'!$A:$BX,65,FALSE))</f>
        <v>14</v>
      </c>
      <c r="AF252" s="58">
        <f>IF(A252=207, AE252,(AE252))*'Weighting Factors'!$O$9</f>
        <v>6.8</v>
      </c>
      <c r="AG252" s="58">
        <f t="shared" si="168"/>
        <v>1.5</v>
      </c>
      <c r="AH252" s="58">
        <f>IF(ISNA(VLOOKUP($CW252,'Audit Values'!$A:$BZ,2,FALSE)),'Preliminary SO66'!AG251,VLOOKUP($CW252,'Audit Values'!$A:$BZ,71,FALSE))</f>
        <v>1.4</v>
      </c>
      <c r="AI252" s="58">
        <f t="shared" si="172"/>
        <v>1.5</v>
      </c>
      <c r="AJ252" s="58">
        <f>IF(ISNA(VLOOKUP($CW252,'Audit Values'!$A:$BX,2,FALSE)),'Preliminary SO66'!AR251,VLOOKUP($CW252,'Audit Values'!$A:$BX,66,FALSE))</f>
        <v>2.5</v>
      </c>
      <c r="AK252" s="24">
        <f t="shared" si="173"/>
        <v>4947</v>
      </c>
      <c r="AL252" s="58">
        <f>AK252/'Weighting Factors'!$O$5</f>
        <v>1</v>
      </c>
      <c r="AM252" s="58">
        <f>CJ252/'Weighting Factors'!$O$5</f>
        <v>0</v>
      </c>
      <c r="AN252" s="58">
        <f>CN252/'Weighting Factors'!$O$5</f>
        <v>0</v>
      </c>
      <c r="AO252" s="24">
        <v>60718</v>
      </c>
      <c r="AP252" s="58">
        <f>AO252/'Weighting Factors'!$O$5</f>
        <v>11.9</v>
      </c>
      <c r="AQ252" s="58">
        <f>IF(ISNA(VLOOKUP($CW252,'Audit Values'!$A:$BX,2,FALSE)),'Preliminary SO66'!X251,VLOOKUP($CW252,'Audit Values'!$A:$BX,48,FALSE))</f>
        <v>0</v>
      </c>
      <c r="AR252" s="58">
        <f t="shared" si="166"/>
        <v>103.3</v>
      </c>
      <c r="AS252" s="58">
        <f t="shared" si="167"/>
        <v>91.4</v>
      </c>
      <c r="AT252" s="58">
        <f>IF(ISNA(VLOOKUP($CW252,'Audit Values'!$A$2:$BX$410,2,FALSE)),'Preliminary SO66'!AA251,VLOOKUP($CW252,'Audit Values'!$A$2:$BX$410,41,FALSE))</f>
        <v>0</v>
      </c>
      <c r="AU252" s="58">
        <f>IF(ISNA(VLOOKUP($CW252,'Audit Values'!$A$2:$BX$410,2,FALSE)),'Preliminary SO66'!AB251,VLOOKUP($CW252,'Audit Values'!$A$2:$BX$410,42,FALSE))</f>
        <v>0</v>
      </c>
      <c r="AV252" s="73">
        <v>0</v>
      </c>
      <c r="AW252" s="73">
        <v>0</v>
      </c>
      <c r="AX252" s="24">
        <f>SUM(AT252*'Weighting Factors'!$R$10)+('2024 Legal Max'!AU252*'Weighting Factors'!$R$11)+('2024 Legal Max'!AV252*'Weighting Factors'!$R$12)+('2024 Legal Max'!AW252*'Weighting Factors'!$R$12)</f>
        <v>0</v>
      </c>
      <c r="AY252" s="54">
        <f>IF(ISNA(VLOOKUP($CW252,'Audit Values'!$A$2:$BX$429,2,FALSE)),"",IF(AND('Weighting Factors'!G252&gt;0,VLOOKUP($CW252,'Audit Values'!$A$2:$BX$429,51,FALSE)&lt;'Weighting Factors'!G252),'Weighting Factors'!G252,VLOOKUP($CW252,'Audit Values'!$A$2:$BX$429,51,FALSE)))</f>
        <v>12</v>
      </c>
      <c r="AZ252" s="54" t="str">
        <f>IF(ISNA(VLOOKUP($CW252,'Audit Values'!$A:$BY,2,FALSE)),"",VLOOKUP($CW252,'Audit Values'!$A:$BY,52,FALSE))</f>
        <v>A</v>
      </c>
      <c r="BA252" s="54" t="str">
        <f>IF('Weighting Factors'!F252="","",IF('Weighting Factors'!H252="Pending","PX","R"))</f>
        <v/>
      </c>
      <c r="BB252" s="60">
        <f>SUM((U252+V252+AA252+AC252+AF252+AI252+AL252+AM252+AQ252+AN252)*'Weighting Factors'!$O$5)+'2024 Legal Max'!AX252</f>
        <v>465043</v>
      </c>
      <c r="BC252" s="24">
        <f>SUM((AR252+AN252)*'Weighting Factors'!$O$5)+AX252</f>
        <v>525590</v>
      </c>
      <c r="BD252" s="67">
        <f>IF('Weighting Factors'!F252&gt;0,'Weighting Factors'!F252,'Preliminary SO66'!AV251)</f>
        <v>637526</v>
      </c>
      <c r="BE252" s="24">
        <f t="shared" si="174"/>
        <v>525590</v>
      </c>
      <c r="BF252" s="71">
        <f>'Weighting Factors'!E252</f>
        <v>0</v>
      </c>
      <c r="BG252" s="71">
        <f>Transportation!G252</f>
        <v>0</v>
      </c>
      <c r="BH252" s="24">
        <f>IF(ISNA(VLOOKUP($CW252,'Audit Values'!$A:$BW,2,FALSE)), 0, VLOOKUP($CW252,'Audit Values'!$A:$BW,75,FALSE))</f>
        <v>0</v>
      </c>
      <c r="BI252" s="24">
        <f t="shared" si="175"/>
        <v>0</v>
      </c>
      <c r="BJ252" s="24">
        <f t="shared" si="176"/>
        <v>525590</v>
      </c>
      <c r="BK252" s="24">
        <f>SUM((U252+V252+AA252+AC252+AF252+AI252+AL252+AM252+AN252)*'Weighting Factors'!O$12)+(MAX(AO252,'Weighting Factors'!B252))</f>
        <v>586566</v>
      </c>
      <c r="BL252" s="78">
        <f>'LOB%'!F250</f>
        <v>0.33</v>
      </c>
      <c r="BM252" s="24">
        <f t="shared" si="147"/>
        <v>193567</v>
      </c>
      <c r="BN252" s="67">
        <v>225907</v>
      </c>
      <c r="BO252" s="24">
        <f t="shared" si="177"/>
        <v>193567</v>
      </c>
      <c r="BP252" s="89">
        <f t="shared" si="148"/>
        <v>0.33</v>
      </c>
      <c r="BQ252" s="58">
        <f t="shared" si="149"/>
        <v>40.6</v>
      </c>
      <c r="BR252" s="1" t="b">
        <f t="shared" si="150"/>
        <v>0</v>
      </c>
      <c r="BS252" s="76">
        <f t="shared" si="151"/>
        <v>0</v>
      </c>
      <c r="BT252" s="75">
        <f t="shared" si="178"/>
        <v>0</v>
      </c>
      <c r="BU252" s="58">
        <f t="shared" si="152"/>
        <v>0</v>
      </c>
      <c r="BV252" s="1" t="b">
        <f t="shared" si="153"/>
        <v>0</v>
      </c>
      <c r="BW252" s="1">
        <f t="shared" si="154"/>
        <v>0</v>
      </c>
      <c r="BX252" s="75">
        <f t="shared" si="179"/>
        <v>0</v>
      </c>
      <c r="BY252" s="58">
        <f t="shared" si="155"/>
        <v>0</v>
      </c>
      <c r="BZ252" s="58">
        <f t="shared" si="156"/>
        <v>0</v>
      </c>
      <c r="CA252" s="61">
        <v>203.3</v>
      </c>
      <c r="CB252" s="102">
        <f t="shared" si="157"/>
        <v>1.2E-2</v>
      </c>
      <c r="CC252" s="105">
        <f>IF(CB252&lt;0.06,1,IF(CB252&gt;=18.29,52,MATCH(CB252-0.001,'Weighting Factors'!$W$5:$W$156)+1))</f>
        <v>1</v>
      </c>
      <c r="CD252" s="24">
        <f>VLOOKUP(CC252, 'Weighting Factors'!$U$5:$X$56,4)</f>
        <v>1620</v>
      </c>
      <c r="CE252" s="109">
        <f>('Weighting Factors'!$O$5/'Weighting Factors'!$O$14)</f>
        <v>1.2216</v>
      </c>
      <c r="CF252" s="100">
        <f t="shared" si="158"/>
        <v>4050</v>
      </c>
      <c r="CG252" s="100">
        <f>CF252*'Weighting Factors'!$Q$7</f>
        <v>4050</v>
      </c>
      <c r="CH252" s="100">
        <f t="shared" si="180"/>
        <v>4947</v>
      </c>
      <c r="CI252" s="58">
        <f>AK252/'Weighting Factors'!$O$5</f>
        <v>1</v>
      </c>
      <c r="CJ252" s="67">
        <v>0</v>
      </c>
      <c r="CK252" s="80">
        <v>0</v>
      </c>
      <c r="CL252" s="110">
        <v>0</v>
      </c>
      <c r="CM252" s="24">
        <f>SUM((AR252*'Weighting Factors'!$O$5)+'2024 Legal Max'!AX252)*CL252</f>
        <v>0</v>
      </c>
      <c r="CN252" s="24">
        <f t="shared" si="181"/>
        <v>0</v>
      </c>
      <c r="CO252" s="65">
        <f t="shared" si="146"/>
        <v>0.7</v>
      </c>
      <c r="CP252" s="58">
        <f t="shared" si="159"/>
        <v>1.5</v>
      </c>
      <c r="CQ252" s="58">
        <f t="shared" si="160"/>
        <v>0</v>
      </c>
      <c r="CR252" s="58">
        <f t="shared" si="161"/>
        <v>103.3</v>
      </c>
      <c r="CS252" s="24">
        <f>'Required Transfers'!L252</f>
        <v>12737</v>
      </c>
      <c r="CT252" s="24">
        <f>'Required Transfers'!O252</f>
        <v>1684</v>
      </c>
      <c r="CU252" s="24">
        <f>'Required Transfers'!H252</f>
        <v>42230</v>
      </c>
      <c r="CV252" s="58">
        <f t="shared" si="162"/>
        <v>20</v>
      </c>
      <c r="CW252" s="27" t="s">
        <v>437</v>
      </c>
    </row>
    <row r="253" spans="1:101" ht="15" customHeight="1">
      <c r="A253" s="54">
        <v>469</v>
      </c>
      <c r="B253" s="1" t="s">
        <v>11</v>
      </c>
      <c r="C253" s="1" t="s">
        <v>757</v>
      </c>
      <c r="D253" s="58">
        <v>2534</v>
      </c>
      <c r="E253" s="58"/>
      <c r="F253" s="58">
        <v>0</v>
      </c>
      <c r="G253" s="58">
        <f t="shared" si="163"/>
        <v>2534</v>
      </c>
      <c r="H253" s="58">
        <v>2505.6999999999998</v>
      </c>
      <c r="I253" s="58"/>
      <c r="J253" s="58">
        <v>0</v>
      </c>
      <c r="K253" s="58">
        <f t="shared" si="164"/>
        <v>2505.6999999999998</v>
      </c>
      <c r="L253" s="1">
        <v>2574.3000000000002</v>
      </c>
      <c r="N253" s="1">
        <v>0</v>
      </c>
      <c r="O253" s="58">
        <f t="shared" si="165"/>
        <v>2574.3000000000002</v>
      </c>
      <c r="P253" s="58">
        <f>IF(ISNA(VLOOKUP($CW253,'Audit Values'!$A:$BZ,2,FALSE)),'Preliminary SO66'!C252,VLOOKUP($CW253,'Audit Values'!$A:$BZ,76,FALSE))</f>
        <v>2450.6</v>
      </c>
      <c r="Q253" s="58">
        <f>IF(ISNA(VLOOKUP($CW253,'Audit Values'!$A:$BZ,2,FALSE)),'Preliminary SO66'!F252,VLOOKUP($CW253,'Audit Values'!$A:$BZ,4,FALSE))</f>
        <v>0</v>
      </c>
      <c r="R253" s="58">
        <f t="shared" si="169"/>
        <v>2450.6</v>
      </c>
      <c r="S253" s="58">
        <f>IF('Military Provision'!I253="YES", MAX('2024 Legal Max'!O253,'2024 Legal Max'!K253,AVERAGE('2024 Legal Max'!G253,'2024 Legal Max'!K253,'2024 Legal Max'!O253)), MAX(O253, K253))</f>
        <v>2574.3000000000002</v>
      </c>
      <c r="T253" s="58">
        <f>IF(ISNA(VLOOKUP($CW253,'Audit Values'!$A:$BX,2,FALSE)),'Preliminary SO66'!AL252,VLOOKUP($CW253,'Audit Values'!$A:$BX,59,FALSE))</f>
        <v>10</v>
      </c>
      <c r="U253" s="58">
        <f t="shared" si="170"/>
        <v>2584.3000000000002</v>
      </c>
      <c r="V253" s="58">
        <f>'Low-High ENRL- 2023 HSubSB 113'!N256</f>
        <v>90.6</v>
      </c>
      <c r="W253" s="58">
        <f>IF(ISNA(VLOOKUP($CW253,'Audit Values'!$A:$BZ,2,FALSE)),'Preliminary SO66'!AM252,VLOOKUP($CW253,'Audit Values'!$A:$BZ,63,FALSE))</f>
        <v>32.5</v>
      </c>
      <c r="X253" s="58">
        <f>(W253/6)*'Weighting Factors'!$O$7</f>
        <v>2.1</v>
      </c>
      <c r="Y253" s="61">
        <f>IF(ISNA(VLOOKUP($CW253,'Audit Values'!$A:$BZ,2,FALSE)),'Preliminary SO66'!AN252,VLOOKUP($CW253,'Audit Values'!$A:$BZ,62,FALSE))</f>
        <v>25</v>
      </c>
      <c r="Z253" s="58">
        <f>Y253*'Weighting Factors'!$O$8</f>
        <v>4.5999999999999996</v>
      </c>
      <c r="AA253" s="58">
        <f t="shared" si="171"/>
        <v>4.5999999999999996</v>
      </c>
      <c r="AB253" s="106">
        <f>IF(ISNA(VLOOKUP($CW253,'Audit Values'!$A:$BZ,2,FALSE)),'Preliminary SO66'!AO252,VLOOKUP($CW253,'Audit Values'!$A:$BZ,61,FALSE))</f>
        <v>252.8</v>
      </c>
      <c r="AC253" s="58">
        <f>AB253/6*'Weighting Factors'!$O$6</f>
        <v>21.1</v>
      </c>
      <c r="AD253" s="24">
        <f>IF(ISNA(VLOOKUP($CW253,'Audit Values'!$A:$BX,2,FALSE)),'Preliminary SO66'!AS252,VLOOKUP($CW253,'Audit Values'!$A:$BX,64,FALSE))</f>
        <v>2490</v>
      </c>
      <c r="AE253" s="24">
        <f>IF(ISNA(VLOOKUP($CW253,'Audit Values'!$A:$BX,2,FALSE)),'Preliminary SO66'!AP252,VLOOKUP($CW253,'Audit Values'!$A:$BX,65,FALSE))</f>
        <v>725</v>
      </c>
      <c r="AF253" s="58">
        <f>IF(A253=207, AE253,(AE253))*'Weighting Factors'!$O$9</f>
        <v>350.9</v>
      </c>
      <c r="AG253" s="58">
        <f t="shared" si="168"/>
        <v>0</v>
      </c>
      <c r="AH253" s="58">
        <f>IF(ISNA(VLOOKUP($CW253,'Audit Values'!$A:$BZ,2,FALSE)),'Preliminary SO66'!AG252,VLOOKUP($CW253,'Audit Values'!$A:$BZ,71,FALSE))</f>
        <v>3</v>
      </c>
      <c r="AI253" s="58">
        <f t="shared" si="172"/>
        <v>3</v>
      </c>
      <c r="AJ253" s="58">
        <f>IF(ISNA(VLOOKUP($CW253,'Audit Values'!$A:$BX,2,FALSE)),'Preliminary SO66'!AR252,VLOOKUP($CW253,'Audit Values'!$A:$BX,66,FALSE))</f>
        <v>773</v>
      </c>
      <c r="AK253" s="24">
        <f t="shared" si="173"/>
        <v>538249</v>
      </c>
      <c r="AL253" s="58">
        <f>AK253/'Weighting Factors'!$O$5</f>
        <v>105.8</v>
      </c>
      <c r="AM253" s="58">
        <f>CJ253/'Weighting Factors'!$O$5</f>
        <v>0</v>
      </c>
      <c r="AN253" s="58">
        <f>CN253/'Weighting Factors'!$O$5</f>
        <v>97.1</v>
      </c>
      <c r="AO253" s="24">
        <v>2889650</v>
      </c>
      <c r="AP253" s="58">
        <f>AO253/'Weighting Factors'!$O$5</f>
        <v>567.9</v>
      </c>
      <c r="AQ253" s="58">
        <f>IF(ISNA(VLOOKUP($CW253,'Audit Values'!$A:$BX,2,FALSE)),'Preliminary SO66'!X252,VLOOKUP($CW253,'Audit Values'!$A:$BX,48,FALSE))</f>
        <v>0</v>
      </c>
      <c r="AR253" s="58">
        <f t="shared" si="166"/>
        <v>3728.2</v>
      </c>
      <c r="AS253" s="58">
        <f t="shared" si="167"/>
        <v>3257.4</v>
      </c>
      <c r="AT253" s="58">
        <f>IF(ISNA(VLOOKUP($CW253,'Audit Values'!$A$2:$BX$410,2,FALSE)),'Preliminary SO66'!AA252,VLOOKUP($CW253,'Audit Values'!$A$2:$BX$410,41,FALSE))</f>
        <v>18</v>
      </c>
      <c r="AU253" s="58">
        <f>IF(ISNA(VLOOKUP($CW253,'Audit Values'!$A$2:$BX$410,2,FALSE)),'Preliminary SO66'!AB252,VLOOKUP($CW253,'Audit Values'!$A$2:$BX$410,42,FALSE))</f>
        <v>1.4</v>
      </c>
      <c r="AV253" s="73">
        <v>0</v>
      </c>
      <c r="AW253" s="73">
        <v>5</v>
      </c>
      <c r="AX253" s="24">
        <f>SUM(AT253*'Weighting Factors'!$R$10)+('2024 Legal Max'!AU253*'Weighting Factors'!$R$11)+('2024 Legal Max'!AV253*'Weighting Factors'!$R$12)+('2024 Legal Max'!AW253*'Weighting Factors'!$R$12)</f>
        <v>108265</v>
      </c>
      <c r="AY253" s="54">
        <f>IF(ISNA(VLOOKUP($CW253,'Audit Values'!$A$2:$BX$429,2,FALSE)),"",IF(AND('Weighting Factors'!G253&gt;0,VLOOKUP($CW253,'Audit Values'!$A$2:$BX$429,51,FALSE)&lt;'Weighting Factors'!G253),'Weighting Factors'!G253,VLOOKUP($CW253,'Audit Values'!$A$2:$BX$429,51,FALSE)))</f>
        <v>17</v>
      </c>
      <c r="AZ253" s="54" t="str">
        <f>IF(ISNA(VLOOKUP($CW253,'Audit Values'!$A:$BY,2,FALSE)),"",VLOOKUP($CW253,'Audit Values'!$A:$BY,52,FALSE))</f>
        <v>A</v>
      </c>
      <c r="BA253" s="54" t="str">
        <f>IF('Weighting Factors'!F253="","",IF('Weighting Factors'!H253="Pending","PX","R"))</f>
        <v/>
      </c>
      <c r="BB253" s="60">
        <f>SUM((U253+V253+AA253+AC253+AF253+AI253+AL253+AM253+AQ253+AN253)*'Weighting Factors'!$O$5)+'2024 Legal Max'!AX253</f>
        <v>16681916</v>
      </c>
      <c r="BC253" s="24">
        <f>SUM((AR253+AN253)*'Weighting Factors'!$O$5)+AX253</f>
        <v>19571391</v>
      </c>
      <c r="BD253" s="67">
        <f>IF('Weighting Factors'!F253&gt;0,'Weighting Factors'!F253,'Preliminary SO66'!AV252)</f>
        <v>20148592</v>
      </c>
      <c r="BE253" s="24">
        <f t="shared" si="174"/>
        <v>19571391</v>
      </c>
      <c r="BF253" s="71">
        <f>'Weighting Factors'!E253</f>
        <v>0</v>
      </c>
      <c r="BG253" s="71">
        <f>Transportation!G253</f>
        <v>0</v>
      </c>
      <c r="BH253" s="24">
        <f>IF(ISNA(VLOOKUP($CW253,'Audit Values'!$A:$BW,2,FALSE)), 0, VLOOKUP($CW253,'Audit Values'!$A:$BW,75,FALSE))</f>
        <v>-11210</v>
      </c>
      <c r="BI253" s="24">
        <f t="shared" si="175"/>
        <v>-11210</v>
      </c>
      <c r="BJ253" s="24">
        <f t="shared" si="176"/>
        <v>19560181</v>
      </c>
      <c r="BK253" s="24">
        <f>SUM((U253+V253+AA253+AC253+AF253+AI253+AL253+AM253+AN253)*'Weighting Factors'!O$12)+(MAX(AO253,'Weighting Factors'!B253))</f>
        <v>19691319</v>
      </c>
      <c r="BL253" s="78">
        <f>'LOB%'!F251</f>
        <v>0.33</v>
      </c>
      <c r="BM253" s="24">
        <f t="shared" si="147"/>
        <v>6498135</v>
      </c>
      <c r="BN253" s="67">
        <v>6659670</v>
      </c>
      <c r="BO253" s="24">
        <f t="shared" si="177"/>
        <v>6498135</v>
      </c>
      <c r="BP253" s="89">
        <f t="shared" si="148"/>
        <v>0.33</v>
      </c>
      <c r="BQ253" s="58">
        <f t="shared" si="149"/>
        <v>0</v>
      </c>
      <c r="BR253" s="1" t="b">
        <f t="shared" si="150"/>
        <v>0</v>
      </c>
      <c r="BS253" s="76">
        <f t="shared" si="151"/>
        <v>0</v>
      </c>
      <c r="BT253" s="75">
        <f t="shared" si="178"/>
        <v>0</v>
      </c>
      <c r="BU253" s="58">
        <f t="shared" si="152"/>
        <v>0</v>
      </c>
      <c r="BV253" s="1" t="b">
        <f t="shared" si="153"/>
        <v>0</v>
      </c>
      <c r="BW253" s="1">
        <f t="shared" si="154"/>
        <v>0</v>
      </c>
      <c r="BX253" s="75">
        <f t="shared" si="179"/>
        <v>0</v>
      </c>
      <c r="BY253" s="58">
        <f t="shared" si="155"/>
        <v>0</v>
      </c>
      <c r="BZ253" s="58">
        <f t="shared" si="156"/>
        <v>90.6</v>
      </c>
      <c r="CA253" s="61">
        <v>49</v>
      </c>
      <c r="CB253" s="102">
        <f t="shared" si="157"/>
        <v>15.776</v>
      </c>
      <c r="CC253" s="105">
        <f>IF(CB253&lt;0.06,1,IF(CB253&gt;=18.29,52,MATCH(CB253-0.001,'Weighting Factors'!$W$5:$W$156)+1))</f>
        <v>51</v>
      </c>
      <c r="CD253" s="24">
        <f>VLOOKUP(CC253, 'Weighting Factors'!$U$5:$X$56,4)</f>
        <v>570</v>
      </c>
      <c r="CE253" s="109">
        <f>('Weighting Factors'!$O$5/'Weighting Factors'!$O$14)</f>
        <v>1.2216</v>
      </c>
      <c r="CF253" s="100">
        <f t="shared" si="158"/>
        <v>440610</v>
      </c>
      <c r="CG253" s="100">
        <f>CF253*'Weighting Factors'!$Q$7</f>
        <v>440610</v>
      </c>
      <c r="CH253" s="100">
        <f t="shared" si="180"/>
        <v>538249</v>
      </c>
      <c r="CI253" s="58">
        <f>AK253/'Weighting Factors'!$O$5</f>
        <v>105.8</v>
      </c>
      <c r="CJ253" s="67">
        <v>0</v>
      </c>
      <c r="CK253" s="80">
        <v>508671</v>
      </c>
      <c r="CL253" s="110">
        <v>2.5899999999999999E-2</v>
      </c>
      <c r="CM253" s="24">
        <f>SUM((AR253*'Weighting Factors'!$O$5)+'2024 Legal Max'!AX253)*CL253</f>
        <v>494103</v>
      </c>
      <c r="CN253" s="24">
        <f t="shared" si="181"/>
        <v>494103</v>
      </c>
      <c r="CO253" s="65">
        <f t="shared" si="146"/>
        <v>0.29120000000000001</v>
      </c>
      <c r="CP253" s="58">
        <f t="shared" si="159"/>
        <v>0</v>
      </c>
      <c r="CQ253" s="58">
        <f t="shared" si="160"/>
        <v>0</v>
      </c>
      <c r="CR253" s="58">
        <f t="shared" si="161"/>
        <v>3825.3</v>
      </c>
      <c r="CS253" s="24">
        <f>'Required Transfers'!L253</f>
        <v>597828</v>
      </c>
      <c r="CT253" s="24">
        <f>'Required Transfers'!O253</f>
        <v>7798</v>
      </c>
      <c r="CU253" s="24">
        <f>'Required Transfers'!H253</f>
        <v>1800643</v>
      </c>
      <c r="CV253" s="58">
        <f t="shared" si="162"/>
        <v>2480.8000000000002</v>
      </c>
      <c r="CW253" s="27" t="s">
        <v>438</v>
      </c>
    </row>
    <row r="254" spans="1:101" ht="15" customHeight="1">
      <c r="A254" s="54">
        <v>470</v>
      </c>
      <c r="B254" s="1" t="s">
        <v>102</v>
      </c>
      <c r="C254" s="1" t="s">
        <v>758</v>
      </c>
      <c r="D254" s="58">
        <v>2635.9</v>
      </c>
      <c r="E254" s="58">
        <v>2</v>
      </c>
      <c r="F254" s="58">
        <v>0</v>
      </c>
      <c r="G254" s="58">
        <f t="shared" si="163"/>
        <v>2633.9</v>
      </c>
      <c r="H254" s="58">
        <v>2610.1999999999998</v>
      </c>
      <c r="I254" s="58">
        <v>3</v>
      </c>
      <c r="J254" s="58">
        <v>0</v>
      </c>
      <c r="K254" s="58">
        <f t="shared" si="164"/>
        <v>2607.1999999999998</v>
      </c>
      <c r="L254" s="1">
        <v>2652.5</v>
      </c>
      <c r="N254" s="1">
        <v>0</v>
      </c>
      <c r="O254" s="58">
        <f t="shared" si="165"/>
        <v>2652.5</v>
      </c>
      <c r="P254" s="58">
        <f>IF(ISNA(VLOOKUP($CW254,'Audit Values'!$A:$BZ,2,FALSE)),'Preliminary SO66'!C253,VLOOKUP($CW254,'Audit Values'!$A:$BZ,76,FALSE))</f>
        <v>2677.6</v>
      </c>
      <c r="Q254" s="58">
        <f>IF(ISNA(VLOOKUP($CW254,'Audit Values'!$A:$BZ,2,FALSE)),'Preliminary SO66'!F253,VLOOKUP($CW254,'Audit Values'!$A:$BZ,4,FALSE))</f>
        <v>0</v>
      </c>
      <c r="R254" s="58">
        <f t="shared" si="169"/>
        <v>2677.6</v>
      </c>
      <c r="S254" s="58">
        <f>IF('Military Provision'!I254="YES", MAX('2024 Legal Max'!O254,'2024 Legal Max'!K254,AVERAGE('2024 Legal Max'!G254,'2024 Legal Max'!K254,'2024 Legal Max'!O254)), MAX(O254, K254))</f>
        <v>2652.5</v>
      </c>
      <c r="T254" s="58">
        <f>IF(ISNA(VLOOKUP($CW254,'Audit Values'!$A:$BX,2,FALSE)),'Preliminary SO66'!AL253,VLOOKUP($CW254,'Audit Values'!$A:$BX,59,FALSE))</f>
        <v>62</v>
      </c>
      <c r="U254" s="58">
        <f t="shared" si="170"/>
        <v>2714.5</v>
      </c>
      <c r="V254" s="58">
        <f>'Low-High ENRL- 2023 HSubSB 113'!N257</f>
        <v>95.1</v>
      </c>
      <c r="W254" s="58">
        <f>IF(ISNA(VLOOKUP($CW254,'Audit Values'!$A:$BZ,2,FALSE)),'Preliminary SO66'!AM253,VLOOKUP($CW254,'Audit Values'!$A:$BZ,63,FALSE))</f>
        <v>1287</v>
      </c>
      <c r="X254" s="58">
        <f>(W254/6)*'Weighting Factors'!$O$7</f>
        <v>84.7</v>
      </c>
      <c r="Y254" s="61">
        <f>IF(ISNA(VLOOKUP($CW254,'Audit Values'!$A:$BZ,2,FALSE)),'Preliminary SO66'!AN253,VLOOKUP($CW254,'Audit Values'!$A:$BZ,62,FALSE))</f>
        <v>569</v>
      </c>
      <c r="Z254" s="58">
        <f>Y254*'Weighting Factors'!$O$8</f>
        <v>105.3</v>
      </c>
      <c r="AA254" s="58">
        <f t="shared" si="171"/>
        <v>105.3</v>
      </c>
      <c r="AB254" s="106">
        <f>IF(ISNA(VLOOKUP($CW254,'Audit Values'!$A:$BZ,2,FALSE)),'Preliminary SO66'!AO253,VLOOKUP($CW254,'Audit Values'!$A:$BZ,61,FALSE))</f>
        <v>768.7</v>
      </c>
      <c r="AC254" s="58">
        <f>AB254/6*'Weighting Factors'!$O$6</f>
        <v>64.099999999999994</v>
      </c>
      <c r="AD254" s="24">
        <f>IF(ISNA(VLOOKUP($CW254,'Audit Values'!$A:$BX,2,FALSE)),'Preliminary SO66'!AS253,VLOOKUP($CW254,'Audit Values'!$A:$BX,64,FALSE))</f>
        <v>2868</v>
      </c>
      <c r="AE254" s="24">
        <f>IF(ISNA(VLOOKUP($CW254,'Audit Values'!$A:$BX,2,FALSE)),'Preliminary SO66'!AP253,VLOOKUP($CW254,'Audit Values'!$A:$BX,65,FALSE))</f>
        <v>1889</v>
      </c>
      <c r="AF254" s="58">
        <f>IF(A254=207, AE254,(AE254))*'Weighting Factors'!$O$9</f>
        <v>914.3</v>
      </c>
      <c r="AG254" s="58">
        <f t="shared" si="168"/>
        <v>198.3</v>
      </c>
      <c r="AH254" s="58">
        <f>IF(ISNA(VLOOKUP($CW254,'Audit Values'!$A:$BZ,2,FALSE)),'Preliminary SO66'!AG253,VLOOKUP($CW254,'Audit Values'!$A:$BZ,71,FALSE))</f>
        <v>194.7</v>
      </c>
      <c r="AI254" s="58">
        <f t="shared" si="172"/>
        <v>198.3</v>
      </c>
      <c r="AJ254" s="58">
        <f>IF(ISNA(VLOOKUP($CW254,'Audit Values'!$A:$BX,2,FALSE)),'Preliminary SO66'!AR253,VLOOKUP($CW254,'Audit Values'!$A:$BX,66,FALSE))</f>
        <v>682</v>
      </c>
      <c r="AK254" s="24">
        <f t="shared" si="173"/>
        <v>641511</v>
      </c>
      <c r="AL254" s="58">
        <f>AK254/'Weighting Factors'!$O$5</f>
        <v>126.1</v>
      </c>
      <c r="AM254" s="58">
        <f>CJ254/'Weighting Factors'!$O$5</f>
        <v>0</v>
      </c>
      <c r="AN254" s="58">
        <f>CN254/'Weighting Factors'!$O$5</f>
        <v>0</v>
      </c>
      <c r="AO254" s="24">
        <v>3172716</v>
      </c>
      <c r="AP254" s="58">
        <f>AO254/'Weighting Factors'!$O$5</f>
        <v>623.6</v>
      </c>
      <c r="AQ254" s="58">
        <f>IF(ISNA(VLOOKUP($CW254,'Audit Values'!$A:$BX,2,FALSE)),'Preliminary SO66'!X253,VLOOKUP($CW254,'Audit Values'!$A:$BX,48,FALSE))</f>
        <v>0</v>
      </c>
      <c r="AR254" s="58">
        <f t="shared" si="166"/>
        <v>4841.3</v>
      </c>
      <c r="AS254" s="58">
        <f t="shared" si="167"/>
        <v>4217.7</v>
      </c>
      <c r="AT254" s="58">
        <f>IF(ISNA(VLOOKUP($CW254,'Audit Values'!$A$2:$BX$410,2,FALSE)),'Preliminary SO66'!AA253,VLOOKUP($CW254,'Audit Values'!$A$2:$BX$410,41,FALSE))</f>
        <v>30</v>
      </c>
      <c r="AU254" s="58">
        <f>IF(ISNA(VLOOKUP($CW254,'Audit Values'!$A$2:$BX$410,2,FALSE)),'Preliminary SO66'!AB253,VLOOKUP($CW254,'Audit Values'!$A$2:$BX$410,42,FALSE))</f>
        <v>1.3</v>
      </c>
      <c r="AV254" s="73">
        <v>0</v>
      </c>
      <c r="AW254" s="73">
        <v>0</v>
      </c>
      <c r="AX254" s="24">
        <f>SUM(AT254*'Weighting Factors'!$R$10)+('2024 Legal Max'!AU254*'Weighting Factors'!$R$11)+('2024 Legal Max'!AV254*'Weighting Factors'!$R$12)+('2024 Legal Max'!AW254*'Weighting Factors'!$R$12)</f>
        <v>171640</v>
      </c>
      <c r="AY254" s="54">
        <f>IF(ISNA(VLOOKUP($CW254,'Audit Values'!$A$2:$BX$429,2,FALSE)),"",IF(AND('Weighting Factors'!G254&gt;0,VLOOKUP($CW254,'Audit Values'!$A$2:$BX$429,51,FALSE)&lt;'Weighting Factors'!G254),'Weighting Factors'!G254,VLOOKUP($CW254,'Audit Values'!$A$2:$BX$429,51,FALSE)))</f>
        <v>16</v>
      </c>
      <c r="AZ254" s="54" t="str">
        <f>IF(ISNA(VLOOKUP($CW254,'Audit Values'!$A:$BY,2,FALSE)),"",VLOOKUP($CW254,'Audit Values'!$A:$BY,52,FALSE))</f>
        <v>A</v>
      </c>
      <c r="BA254" s="54" t="str">
        <f>IF('Weighting Factors'!F254="","",IF('Weighting Factors'!H254="Pending","PX","R"))</f>
        <v/>
      </c>
      <c r="BB254" s="60">
        <f>SUM((U254+V254+AA254+AC254+AF254+AI254+AL254+AM254+AQ254+AN254)*'Weighting Factors'!$O$5)+'2024 Legal Max'!AX254</f>
        <v>21631298</v>
      </c>
      <c r="BC254" s="24">
        <f>SUM((AR254+AN254)*'Weighting Factors'!$O$5)+AX254</f>
        <v>24804174</v>
      </c>
      <c r="BD254" s="67">
        <f>IF('Weighting Factors'!F254&gt;0,'Weighting Factors'!F254,'Preliminary SO66'!AV253)</f>
        <v>25850742</v>
      </c>
      <c r="BE254" s="24">
        <f t="shared" si="174"/>
        <v>24804174</v>
      </c>
      <c r="BF254" s="71">
        <f>'Weighting Factors'!E254</f>
        <v>0</v>
      </c>
      <c r="BG254" s="71">
        <f>Transportation!G254</f>
        <v>0</v>
      </c>
      <c r="BH254" s="24">
        <f>IF(ISNA(VLOOKUP($CW254,'Audit Values'!$A:$BW,2,FALSE)), 0, VLOOKUP($CW254,'Audit Values'!$A:$BW,75,FALSE))</f>
        <v>-3545</v>
      </c>
      <c r="BI254" s="24">
        <f t="shared" si="175"/>
        <v>-3545</v>
      </c>
      <c r="BJ254" s="24">
        <f t="shared" si="176"/>
        <v>24800629</v>
      </c>
      <c r="BK254" s="24">
        <f>SUM((U254+V254+AA254+AC254+AF254+AI254+AL254+AM254+AN254)*'Weighting Factors'!O$12)+(MAX(AO254,'Weighting Factors'!B254))</f>
        <v>24927613</v>
      </c>
      <c r="BL254" s="78">
        <f>'LOB%'!F252</f>
        <v>0.316</v>
      </c>
      <c r="BM254" s="24">
        <f t="shared" si="147"/>
        <v>7877126</v>
      </c>
      <c r="BN254" s="67">
        <v>7971404</v>
      </c>
      <c r="BO254" s="24">
        <f t="shared" si="177"/>
        <v>7877126</v>
      </c>
      <c r="BP254" s="89">
        <f t="shared" si="148"/>
        <v>0.316</v>
      </c>
      <c r="BQ254" s="58">
        <f t="shared" si="149"/>
        <v>0</v>
      </c>
      <c r="BR254" s="1" t="b">
        <f t="shared" si="150"/>
        <v>0</v>
      </c>
      <c r="BS254" s="76">
        <f t="shared" si="151"/>
        <v>0</v>
      </c>
      <c r="BT254" s="75">
        <f t="shared" si="178"/>
        <v>0</v>
      </c>
      <c r="BU254" s="58">
        <f t="shared" si="152"/>
        <v>0</v>
      </c>
      <c r="BV254" s="1" t="b">
        <f t="shared" si="153"/>
        <v>0</v>
      </c>
      <c r="BW254" s="1">
        <f t="shared" si="154"/>
        <v>0</v>
      </c>
      <c r="BX254" s="75">
        <f t="shared" si="179"/>
        <v>0</v>
      </c>
      <c r="BY254" s="58">
        <f t="shared" si="155"/>
        <v>0</v>
      </c>
      <c r="BZ254" s="58">
        <f t="shared" si="156"/>
        <v>95.1</v>
      </c>
      <c r="CA254" s="61">
        <v>200</v>
      </c>
      <c r="CB254" s="102">
        <f t="shared" si="157"/>
        <v>3.41</v>
      </c>
      <c r="CC254" s="105">
        <f>IF(CB254&lt;0.06,1,IF(CB254&gt;=18.29,52,MATCH(CB254-0.001,'Weighting Factors'!$W$5:$W$156)+1))</f>
        <v>41</v>
      </c>
      <c r="CD254" s="24">
        <f>VLOOKUP(CC254, 'Weighting Factors'!$U$5:$X$56,4)</f>
        <v>770</v>
      </c>
      <c r="CE254" s="109">
        <f>('Weighting Factors'!$O$5/'Weighting Factors'!$O$14)</f>
        <v>1.2216</v>
      </c>
      <c r="CF254" s="100">
        <f t="shared" si="158"/>
        <v>525140</v>
      </c>
      <c r="CG254" s="100">
        <f>CF254*'Weighting Factors'!$Q$7</f>
        <v>525140</v>
      </c>
      <c r="CH254" s="100">
        <f t="shared" si="180"/>
        <v>641511</v>
      </c>
      <c r="CI254" s="58">
        <f>AK254/'Weighting Factors'!$O$5</f>
        <v>126.1</v>
      </c>
      <c r="CJ254" s="67">
        <v>0</v>
      </c>
      <c r="CK254" s="80">
        <v>0</v>
      </c>
      <c r="CL254" s="110">
        <v>0</v>
      </c>
      <c r="CM254" s="24">
        <f>SUM((AR254*'Weighting Factors'!$O$5)+'2024 Legal Max'!AX254)*CL254</f>
        <v>0</v>
      </c>
      <c r="CN254" s="24">
        <f t="shared" si="181"/>
        <v>0</v>
      </c>
      <c r="CO254" s="65">
        <f t="shared" si="146"/>
        <v>0.65859999999999996</v>
      </c>
      <c r="CP254" s="58">
        <f t="shared" si="159"/>
        <v>198.3</v>
      </c>
      <c r="CQ254" s="58">
        <f t="shared" si="160"/>
        <v>0</v>
      </c>
      <c r="CR254" s="58">
        <f t="shared" si="161"/>
        <v>4841.3</v>
      </c>
      <c r="CS254" s="24">
        <f>'Required Transfers'!L254</f>
        <v>1506894</v>
      </c>
      <c r="CT254" s="24">
        <f>'Required Transfers'!O254</f>
        <v>173297</v>
      </c>
      <c r="CU254" s="24">
        <f>'Required Transfers'!H254</f>
        <v>5660909</v>
      </c>
      <c r="CV254" s="58">
        <f t="shared" si="162"/>
        <v>2770.9</v>
      </c>
      <c r="CW254" s="27" t="s">
        <v>439</v>
      </c>
    </row>
    <row r="255" spans="1:101" ht="15" customHeight="1">
      <c r="A255" s="54">
        <v>471</v>
      </c>
      <c r="B255" s="1" t="s">
        <v>102</v>
      </c>
      <c r="C255" s="1" t="s">
        <v>759</v>
      </c>
      <c r="D255" s="58">
        <v>237.4</v>
      </c>
      <c r="E255" s="58"/>
      <c r="F255" s="58">
        <v>0</v>
      </c>
      <c r="G255" s="58">
        <f t="shared" si="163"/>
        <v>237.4</v>
      </c>
      <c r="H255" s="58">
        <v>262.3</v>
      </c>
      <c r="I255" s="58"/>
      <c r="J255" s="58">
        <v>0</v>
      </c>
      <c r="K255" s="58">
        <f t="shared" si="164"/>
        <v>262.3</v>
      </c>
      <c r="L255" s="1">
        <v>263</v>
      </c>
      <c r="N255" s="1">
        <v>0</v>
      </c>
      <c r="O255" s="58">
        <f t="shared" si="165"/>
        <v>263</v>
      </c>
      <c r="P255" s="58">
        <f>IF(ISNA(VLOOKUP($CW255,'Audit Values'!$A:$BZ,2,FALSE)),'Preliminary SO66'!C254,VLOOKUP($CW255,'Audit Values'!$A:$BZ,76,FALSE))</f>
        <v>273</v>
      </c>
      <c r="Q255" s="58">
        <f>IF(ISNA(VLOOKUP($CW255,'Audit Values'!$A:$BZ,2,FALSE)),'Preliminary SO66'!F254,VLOOKUP($CW255,'Audit Values'!$A:$BZ,4,FALSE))</f>
        <v>0</v>
      </c>
      <c r="R255" s="58">
        <f t="shared" si="169"/>
        <v>273</v>
      </c>
      <c r="S255" s="58">
        <f>IF('Military Provision'!I255="YES", MAX('2024 Legal Max'!O255,'2024 Legal Max'!K255,AVERAGE('2024 Legal Max'!G255,'2024 Legal Max'!K255,'2024 Legal Max'!O255)), MAX(O255, K255))</f>
        <v>263</v>
      </c>
      <c r="T255" s="58">
        <f>IF(ISNA(VLOOKUP($CW255,'Audit Values'!$A:$BX,2,FALSE)),'Preliminary SO66'!AL254,VLOOKUP($CW255,'Audit Values'!$A:$BX,59,FALSE))</f>
        <v>0</v>
      </c>
      <c r="U255" s="58">
        <f t="shared" si="170"/>
        <v>263</v>
      </c>
      <c r="V255" s="58">
        <f>'Low-High ENRL- 2023 HSubSB 113'!N258</f>
        <v>153.1</v>
      </c>
      <c r="W255" s="58">
        <f>IF(ISNA(VLOOKUP($CW255,'Audit Values'!$A:$BZ,2,FALSE)),'Preliminary SO66'!AM254,VLOOKUP($CW255,'Audit Values'!$A:$BZ,63,FALSE))</f>
        <v>0</v>
      </c>
      <c r="X255" s="58">
        <f>(W255/6)*'Weighting Factors'!$O$7</f>
        <v>0</v>
      </c>
      <c r="Y255" s="61">
        <f>IF(ISNA(VLOOKUP($CW255,'Audit Values'!$A:$BZ,2,FALSE)),'Preliminary SO66'!AN254,VLOOKUP($CW255,'Audit Values'!$A:$BZ,62,FALSE))</f>
        <v>0</v>
      </c>
      <c r="Z255" s="58">
        <f>Y255*'Weighting Factors'!$O$8</f>
        <v>0</v>
      </c>
      <c r="AA255" s="58">
        <f t="shared" si="171"/>
        <v>0</v>
      </c>
      <c r="AB255" s="106">
        <f>IF(ISNA(VLOOKUP($CW255,'Audit Values'!$A:$BZ,2,FALSE)),'Preliminary SO66'!AO254,VLOOKUP($CW255,'Audit Values'!$A:$BZ,61,FALSE))</f>
        <v>57.9</v>
      </c>
      <c r="AC255" s="58">
        <f>AB255/6*'Weighting Factors'!$O$6</f>
        <v>4.8</v>
      </c>
      <c r="AD255" s="24">
        <f>IF(ISNA(VLOOKUP($CW255,'Audit Values'!$A:$BX,2,FALSE)),'Preliminary SO66'!AS254,VLOOKUP($CW255,'Audit Values'!$A:$BX,64,FALSE))</f>
        <v>275</v>
      </c>
      <c r="AE255" s="24">
        <f>IF(ISNA(VLOOKUP($CW255,'Audit Values'!$A:$BX,2,FALSE)),'Preliminary SO66'!AP254,VLOOKUP($CW255,'Audit Values'!$A:$BX,65,FALSE))</f>
        <v>101</v>
      </c>
      <c r="AF255" s="58">
        <f>IF(A255=207, AE255,(AE255))*'Weighting Factors'!$O$9</f>
        <v>48.9</v>
      </c>
      <c r="AG255" s="58">
        <f t="shared" si="168"/>
        <v>1.2</v>
      </c>
      <c r="AH255" s="58">
        <f>IF(ISNA(VLOOKUP($CW255,'Audit Values'!$A:$BZ,2,FALSE)),'Preliminary SO66'!AG254,VLOOKUP($CW255,'Audit Values'!$A:$BZ,71,FALSE))</f>
        <v>2.1</v>
      </c>
      <c r="AI255" s="58">
        <f t="shared" si="172"/>
        <v>2.1</v>
      </c>
      <c r="AJ255" s="58">
        <f>IF(ISNA(VLOOKUP($CW255,'Audit Values'!$A:$BX,2,FALSE)),'Preliminary SO66'!AR254,VLOOKUP($CW255,'Audit Values'!$A:$BX,66,FALSE))</f>
        <v>54</v>
      </c>
      <c r="AK255" s="24">
        <f t="shared" si="173"/>
        <v>81139</v>
      </c>
      <c r="AL255" s="58">
        <f>AK255/'Weighting Factors'!$O$5</f>
        <v>15.9</v>
      </c>
      <c r="AM255" s="58">
        <f>CJ255/'Weighting Factors'!$O$5</f>
        <v>0</v>
      </c>
      <c r="AN255" s="58">
        <f>CN255/'Weighting Factors'!$O$5</f>
        <v>0</v>
      </c>
      <c r="AO255" s="24">
        <v>312864</v>
      </c>
      <c r="AP255" s="58">
        <f>AO255/'Weighting Factors'!$O$5</f>
        <v>61.5</v>
      </c>
      <c r="AQ255" s="58">
        <f>IF(ISNA(VLOOKUP($CW255,'Audit Values'!$A:$BX,2,FALSE)),'Preliminary SO66'!X254,VLOOKUP($CW255,'Audit Values'!$A:$BX,48,FALSE))</f>
        <v>1</v>
      </c>
      <c r="AR255" s="58">
        <f t="shared" si="166"/>
        <v>550.29999999999995</v>
      </c>
      <c r="AS255" s="58">
        <f t="shared" si="167"/>
        <v>488.8</v>
      </c>
      <c r="AT255" s="58">
        <f>IF(ISNA(VLOOKUP($CW255,'Audit Values'!$A$2:$BX$410,2,FALSE)),'Preliminary SO66'!AA254,VLOOKUP($CW255,'Audit Values'!$A$2:$BX$410,41,FALSE))</f>
        <v>0</v>
      </c>
      <c r="AU255" s="58">
        <f>IF(ISNA(VLOOKUP($CW255,'Audit Values'!$A$2:$BX$410,2,FALSE)),'Preliminary SO66'!AB254,VLOOKUP($CW255,'Audit Values'!$A$2:$BX$410,42,FALSE))</f>
        <v>0</v>
      </c>
      <c r="AV255" s="73">
        <v>0</v>
      </c>
      <c r="AW255" s="73">
        <v>0</v>
      </c>
      <c r="AX255" s="24">
        <f>SUM(AT255*'Weighting Factors'!$R$10)+('2024 Legal Max'!AU255*'Weighting Factors'!$R$11)+('2024 Legal Max'!AV255*'Weighting Factors'!$R$12)+('2024 Legal Max'!AW255*'Weighting Factors'!$R$12)</f>
        <v>0</v>
      </c>
      <c r="AY255" s="54">
        <f>IF(ISNA(VLOOKUP($CW255,'Audit Values'!$A$2:$BX$429,2,FALSE)),"",IF(AND('Weighting Factors'!G255&gt;0,VLOOKUP($CW255,'Audit Values'!$A$2:$BX$429,51,FALSE)&lt;'Weighting Factors'!G255),'Weighting Factors'!G255,VLOOKUP($CW255,'Audit Values'!$A$2:$BX$429,51,FALSE)))</f>
        <v>13</v>
      </c>
      <c r="AZ255" s="54" t="str">
        <f>IF(ISNA(VLOOKUP($CW255,'Audit Values'!$A:$BY,2,FALSE)),"",VLOOKUP($CW255,'Audit Values'!$A:$BY,52,FALSE))</f>
        <v>A</v>
      </c>
      <c r="BA255" s="54" t="str">
        <f>IF('Weighting Factors'!F255="","",IF('Weighting Factors'!H255="Pending","PX","R"))</f>
        <v/>
      </c>
      <c r="BB255" s="60">
        <f>SUM((U255+V255+AA255+AC255+AF255+AI255+AL255+AM255+AQ255+AN255)*'Weighting Factors'!$O$5)+'2024 Legal Max'!AX255</f>
        <v>2487014</v>
      </c>
      <c r="BC255" s="24">
        <f>SUM((AR255+AN255)*'Weighting Factors'!$O$5)+AX255</f>
        <v>2799926</v>
      </c>
      <c r="BD255" s="67">
        <f>IF('Weighting Factors'!F255&gt;0,'Weighting Factors'!F255,'Preliminary SO66'!AV254)</f>
        <v>2903213</v>
      </c>
      <c r="BE255" s="24">
        <f t="shared" si="174"/>
        <v>2799926</v>
      </c>
      <c r="BF255" s="71">
        <f>'Weighting Factors'!E255</f>
        <v>0</v>
      </c>
      <c r="BG255" s="71">
        <f>Transportation!G255</f>
        <v>0</v>
      </c>
      <c r="BH255" s="24">
        <f>IF(ISNA(VLOOKUP($CW255,'Audit Values'!$A:$BW,2,FALSE)), 0, VLOOKUP($CW255,'Audit Values'!$A:$BW,75,FALSE))</f>
        <v>0</v>
      </c>
      <c r="BI255" s="24">
        <f t="shared" si="175"/>
        <v>0</v>
      </c>
      <c r="BJ255" s="24">
        <f t="shared" si="176"/>
        <v>2799926</v>
      </c>
      <c r="BK255" s="24">
        <f>SUM((U255+V255+AA255+AC255+AF255+AI255+AL255+AM255+AN255)*'Weighting Factors'!O$12)+(MAX(AO255,'Weighting Factors'!B255))</f>
        <v>2828936</v>
      </c>
      <c r="BL255" s="78">
        <f>'LOB%'!F253</f>
        <v>0.316</v>
      </c>
      <c r="BM255" s="24">
        <f t="shared" si="147"/>
        <v>893944</v>
      </c>
      <c r="BN255" s="67">
        <v>926575</v>
      </c>
      <c r="BO255" s="24">
        <f t="shared" si="177"/>
        <v>893944</v>
      </c>
      <c r="BP255" s="89">
        <f t="shared" si="148"/>
        <v>0.316</v>
      </c>
      <c r="BQ255" s="58">
        <f t="shared" si="149"/>
        <v>0</v>
      </c>
      <c r="BR255" s="1" t="b">
        <f t="shared" si="150"/>
        <v>1</v>
      </c>
      <c r="BS255" s="76">
        <f t="shared" si="151"/>
        <v>1573.7650000000001</v>
      </c>
      <c r="BT255" s="75">
        <f t="shared" si="178"/>
        <v>0.58226299999999998</v>
      </c>
      <c r="BU255" s="58">
        <f t="shared" si="152"/>
        <v>153.1</v>
      </c>
      <c r="BV255" s="1" t="b">
        <f t="shared" si="153"/>
        <v>0</v>
      </c>
      <c r="BW255" s="1">
        <f t="shared" si="154"/>
        <v>0</v>
      </c>
      <c r="BX255" s="75">
        <f t="shared" si="179"/>
        <v>0</v>
      </c>
      <c r="BY255" s="58">
        <f t="shared" si="155"/>
        <v>0</v>
      </c>
      <c r="BZ255" s="58">
        <f t="shared" si="156"/>
        <v>0</v>
      </c>
      <c r="CA255" s="61">
        <v>213</v>
      </c>
      <c r="CB255" s="102">
        <f t="shared" si="157"/>
        <v>0.254</v>
      </c>
      <c r="CC255" s="105">
        <f>IF(CB255&lt;0.06,1,IF(CB255&gt;=18.29,52,MATCH(CB255-0.001,'Weighting Factors'!$W$5:$W$156)+1))</f>
        <v>18</v>
      </c>
      <c r="CD255" s="24">
        <f>VLOOKUP(CC255, 'Weighting Factors'!$U$5:$X$56,4)</f>
        <v>1230</v>
      </c>
      <c r="CE255" s="109">
        <f>('Weighting Factors'!$O$5/'Weighting Factors'!$O$14)</f>
        <v>1.2216</v>
      </c>
      <c r="CF255" s="100">
        <f t="shared" si="158"/>
        <v>66420</v>
      </c>
      <c r="CG255" s="100">
        <f>CF255*'Weighting Factors'!$Q$7</f>
        <v>66420</v>
      </c>
      <c r="CH255" s="100">
        <f t="shared" si="180"/>
        <v>81139</v>
      </c>
      <c r="CI255" s="58">
        <f>AK255/'Weighting Factors'!$O$5</f>
        <v>15.9</v>
      </c>
      <c r="CJ255" s="67">
        <v>0</v>
      </c>
      <c r="CK255" s="80">
        <v>0</v>
      </c>
      <c r="CL255" s="110">
        <v>0</v>
      </c>
      <c r="CM255" s="24">
        <f>SUM((AR255*'Weighting Factors'!$O$5)+'2024 Legal Max'!AX255)*CL255</f>
        <v>0</v>
      </c>
      <c r="CN255" s="24">
        <f t="shared" si="181"/>
        <v>0</v>
      </c>
      <c r="CO255" s="65">
        <f t="shared" si="146"/>
        <v>0.36730000000000002</v>
      </c>
      <c r="CP255" s="58">
        <f t="shared" si="159"/>
        <v>0</v>
      </c>
      <c r="CQ255" s="58">
        <f t="shared" si="160"/>
        <v>1.2</v>
      </c>
      <c r="CR255" s="58">
        <f t="shared" si="161"/>
        <v>550.29999999999995</v>
      </c>
      <c r="CS255" s="24">
        <f>'Required Transfers'!L255</f>
        <v>79561</v>
      </c>
      <c r="CT255" s="24">
        <f>'Required Transfers'!O255</f>
        <v>0</v>
      </c>
      <c r="CU255" s="24">
        <f>'Required Transfers'!H255</f>
        <v>259488</v>
      </c>
      <c r="CV255" s="58">
        <f t="shared" si="162"/>
        <v>273</v>
      </c>
      <c r="CW255" s="27" t="s">
        <v>440</v>
      </c>
    </row>
    <row r="256" spans="1:101" ht="15" customHeight="1">
      <c r="A256" s="54">
        <v>473</v>
      </c>
      <c r="B256" s="1" t="s">
        <v>87</v>
      </c>
      <c r="C256" s="1" t="s">
        <v>760</v>
      </c>
      <c r="D256" s="58">
        <v>1052.2</v>
      </c>
      <c r="E256" s="58"/>
      <c r="F256" s="58">
        <v>0</v>
      </c>
      <c r="G256" s="58">
        <f t="shared" si="163"/>
        <v>1052.2</v>
      </c>
      <c r="H256" s="58">
        <v>1082</v>
      </c>
      <c r="I256" s="58"/>
      <c r="J256" s="58">
        <v>0</v>
      </c>
      <c r="K256" s="58">
        <f t="shared" si="164"/>
        <v>1082</v>
      </c>
      <c r="L256" s="1">
        <v>1126.5</v>
      </c>
      <c r="N256" s="1">
        <v>0</v>
      </c>
      <c r="O256" s="58">
        <f t="shared" si="165"/>
        <v>1126.5</v>
      </c>
      <c r="P256" s="58">
        <f>IF(ISNA(VLOOKUP($CW256,'Audit Values'!$A:$BZ,2,FALSE)),'Preliminary SO66'!C255,VLOOKUP($CW256,'Audit Values'!$A:$BZ,76,FALSE))</f>
        <v>1094</v>
      </c>
      <c r="Q256" s="58">
        <f>IF(ISNA(VLOOKUP($CW256,'Audit Values'!$A:$BZ,2,FALSE)),'Preliminary SO66'!F255,VLOOKUP($CW256,'Audit Values'!$A:$BZ,4,FALSE))</f>
        <v>0</v>
      </c>
      <c r="R256" s="58">
        <f t="shared" si="169"/>
        <v>1094</v>
      </c>
      <c r="S256" s="58">
        <f>IF('Military Provision'!I256="YES", MAX('2024 Legal Max'!O256,'2024 Legal Max'!K256,AVERAGE('2024 Legal Max'!G256,'2024 Legal Max'!K256,'2024 Legal Max'!O256)), MAX(O256, K256))</f>
        <v>1126.5</v>
      </c>
      <c r="T256" s="58">
        <f>IF(ISNA(VLOOKUP($CW256,'Audit Values'!$A:$BX,2,FALSE)),'Preliminary SO66'!AL255,VLOOKUP($CW256,'Audit Values'!$A:$BX,59,FALSE))</f>
        <v>4</v>
      </c>
      <c r="U256" s="58">
        <f t="shared" si="170"/>
        <v>1130.5</v>
      </c>
      <c r="V256" s="58">
        <f>'Low-High ENRL- 2023 HSubSB 113'!N259</f>
        <v>228.4</v>
      </c>
      <c r="W256" s="58">
        <f>IF(ISNA(VLOOKUP($CW256,'Audit Values'!$A:$BZ,2,FALSE)),'Preliminary SO66'!AM255,VLOOKUP($CW256,'Audit Values'!$A:$BZ,63,FALSE))</f>
        <v>1</v>
      </c>
      <c r="X256" s="58">
        <f>(W256/6)*'Weighting Factors'!$O$7</f>
        <v>0.1</v>
      </c>
      <c r="Y256" s="61">
        <f>IF(ISNA(VLOOKUP($CW256,'Audit Values'!$A:$BZ,2,FALSE)),'Preliminary SO66'!AN255,VLOOKUP($CW256,'Audit Values'!$A:$BZ,62,FALSE))</f>
        <v>2</v>
      </c>
      <c r="Z256" s="58">
        <f>Y256*'Weighting Factors'!$O$8</f>
        <v>0.4</v>
      </c>
      <c r="AA256" s="58">
        <f t="shared" si="171"/>
        <v>0.4</v>
      </c>
      <c r="AB256" s="106">
        <f>IF(ISNA(VLOOKUP($CW256,'Audit Values'!$A:$BZ,2,FALSE)),'Preliminary SO66'!AO255,VLOOKUP($CW256,'Audit Values'!$A:$BZ,61,FALSE))</f>
        <v>464.8</v>
      </c>
      <c r="AC256" s="58">
        <f>AB256/6*'Weighting Factors'!$O$6</f>
        <v>38.700000000000003</v>
      </c>
      <c r="AD256" s="24">
        <f>IF(ISNA(VLOOKUP($CW256,'Audit Values'!$A:$BX,2,FALSE)),'Preliminary SO66'!AS255,VLOOKUP($CW256,'Audit Values'!$A:$BX,64,FALSE))</f>
        <v>1107</v>
      </c>
      <c r="AE256" s="24">
        <f>IF(ISNA(VLOOKUP($CW256,'Audit Values'!$A:$BX,2,FALSE)),'Preliminary SO66'!AP255,VLOOKUP($CW256,'Audit Values'!$A:$BX,65,FALSE))</f>
        <v>365</v>
      </c>
      <c r="AF256" s="58">
        <f>IF(A256=207, AE256,(AE256))*'Weighting Factors'!$O$9</f>
        <v>176.7</v>
      </c>
      <c r="AG256" s="58">
        <f t="shared" si="168"/>
        <v>0</v>
      </c>
      <c r="AH256" s="58">
        <f>IF(ISNA(VLOOKUP($CW256,'Audit Values'!$A:$BZ,2,FALSE)),'Preliminary SO66'!AG255,VLOOKUP($CW256,'Audit Values'!$A:$BZ,71,FALSE))</f>
        <v>5.0999999999999996</v>
      </c>
      <c r="AI256" s="58">
        <f t="shared" si="172"/>
        <v>5.0999999999999996</v>
      </c>
      <c r="AJ256" s="58">
        <f>IF(ISNA(VLOOKUP($CW256,'Audit Values'!$A:$BX,2,FALSE)),'Preliminary SO66'!AR255,VLOOKUP($CW256,'Audit Values'!$A:$BX,66,FALSE))</f>
        <v>442.5</v>
      </c>
      <c r="AK256" s="24">
        <f t="shared" si="173"/>
        <v>535152</v>
      </c>
      <c r="AL256" s="58">
        <f>AK256/'Weighting Factors'!$O$5</f>
        <v>105.2</v>
      </c>
      <c r="AM256" s="58">
        <f>CJ256/'Weighting Factors'!$O$5</f>
        <v>0</v>
      </c>
      <c r="AN256" s="58">
        <f>CN256/'Weighting Factors'!$O$5</f>
        <v>0</v>
      </c>
      <c r="AO256" s="24">
        <v>1226979</v>
      </c>
      <c r="AP256" s="58">
        <f>AO256/'Weighting Factors'!$O$5</f>
        <v>241.2</v>
      </c>
      <c r="AQ256" s="58">
        <f>IF(ISNA(VLOOKUP($CW256,'Audit Values'!$A:$BX,2,FALSE)),'Preliminary SO66'!X255,VLOOKUP($CW256,'Audit Values'!$A:$BX,48,FALSE))</f>
        <v>0</v>
      </c>
      <c r="AR256" s="58">
        <f t="shared" si="166"/>
        <v>1926.2</v>
      </c>
      <c r="AS256" s="58">
        <f t="shared" si="167"/>
        <v>1685</v>
      </c>
      <c r="AT256" s="58">
        <f>IF(ISNA(VLOOKUP($CW256,'Audit Values'!$A$2:$BX$410,2,FALSE)),'Preliminary SO66'!AA255,VLOOKUP($CW256,'Audit Values'!$A$2:$BX$410,41,FALSE))</f>
        <v>0</v>
      </c>
      <c r="AU256" s="58">
        <f>IF(ISNA(VLOOKUP($CW256,'Audit Values'!$A$2:$BX$410,2,FALSE)),'Preliminary SO66'!AB255,VLOOKUP($CW256,'Audit Values'!$A$2:$BX$410,42,FALSE))</f>
        <v>0</v>
      </c>
      <c r="AV256" s="73">
        <v>0</v>
      </c>
      <c r="AW256" s="73">
        <v>0</v>
      </c>
      <c r="AX256" s="24">
        <f>SUM(AT256*'Weighting Factors'!$R$10)+('2024 Legal Max'!AU256*'Weighting Factors'!$R$11)+('2024 Legal Max'!AV256*'Weighting Factors'!$R$12)+('2024 Legal Max'!AW256*'Weighting Factors'!$R$12)</f>
        <v>0</v>
      </c>
      <c r="AY256" s="54">
        <f>IF(ISNA(VLOOKUP($CW256,'Audit Values'!$A$2:$BX$429,2,FALSE)),"",IF(AND('Weighting Factors'!G256&gt;0,VLOOKUP($CW256,'Audit Values'!$A$2:$BX$429,51,FALSE)&lt;'Weighting Factors'!G256),'Weighting Factors'!G256,VLOOKUP($CW256,'Audit Values'!$A$2:$BX$429,51,FALSE)))</f>
        <v>14</v>
      </c>
      <c r="AZ256" s="54" t="str">
        <f>IF(ISNA(VLOOKUP($CW256,'Audit Values'!$A:$BY,2,FALSE)),"",VLOOKUP($CW256,'Audit Values'!$A:$BY,52,FALSE))</f>
        <v>A</v>
      </c>
      <c r="BA256" s="54" t="str">
        <f>IF('Weighting Factors'!F256="","",IF('Weighting Factors'!H256="Pending","PX","R"))</f>
        <v/>
      </c>
      <c r="BB256" s="60">
        <f>SUM((U256+V256+AA256+AC256+AF256+AI256+AL256+AM256+AQ256+AN256)*'Weighting Factors'!$O$5)+'2024 Legal Max'!AX256</f>
        <v>8573280</v>
      </c>
      <c r="BC256" s="24">
        <f>SUM((AR256+AN256)*'Weighting Factors'!$O$5)+AX256</f>
        <v>9800506</v>
      </c>
      <c r="BD256" s="67">
        <f>IF('Weighting Factors'!F256&gt;0,'Weighting Factors'!F256,'Preliminary SO66'!AV255)</f>
        <v>9953146</v>
      </c>
      <c r="BE256" s="24">
        <f t="shared" si="174"/>
        <v>9800506</v>
      </c>
      <c r="BF256" s="71">
        <f>'Weighting Factors'!E256</f>
        <v>0</v>
      </c>
      <c r="BG256" s="71">
        <f>Transportation!G256</f>
        <v>0</v>
      </c>
      <c r="BH256" s="24">
        <f>IF(ISNA(VLOOKUP($CW256,'Audit Values'!$A:$BW,2,FALSE)), 0, VLOOKUP($CW256,'Audit Values'!$A:$BW,75,FALSE))</f>
        <v>0</v>
      </c>
      <c r="BI256" s="24">
        <f t="shared" si="175"/>
        <v>0</v>
      </c>
      <c r="BJ256" s="24">
        <f t="shared" si="176"/>
        <v>9800506</v>
      </c>
      <c r="BK256" s="24">
        <f>SUM((U256+V256+AA256+AC256+AF256+AI256+AL256+AM256+AN256)*'Weighting Factors'!O$12)+(MAX(AO256,'Weighting Factors'!B256))</f>
        <v>9918209</v>
      </c>
      <c r="BL256" s="78">
        <f>'LOB%'!F254</f>
        <v>0.316</v>
      </c>
      <c r="BM256" s="24">
        <f t="shared" si="147"/>
        <v>3134154</v>
      </c>
      <c r="BN256" s="67">
        <v>3182432</v>
      </c>
      <c r="BO256" s="24">
        <f t="shared" si="177"/>
        <v>3134154</v>
      </c>
      <c r="BP256" s="89">
        <f t="shared" si="148"/>
        <v>0.316</v>
      </c>
      <c r="BQ256" s="58">
        <f t="shared" si="149"/>
        <v>0</v>
      </c>
      <c r="BR256" s="1" t="b">
        <f t="shared" si="150"/>
        <v>0</v>
      </c>
      <c r="BS256" s="76">
        <f t="shared" si="151"/>
        <v>0</v>
      </c>
      <c r="BT256" s="75">
        <f t="shared" si="178"/>
        <v>0</v>
      </c>
      <c r="BU256" s="58">
        <f t="shared" si="152"/>
        <v>0</v>
      </c>
      <c r="BV256" s="1" t="b">
        <f t="shared" si="153"/>
        <v>1</v>
      </c>
      <c r="BW256" s="1">
        <f t="shared" si="154"/>
        <v>1027.7438</v>
      </c>
      <c r="BX256" s="75">
        <f t="shared" si="179"/>
        <v>0.20202500000000001</v>
      </c>
      <c r="BY256" s="58">
        <f t="shared" si="155"/>
        <v>228.4</v>
      </c>
      <c r="BZ256" s="58">
        <f t="shared" si="156"/>
        <v>0</v>
      </c>
      <c r="CA256" s="61">
        <v>550</v>
      </c>
      <c r="CB256" s="102">
        <f t="shared" si="157"/>
        <v>0.80500000000000005</v>
      </c>
      <c r="CC256" s="105">
        <f>IF(CB256&lt;0.06,1,IF(CB256&gt;=18.29,52,MATCH(CB256-0.001,'Weighting Factors'!$W$5:$W$156)+1))</f>
        <v>30</v>
      </c>
      <c r="CD256" s="24">
        <f>VLOOKUP(CC256, 'Weighting Factors'!$U$5:$X$56,4)</f>
        <v>990</v>
      </c>
      <c r="CE256" s="109">
        <f>('Weighting Factors'!$O$5/'Weighting Factors'!$O$14)</f>
        <v>1.2216</v>
      </c>
      <c r="CF256" s="100">
        <f t="shared" si="158"/>
        <v>438075</v>
      </c>
      <c r="CG256" s="100">
        <f>CF256*'Weighting Factors'!$Q$7</f>
        <v>438075</v>
      </c>
      <c r="CH256" s="100">
        <f t="shared" si="180"/>
        <v>535152</v>
      </c>
      <c r="CI256" s="58">
        <f>AK256/'Weighting Factors'!$O$5</f>
        <v>105.2</v>
      </c>
      <c r="CJ256" s="67">
        <v>0</v>
      </c>
      <c r="CK256" s="80">
        <v>0</v>
      </c>
      <c r="CL256" s="110">
        <v>0</v>
      </c>
      <c r="CM256" s="24">
        <f>SUM((AR256*'Weighting Factors'!$O$5)+'2024 Legal Max'!AX256)*CL256</f>
        <v>0</v>
      </c>
      <c r="CN256" s="24">
        <f t="shared" si="181"/>
        <v>0</v>
      </c>
      <c r="CO256" s="65">
        <f t="shared" si="146"/>
        <v>0.32969999999999999</v>
      </c>
      <c r="CP256" s="58">
        <f t="shared" si="159"/>
        <v>0</v>
      </c>
      <c r="CQ256" s="58">
        <f t="shared" si="160"/>
        <v>0</v>
      </c>
      <c r="CR256" s="58">
        <f t="shared" si="161"/>
        <v>1926.2</v>
      </c>
      <c r="CS256" s="24">
        <f>'Required Transfers'!L256</f>
        <v>288029</v>
      </c>
      <c r="CT256" s="24">
        <f>'Required Transfers'!O256</f>
        <v>627</v>
      </c>
      <c r="CU256" s="24">
        <f>'Required Transfers'!H256</f>
        <v>924998</v>
      </c>
      <c r="CV256" s="58">
        <f t="shared" si="162"/>
        <v>1098</v>
      </c>
      <c r="CW256" s="27" t="s">
        <v>441</v>
      </c>
    </row>
    <row r="257" spans="1:101" ht="15" customHeight="1">
      <c r="A257" s="54">
        <v>474</v>
      </c>
      <c r="B257" s="1" t="s">
        <v>97</v>
      </c>
      <c r="C257" s="1" t="s">
        <v>761</v>
      </c>
      <c r="D257" s="58">
        <v>99.8</v>
      </c>
      <c r="E257" s="58"/>
      <c r="F257" s="58">
        <v>0</v>
      </c>
      <c r="G257" s="58">
        <f t="shared" si="163"/>
        <v>99.8</v>
      </c>
      <c r="H257" s="58">
        <v>79</v>
      </c>
      <c r="I257" s="58"/>
      <c r="J257" s="58">
        <v>0</v>
      </c>
      <c r="K257" s="58">
        <f t="shared" si="164"/>
        <v>79</v>
      </c>
      <c r="L257" s="1">
        <v>82</v>
      </c>
      <c r="N257" s="1">
        <v>0</v>
      </c>
      <c r="O257" s="58">
        <f t="shared" si="165"/>
        <v>82</v>
      </c>
      <c r="P257" s="58">
        <f>IF(ISNA(VLOOKUP($CW257,'Audit Values'!$A:$BZ,2,FALSE)),'Preliminary SO66'!C256,VLOOKUP($CW257,'Audit Values'!$A:$BZ,76,FALSE))</f>
        <v>87.5</v>
      </c>
      <c r="Q257" s="58">
        <f>IF(ISNA(VLOOKUP($CW257,'Audit Values'!$A:$BZ,2,FALSE)),'Preliminary SO66'!F256,VLOOKUP($CW257,'Audit Values'!$A:$BZ,4,FALSE))</f>
        <v>0</v>
      </c>
      <c r="R257" s="58">
        <f t="shared" si="169"/>
        <v>87.5</v>
      </c>
      <c r="S257" s="58">
        <f>IF('Military Provision'!I257="YES", MAX('2024 Legal Max'!O257,'2024 Legal Max'!K257,AVERAGE('2024 Legal Max'!G257,'2024 Legal Max'!K257,'2024 Legal Max'!O257)), MAX(O257, K257))</f>
        <v>82</v>
      </c>
      <c r="T257" s="58">
        <f>IF(ISNA(VLOOKUP($CW257,'Audit Values'!$A:$BX,2,FALSE)),'Preliminary SO66'!AL256,VLOOKUP($CW257,'Audit Values'!$A:$BX,59,FALSE))</f>
        <v>2.5</v>
      </c>
      <c r="U257" s="58">
        <f t="shared" si="170"/>
        <v>84.5</v>
      </c>
      <c r="V257" s="58">
        <f>'Low-High ENRL- 2023 HSubSB 113'!N260</f>
        <v>85.7</v>
      </c>
      <c r="W257" s="58">
        <f>IF(ISNA(VLOOKUP($CW257,'Audit Values'!$A:$BZ,2,FALSE)),'Preliminary SO66'!AM256,VLOOKUP($CW257,'Audit Values'!$A:$BZ,63,FALSE))</f>
        <v>0</v>
      </c>
      <c r="X257" s="58">
        <f>(W257/6)*'Weighting Factors'!$O$7</f>
        <v>0</v>
      </c>
      <c r="Y257" s="61">
        <f>IF(ISNA(VLOOKUP($CW257,'Audit Values'!$A:$BZ,2,FALSE)),'Preliminary SO66'!AN256,VLOOKUP($CW257,'Audit Values'!$A:$BZ,62,FALSE))</f>
        <v>0</v>
      </c>
      <c r="Z257" s="58">
        <f>Y257*'Weighting Factors'!$O$8</f>
        <v>0</v>
      </c>
      <c r="AA257" s="58">
        <f t="shared" si="171"/>
        <v>0</v>
      </c>
      <c r="AB257" s="106">
        <f>IF(ISNA(VLOOKUP($CW257,'Audit Values'!$A:$BZ,2,FALSE)),'Preliminary SO66'!AO256,VLOOKUP($CW257,'Audit Values'!$A:$BZ,61,FALSE))</f>
        <v>21.7</v>
      </c>
      <c r="AC257" s="58">
        <f>AB257/6*'Weighting Factors'!$O$6</f>
        <v>1.8</v>
      </c>
      <c r="AD257" s="24">
        <f>IF(ISNA(VLOOKUP($CW257,'Audit Values'!$A:$BX,2,FALSE)),'Preliminary SO66'!AS256,VLOOKUP($CW257,'Audit Values'!$A:$BX,64,FALSE))</f>
        <v>96</v>
      </c>
      <c r="AE257" s="24">
        <f>IF(ISNA(VLOOKUP($CW257,'Audit Values'!$A:$BX,2,FALSE)),'Preliminary SO66'!AP256,VLOOKUP($CW257,'Audit Values'!$A:$BX,65,FALSE))</f>
        <v>35</v>
      </c>
      <c r="AF257" s="58">
        <f>IF(A257=207, AE257,(AE257))*'Weighting Factors'!$O$9</f>
        <v>16.899999999999999</v>
      </c>
      <c r="AG257" s="58">
        <f t="shared" si="168"/>
        <v>0.4</v>
      </c>
      <c r="AH257" s="58">
        <f>IF(ISNA(VLOOKUP($CW257,'Audit Values'!$A:$BZ,2,FALSE)),'Preliminary SO66'!AG256,VLOOKUP($CW257,'Audit Values'!$A:$BZ,71,FALSE))</f>
        <v>0.9</v>
      </c>
      <c r="AI257" s="58">
        <f t="shared" si="172"/>
        <v>0.9</v>
      </c>
      <c r="AJ257" s="58">
        <f>IF(ISNA(VLOOKUP($CW257,'Audit Values'!$A:$BX,2,FALSE)),'Preliminary SO66'!AR256,VLOOKUP($CW257,'Audit Values'!$A:$BX,66,FALSE))</f>
        <v>30</v>
      </c>
      <c r="AK257" s="24">
        <f t="shared" si="173"/>
        <v>51674</v>
      </c>
      <c r="AL257" s="58">
        <f>AK257/'Weighting Factors'!$O$5</f>
        <v>10.199999999999999</v>
      </c>
      <c r="AM257" s="58">
        <f>CJ257/'Weighting Factors'!$O$5</f>
        <v>0</v>
      </c>
      <c r="AN257" s="58">
        <f>CN257/'Weighting Factors'!$O$5</f>
        <v>0</v>
      </c>
      <c r="AO257" s="24">
        <v>124041</v>
      </c>
      <c r="AP257" s="58">
        <f>AO257/'Weighting Factors'!$O$5</f>
        <v>24.4</v>
      </c>
      <c r="AQ257" s="58">
        <f>IF(ISNA(VLOOKUP($CW257,'Audit Values'!$A:$BX,2,FALSE)),'Preliminary SO66'!X256,VLOOKUP($CW257,'Audit Values'!$A:$BX,48,FALSE))</f>
        <v>0</v>
      </c>
      <c r="AR257" s="58">
        <f t="shared" si="166"/>
        <v>224.4</v>
      </c>
      <c r="AS257" s="58">
        <f t="shared" si="167"/>
        <v>200</v>
      </c>
      <c r="AT257" s="58">
        <f>IF(ISNA(VLOOKUP($CW257,'Audit Values'!$A$2:$BX$410,2,FALSE)),'Preliminary SO66'!AA256,VLOOKUP($CW257,'Audit Values'!$A$2:$BX$410,41,FALSE))</f>
        <v>4</v>
      </c>
      <c r="AU257" s="58">
        <f>IF(ISNA(VLOOKUP($CW257,'Audit Values'!$A$2:$BX$410,2,FALSE)),'Preliminary SO66'!AB256,VLOOKUP($CW257,'Audit Values'!$A$2:$BX$410,42,FALSE))</f>
        <v>0</v>
      </c>
      <c r="AV257" s="73">
        <v>0</v>
      </c>
      <c r="AW257" s="73">
        <v>0</v>
      </c>
      <c r="AX257" s="24">
        <f>SUM(AT257*'Weighting Factors'!$R$10)+('2024 Legal Max'!AU257*'Weighting Factors'!$R$11)+('2024 Legal Max'!AV257*'Weighting Factors'!$R$12)+('2024 Legal Max'!AW257*'Weighting Factors'!$R$12)</f>
        <v>22400</v>
      </c>
      <c r="AY257" s="54">
        <v>19</v>
      </c>
      <c r="AZ257" s="54" t="str">
        <f>IF(ISNA(VLOOKUP($CW257,'Audit Values'!$A:$BY,2,FALSE)),"",VLOOKUP($CW257,'Audit Values'!$A:$BY,52,FALSE))</f>
        <v>A</v>
      </c>
      <c r="BA257" s="54" t="str">
        <f>IF('Weighting Factors'!F257="","",IF('Weighting Factors'!H257="Pending","PX","R"))</f>
        <v>R</v>
      </c>
      <c r="BB257" s="60">
        <f>SUM((U257+V257+AA257+AC257+AF257+AI257+AL257+AM257+AQ257+AN257)*'Weighting Factors'!$O$5)+'2024 Legal Max'!AX257</f>
        <v>1040000</v>
      </c>
      <c r="BC257" s="24">
        <f>SUM((AR257+AN257)*'Weighting Factors'!$O$5)+AX257</f>
        <v>1164147</v>
      </c>
      <c r="BD257" s="67">
        <f>IF('Weighting Factors'!F257&gt;0,'Weighting Factors'!F257,'Preliminary SO66'!AV256)</f>
        <v>1214518</v>
      </c>
      <c r="BE257" s="24">
        <f t="shared" si="174"/>
        <v>1164147</v>
      </c>
      <c r="BF257" s="71">
        <f>'Weighting Factors'!E257</f>
        <v>0</v>
      </c>
      <c r="BG257" s="71">
        <f>Transportation!G257</f>
        <v>0</v>
      </c>
      <c r="BH257" s="24">
        <f>IF(ISNA(VLOOKUP($CW257,'Audit Values'!$A:$BW,2,FALSE)), 0, VLOOKUP($CW257,'Audit Values'!$A:$BW,75,FALSE))</f>
        <v>0</v>
      </c>
      <c r="BI257" s="24">
        <f t="shared" si="175"/>
        <v>0</v>
      </c>
      <c r="BJ257" s="24">
        <f t="shared" si="176"/>
        <v>1164147</v>
      </c>
      <c r="BK257" s="24">
        <f>SUM((U257+V257+AA257+AC257+AF257+AI257+AL257+AM257+AN257)*'Weighting Factors'!O$12)+(MAX(AO257,'Weighting Factors'!B257))</f>
        <v>1195345</v>
      </c>
      <c r="BL257" s="78">
        <f>'LOB%'!F255</f>
        <v>0.33</v>
      </c>
      <c r="BM257" s="24">
        <f t="shared" si="147"/>
        <v>394464</v>
      </c>
      <c r="BN257" s="67">
        <v>383654</v>
      </c>
      <c r="BO257" s="24">
        <f t="shared" si="177"/>
        <v>383654</v>
      </c>
      <c r="BP257" s="89">
        <f t="shared" si="148"/>
        <v>0.32100000000000001</v>
      </c>
      <c r="BQ257" s="58">
        <f t="shared" si="149"/>
        <v>85.7</v>
      </c>
      <c r="BR257" s="1" t="b">
        <f t="shared" si="150"/>
        <v>0</v>
      </c>
      <c r="BS257" s="76">
        <f t="shared" si="151"/>
        <v>0</v>
      </c>
      <c r="BT257" s="75">
        <f t="shared" si="178"/>
        <v>0</v>
      </c>
      <c r="BU257" s="58">
        <f t="shared" si="152"/>
        <v>0</v>
      </c>
      <c r="BV257" s="1" t="b">
        <f t="shared" si="153"/>
        <v>0</v>
      </c>
      <c r="BW257" s="1">
        <f t="shared" si="154"/>
        <v>0</v>
      </c>
      <c r="BX257" s="75">
        <f t="shared" si="179"/>
        <v>0</v>
      </c>
      <c r="BY257" s="58">
        <f t="shared" si="155"/>
        <v>0</v>
      </c>
      <c r="BZ257" s="58">
        <f t="shared" si="156"/>
        <v>0</v>
      </c>
      <c r="CA257" s="61">
        <v>234.9</v>
      </c>
      <c r="CB257" s="102">
        <f t="shared" si="157"/>
        <v>0.128</v>
      </c>
      <c r="CC257" s="105">
        <f>IF(CB257&lt;0.06,1,IF(CB257&gt;=18.29,52,MATCH(CB257-0.001,'Weighting Factors'!$W$5:$W$156)+1))</f>
        <v>8</v>
      </c>
      <c r="CD257" s="24">
        <f>VLOOKUP(CC257, 'Weighting Factors'!$U$5:$X$56,4)</f>
        <v>1410</v>
      </c>
      <c r="CE257" s="109">
        <f>('Weighting Factors'!$O$5/'Weighting Factors'!$O$14)</f>
        <v>1.2216</v>
      </c>
      <c r="CF257" s="100">
        <f t="shared" si="158"/>
        <v>42300</v>
      </c>
      <c r="CG257" s="100">
        <f>CF257*'Weighting Factors'!$Q$7</f>
        <v>42300</v>
      </c>
      <c r="CH257" s="100">
        <f t="shared" si="180"/>
        <v>51674</v>
      </c>
      <c r="CI257" s="58">
        <f>AK257/'Weighting Factors'!$O$5</f>
        <v>10.199999999999999</v>
      </c>
      <c r="CJ257" s="67">
        <v>0</v>
      </c>
      <c r="CK257" s="80">
        <v>0</v>
      </c>
      <c r="CL257" s="110">
        <v>0</v>
      </c>
      <c r="CM257" s="24">
        <f>SUM((AR257*'Weighting Factors'!$O$5)+'2024 Legal Max'!AX257)*CL257</f>
        <v>0</v>
      </c>
      <c r="CN257" s="24">
        <f t="shared" si="181"/>
        <v>0</v>
      </c>
      <c r="CO257" s="65">
        <f t="shared" si="146"/>
        <v>0.36459999999999998</v>
      </c>
      <c r="CP257" s="58">
        <f t="shared" si="159"/>
        <v>0</v>
      </c>
      <c r="CQ257" s="58">
        <f t="shared" si="160"/>
        <v>0.4</v>
      </c>
      <c r="CR257" s="58">
        <f t="shared" si="161"/>
        <v>224.4</v>
      </c>
      <c r="CS257" s="24">
        <f>'Required Transfers'!L257</f>
        <v>29234</v>
      </c>
      <c r="CT257" s="24">
        <f>'Required Transfers'!O257</f>
        <v>0</v>
      </c>
      <c r="CU257" s="24">
        <f>'Required Transfers'!H257</f>
        <v>90566</v>
      </c>
      <c r="CV257" s="58">
        <f t="shared" si="162"/>
        <v>94</v>
      </c>
      <c r="CW257" s="27" t="s">
        <v>442</v>
      </c>
    </row>
    <row r="258" spans="1:101" ht="15" customHeight="1">
      <c r="A258" s="54">
        <v>475</v>
      </c>
      <c r="B258" s="1" t="s">
        <v>105</v>
      </c>
      <c r="C258" s="1" t="s">
        <v>762</v>
      </c>
      <c r="D258" s="58">
        <v>6666.2</v>
      </c>
      <c r="E258" s="58">
        <v>1</v>
      </c>
      <c r="F258" s="58">
        <v>437.9</v>
      </c>
      <c r="G258" s="58">
        <f t="shared" si="163"/>
        <v>7103.1</v>
      </c>
      <c r="H258" s="58">
        <v>6663.1</v>
      </c>
      <c r="I258" s="58">
        <v>6</v>
      </c>
      <c r="J258" s="58">
        <v>380</v>
      </c>
      <c r="K258" s="58">
        <f t="shared" si="164"/>
        <v>7037.1</v>
      </c>
      <c r="L258" s="1">
        <v>6895.6</v>
      </c>
      <c r="N258" s="1">
        <v>312.10000000000002</v>
      </c>
      <c r="O258" s="58">
        <f t="shared" si="165"/>
        <v>7207.7</v>
      </c>
      <c r="P258" s="58">
        <f>IF(ISNA(VLOOKUP($CW258,'Audit Values'!$A:$BZ,2,FALSE)),'Preliminary SO66'!C257,VLOOKUP($CW258,'Audit Values'!$A:$BZ,76,FALSE))</f>
        <v>6888.6</v>
      </c>
      <c r="Q258" s="58">
        <f>IF(ISNA(VLOOKUP($CW258,'Audit Values'!$A:$BZ,2,FALSE)),'Preliminary SO66'!F257,VLOOKUP($CW258,'Audit Values'!$A:$BZ,4,FALSE))</f>
        <v>320.60000000000002</v>
      </c>
      <c r="R258" s="58">
        <f t="shared" si="169"/>
        <v>7209.2</v>
      </c>
      <c r="S258" s="58">
        <f>IF('Military Provision'!I258="YES", MAX('2024 Legal Max'!O258,'2024 Legal Max'!K258,AVERAGE('2024 Legal Max'!G258,'2024 Legal Max'!K258,'2024 Legal Max'!O258)), MAX(O258, K258))</f>
        <v>7207.7</v>
      </c>
      <c r="T258" s="58">
        <f>IF(ISNA(VLOOKUP($CW258,'Audit Values'!$A:$BX,2,FALSE)),'Preliminary SO66'!AL257,VLOOKUP($CW258,'Audit Values'!$A:$BX,59,FALSE))</f>
        <v>128.5</v>
      </c>
      <c r="U258" s="58">
        <f t="shared" si="170"/>
        <v>7336.2</v>
      </c>
      <c r="V258" s="58">
        <f>'Low-High ENRL- 2023 HSubSB 113'!N261</f>
        <v>257.10000000000002</v>
      </c>
      <c r="W258" s="58">
        <f>IF(ISNA(VLOOKUP($CW258,'Audit Values'!$A:$BZ,2,FALSE)),'Preliminary SO66'!AM257,VLOOKUP($CW258,'Audit Values'!$A:$BZ,63,FALSE))</f>
        <v>1634.4</v>
      </c>
      <c r="X258" s="58">
        <f>(W258/6)*'Weighting Factors'!$O$7</f>
        <v>107.6</v>
      </c>
      <c r="Y258" s="61">
        <f>IF(ISNA(VLOOKUP($CW258,'Audit Values'!$A:$BZ,2,FALSE)),'Preliminary SO66'!AN257,VLOOKUP($CW258,'Audit Values'!$A:$BZ,62,FALSE))</f>
        <v>566</v>
      </c>
      <c r="Z258" s="58">
        <f>Y258*'Weighting Factors'!$O$8</f>
        <v>104.7</v>
      </c>
      <c r="AA258" s="58">
        <f t="shared" si="171"/>
        <v>107.6</v>
      </c>
      <c r="AB258" s="106">
        <f>IF(ISNA(VLOOKUP($CW258,'Audit Values'!$A:$BZ,2,FALSE)),'Preliminary SO66'!AO257,VLOOKUP($CW258,'Audit Values'!$A:$BZ,61,FALSE))</f>
        <v>1302.2</v>
      </c>
      <c r="AC258" s="58">
        <f>AB258/6*'Weighting Factors'!$O$6</f>
        <v>108.5</v>
      </c>
      <c r="AD258" s="24">
        <f>IF(ISNA(VLOOKUP($CW258,'Audit Values'!$A:$BX,2,FALSE)),'Preliminary SO66'!AS257,VLOOKUP($CW258,'Audit Values'!$A:$BX,64,FALSE))</f>
        <v>7560</v>
      </c>
      <c r="AE258" s="24">
        <f>IF(ISNA(VLOOKUP($CW258,'Audit Values'!$A:$BX,2,FALSE)),'Preliminary SO66'!AP257,VLOOKUP($CW258,'Audit Values'!$A:$BX,65,FALSE))</f>
        <v>2995</v>
      </c>
      <c r="AF258" s="58">
        <f>IF(A258=207, AE258,(AE258))*'Weighting Factors'!$O$9</f>
        <v>1449.6</v>
      </c>
      <c r="AG258" s="58">
        <f t="shared" si="168"/>
        <v>96.9</v>
      </c>
      <c r="AH258" s="58">
        <f>IF(ISNA(VLOOKUP($CW258,'Audit Values'!$A:$BZ,2,FALSE)),'Preliminary SO66'!AG257,VLOOKUP($CW258,'Audit Values'!$A:$BZ,71,FALSE))</f>
        <v>155.80000000000001</v>
      </c>
      <c r="AI258" s="58">
        <f t="shared" si="172"/>
        <v>155.80000000000001</v>
      </c>
      <c r="AJ258" s="58">
        <f>IF(ISNA(VLOOKUP($CW258,'Audit Values'!$A:$BX,2,FALSE)),'Preliminary SO66'!AR257,VLOOKUP($CW258,'Audit Values'!$A:$BX,66,FALSE))</f>
        <v>2015</v>
      </c>
      <c r="AK258" s="24">
        <f t="shared" si="173"/>
        <v>1599991</v>
      </c>
      <c r="AL258" s="58">
        <f>AK258/'Weighting Factors'!$O$5</f>
        <v>314.5</v>
      </c>
      <c r="AM258" s="58">
        <f>CJ258/'Weighting Factors'!$O$5</f>
        <v>0</v>
      </c>
      <c r="AN258" s="58">
        <f>CN258/'Weighting Factors'!$O$5</f>
        <v>0</v>
      </c>
      <c r="AO258" s="24">
        <v>9736594</v>
      </c>
      <c r="AP258" s="58">
        <f>AO258/'Weighting Factors'!$O$5</f>
        <v>1913.6</v>
      </c>
      <c r="AQ258" s="58">
        <f>IF(ISNA(VLOOKUP($CW258,'Audit Values'!$A:$BX,2,FALSE)),'Preliminary SO66'!X257,VLOOKUP($CW258,'Audit Values'!$A:$BX,48,FALSE))</f>
        <v>0</v>
      </c>
      <c r="AR258" s="58">
        <f t="shared" si="166"/>
        <v>11642.9</v>
      </c>
      <c r="AS258" s="58">
        <f t="shared" si="167"/>
        <v>9729.2999999999993</v>
      </c>
      <c r="AT258" s="58">
        <f>IF(ISNA(VLOOKUP($CW258,'Audit Values'!$A$2:$BX$410,2,FALSE)),'Preliminary SO66'!AA257,VLOOKUP($CW258,'Audit Values'!$A$2:$BX$410,41,FALSE))</f>
        <v>3</v>
      </c>
      <c r="AU258" s="58">
        <f>IF(ISNA(VLOOKUP($CW258,'Audit Values'!$A$2:$BX$410,2,FALSE)),'Preliminary SO66'!AB257,VLOOKUP($CW258,'Audit Values'!$A$2:$BX$410,42,FALSE))</f>
        <v>1.3</v>
      </c>
      <c r="AV258" s="73">
        <v>22.5</v>
      </c>
      <c r="AW258" s="73">
        <v>0</v>
      </c>
      <c r="AX258" s="24">
        <f>SUM(AT258*'Weighting Factors'!$R$10)+('2024 Legal Max'!AU258*'Weighting Factors'!$R$11)+('2024 Legal Max'!AV258*'Weighting Factors'!$R$12)+('2024 Legal Max'!AW258*'Weighting Factors'!$R$12)</f>
        <v>36393</v>
      </c>
      <c r="AY258" s="54">
        <v>25</v>
      </c>
      <c r="AZ258" s="54" t="str">
        <f>IF(ISNA(VLOOKUP($CW258,'Audit Values'!$A:$BY,2,FALSE)),"",VLOOKUP($CW258,'Audit Values'!$A:$BY,52,FALSE))</f>
        <v>A</v>
      </c>
      <c r="BA258" s="54" t="str">
        <f>IF('Weighting Factors'!F258="","",IF('Weighting Factors'!H258="Pending","PX","R"))</f>
        <v>R</v>
      </c>
      <c r="BB258" s="60">
        <f>SUM((U258+V258+AA258+AC258+AF258+AI258+AL258+AM258+AQ258+AN258)*'Weighting Factors'!$O$5)+'2024 Legal Max'!AX258</f>
        <v>49539071</v>
      </c>
      <c r="BC258" s="24">
        <f>SUM((AR258+AN258)*'Weighting Factors'!$O$5)+AX258</f>
        <v>59275468</v>
      </c>
      <c r="BD258" s="67">
        <f>IF('Weighting Factors'!F258&gt;0,'Weighting Factors'!F258,'Preliminary SO66'!AV257)</f>
        <v>59306046</v>
      </c>
      <c r="BE258" s="24">
        <f t="shared" si="174"/>
        <v>59275468</v>
      </c>
      <c r="BF258" s="71">
        <f>'Weighting Factors'!E258</f>
        <v>0</v>
      </c>
      <c r="BG258" s="71">
        <f>Transportation!G258</f>
        <v>0</v>
      </c>
      <c r="BH258" s="24">
        <f>IF(ISNA(VLOOKUP($CW258,'Audit Values'!$A:$BW,2,FALSE)), 0, VLOOKUP($CW258,'Audit Values'!$A:$BW,75,FALSE))</f>
        <v>-7090</v>
      </c>
      <c r="BI258" s="24">
        <f t="shared" si="175"/>
        <v>-7090</v>
      </c>
      <c r="BJ258" s="24">
        <f t="shared" si="176"/>
        <v>59268378</v>
      </c>
      <c r="BK258" s="24">
        <f>SUM((U258+V258+AA258+AC258+AF258+AI258+AL258+AM258+AN258)*'Weighting Factors'!O$12)+(MAX(AO258,'Weighting Factors'!B258))</f>
        <v>59920323</v>
      </c>
      <c r="BL258" s="78">
        <f>'LOB%'!F256</f>
        <v>0.316</v>
      </c>
      <c r="BM258" s="24">
        <f t="shared" si="147"/>
        <v>18934822</v>
      </c>
      <c r="BN258" s="67">
        <v>18781114</v>
      </c>
      <c r="BO258" s="24">
        <f t="shared" si="177"/>
        <v>18781114</v>
      </c>
      <c r="BP258" s="89">
        <f t="shared" si="148"/>
        <v>0.31340000000000001</v>
      </c>
      <c r="BQ258" s="58">
        <f t="shared" si="149"/>
        <v>0</v>
      </c>
      <c r="BR258" s="1" t="b">
        <f t="shared" si="150"/>
        <v>0</v>
      </c>
      <c r="BS258" s="76">
        <f t="shared" si="151"/>
        <v>0</v>
      </c>
      <c r="BT258" s="75">
        <f t="shared" si="178"/>
        <v>0</v>
      </c>
      <c r="BU258" s="58">
        <f t="shared" si="152"/>
        <v>0</v>
      </c>
      <c r="BV258" s="1" t="b">
        <f t="shared" si="153"/>
        <v>0</v>
      </c>
      <c r="BW258" s="1">
        <f t="shared" si="154"/>
        <v>0</v>
      </c>
      <c r="BX258" s="75">
        <f t="shared" si="179"/>
        <v>0</v>
      </c>
      <c r="BY258" s="58">
        <f t="shared" si="155"/>
        <v>0</v>
      </c>
      <c r="BZ258" s="58">
        <f t="shared" si="156"/>
        <v>257.10000000000002</v>
      </c>
      <c r="CA258" s="61">
        <v>262</v>
      </c>
      <c r="CB258" s="102">
        <f t="shared" si="157"/>
        <v>7.6909999999999998</v>
      </c>
      <c r="CC258" s="105">
        <f>IF(CB258&lt;0.06,1,IF(CB258&gt;=18.29,52,MATCH(CB258-0.001,'Weighting Factors'!$W$5:$W$156)+1))</f>
        <v>47</v>
      </c>
      <c r="CD258" s="24">
        <f>VLOOKUP(CC258, 'Weighting Factors'!$U$5:$X$56,4)</f>
        <v>650</v>
      </c>
      <c r="CE258" s="109">
        <f>('Weighting Factors'!$O$5/'Weighting Factors'!$O$14)</f>
        <v>1.2216</v>
      </c>
      <c r="CF258" s="100">
        <f t="shared" si="158"/>
        <v>1309750</v>
      </c>
      <c r="CG258" s="100">
        <f>CF258*'Weighting Factors'!$Q$7</f>
        <v>1309750</v>
      </c>
      <c r="CH258" s="100">
        <f t="shared" si="180"/>
        <v>1599991</v>
      </c>
      <c r="CI258" s="58">
        <f>AK258/'Weighting Factors'!$O$5</f>
        <v>314.5</v>
      </c>
      <c r="CJ258" s="67">
        <v>0</v>
      </c>
      <c r="CK258" s="80">
        <v>0</v>
      </c>
      <c r="CL258" s="110">
        <v>0</v>
      </c>
      <c r="CM258" s="24">
        <f>SUM((AR258*'Weighting Factors'!$O$5)+'2024 Legal Max'!AX258)*CL258</f>
        <v>0</v>
      </c>
      <c r="CN258" s="24">
        <f t="shared" si="181"/>
        <v>0</v>
      </c>
      <c r="CO258" s="65">
        <f t="shared" si="146"/>
        <v>0.3962</v>
      </c>
      <c r="CP258" s="58">
        <f t="shared" si="159"/>
        <v>0</v>
      </c>
      <c r="CQ258" s="58">
        <f t="shared" si="160"/>
        <v>96.9</v>
      </c>
      <c r="CR258" s="58">
        <f t="shared" si="161"/>
        <v>11642.9</v>
      </c>
      <c r="CS258" s="24">
        <f>'Required Transfers'!L258</f>
        <v>2364542</v>
      </c>
      <c r="CT258" s="24">
        <f>'Required Transfers'!O258</f>
        <v>174664</v>
      </c>
      <c r="CU258" s="24">
        <f>'Required Transfers'!H258</f>
        <v>8168275</v>
      </c>
      <c r="CV258" s="58">
        <f t="shared" si="162"/>
        <v>7345.8</v>
      </c>
      <c r="CW258" s="27" t="s">
        <v>443</v>
      </c>
    </row>
    <row r="259" spans="1:101" ht="15" customHeight="1">
      <c r="A259" s="54">
        <v>476</v>
      </c>
      <c r="B259" s="1" t="s">
        <v>5</v>
      </c>
      <c r="C259" s="1" t="s">
        <v>763</v>
      </c>
      <c r="D259" s="58">
        <v>95</v>
      </c>
      <c r="E259" s="58"/>
      <c r="F259" s="58">
        <v>0</v>
      </c>
      <c r="G259" s="58">
        <f t="shared" si="163"/>
        <v>95</v>
      </c>
      <c r="H259" s="58">
        <v>94</v>
      </c>
      <c r="I259" s="58"/>
      <c r="J259" s="58">
        <v>0</v>
      </c>
      <c r="K259" s="58">
        <f t="shared" si="164"/>
        <v>94</v>
      </c>
      <c r="L259" s="1">
        <v>94.8</v>
      </c>
      <c r="N259" s="1">
        <v>0</v>
      </c>
      <c r="O259" s="58">
        <f t="shared" si="165"/>
        <v>94.8</v>
      </c>
      <c r="P259" s="58">
        <f>IF(ISNA(VLOOKUP($CW259,'Audit Values'!$A:$BZ,2,FALSE)),'Preliminary SO66'!C258,VLOOKUP($CW259,'Audit Values'!$A:$BZ,76,FALSE))</f>
        <v>99.2</v>
      </c>
      <c r="Q259" s="58">
        <f>IF(ISNA(VLOOKUP($CW259,'Audit Values'!$A:$BZ,2,FALSE)),'Preliminary SO66'!F258,VLOOKUP($CW259,'Audit Values'!$A:$BZ,4,FALSE))</f>
        <v>0</v>
      </c>
      <c r="R259" s="58">
        <f t="shared" si="169"/>
        <v>99.2</v>
      </c>
      <c r="S259" s="58">
        <f>IF('Military Provision'!I259="YES", MAX('2024 Legal Max'!O259,'2024 Legal Max'!K259,AVERAGE('2024 Legal Max'!G259,'2024 Legal Max'!K259,'2024 Legal Max'!O259)), MAX(O259, K259))</f>
        <v>94.8</v>
      </c>
      <c r="T259" s="58">
        <f>IF(ISNA(VLOOKUP($CW259,'Audit Values'!$A:$BX,2,FALSE)),'Preliminary SO66'!AL258,VLOOKUP($CW259,'Audit Values'!$A:$BX,59,FALSE))</f>
        <v>2</v>
      </c>
      <c r="U259" s="58">
        <f t="shared" si="170"/>
        <v>96.8</v>
      </c>
      <c r="V259" s="58">
        <f>'Low-High ENRL- 2023 HSubSB 113'!N262</f>
        <v>98.2</v>
      </c>
      <c r="W259" s="58">
        <f>IF(ISNA(VLOOKUP($CW259,'Audit Values'!$A:$BZ,2,FALSE)),'Preliminary SO66'!AM258,VLOOKUP($CW259,'Audit Values'!$A:$BZ,63,FALSE))</f>
        <v>72.5</v>
      </c>
      <c r="X259" s="58">
        <f>(W259/6)*'Weighting Factors'!$O$7</f>
        <v>4.8</v>
      </c>
      <c r="Y259" s="61">
        <f>IF(ISNA(VLOOKUP($CW259,'Audit Values'!$A:$BZ,2,FALSE)),'Preliminary SO66'!AN258,VLOOKUP($CW259,'Audit Values'!$A:$BZ,62,FALSE))</f>
        <v>22</v>
      </c>
      <c r="Z259" s="58">
        <f>Y259*'Weighting Factors'!$O$8</f>
        <v>4.0999999999999996</v>
      </c>
      <c r="AA259" s="58">
        <f t="shared" si="171"/>
        <v>4.8</v>
      </c>
      <c r="AB259" s="106">
        <f>IF(ISNA(VLOOKUP($CW259,'Audit Values'!$A:$BZ,2,FALSE)),'Preliminary SO66'!AO258,VLOOKUP($CW259,'Audit Values'!$A:$BZ,61,FALSE))</f>
        <v>36.299999999999997</v>
      </c>
      <c r="AC259" s="58">
        <f>AB259/6*'Weighting Factors'!$O$6</f>
        <v>3</v>
      </c>
      <c r="AD259" s="24">
        <f>IF(ISNA(VLOOKUP($CW259,'Audit Values'!$A:$BX,2,FALSE)),'Preliminary SO66'!AS258,VLOOKUP($CW259,'Audit Values'!$A:$BX,64,FALSE))</f>
        <v>106</v>
      </c>
      <c r="AE259" s="24">
        <f>IF(ISNA(VLOOKUP($CW259,'Audit Values'!$A:$BX,2,FALSE)),'Preliminary SO66'!AP258,VLOOKUP($CW259,'Audit Values'!$A:$BX,65,FALSE))</f>
        <v>35</v>
      </c>
      <c r="AF259" s="58">
        <f>IF(A259=207, AE259,(AE259))*'Weighting Factors'!$O$9</f>
        <v>16.899999999999999</v>
      </c>
      <c r="AG259" s="58">
        <f t="shared" si="168"/>
        <v>0</v>
      </c>
      <c r="AH259" s="58">
        <f>IF(ISNA(VLOOKUP($CW259,'Audit Values'!$A:$BZ,2,FALSE)),'Preliminary SO66'!AG258,VLOOKUP($CW259,'Audit Values'!$A:$BZ,71,FALSE))</f>
        <v>0.3</v>
      </c>
      <c r="AI259" s="58">
        <f t="shared" si="172"/>
        <v>0.3</v>
      </c>
      <c r="AJ259" s="58">
        <f>IF(ISNA(VLOOKUP($CW259,'Audit Values'!$A:$BX,2,FALSE)),'Preliminary SO66'!AR258,VLOOKUP($CW259,'Audit Values'!$A:$BX,66,FALSE))</f>
        <v>37</v>
      </c>
      <c r="AK259" s="24">
        <f t="shared" si="173"/>
        <v>58759</v>
      </c>
      <c r="AL259" s="58">
        <f>AK259/'Weighting Factors'!$O$5</f>
        <v>11.5</v>
      </c>
      <c r="AM259" s="58">
        <f>CJ259/'Weighting Factors'!$O$5</f>
        <v>0</v>
      </c>
      <c r="AN259" s="58">
        <f>CN259/'Weighting Factors'!$O$5</f>
        <v>0</v>
      </c>
      <c r="AO259" s="24">
        <v>71736</v>
      </c>
      <c r="AP259" s="58">
        <f>AO259/'Weighting Factors'!$O$5</f>
        <v>14.1</v>
      </c>
      <c r="AQ259" s="58">
        <f>IF(ISNA(VLOOKUP($CW259,'Audit Values'!$A:$BX,2,FALSE)),'Preliminary SO66'!X258,VLOOKUP($CW259,'Audit Values'!$A:$BX,48,FALSE))</f>
        <v>0</v>
      </c>
      <c r="AR259" s="58">
        <f t="shared" si="166"/>
        <v>245.6</v>
      </c>
      <c r="AS259" s="58">
        <f t="shared" si="167"/>
        <v>231.5</v>
      </c>
      <c r="AT259" s="58">
        <f>IF(ISNA(VLOOKUP($CW259,'Audit Values'!$A$2:$BX$410,2,FALSE)),'Preliminary SO66'!AA258,VLOOKUP($CW259,'Audit Values'!$A$2:$BX$410,41,FALSE))</f>
        <v>0</v>
      </c>
      <c r="AU259" s="58">
        <f>IF(ISNA(VLOOKUP($CW259,'Audit Values'!$A$2:$BX$410,2,FALSE)),'Preliminary SO66'!AB258,VLOOKUP($CW259,'Audit Values'!$A$2:$BX$410,42,FALSE))</f>
        <v>0</v>
      </c>
      <c r="AV259" s="73">
        <v>0</v>
      </c>
      <c r="AW259" s="73">
        <v>0</v>
      </c>
      <c r="AX259" s="24">
        <f>SUM(AT259*'Weighting Factors'!$R$10)+('2024 Legal Max'!AU259*'Weighting Factors'!$R$11)+('2024 Legal Max'!AV259*'Weighting Factors'!$R$12)+('2024 Legal Max'!AW259*'Weighting Factors'!$R$12)</f>
        <v>0</v>
      </c>
      <c r="AY259" s="54">
        <f>IF(ISNA(VLOOKUP($CW259,'Audit Values'!$A$2:$BX$429,2,FALSE)),"",IF(AND('Weighting Factors'!G259&gt;0,VLOOKUP($CW259,'Audit Values'!$A$2:$BX$429,51,FALSE)&lt;'Weighting Factors'!G259),'Weighting Factors'!G259,VLOOKUP($CW259,'Audit Values'!$A$2:$BX$429,51,FALSE)))</f>
        <v>25</v>
      </c>
      <c r="AZ259" s="54" t="str">
        <f>IF(ISNA(VLOOKUP($CW259,'Audit Values'!$A:$BY,2,FALSE)),"",VLOOKUP($CW259,'Audit Values'!$A:$BY,52,FALSE))</f>
        <v>A</v>
      </c>
      <c r="BA259" s="54" t="str">
        <f>IF('Weighting Factors'!F259="","",IF('Weighting Factors'!H259="Pending","PX","R"))</f>
        <v/>
      </c>
      <c r="BB259" s="60">
        <f>SUM((U259+V259+AA259+AC259+AF259+AI259+AL259+AM259+AQ259+AN259)*'Weighting Factors'!$O$5)+'2024 Legal Max'!AX259</f>
        <v>1177872</v>
      </c>
      <c r="BC259" s="24">
        <f>SUM((AR259+AN259)*'Weighting Factors'!$O$5)+AX259</f>
        <v>1249613</v>
      </c>
      <c r="BD259" s="67">
        <f>IF('Weighting Factors'!F259&gt;0,'Weighting Factors'!F259,'Preliminary SO66'!AV258)</f>
        <v>1341706</v>
      </c>
      <c r="BE259" s="24">
        <f t="shared" si="174"/>
        <v>1249613</v>
      </c>
      <c r="BF259" s="71">
        <f>'Weighting Factors'!E259</f>
        <v>0</v>
      </c>
      <c r="BG259" s="71">
        <f>Transportation!G259</f>
        <v>0</v>
      </c>
      <c r="BH259" s="24">
        <f>IF(ISNA(VLOOKUP($CW259,'Audit Values'!$A:$BW,2,FALSE)), 0, VLOOKUP($CW259,'Audit Values'!$A:$BW,75,FALSE))</f>
        <v>0</v>
      </c>
      <c r="BI259" s="24">
        <f t="shared" si="175"/>
        <v>0</v>
      </c>
      <c r="BJ259" s="24">
        <f t="shared" si="176"/>
        <v>1249613</v>
      </c>
      <c r="BK259" s="24">
        <f>SUM((U259+V259+AA259+AC259+AF259+AI259+AL259+AM259+AN259)*'Weighting Factors'!O$12)+(MAX(AO259,'Weighting Factors'!B259))</f>
        <v>1296227</v>
      </c>
      <c r="BL259" s="78">
        <f>'LOB%'!F257</f>
        <v>0.316</v>
      </c>
      <c r="BM259" s="24">
        <f t="shared" si="147"/>
        <v>409608</v>
      </c>
      <c r="BN259" s="67">
        <v>429286</v>
      </c>
      <c r="BO259" s="24">
        <f t="shared" si="177"/>
        <v>409608</v>
      </c>
      <c r="BP259" s="89">
        <f t="shared" si="148"/>
        <v>0.316</v>
      </c>
      <c r="BQ259" s="58">
        <f t="shared" si="149"/>
        <v>98.2</v>
      </c>
      <c r="BR259" s="1" t="b">
        <f t="shared" si="150"/>
        <v>0</v>
      </c>
      <c r="BS259" s="76">
        <f t="shared" si="151"/>
        <v>0</v>
      </c>
      <c r="BT259" s="75">
        <f t="shared" si="178"/>
        <v>0</v>
      </c>
      <c r="BU259" s="58">
        <f t="shared" si="152"/>
        <v>0</v>
      </c>
      <c r="BV259" s="1" t="b">
        <f t="shared" si="153"/>
        <v>0</v>
      </c>
      <c r="BW259" s="1">
        <f t="shared" si="154"/>
        <v>0</v>
      </c>
      <c r="BX259" s="75">
        <f t="shared" si="179"/>
        <v>0</v>
      </c>
      <c r="BY259" s="58">
        <f t="shared" si="155"/>
        <v>0</v>
      </c>
      <c r="BZ259" s="58">
        <f t="shared" si="156"/>
        <v>0</v>
      </c>
      <c r="CA259" s="61">
        <v>200</v>
      </c>
      <c r="CB259" s="102">
        <f t="shared" si="157"/>
        <v>0.185</v>
      </c>
      <c r="CC259" s="105">
        <f>IF(CB259&lt;0.06,1,IF(CB259&gt;=18.29,52,MATCH(CB259-0.001,'Weighting Factors'!$W$5:$W$156)+1))</f>
        <v>14</v>
      </c>
      <c r="CD259" s="24">
        <f>VLOOKUP(CC259, 'Weighting Factors'!$U$5:$X$56,4)</f>
        <v>1300</v>
      </c>
      <c r="CE259" s="109">
        <f>('Weighting Factors'!$O$5/'Weighting Factors'!$O$14)</f>
        <v>1.2216</v>
      </c>
      <c r="CF259" s="100">
        <f t="shared" si="158"/>
        <v>48100</v>
      </c>
      <c r="CG259" s="100">
        <f>CF259*'Weighting Factors'!$Q$7</f>
        <v>48100</v>
      </c>
      <c r="CH259" s="100">
        <f t="shared" si="180"/>
        <v>58759</v>
      </c>
      <c r="CI259" s="58">
        <f>AK259/'Weighting Factors'!$O$5</f>
        <v>11.5</v>
      </c>
      <c r="CJ259" s="67">
        <v>0</v>
      </c>
      <c r="CK259" s="80">
        <v>0</v>
      </c>
      <c r="CL259" s="110">
        <v>0</v>
      </c>
      <c r="CM259" s="24">
        <f>SUM((AR259*'Weighting Factors'!$O$5)+'2024 Legal Max'!AX259)*CL259</f>
        <v>0</v>
      </c>
      <c r="CN259" s="24">
        <f t="shared" si="181"/>
        <v>0</v>
      </c>
      <c r="CO259" s="65">
        <f t="shared" si="146"/>
        <v>0.33019999999999999</v>
      </c>
      <c r="CP259" s="58">
        <f t="shared" si="159"/>
        <v>0</v>
      </c>
      <c r="CQ259" s="58">
        <f t="shared" si="160"/>
        <v>0</v>
      </c>
      <c r="CR259" s="58">
        <f t="shared" si="161"/>
        <v>245.6</v>
      </c>
      <c r="CS259" s="24">
        <f>'Required Transfers'!L259</f>
        <v>28427</v>
      </c>
      <c r="CT259" s="24">
        <f>'Required Transfers'!O259</f>
        <v>8069</v>
      </c>
      <c r="CU259" s="24">
        <f>'Required Transfers'!H259</f>
        <v>87514</v>
      </c>
      <c r="CV259" s="58">
        <f t="shared" si="162"/>
        <v>101.2</v>
      </c>
      <c r="CW259" s="27" t="s">
        <v>444</v>
      </c>
    </row>
    <row r="260" spans="1:101" ht="15" customHeight="1">
      <c r="A260" s="54">
        <v>477</v>
      </c>
      <c r="B260" s="1" t="s">
        <v>5</v>
      </c>
      <c r="C260" s="1" t="s">
        <v>764</v>
      </c>
      <c r="D260" s="58">
        <v>231</v>
      </c>
      <c r="E260" s="58"/>
      <c r="F260" s="58">
        <v>0</v>
      </c>
      <c r="G260" s="58">
        <f t="shared" si="163"/>
        <v>231</v>
      </c>
      <c r="H260" s="58">
        <v>224</v>
      </c>
      <c r="I260" s="58"/>
      <c r="J260" s="58">
        <v>0</v>
      </c>
      <c r="K260" s="58">
        <f t="shared" si="164"/>
        <v>224</v>
      </c>
      <c r="L260" s="1">
        <v>226</v>
      </c>
      <c r="N260" s="1">
        <v>0</v>
      </c>
      <c r="O260" s="58">
        <f t="shared" si="165"/>
        <v>226</v>
      </c>
      <c r="P260" s="58">
        <f>IF(ISNA(VLOOKUP($CW260,'Audit Values'!$A:$BZ,2,FALSE)),'Preliminary SO66'!C259,VLOOKUP($CW260,'Audit Values'!$A:$BZ,76,FALSE))</f>
        <v>207</v>
      </c>
      <c r="Q260" s="58">
        <f>IF(ISNA(VLOOKUP($CW260,'Audit Values'!$A:$BZ,2,FALSE)),'Preliminary SO66'!F259,VLOOKUP($CW260,'Audit Values'!$A:$BZ,4,FALSE))</f>
        <v>0</v>
      </c>
      <c r="R260" s="58">
        <f t="shared" si="169"/>
        <v>207</v>
      </c>
      <c r="S260" s="58">
        <f>IF('Military Provision'!I260="YES", MAX('2024 Legal Max'!O260,'2024 Legal Max'!K260,AVERAGE('2024 Legal Max'!G260,'2024 Legal Max'!K260,'2024 Legal Max'!O260)), MAX(O260, K260))</f>
        <v>226</v>
      </c>
      <c r="T260" s="58">
        <f>IF(ISNA(VLOOKUP($CW260,'Audit Values'!$A:$BX,2,FALSE)),'Preliminary SO66'!AL259,VLOOKUP($CW260,'Audit Values'!$A:$BX,59,FALSE))</f>
        <v>4</v>
      </c>
      <c r="U260" s="58">
        <f t="shared" si="170"/>
        <v>230</v>
      </c>
      <c r="V260" s="58">
        <f>'Low-High ENRL- 2023 HSubSB 113'!N263</f>
        <v>154</v>
      </c>
      <c r="W260" s="58">
        <f>IF(ISNA(VLOOKUP($CW260,'Audit Values'!$A:$BZ,2,FALSE)),'Preliminary SO66'!AM259,VLOOKUP($CW260,'Audit Values'!$A:$BZ,63,FALSE))</f>
        <v>38.1</v>
      </c>
      <c r="X260" s="58">
        <f>(W260/6)*'Weighting Factors'!$O$7</f>
        <v>2.5</v>
      </c>
      <c r="Y260" s="61">
        <f>IF(ISNA(VLOOKUP($CW260,'Audit Values'!$A:$BZ,2,FALSE)),'Preliminary SO66'!AN259,VLOOKUP($CW260,'Audit Values'!$A:$BZ,62,FALSE))</f>
        <v>17</v>
      </c>
      <c r="Z260" s="58">
        <f>Y260*'Weighting Factors'!$O$8</f>
        <v>3.1</v>
      </c>
      <c r="AA260" s="58">
        <f t="shared" si="171"/>
        <v>3.1</v>
      </c>
      <c r="AB260" s="106">
        <f>IF(ISNA(VLOOKUP($CW260,'Audit Values'!$A:$BZ,2,FALSE)),'Preliminary SO66'!AO259,VLOOKUP($CW260,'Audit Values'!$A:$BZ,61,FALSE))</f>
        <v>49.8</v>
      </c>
      <c r="AC260" s="58">
        <f>AB260/6*'Weighting Factors'!$O$6</f>
        <v>4.2</v>
      </c>
      <c r="AD260" s="24">
        <f>IF(ISNA(VLOOKUP($CW260,'Audit Values'!$A:$BX,2,FALSE)),'Preliminary SO66'!AS259,VLOOKUP($CW260,'Audit Values'!$A:$BX,64,FALSE))</f>
        <v>215</v>
      </c>
      <c r="AE260" s="24">
        <f>IF(ISNA(VLOOKUP($CW260,'Audit Values'!$A:$BX,2,FALSE)),'Preliminary SO66'!AP259,VLOOKUP($CW260,'Audit Values'!$A:$BX,65,FALSE))</f>
        <v>63</v>
      </c>
      <c r="AF260" s="58">
        <f>IF(A260=207, AE260,(AE260))*'Weighting Factors'!$O$9</f>
        <v>30.5</v>
      </c>
      <c r="AG260" s="58">
        <f t="shared" si="168"/>
        <v>0</v>
      </c>
      <c r="AH260" s="58">
        <f>IF(ISNA(VLOOKUP($CW260,'Audit Values'!$A:$BZ,2,FALSE)),'Preliminary SO66'!AG259,VLOOKUP($CW260,'Audit Values'!$A:$BZ,71,FALSE))</f>
        <v>0</v>
      </c>
      <c r="AI260" s="58">
        <f t="shared" si="172"/>
        <v>0</v>
      </c>
      <c r="AJ260" s="58">
        <f>IF(ISNA(VLOOKUP($CW260,'Audit Values'!$A:$BX,2,FALSE)),'Preliminary SO66'!AR259,VLOOKUP($CW260,'Audit Values'!$A:$BX,66,FALSE))</f>
        <v>52</v>
      </c>
      <c r="AK260" s="24">
        <f t="shared" si="173"/>
        <v>82580</v>
      </c>
      <c r="AL260" s="58">
        <f>AK260/'Weighting Factors'!$O$5</f>
        <v>16.2</v>
      </c>
      <c r="AM260" s="58">
        <f>CJ260/'Weighting Factors'!$O$5</f>
        <v>0</v>
      </c>
      <c r="AN260" s="58">
        <f>CN260/'Weighting Factors'!$O$5</f>
        <v>0</v>
      </c>
      <c r="AO260" s="24">
        <v>180623</v>
      </c>
      <c r="AP260" s="58">
        <f>AO260/'Weighting Factors'!$O$5</f>
        <v>35.5</v>
      </c>
      <c r="AQ260" s="58">
        <f>IF(ISNA(VLOOKUP($CW260,'Audit Values'!$A:$BX,2,FALSE)),'Preliminary SO66'!X259,VLOOKUP($CW260,'Audit Values'!$A:$BX,48,FALSE))</f>
        <v>0</v>
      </c>
      <c r="AR260" s="58">
        <f t="shared" si="166"/>
        <v>473.5</v>
      </c>
      <c r="AS260" s="58">
        <f t="shared" si="167"/>
        <v>438</v>
      </c>
      <c r="AT260" s="58">
        <f>IF(ISNA(VLOOKUP($CW260,'Audit Values'!$A$2:$BX$410,2,FALSE)),'Preliminary SO66'!AA259,VLOOKUP($CW260,'Audit Values'!$A$2:$BX$410,41,FALSE))</f>
        <v>0</v>
      </c>
      <c r="AU260" s="58">
        <f>IF(ISNA(VLOOKUP($CW260,'Audit Values'!$A$2:$BX$410,2,FALSE)),'Preliminary SO66'!AB259,VLOOKUP($CW260,'Audit Values'!$A$2:$BX$410,42,FALSE))</f>
        <v>0</v>
      </c>
      <c r="AV260" s="73">
        <v>0</v>
      </c>
      <c r="AW260" s="73">
        <v>0</v>
      </c>
      <c r="AX260" s="24">
        <f>SUM(AT260*'Weighting Factors'!$R$10)+('2024 Legal Max'!AU260*'Weighting Factors'!$R$11)+('2024 Legal Max'!AV260*'Weighting Factors'!$R$12)+('2024 Legal Max'!AW260*'Weighting Factors'!$R$12)</f>
        <v>0</v>
      </c>
      <c r="AY260" s="54">
        <f>IF(ISNA(VLOOKUP($CW260,'Audit Values'!$A$2:$BX$429,2,FALSE)),"",IF(AND('Weighting Factors'!G260&gt;0,VLOOKUP($CW260,'Audit Values'!$A$2:$BX$429,51,FALSE)&lt;'Weighting Factors'!G260),'Weighting Factors'!G260,VLOOKUP($CW260,'Audit Values'!$A$2:$BX$429,51,FALSE)))</f>
        <v>1</v>
      </c>
      <c r="AZ260" s="54" t="str">
        <f>IF(ISNA(VLOOKUP($CW260,'Audit Values'!$A:$BY,2,FALSE)),"",VLOOKUP($CW260,'Audit Values'!$A:$BY,52,FALSE))</f>
        <v>A</v>
      </c>
      <c r="BA260" s="54" t="str">
        <f>IF('Weighting Factors'!F260="","",IF('Weighting Factors'!H260="Pending","PX","R"))</f>
        <v/>
      </c>
      <c r="BB260" s="60">
        <f>SUM((U260+V260+AA260+AC260+AF260+AI260+AL260+AM260+AQ260+AN260)*'Weighting Factors'!$O$5)+'2024 Legal Max'!AX260</f>
        <v>2228544</v>
      </c>
      <c r="BC260" s="24">
        <f>SUM((AR260+AN260)*'Weighting Factors'!$O$5)+AX260</f>
        <v>2409168</v>
      </c>
      <c r="BD260" s="67">
        <f>IF('Weighting Factors'!F260&gt;0,'Weighting Factors'!F260,'Preliminary SO66'!AV259)</f>
        <v>2555194</v>
      </c>
      <c r="BE260" s="24">
        <f t="shared" si="174"/>
        <v>2409168</v>
      </c>
      <c r="BF260" s="71">
        <f>'Weighting Factors'!E260</f>
        <v>0</v>
      </c>
      <c r="BG260" s="71">
        <f>Transportation!G260</f>
        <v>0</v>
      </c>
      <c r="BH260" s="24">
        <f>IF(ISNA(VLOOKUP($CW260,'Audit Values'!$A:$BW,2,FALSE)), 0, VLOOKUP($CW260,'Audit Values'!$A:$BW,75,FALSE))</f>
        <v>0</v>
      </c>
      <c r="BI260" s="24">
        <f t="shared" si="175"/>
        <v>0</v>
      </c>
      <c r="BJ260" s="24">
        <f t="shared" si="176"/>
        <v>2409168</v>
      </c>
      <c r="BK260" s="24">
        <f>SUM((U260+V260+AA260+AC260+AF260+AI260+AL260+AM260+AN260)*'Weighting Factors'!O$12)+(MAX(AO260,'Weighting Factors'!B260))</f>
        <v>2467163</v>
      </c>
      <c r="BL260" s="78">
        <f>'LOB%'!F258</f>
        <v>0.33</v>
      </c>
      <c r="BM260" s="24">
        <f t="shared" si="147"/>
        <v>814164</v>
      </c>
      <c r="BN260" s="67">
        <v>853877</v>
      </c>
      <c r="BO260" s="24">
        <f t="shared" si="177"/>
        <v>814164</v>
      </c>
      <c r="BP260" s="89">
        <f t="shared" si="148"/>
        <v>0.33</v>
      </c>
      <c r="BQ260" s="58">
        <f t="shared" si="149"/>
        <v>0</v>
      </c>
      <c r="BR260" s="1" t="b">
        <f t="shared" si="150"/>
        <v>1</v>
      </c>
      <c r="BS260" s="76">
        <f t="shared" si="151"/>
        <v>1255.1500000000001</v>
      </c>
      <c r="BT260" s="75">
        <f t="shared" si="178"/>
        <v>0.66973700000000003</v>
      </c>
      <c r="BU260" s="58">
        <f t="shared" si="152"/>
        <v>154</v>
      </c>
      <c r="BV260" s="1" t="b">
        <f t="shared" si="153"/>
        <v>0</v>
      </c>
      <c r="BW260" s="1">
        <f t="shared" si="154"/>
        <v>0</v>
      </c>
      <c r="BX260" s="75">
        <f t="shared" si="179"/>
        <v>0</v>
      </c>
      <c r="BY260" s="58">
        <f t="shared" si="155"/>
        <v>0</v>
      </c>
      <c r="BZ260" s="58">
        <f t="shared" si="156"/>
        <v>0</v>
      </c>
      <c r="CA260" s="61">
        <v>267</v>
      </c>
      <c r="CB260" s="102">
        <f t="shared" si="157"/>
        <v>0.19500000000000001</v>
      </c>
      <c r="CC260" s="105">
        <f>IF(CB260&lt;0.06,1,IF(CB260&gt;=18.29,52,MATCH(CB260-0.001,'Weighting Factors'!$W$5:$W$156)+1))</f>
        <v>14</v>
      </c>
      <c r="CD260" s="24">
        <f>VLOOKUP(CC260, 'Weighting Factors'!$U$5:$X$56,4)</f>
        <v>1300</v>
      </c>
      <c r="CE260" s="109">
        <f>('Weighting Factors'!$O$5/'Weighting Factors'!$O$14)</f>
        <v>1.2216</v>
      </c>
      <c r="CF260" s="100">
        <f t="shared" si="158"/>
        <v>67600</v>
      </c>
      <c r="CG260" s="100">
        <f>CF260*'Weighting Factors'!$Q$7</f>
        <v>67600</v>
      </c>
      <c r="CH260" s="100">
        <f t="shared" si="180"/>
        <v>82580</v>
      </c>
      <c r="CI260" s="58">
        <f>AK260/'Weighting Factors'!$O$5</f>
        <v>16.2</v>
      </c>
      <c r="CJ260" s="67">
        <v>0</v>
      </c>
      <c r="CK260" s="80">
        <v>0</v>
      </c>
      <c r="CL260" s="110">
        <v>0</v>
      </c>
      <c r="CM260" s="24">
        <f>SUM((AR260*'Weighting Factors'!$O$5)+'2024 Legal Max'!AX260)*CL260</f>
        <v>0</v>
      </c>
      <c r="CN260" s="24">
        <f t="shared" si="181"/>
        <v>0</v>
      </c>
      <c r="CO260" s="65">
        <f t="shared" ref="CO260:CO290" si="182">AE260/AD260</f>
        <v>0.29299999999999998</v>
      </c>
      <c r="CP260" s="58">
        <f t="shared" si="159"/>
        <v>0</v>
      </c>
      <c r="CQ260" s="58">
        <f t="shared" si="160"/>
        <v>0</v>
      </c>
      <c r="CR260" s="58">
        <f t="shared" si="161"/>
        <v>473.5</v>
      </c>
      <c r="CS260" s="24">
        <f>'Required Transfers'!L260</f>
        <v>52921</v>
      </c>
      <c r="CT260" s="24">
        <f>'Required Transfers'!O260</f>
        <v>5373</v>
      </c>
      <c r="CU260" s="24">
        <f>'Required Transfers'!H260</f>
        <v>155184</v>
      </c>
      <c r="CV260" s="58">
        <f t="shared" si="162"/>
        <v>211</v>
      </c>
      <c r="CW260" s="27" t="s">
        <v>445</v>
      </c>
    </row>
    <row r="261" spans="1:101" ht="15" customHeight="1">
      <c r="A261" s="54">
        <v>479</v>
      </c>
      <c r="B261" s="1" t="s">
        <v>71</v>
      </c>
      <c r="C261" s="1" t="s">
        <v>765</v>
      </c>
      <c r="D261" s="58">
        <v>230.6</v>
      </c>
      <c r="E261" s="58"/>
      <c r="F261" s="58">
        <v>0</v>
      </c>
      <c r="G261" s="58">
        <f t="shared" si="163"/>
        <v>230.6</v>
      </c>
      <c r="H261" s="58">
        <v>236</v>
      </c>
      <c r="I261" s="58"/>
      <c r="J261" s="58">
        <v>0</v>
      </c>
      <c r="K261" s="58">
        <f t="shared" si="164"/>
        <v>236</v>
      </c>
      <c r="L261" s="1">
        <v>234.4</v>
      </c>
      <c r="N261" s="1">
        <v>0</v>
      </c>
      <c r="O261" s="58">
        <f t="shared" si="165"/>
        <v>234.4</v>
      </c>
      <c r="P261" s="58">
        <f>IF(ISNA(VLOOKUP($CW261,'Audit Values'!$A:$BZ,2,FALSE)),'Preliminary SO66'!C260,VLOOKUP($CW261,'Audit Values'!$A:$BZ,76,FALSE))</f>
        <v>237.5</v>
      </c>
      <c r="Q261" s="58">
        <f>IF(ISNA(VLOOKUP($CW261,'Audit Values'!$A:$BZ,2,FALSE)),'Preliminary SO66'!F260,VLOOKUP($CW261,'Audit Values'!$A:$BZ,4,FALSE))</f>
        <v>0</v>
      </c>
      <c r="R261" s="58">
        <f t="shared" si="169"/>
        <v>237.5</v>
      </c>
      <c r="S261" s="58">
        <f>IF('Military Provision'!I261="YES", MAX('2024 Legal Max'!O261,'2024 Legal Max'!K261,AVERAGE('2024 Legal Max'!G261,'2024 Legal Max'!K261,'2024 Legal Max'!O261)), MAX(O261, K261))</f>
        <v>236</v>
      </c>
      <c r="T261" s="58">
        <f>IF(ISNA(VLOOKUP($CW261,'Audit Values'!$A:$BX,2,FALSE)),'Preliminary SO66'!AL260,VLOOKUP($CW261,'Audit Values'!$A:$BX,59,FALSE))</f>
        <v>4</v>
      </c>
      <c r="U261" s="58">
        <f t="shared" si="170"/>
        <v>240</v>
      </c>
      <c r="V261" s="58">
        <f>'Low-High ENRL- 2023 HSubSB 113'!N264</f>
        <v>154.4</v>
      </c>
      <c r="W261" s="58">
        <f>IF(ISNA(VLOOKUP($CW261,'Audit Values'!$A:$BZ,2,FALSE)),'Preliminary SO66'!AM260,VLOOKUP($CW261,'Audit Values'!$A:$BZ,63,FALSE))</f>
        <v>0</v>
      </c>
      <c r="X261" s="58">
        <f>(W261/6)*'Weighting Factors'!$O$7</f>
        <v>0</v>
      </c>
      <c r="Y261" s="61">
        <f>IF(ISNA(VLOOKUP($CW261,'Audit Values'!$A:$BZ,2,FALSE)),'Preliminary SO66'!AN260,VLOOKUP($CW261,'Audit Values'!$A:$BZ,62,FALSE))</f>
        <v>3</v>
      </c>
      <c r="Z261" s="58">
        <f>Y261*'Weighting Factors'!$O$8</f>
        <v>0.6</v>
      </c>
      <c r="AA261" s="58">
        <f t="shared" si="171"/>
        <v>0.6</v>
      </c>
      <c r="AB261" s="106">
        <f>IF(ISNA(VLOOKUP($CW261,'Audit Values'!$A:$BZ,2,FALSE)),'Preliminary SO66'!AO260,VLOOKUP($CW261,'Audit Values'!$A:$BZ,61,FALSE))</f>
        <v>117.9</v>
      </c>
      <c r="AC261" s="58">
        <f>AB261/6*'Weighting Factors'!$O$6</f>
        <v>9.8000000000000007</v>
      </c>
      <c r="AD261" s="24">
        <f>IF(ISNA(VLOOKUP($CW261,'Audit Values'!$A:$BX,2,FALSE)),'Preliminary SO66'!AS260,VLOOKUP($CW261,'Audit Values'!$A:$BX,64,FALSE))</f>
        <v>246</v>
      </c>
      <c r="AE261" s="24">
        <f>IF(ISNA(VLOOKUP($CW261,'Audit Values'!$A:$BX,2,FALSE)),'Preliminary SO66'!AP260,VLOOKUP($CW261,'Audit Values'!$A:$BX,65,FALSE))</f>
        <v>121</v>
      </c>
      <c r="AF261" s="58">
        <f>IF(A261=207, AE261,(AE261))*'Weighting Factors'!$O$9</f>
        <v>58.6</v>
      </c>
      <c r="AG261" s="58">
        <f t="shared" si="168"/>
        <v>12</v>
      </c>
      <c r="AH261" s="58">
        <f>IF(ISNA(VLOOKUP($CW261,'Audit Values'!$A:$BZ,2,FALSE)),'Preliminary SO66'!AG260,VLOOKUP($CW261,'Audit Values'!$A:$BZ,71,FALSE))</f>
        <v>10.1</v>
      </c>
      <c r="AI261" s="58">
        <f t="shared" si="172"/>
        <v>12</v>
      </c>
      <c r="AJ261" s="58">
        <f>IF(ISNA(VLOOKUP($CW261,'Audit Values'!$A:$BX,2,FALSE)),'Preliminary SO66'!AR260,VLOOKUP($CW261,'Audit Values'!$A:$BX,66,FALSE))</f>
        <v>101</v>
      </c>
      <c r="AK261" s="24">
        <f t="shared" si="173"/>
        <v>132018</v>
      </c>
      <c r="AL261" s="58">
        <f>AK261/'Weighting Factors'!$O$5</f>
        <v>25.9</v>
      </c>
      <c r="AM261" s="58">
        <f>CJ261/'Weighting Factors'!$O$5</f>
        <v>0</v>
      </c>
      <c r="AN261" s="58">
        <f>CN261/'Weighting Factors'!$O$5</f>
        <v>0</v>
      </c>
      <c r="AO261" s="24">
        <v>284779</v>
      </c>
      <c r="AP261" s="58">
        <f>AO261/'Weighting Factors'!$O$5</f>
        <v>56</v>
      </c>
      <c r="AQ261" s="58">
        <f>IF(ISNA(VLOOKUP($CW261,'Audit Values'!$A:$BX,2,FALSE)),'Preliminary SO66'!X260,VLOOKUP($CW261,'Audit Values'!$A:$BX,48,FALSE))</f>
        <v>0</v>
      </c>
      <c r="AR261" s="58">
        <f t="shared" si="166"/>
        <v>557.29999999999995</v>
      </c>
      <c r="AS261" s="58">
        <f t="shared" si="167"/>
        <v>501.3</v>
      </c>
      <c r="AT261" s="58">
        <f>IF(ISNA(VLOOKUP($CW261,'Audit Values'!$A$2:$BX$410,2,FALSE)),'Preliminary SO66'!AA260,VLOOKUP($CW261,'Audit Values'!$A$2:$BX$410,41,FALSE))</f>
        <v>0</v>
      </c>
      <c r="AU261" s="58">
        <f>IF(ISNA(VLOOKUP($CW261,'Audit Values'!$A$2:$BX$410,2,FALSE)),'Preliminary SO66'!AB260,VLOOKUP($CW261,'Audit Values'!$A$2:$BX$410,42,FALSE))</f>
        <v>0</v>
      </c>
      <c r="AV261" s="73">
        <v>0</v>
      </c>
      <c r="AW261" s="73">
        <v>0</v>
      </c>
      <c r="AX261" s="24">
        <f>SUM(AT261*'Weighting Factors'!$R$10)+('2024 Legal Max'!AU261*'Weighting Factors'!$R$11)+('2024 Legal Max'!AV261*'Weighting Factors'!$R$12)+('2024 Legal Max'!AW261*'Weighting Factors'!$R$12)</f>
        <v>0</v>
      </c>
      <c r="AY261" s="54">
        <f>IF(ISNA(VLOOKUP($CW261,'Audit Values'!$A$2:$BX$429,2,FALSE)),"",IF(AND('Weighting Factors'!G261&gt;0,VLOOKUP($CW261,'Audit Values'!$A$2:$BX$429,51,FALSE)&lt;'Weighting Factors'!G261),'Weighting Factors'!G261,VLOOKUP($CW261,'Audit Values'!$A$2:$BX$429,51,FALSE)))</f>
        <v>9</v>
      </c>
      <c r="AZ261" s="54" t="str">
        <f>IF(ISNA(VLOOKUP($CW261,'Audit Values'!$A:$BY,2,FALSE)),"",VLOOKUP($CW261,'Audit Values'!$A:$BY,52,FALSE))</f>
        <v>A</v>
      </c>
      <c r="BA261" s="54" t="str">
        <f>IF('Weighting Factors'!F261="","",IF('Weighting Factors'!H261="Pending","PX","R"))</f>
        <v/>
      </c>
      <c r="BB261" s="60">
        <f>SUM((U261+V261+AA261+AC261+AF261+AI261+AL261+AM261+AQ261+AN261)*'Weighting Factors'!$O$5)+'2024 Legal Max'!AX261</f>
        <v>2550614</v>
      </c>
      <c r="BC261" s="24">
        <f>SUM((AR261+AN261)*'Weighting Factors'!$O$5)+AX261</f>
        <v>2835542</v>
      </c>
      <c r="BD261" s="67">
        <f>IF('Weighting Factors'!F261&gt;0,'Weighting Factors'!F261,'Preliminary SO66'!AV260)</f>
        <v>2867600</v>
      </c>
      <c r="BE261" s="24">
        <f t="shared" si="174"/>
        <v>2835542</v>
      </c>
      <c r="BF261" s="71">
        <f>'Weighting Factors'!E261</f>
        <v>0</v>
      </c>
      <c r="BG261" s="71">
        <f>Transportation!G261</f>
        <v>0</v>
      </c>
      <c r="BH261" s="24">
        <f>IF(ISNA(VLOOKUP($CW261,'Audit Values'!$A:$BW,2,FALSE)), 0, VLOOKUP($CW261,'Audit Values'!$A:$BW,75,FALSE))</f>
        <v>-3545</v>
      </c>
      <c r="BI261" s="24">
        <f t="shared" si="175"/>
        <v>-3545</v>
      </c>
      <c r="BJ261" s="24">
        <f t="shared" si="176"/>
        <v>2831997</v>
      </c>
      <c r="BK261" s="24">
        <f>SUM((U261+V261+AA261+AC261+AF261+AI261+AL261+AM261+AN261)*'Weighting Factors'!O$12)+(MAX(AO261,'Weighting Factors'!B261))</f>
        <v>2894342</v>
      </c>
      <c r="BL261" s="78">
        <f>'LOB%'!F259</f>
        <v>0.316</v>
      </c>
      <c r="BM261" s="24">
        <f t="shared" ref="BM261:BM290" si="183">BK261*BL261</f>
        <v>914612</v>
      </c>
      <c r="BN261" s="67">
        <v>814000</v>
      </c>
      <c r="BO261" s="24">
        <f t="shared" si="177"/>
        <v>814000</v>
      </c>
      <c r="BP261" s="89">
        <f t="shared" ref="BP261:BP290" si="184">BO261/BK261</f>
        <v>0.28120000000000001</v>
      </c>
      <c r="BQ261" s="58">
        <f t="shared" ref="BQ261:BQ290" si="185">ROUND(IF(U261&lt;=99.9,(U261*1.014331),0),1)</f>
        <v>0</v>
      </c>
      <c r="BR261" s="1" t="b">
        <f t="shared" ref="BR261:BR290" si="186">AND(U261&gt;99.9,U261&lt;=299.9)</f>
        <v>1</v>
      </c>
      <c r="BS261" s="76">
        <f t="shared" ref="BS261:BS290" si="187">IF(BR261=TRUE,ROUND((U261-100)*9.655,3),0)</f>
        <v>1351.7</v>
      </c>
      <c r="BT261" s="75">
        <f t="shared" si="178"/>
        <v>0.64322999999999997</v>
      </c>
      <c r="BU261" s="58">
        <f t="shared" ref="BU261:BU290" si="188">ROUND(BT261*U261,1)</f>
        <v>154.4</v>
      </c>
      <c r="BV261" s="1" t="b">
        <f t="shared" ref="BV261:BV290" si="189">AND(U261&gt;299.9,U261&lt;=1621.9)</f>
        <v>0</v>
      </c>
      <c r="BW261" s="1">
        <f t="shared" ref="BW261:BW290" si="190">IF(BV261=TRUE,ROUND((U261-300)*1.2375,4),0)</f>
        <v>0</v>
      </c>
      <c r="BX261" s="75">
        <f t="shared" si="179"/>
        <v>0</v>
      </c>
      <c r="BY261" s="58">
        <f t="shared" ref="BY261:BY290" si="191">ROUND(BX261*U261,1)</f>
        <v>0</v>
      </c>
      <c r="BZ261" s="58">
        <f t="shared" ref="BZ261:BZ290" si="192">ROUND(IF(U261&gt;=1622,(U261*0.03504),0),1)</f>
        <v>0</v>
      </c>
      <c r="CA261" s="61">
        <v>177</v>
      </c>
      <c r="CB261" s="102">
        <f t="shared" ref="CB261:CB290" si="193">AJ261/CA261</f>
        <v>0.57099999999999995</v>
      </c>
      <c r="CC261" s="105">
        <f>IF(CB261&lt;0.06,1,IF(CB261&gt;=18.29,52,MATCH(CB261-0.001,'Weighting Factors'!$W$5:$W$156)+1))</f>
        <v>26</v>
      </c>
      <c r="CD261" s="24">
        <f>VLOOKUP(CC261, 'Weighting Factors'!$U$5:$X$56,4)</f>
        <v>1070</v>
      </c>
      <c r="CE261" s="109">
        <f>('Weighting Factors'!$O$5/'Weighting Factors'!$O$14)</f>
        <v>1.2216</v>
      </c>
      <c r="CF261" s="100">
        <f t="shared" ref="CF261:CF290" si="194">AJ261*CD261</f>
        <v>108070</v>
      </c>
      <c r="CG261" s="100">
        <f>CF261*'Weighting Factors'!$Q$7</f>
        <v>108070</v>
      </c>
      <c r="CH261" s="100">
        <f t="shared" si="180"/>
        <v>132018</v>
      </c>
      <c r="CI261" s="58">
        <f>AK261/'Weighting Factors'!$O$5</f>
        <v>25.9</v>
      </c>
      <c r="CJ261" s="67">
        <v>0</v>
      </c>
      <c r="CK261" s="80">
        <v>0</v>
      </c>
      <c r="CL261" s="110">
        <v>0</v>
      </c>
      <c r="CM261" s="24">
        <f>SUM((AR261*'Weighting Factors'!$O$5)+'2024 Legal Max'!AX261)*CL261</f>
        <v>0</v>
      </c>
      <c r="CN261" s="24">
        <f t="shared" si="181"/>
        <v>0</v>
      </c>
      <c r="CO261" s="65">
        <f t="shared" si="182"/>
        <v>0.4919</v>
      </c>
      <c r="CP261" s="58">
        <f t="shared" ref="CP261:CP290" si="195">IF(CO261&gt;=50%,AE261*10.5%,0)</f>
        <v>0</v>
      </c>
      <c r="CQ261" s="58">
        <f t="shared" ref="CQ261:CQ290" si="196">IF(AND(CO261&gt;35%,CO261&lt;50%),AE261*(CO261-35%)*0.7,0)</f>
        <v>12</v>
      </c>
      <c r="CR261" s="58">
        <f t="shared" ref="CR261:CR290" si="197">AS261+AP261</f>
        <v>557.29999999999995</v>
      </c>
      <c r="CS261" s="24">
        <f>'Required Transfers'!L261</f>
        <v>86203</v>
      </c>
      <c r="CT261" s="24">
        <f>'Required Transfers'!O261</f>
        <v>895</v>
      </c>
      <c r="CU261" s="24">
        <f>'Required Transfers'!H261</f>
        <v>359213</v>
      </c>
      <c r="CV261" s="58">
        <f t="shared" ref="CV261:CV290" si="198">SUM(R261+T261+AT261+AU261+AV261/6+AW261/6)</f>
        <v>241.5</v>
      </c>
      <c r="CW261" s="27" t="s">
        <v>446</v>
      </c>
    </row>
    <row r="262" spans="1:101" ht="15" customHeight="1">
      <c r="A262" s="54">
        <v>480</v>
      </c>
      <c r="B262" s="1" t="s">
        <v>106</v>
      </c>
      <c r="C262" s="1" t="s">
        <v>766</v>
      </c>
      <c r="D262" s="58">
        <v>4475.3999999999996</v>
      </c>
      <c r="E262" s="58">
        <v>2</v>
      </c>
      <c r="F262" s="58">
        <v>0</v>
      </c>
      <c r="G262" s="58">
        <f t="shared" ref="G262:G290" si="199">SUM(D262-E262+F262)</f>
        <v>4473.3999999999996</v>
      </c>
      <c r="H262" s="58">
        <v>4422.2</v>
      </c>
      <c r="I262" s="58"/>
      <c r="J262" s="58">
        <v>0</v>
      </c>
      <c r="K262" s="58">
        <f t="shared" ref="K262:K290" si="200">SUM(H262-I262+J262)</f>
        <v>4422.2</v>
      </c>
      <c r="L262" s="1">
        <v>4435.8999999999996</v>
      </c>
      <c r="N262" s="1">
        <v>0</v>
      </c>
      <c r="O262" s="58">
        <f t="shared" ref="O262:O290" si="201">SUM(L262-M262+N262)</f>
        <v>4435.8999999999996</v>
      </c>
      <c r="P262" s="58">
        <f>IF(ISNA(VLOOKUP($CW262,'Audit Values'!$A:$BZ,2,FALSE)),'Preliminary SO66'!C261,VLOOKUP($CW262,'Audit Values'!$A:$BZ,76,FALSE))</f>
        <v>4463</v>
      </c>
      <c r="Q262" s="58">
        <f>IF(ISNA(VLOOKUP($CW262,'Audit Values'!$A:$BZ,2,FALSE)),'Preliminary SO66'!F261,VLOOKUP($CW262,'Audit Values'!$A:$BZ,4,FALSE))</f>
        <v>0</v>
      </c>
      <c r="R262" s="58">
        <f t="shared" si="169"/>
        <v>4463</v>
      </c>
      <c r="S262" s="58">
        <f>IF('Military Provision'!I262="YES", MAX('2024 Legal Max'!O262,'2024 Legal Max'!K262,AVERAGE('2024 Legal Max'!G262,'2024 Legal Max'!K262,'2024 Legal Max'!O262)), MAX(O262, K262))</f>
        <v>4435.8999999999996</v>
      </c>
      <c r="T262" s="58">
        <f>IF(ISNA(VLOOKUP($CW262,'Audit Values'!$A:$BX,2,FALSE)),'Preliminary SO66'!AL261,VLOOKUP($CW262,'Audit Values'!$A:$BX,59,FALSE))</f>
        <v>82.5</v>
      </c>
      <c r="U262" s="58">
        <f t="shared" si="170"/>
        <v>4518.3999999999996</v>
      </c>
      <c r="V262" s="58">
        <f>'Low-High ENRL- 2023 HSubSB 113'!N265</f>
        <v>158.30000000000001</v>
      </c>
      <c r="W262" s="58">
        <f>IF(ISNA(VLOOKUP($CW262,'Audit Values'!$A:$BZ,2,FALSE)),'Preliminary SO66'!AM261,VLOOKUP($CW262,'Audit Values'!$A:$BZ,63,FALSE))</f>
        <v>6216.2</v>
      </c>
      <c r="X262" s="58">
        <f>(W262/6)*'Weighting Factors'!$O$7</f>
        <v>409.2</v>
      </c>
      <c r="Y262" s="61">
        <f>IF(ISNA(VLOOKUP($CW262,'Audit Values'!$A:$BZ,2,FALSE)),'Preliminary SO66'!AN261,VLOOKUP($CW262,'Audit Values'!$A:$BZ,62,FALSE))</f>
        <v>2189</v>
      </c>
      <c r="Z262" s="58">
        <f>Y262*'Weighting Factors'!$O$8</f>
        <v>405</v>
      </c>
      <c r="AA262" s="58">
        <f t="shared" si="171"/>
        <v>409.2</v>
      </c>
      <c r="AB262" s="106">
        <f>IF(ISNA(VLOOKUP($CW262,'Audit Values'!$A:$BZ,2,FALSE)),'Preliminary SO66'!AO261,VLOOKUP($CW262,'Audit Values'!$A:$BZ,61,FALSE))</f>
        <v>1041.3</v>
      </c>
      <c r="AC262" s="58">
        <f>AB262/6*'Weighting Factors'!$O$6</f>
        <v>86.8</v>
      </c>
      <c r="AD262" s="24">
        <f>IF(ISNA(VLOOKUP($CW262,'Audit Values'!$A:$BX,2,FALSE)),'Preliminary SO66'!AS261,VLOOKUP($CW262,'Audit Values'!$A:$BX,64,FALSE))</f>
        <v>4660</v>
      </c>
      <c r="AE262" s="24">
        <f>IF(ISNA(VLOOKUP($CW262,'Audit Values'!$A:$BX,2,FALSE)),'Preliminary SO66'!AP261,VLOOKUP($CW262,'Audit Values'!$A:$BX,65,FALSE))</f>
        <v>3486</v>
      </c>
      <c r="AF262" s="58">
        <f>IF(A262=207, AE262,(AE262))*'Weighting Factors'!$O$9</f>
        <v>1687.2</v>
      </c>
      <c r="AG262" s="58">
        <f t="shared" si="168"/>
        <v>366</v>
      </c>
      <c r="AH262" s="58">
        <f>IF(ISNA(VLOOKUP($CW262,'Audit Values'!$A:$BZ,2,FALSE)),'Preliminary SO66'!AG261,VLOOKUP($CW262,'Audit Values'!$A:$BZ,71,FALSE))</f>
        <v>366</v>
      </c>
      <c r="AI262" s="58">
        <f t="shared" si="172"/>
        <v>366</v>
      </c>
      <c r="AJ262" s="58">
        <f>IF(ISNA(VLOOKUP($CW262,'Audit Values'!$A:$BX,2,FALSE)),'Preliminary SO66'!AR261,VLOOKUP($CW262,'Audit Values'!$A:$BX,66,FALSE))</f>
        <v>164.5</v>
      </c>
      <c r="AK262" s="24">
        <f t="shared" si="173"/>
        <v>198944</v>
      </c>
      <c r="AL262" s="58">
        <f>AK262/'Weighting Factors'!$O$5</f>
        <v>39.1</v>
      </c>
      <c r="AM262" s="58">
        <f>CJ262/'Weighting Factors'!$O$5</f>
        <v>0</v>
      </c>
      <c r="AN262" s="58">
        <f>CN262/'Weighting Factors'!$O$5</f>
        <v>0</v>
      </c>
      <c r="AO262" s="24">
        <v>2701796</v>
      </c>
      <c r="AP262" s="58">
        <f>AO262/'Weighting Factors'!$O$5</f>
        <v>531</v>
      </c>
      <c r="AQ262" s="58">
        <f>IF(ISNA(VLOOKUP($CW262,'Audit Values'!$A:$BX,2,FALSE)),'Preliminary SO66'!X261,VLOOKUP($CW262,'Audit Values'!$A:$BX,48,FALSE))</f>
        <v>0</v>
      </c>
      <c r="AR262" s="58">
        <f t="shared" ref="AR262:AR290" si="202">SUM(U262+V262+AA262+AC262+AF262+AI262+AL262+AM262+AP262+AQ262)</f>
        <v>7796</v>
      </c>
      <c r="AS262" s="58">
        <f t="shared" ref="AS262:AS290" si="203">SUM(U262+V262+AA262+AC262+AF262+AI262+AL262+AM262+AN262+AQ262)</f>
        <v>7265</v>
      </c>
      <c r="AT262" s="58">
        <f>IF(ISNA(VLOOKUP($CW262,'Audit Values'!$A$2:$BX$410,2,FALSE)),'Preliminary SO66'!AA261,VLOOKUP($CW262,'Audit Values'!$A$2:$BX$410,41,FALSE))</f>
        <v>0</v>
      </c>
      <c r="AU262" s="58">
        <f>IF(ISNA(VLOOKUP($CW262,'Audit Values'!$A$2:$BX$410,2,FALSE)),'Preliminary SO66'!AB261,VLOOKUP($CW262,'Audit Values'!$A$2:$BX$410,42,FALSE))</f>
        <v>0</v>
      </c>
      <c r="AV262" s="73">
        <v>0</v>
      </c>
      <c r="AW262" s="73">
        <v>0</v>
      </c>
      <c r="AX262" s="24">
        <f>SUM(AT262*'Weighting Factors'!$R$10)+('2024 Legal Max'!AU262*'Weighting Factors'!$R$11)+('2024 Legal Max'!AV262*'Weighting Factors'!$R$12)+('2024 Legal Max'!AW262*'Weighting Factors'!$R$12)</f>
        <v>0</v>
      </c>
      <c r="AY262" s="54">
        <f>IF(ISNA(VLOOKUP($CW262,'Audit Values'!$A$2:$BX$429,2,FALSE)),"",IF(AND('Weighting Factors'!G262&gt;0,VLOOKUP($CW262,'Audit Values'!$A$2:$BX$429,51,FALSE)&lt;'Weighting Factors'!G262),'Weighting Factors'!G262,VLOOKUP($CW262,'Audit Values'!$A$2:$BX$429,51,FALSE)))</f>
        <v>29</v>
      </c>
      <c r="AZ262" s="54" t="str">
        <f>IF(ISNA(VLOOKUP($CW262,'Audit Values'!$A:$BY,2,FALSE)),"",VLOOKUP($CW262,'Audit Values'!$A:$BY,52,FALSE))</f>
        <v>A</v>
      </c>
      <c r="BA262" s="54" t="str">
        <f>IF('Weighting Factors'!F262="","",IF('Weighting Factors'!H262="Pending","PX","R"))</f>
        <v>R</v>
      </c>
      <c r="BB262" s="60">
        <f>SUM((U262+V262+AA262+AC262+AF262+AI262+AL262+AM262+AQ262+AN262)*'Weighting Factors'!$O$5)+'2024 Legal Max'!AX262</f>
        <v>36964320</v>
      </c>
      <c r="BC262" s="24">
        <f>SUM((AR262+AN262)*'Weighting Factors'!$O$5)+AX262</f>
        <v>39666048</v>
      </c>
      <c r="BD262" s="67">
        <f>IF('Weighting Factors'!F262&gt;0,'Weighting Factors'!F262,'Preliminary SO66'!AV261)</f>
        <v>39666048</v>
      </c>
      <c r="BE262" s="24">
        <f t="shared" si="174"/>
        <v>39666048</v>
      </c>
      <c r="BF262" s="71">
        <f>'Weighting Factors'!E262</f>
        <v>0</v>
      </c>
      <c r="BG262" s="71">
        <f>Transportation!G262</f>
        <v>0</v>
      </c>
      <c r="BH262" s="24">
        <f>IF(ISNA(VLOOKUP($CW262,'Audit Values'!$A:$BW,2,FALSE)), 0, VLOOKUP($CW262,'Audit Values'!$A:$BW,75,FALSE))</f>
        <v>0</v>
      </c>
      <c r="BI262" s="24">
        <f t="shared" si="175"/>
        <v>0</v>
      </c>
      <c r="BJ262" s="24">
        <f t="shared" si="176"/>
        <v>39666048</v>
      </c>
      <c r="BK262" s="24">
        <f>SUM((U262+V262+AA262+AC262+AF262+AI262+AL262+AM262+AN262)*'Weighting Factors'!O$12)+(MAX(AO262,'Weighting Factors'!B262))</f>
        <v>40174666</v>
      </c>
      <c r="BL262" s="78">
        <f>'LOB%'!F260</f>
        <v>0.316</v>
      </c>
      <c r="BM262" s="24">
        <f t="shared" si="183"/>
        <v>12695194</v>
      </c>
      <c r="BN262" s="67">
        <v>12291430</v>
      </c>
      <c r="BO262" s="24">
        <f t="shared" si="177"/>
        <v>12291430</v>
      </c>
      <c r="BP262" s="89">
        <f t="shared" si="184"/>
        <v>0.30590000000000001</v>
      </c>
      <c r="BQ262" s="58">
        <f t="shared" si="185"/>
        <v>0</v>
      </c>
      <c r="BR262" s="1" t="b">
        <f t="shared" si="186"/>
        <v>0</v>
      </c>
      <c r="BS262" s="76">
        <f t="shared" si="187"/>
        <v>0</v>
      </c>
      <c r="BT262" s="75">
        <f t="shared" si="178"/>
        <v>0</v>
      </c>
      <c r="BU262" s="58">
        <f t="shared" si="188"/>
        <v>0</v>
      </c>
      <c r="BV262" s="1" t="b">
        <f t="shared" si="189"/>
        <v>0</v>
      </c>
      <c r="BW262" s="1">
        <f t="shared" si="190"/>
        <v>0</v>
      </c>
      <c r="BX262" s="75">
        <f t="shared" si="179"/>
        <v>0</v>
      </c>
      <c r="BY262" s="58">
        <f t="shared" si="191"/>
        <v>0</v>
      </c>
      <c r="BZ262" s="58">
        <f t="shared" si="192"/>
        <v>158.30000000000001</v>
      </c>
      <c r="CA262" s="61">
        <v>205</v>
      </c>
      <c r="CB262" s="102">
        <f t="shared" si="193"/>
        <v>0.80200000000000005</v>
      </c>
      <c r="CC262" s="105">
        <f>IF(CB262&lt;0.06,1,IF(CB262&gt;=18.29,52,MATCH(CB262-0.001,'Weighting Factors'!$W$5:$W$156)+1))</f>
        <v>30</v>
      </c>
      <c r="CD262" s="24">
        <f>VLOOKUP(CC262, 'Weighting Factors'!$U$5:$X$56,4)</f>
        <v>990</v>
      </c>
      <c r="CE262" s="109">
        <f>('Weighting Factors'!$O$5/'Weighting Factors'!$O$14)</f>
        <v>1.2216</v>
      </c>
      <c r="CF262" s="100">
        <f t="shared" si="194"/>
        <v>162855</v>
      </c>
      <c r="CG262" s="100">
        <f>CF262*'Weighting Factors'!$Q$7</f>
        <v>162855</v>
      </c>
      <c r="CH262" s="100">
        <f t="shared" si="180"/>
        <v>198944</v>
      </c>
      <c r="CI262" s="58">
        <f>AK262/'Weighting Factors'!$O$5</f>
        <v>39.1</v>
      </c>
      <c r="CJ262" s="67">
        <v>0</v>
      </c>
      <c r="CK262" s="80">
        <v>0</v>
      </c>
      <c r="CL262" s="110">
        <v>0</v>
      </c>
      <c r="CM262" s="24">
        <f>SUM((AR262*'Weighting Factors'!$O$5)+'2024 Legal Max'!AX262)*CL262</f>
        <v>0</v>
      </c>
      <c r="CN262" s="24">
        <f t="shared" si="181"/>
        <v>0</v>
      </c>
      <c r="CO262" s="65">
        <f t="shared" si="182"/>
        <v>0.74809999999999999</v>
      </c>
      <c r="CP262" s="58">
        <f t="shared" si="195"/>
        <v>366</v>
      </c>
      <c r="CQ262" s="58">
        <f t="shared" si="196"/>
        <v>0</v>
      </c>
      <c r="CR262" s="58">
        <f t="shared" si="197"/>
        <v>7796</v>
      </c>
      <c r="CS262" s="24">
        <f>'Required Transfers'!L262</f>
        <v>2688136</v>
      </c>
      <c r="CT262" s="24">
        <f>'Required Transfers'!O262</f>
        <v>651446</v>
      </c>
      <c r="CU262" s="24">
        <f>'Required Transfers'!H262</f>
        <v>10446682</v>
      </c>
      <c r="CV262" s="58">
        <f t="shared" si="198"/>
        <v>4545.5</v>
      </c>
      <c r="CW262" s="27" t="s">
        <v>447</v>
      </c>
    </row>
    <row r="263" spans="1:101" ht="15" customHeight="1">
      <c r="A263" s="54">
        <v>481</v>
      </c>
      <c r="B263" s="1" t="s">
        <v>87</v>
      </c>
      <c r="C263" s="1" t="s">
        <v>767</v>
      </c>
      <c r="D263" s="58">
        <v>255</v>
      </c>
      <c r="E263" s="58"/>
      <c r="F263" s="58">
        <v>0</v>
      </c>
      <c r="G263" s="58">
        <f t="shared" si="199"/>
        <v>255</v>
      </c>
      <c r="H263" s="58">
        <v>258.2</v>
      </c>
      <c r="I263" s="58"/>
      <c r="J263" s="58">
        <v>0</v>
      </c>
      <c r="K263" s="58">
        <f t="shared" si="200"/>
        <v>258.2</v>
      </c>
      <c r="L263" s="1">
        <v>251.5</v>
      </c>
      <c r="N263" s="1">
        <v>0</v>
      </c>
      <c r="O263" s="58">
        <f t="shared" si="201"/>
        <v>251.5</v>
      </c>
      <c r="P263" s="58">
        <f>IF(ISNA(VLOOKUP($CW263,'Audit Values'!$A:$BZ,2,FALSE)),'Preliminary SO66'!C262,VLOOKUP($CW263,'Audit Values'!$A:$BZ,76,FALSE))</f>
        <v>269</v>
      </c>
      <c r="Q263" s="58">
        <f>IF(ISNA(VLOOKUP($CW263,'Audit Values'!$A:$BZ,2,FALSE)),'Preliminary SO66'!F262,VLOOKUP($CW263,'Audit Values'!$A:$BZ,4,FALSE))</f>
        <v>0</v>
      </c>
      <c r="R263" s="58">
        <f t="shared" si="169"/>
        <v>269</v>
      </c>
      <c r="S263" s="58">
        <f>IF('Military Provision'!I263="YES", MAX('2024 Legal Max'!O263,'2024 Legal Max'!K263,AVERAGE('2024 Legal Max'!G263,'2024 Legal Max'!K263,'2024 Legal Max'!O263)), MAX(O263, K263))</f>
        <v>258.2</v>
      </c>
      <c r="T263" s="58">
        <f>IF(ISNA(VLOOKUP($CW263,'Audit Values'!$A:$BX,2,FALSE)),'Preliminary SO66'!AL262,VLOOKUP($CW263,'Audit Values'!$A:$BX,59,FALSE))</f>
        <v>4.5</v>
      </c>
      <c r="U263" s="58">
        <f t="shared" si="170"/>
        <v>262.7</v>
      </c>
      <c r="V263" s="58">
        <f>'Low-High ENRL- 2023 HSubSB 113'!N266</f>
        <v>153.19999999999999</v>
      </c>
      <c r="W263" s="58">
        <f>IF(ISNA(VLOOKUP($CW263,'Audit Values'!$A:$BZ,2,FALSE)),'Preliminary SO66'!AM262,VLOOKUP($CW263,'Audit Values'!$A:$BZ,63,FALSE))</f>
        <v>0</v>
      </c>
      <c r="X263" s="58">
        <f>(W263/6)*'Weighting Factors'!$O$7</f>
        <v>0</v>
      </c>
      <c r="Y263" s="61">
        <f>IF(ISNA(VLOOKUP($CW263,'Audit Values'!$A:$BZ,2,FALSE)),'Preliminary SO66'!AN262,VLOOKUP($CW263,'Audit Values'!$A:$BZ,62,FALSE))</f>
        <v>1</v>
      </c>
      <c r="Z263" s="58">
        <f>Y263*'Weighting Factors'!$O$8</f>
        <v>0.2</v>
      </c>
      <c r="AA263" s="58">
        <f t="shared" si="171"/>
        <v>0.2</v>
      </c>
      <c r="AB263" s="106">
        <f>IF(ISNA(VLOOKUP($CW263,'Audit Values'!$A:$BZ,2,FALSE)),'Preliminary SO66'!AO262,VLOOKUP($CW263,'Audit Values'!$A:$BZ,61,FALSE))</f>
        <v>89.3</v>
      </c>
      <c r="AC263" s="58">
        <f>AB263/6*'Weighting Factors'!$O$6</f>
        <v>7.4</v>
      </c>
      <c r="AD263" s="24">
        <f>IF(ISNA(VLOOKUP($CW263,'Audit Values'!$A:$BX,2,FALSE)),'Preliminary SO66'!AS262,VLOOKUP($CW263,'Audit Values'!$A:$BX,64,FALSE))</f>
        <v>281</v>
      </c>
      <c r="AE263" s="24">
        <f>IF(ISNA(VLOOKUP($CW263,'Audit Values'!$A:$BX,2,FALSE)),'Preliminary SO66'!AP262,VLOOKUP($CW263,'Audit Values'!$A:$BX,65,FALSE))</f>
        <v>109</v>
      </c>
      <c r="AF263" s="58">
        <f>IF(A263=207, AE263,(AE263))*'Weighting Factors'!$O$9</f>
        <v>52.8</v>
      </c>
      <c r="AG263" s="58">
        <f t="shared" si="168"/>
        <v>2.9</v>
      </c>
      <c r="AH263" s="58">
        <f>IF(ISNA(VLOOKUP($CW263,'Audit Values'!$A:$BZ,2,FALSE)),'Preliminary SO66'!AG262,VLOOKUP($CW263,'Audit Values'!$A:$BZ,71,FALSE))</f>
        <v>4</v>
      </c>
      <c r="AI263" s="58">
        <f t="shared" si="172"/>
        <v>4</v>
      </c>
      <c r="AJ263" s="58">
        <f>IF(ISNA(VLOOKUP($CW263,'Audit Values'!$A:$BX,2,FALSE)),'Preliminary SO66'!AR262,VLOOKUP($CW263,'Audit Values'!$A:$BX,66,FALSE))</f>
        <v>91.5</v>
      </c>
      <c r="AK263" s="24">
        <f t="shared" si="173"/>
        <v>133014</v>
      </c>
      <c r="AL263" s="58">
        <f>AK263/'Weighting Factors'!$O$5</f>
        <v>26.1</v>
      </c>
      <c r="AM263" s="58">
        <f>CJ263/'Weighting Factors'!$O$5</f>
        <v>0</v>
      </c>
      <c r="AN263" s="58">
        <f>CN263/'Weighting Factors'!$O$5</f>
        <v>0</v>
      </c>
      <c r="AO263" s="24">
        <v>266018</v>
      </c>
      <c r="AP263" s="58">
        <f>AO263/'Weighting Factors'!$O$5</f>
        <v>52.3</v>
      </c>
      <c r="AQ263" s="58">
        <f>IF(ISNA(VLOOKUP($CW263,'Audit Values'!$A:$BX,2,FALSE)),'Preliminary SO66'!X262,VLOOKUP($CW263,'Audit Values'!$A:$BX,48,FALSE))</f>
        <v>1</v>
      </c>
      <c r="AR263" s="58">
        <f t="shared" si="202"/>
        <v>559.70000000000005</v>
      </c>
      <c r="AS263" s="58">
        <f t="shared" si="203"/>
        <v>507.4</v>
      </c>
      <c r="AT263" s="58">
        <f>IF(ISNA(VLOOKUP($CW263,'Audit Values'!$A$2:$BX$410,2,FALSE)),'Preliminary SO66'!AA262,VLOOKUP($CW263,'Audit Values'!$A$2:$BX$410,41,FALSE))</f>
        <v>0</v>
      </c>
      <c r="AU263" s="58">
        <f>IF(ISNA(VLOOKUP($CW263,'Audit Values'!$A$2:$BX$410,2,FALSE)),'Preliminary SO66'!AB262,VLOOKUP($CW263,'Audit Values'!$A$2:$BX$410,42,FALSE))</f>
        <v>0</v>
      </c>
      <c r="AV263" s="73">
        <v>0</v>
      </c>
      <c r="AW263" s="73">
        <v>0</v>
      </c>
      <c r="AX263" s="24">
        <f>SUM(AT263*'Weighting Factors'!$R$10)+('2024 Legal Max'!AU263*'Weighting Factors'!$R$11)+('2024 Legal Max'!AV263*'Weighting Factors'!$R$12)+('2024 Legal Max'!AW263*'Weighting Factors'!$R$12)</f>
        <v>0</v>
      </c>
      <c r="AY263" s="54">
        <f>IF(ISNA(VLOOKUP($CW263,'Audit Values'!$A$2:$BX$429,2,FALSE)),"",IF(AND('Weighting Factors'!G263&gt;0,VLOOKUP($CW263,'Audit Values'!$A$2:$BX$429,51,FALSE)&lt;'Weighting Factors'!G263),'Weighting Factors'!G263,VLOOKUP($CW263,'Audit Values'!$A$2:$BX$429,51,FALSE)))</f>
        <v>16</v>
      </c>
      <c r="AZ263" s="54" t="str">
        <f>IF(ISNA(VLOOKUP($CW263,'Audit Values'!$A:$BY,2,FALSE)),"",VLOOKUP($CW263,'Audit Values'!$A:$BY,52,FALSE))</f>
        <v>A</v>
      </c>
      <c r="BA263" s="54" t="str">
        <f>IF('Weighting Factors'!F263="","",IF('Weighting Factors'!H263="Pending","PX","R"))</f>
        <v/>
      </c>
      <c r="BB263" s="60">
        <f>SUM((U263+V263+AA263+AC263+AF263+AI263+AL263+AM263+AQ263+AN263)*'Weighting Factors'!$O$5)+'2024 Legal Max'!AX263</f>
        <v>2581651</v>
      </c>
      <c r="BC263" s="24">
        <f>SUM((AR263+AN263)*'Weighting Factors'!$O$5)+AX263</f>
        <v>2847754</v>
      </c>
      <c r="BD263" s="67">
        <f>IF('Weighting Factors'!F263&gt;0,'Weighting Factors'!F263,'Preliminary SO66'!AV262)</f>
        <v>2905248</v>
      </c>
      <c r="BE263" s="24">
        <f t="shared" si="174"/>
        <v>2847754</v>
      </c>
      <c r="BF263" s="71">
        <f>'Weighting Factors'!E263</f>
        <v>0</v>
      </c>
      <c r="BG263" s="71">
        <f>Transportation!G263</f>
        <v>0</v>
      </c>
      <c r="BH263" s="24">
        <f>IF(ISNA(VLOOKUP($CW263,'Audit Values'!$A:$BW,2,FALSE)), 0, VLOOKUP($CW263,'Audit Values'!$A:$BW,75,FALSE))</f>
        <v>0</v>
      </c>
      <c r="BI263" s="24">
        <f t="shared" si="175"/>
        <v>0</v>
      </c>
      <c r="BJ263" s="24">
        <f t="shared" si="176"/>
        <v>2847754</v>
      </c>
      <c r="BK263" s="24">
        <f>SUM((U263+V263+AA263+AC263+AF263+AI263+AL263+AM263+AN263)*'Weighting Factors'!O$12)+(MAX(AO263,'Weighting Factors'!B263))</f>
        <v>3013035</v>
      </c>
      <c r="BL263" s="78">
        <f>'LOB%'!F261</f>
        <v>0.33</v>
      </c>
      <c r="BM263" s="24">
        <f t="shared" si="183"/>
        <v>994302</v>
      </c>
      <c r="BN263" s="67">
        <v>1002812</v>
      </c>
      <c r="BO263" s="24">
        <f t="shared" si="177"/>
        <v>994302</v>
      </c>
      <c r="BP263" s="89">
        <f t="shared" si="184"/>
        <v>0.33</v>
      </c>
      <c r="BQ263" s="58">
        <f t="shared" si="185"/>
        <v>0</v>
      </c>
      <c r="BR263" s="1" t="b">
        <f t="shared" si="186"/>
        <v>1</v>
      </c>
      <c r="BS263" s="76">
        <f t="shared" si="187"/>
        <v>1570.8689999999999</v>
      </c>
      <c r="BT263" s="75">
        <f t="shared" si="178"/>
        <v>0.58305799999999997</v>
      </c>
      <c r="BU263" s="58">
        <f t="shared" si="188"/>
        <v>153.19999999999999</v>
      </c>
      <c r="BV263" s="1" t="b">
        <f t="shared" si="189"/>
        <v>0</v>
      </c>
      <c r="BW263" s="1">
        <f t="shared" si="190"/>
        <v>0</v>
      </c>
      <c r="BX263" s="75">
        <f t="shared" si="179"/>
        <v>0</v>
      </c>
      <c r="BY263" s="58">
        <f t="shared" si="191"/>
        <v>0</v>
      </c>
      <c r="BZ263" s="58">
        <f t="shared" si="192"/>
        <v>0</v>
      </c>
      <c r="CA263" s="61">
        <v>303.8</v>
      </c>
      <c r="CB263" s="102">
        <f t="shared" si="193"/>
        <v>0.30099999999999999</v>
      </c>
      <c r="CC263" s="105">
        <f>IF(CB263&lt;0.06,1,IF(CB263&gt;=18.29,52,MATCH(CB263-0.001,'Weighting Factors'!$W$5:$W$156)+1))</f>
        <v>20</v>
      </c>
      <c r="CD263" s="24">
        <f>VLOOKUP(CC263, 'Weighting Factors'!$U$5:$X$56,4)</f>
        <v>1190</v>
      </c>
      <c r="CE263" s="109">
        <f>('Weighting Factors'!$O$5/'Weighting Factors'!$O$14)</f>
        <v>1.2216</v>
      </c>
      <c r="CF263" s="100">
        <f t="shared" si="194"/>
        <v>108885</v>
      </c>
      <c r="CG263" s="100">
        <f>CF263*'Weighting Factors'!$Q$7</f>
        <v>108885</v>
      </c>
      <c r="CH263" s="100">
        <f t="shared" si="180"/>
        <v>133014</v>
      </c>
      <c r="CI263" s="58">
        <f>AK263/'Weighting Factors'!$O$5</f>
        <v>26.1</v>
      </c>
      <c r="CJ263" s="67">
        <v>0</v>
      </c>
      <c r="CK263" s="80">
        <v>0</v>
      </c>
      <c r="CL263" s="110">
        <v>0</v>
      </c>
      <c r="CM263" s="24">
        <f>SUM((AR263*'Weighting Factors'!$O$5)+'2024 Legal Max'!AX263)*CL263</f>
        <v>0</v>
      </c>
      <c r="CN263" s="24">
        <f t="shared" si="181"/>
        <v>0</v>
      </c>
      <c r="CO263" s="65">
        <f t="shared" si="182"/>
        <v>0.38790000000000002</v>
      </c>
      <c r="CP263" s="58">
        <f t="shared" si="195"/>
        <v>0</v>
      </c>
      <c r="CQ263" s="58">
        <f t="shared" si="196"/>
        <v>2.9</v>
      </c>
      <c r="CR263" s="58">
        <f t="shared" si="197"/>
        <v>559.70000000000005</v>
      </c>
      <c r="CS263" s="24">
        <f>'Required Transfers'!L263</f>
        <v>94757</v>
      </c>
      <c r="CT263" s="24">
        <f>'Required Transfers'!O263</f>
        <v>398</v>
      </c>
      <c r="CU263" s="24">
        <f>'Required Transfers'!H263</f>
        <v>288998</v>
      </c>
      <c r="CV263" s="58">
        <f t="shared" si="198"/>
        <v>273.5</v>
      </c>
      <c r="CW263" s="27" t="s">
        <v>448</v>
      </c>
    </row>
    <row r="264" spans="1:101" ht="15" customHeight="1">
      <c r="A264" s="54">
        <v>482</v>
      </c>
      <c r="B264" s="1" t="s">
        <v>104</v>
      </c>
      <c r="C264" s="1" t="s">
        <v>768</v>
      </c>
      <c r="D264" s="58">
        <v>224</v>
      </c>
      <c r="E264" s="58"/>
      <c r="F264" s="58">
        <v>0</v>
      </c>
      <c r="G264" s="58">
        <f t="shared" si="199"/>
        <v>224</v>
      </c>
      <c r="H264" s="58">
        <v>233.3</v>
      </c>
      <c r="I264" s="58"/>
      <c r="J264" s="58">
        <v>0</v>
      </c>
      <c r="K264" s="58">
        <f t="shared" si="200"/>
        <v>233.3</v>
      </c>
      <c r="L264" s="1">
        <v>234</v>
      </c>
      <c r="N264" s="1">
        <v>0</v>
      </c>
      <c r="O264" s="58">
        <f t="shared" si="201"/>
        <v>234</v>
      </c>
      <c r="P264" s="58">
        <f>IF(ISNA(VLOOKUP($CW264,'Audit Values'!$A:$BZ,2,FALSE)),'Preliminary SO66'!C263,VLOOKUP($CW264,'Audit Values'!$A:$BZ,76,FALSE))</f>
        <v>228.5</v>
      </c>
      <c r="Q264" s="58">
        <f>IF(ISNA(VLOOKUP($CW264,'Audit Values'!$A:$BZ,2,FALSE)),'Preliminary SO66'!F263,VLOOKUP($CW264,'Audit Values'!$A:$BZ,4,FALSE))</f>
        <v>0</v>
      </c>
      <c r="R264" s="58">
        <f t="shared" si="169"/>
        <v>228.5</v>
      </c>
      <c r="S264" s="58">
        <f>IF('Military Provision'!I264="YES", MAX('2024 Legal Max'!O264,'2024 Legal Max'!K264,AVERAGE('2024 Legal Max'!G264,'2024 Legal Max'!K264,'2024 Legal Max'!O264)), MAX(O264, K264))</f>
        <v>234</v>
      </c>
      <c r="T264" s="58">
        <f>IF(ISNA(VLOOKUP($CW264,'Audit Values'!$A:$BX,2,FALSE)),'Preliminary SO66'!AL263,VLOOKUP($CW264,'Audit Values'!$A:$BX,59,FALSE))</f>
        <v>3</v>
      </c>
      <c r="U264" s="58">
        <f t="shared" si="170"/>
        <v>237</v>
      </c>
      <c r="V264" s="58">
        <f>'Low-High ENRL- 2023 HSubSB 113'!N267</f>
        <v>154.30000000000001</v>
      </c>
      <c r="W264" s="58">
        <f>IF(ISNA(VLOOKUP($CW264,'Audit Values'!$A:$BZ,2,FALSE)),'Preliminary SO66'!AM263,VLOOKUP($CW264,'Audit Values'!$A:$BZ,63,FALSE))</f>
        <v>53.1</v>
      </c>
      <c r="X264" s="58">
        <f>(W264/6)*'Weighting Factors'!$O$7</f>
        <v>3.5</v>
      </c>
      <c r="Y264" s="61">
        <f>IF(ISNA(VLOOKUP($CW264,'Audit Values'!$A:$BZ,2,FALSE)),'Preliminary SO66'!AN263,VLOOKUP($CW264,'Audit Values'!$A:$BZ,62,FALSE))</f>
        <v>25</v>
      </c>
      <c r="Z264" s="58">
        <f>Y264*'Weighting Factors'!$O$8</f>
        <v>4.5999999999999996</v>
      </c>
      <c r="AA264" s="58">
        <f t="shared" si="171"/>
        <v>4.5999999999999996</v>
      </c>
      <c r="AB264" s="106">
        <f>IF(ISNA(VLOOKUP($CW264,'Audit Values'!$A:$BZ,2,FALSE)),'Preliminary SO66'!AO263,VLOOKUP($CW264,'Audit Values'!$A:$BZ,61,FALSE))</f>
        <v>67.599999999999994</v>
      </c>
      <c r="AC264" s="58">
        <f>AB264/6*'Weighting Factors'!$O$6</f>
        <v>5.6</v>
      </c>
      <c r="AD264" s="24">
        <f>IF(ISNA(VLOOKUP($CW264,'Audit Values'!$A:$BX,2,FALSE)),'Preliminary SO66'!AS263,VLOOKUP($CW264,'Audit Values'!$A:$BX,64,FALSE))</f>
        <v>236</v>
      </c>
      <c r="AE264" s="24">
        <f>IF(ISNA(VLOOKUP($CW264,'Audit Values'!$A:$BX,2,FALSE)),'Preliminary SO66'!AP263,VLOOKUP($CW264,'Audit Values'!$A:$BX,65,FALSE))</f>
        <v>95</v>
      </c>
      <c r="AF264" s="58">
        <f>IF(A264=207, AE264,(AE264))*'Weighting Factors'!$O$9</f>
        <v>46</v>
      </c>
      <c r="AG264" s="58">
        <f t="shared" si="168"/>
        <v>3.5</v>
      </c>
      <c r="AH264" s="58">
        <f>IF(ISNA(VLOOKUP($CW264,'Audit Values'!$A:$BZ,2,FALSE)),'Preliminary SO66'!AG263,VLOOKUP($CW264,'Audit Values'!$A:$BZ,71,FALSE))</f>
        <v>4.0999999999999996</v>
      </c>
      <c r="AI264" s="58">
        <f t="shared" si="172"/>
        <v>4.0999999999999996</v>
      </c>
      <c r="AJ264" s="58">
        <f>IF(ISNA(VLOOKUP($CW264,'Audit Values'!$A:$BX,2,FALSE)),'Preliminary SO66'!AR263,VLOOKUP($CW264,'Audit Values'!$A:$BX,66,FALSE))</f>
        <v>24.5</v>
      </c>
      <c r="AK264" s="24">
        <f t="shared" si="173"/>
        <v>48485</v>
      </c>
      <c r="AL264" s="58">
        <f>AK264/'Weighting Factors'!$O$5</f>
        <v>9.5</v>
      </c>
      <c r="AM264" s="58">
        <f>CJ264/'Weighting Factors'!$O$5</f>
        <v>0</v>
      </c>
      <c r="AN264" s="58">
        <f>CN264/'Weighting Factors'!$O$5</f>
        <v>0</v>
      </c>
      <c r="AO264" s="24">
        <v>177239</v>
      </c>
      <c r="AP264" s="58">
        <f>AO264/'Weighting Factors'!$O$5</f>
        <v>34.799999999999997</v>
      </c>
      <c r="AQ264" s="58">
        <f>IF(ISNA(VLOOKUP($CW264,'Audit Values'!$A:$BX,2,FALSE)),'Preliminary SO66'!X263,VLOOKUP($CW264,'Audit Values'!$A:$BX,48,FALSE))</f>
        <v>1</v>
      </c>
      <c r="AR264" s="58">
        <f t="shared" si="202"/>
        <v>496.9</v>
      </c>
      <c r="AS264" s="58">
        <f t="shared" si="203"/>
        <v>462.1</v>
      </c>
      <c r="AT264" s="58">
        <f>IF(ISNA(VLOOKUP($CW264,'Audit Values'!$A$2:$BX$410,2,FALSE)),'Preliminary SO66'!AA263,VLOOKUP($CW264,'Audit Values'!$A$2:$BX$410,41,FALSE))</f>
        <v>0</v>
      </c>
      <c r="AU264" s="58">
        <f>IF(ISNA(VLOOKUP($CW264,'Audit Values'!$A$2:$BX$410,2,FALSE)),'Preliminary SO66'!AB263,VLOOKUP($CW264,'Audit Values'!$A$2:$BX$410,42,FALSE))</f>
        <v>0</v>
      </c>
      <c r="AV264" s="73">
        <v>0</v>
      </c>
      <c r="AW264" s="73">
        <v>0</v>
      </c>
      <c r="AX264" s="24">
        <f>SUM(AT264*'Weighting Factors'!$R$10)+('2024 Legal Max'!AU264*'Weighting Factors'!$R$11)+('2024 Legal Max'!AV264*'Weighting Factors'!$R$12)+('2024 Legal Max'!AW264*'Weighting Factors'!$R$12)</f>
        <v>0</v>
      </c>
      <c r="AY264" s="54">
        <f>IF(ISNA(VLOOKUP($CW264,'Audit Values'!$A$2:$BX$429,2,FALSE)),"",IF(AND('Weighting Factors'!G264&gt;0,VLOOKUP($CW264,'Audit Values'!$A$2:$BX$429,51,FALSE)&lt;'Weighting Factors'!G264),'Weighting Factors'!G264,VLOOKUP($CW264,'Audit Values'!$A$2:$BX$429,51,FALSE)))</f>
        <v>7</v>
      </c>
      <c r="AZ264" s="54" t="str">
        <f>IF(ISNA(VLOOKUP($CW264,'Audit Values'!$A:$BY,2,FALSE)),"",VLOOKUP($CW264,'Audit Values'!$A:$BY,52,FALSE))</f>
        <v>A</v>
      </c>
      <c r="BA264" s="54" t="str">
        <f>IF('Weighting Factors'!F264="","",IF('Weighting Factors'!H264="Pending","PX","R"))</f>
        <v/>
      </c>
      <c r="BB264" s="60">
        <f>SUM((U264+V264+AA264+AC264+AF264+AI264+AL264+AM264+AQ264+AN264)*'Weighting Factors'!$O$5)+'2024 Legal Max'!AX264</f>
        <v>2351165</v>
      </c>
      <c r="BC264" s="24">
        <f>SUM((AR264+AN264)*'Weighting Factors'!$O$5)+AX264</f>
        <v>2528227</v>
      </c>
      <c r="BD264" s="67">
        <f>IF('Weighting Factors'!F264&gt;0,'Weighting Factors'!F264,'Preliminary SO66'!AV263)</f>
        <v>2583686</v>
      </c>
      <c r="BE264" s="24">
        <f t="shared" si="174"/>
        <v>2528227</v>
      </c>
      <c r="BF264" s="71">
        <f>'Weighting Factors'!E264</f>
        <v>0</v>
      </c>
      <c r="BG264" s="71">
        <f>Transportation!G264</f>
        <v>0</v>
      </c>
      <c r="BH264" s="24">
        <f>IF(ISNA(VLOOKUP($CW264,'Audit Values'!$A:$BW,2,FALSE)), 0, VLOOKUP($CW264,'Audit Values'!$A:$BW,75,FALSE))</f>
        <v>0</v>
      </c>
      <c r="BI264" s="24">
        <f t="shared" si="175"/>
        <v>0</v>
      </c>
      <c r="BJ264" s="24">
        <f t="shared" si="176"/>
        <v>2528227</v>
      </c>
      <c r="BK264" s="24">
        <f>SUM((U264+V264+AA264+AC264+AF264+AI264+AL264+AM264+AN264)*'Weighting Factors'!O$12)+(MAX(AO264,'Weighting Factors'!B264))</f>
        <v>2583632</v>
      </c>
      <c r="BL264" s="78">
        <f>'LOB%'!F262</f>
        <v>0.316</v>
      </c>
      <c r="BM264" s="24">
        <f t="shared" si="183"/>
        <v>816428</v>
      </c>
      <c r="BN264" s="67">
        <v>816316</v>
      </c>
      <c r="BO264" s="24">
        <f t="shared" si="177"/>
        <v>816316</v>
      </c>
      <c r="BP264" s="89">
        <f t="shared" si="184"/>
        <v>0.316</v>
      </c>
      <c r="BQ264" s="58">
        <f t="shared" si="185"/>
        <v>0</v>
      </c>
      <c r="BR264" s="1" t="b">
        <f t="shared" si="186"/>
        <v>1</v>
      </c>
      <c r="BS264" s="76">
        <f t="shared" si="187"/>
        <v>1322.7349999999999</v>
      </c>
      <c r="BT264" s="75">
        <f t="shared" si="178"/>
        <v>0.65118200000000004</v>
      </c>
      <c r="BU264" s="58">
        <f t="shared" si="188"/>
        <v>154.30000000000001</v>
      </c>
      <c r="BV264" s="1" t="b">
        <f t="shared" si="189"/>
        <v>0</v>
      </c>
      <c r="BW264" s="1">
        <f t="shared" si="190"/>
        <v>0</v>
      </c>
      <c r="BX264" s="75">
        <f t="shared" si="179"/>
        <v>0</v>
      </c>
      <c r="BY264" s="58">
        <f t="shared" si="191"/>
        <v>0</v>
      </c>
      <c r="BZ264" s="58">
        <f t="shared" si="192"/>
        <v>0</v>
      </c>
      <c r="CA264" s="61">
        <v>619.5</v>
      </c>
      <c r="CB264" s="102">
        <f t="shared" si="193"/>
        <v>0.04</v>
      </c>
      <c r="CC264" s="105">
        <f>IF(CB264&lt;0.06,1,IF(CB264&gt;=18.29,52,MATCH(CB264-0.001,'Weighting Factors'!$W$5:$W$156)+1))</f>
        <v>1</v>
      </c>
      <c r="CD264" s="24">
        <f>VLOOKUP(CC264, 'Weighting Factors'!$U$5:$X$56,4)</f>
        <v>1620</v>
      </c>
      <c r="CE264" s="109">
        <f>('Weighting Factors'!$O$5/'Weighting Factors'!$O$14)</f>
        <v>1.2216</v>
      </c>
      <c r="CF264" s="100">
        <f t="shared" si="194"/>
        <v>39690</v>
      </c>
      <c r="CG264" s="100">
        <f>CF264*'Weighting Factors'!$Q$7</f>
        <v>39690</v>
      </c>
      <c r="CH264" s="100">
        <f t="shared" si="180"/>
        <v>48485</v>
      </c>
      <c r="CI264" s="58">
        <f>AK264/'Weighting Factors'!$O$5</f>
        <v>9.5</v>
      </c>
      <c r="CJ264" s="67">
        <v>0</v>
      </c>
      <c r="CK264" s="80">
        <v>0</v>
      </c>
      <c r="CL264" s="110">
        <v>0</v>
      </c>
      <c r="CM264" s="24">
        <f>SUM((AR264*'Weighting Factors'!$O$5)+'2024 Legal Max'!AX264)*CL264</f>
        <v>0</v>
      </c>
      <c r="CN264" s="24">
        <f t="shared" si="181"/>
        <v>0</v>
      </c>
      <c r="CO264" s="65">
        <f t="shared" si="182"/>
        <v>0.40250000000000002</v>
      </c>
      <c r="CP264" s="58">
        <f t="shared" si="195"/>
        <v>0</v>
      </c>
      <c r="CQ264" s="58">
        <f t="shared" si="196"/>
        <v>3.5</v>
      </c>
      <c r="CR264" s="58">
        <f t="shared" si="197"/>
        <v>496.9</v>
      </c>
      <c r="CS264" s="24">
        <f>'Required Transfers'!L264</f>
        <v>76162</v>
      </c>
      <c r="CT264" s="24">
        <f>'Required Transfers'!O264</f>
        <v>7592</v>
      </c>
      <c r="CU264" s="24">
        <f>'Required Transfers'!H264</f>
        <v>254909</v>
      </c>
      <c r="CV264" s="58">
        <f t="shared" si="198"/>
        <v>231.5</v>
      </c>
      <c r="CW264" s="27" t="s">
        <v>449</v>
      </c>
    </row>
    <row r="265" spans="1:101" ht="15" customHeight="1">
      <c r="A265" s="54">
        <v>483</v>
      </c>
      <c r="B265" s="1" t="s">
        <v>106</v>
      </c>
      <c r="C265" s="1" t="s">
        <v>769</v>
      </c>
      <c r="D265" s="58">
        <v>586</v>
      </c>
      <c r="E265" s="58"/>
      <c r="F265" s="58">
        <v>0</v>
      </c>
      <c r="G265" s="58">
        <f t="shared" si="199"/>
        <v>586</v>
      </c>
      <c r="H265" s="58">
        <v>572</v>
      </c>
      <c r="I265" s="58"/>
      <c r="J265" s="58">
        <v>0</v>
      </c>
      <c r="K265" s="58">
        <f t="shared" si="200"/>
        <v>572</v>
      </c>
      <c r="L265" s="1">
        <v>552.5</v>
      </c>
      <c r="N265" s="1">
        <v>0</v>
      </c>
      <c r="O265" s="58">
        <f t="shared" si="201"/>
        <v>552.5</v>
      </c>
      <c r="P265" s="58">
        <f>IF(ISNA(VLOOKUP($CW265,'Audit Values'!$A:$BZ,2,FALSE)),'Preliminary SO66'!C264,VLOOKUP($CW265,'Audit Values'!$A:$BZ,76,FALSE))</f>
        <v>530</v>
      </c>
      <c r="Q265" s="58">
        <f>IF(ISNA(VLOOKUP($CW265,'Audit Values'!$A:$BZ,2,FALSE)),'Preliminary SO66'!F264,VLOOKUP($CW265,'Audit Values'!$A:$BZ,4,FALSE))</f>
        <v>0</v>
      </c>
      <c r="R265" s="58">
        <f t="shared" si="169"/>
        <v>530</v>
      </c>
      <c r="S265" s="58">
        <f>IF('Military Provision'!I265="YES", MAX('2024 Legal Max'!O265,'2024 Legal Max'!K265,AVERAGE('2024 Legal Max'!G265,'2024 Legal Max'!K265,'2024 Legal Max'!O265)), MAX(O265, K265))</f>
        <v>572</v>
      </c>
      <c r="T265" s="58">
        <f>IF(ISNA(VLOOKUP($CW265,'Audit Values'!$A:$BX,2,FALSE)),'Preliminary SO66'!AL264,VLOOKUP($CW265,'Audit Values'!$A:$BX,59,FALSE))</f>
        <v>20.5</v>
      </c>
      <c r="U265" s="58">
        <f t="shared" si="170"/>
        <v>592.5</v>
      </c>
      <c r="V265" s="58">
        <f>'Low-High ENRL- 2023 HSubSB 113'!N268</f>
        <v>228</v>
      </c>
      <c r="W265" s="58">
        <f>IF(ISNA(VLOOKUP($CW265,'Audit Values'!$A:$BZ,2,FALSE)),'Preliminary SO66'!AM264,VLOOKUP($CW265,'Audit Values'!$A:$BZ,63,FALSE))</f>
        <v>1374.7</v>
      </c>
      <c r="X265" s="58">
        <f>(W265/6)*'Weighting Factors'!$O$7</f>
        <v>90.5</v>
      </c>
      <c r="Y265" s="61">
        <f>IF(ISNA(VLOOKUP($CW265,'Audit Values'!$A:$BZ,2,FALSE)),'Preliminary SO66'!AN264,VLOOKUP($CW265,'Audit Values'!$A:$BZ,62,FALSE))</f>
        <v>260</v>
      </c>
      <c r="Z265" s="58">
        <f>Y265*'Weighting Factors'!$O$8</f>
        <v>48.1</v>
      </c>
      <c r="AA265" s="58">
        <f t="shared" si="171"/>
        <v>90.5</v>
      </c>
      <c r="AB265" s="106">
        <f>IF(ISNA(VLOOKUP($CW265,'Audit Values'!$A:$BZ,2,FALSE)),'Preliminary SO66'!AO264,VLOOKUP($CW265,'Audit Values'!$A:$BZ,61,FALSE))</f>
        <v>50.8</v>
      </c>
      <c r="AC265" s="58">
        <f>AB265/6*'Weighting Factors'!$O$6</f>
        <v>4.2</v>
      </c>
      <c r="AD265" s="24">
        <f>IF(ISNA(VLOOKUP($CW265,'Audit Values'!$A:$BX,2,FALSE)),'Preliminary SO66'!AS264,VLOOKUP($CW265,'Audit Values'!$A:$BX,64,FALSE))</f>
        <v>573</v>
      </c>
      <c r="AE265" s="24">
        <f>IF(ISNA(VLOOKUP($CW265,'Audit Values'!$A:$BX,2,FALSE)),'Preliminary SO66'!AP264,VLOOKUP($CW265,'Audit Values'!$A:$BX,65,FALSE))</f>
        <v>344</v>
      </c>
      <c r="AF265" s="58">
        <f>IF(A265=207, AE265,(AE265))*'Weighting Factors'!$O$9</f>
        <v>166.5</v>
      </c>
      <c r="AG265" s="58">
        <f t="shared" si="168"/>
        <v>36.1</v>
      </c>
      <c r="AH265" s="58">
        <f>IF(ISNA(VLOOKUP($CW265,'Audit Values'!$A:$BZ,2,FALSE)),'Preliminary SO66'!AG264,VLOOKUP($CW265,'Audit Values'!$A:$BZ,71,FALSE))</f>
        <v>36.1</v>
      </c>
      <c r="AI265" s="58">
        <f t="shared" si="172"/>
        <v>36.1</v>
      </c>
      <c r="AJ265" s="58">
        <f>IF(ISNA(VLOOKUP($CW265,'Audit Values'!$A:$BX,2,FALSE)),'Preliminary SO66'!AR264,VLOOKUP($CW265,'Audit Values'!$A:$BX,66,FALSE))</f>
        <v>454</v>
      </c>
      <c r="AK265" s="24">
        <f t="shared" si="173"/>
        <v>549060</v>
      </c>
      <c r="AL265" s="58">
        <f>AK265/'Weighting Factors'!$O$5</f>
        <v>107.9</v>
      </c>
      <c r="AM265" s="58">
        <f>CJ265/'Weighting Factors'!$O$5</f>
        <v>0</v>
      </c>
      <c r="AN265" s="58">
        <f>CN265/'Weighting Factors'!$O$5</f>
        <v>0</v>
      </c>
      <c r="AO265" s="24">
        <v>480662</v>
      </c>
      <c r="AP265" s="58">
        <f>AO265/'Weighting Factors'!$O$5</f>
        <v>94.5</v>
      </c>
      <c r="AQ265" s="58">
        <f>IF(ISNA(VLOOKUP($CW265,'Audit Values'!$A:$BX,2,FALSE)),'Preliminary SO66'!X264,VLOOKUP($CW265,'Audit Values'!$A:$BX,48,FALSE))</f>
        <v>0</v>
      </c>
      <c r="AR265" s="58">
        <f t="shared" si="202"/>
        <v>1320.2</v>
      </c>
      <c r="AS265" s="58">
        <f t="shared" si="203"/>
        <v>1225.7</v>
      </c>
      <c r="AT265" s="58">
        <f>IF(ISNA(VLOOKUP($CW265,'Audit Values'!$A$2:$BX$410,2,FALSE)),'Preliminary SO66'!AA264,VLOOKUP($CW265,'Audit Values'!$A$2:$BX$410,41,FALSE))</f>
        <v>0</v>
      </c>
      <c r="AU265" s="58">
        <f>IF(ISNA(VLOOKUP($CW265,'Audit Values'!$A$2:$BX$410,2,FALSE)),'Preliminary SO66'!AB264,VLOOKUP($CW265,'Audit Values'!$A$2:$BX$410,42,FALSE))</f>
        <v>0</v>
      </c>
      <c r="AV265" s="73">
        <v>0</v>
      </c>
      <c r="AW265" s="73">
        <v>0</v>
      </c>
      <c r="AX265" s="24">
        <f>SUM(AT265*'Weighting Factors'!$R$10)+('2024 Legal Max'!AU265*'Weighting Factors'!$R$11)+('2024 Legal Max'!AV265*'Weighting Factors'!$R$12)+('2024 Legal Max'!AW265*'Weighting Factors'!$R$12)</f>
        <v>0</v>
      </c>
      <c r="AY265" s="54">
        <f>IF(ISNA(VLOOKUP($CW265,'Audit Values'!$A$2:$BX$429,2,FALSE)),"",IF(AND('Weighting Factors'!G265&gt;0,VLOOKUP($CW265,'Audit Values'!$A$2:$BX$429,51,FALSE)&lt;'Weighting Factors'!G265),'Weighting Factors'!G265,VLOOKUP($CW265,'Audit Values'!$A$2:$BX$429,51,FALSE)))</f>
        <v>7</v>
      </c>
      <c r="AZ265" s="54" t="str">
        <f>IF(ISNA(VLOOKUP($CW265,'Audit Values'!$A:$BY,2,FALSE)),"",VLOOKUP($CW265,'Audit Values'!$A:$BY,52,FALSE))</f>
        <v>A</v>
      </c>
      <c r="BA265" s="54" t="str">
        <f>IF('Weighting Factors'!F265="","",IF('Weighting Factors'!H265="Pending","PX","R"))</f>
        <v/>
      </c>
      <c r="BB265" s="60">
        <f>SUM((U265+V265+AA265+AC265+AF265+AI265+AL265+AM265+AQ265+AN265)*'Weighting Factors'!$O$5)+'2024 Legal Max'!AX265</f>
        <v>6236362</v>
      </c>
      <c r="BC265" s="24">
        <f>SUM((AR265+AN265)*'Weighting Factors'!$O$5)+AX265</f>
        <v>6717178</v>
      </c>
      <c r="BD265" s="67">
        <f>IF('Weighting Factors'!F265&gt;0,'Weighting Factors'!F265,'Preliminary SO66'!AV264)</f>
        <v>7451376</v>
      </c>
      <c r="BE265" s="24">
        <f t="shared" si="174"/>
        <v>6717178</v>
      </c>
      <c r="BF265" s="71">
        <f>'Weighting Factors'!E265</f>
        <v>0</v>
      </c>
      <c r="BG265" s="71">
        <f>Transportation!G265</f>
        <v>0</v>
      </c>
      <c r="BH265" s="24">
        <f>IF(ISNA(VLOOKUP($CW265,'Audit Values'!$A:$BW,2,FALSE)), 0, VLOOKUP($CW265,'Audit Values'!$A:$BW,75,FALSE))</f>
        <v>0</v>
      </c>
      <c r="BI265" s="24">
        <f t="shared" si="175"/>
        <v>0</v>
      </c>
      <c r="BJ265" s="24">
        <f t="shared" si="176"/>
        <v>6717178</v>
      </c>
      <c r="BK265" s="24">
        <f>SUM((U265+V265+AA265+AC265+AF265+AI265+AL265+AM265+AN265)*'Weighting Factors'!O$12)+(MAX(AO265,'Weighting Factors'!B265))</f>
        <v>6922006</v>
      </c>
      <c r="BL265" s="78">
        <f>'LOB%'!F263</f>
        <v>0.31</v>
      </c>
      <c r="BM265" s="24">
        <f t="shared" si="183"/>
        <v>2145822</v>
      </c>
      <c r="BN265" s="67">
        <v>2000000</v>
      </c>
      <c r="BO265" s="24">
        <f t="shared" si="177"/>
        <v>2000000</v>
      </c>
      <c r="BP265" s="89">
        <f t="shared" si="184"/>
        <v>0.28889999999999999</v>
      </c>
      <c r="BQ265" s="58">
        <f t="shared" si="185"/>
        <v>0</v>
      </c>
      <c r="BR265" s="1" t="b">
        <f t="shared" si="186"/>
        <v>0</v>
      </c>
      <c r="BS265" s="76">
        <f t="shared" si="187"/>
        <v>0</v>
      </c>
      <c r="BT265" s="75">
        <f t="shared" si="178"/>
        <v>0</v>
      </c>
      <c r="BU265" s="58">
        <f t="shared" si="188"/>
        <v>0</v>
      </c>
      <c r="BV265" s="1" t="b">
        <f t="shared" si="189"/>
        <v>1</v>
      </c>
      <c r="BW265" s="1">
        <f t="shared" si="190"/>
        <v>361.96879999999999</v>
      </c>
      <c r="BX265" s="75">
        <f t="shared" si="179"/>
        <v>0.38480999999999999</v>
      </c>
      <c r="BY265" s="58">
        <f t="shared" si="191"/>
        <v>228</v>
      </c>
      <c r="BZ265" s="58">
        <f t="shared" si="192"/>
        <v>0</v>
      </c>
      <c r="CA265" s="61">
        <v>541</v>
      </c>
      <c r="CB265" s="102">
        <f t="shared" si="193"/>
        <v>0.83899999999999997</v>
      </c>
      <c r="CC265" s="105">
        <f>IF(CB265&lt;0.06,1,IF(CB265&gt;=18.29,52,MATCH(CB265-0.001,'Weighting Factors'!$W$5:$W$156)+1))</f>
        <v>30</v>
      </c>
      <c r="CD265" s="24">
        <f>VLOOKUP(CC265, 'Weighting Factors'!$U$5:$X$56,4)</f>
        <v>990</v>
      </c>
      <c r="CE265" s="109">
        <f>('Weighting Factors'!$O$5/'Weighting Factors'!$O$14)</f>
        <v>1.2216</v>
      </c>
      <c r="CF265" s="100">
        <f t="shared" si="194"/>
        <v>449460</v>
      </c>
      <c r="CG265" s="100">
        <f>CF265*'Weighting Factors'!$Q$7</f>
        <v>449460</v>
      </c>
      <c r="CH265" s="100">
        <f t="shared" si="180"/>
        <v>549060</v>
      </c>
      <c r="CI265" s="58">
        <f>AK265/'Weighting Factors'!$O$5</f>
        <v>107.9</v>
      </c>
      <c r="CJ265" s="67">
        <v>0</v>
      </c>
      <c r="CK265" s="80">
        <v>0</v>
      </c>
      <c r="CL265" s="110">
        <v>0</v>
      </c>
      <c r="CM265" s="24">
        <f>SUM((AR265*'Weighting Factors'!$O$5)+'2024 Legal Max'!AX265)*CL265</f>
        <v>0</v>
      </c>
      <c r="CN265" s="24">
        <f t="shared" si="181"/>
        <v>0</v>
      </c>
      <c r="CO265" s="65">
        <f t="shared" si="182"/>
        <v>0.60029999999999994</v>
      </c>
      <c r="CP265" s="58">
        <f t="shared" si="195"/>
        <v>36.1</v>
      </c>
      <c r="CQ265" s="58">
        <f t="shared" si="196"/>
        <v>0</v>
      </c>
      <c r="CR265" s="58">
        <f t="shared" si="197"/>
        <v>1320.2</v>
      </c>
      <c r="CS265" s="24">
        <f>'Required Transfers'!L265</f>
        <v>256200</v>
      </c>
      <c r="CT265" s="24">
        <f>'Required Transfers'!O265</f>
        <v>139200</v>
      </c>
      <c r="CU265" s="24">
        <f>'Required Transfers'!H265</f>
        <v>1030829</v>
      </c>
      <c r="CV265" s="58">
        <f t="shared" si="198"/>
        <v>550.5</v>
      </c>
      <c r="CW265" s="27" t="s">
        <v>450</v>
      </c>
    </row>
    <row r="266" spans="1:101" ht="15" customHeight="1">
      <c r="A266" s="54">
        <v>484</v>
      </c>
      <c r="B266" s="1" t="s">
        <v>83</v>
      </c>
      <c r="C266" s="1" t="s">
        <v>770</v>
      </c>
      <c r="D266" s="58">
        <v>613.1</v>
      </c>
      <c r="E266" s="58"/>
      <c r="F266" s="58">
        <v>0</v>
      </c>
      <c r="G266" s="58">
        <f t="shared" si="199"/>
        <v>613.1</v>
      </c>
      <c r="H266" s="58">
        <v>627</v>
      </c>
      <c r="I266" s="58"/>
      <c r="J266" s="58">
        <v>0</v>
      </c>
      <c r="K266" s="58">
        <f t="shared" si="200"/>
        <v>627</v>
      </c>
      <c r="L266" s="1">
        <v>627.5</v>
      </c>
      <c r="N266" s="1">
        <v>0</v>
      </c>
      <c r="O266" s="58">
        <f t="shared" si="201"/>
        <v>627.5</v>
      </c>
      <c r="P266" s="58">
        <f>IF(ISNA(VLOOKUP($CW266,'Audit Values'!$A:$BZ,2,FALSE)),'Preliminary SO66'!C265,VLOOKUP($CW266,'Audit Values'!$A:$BZ,76,FALSE))</f>
        <v>597</v>
      </c>
      <c r="Q266" s="58">
        <f>IF(ISNA(VLOOKUP($CW266,'Audit Values'!$A:$BZ,2,FALSE)),'Preliminary SO66'!F265,VLOOKUP($CW266,'Audit Values'!$A:$BZ,4,FALSE))</f>
        <v>0</v>
      </c>
      <c r="R266" s="58">
        <f t="shared" si="169"/>
        <v>597</v>
      </c>
      <c r="S266" s="58">
        <f>IF('Military Provision'!I266="YES", MAX('2024 Legal Max'!O266,'2024 Legal Max'!K266,AVERAGE('2024 Legal Max'!G266,'2024 Legal Max'!K266,'2024 Legal Max'!O266)), MAX(O266, K266))</f>
        <v>627.5</v>
      </c>
      <c r="T266" s="58">
        <f>IF(ISNA(VLOOKUP($CW266,'Audit Values'!$A:$BX,2,FALSE)),'Preliminary SO66'!AL265,VLOOKUP($CW266,'Audit Values'!$A:$BX,59,FALSE))</f>
        <v>7.5</v>
      </c>
      <c r="U266" s="58">
        <f t="shared" si="170"/>
        <v>635</v>
      </c>
      <c r="V266" s="58">
        <f>'Low-High ENRL- 2023 HSubSB 113'!N269</f>
        <v>235.2</v>
      </c>
      <c r="W266" s="58">
        <f>IF(ISNA(VLOOKUP($CW266,'Audit Values'!$A:$BZ,2,FALSE)),'Preliminary SO66'!AM265,VLOOKUP($CW266,'Audit Values'!$A:$BZ,63,FALSE))</f>
        <v>0</v>
      </c>
      <c r="X266" s="58">
        <f>(W266/6)*'Weighting Factors'!$O$7</f>
        <v>0</v>
      </c>
      <c r="Y266" s="61">
        <f>IF(ISNA(VLOOKUP($CW266,'Audit Values'!$A:$BZ,2,FALSE)),'Preliminary SO66'!AN265,VLOOKUP($CW266,'Audit Values'!$A:$BZ,62,FALSE))</f>
        <v>0</v>
      </c>
      <c r="Z266" s="58">
        <f>Y266*'Weighting Factors'!$O$8</f>
        <v>0</v>
      </c>
      <c r="AA266" s="58">
        <f t="shared" si="171"/>
        <v>0</v>
      </c>
      <c r="AB266" s="106">
        <f>IF(ISNA(VLOOKUP($CW266,'Audit Values'!$A:$BZ,2,FALSE)),'Preliminary SO66'!AO265,VLOOKUP($CW266,'Audit Values'!$A:$BZ,61,FALSE))</f>
        <v>170.5</v>
      </c>
      <c r="AC266" s="58">
        <f>AB266/6*'Weighting Factors'!$O$6</f>
        <v>14.2</v>
      </c>
      <c r="AD266" s="24">
        <f>IF(ISNA(VLOOKUP($CW266,'Audit Values'!$A:$BX,2,FALSE)),'Preliminary SO66'!AS265,VLOOKUP($CW266,'Audit Values'!$A:$BX,64,FALSE))</f>
        <v>612</v>
      </c>
      <c r="AE266" s="24">
        <f>IF(ISNA(VLOOKUP($CW266,'Audit Values'!$A:$BX,2,FALSE)),'Preliminary SO66'!AP265,VLOOKUP($CW266,'Audit Values'!$A:$BX,65,FALSE))</f>
        <v>267</v>
      </c>
      <c r="AF266" s="58">
        <f>IF(A266=207, AE266,(AE266))*'Weighting Factors'!$O$9</f>
        <v>129.19999999999999</v>
      </c>
      <c r="AG266" s="58">
        <f t="shared" si="168"/>
        <v>16.100000000000001</v>
      </c>
      <c r="AH266" s="58">
        <f>IF(ISNA(VLOOKUP($CW266,'Audit Values'!$A:$BZ,2,FALSE)),'Preliminary SO66'!AG265,VLOOKUP($CW266,'Audit Values'!$A:$BZ,71,FALSE))</f>
        <v>16.3</v>
      </c>
      <c r="AI266" s="58">
        <f t="shared" si="172"/>
        <v>16.3</v>
      </c>
      <c r="AJ266" s="58">
        <f>IF(ISNA(VLOOKUP($CW266,'Audit Values'!$A:$BX,2,FALSE)),'Preliminary SO66'!AR265,VLOOKUP($CW266,'Audit Values'!$A:$BX,66,FALSE))</f>
        <v>195</v>
      </c>
      <c r="AK266" s="24">
        <f t="shared" si="173"/>
        <v>259651</v>
      </c>
      <c r="AL266" s="58">
        <f>AK266/'Weighting Factors'!$O$5</f>
        <v>51</v>
      </c>
      <c r="AM266" s="58">
        <f>CJ266/'Weighting Factors'!$O$5</f>
        <v>0</v>
      </c>
      <c r="AN266" s="58">
        <f>CN266/'Weighting Factors'!$O$5</f>
        <v>0</v>
      </c>
      <c r="AO266" s="24">
        <v>553629</v>
      </c>
      <c r="AP266" s="58">
        <f>AO266/'Weighting Factors'!$O$5</f>
        <v>108.8</v>
      </c>
      <c r="AQ266" s="58">
        <f>IF(ISNA(VLOOKUP($CW266,'Audit Values'!$A:$BX,2,FALSE)),'Preliminary SO66'!X265,VLOOKUP($CW266,'Audit Values'!$A:$BX,48,FALSE))</f>
        <v>0</v>
      </c>
      <c r="AR266" s="58">
        <f t="shared" si="202"/>
        <v>1189.7</v>
      </c>
      <c r="AS266" s="58">
        <f t="shared" si="203"/>
        <v>1080.9000000000001</v>
      </c>
      <c r="AT266" s="58">
        <f>IF(ISNA(VLOOKUP($CW266,'Audit Values'!$A$2:$BX$410,2,FALSE)),'Preliminary SO66'!AA265,VLOOKUP($CW266,'Audit Values'!$A$2:$BX$410,41,FALSE))</f>
        <v>0</v>
      </c>
      <c r="AU266" s="58">
        <f>IF(ISNA(VLOOKUP($CW266,'Audit Values'!$A$2:$BX$410,2,FALSE)),'Preliminary SO66'!AB265,VLOOKUP($CW266,'Audit Values'!$A$2:$BX$410,42,FALSE))</f>
        <v>0</v>
      </c>
      <c r="AV266" s="73">
        <v>5</v>
      </c>
      <c r="AW266" s="73">
        <v>0</v>
      </c>
      <c r="AX266" s="24">
        <f>SUM(AT266*'Weighting Factors'!$R$10)+('2024 Legal Max'!AU266*'Weighting Factors'!$R$11)+('2024 Legal Max'!AV266*'Weighting Factors'!$R$12)+('2024 Legal Max'!AW266*'Weighting Factors'!$R$12)</f>
        <v>3545</v>
      </c>
      <c r="AY266" s="54">
        <f>IF(ISNA(VLOOKUP($CW266,'Audit Values'!$A$2:$BX$429,2,FALSE)),"",IF(AND('Weighting Factors'!G266&gt;0,VLOOKUP($CW266,'Audit Values'!$A$2:$BX$429,51,FALSE)&lt;'Weighting Factors'!G266),'Weighting Factors'!G266,VLOOKUP($CW266,'Audit Values'!$A$2:$BX$429,51,FALSE)))</f>
        <v>9</v>
      </c>
      <c r="AZ266" s="54" t="str">
        <f>IF(ISNA(VLOOKUP($CW266,'Audit Values'!$A:$BY,2,FALSE)),"",VLOOKUP($CW266,'Audit Values'!$A:$BY,52,FALSE))</f>
        <v>A</v>
      </c>
      <c r="BA266" s="54" t="str">
        <f>IF('Weighting Factors'!F266="","",IF('Weighting Factors'!H266="Pending","PX","R"))</f>
        <v/>
      </c>
      <c r="BB266" s="60">
        <f>SUM((U266+V266+AA266+AC266+AF266+AI266+AL266+AM266+AQ266+AN266)*'Weighting Factors'!$O$5)+'2024 Legal Max'!AX266</f>
        <v>5503164</v>
      </c>
      <c r="BC266" s="24">
        <f>SUM((AR266+AN266)*'Weighting Factors'!$O$5)+AX266</f>
        <v>6056739</v>
      </c>
      <c r="BD266" s="67">
        <f>IF('Weighting Factors'!F266&gt;0,'Weighting Factors'!F266,'Preliminary SO66'!AV265)</f>
        <v>6424618</v>
      </c>
      <c r="BE266" s="24">
        <f t="shared" si="174"/>
        <v>6056739</v>
      </c>
      <c r="BF266" s="71">
        <f>'Weighting Factors'!E266</f>
        <v>0</v>
      </c>
      <c r="BG266" s="71">
        <f>Transportation!G266</f>
        <v>0</v>
      </c>
      <c r="BH266" s="24">
        <f>IF(ISNA(VLOOKUP($CW266,'Audit Values'!$A:$BW,2,FALSE)), 0, VLOOKUP($CW266,'Audit Values'!$A:$BW,75,FALSE))</f>
        <v>0</v>
      </c>
      <c r="BI266" s="24">
        <f t="shared" si="175"/>
        <v>0</v>
      </c>
      <c r="BJ266" s="24">
        <f t="shared" si="176"/>
        <v>6056739</v>
      </c>
      <c r="BK266" s="24">
        <f>SUM((U266+V266+AA266+AC266+AF266+AI266+AL266+AM266+AN266)*'Weighting Factors'!O$12)+(MAX(AO266,'Weighting Factors'!B266))</f>
        <v>6234014</v>
      </c>
      <c r="BL266" s="78">
        <f>'LOB%'!F264</f>
        <v>0.316</v>
      </c>
      <c r="BM266" s="24">
        <f t="shared" si="183"/>
        <v>1969948</v>
      </c>
      <c r="BN266" s="67">
        <v>2055173</v>
      </c>
      <c r="BO266" s="24">
        <f t="shared" si="177"/>
        <v>1969948</v>
      </c>
      <c r="BP266" s="89">
        <f t="shared" si="184"/>
        <v>0.316</v>
      </c>
      <c r="BQ266" s="58">
        <f t="shared" si="185"/>
        <v>0</v>
      </c>
      <c r="BR266" s="1" t="b">
        <f t="shared" si="186"/>
        <v>0</v>
      </c>
      <c r="BS266" s="76">
        <f t="shared" si="187"/>
        <v>0</v>
      </c>
      <c r="BT266" s="75">
        <f t="shared" si="178"/>
        <v>0</v>
      </c>
      <c r="BU266" s="58">
        <f t="shared" si="188"/>
        <v>0</v>
      </c>
      <c r="BV266" s="1" t="b">
        <f t="shared" si="189"/>
        <v>1</v>
      </c>
      <c r="BW266" s="1">
        <f t="shared" si="190"/>
        <v>414.5625</v>
      </c>
      <c r="BX266" s="75">
        <f t="shared" si="179"/>
        <v>0.37036999999999998</v>
      </c>
      <c r="BY266" s="58">
        <f t="shared" si="191"/>
        <v>235.2</v>
      </c>
      <c r="BZ266" s="58">
        <f t="shared" si="192"/>
        <v>0</v>
      </c>
      <c r="CA266" s="61">
        <v>402</v>
      </c>
      <c r="CB266" s="102">
        <f t="shared" si="193"/>
        <v>0.48499999999999999</v>
      </c>
      <c r="CC266" s="105">
        <f>IF(CB266&lt;0.06,1,IF(CB266&gt;=18.29,52,MATCH(CB266-0.001,'Weighting Factors'!$W$5:$W$156)+1))</f>
        <v>25</v>
      </c>
      <c r="CD266" s="24">
        <f>VLOOKUP(CC266, 'Weighting Factors'!$U$5:$X$56,4)</f>
        <v>1090</v>
      </c>
      <c r="CE266" s="109">
        <f>('Weighting Factors'!$O$5/'Weighting Factors'!$O$14)</f>
        <v>1.2216</v>
      </c>
      <c r="CF266" s="100">
        <f t="shared" si="194"/>
        <v>212550</v>
      </c>
      <c r="CG266" s="100">
        <f>CF266*'Weighting Factors'!$Q$7</f>
        <v>212550</v>
      </c>
      <c r="CH266" s="100">
        <f t="shared" si="180"/>
        <v>259651</v>
      </c>
      <c r="CI266" s="58">
        <f>AK266/'Weighting Factors'!$O$5</f>
        <v>51</v>
      </c>
      <c r="CJ266" s="67">
        <v>0</v>
      </c>
      <c r="CK266" s="80">
        <v>0</v>
      </c>
      <c r="CL266" s="110">
        <v>0</v>
      </c>
      <c r="CM266" s="24">
        <f>SUM((AR266*'Weighting Factors'!$O$5)+'2024 Legal Max'!AX266)*CL266</f>
        <v>0</v>
      </c>
      <c r="CN266" s="24">
        <f t="shared" si="181"/>
        <v>0</v>
      </c>
      <c r="CO266" s="65">
        <f t="shared" si="182"/>
        <v>0.43630000000000002</v>
      </c>
      <c r="CP266" s="58">
        <f t="shared" si="195"/>
        <v>0</v>
      </c>
      <c r="CQ266" s="58">
        <f t="shared" si="196"/>
        <v>16.100000000000001</v>
      </c>
      <c r="CR266" s="58">
        <f t="shared" si="197"/>
        <v>1189.7</v>
      </c>
      <c r="CS266" s="24">
        <f>'Required Transfers'!L266</f>
        <v>215315</v>
      </c>
      <c r="CT266" s="24">
        <f>'Required Transfers'!O266</f>
        <v>0</v>
      </c>
      <c r="CU266" s="24">
        <f>'Required Transfers'!H266</f>
        <v>740304</v>
      </c>
      <c r="CV266" s="58">
        <f t="shared" si="198"/>
        <v>605.29999999999995</v>
      </c>
      <c r="CW266" s="27" t="s">
        <v>451</v>
      </c>
    </row>
    <row r="267" spans="1:101" ht="15.75" customHeight="1">
      <c r="A267" s="54">
        <v>487</v>
      </c>
      <c r="B267" s="1" t="s">
        <v>87</v>
      </c>
      <c r="C267" s="1" t="s">
        <v>771</v>
      </c>
      <c r="D267" s="58">
        <v>410</v>
      </c>
      <c r="E267" s="58"/>
      <c r="F267" s="58">
        <v>0</v>
      </c>
      <c r="G267" s="58">
        <f t="shared" si="199"/>
        <v>410</v>
      </c>
      <c r="H267" s="58">
        <v>394</v>
      </c>
      <c r="I267" s="58"/>
      <c r="J267" s="58">
        <v>0</v>
      </c>
      <c r="K267" s="58">
        <f t="shared" si="200"/>
        <v>394</v>
      </c>
      <c r="L267" s="1">
        <v>407.5</v>
      </c>
      <c r="N267" s="1">
        <v>0</v>
      </c>
      <c r="O267" s="58">
        <f t="shared" si="201"/>
        <v>407.5</v>
      </c>
      <c r="P267" s="58">
        <f>IF(ISNA(VLOOKUP($CW267,'Audit Values'!$A:$BZ,2,FALSE)),'Preliminary SO66'!C266,VLOOKUP($CW267,'Audit Values'!$A:$BZ,76,FALSE))</f>
        <v>379.1</v>
      </c>
      <c r="Q267" s="58">
        <f>IF(ISNA(VLOOKUP($CW267,'Audit Values'!$A:$BZ,2,FALSE)),'Preliminary SO66'!F266,VLOOKUP($CW267,'Audit Values'!$A:$BZ,4,FALSE))</f>
        <v>0</v>
      </c>
      <c r="R267" s="58">
        <f t="shared" si="169"/>
        <v>379.1</v>
      </c>
      <c r="S267" s="58">
        <f>IF('Military Provision'!I267="YES", MAX('2024 Legal Max'!O267,'2024 Legal Max'!K267,AVERAGE('2024 Legal Max'!G267,'2024 Legal Max'!K267,'2024 Legal Max'!O267)), MAX(O267, K267))</f>
        <v>407.5</v>
      </c>
      <c r="T267" s="58">
        <f>IF(ISNA(VLOOKUP($CW267,'Audit Values'!$A:$BX,2,FALSE)),'Preliminary SO66'!AL266,VLOOKUP($CW267,'Audit Values'!$A:$BX,59,FALSE))</f>
        <v>8</v>
      </c>
      <c r="U267" s="58">
        <f t="shared" si="170"/>
        <v>415.5</v>
      </c>
      <c r="V267" s="58">
        <f>'Low-High ENRL- 2023 HSubSB 113'!N270</f>
        <v>184.9</v>
      </c>
      <c r="W267" s="58">
        <f>IF(ISNA(VLOOKUP($CW267,'Audit Values'!$A:$BZ,2,FALSE)),'Preliminary SO66'!AM266,VLOOKUP($CW267,'Audit Values'!$A:$BZ,63,FALSE))</f>
        <v>0</v>
      </c>
      <c r="X267" s="58">
        <f>(W267/6)*'Weighting Factors'!$O$7</f>
        <v>0</v>
      </c>
      <c r="Y267" s="61">
        <f>IF(ISNA(VLOOKUP($CW267,'Audit Values'!$A:$BZ,2,FALSE)),'Preliminary SO66'!AN266,VLOOKUP($CW267,'Audit Values'!$A:$BZ,62,FALSE))</f>
        <v>6</v>
      </c>
      <c r="Z267" s="58">
        <f>Y267*'Weighting Factors'!$O$8</f>
        <v>1.1000000000000001</v>
      </c>
      <c r="AA267" s="58">
        <f t="shared" si="171"/>
        <v>1.1000000000000001</v>
      </c>
      <c r="AB267" s="106">
        <f>IF(ISNA(VLOOKUP($CW267,'Audit Values'!$A:$BZ,2,FALSE)),'Preliminary SO66'!AO266,VLOOKUP($CW267,'Audit Values'!$A:$BZ,61,FALSE))</f>
        <v>155.1</v>
      </c>
      <c r="AC267" s="58">
        <f>AB267/6*'Weighting Factors'!$O$6</f>
        <v>12.9</v>
      </c>
      <c r="AD267" s="24">
        <f>IF(ISNA(VLOOKUP($CW267,'Audit Values'!$A:$BX,2,FALSE)),'Preliminary SO66'!AS266,VLOOKUP($CW267,'Audit Values'!$A:$BX,64,FALSE))</f>
        <v>397</v>
      </c>
      <c r="AE267" s="24">
        <f>IF(ISNA(VLOOKUP($CW267,'Audit Values'!$A:$BX,2,FALSE)),'Preliminary SO66'!AP266,VLOOKUP($CW267,'Audit Values'!$A:$BX,65,FALSE))</f>
        <v>250</v>
      </c>
      <c r="AF267" s="58">
        <f>IF(A267=207, AE267,(AE267))*'Weighting Factors'!$O$9</f>
        <v>121</v>
      </c>
      <c r="AG267" s="58">
        <f t="shared" si="168"/>
        <v>26.3</v>
      </c>
      <c r="AH267" s="58">
        <f>IF(ISNA(VLOOKUP($CW267,'Audit Values'!$A:$BZ,2,FALSE)),'Preliminary SO66'!AG266,VLOOKUP($CW267,'Audit Values'!$A:$BZ,71,FALSE))</f>
        <v>26.3</v>
      </c>
      <c r="AI267" s="58">
        <f t="shared" si="172"/>
        <v>26.3</v>
      </c>
      <c r="AJ267" s="58">
        <f>IF(ISNA(VLOOKUP($CW267,'Audit Values'!$A:$BX,2,FALSE)),'Preliminary SO66'!AR266,VLOOKUP($CW267,'Audit Values'!$A:$BX,66,FALSE))</f>
        <v>25</v>
      </c>
      <c r="AK267" s="24">
        <f t="shared" si="173"/>
        <v>37564</v>
      </c>
      <c r="AL267" s="58">
        <f>AK267/'Weighting Factors'!$O$5</f>
        <v>7.4</v>
      </c>
      <c r="AM267" s="58">
        <f>CJ267/'Weighting Factors'!$O$5</f>
        <v>0</v>
      </c>
      <c r="AN267" s="58">
        <f>CN267/'Weighting Factors'!$O$5</f>
        <v>0</v>
      </c>
      <c r="AO267" s="24">
        <v>474126</v>
      </c>
      <c r="AP267" s="58">
        <f>AO267/'Weighting Factors'!$O$5</f>
        <v>93.2</v>
      </c>
      <c r="AQ267" s="58">
        <f>IF(ISNA(VLOOKUP($CW267,'Audit Values'!$A:$BX,2,FALSE)),'Preliminary SO66'!X266,VLOOKUP($CW267,'Audit Values'!$A:$BX,48,FALSE))</f>
        <v>0</v>
      </c>
      <c r="AR267" s="58">
        <f t="shared" si="202"/>
        <v>862.3</v>
      </c>
      <c r="AS267" s="58">
        <f t="shared" si="203"/>
        <v>769.1</v>
      </c>
      <c r="AT267" s="58">
        <f>IF(ISNA(VLOOKUP($CW267,'Audit Values'!$A$2:$BX$410,2,FALSE)),'Preliminary SO66'!AA266,VLOOKUP($CW267,'Audit Values'!$A$2:$BX$410,41,FALSE))</f>
        <v>7</v>
      </c>
      <c r="AU267" s="58">
        <f>IF(ISNA(VLOOKUP($CW267,'Audit Values'!$A$2:$BX$410,2,FALSE)),'Preliminary SO66'!AB266,VLOOKUP($CW267,'Audit Values'!$A$2:$BX$410,42,FALSE))</f>
        <v>1.7</v>
      </c>
      <c r="AV267" s="73">
        <v>1.5</v>
      </c>
      <c r="AW267" s="73">
        <v>0</v>
      </c>
      <c r="AX267" s="24">
        <f>SUM(AT267*'Weighting Factors'!$R$10)+('2024 Legal Max'!AU267*'Weighting Factors'!$R$11)+('2024 Legal Max'!AV267*'Weighting Factors'!$R$12)+('2024 Legal Max'!AW267*'Weighting Factors'!$R$12)</f>
        <v>45024</v>
      </c>
      <c r="AY267" s="54">
        <f>IF(ISNA(VLOOKUP($CW267,'Audit Values'!$A$2:$BX$429,2,FALSE)),"",IF(AND('Weighting Factors'!G267&gt;0,VLOOKUP($CW267,'Audit Values'!$A$2:$BX$429,51,FALSE)&lt;'Weighting Factors'!G267),'Weighting Factors'!G267,VLOOKUP($CW267,'Audit Values'!$A$2:$BX$429,51,FALSE)))</f>
        <v>16</v>
      </c>
      <c r="AZ267" s="54" t="str">
        <f>IF(ISNA(VLOOKUP($CW267,'Audit Values'!$A:$BY,2,FALSE)),"",VLOOKUP($CW267,'Audit Values'!$A:$BY,52,FALSE))</f>
        <v>A</v>
      </c>
      <c r="BA267" s="54" t="str">
        <f>IF('Weighting Factors'!F267="","",IF('Weighting Factors'!H267="Pending","PX","R"))</f>
        <v/>
      </c>
      <c r="BB267" s="60">
        <f>SUM((U267+V267+AA267+AC267+AF267+AI267+AL267+AM267+AQ267+AN267)*'Weighting Factors'!$O$5)+'2024 Legal Max'!AX267</f>
        <v>3958205</v>
      </c>
      <c r="BC267" s="24">
        <f>SUM((AR267+AN267)*'Weighting Factors'!$O$5)+AX267</f>
        <v>4432406</v>
      </c>
      <c r="BD267" s="67">
        <f>IF('Weighting Factors'!F267&gt;0,'Weighting Factors'!F267,'Preliminary SO66'!AV266)</f>
        <v>4665715</v>
      </c>
      <c r="BE267" s="24">
        <f t="shared" si="174"/>
        <v>4432406</v>
      </c>
      <c r="BF267" s="71">
        <f>'Weighting Factors'!E267</f>
        <v>0</v>
      </c>
      <c r="BG267" s="71">
        <f>Transportation!G267</f>
        <v>0</v>
      </c>
      <c r="BH267" s="24">
        <f>IF(ISNA(VLOOKUP($CW267,'Audit Values'!$A:$BW,2,FALSE)), 0, VLOOKUP($CW267,'Audit Values'!$A:$BW,75,FALSE))</f>
        <v>0</v>
      </c>
      <c r="BI267" s="24">
        <f t="shared" si="175"/>
        <v>0</v>
      </c>
      <c r="BJ267" s="24">
        <f t="shared" si="176"/>
        <v>4432406</v>
      </c>
      <c r="BK267" s="24">
        <f>SUM((U267+V267+AA267+AC267+AF267+AI267+AL267+AM267+AN267)*'Weighting Factors'!O$12)+(MAX(AO267,'Weighting Factors'!B267))</f>
        <v>4441144</v>
      </c>
      <c r="BL267" s="78">
        <f>'LOB%'!F265</f>
        <v>0.33</v>
      </c>
      <c r="BM267" s="24">
        <f t="shared" si="183"/>
        <v>1465578</v>
      </c>
      <c r="BN267" s="67">
        <v>1536532</v>
      </c>
      <c r="BO267" s="24">
        <f t="shared" si="177"/>
        <v>1465578</v>
      </c>
      <c r="BP267" s="89">
        <f t="shared" si="184"/>
        <v>0.33</v>
      </c>
      <c r="BQ267" s="58">
        <f t="shared" si="185"/>
        <v>0</v>
      </c>
      <c r="BR267" s="1" t="b">
        <f t="shared" si="186"/>
        <v>0</v>
      </c>
      <c r="BS267" s="76">
        <f t="shared" si="187"/>
        <v>0</v>
      </c>
      <c r="BT267" s="75">
        <f t="shared" si="178"/>
        <v>0</v>
      </c>
      <c r="BU267" s="58">
        <f t="shared" si="188"/>
        <v>0</v>
      </c>
      <c r="BV267" s="1" t="b">
        <f t="shared" si="189"/>
        <v>1</v>
      </c>
      <c r="BW267" s="1">
        <f t="shared" si="190"/>
        <v>142.93129999999999</v>
      </c>
      <c r="BX267" s="75">
        <f t="shared" si="179"/>
        <v>0.44494499999999998</v>
      </c>
      <c r="BY267" s="58">
        <f t="shared" si="191"/>
        <v>184.9</v>
      </c>
      <c r="BZ267" s="58">
        <f t="shared" si="192"/>
        <v>0</v>
      </c>
      <c r="CA267" s="61">
        <v>93.7</v>
      </c>
      <c r="CB267" s="102">
        <f t="shared" si="193"/>
        <v>0.26700000000000002</v>
      </c>
      <c r="CC267" s="105">
        <f>IF(CB267&lt;0.06,1,IF(CB267&gt;=18.29,52,MATCH(CB267-0.001,'Weighting Factors'!$W$5:$W$156)+1))</f>
        <v>18</v>
      </c>
      <c r="CD267" s="24">
        <f>VLOOKUP(CC267, 'Weighting Factors'!$U$5:$X$56,4)</f>
        <v>1230</v>
      </c>
      <c r="CE267" s="109">
        <f>('Weighting Factors'!$O$5/'Weighting Factors'!$O$14)</f>
        <v>1.2216</v>
      </c>
      <c r="CF267" s="100">
        <f t="shared" si="194"/>
        <v>30750</v>
      </c>
      <c r="CG267" s="100">
        <f>CF267*'Weighting Factors'!$Q$7</f>
        <v>30750</v>
      </c>
      <c r="CH267" s="100">
        <f t="shared" si="180"/>
        <v>37564</v>
      </c>
      <c r="CI267" s="58">
        <f>AK267/'Weighting Factors'!$O$5</f>
        <v>7.4</v>
      </c>
      <c r="CJ267" s="67">
        <v>0</v>
      </c>
      <c r="CK267" s="80">
        <v>0</v>
      </c>
      <c r="CL267" s="110">
        <v>0</v>
      </c>
      <c r="CM267" s="24">
        <f>SUM((AR267*'Weighting Factors'!$O$5)+'2024 Legal Max'!AX267)*CL267</f>
        <v>0</v>
      </c>
      <c r="CN267" s="24">
        <f t="shared" si="181"/>
        <v>0</v>
      </c>
      <c r="CO267" s="65">
        <f t="shared" si="182"/>
        <v>0.62970000000000004</v>
      </c>
      <c r="CP267" s="58">
        <f t="shared" si="195"/>
        <v>26.3</v>
      </c>
      <c r="CQ267" s="58">
        <f t="shared" si="196"/>
        <v>0</v>
      </c>
      <c r="CR267" s="58">
        <f t="shared" si="197"/>
        <v>862.3</v>
      </c>
      <c r="CS267" s="24">
        <f>'Required Transfers'!L267</f>
        <v>207526</v>
      </c>
      <c r="CT267" s="24">
        <f>'Required Transfers'!O267</f>
        <v>1905</v>
      </c>
      <c r="CU267" s="24">
        <f>'Required Transfers'!H267</f>
        <v>749462</v>
      </c>
      <c r="CV267" s="58">
        <f t="shared" si="198"/>
        <v>396.1</v>
      </c>
      <c r="CW267" s="27" t="s">
        <v>452</v>
      </c>
    </row>
    <row r="268" spans="1:101" ht="15" customHeight="1">
      <c r="A268" s="54">
        <v>489</v>
      </c>
      <c r="B268" s="1" t="s">
        <v>84</v>
      </c>
      <c r="C268" s="1" t="s">
        <v>772</v>
      </c>
      <c r="D268" s="58">
        <v>3055.8</v>
      </c>
      <c r="E268" s="58">
        <v>3</v>
      </c>
      <c r="F268" s="58">
        <v>0</v>
      </c>
      <c r="G268" s="58">
        <f t="shared" si="199"/>
        <v>3052.8</v>
      </c>
      <c r="H268" s="58">
        <v>3065.4</v>
      </c>
      <c r="I268" s="58">
        <v>1</v>
      </c>
      <c r="J268" s="58">
        <v>0</v>
      </c>
      <c r="K268" s="58">
        <f t="shared" si="200"/>
        <v>3064.4</v>
      </c>
      <c r="L268" s="1">
        <v>3109.4</v>
      </c>
      <c r="N268" s="1">
        <v>0</v>
      </c>
      <c r="O268" s="58">
        <f t="shared" si="201"/>
        <v>3109.4</v>
      </c>
      <c r="P268" s="58">
        <f>IF(ISNA(VLOOKUP($CW268,'Audit Values'!$A:$BZ,2,FALSE)),'Preliminary SO66'!C267,VLOOKUP($CW268,'Audit Values'!$A:$BZ,76,FALSE))</f>
        <v>3105.1</v>
      </c>
      <c r="Q268" s="58">
        <f>IF(ISNA(VLOOKUP($CW268,'Audit Values'!$A:$BZ,2,FALSE)),'Preliminary SO66'!F267,VLOOKUP($CW268,'Audit Values'!$A:$BZ,4,FALSE))</f>
        <v>0</v>
      </c>
      <c r="R268" s="58">
        <f t="shared" si="169"/>
        <v>3105.1</v>
      </c>
      <c r="S268" s="58">
        <f>IF('Military Provision'!I268="YES", MAX('2024 Legal Max'!O268,'2024 Legal Max'!K268,AVERAGE('2024 Legal Max'!G268,'2024 Legal Max'!K268,'2024 Legal Max'!O268)), MAX(O268, K268))</f>
        <v>3109.4</v>
      </c>
      <c r="T268" s="58">
        <f>IF(ISNA(VLOOKUP($CW268,'Audit Values'!$A:$BX,2,FALSE)),'Preliminary SO66'!AL267,VLOOKUP($CW268,'Audit Values'!$A:$BX,59,FALSE))</f>
        <v>43</v>
      </c>
      <c r="U268" s="58">
        <f t="shared" si="170"/>
        <v>3152.4</v>
      </c>
      <c r="V268" s="58">
        <f>'Low-High ENRL- 2023 HSubSB 113'!N271</f>
        <v>110.5</v>
      </c>
      <c r="W268" s="58">
        <f>IF(ISNA(VLOOKUP($CW268,'Audit Values'!$A:$BZ,2,FALSE)),'Preliminary SO66'!AM267,VLOOKUP($CW268,'Audit Values'!$A:$BZ,63,FALSE))</f>
        <v>490.4</v>
      </c>
      <c r="X268" s="58">
        <f>(W268/6)*'Weighting Factors'!$O$7</f>
        <v>32.299999999999997</v>
      </c>
      <c r="Y268" s="61">
        <f>IF(ISNA(VLOOKUP($CW268,'Audit Values'!$A:$BZ,2,FALSE)),'Preliminary SO66'!AN267,VLOOKUP($CW268,'Audit Values'!$A:$BZ,62,FALSE))</f>
        <v>158</v>
      </c>
      <c r="Z268" s="58">
        <f>Y268*'Weighting Factors'!$O$8</f>
        <v>29.2</v>
      </c>
      <c r="AA268" s="58">
        <f t="shared" si="171"/>
        <v>32.299999999999997</v>
      </c>
      <c r="AB268" s="106">
        <f>IF(ISNA(VLOOKUP($CW268,'Audit Values'!$A:$BZ,2,FALSE)),'Preliminary SO66'!AO267,VLOOKUP($CW268,'Audit Values'!$A:$BZ,61,FALSE))</f>
        <v>808.7</v>
      </c>
      <c r="AC268" s="58">
        <f>AB268/6*'Weighting Factors'!$O$6</f>
        <v>67.400000000000006</v>
      </c>
      <c r="AD268" s="24">
        <f>IF(ISNA(VLOOKUP($CW268,'Audit Values'!$A:$BX,2,FALSE)),'Preliminary SO66'!AS267,VLOOKUP($CW268,'Audit Values'!$A:$BX,64,FALSE))</f>
        <v>3245</v>
      </c>
      <c r="AE268" s="24">
        <f>IF(ISNA(VLOOKUP($CW268,'Audit Values'!$A:$BX,2,FALSE)),'Preliminary SO66'!AP267,VLOOKUP($CW268,'Audit Values'!$A:$BX,65,FALSE))</f>
        <v>1156</v>
      </c>
      <c r="AF268" s="58">
        <f>IF(A268=207, AE268,(AE268))*'Weighting Factors'!$O$9</f>
        <v>559.5</v>
      </c>
      <c r="AG268" s="58">
        <f t="shared" si="168"/>
        <v>5</v>
      </c>
      <c r="AH268" s="58">
        <f>IF(ISNA(VLOOKUP($CW268,'Audit Values'!$A:$BZ,2,FALSE)),'Preliminary SO66'!AG267,VLOOKUP($CW268,'Audit Values'!$A:$BZ,71,FALSE))</f>
        <v>16.100000000000001</v>
      </c>
      <c r="AI268" s="58">
        <f t="shared" si="172"/>
        <v>16.100000000000001</v>
      </c>
      <c r="AJ268" s="58">
        <f>IF(ISNA(VLOOKUP($CW268,'Audit Values'!$A:$BX,2,FALSE)),'Preliminary SO66'!AR267,VLOOKUP($CW268,'Audit Values'!$A:$BX,66,FALSE))</f>
        <v>721</v>
      </c>
      <c r="AK268" s="24">
        <f t="shared" si="173"/>
        <v>748658</v>
      </c>
      <c r="AL268" s="58">
        <f>AK268/'Weighting Factors'!$O$5</f>
        <v>147.1</v>
      </c>
      <c r="AM268" s="58">
        <f>CJ268/'Weighting Factors'!$O$5</f>
        <v>0</v>
      </c>
      <c r="AN268" s="58">
        <f>CN268/'Weighting Factors'!$O$5</f>
        <v>0</v>
      </c>
      <c r="AO268" s="24">
        <v>3691786</v>
      </c>
      <c r="AP268" s="58">
        <f>AO268/'Weighting Factors'!$O$5</f>
        <v>725.6</v>
      </c>
      <c r="AQ268" s="58">
        <f>IF(ISNA(VLOOKUP($CW268,'Audit Values'!$A:$BX,2,FALSE)),'Preliminary SO66'!X267,VLOOKUP($CW268,'Audit Values'!$A:$BX,48,FALSE))</f>
        <v>3</v>
      </c>
      <c r="AR268" s="58">
        <f t="shared" si="202"/>
        <v>4813.8999999999996</v>
      </c>
      <c r="AS268" s="58">
        <f t="shared" si="203"/>
        <v>4088.3</v>
      </c>
      <c r="AT268" s="58">
        <f>IF(ISNA(VLOOKUP($CW268,'Audit Values'!$A$2:$BX$410,2,FALSE)),'Preliminary SO66'!AA267,VLOOKUP($CW268,'Audit Values'!$A$2:$BX$410,41,FALSE))</f>
        <v>37</v>
      </c>
      <c r="AU268" s="58">
        <f>IF(ISNA(VLOOKUP($CW268,'Audit Values'!$A$2:$BX$410,2,FALSE)),'Preliminary SO66'!AB267,VLOOKUP($CW268,'Audit Values'!$A$2:$BX$410,42,FALSE))</f>
        <v>26.4</v>
      </c>
      <c r="AV268" s="73">
        <v>23.5</v>
      </c>
      <c r="AW268" s="73">
        <v>1</v>
      </c>
      <c r="AX268" s="24">
        <f>SUM(AT268*'Weighting Factors'!$R$10)+('2024 Legal Max'!AU268*'Weighting Factors'!$R$11)+('2024 Legal Max'!AV268*'Weighting Factors'!$R$12)+('2024 Legal Max'!AW268*'Weighting Factors'!$R$12)</f>
        <v>298491</v>
      </c>
      <c r="AY268" s="54">
        <f>IF(ISNA(VLOOKUP($CW268,'Audit Values'!$A$2:$BX$429,2,FALSE)),"",IF(AND('Weighting Factors'!G268&gt;0,VLOOKUP($CW268,'Audit Values'!$A$2:$BX$429,51,FALSE)&lt;'Weighting Factors'!G268),'Weighting Factors'!G268,VLOOKUP($CW268,'Audit Values'!$A$2:$BX$429,51,FALSE)))</f>
        <v>14</v>
      </c>
      <c r="AZ268" s="54" t="str">
        <f>IF(ISNA(VLOOKUP($CW268,'Audit Values'!$A:$BY,2,FALSE)),"",VLOOKUP($CW268,'Audit Values'!$A:$BY,52,FALSE))</f>
        <v>A</v>
      </c>
      <c r="BA268" s="54" t="str">
        <f>IF('Weighting Factors'!F268="","",IF('Weighting Factors'!H268="Pending","PX","R"))</f>
        <v>R</v>
      </c>
      <c r="BB268" s="60">
        <f>SUM((U268+V268+AA268+AC268+AF268+AI268+AL268+AM268+AQ268+AN268)*'Weighting Factors'!$O$5)+'2024 Legal Max'!AX268</f>
        <v>21099761</v>
      </c>
      <c r="BC268" s="24">
        <f>SUM((AR268+AN268)*'Weighting Factors'!$O$5)+AX268</f>
        <v>24791614</v>
      </c>
      <c r="BD268" s="67">
        <f>IF('Weighting Factors'!F268&gt;0,'Weighting Factors'!F268,'Preliminary SO66'!AV267)</f>
        <v>25027017</v>
      </c>
      <c r="BE268" s="24">
        <f t="shared" si="174"/>
        <v>24791614</v>
      </c>
      <c r="BF268" s="71">
        <f>'Weighting Factors'!E268</f>
        <v>0</v>
      </c>
      <c r="BG268" s="71">
        <f>Transportation!G268</f>
        <v>0</v>
      </c>
      <c r="BH268" s="24">
        <f>IF(ISNA(VLOOKUP($CW268,'Audit Values'!$A:$BW,2,FALSE)), 0, VLOOKUP($CW268,'Audit Values'!$A:$BW,75,FALSE))</f>
        <v>-9072</v>
      </c>
      <c r="BI268" s="24">
        <f t="shared" si="175"/>
        <v>-9072</v>
      </c>
      <c r="BJ268" s="24">
        <f t="shared" si="176"/>
        <v>24782542</v>
      </c>
      <c r="BK268" s="24">
        <f>SUM((U268+V268+AA268+AC268+AF268+AI268+AL268+AM268+AN268)*'Weighting Factors'!O$12)+(MAX(AO268,'Weighting Factors'!B268))</f>
        <v>24763763</v>
      </c>
      <c r="BL268" s="78">
        <f>'LOB%'!F266</f>
        <v>0.316</v>
      </c>
      <c r="BM268" s="24">
        <f t="shared" si="183"/>
        <v>7825349</v>
      </c>
      <c r="BN268" s="67">
        <v>7748375</v>
      </c>
      <c r="BO268" s="24">
        <f t="shared" si="177"/>
        <v>7748375</v>
      </c>
      <c r="BP268" s="89">
        <f t="shared" si="184"/>
        <v>0.31290000000000001</v>
      </c>
      <c r="BQ268" s="58">
        <f t="shared" si="185"/>
        <v>0</v>
      </c>
      <c r="BR268" s="1" t="b">
        <f t="shared" si="186"/>
        <v>0</v>
      </c>
      <c r="BS268" s="76">
        <f t="shared" si="187"/>
        <v>0</v>
      </c>
      <c r="BT268" s="75">
        <f t="shared" si="178"/>
        <v>0</v>
      </c>
      <c r="BU268" s="58">
        <f t="shared" si="188"/>
        <v>0</v>
      </c>
      <c r="BV268" s="1" t="b">
        <f t="shared" si="189"/>
        <v>0</v>
      </c>
      <c r="BW268" s="1">
        <f t="shared" si="190"/>
        <v>0</v>
      </c>
      <c r="BX268" s="75">
        <f t="shared" si="179"/>
        <v>0</v>
      </c>
      <c r="BY268" s="58">
        <f t="shared" si="191"/>
        <v>0</v>
      </c>
      <c r="BZ268" s="58">
        <f t="shared" si="192"/>
        <v>110.5</v>
      </c>
      <c r="CA268" s="61">
        <v>380.5</v>
      </c>
      <c r="CB268" s="102">
        <f t="shared" si="193"/>
        <v>1.895</v>
      </c>
      <c r="CC268" s="105">
        <f>IF(CB268&lt;0.06,1,IF(CB268&gt;=18.29,52,MATCH(CB268-0.001,'Weighting Factors'!$W$5:$W$156)+1))</f>
        <v>37</v>
      </c>
      <c r="CD268" s="24">
        <f>VLOOKUP(CC268, 'Weighting Factors'!$U$5:$X$56,4)</f>
        <v>850</v>
      </c>
      <c r="CE268" s="109">
        <f>('Weighting Factors'!$O$5/'Weighting Factors'!$O$14)</f>
        <v>1.2216</v>
      </c>
      <c r="CF268" s="100">
        <f t="shared" si="194"/>
        <v>612850</v>
      </c>
      <c r="CG268" s="100">
        <f>CF268*'Weighting Factors'!$Q$7</f>
        <v>612850</v>
      </c>
      <c r="CH268" s="100">
        <f t="shared" si="180"/>
        <v>748658</v>
      </c>
      <c r="CI268" s="58">
        <f>AK268/'Weighting Factors'!$O$5</f>
        <v>147.1</v>
      </c>
      <c r="CJ268" s="67">
        <v>0</v>
      </c>
      <c r="CK268" s="80">
        <v>0</v>
      </c>
      <c r="CL268" s="110">
        <v>0</v>
      </c>
      <c r="CM268" s="24">
        <f>SUM((AR268*'Weighting Factors'!$O$5)+'2024 Legal Max'!AX268)*CL268</f>
        <v>0</v>
      </c>
      <c r="CN268" s="24">
        <f t="shared" si="181"/>
        <v>0</v>
      </c>
      <c r="CO268" s="65">
        <f t="shared" si="182"/>
        <v>0.35620000000000002</v>
      </c>
      <c r="CP268" s="58">
        <f t="shared" si="195"/>
        <v>0</v>
      </c>
      <c r="CQ268" s="58">
        <f t="shared" si="196"/>
        <v>5</v>
      </c>
      <c r="CR268" s="58">
        <f t="shared" si="197"/>
        <v>4813.8999999999996</v>
      </c>
      <c r="CS268" s="24">
        <f>'Required Transfers'!L268</f>
        <v>908884</v>
      </c>
      <c r="CT268" s="24">
        <f>'Required Transfers'!O268</f>
        <v>52689</v>
      </c>
      <c r="CU268" s="24">
        <f>'Required Transfers'!H268</f>
        <v>2928653</v>
      </c>
      <c r="CV268" s="58">
        <f t="shared" si="198"/>
        <v>3215.6</v>
      </c>
      <c r="CW268" s="27" t="s">
        <v>453</v>
      </c>
    </row>
    <row r="269" spans="1:101" ht="15" customHeight="1">
      <c r="A269" s="54">
        <v>490</v>
      </c>
      <c r="B269" s="1" t="s">
        <v>10</v>
      </c>
      <c r="C269" s="1" t="s">
        <v>773</v>
      </c>
      <c r="D269" s="58">
        <v>1799</v>
      </c>
      <c r="E269" s="58"/>
      <c r="F269" s="58">
        <v>0</v>
      </c>
      <c r="G269" s="58">
        <f t="shared" si="199"/>
        <v>1799</v>
      </c>
      <c r="H269" s="58">
        <v>1723</v>
      </c>
      <c r="I269" s="58"/>
      <c r="J269" s="58">
        <v>0</v>
      </c>
      <c r="K269" s="58">
        <f t="shared" si="200"/>
        <v>1723</v>
      </c>
      <c r="L269" s="1">
        <v>1740</v>
      </c>
      <c r="N269" s="1">
        <v>0</v>
      </c>
      <c r="O269" s="58">
        <f t="shared" si="201"/>
        <v>1740</v>
      </c>
      <c r="P269" s="58">
        <f>IF(ISNA(VLOOKUP($CW269,'Audit Values'!$A:$BZ,2,FALSE)),'Preliminary SO66'!C268,VLOOKUP($CW269,'Audit Values'!$A:$BZ,76,FALSE))</f>
        <v>1710.1</v>
      </c>
      <c r="Q269" s="58">
        <f>IF(ISNA(VLOOKUP($CW269,'Audit Values'!$A:$BZ,2,FALSE)),'Preliminary SO66'!F268,VLOOKUP($CW269,'Audit Values'!$A:$BZ,4,FALSE))</f>
        <v>0</v>
      </c>
      <c r="R269" s="58">
        <f t="shared" si="169"/>
        <v>1710.1</v>
      </c>
      <c r="S269" s="58">
        <f>IF('Military Provision'!I269="YES", MAX('2024 Legal Max'!O269,'2024 Legal Max'!K269,AVERAGE('2024 Legal Max'!G269,'2024 Legal Max'!K269,'2024 Legal Max'!O269)), MAX(O269, K269))</f>
        <v>1740</v>
      </c>
      <c r="T269" s="58">
        <f>IF(ISNA(VLOOKUP($CW269,'Audit Values'!$A:$BX,2,FALSE)),'Preliminary SO66'!AL268,VLOOKUP($CW269,'Audit Values'!$A:$BX,59,FALSE))</f>
        <v>32</v>
      </c>
      <c r="U269" s="58">
        <f t="shared" si="170"/>
        <v>1772</v>
      </c>
      <c r="V269" s="58">
        <f>'Low-High ENRL- 2023 HSubSB 113'!N272</f>
        <v>62.1</v>
      </c>
      <c r="W269" s="58">
        <f>IF(ISNA(VLOOKUP($CW269,'Audit Values'!$A:$BZ,2,FALSE)),'Preliminary SO66'!AM268,VLOOKUP($CW269,'Audit Values'!$A:$BZ,63,FALSE))</f>
        <v>14.7</v>
      </c>
      <c r="X269" s="58">
        <f>(W269/6)*'Weighting Factors'!$O$7</f>
        <v>1</v>
      </c>
      <c r="Y269" s="61">
        <f>IF(ISNA(VLOOKUP($CW269,'Audit Values'!$A:$BZ,2,FALSE)),'Preliminary SO66'!AN268,VLOOKUP($CW269,'Audit Values'!$A:$BZ,62,FALSE))</f>
        <v>18</v>
      </c>
      <c r="Z269" s="58">
        <f>Y269*'Weighting Factors'!$O$8</f>
        <v>3.3</v>
      </c>
      <c r="AA269" s="58">
        <f t="shared" si="171"/>
        <v>3.3</v>
      </c>
      <c r="AB269" s="106">
        <f>IF(ISNA(VLOOKUP($CW269,'Audit Values'!$A:$BZ,2,FALSE)),'Preliminary SO66'!AO268,VLOOKUP($CW269,'Audit Values'!$A:$BZ,61,FALSE))</f>
        <v>253.7</v>
      </c>
      <c r="AC269" s="58">
        <f>AB269/6*'Weighting Factors'!$O$6</f>
        <v>21.1</v>
      </c>
      <c r="AD269" s="24">
        <f>IF(ISNA(VLOOKUP($CW269,'Audit Values'!$A:$BX,2,FALSE)),'Preliminary SO66'!AS268,VLOOKUP($CW269,'Audit Values'!$A:$BX,64,FALSE))</f>
        <v>1794</v>
      </c>
      <c r="AE269" s="24">
        <f>IF(ISNA(VLOOKUP($CW269,'Audit Values'!$A:$BX,2,FALSE)),'Preliminary SO66'!AP268,VLOOKUP($CW269,'Audit Values'!$A:$BX,65,FALSE))</f>
        <v>1014</v>
      </c>
      <c r="AF269" s="58">
        <f>IF(A269=207, AE269,(AE269))*'Weighting Factors'!$O$9</f>
        <v>490.8</v>
      </c>
      <c r="AG269" s="58">
        <f t="shared" si="168"/>
        <v>106.5</v>
      </c>
      <c r="AH269" s="58">
        <f>IF(ISNA(VLOOKUP($CW269,'Audit Values'!$A:$BZ,2,FALSE)),'Preliminary SO66'!AG268,VLOOKUP($CW269,'Audit Values'!$A:$BZ,71,FALSE))</f>
        <v>95.9</v>
      </c>
      <c r="AI269" s="58">
        <f t="shared" si="172"/>
        <v>106.5</v>
      </c>
      <c r="AJ269" s="58">
        <f>IF(ISNA(VLOOKUP($CW269,'Audit Values'!$A:$BX,2,FALSE)),'Preliminary SO66'!AR268,VLOOKUP($CW269,'Audit Values'!$A:$BX,66,FALSE))</f>
        <v>626</v>
      </c>
      <c r="AK269" s="24">
        <f t="shared" si="173"/>
        <v>542952</v>
      </c>
      <c r="AL269" s="58">
        <f>AK269/'Weighting Factors'!$O$5</f>
        <v>106.7</v>
      </c>
      <c r="AM269" s="58">
        <f>CJ269/'Weighting Factors'!$O$5</f>
        <v>0</v>
      </c>
      <c r="AN269" s="58">
        <f>CN269/'Weighting Factors'!$O$5</f>
        <v>0</v>
      </c>
      <c r="AO269" s="24">
        <v>1647223</v>
      </c>
      <c r="AP269" s="58">
        <f>AO269/'Weighting Factors'!$O$5</f>
        <v>323.7</v>
      </c>
      <c r="AQ269" s="58">
        <f>IF(ISNA(VLOOKUP($CW269,'Audit Values'!$A:$BX,2,FALSE)),'Preliminary SO66'!X268,VLOOKUP($CW269,'Audit Values'!$A:$BX,48,FALSE))</f>
        <v>0</v>
      </c>
      <c r="AR269" s="58">
        <f t="shared" si="202"/>
        <v>2886.2</v>
      </c>
      <c r="AS269" s="58">
        <f t="shared" si="203"/>
        <v>2562.5</v>
      </c>
      <c r="AT269" s="58">
        <f>IF(ISNA(VLOOKUP($CW269,'Audit Values'!$A$2:$BX$410,2,FALSE)),'Preliminary SO66'!AA268,VLOOKUP($CW269,'Audit Values'!$A$2:$BX$410,41,FALSE))</f>
        <v>10</v>
      </c>
      <c r="AU269" s="58">
        <f>IF(ISNA(VLOOKUP($CW269,'Audit Values'!$A$2:$BX$410,2,FALSE)),'Preliminary SO66'!AB268,VLOOKUP($CW269,'Audit Values'!$A$2:$BX$410,42,FALSE))</f>
        <v>1.1000000000000001</v>
      </c>
      <c r="AV269" s="73">
        <v>14.5</v>
      </c>
      <c r="AW269" s="73">
        <v>0.5</v>
      </c>
      <c r="AX269" s="24">
        <v>69716</v>
      </c>
      <c r="AY269" s="54">
        <f>IF(ISNA(VLOOKUP($CW269,'Audit Values'!$A$2:$BX$429,2,FALSE)),"",IF(AND('Weighting Factors'!G269&gt;0,VLOOKUP($CW269,'Audit Values'!$A$2:$BX$429,51,FALSE)&lt;'Weighting Factors'!G269),'Weighting Factors'!G269,VLOOKUP($CW269,'Audit Values'!$A$2:$BX$429,51,FALSE)))</f>
        <v>25</v>
      </c>
      <c r="AZ269" s="54" t="str">
        <f>IF(ISNA(VLOOKUP($CW269,'Audit Values'!$A:$BY,2,FALSE)),"",VLOOKUP($CW269,'Audit Values'!$A:$BY,52,FALSE))</f>
        <v>A</v>
      </c>
      <c r="BA269" s="54" t="str">
        <f>IF('Weighting Factors'!F269="","",IF('Weighting Factors'!H269="Pending","PX","R"))</f>
        <v/>
      </c>
      <c r="BB269" s="60">
        <f>SUM((U269+V269+AA269+AC269+AF269+AI269+AL269+AM269+AQ269+AN269)*'Weighting Factors'!$O$5)+'2024 Legal Max'!AX269</f>
        <v>13107716</v>
      </c>
      <c r="BC269" s="24">
        <f>SUM((AR269+AN269)*'Weighting Factors'!$O$5)+AX269</f>
        <v>14754702</v>
      </c>
      <c r="BD269" s="67">
        <f>IF('Weighting Factors'!F269&gt;0,'Weighting Factors'!F269,'Preliminary SO66'!AV268)</f>
        <v>14992205</v>
      </c>
      <c r="BE269" s="24">
        <f t="shared" si="174"/>
        <v>14754702</v>
      </c>
      <c r="BF269" s="71">
        <f>'Weighting Factors'!E269</f>
        <v>0</v>
      </c>
      <c r="BG269" s="71">
        <f>Transportation!G269</f>
        <v>0</v>
      </c>
      <c r="BH269" s="24">
        <f>IF(ISNA(VLOOKUP($CW269,'Audit Values'!$A:$BW,2,FALSE)), 0, VLOOKUP($CW269,'Audit Values'!$A:$BW,75,FALSE))</f>
        <v>-709</v>
      </c>
      <c r="BI269" s="24">
        <f t="shared" si="175"/>
        <v>-709</v>
      </c>
      <c r="BJ269" s="24">
        <f t="shared" si="176"/>
        <v>14753993</v>
      </c>
      <c r="BK269" s="24">
        <f>SUM((U269+V269+AA269+AC269+AF269+AI269+AL269+AM269+AN269)*'Weighting Factors'!O$12)+(MAX(AO269,'Weighting Factors'!B269))</f>
        <v>15100777</v>
      </c>
      <c r="BL269" s="78">
        <f>'LOB%'!F267</f>
        <v>0.33</v>
      </c>
      <c r="BM269" s="24">
        <f t="shared" si="183"/>
        <v>4983256</v>
      </c>
      <c r="BN269" s="67">
        <v>4956533</v>
      </c>
      <c r="BO269" s="24">
        <f t="shared" si="177"/>
        <v>4956533</v>
      </c>
      <c r="BP269" s="89">
        <f t="shared" si="184"/>
        <v>0.32819999999999999</v>
      </c>
      <c r="BQ269" s="58">
        <f t="shared" si="185"/>
        <v>0</v>
      </c>
      <c r="BR269" s="1" t="b">
        <f t="shared" si="186"/>
        <v>0</v>
      </c>
      <c r="BS269" s="76">
        <f t="shared" si="187"/>
        <v>0</v>
      </c>
      <c r="BT269" s="75">
        <f t="shared" si="178"/>
        <v>0</v>
      </c>
      <c r="BU269" s="58">
        <f t="shared" si="188"/>
        <v>0</v>
      </c>
      <c r="BV269" s="1" t="b">
        <f t="shared" si="189"/>
        <v>0</v>
      </c>
      <c r="BW269" s="1">
        <f t="shared" si="190"/>
        <v>0</v>
      </c>
      <c r="BX269" s="75">
        <f t="shared" si="179"/>
        <v>0</v>
      </c>
      <c r="BY269" s="58">
        <f t="shared" si="191"/>
        <v>0</v>
      </c>
      <c r="BZ269" s="58">
        <f t="shared" si="192"/>
        <v>62.1</v>
      </c>
      <c r="CA269" s="61">
        <v>128</v>
      </c>
      <c r="CB269" s="102">
        <f t="shared" si="193"/>
        <v>4.891</v>
      </c>
      <c r="CC269" s="105">
        <f>IF(CB269&lt;0.06,1,IF(CB269&gt;=18.29,52,MATCH(CB269-0.001,'Weighting Factors'!$W$5:$W$156)+1))</f>
        <v>44</v>
      </c>
      <c r="CD269" s="24">
        <f>VLOOKUP(CC269, 'Weighting Factors'!$U$5:$X$56,4)</f>
        <v>710</v>
      </c>
      <c r="CE269" s="109">
        <f>('Weighting Factors'!$O$5/'Weighting Factors'!$O$14)</f>
        <v>1.2216</v>
      </c>
      <c r="CF269" s="100">
        <f t="shared" si="194"/>
        <v>444460</v>
      </c>
      <c r="CG269" s="100">
        <f>CF269*'Weighting Factors'!$Q$7</f>
        <v>444460</v>
      </c>
      <c r="CH269" s="100">
        <f t="shared" si="180"/>
        <v>542952</v>
      </c>
      <c r="CI269" s="58">
        <f>AK269/'Weighting Factors'!$O$5</f>
        <v>106.7</v>
      </c>
      <c r="CJ269" s="67">
        <v>0</v>
      </c>
      <c r="CK269" s="80">
        <v>0</v>
      </c>
      <c r="CL269" s="110">
        <v>0</v>
      </c>
      <c r="CM269" s="24">
        <f>SUM((AR269*'Weighting Factors'!$O$5)+'2024 Legal Max'!AX269)*CL269</f>
        <v>0</v>
      </c>
      <c r="CN269" s="24">
        <f t="shared" si="181"/>
        <v>0</v>
      </c>
      <c r="CO269" s="65">
        <f t="shared" si="182"/>
        <v>0.56520000000000004</v>
      </c>
      <c r="CP269" s="58">
        <f t="shared" si="195"/>
        <v>106.5</v>
      </c>
      <c r="CQ269" s="58">
        <f t="shared" si="196"/>
        <v>0</v>
      </c>
      <c r="CR269" s="58">
        <f t="shared" si="197"/>
        <v>2886.2</v>
      </c>
      <c r="CS269" s="24">
        <f>'Required Transfers'!L269</f>
        <v>852524</v>
      </c>
      <c r="CT269" s="24">
        <f>'Required Transfers'!O269</f>
        <v>5948</v>
      </c>
      <c r="CU269" s="24">
        <f>'Required Transfers'!H269</f>
        <v>3039062</v>
      </c>
      <c r="CV269" s="58">
        <f t="shared" si="198"/>
        <v>1755.7</v>
      </c>
      <c r="CW269" s="27" t="s">
        <v>454</v>
      </c>
    </row>
    <row r="270" spans="1:101" ht="15" customHeight="1">
      <c r="A270" s="54">
        <v>491</v>
      </c>
      <c r="B270" s="1" t="s">
        <v>63</v>
      </c>
      <c r="C270" s="1" t="s">
        <v>774</v>
      </c>
      <c r="D270" s="58">
        <v>1636.3</v>
      </c>
      <c r="E270" s="58"/>
      <c r="F270" s="58">
        <v>0</v>
      </c>
      <c r="G270" s="58">
        <f t="shared" si="199"/>
        <v>1636.3</v>
      </c>
      <c r="H270" s="58">
        <v>1630.3</v>
      </c>
      <c r="I270" s="58"/>
      <c r="J270" s="58">
        <v>0</v>
      </c>
      <c r="K270" s="58">
        <f t="shared" si="200"/>
        <v>1630.3</v>
      </c>
      <c r="L270" s="1">
        <v>1620.3</v>
      </c>
      <c r="N270" s="1">
        <v>0</v>
      </c>
      <c r="O270" s="58">
        <f t="shared" si="201"/>
        <v>1620.3</v>
      </c>
      <c r="P270" s="58">
        <f>IF(ISNA(VLOOKUP($CW270,'Audit Values'!$A:$BZ,2,FALSE)),'Preliminary SO66'!C269,VLOOKUP($CW270,'Audit Values'!$A:$BZ,76,FALSE))</f>
        <v>1597</v>
      </c>
      <c r="Q270" s="58">
        <f>IF(ISNA(VLOOKUP($CW270,'Audit Values'!$A:$BZ,2,FALSE)),'Preliminary SO66'!F269,VLOOKUP($CW270,'Audit Values'!$A:$BZ,4,FALSE))</f>
        <v>0</v>
      </c>
      <c r="R270" s="58">
        <f t="shared" si="169"/>
        <v>1597</v>
      </c>
      <c r="S270" s="58">
        <f>IF('Military Provision'!I270="YES", MAX('2024 Legal Max'!O270,'2024 Legal Max'!K270,AVERAGE('2024 Legal Max'!G270,'2024 Legal Max'!K270,'2024 Legal Max'!O270)), MAX(O270, K270))</f>
        <v>1630.3</v>
      </c>
      <c r="T270" s="58">
        <f>IF(ISNA(VLOOKUP($CW270,'Audit Values'!$A:$BX,2,FALSE)),'Preliminary SO66'!AL269,VLOOKUP($CW270,'Audit Values'!$A:$BX,59,FALSE))</f>
        <v>14.5</v>
      </c>
      <c r="U270" s="58">
        <f t="shared" si="170"/>
        <v>1644.8</v>
      </c>
      <c r="V270" s="58">
        <f>'Low-High ENRL- 2023 HSubSB 113'!N273</f>
        <v>57.6</v>
      </c>
      <c r="W270" s="58">
        <f>IF(ISNA(VLOOKUP($CW270,'Audit Values'!$A:$BZ,2,FALSE)),'Preliminary SO66'!AM269,VLOOKUP($CW270,'Audit Values'!$A:$BZ,63,FALSE))</f>
        <v>32.200000000000003</v>
      </c>
      <c r="X270" s="58">
        <f>(W270/6)*'Weighting Factors'!$O$7</f>
        <v>2.1</v>
      </c>
      <c r="Y270" s="61">
        <f>IF(ISNA(VLOOKUP($CW270,'Audit Values'!$A:$BZ,2,FALSE)),'Preliminary SO66'!AN269,VLOOKUP($CW270,'Audit Values'!$A:$BZ,62,FALSE))</f>
        <v>8</v>
      </c>
      <c r="Z270" s="58">
        <f>Y270*'Weighting Factors'!$O$8</f>
        <v>1.5</v>
      </c>
      <c r="AA270" s="58">
        <f t="shared" si="171"/>
        <v>2.1</v>
      </c>
      <c r="AB270" s="106">
        <f>IF(ISNA(VLOOKUP($CW270,'Audit Values'!$A:$BZ,2,FALSE)),'Preliminary SO66'!AO269,VLOOKUP($CW270,'Audit Values'!$A:$BZ,61,FALSE))</f>
        <v>714.6</v>
      </c>
      <c r="AC270" s="58">
        <f>AB270/6*'Weighting Factors'!$O$6</f>
        <v>59.6</v>
      </c>
      <c r="AD270" s="24">
        <f>IF(ISNA(VLOOKUP($CW270,'Audit Values'!$A:$BX,2,FALSE)),'Preliminary SO66'!AS269,VLOOKUP($CW270,'Audit Values'!$A:$BX,64,FALSE))</f>
        <v>1640</v>
      </c>
      <c r="AE270" s="24">
        <f>IF(ISNA(VLOOKUP($CW270,'Audit Values'!$A:$BX,2,FALSE)),'Preliminary SO66'!AP269,VLOOKUP($CW270,'Audit Values'!$A:$BX,65,FALSE))</f>
        <v>466</v>
      </c>
      <c r="AF270" s="58">
        <f>IF(A270=207, AE270,(AE270))*'Weighting Factors'!$O$9</f>
        <v>225.5</v>
      </c>
      <c r="AG270" s="58">
        <f t="shared" si="168"/>
        <v>0</v>
      </c>
      <c r="AH270" s="58">
        <f>IF(ISNA(VLOOKUP($CW270,'Audit Values'!$A:$BZ,2,FALSE)),'Preliminary SO66'!AG269,VLOOKUP($CW270,'Audit Values'!$A:$BZ,71,FALSE))</f>
        <v>0</v>
      </c>
      <c r="AI270" s="58">
        <f t="shared" si="172"/>
        <v>0</v>
      </c>
      <c r="AJ270" s="58">
        <f>IF(ISNA(VLOOKUP($CW270,'Audit Values'!$A:$BX,2,FALSE)),'Preliminary SO66'!AR269,VLOOKUP($CW270,'Audit Values'!$A:$BX,66,FALSE))</f>
        <v>232</v>
      </c>
      <c r="AK270" s="24">
        <f t="shared" si="173"/>
        <v>206890</v>
      </c>
      <c r="AL270" s="58">
        <f>AK270/'Weighting Factors'!$O$5</f>
        <v>40.700000000000003</v>
      </c>
      <c r="AM270" s="58">
        <f>CJ270/'Weighting Factors'!$O$5</f>
        <v>0</v>
      </c>
      <c r="AN270" s="58">
        <f>CN270/'Weighting Factors'!$O$5</f>
        <v>0</v>
      </c>
      <c r="AO270" s="24">
        <v>2025231</v>
      </c>
      <c r="AP270" s="58">
        <f>AO270/'Weighting Factors'!$O$5</f>
        <v>398</v>
      </c>
      <c r="AQ270" s="58">
        <f>IF(ISNA(VLOOKUP($CW270,'Audit Values'!$A:$BX,2,FALSE)),'Preliminary SO66'!X269,VLOOKUP($CW270,'Audit Values'!$A:$BX,48,FALSE))</f>
        <v>0</v>
      </c>
      <c r="AR270" s="58">
        <f t="shared" si="202"/>
        <v>2428.3000000000002</v>
      </c>
      <c r="AS270" s="58">
        <f t="shared" si="203"/>
        <v>2030.3</v>
      </c>
      <c r="AT270" s="58">
        <f>IF(ISNA(VLOOKUP($CW270,'Audit Values'!$A$2:$BX$410,2,FALSE)),'Preliminary SO66'!AA269,VLOOKUP($CW270,'Audit Values'!$A$2:$BX$410,41,FALSE))</f>
        <v>25</v>
      </c>
      <c r="AU270" s="58">
        <f>IF(ISNA(VLOOKUP($CW270,'Audit Values'!$A$2:$BX$410,2,FALSE)),'Preliminary SO66'!AB269,VLOOKUP($CW270,'Audit Values'!$A$2:$BX$410,42,FALSE))</f>
        <v>5</v>
      </c>
      <c r="AV270" s="73">
        <v>10</v>
      </c>
      <c r="AW270" s="73">
        <v>4</v>
      </c>
      <c r="AX270" s="24">
        <f>SUM(AT270*'Weighting Factors'!$R$10)+('2024 Legal Max'!AU270*'Weighting Factors'!$R$11)+('2024 Legal Max'!AV270*'Weighting Factors'!$R$12)+('2024 Legal Max'!AW270*'Weighting Factors'!$R$12)</f>
        <v>163926</v>
      </c>
      <c r="AY270" s="54">
        <f>IF(ISNA(VLOOKUP($CW270,'Audit Values'!$A$2:$BX$429,2,FALSE)),"",IF(AND('Weighting Factors'!G270&gt;0,VLOOKUP($CW270,'Audit Values'!$A$2:$BX$429,51,FALSE)&lt;'Weighting Factors'!G270),'Weighting Factors'!G270,VLOOKUP($CW270,'Audit Values'!$A$2:$BX$429,51,FALSE)))</f>
        <v>29</v>
      </c>
      <c r="AZ270" s="54" t="str">
        <f>IF(ISNA(VLOOKUP($CW270,'Audit Values'!$A:$BY,2,FALSE)),"",VLOOKUP($CW270,'Audit Values'!$A:$BY,52,FALSE))</f>
        <v>A</v>
      </c>
      <c r="BA270" s="54" t="str">
        <f>IF('Weighting Factors'!F270="","",IF('Weighting Factors'!H270="Pending","PX","R"))</f>
        <v>R</v>
      </c>
      <c r="BB270" s="60">
        <f>SUM((U270+V270+AA270+AC270+AF270+AI270+AL270+AM270+AQ270+AN270)*'Weighting Factors'!$O$5)+'2024 Legal Max'!AX270</f>
        <v>10494092</v>
      </c>
      <c r="BC270" s="24">
        <f>SUM((AR270+AN270)*'Weighting Factors'!$O$5)+AX270</f>
        <v>12519116</v>
      </c>
      <c r="BD270" s="67">
        <f>IF('Weighting Factors'!F270&gt;0,'Weighting Factors'!F270,'Preliminary SO66'!AV269)</f>
        <v>12520390</v>
      </c>
      <c r="BE270" s="24">
        <f t="shared" si="174"/>
        <v>12519116</v>
      </c>
      <c r="BF270" s="71">
        <f>'Weighting Factors'!E270</f>
        <v>0</v>
      </c>
      <c r="BG270" s="71">
        <f>Transportation!G270</f>
        <v>0</v>
      </c>
      <c r="BH270" s="24">
        <f>IF(ISNA(VLOOKUP($CW270,'Audit Values'!$A:$BW,2,FALSE)), 0, VLOOKUP($CW270,'Audit Values'!$A:$BW,75,FALSE))</f>
        <v>-4536</v>
      </c>
      <c r="BI270" s="24">
        <f t="shared" si="175"/>
        <v>-4536</v>
      </c>
      <c r="BJ270" s="24">
        <f t="shared" si="176"/>
        <v>12514580</v>
      </c>
      <c r="BK270" s="24">
        <f>SUM((U270+V270+AA270+AC270+AF270+AI270+AL270+AM270+AN270)*'Weighting Factors'!O$12)+(MAX(AO270,'Weighting Factors'!B270))</f>
        <v>12497518</v>
      </c>
      <c r="BL270" s="78">
        <f>'LOB%'!F268</f>
        <v>0.33</v>
      </c>
      <c r="BM270" s="24">
        <f t="shared" si="183"/>
        <v>4124181</v>
      </c>
      <c r="BN270" s="67">
        <v>4083113</v>
      </c>
      <c r="BO270" s="24">
        <f t="shared" si="177"/>
        <v>4083113</v>
      </c>
      <c r="BP270" s="89">
        <f t="shared" si="184"/>
        <v>0.32669999999999999</v>
      </c>
      <c r="BQ270" s="58">
        <f t="shared" si="185"/>
        <v>0</v>
      </c>
      <c r="BR270" s="1" t="b">
        <f t="shared" si="186"/>
        <v>0</v>
      </c>
      <c r="BS270" s="76">
        <f t="shared" si="187"/>
        <v>0</v>
      </c>
      <c r="BT270" s="75">
        <f t="shared" si="178"/>
        <v>0</v>
      </c>
      <c r="BU270" s="58">
        <f t="shared" si="188"/>
        <v>0</v>
      </c>
      <c r="BV270" s="1" t="b">
        <f t="shared" si="189"/>
        <v>0</v>
      </c>
      <c r="BW270" s="1">
        <f t="shared" si="190"/>
        <v>0</v>
      </c>
      <c r="BX270" s="75">
        <f t="shared" si="179"/>
        <v>0</v>
      </c>
      <c r="BY270" s="58">
        <f t="shared" si="191"/>
        <v>0</v>
      </c>
      <c r="BZ270" s="58">
        <f t="shared" si="192"/>
        <v>57.6</v>
      </c>
      <c r="CA270" s="61">
        <v>53</v>
      </c>
      <c r="CB270" s="102">
        <f t="shared" si="193"/>
        <v>4.3769999999999998</v>
      </c>
      <c r="CC270" s="105">
        <f>IF(CB270&lt;0.06,1,IF(CB270&gt;=18.29,52,MATCH(CB270-0.001,'Weighting Factors'!$W$5:$W$156)+1))</f>
        <v>43</v>
      </c>
      <c r="CD270" s="24">
        <f>VLOOKUP(CC270, 'Weighting Factors'!$U$5:$X$56,4)</f>
        <v>730</v>
      </c>
      <c r="CE270" s="109">
        <f>('Weighting Factors'!$O$5/'Weighting Factors'!$O$14)</f>
        <v>1.2216</v>
      </c>
      <c r="CF270" s="100">
        <f t="shared" si="194"/>
        <v>169360</v>
      </c>
      <c r="CG270" s="100">
        <f>CF270*'Weighting Factors'!$Q$7</f>
        <v>169360</v>
      </c>
      <c r="CH270" s="100">
        <f t="shared" si="180"/>
        <v>206890</v>
      </c>
      <c r="CI270" s="58">
        <f>AK270/'Weighting Factors'!$O$5</f>
        <v>40.700000000000003</v>
      </c>
      <c r="CJ270" s="67">
        <v>0</v>
      </c>
      <c r="CK270" s="80">
        <v>0</v>
      </c>
      <c r="CL270" s="110">
        <v>1.7299999999999999E-2</v>
      </c>
      <c r="CM270" s="24">
        <f>SUM((AR270*'Weighting Factors'!$O$5)+'2024 Legal Max'!AX270)*CL270</f>
        <v>216581</v>
      </c>
      <c r="CN270" s="24">
        <f t="shared" si="181"/>
        <v>0</v>
      </c>
      <c r="CO270" s="65">
        <f t="shared" si="182"/>
        <v>0.28410000000000002</v>
      </c>
      <c r="CP270" s="58">
        <f t="shared" si="195"/>
        <v>0</v>
      </c>
      <c r="CQ270" s="58">
        <f t="shared" si="196"/>
        <v>0</v>
      </c>
      <c r="CR270" s="58">
        <f t="shared" si="197"/>
        <v>2428.3000000000002</v>
      </c>
      <c r="CS270" s="24">
        <f>'Required Transfers'!L270</f>
        <v>381363</v>
      </c>
      <c r="CT270" s="24">
        <f>'Required Transfers'!O270</f>
        <v>3675</v>
      </c>
      <c r="CU270" s="24">
        <f>'Required Transfers'!H270</f>
        <v>1147344</v>
      </c>
      <c r="CV270" s="58">
        <f t="shared" si="198"/>
        <v>1643.8</v>
      </c>
      <c r="CW270" s="27" t="s">
        <v>455</v>
      </c>
    </row>
    <row r="271" spans="1:101" ht="15" customHeight="1">
      <c r="A271" s="54">
        <v>492</v>
      </c>
      <c r="B271" s="1" t="s">
        <v>10</v>
      </c>
      <c r="C271" s="1" t="s">
        <v>775</v>
      </c>
      <c r="D271" s="58">
        <v>264.8</v>
      </c>
      <c r="E271" s="58"/>
      <c r="F271" s="58">
        <v>0</v>
      </c>
      <c r="G271" s="58">
        <f t="shared" si="199"/>
        <v>264.8</v>
      </c>
      <c r="H271" s="58">
        <v>279</v>
      </c>
      <c r="I271" s="58"/>
      <c r="J271" s="58">
        <v>0</v>
      </c>
      <c r="K271" s="58">
        <f t="shared" si="200"/>
        <v>279</v>
      </c>
      <c r="L271" s="1">
        <v>269</v>
      </c>
      <c r="N271" s="1">
        <v>0</v>
      </c>
      <c r="O271" s="58">
        <f t="shared" si="201"/>
        <v>269</v>
      </c>
      <c r="P271" s="58">
        <f>IF(ISNA(VLOOKUP($CW271,'Audit Values'!$A:$BZ,2,FALSE)),'Preliminary SO66'!C270,VLOOKUP($CW271,'Audit Values'!$A:$BZ,76,FALSE))</f>
        <v>254</v>
      </c>
      <c r="Q271" s="58">
        <f>IF(ISNA(VLOOKUP($CW271,'Audit Values'!$A:$BZ,2,FALSE)),'Preliminary SO66'!F270,VLOOKUP($CW271,'Audit Values'!$A:$BZ,4,FALSE))</f>
        <v>0</v>
      </c>
      <c r="R271" s="58">
        <f t="shared" si="169"/>
        <v>254</v>
      </c>
      <c r="S271" s="58">
        <f>IF('Military Provision'!I271="YES", MAX('2024 Legal Max'!O271,'2024 Legal Max'!K271,AVERAGE('2024 Legal Max'!G271,'2024 Legal Max'!K271,'2024 Legal Max'!O271)), MAX(O271, K271))</f>
        <v>279</v>
      </c>
      <c r="T271" s="58">
        <f>IF(ISNA(VLOOKUP($CW271,'Audit Values'!$A:$BX,2,FALSE)),'Preliminary SO66'!AL270,VLOOKUP($CW271,'Audit Values'!$A:$BX,59,FALSE))</f>
        <v>5</v>
      </c>
      <c r="U271" s="58">
        <f t="shared" si="170"/>
        <v>284</v>
      </c>
      <c r="V271" s="58">
        <f>'Low-High ENRL- 2023 HSubSB 113'!N274</f>
        <v>149.6</v>
      </c>
      <c r="W271" s="58">
        <f>IF(ISNA(VLOOKUP($CW271,'Audit Values'!$A:$BZ,2,FALSE)),'Preliminary SO66'!AM270,VLOOKUP($CW271,'Audit Values'!$A:$BZ,63,FALSE))</f>
        <v>0</v>
      </c>
      <c r="X271" s="58">
        <f>(W271/6)*'Weighting Factors'!$O$7</f>
        <v>0</v>
      </c>
      <c r="Y271" s="61">
        <f>IF(ISNA(VLOOKUP($CW271,'Audit Values'!$A:$BZ,2,FALSE)),'Preliminary SO66'!AN270,VLOOKUP($CW271,'Audit Values'!$A:$BZ,62,FALSE))</f>
        <v>0</v>
      </c>
      <c r="Z271" s="58">
        <f>Y271*'Weighting Factors'!$O$8</f>
        <v>0</v>
      </c>
      <c r="AA271" s="58">
        <f t="shared" si="171"/>
        <v>0</v>
      </c>
      <c r="AB271" s="106">
        <f>IF(ISNA(VLOOKUP($CW271,'Audit Values'!$A:$BZ,2,FALSE)),'Preliminary SO66'!AO270,VLOOKUP($CW271,'Audit Values'!$A:$BZ,61,FALSE))</f>
        <v>92.7</v>
      </c>
      <c r="AC271" s="58">
        <f>AB271/6*'Weighting Factors'!$O$6</f>
        <v>7.7</v>
      </c>
      <c r="AD271" s="24">
        <f>IF(ISNA(VLOOKUP($CW271,'Audit Values'!$A:$BX,2,FALSE)),'Preliminary SO66'!AS270,VLOOKUP($CW271,'Audit Values'!$A:$BX,64,FALSE))</f>
        <v>264</v>
      </c>
      <c r="AE271" s="24">
        <f>IF(ISNA(VLOOKUP($CW271,'Audit Values'!$A:$BX,2,FALSE)),'Preliminary SO66'!AP270,VLOOKUP($CW271,'Audit Values'!$A:$BX,65,FALSE))</f>
        <v>112</v>
      </c>
      <c r="AF271" s="58">
        <f>IF(A271=207, AE271,(AE271))*'Weighting Factors'!$O$9</f>
        <v>54.2</v>
      </c>
      <c r="AG271" s="58">
        <f t="shared" si="168"/>
        <v>5.8</v>
      </c>
      <c r="AH271" s="58">
        <f>IF(ISNA(VLOOKUP($CW271,'Audit Values'!$A:$BZ,2,FALSE)),'Preliminary SO66'!AG270,VLOOKUP($CW271,'Audit Values'!$A:$BZ,71,FALSE))</f>
        <v>6.4</v>
      </c>
      <c r="AI271" s="58">
        <f t="shared" si="172"/>
        <v>6.4</v>
      </c>
      <c r="AJ271" s="58">
        <f>IF(ISNA(VLOOKUP($CW271,'Audit Values'!$A:$BX,2,FALSE)),'Preliminary SO66'!AR270,VLOOKUP($CW271,'Audit Values'!$A:$BX,66,FALSE))</f>
        <v>141</v>
      </c>
      <c r="AK271" s="24">
        <f t="shared" si="173"/>
        <v>198082</v>
      </c>
      <c r="AL271" s="58">
        <f>AK271/'Weighting Factors'!$O$5</f>
        <v>38.9</v>
      </c>
      <c r="AM271" s="58">
        <f>CJ271/'Weighting Factors'!$O$5</f>
        <v>0</v>
      </c>
      <c r="AN271" s="58">
        <f>CN271/'Weighting Factors'!$O$5</f>
        <v>0</v>
      </c>
      <c r="AO271" s="24">
        <v>313725</v>
      </c>
      <c r="AP271" s="58">
        <f>AO271/'Weighting Factors'!$O$5</f>
        <v>61.7</v>
      </c>
      <c r="AQ271" s="58">
        <f>IF(ISNA(VLOOKUP($CW271,'Audit Values'!$A:$BX,2,FALSE)),'Preliminary SO66'!X270,VLOOKUP($CW271,'Audit Values'!$A:$BX,48,FALSE))</f>
        <v>0</v>
      </c>
      <c r="AR271" s="58">
        <f t="shared" si="202"/>
        <v>602.5</v>
      </c>
      <c r="AS271" s="58">
        <f t="shared" si="203"/>
        <v>540.79999999999995</v>
      </c>
      <c r="AT271" s="58">
        <f>IF(ISNA(VLOOKUP($CW271,'Audit Values'!$A$2:$BX$410,2,FALSE)),'Preliminary SO66'!AA270,VLOOKUP($CW271,'Audit Values'!$A$2:$BX$410,41,FALSE))</f>
        <v>4</v>
      </c>
      <c r="AU271" s="58">
        <f>IF(ISNA(VLOOKUP($CW271,'Audit Values'!$A$2:$BX$410,2,FALSE)),'Preliminary SO66'!AB270,VLOOKUP($CW271,'Audit Values'!$A$2:$BX$410,42,FALSE))</f>
        <v>0</v>
      </c>
      <c r="AV271" s="73">
        <v>0</v>
      </c>
      <c r="AW271" s="73">
        <v>0</v>
      </c>
      <c r="AX271" s="24">
        <f>SUM(AT271*'Weighting Factors'!$R$10)+('2024 Legal Max'!AU271*'Weighting Factors'!$R$11)+('2024 Legal Max'!AV271*'Weighting Factors'!$R$12)+('2024 Legal Max'!AW271*'Weighting Factors'!$R$12)</f>
        <v>22400</v>
      </c>
      <c r="AY271" s="54">
        <f>IF(ISNA(VLOOKUP($CW271,'Audit Values'!$A$2:$BX$429,2,FALSE)),"",IF(AND('Weighting Factors'!G271&gt;0,VLOOKUP($CW271,'Audit Values'!$A$2:$BX$429,51,FALSE)&lt;'Weighting Factors'!G271),'Weighting Factors'!G271,VLOOKUP($CW271,'Audit Values'!$A$2:$BX$429,51,FALSE)))</f>
        <v>13</v>
      </c>
      <c r="AZ271" s="54" t="str">
        <f>IF(ISNA(VLOOKUP($CW271,'Audit Values'!$A:$BY,2,FALSE)),"",VLOOKUP($CW271,'Audit Values'!$A:$BY,52,FALSE))</f>
        <v>A</v>
      </c>
      <c r="BA271" s="54" t="str">
        <f>IF('Weighting Factors'!F271="","",IF('Weighting Factors'!H271="Pending","PX","R"))</f>
        <v/>
      </c>
      <c r="BB271" s="60">
        <f>SUM((U271+V271+AA271+AC271+AF271+AI271+AL271+AM271+AQ271+AN271)*'Weighting Factors'!$O$5)+'2024 Legal Max'!AX271</f>
        <v>2773990</v>
      </c>
      <c r="BC271" s="24">
        <f>SUM((AR271+AN271)*'Weighting Factors'!$O$5)+AX271</f>
        <v>3087920</v>
      </c>
      <c r="BD271" s="67">
        <f>IF('Weighting Factors'!F271&gt;0,'Weighting Factors'!F271,'Preliminary SO66'!AV270)</f>
        <v>3220214</v>
      </c>
      <c r="BE271" s="24">
        <f t="shared" si="174"/>
        <v>3087920</v>
      </c>
      <c r="BF271" s="71">
        <f>'Weighting Factors'!E271</f>
        <v>0</v>
      </c>
      <c r="BG271" s="71">
        <f>Transportation!G271</f>
        <v>0</v>
      </c>
      <c r="BH271" s="24">
        <f>IF(ISNA(VLOOKUP($CW271,'Audit Values'!$A:$BW,2,FALSE)), 0, VLOOKUP($CW271,'Audit Values'!$A:$BW,75,FALSE))</f>
        <v>0</v>
      </c>
      <c r="BI271" s="24">
        <f t="shared" si="175"/>
        <v>0</v>
      </c>
      <c r="BJ271" s="24">
        <f t="shared" si="176"/>
        <v>3087920</v>
      </c>
      <c r="BK271" s="24">
        <f>SUM((U271+V271+AA271+AC271+AF271+AI271+AL271+AM271+AN271)*'Weighting Factors'!O$12)+(MAX(AO271,'Weighting Factors'!B271))</f>
        <v>3103171</v>
      </c>
      <c r="BL271" s="78">
        <f>'LOB%'!F269</f>
        <v>0.33</v>
      </c>
      <c r="BM271" s="24">
        <f t="shared" si="183"/>
        <v>1024046</v>
      </c>
      <c r="BN271" s="67">
        <v>1064471</v>
      </c>
      <c r="BO271" s="24">
        <f t="shared" si="177"/>
        <v>1024046</v>
      </c>
      <c r="BP271" s="89">
        <f t="shared" si="184"/>
        <v>0.33</v>
      </c>
      <c r="BQ271" s="58">
        <f t="shared" si="185"/>
        <v>0</v>
      </c>
      <c r="BR271" s="1" t="b">
        <f t="shared" si="186"/>
        <v>1</v>
      </c>
      <c r="BS271" s="76">
        <f t="shared" si="187"/>
        <v>1776.52</v>
      </c>
      <c r="BT271" s="75">
        <f t="shared" si="178"/>
        <v>0.52659800000000001</v>
      </c>
      <c r="BU271" s="58">
        <f t="shared" si="188"/>
        <v>149.6</v>
      </c>
      <c r="BV271" s="1" t="b">
        <f t="shared" si="189"/>
        <v>0</v>
      </c>
      <c r="BW271" s="1">
        <f t="shared" si="190"/>
        <v>0</v>
      </c>
      <c r="BX271" s="75">
        <f t="shared" si="179"/>
        <v>0</v>
      </c>
      <c r="BY271" s="58">
        <f t="shared" si="191"/>
        <v>0</v>
      </c>
      <c r="BZ271" s="58">
        <f t="shared" si="192"/>
        <v>0</v>
      </c>
      <c r="CA271" s="61">
        <v>389</v>
      </c>
      <c r="CB271" s="102">
        <f t="shared" si="193"/>
        <v>0.36199999999999999</v>
      </c>
      <c r="CC271" s="105">
        <f>IF(CB271&lt;0.06,1,IF(CB271&gt;=18.29,52,MATCH(CB271-0.001,'Weighting Factors'!$W$5:$W$156)+1))</f>
        <v>22</v>
      </c>
      <c r="CD271" s="24">
        <f>VLOOKUP(CC271, 'Weighting Factors'!$U$5:$X$56,4)</f>
        <v>1150</v>
      </c>
      <c r="CE271" s="109">
        <f>('Weighting Factors'!$O$5/'Weighting Factors'!$O$14)</f>
        <v>1.2216</v>
      </c>
      <c r="CF271" s="100">
        <f t="shared" si="194"/>
        <v>162150</v>
      </c>
      <c r="CG271" s="100">
        <f>CF271*'Weighting Factors'!$Q$7</f>
        <v>162150</v>
      </c>
      <c r="CH271" s="100">
        <f t="shared" si="180"/>
        <v>198082</v>
      </c>
      <c r="CI271" s="58">
        <f>AK271/'Weighting Factors'!$O$5</f>
        <v>38.9</v>
      </c>
      <c r="CJ271" s="67">
        <v>0</v>
      </c>
      <c r="CK271" s="80">
        <v>0</v>
      </c>
      <c r="CL271" s="110">
        <v>0</v>
      </c>
      <c r="CM271" s="24">
        <f>SUM((AR271*'Weighting Factors'!$O$5)+'2024 Legal Max'!AX271)*CL271</f>
        <v>0</v>
      </c>
      <c r="CN271" s="24">
        <f t="shared" si="181"/>
        <v>0</v>
      </c>
      <c r="CO271" s="65">
        <f t="shared" si="182"/>
        <v>0.42420000000000002</v>
      </c>
      <c r="CP271" s="58">
        <f t="shared" si="195"/>
        <v>0</v>
      </c>
      <c r="CQ271" s="58">
        <f t="shared" si="196"/>
        <v>5.8</v>
      </c>
      <c r="CR271" s="58">
        <f t="shared" si="197"/>
        <v>602.5</v>
      </c>
      <c r="CS271" s="24">
        <f>'Required Transfers'!L271</f>
        <v>92881</v>
      </c>
      <c r="CT271" s="24">
        <f>'Required Transfers'!O271</f>
        <v>0</v>
      </c>
      <c r="CU271" s="24">
        <f>'Required Transfers'!H271</f>
        <v>308333</v>
      </c>
      <c r="CV271" s="58">
        <f t="shared" si="198"/>
        <v>263</v>
      </c>
      <c r="CW271" s="27" t="s">
        <v>456</v>
      </c>
    </row>
    <row r="272" spans="1:101" ht="15" customHeight="1">
      <c r="A272" s="54">
        <v>493</v>
      </c>
      <c r="B272" s="1" t="s">
        <v>29</v>
      </c>
      <c r="C272" s="1" t="s">
        <v>776</v>
      </c>
      <c r="D272" s="58">
        <v>861.7</v>
      </c>
      <c r="E272" s="58">
        <v>2</v>
      </c>
      <c r="F272" s="58">
        <v>0</v>
      </c>
      <c r="G272" s="58">
        <f t="shared" si="199"/>
        <v>859.7</v>
      </c>
      <c r="H272" s="58">
        <v>873.7</v>
      </c>
      <c r="I272" s="58">
        <v>2</v>
      </c>
      <c r="J272" s="58">
        <v>0</v>
      </c>
      <c r="K272" s="58">
        <f t="shared" si="200"/>
        <v>871.7</v>
      </c>
      <c r="L272" s="1">
        <v>886</v>
      </c>
      <c r="N272" s="1">
        <v>0</v>
      </c>
      <c r="O272" s="58">
        <f t="shared" si="201"/>
        <v>886</v>
      </c>
      <c r="P272" s="58">
        <f>IF(ISNA(VLOOKUP($CW272,'Audit Values'!$A:$BZ,2,FALSE)),'Preliminary SO66'!C271,VLOOKUP($CW272,'Audit Values'!$A:$BZ,76,FALSE))</f>
        <v>941</v>
      </c>
      <c r="Q272" s="58">
        <f>IF(ISNA(VLOOKUP($CW272,'Audit Values'!$A:$BZ,2,FALSE)),'Preliminary SO66'!F271,VLOOKUP($CW272,'Audit Values'!$A:$BZ,4,FALSE))</f>
        <v>0</v>
      </c>
      <c r="R272" s="58">
        <f t="shared" si="169"/>
        <v>941</v>
      </c>
      <c r="S272" s="58">
        <f>IF('Military Provision'!I272="YES", MAX('2024 Legal Max'!O272,'2024 Legal Max'!K272,AVERAGE('2024 Legal Max'!G272,'2024 Legal Max'!K272,'2024 Legal Max'!O272)), MAX(O272, K272))</f>
        <v>886</v>
      </c>
      <c r="T272" s="58">
        <f>IF(ISNA(VLOOKUP($CW272,'Audit Values'!$A:$BX,2,FALSE)),'Preliminary SO66'!AL271,VLOOKUP($CW272,'Audit Values'!$A:$BX,59,FALSE))</f>
        <v>15</v>
      </c>
      <c r="U272" s="58">
        <f t="shared" si="170"/>
        <v>901</v>
      </c>
      <c r="V272" s="58">
        <f>'Low-High ENRL- 2023 HSubSB 113'!N275</f>
        <v>252.3</v>
      </c>
      <c r="W272" s="58">
        <f>IF(ISNA(VLOOKUP($CW272,'Audit Values'!$A:$BZ,2,FALSE)),'Preliminary SO66'!AM271,VLOOKUP($CW272,'Audit Values'!$A:$BZ,63,FALSE))</f>
        <v>0</v>
      </c>
      <c r="X272" s="58">
        <f>(W272/6)*'Weighting Factors'!$O$7</f>
        <v>0</v>
      </c>
      <c r="Y272" s="61">
        <f>IF(ISNA(VLOOKUP($CW272,'Audit Values'!$A:$BZ,2,FALSE)),'Preliminary SO66'!AN271,VLOOKUP($CW272,'Audit Values'!$A:$BZ,62,FALSE))</f>
        <v>0</v>
      </c>
      <c r="Z272" s="58">
        <f>Y272*'Weighting Factors'!$O$8</f>
        <v>0</v>
      </c>
      <c r="AA272" s="58">
        <f t="shared" si="171"/>
        <v>0</v>
      </c>
      <c r="AB272" s="106">
        <f>IF(ISNA(VLOOKUP($CW272,'Audit Values'!$A:$BZ,2,FALSE)),'Preliminary SO66'!AO271,VLOOKUP($CW272,'Audit Values'!$A:$BZ,61,FALSE))</f>
        <v>475.7</v>
      </c>
      <c r="AC272" s="58">
        <f>AB272/6*'Weighting Factors'!$O$6</f>
        <v>39.6</v>
      </c>
      <c r="AD272" s="24">
        <f>IF(ISNA(VLOOKUP($CW272,'Audit Values'!$A:$BX,2,FALSE)),'Preliminary SO66'!AS271,VLOOKUP($CW272,'Audit Values'!$A:$BX,64,FALSE))</f>
        <v>977</v>
      </c>
      <c r="AE272" s="24">
        <f>IF(ISNA(VLOOKUP($CW272,'Audit Values'!$A:$BX,2,FALSE)),'Preliminary SO66'!AP271,VLOOKUP($CW272,'Audit Values'!$A:$BX,65,FALSE))</f>
        <v>492</v>
      </c>
      <c r="AF272" s="58">
        <f>IF(A272=207, AE272,(AE272))*'Weighting Factors'!$O$9</f>
        <v>238.1</v>
      </c>
      <c r="AG272" s="58">
        <f t="shared" si="168"/>
        <v>51.7</v>
      </c>
      <c r="AH272" s="58">
        <f>IF(ISNA(VLOOKUP($CW272,'Audit Values'!$A:$BZ,2,FALSE)),'Preliminary SO66'!AG271,VLOOKUP($CW272,'Audit Values'!$A:$BZ,71,FALSE))</f>
        <v>48.1</v>
      </c>
      <c r="AI272" s="58">
        <f t="shared" si="172"/>
        <v>51.7</v>
      </c>
      <c r="AJ272" s="58">
        <f>IF(ISNA(VLOOKUP($CW272,'Audit Values'!$A:$BX,2,FALSE)),'Preliminary SO66'!AR271,VLOOKUP($CW272,'Audit Values'!$A:$BX,66,FALSE))</f>
        <v>287.5</v>
      </c>
      <c r="AK272" s="24">
        <f t="shared" si="173"/>
        <v>347698</v>
      </c>
      <c r="AL272" s="58">
        <f>AK272/'Weighting Factors'!$O$5</f>
        <v>68.3</v>
      </c>
      <c r="AM272" s="58">
        <f>CJ272/'Weighting Factors'!$O$5</f>
        <v>0</v>
      </c>
      <c r="AN272" s="58">
        <f>CN272/'Weighting Factors'!$O$5</f>
        <v>0</v>
      </c>
      <c r="AO272" s="24">
        <v>944880</v>
      </c>
      <c r="AP272" s="58">
        <f>AO272/'Weighting Factors'!$O$5</f>
        <v>185.7</v>
      </c>
      <c r="AQ272" s="58">
        <f>IF(ISNA(VLOOKUP($CW272,'Audit Values'!$A:$BX,2,FALSE)),'Preliminary SO66'!X271,VLOOKUP($CW272,'Audit Values'!$A:$BX,48,FALSE))</f>
        <v>0</v>
      </c>
      <c r="AR272" s="58">
        <f t="shared" si="202"/>
        <v>1736.7</v>
      </c>
      <c r="AS272" s="58">
        <f t="shared" si="203"/>
        <v>1551</v>
      </c>
      <c r="AT272" s="58">
        <f>IF(ISNA(VLOOKUP($CW272,'Audit Values'!$A$2:$BX$410,2,FALSE)),'Preliminary SO66'!AA271,VLOOKUP($CW272,'Audit Values'!$A$2:$BX$410,41,FALSE))</f>
        <v>1</v>
      </c>
      <c r="AU272" s="58">
        <f>IF(ISNA(VLOOKUP($CW272,'Audit Values'!$A$2:$BX$410,2,FALSE)),'Preliminary SO66'!AB271,VLOOKUP($CW272,'Audit Values'!$A$2:$BX$410,42,FALSE))</f>
        <v>0</v>
      </c>
      <c r="AV272" s="73">
        <v>0</v>
      </c>
      <c r="AW272" s="73">
        <v>0</v>
      </c>
      <c r="AX272" s="24">
        <f>SUM(AT272*'Weighting Factors'!$R$10)+('2024 Legal Max'!AU272*'Weighting Factors'!$R$11)+('2024 Legal Max'!AV272*'Weighting Factors'!$R$12)+('2024 Legal Max'!AW272*'Weighting Factors'!$R$12)</f>
        <v>5600</v>
      </c>
      <c r="AY272" s="54">
        <f>IF(ISNA(VLOOKUP($CW272,'Audit Values'!$A$2:$BX$429,2,FALSE)),"",IF(AND('Weighting Factors'!G272&gt;0,VLOOKUP($CW272,'Audit Values'!$A$2:$BX$429,51,FALSE)&lt;'Weighting Factors'!G272),'Weighting Factors'!G272,VLOOKUP($CW272,'Audit Values'!$A$2:$BX$429,51,FALSE)))</f>
        <v>19</v>
      </c>
      <c r="AZ272" s="54" t="str">
        <f>IF(ISNA(VLOOKUP($CW272,'Audit Values'!$A:$BY,2,FALSE)),"",VLOOKUP($CW272,'Audit Values'!$A:$BY,52,FALSE))</f>
        <v>A</v>
      </c>
      <c r="BA272" s="54" t="str">
        <f>IF('Weighting Factors'!F272="","",IF('Weighting Factors'!H272="Pending","PX","R"))</f>
        <v>R</v>
      </c>
      <c r="BB272" s="60">
        <f>SUM((U272+V272+AA272+AC272+AF272+AI272+AL272+AM272+AQ272+AN272)*'Weighting Factors'!$O$5)+'2024 Legal Max'!AX272</f>
        <v>7897088</v>
      </c>
      <c r="BC272" s="24">
        <f>SUM((AR272+AN272)*'Weighting Factors'!$O$5)+AX272</f>
        <v>8841930</v>
      </c>
      <c r="BD272" s="67">
        <f>IF('Weighting Factors'!F272&gt;0,'Weighting Factors'!F272,'Preliminary SO66'!AV271)</f>
        <v>8925530</v>
      </c>
      <c r="BE272" s="24">
        <f t="shared" si="174"/>
        <v>8841930</v>
      </c>
      <c r="BF272" s="71">
        <f>'Weighting Factors'!E272</f>
        <v>0</v>
      </c>
      <c r="BG272" s="71">
        <f>Transportation!G272</f>
        <v>0</v>
      </c>
      <c r="BH272" s="24">
        <f>IF(ISNA(VLOOKUP($CW272,'Audit Values'!$A:$BW,2,FALSE)), 0, VLOOKUP($CW272,'Audit Values'!$A:$BW,75,FALSE))</f>
        <v>-3545</v>
      </c>
      <c r="BI272" s="24">
        <f t="shared" si="175"/>
        <v>-3545</v>
      </c>
      <c r="BJ272" s="24">
        <f t="shared" si="176"/>
        <v>8838385</v>
      </c>
      <c r="BK272" s="24">
        <f>SUM((U272+V272+AA272+AC272+AF272+AI272+AL272+AM272+AN272)*'Weighting Factors'!O$12)+(MAX(AO272,'Weighting Factors'!B272))</f>
        <v>9047233</v>
      </c>
      <c r="BL272" s="78">
        <f>'LOB%'!F270</f>
        <v>0.316</v>
      </c>
      <c r="BM272" s="24">
        <f t="shared" si="183"/>
        <v>2858926</v>
      </c>
      <c r="BN272" s="67">
        <v>2784927</v>
      </c>
      <c r="BO272" s="24">
        <f t="shared" si="177"/>
        <v>2784927</v>
      </c>
      <c r="BP272" s="89">
        <f t="shared" si="184"/>
        <v>0.30780000000000002</v>
      </c>
      <c r="BQ272" s="58">
        <f t="shared" si="185"/>
        <v>0</v>
      </c>
      <c r="BR272" s="1" t="b">
        <f t="shared" si="186"/>
        <v>0</v>
      </c>
      <c r="BS272" s="76">
        <f t="shared" si="187"/>
        <v>0</v>
      </c>
      <c r="BT272" s="75">
        <f t="shared" si="178"/>
        <v>0</v>
      </c>
      <c r="BU272" s="58">
        <f t="shared" si="188"/>
        <v>0</v>
      </c>
      <c r="BV272" s="1" t="b">
        <f t="shared" si="189"/>
        <v>1</v>
      </c>
      <c r="BW272" s="1">
        <f t="shared" si="190"/>
        <v>743.73749999999995</v>
      </c>
      <c r="BX272" s="75">
        <f t="shared" si="179"/>
        <v>0.279997</v>
      </c>
      <c r="BY272" s="58">
        <f t="shared" si="191"/>
        <v>252.3</v>
      </c>
      <c r="BZ272" s="58">
        <f t="shared" si="192"/>
        <v>0</v>
      </c>
      <c r="CA272" s="61">
        <v>354</v>
      </c>
      <c r="CB272" s="102">
        <f t="shared" si="193"/>
        <v>0.81200000000000006</v>
      </c>
      <c r="CC272" s="105">
        <f>IF(CB272&lt;0.06,1,IF(CB272&gt;=18.29,52,MATCH(CB272-0.001,'Weighting Factors'!$W$5:$W$156)+1))</f>
        <v>30</v>
      </c>
      <c r="CD272" s="24">
        <f>VLOOKUP(CC272, 'Weighting Factors'!$U$5:$X$56,4)</f>
        <v>990</v>
      </c>
      <c r="CE272" s="109">
        <f>('Weighting Factors'!$O$5/'Weighting Factors'!$O$14)</f>
        <v>1.2216</v>
      </c>
      <c r="CF272" s="100">
        <f t="shared" si="194"/>
        <v>284625</v>
      </c>
      <c r="CG272" s="100">
        <f>CF272*'Weighting Factors'!$Q$7</f>
        <v>284625</v>
      </c>
      <c r="CH272" s="100">
        <f t="shared" si="180"/>
        <v>347698</v>
      </c>
      <c r="CI272" s="58">
        <f>AK272/'Weighting Factors'!$O$5</f>
        <v>68.3</v>
      </c>
      <c r="CJ272" s="67">
        <v>0</v>
      </c>
      <c r="CK272" s="80">
        <v>0</v>
      </c>
      <c r="CL272" s="110">
        <v>0</v>
      </c>
      <c r="CM272" s="24">
        <f>SUM((AR272*'Weighting Factors'!$O$5)+'2024 Legal Max'!AX272)*CL272</f>
        <v>0</v>
      </c>
      <c r="CN272" s="24">
        <f t="shared" si="181"/>
        <v>0</v>
      </c>
      <c r="CO272" s="65">
        <f t="shared" si="182"/>
        <v>0.50360000000000005</v>
      </c>
      <c r="CP272" s="58">
        <f t="shared" si="195"/>
        <v>51.7</v>
      </c>
      <c r="CQ272" s="58">
        <f t="shared" si="196"/>
        <v>0</v>
      </c>
      <c r="CR272" s="58">
        <f t="shared" si="197"/>
        <v>1736.7</v>
      </c>
      <c r="CS272" s="24">
        <f>'Required Transfers'!L272</f>
        <v>385155</v>
      </c>
      <c r="CT272" s="24">
        <f>'Required Transfers'!O272</f>
        <v>0</v>
      </c>
      <c r="CU272" s="24">
        <f>'Required Transfers'!H272</f>
        <v>1474502</v>
      </c>
      <c r="CV272" s="58">
        <f t="shared" si="198"/>
        <v>957</v>
      </c>
      <c r="CW272" s="27" t="s">
        <v>457</v>
      </c>
    </row>
    <row r="273" spans="1:101" ht="15" customHeight="1">
      <c r="A273" s="54">
        <v>494</v>
      </c>
      <c r="B273" s="1" t="s">
        <v>85</v>
      </c>
      <c r="C273" s="1" t="s">
        <v>777</v>
      </c>
      <c r="D273" s="58">
        <v>526.5</v>
      </c>
      <c r="E273" s="58"/>
      <c r="F273" s="58">
        <v>0</v>
      </c>
      <c r="G273" s="58">
        <f t="shared" si="199"/>
        <v>526.5</v>
      </c>
      <c r="H273" s="58">
        <v>536.5</v>
      </c>
      <c r="I273" s="58"/>
      <c r="J273" s="58">
        <v>0</v>
      </c>
      <c r="K273" s="58">
        <f t="shared" si="200"/>
        <v>536.5</v>
      </c>
      <c r="L273" s="1">
        <v>529</v>
      </c>
      <c r="N273" s="1">
        <v>0</v>
      </c>
      <c r="O273" s="58">
        <f t="shared" si="201"/>
        <v>529</v>
      </c>
      <c r="P273" s="58">
        <f>IF(ISNA(VLOOKUP($CW273,'Audit Values'!$A:$BZ,2,FALSE)),'Preliminary SO66'!C272,VLOOKUP($CW273,'Audit Values'!$A:$BZ,76,FALSE))</f>
        <v>507.8</v>
      </c>
      <c r="Q273" s="58">
        <f>IF(ISNA(VLOOKUP($CW273,'Audit Values'!$A:$BZ,2,FALSE)),'Preliminary SO66'!F272,VLOOKUP($CW273,'Audit Values'!$A:$BZ,4,FALSE))</f>
        <v>0</v>
      </c>
      <c r="R273" s="58">
        <f t="shared" si="169"/>
        <v>507.8</v>
      </c>
      <c r="S273" s="58">
        <f>IF('Military Provision'!I273="YES", MAX('2024 Legal Max'!O273,'2024 Legal Max'!K273,AVERAGE('2024 Legal Max'!G273,'2024 Legal Max'!K273,'2024 Legal Max'!O273)), MAX(O273, K273))</f>
        <v>536.5</v>
      </c>
      <c r="T273" s="58">
        <f>IF(ISNA(VLOOKUP($CW273,'Audit Values'!$A:$BX,2,FALSE)),'Preliminary SO66'!AL272,VLOOKUP($CW273,'Audit Values'!$A:$BX,59,FALSE))</f>
        <v>7</v>
      </c>
      <c r="U273" s="58">
        <f t="shared" si="170"/>
        <v>543.5</v>
      </c>
      <c r="V273" s="58">
        <f>'Low-High ENRL- 2023 HSubSB 113'!N276</f>
        <v>218.2</v>
      </c>
      <c r="W273" s="58">
        <f>IF(ISNA(VLOOKUP($CW273,'Audit Values'!$A:$BZ,2,FALSE)),'Preliminary SO66'!AM272,VLOOKUP($CW273,'Audit Values'!$A:$BZ,63,FALSE))</f>
        <v>698.9</v>
      </c>
      <c r="X273" s="58">
        <f>(W273/6)*'Weighting Factors'!$O$7</f>
        <v>46</v>
      </c>
      <c r="Y273" s="61">
        <f>IF(ISNA(VLOOKUP($CW273,'Audit Values'!$A:$BZ,2,FALSE)),'Preliminary SO66'!AN272,VLOOKUP($CW273,'Audit Values'!$A:$BZ,62,FALSE))</f>
        <v>231</v>
      </c>
      <c r="Z273" s="58">
        <f>Y273*'Weighting Factors'!$O$8</f>
        <v>42.7</v>
      </c>
      <c r="AA273" s="58">
        <f t="shared" si="171"/>
        <v>46</v>
      </c>
      <c r="AB273" s="106">
        <f>IF(ISNA(VLOOKUP($CW273,'Audit Values'!$A:$BZ,2,FALSE)),'Preliminary SO66'!AO272,VLOOKUP($CW273,'Audit Values'!$A:$BZ,61,FALSE))</f>
        <v>170</v>
      </c>
      <c r="AC273" s="58">
        <f>AB273/6*'Weighting Factors'!$O$6</f>
        <v>14.2</v>
      </c>
      <c r="AD273" s="24">
        <f>IF(ISNA(VLOOKUP($CW273,'Audit Values'!$A:$BX,2,FALSE)),'Preliminary SO66'!AS272,VLOOKUP($CW273,'Audit Values'!$A:$BX,64,FALSE))</f>
        <v>526</v>
      </c>
      <c r="AE273" s="24">
        <f>IF(ISNA(VLOOKUP($CW273,'Audit Values'!$A:$BX,2,FALSE)),'Preliminary SO66'!AP272,VLOOKUP($CW273,'Audit Values'!$A:$BX,65,FALSE))</f>
        <v>326</v>
      </c>
      <c r="AF273" s="58">
        <f>IF(A273=207, AE273,(AE273))*'Weighting Factors'!$O$9</f>
        <v>157.80000000000001</v>
      </c>
      <c r="AG273" s="58">
        <f t="shared" si="168"/>
        <v>34.200000000000003</v>
      </c>
      <c r="AH273" s="58">
        <f>IF(ISNA(VLOOKUP($CW273,'Audit Values'!$A:$BZ,2,FALSE)),'Preliminary SO66'!AG272,VLOOKUP($CW273,'Audit Values'!$A:$BZ,71,FALSE))</f>
        <v>34.200000000000003</v>
      </c>
      <c r="AI273" s="58">
        <f t="shared" si="172"/>
        <v>34.200000000000003</v>
      </c>
      <c r="AJ273" s="58">
        <f>IF(ISNA(VLOOKUP($CW273,'Audit Values'!$A:$BX,2,FALSE)),'Preliminary SO66'!AR272,VLOOKUP($CW273,'Audit Values'!$A:$BX,66,FALSE))</f>
        <v>106</v>
      </c>
      <c r="AK273" s="24">
        <f t="shared" si="173"/>
        <v>187760</v>
      </c>
      <c r="AL273" s="58">
        <f>AK273/'Weighting Factors'!$O$5</f>
        <v>36.9</v>
      </c>
      <c r="AM273" s="58">
        <f>CJ273/'Weighting Factors'!$O$5</f>
        <v>0</v>
      </c>
      <c r="AN273" s="58">
        <f>CN273/'Weighting Factors'!$O$5</f>
        <v>0</v>
      </c>
      <c r="AO273" s="24">
        <v>341000</v>
      </c>
      <c r="AP273" s="58">
        <f>AO273/'Weighting Factors'!$O$5</f>
        <v>67</v>
      </c>
      <c r="AQ273" s="58">
        <f>IF(ISNA(VLOOKUP($CW273,'Audit Values'!$A:$BX,2,FALSE)),'Preliminary SO66'!X272,VLOOKUP($CW273,'Audit Values'!$A:$BX,48,FALSE))</f>
        <v>0</v>
      </c>
      <c r="AR273" s="58">
        <f t="shared" si="202"/>
        <v>1117.8</v>
      </c>
      <c r="AS273" s="58">
        <f t="shared" si="203"/>
        <v>1050.8</v>
      </c>
      <c r="AT273" s="58">
        <f>IF(ISNA(VLOOKUP($CW273,'Audit Values'!$A$2:$BX$410,2,FALSE)),'Preliminary SO66'!AA272,VLOOKUP($CW273,'Audit Values'!$A$2:$BX$410,41,FALSE))</f>
        <v>0</v>
      </c>
      <c r="AU273" s="58">
        <f>IF(ISNA(VLOOKUP($CW273,'Audit Values'!$A$2:$BX$410,2,FALSE)),'Preliminary SO66'!AB272,VLOOKUP($CW273,'Audit Values'!$A$2:$BX$410,42,FALSE))</f>
        <v>0</v>
      </c>
      <c r="AV273" s="73">
        <v>0</v>
      </c>
      <c r="AW273" s="73">
        <v>0</v>
      </c>
      <c r="AX273" s="24">
        <f>SUM(AT273*'Weighting Factors'!$R$10)+('2024 Legal Max'!AU273*'Weighting Factors'!$R$11)+('2024 Legal Max'!AV273*'Weighting Factors'!$R$12)+('2024 Legal Max'!AW273*'Weighting Factors'!$R$12)</f>
        <v>0</v>
      </c>
      <c r="AY273" s="54">
        <f>IF(ISNA(VLOOKUP($CW273,'Audit Values'!$A$2:$BX$429,2,FALSE)),"",IF(AND('Weighting Factors'!G273&gt;0,VLOOKUP($CW273,'Audit Values'!$A$2:$BX$429,51,FALSE)&lt;'Weighting Factors'!G273),'Weighting Factors'!G273,VLOOKUP($CW273,'Audit Values'!$A$2:$BX$429,51,FALSE)))</f>
        <v>15</v>
      </c>
      <c r="AZ273" s="54" t="str">
        <f>IF(ISNA(VLOOKUP($CW273,'Audit Values'!$A:$BY,2,FALSE)),"",VLOOKUP($CW273,'Audit Values'!$A:$BY,52,FALSE))</f>
        <v>A</v>
      </c>
      <c r="BA273" s="54" t="str">
        <f>IF('Weighting Factors'!F273="","",IF('Weighting Factors'!H273="Pending","PX","R"))</f>
        <v/>
      </c>
      <c r="BB273" s="60">
        <f>SUM((U273+V273+AA273+AC273+AF273+AI273+AL273+AM273+AQ273+AN273)*'Weighting Factors'!$O$5)+'2024 Legal Max'!AX273</f>
        <v>5346470</v>
      </c>
      <c r="BC273" s="24">
        <f>SUM((AR273+AN273)*'Weighting Factors'!$O$5)+AX273</f>
        <v>5687366</v>
      </c>
      <c r="BD273" s="67">
        <f>IF('Weighting Factors'!F273&gt;0,'Weighting Factors'!F273,'Preliminary SO66'!AV272)</f>
        <v>5902080</v>
      </c>
      <c r="BE273" s="24">
        <f t="shared" si="174"/>
        <v>5687366</v>
      </c>
      <c r="BF273" s="71">
        <f>'Weighting Factors'!E273</f>
        <v>0</v>
      </c>
      <c r="BG273" s="71">
        <f>Transportation!G273</f>
        <v>0</v>
      </c>
      <c r="BH273" s="24">
        <f>IF(ISNA(VLOOKUP($CW273,'Audit Values'!$A:$BW,2,FALSE)), 0, VLOOKUP($CW273,'Audit Values'!$A:$BW,75,FALSE))</f>
        <v>0</v>
      </c>
      <c r="BI273" s="24">
        <f t="shared" si="175"/>
        <v>0</v>
      </c>
      <c r="BJ273" s="24">
        <f t="shared" si="176"/>
        <v>5687366</v>
      </c>
      <c r="BK273" s="24">
        <f>SUM((U273+V273+AA273+AC273+AF273+AI273+AL273+AM273+AN273)*'Weighting Factors'!O$12)+(MAX(AO273,'Weighting Factors'!B273))</f>
        <v>5761026</v>
      </c>
      <c r="BL273" s="78">
        <f>'LOB%'!F271</f>
        <v>0.316</v>
      </c>
      <c r="BM273" s="24">
        <f t="shared" si="183"/>
        <v>1820484</v>
      </c>
      <c r="BN273" s="67">
        <v>1889051</v>
      </c>
      <c r="BO273" s="24">
        <f t="shared" si="177"/>
        <v>1820484</v>
      </c>
      <c r="BP273" s="89">
        <f t="shared" si="184"/>
        <v>0.316</v>
      </c>
      <c r="BQ273" s="58">
        <f t="shared" si="185"/>
        <v>0</v>
      </c>
      <c r="BR273" s="1" t="b">
        <f t="shared" si="186"/>
        <v>0</v>
      </c>
      <c r="BS273" s="76">
        <f t="shared" si="187"/>
        <v>0</v>
      </c>
      <c r="BT273" s="75">
        <f t="shared" si="178"/>
        <v>0</v>
      </c>
      <c r="BU273" s="58">
        <f t="shared" si="188"/>
        <v>0</v>
      </c>
      <c r="BV273" s="1" t="b">
        <f t="shared" si="189"/>
        <v>1</v>
      </c>
      <c r="BW273" s="1">
        <f t="shared" si="190"/>
        <v>301.3313</v>
      </c>
      <c r="BX273" s="75">
        <f t="shared" si="179"/>
        <v>0.40145700000000001</v>
      </c>
      <c r="BY273" s="58">
        <f t="shared" si="191"/>
        <v>218.2</v>
      </c>
      <c r="BZ273" s="58">
        <f t="shared" si="192"/>
        <v>0</v>
      </c>
      <c r="CA273" s="61">
        <v>992</v>
      </c>
      <c r="CB273" s="102">
        <f t="shared" si="193"/>
        <v>0.107</v>
      </c>
      <c r="CC273" s="105">
        <f>IF(CB273&lt;0.06,1,IF(CB273&gt;=18.29,52,MATCH(CB273-0.001,'Weighting Factors'!$W$5:$W$156)+1))</f>
        <v>6</v>
      </c>
      <c r="CD273" s="24">
        <f>VLOOKUP(CC273, 'Weighting Factors'!$U$5:$X$56,4)</f>
        <v>1450</v>
      </c>
      <c r="CE273" s="109">
        <f>('Weighting Factors'!$O$5/'Weighting Factors'!$O$14)</f>
        <v>1.2216</v>
      </c>
      <c r="CF273" s="100">
        <f t="shared" si="194"/>
        <v>153700</v>
      </c>
      <c r="CG273" s="100">
        <f>CF273*'Weighting Factors'!$Q$7</f>
        <v>153700</v>
      </c>
      <c r="CH273" s="100">
        <f t="shared" si="180"/>
        <v>187760</v>
      </c>
      <c r="CI273" s="58">
        <f>AK273/'Weighting Factors'!$O$5</f>
        <v>36.9</v>
      </c>
      <c r="CJ273" s="67">
        <v>0</v>
      </c>
      <c r="CK273" s="80">
        <v>0</v>
      </c>
      <c r="CL273" s="110">
        <v>0</v>
      </c>
      <c r="CM273" s="24">
        <f>SUM((AR273*'Weighting Factors'!$O$5)+'2024 Legal Max'!AX273)*CL273</f>
        <v>0</v>
      </c>
      <c r="CN273" s="24">
        <f t="shared" si="181"/>
        <v>0</v>
      </c>
      <c r="CO273" s="65">
        <f t="shared" si="182"/>
        <v>0.61980000000000002</v>
      </c>
      <c r="CP273" s="58">
        <f t="shared" si="195"/>
        <v>34.200000000000003</v>
      </c>
      <c r="CQ273" s="58">
        <f t="shared" si="196"/>
        <v>0</v>
      </c>
      <c r="CR273" s="58">
        <f t="shared" si="197"/>
        <v>1117.8</v>
      </c>
      <c r="CS273" s="24">
        <f>'Required Transfers'!L273</f>
        <v>258691</v>
      </c>
      <c r="CT273" s="24">
        <f>'Required Transfers'!O273</f>
        <v>75368</v>
      </c>
      <c r="CU273" s="24">
        <f>'Required Transfers'!H273</f>
        <v>976896</v>
      </c>
      <c r="CV273" s="58">
        <f t="shared" si="198"/>
        <v>514.79999999999995</v>
      </c>
      <c r="CW273" s="27" t="s">
        <v>458</v>
      </c>
    </row>
    <row r="274" spans="1:101" ht="15" customHeight="1">
      <c r="A274" s="54">
        <v>495</v>
      </c>
      <c r="B274" s="1" t="s">
        <v>107</v>
      </c>
      <c r="C274" s="1" t="s">
        <v>778</v>
      </c>
      <c r="D274" s="58">
        <v>808.5</v>
      </c>
      <c r="E274" s="58"/>
      <c r="F274" s="58">
        <v>0</v>
      </c>
      <c r="G274" s="58">
        <f t="shared" si="199"/>
        <v>808.5</v>
      </c>
      <c r="H274" s="58">
        <v>787.5</v>
      </c>
      <c r="I274" s="58"/>
      <c r="J274" s="58">
        <v>0</v>
      </c>
      <c r="K274" s="58">
        <f t="shared" si="200"/>
        <v>787.5</v>
      </c>
      <c r="L274" s="1">
        <v>791.3</v>
      </c>
      <c r="N274" s="1">
        <v>0</v>
      </c>
      <c r="O274" s="58">
        <f t="shared" si="201"/>
        <v>791.3</v>
      </c>
      <c r="P274" s="58">
        <f>IF(ISNA(VLOOKUP($CW274,'Audit Values'!$A:$BZ,2,FALSE)),'Preliminary SO66'!C273,VLOOKUP($CW274,'Audit Values'!$A:$BZ,76,FALSE))</f>
        <v>776</v>
      </c>
      <c r="Q274" s="58">
        <f>IF(ISNA(VLOOKUP($CW274,'Audit Values'!$A:$BZ,2,FALSE)),'Preliminary SO66'!F273,VLOOKUP($CW274,'Audit Values'!$A:$BZ,4,FALSE))</f>
        <v>0</v>
      </c>
      <c r="R274" s="58">
        <f t="shared" si="169"/>
        <v>776</v>
      </c>
      <c r="S274" s="58">
        <f>IF('Military Provision'!I274="YES", MAX('2024 Legal Max'!O274,'2024 Legal Max'!K274,AVERAGE('2024 Legal Max'!G274,'2024 Legal Max'!K274,'2024 Legal Max'!O274)), MAX(O274, K274))</f>
        <v>791.3</v>
      </c>
      <c r="T274" s="58">
        <f>IF(ISNA(VLOOKUP($CW274,'Audit Values'!$A:$BX,2,FALSE)),'Preliminary SO66'!AL273,VLOOKUP($CW274,'Audit Values'!$A:$BX,59,FALSE))</f>
        <v>33.5</v>
      </c>
      <c r="U274" s="58">
        <f t="shared" si="170"/>
        <v>824.8</v>
      </c>
      <c r="V274" s="58">
        <f>'Low-High ENRL- 2023 HSubSB 113'!N277</f>
        <v>252.3</v>
      </c>
      <c r="W274" s="58">
        <f>IF(ISNA(VLOOKUP($CW274,'Audit Values'!$A:$BZ,2,FALSE)),'Preliminary SO66'!AM273,VLOOKUP($CW274,'Audit Values'!$A:$BZ,63,FALSE))</f>
        <v>20.6</v>
      </c>
      <c r="X274" s="58">
        <f>(W274/6)*'Weighting Factors'!$O$7</f>
        <v>1.4</v>
      </c>
      <c r="Y274" s="61">
        <f>IF(ISNA(VLOOKUP($CW274,'Audit Values'!$A:$BZ,2,FALSE)),'Preliminary SO66'!AN273,VLOOKUP($CW274,'Audit Values'!$A:$BZ,62,FALSE))</f>
        <v>20</v>
      </c>
      <c r="Z274" s="58">
        <f>Y274*'Weighting Factors'!$O$8</f>
        <v>3.7</v>
      </c>
      <c r="AA274" s="58">
        <f t="shared" si="171"/>
        <v>3.7</v>
      </c>
      <c r="AB274" s="106">
        <f>IF(ISNA(VLOOKUP($CW274,'Audit Values'!$A:$BZ,2,FALSE)),'Preliminary SO66'!AO273,VLOOKUP($CW274,'Audit Values'!$A:$BZ,61,FALSE))</f>
        <v>357.8</v>
      </c>
      <c r="AC274" s="58">
        <f>AB274/6*'Weighting Factors'!$O$6</f>
        <v>29.8</v>
      </c>
      <c r="AD274" s="24">
        <f>IF(ISNA(VLOOKUP($CW274,'Audit Values'!$A:$BX,2,FALSE)),'Preliminary SO66'!AS273,VLOOKUP($CW274,'Audit Values'!$A:$BX,64,FALSE))</f>
        <v>853</v>
      </c>
      <c r="AE274" s="24">
        <f>IF(ISNA(VLOOKUP($CW274,'Audit Values'!$A:$BX,2,FALSE)),'Preliminary SO66'!AP273,VLOOKUP($CW274,'Audit Values'!$A:$BX,65,FALSE))</f>
        <v>395</v>
      </c>
      <c r="AF274" s="58">
        <f>IF(A274=207, AE274,(AE274))*'Weighting Factors'!$O$9</f>
        <v>191.2</v>
      </c>
      <c r="AG274" s="58">
        <f t="shared" si="168"/>
        <v>31.3</v>
      </c>
      <c r="AH274" s="58">
        <f>IF(ISNA(VLOOKUP($CW274,'Audit Values'!$A:$BZ,2,FALSE)),'Preliminary SO66'!AG273,VLOOKUP($CW274,'Audit Values'!$A:$BZ,71,FALSE))</f>
        <v>29.9</v>
      </c>
      <c r="AI274" s="58">
        <f t="shared" si="172"/>
        <v>31.3</v>
      </c>
      <c r="AJ274" s="58">
        <f>IF(ISNA(VLOOKUP($CW274,'Audit Values'!$A:$BX,2,FALSE)),'Preliminary SO66'!AR273,VLOOKUP($CW274,'Audit Values'!$A:$BX,66,FALSE))</f>
        <v>152</v>
      </c>
      <c r="AK274" s="24">
        <f t="shared" si="173"/>
        <v>220963</v>
      </c>
      <c r="AL274" s="58">
        <f>AK274/'Weighting Factors'!$O$5</f>
        <v>43.4</v>
      </c>
      <c r="AM274" s="58">
        <f>CJ274/'Weighting Factors'!$O$5</f>
        <v>0</v>
      </c>
      <c r="AN274" s="58">
        <f>CN274/'Weighting Factors'!$O$5</f>
        <v>0</v>
      </c>
      <c r="AO274" s="24">
        <v>1012566</v>
      </c>
      <c r="AP274" s="58">
        <f>AO274/'Weighting Factors'!$O$5</f>
        <v>199</v>
      </c>
      <c r="AQ274" s="58">
        <f>IF(ISNA(VLOOKUP($CW274,'Audit Values'!$A:$BX,2,FALSE)),'Preliminary SO66'!X273,VLOOKUP($CW274,'Audit Values'!$A:$BX,48,FALSE))</f>
        <v>2</v>
      </c>
      <c r="AR274" s="58">
        <f t="shared" si="202"/>
        <v>1577.5</v>
      </c>
      <c r="AS274" s="58">
        <f t="shared" si="203"/>
        <v>1378.5</v>
      </c>
      <c r="AT274" s="58">
        <f>IF(ISNA(VLOOKUP($CW274,'Audit Values'!$A$2:$BX$410,2,FALSE)),'Preliminary SO66'!AA273,VLOOKUP($CW274,'Audit Values'!$A$2:$BX$410,41,FALSE))</f>
        <v>0</v>
      </c>
      <c r="AU274" s="58">
        <f>IF(ISNA(VLOOKUP($CW274,'Audit Values'!$A$2:$BX$410,2,FALSE)),'Preliminary SO66'!AB273,VLOOKUP($CW274,'Audit Values'!$A$2:$BX$410,42,FALSE))</f>
        <v>0</v>
      </c>
      <c r="AV274" s="73">
        <v>0</v>
      </c>
      <c r="AW274" s="73">
        <v>0</v>
      </c>
      <c r="AX274" s="24">
        <f>SUM(AT274*'Weighting Factors'!$R$10)+('2024 Legal Max'!AU274*'Weighting Factors'!$R$11)+('2024 Legal Max'!AV274*'Weighting Factors'!$R$12)+('2024 Legal Max'!AW274*'Weighting Factors'!$R$12)</f>
        <v>0</v>
      </c>
      <c r="AY274" s="54">
        <f>IF(ISNA(VLOOKUP($CW274,'Audit Values'!$A$2:$BX$429,2,FALSE)),"",IF(AND('Weighting Factors'!G274&gt;0,VLOOKUP($CW274,'Audit Values'!$A$2:$BX$429,51,FALSE)&lt;'Weighting Factors'!G274),'Weighting Factors'!G274,VLOOKUP($CW274,'Audit Values'!$A$2:$BX$429,51,FALSE)))</f>
        <v>16</v>
      </c>
      <c r="AZ274" s="54" t="str">
        <f>IF(ISNA(VLOOKUP($CW274,'Audit Values'!$A:$BY,2,FALSE)),"",VLOOKUP($CW274,'Audit Values'!$A:$BY,52,FALSE))</f>
        <v>A</v>
      </c>
      <c r="BA274" s="54" t="str">
        <f>IF('Weighting Factors'!F274="","",IF('Weighting Factors'!H274="Pending","PX","R"))</f>
        <v/>
      </c>
      <c r="BB274" s="60">
        <f>SUM((U274+V274+AA274+AC274+AF274+AI274+AL274+AM274+AQ274+AN274)*'Weighting Factors'!$O$5)+'2024 Legal Max'!AX274</f>
        <v>7013808</v>
      </c>
      <c r="BC274" s="24">
        <f>SUM((AR274+AN274)*'Weighting Factors'!$O$5)+AX274</f>
        <v>8026320</v>
      </c>
      <c r="BD274" s="67">
        <f>IF('Weighting Factors'!F274&gt;0,'Weighting Factors'!F274,'Preliminary SO66'!AV273)</f>
        <v>8495446</v>
      </c>
      <c r="BE274" s="24">
        <f t="shared" si="174"/>
        <v>8026320</v>
      </c>
      <c r="BF274" s="71">
        <f>'Weighting Factors'!E274</f>
        <v>0</v>
      </c>
      <c r="BG274" s="71">
        <f>Transportation!G274</f>
        <v>0</v>
      </c>
      <c r="BH274" s="24">
        <f>IF(ISNA(VLOOKUP($CW274,'Audit Values'!$A:$BW,2,FALSE)), 0, VLOOKUP($CW274,'Audit Values'!$A:$BW,75,FALSE))</f>
        <v>0</v>
      </c>
      <c r="BI274" s="24">
        <f t="shared" si="175"/>
        <v>0</v>
      </c>
      <c r="BJ274" s="24">
        <f t="shared" si="176"/>
        <v>8026320</v>
      </c>
      <c r="BK274" s="24">
        <f>SUM((U274+V274+AA274+AC274+AF274+AI274+AL274+AM274+AN274)*'Weighting Factors'!O$12)+(MAX(AO274,'Weighting Factors'!B274))</f>
        <v>8169578</v>
      </c>
      <c r="BL274" s="78">
        <f>'LOB%'!F272</f>
        <v>0.33</v>
      </c>
      <c r="BM274" s="24">
        <f t="shared" si="183"/>
        <v>2695961</v>
      </c>
      <c r="BN274" s="67">
        <v>2826387</v>
      </c>
      <c r="BO274" s="24">
        <f t="shared" si="177"/>
        <v>2695961</v>
      </c>
      <c r="BP274" s="89">
        <f t="shared" si="184"/>
        <v>0.33</v>
      </c>
      <c r="BQ274" s="58">
        <f t="shared" si="185"/>
        <v>0</v>
      </c>
      <c r="BR274" s="1" t="b">
        <f t="shared" si="186"/>
        <v>0</v>
      </c>
      <c r="BS274" s="76">
        <f t="shared" si="187"/>
        <v>0</v>
      </c>
      <c r="BT274" s="75">
        <f t="shared" si="178"/>
        <v>0</v>
      </c>
      <c r="BU274" s="58">
        <f t="shared" si="188"/>
        <v>0</v>
      </c>
      <c r="BV274" s="1" t="b">
        <f t="shared" si="189"/>
        <v>1</v>
      </c>
      <c r="BW274" s="1">
        <f t="shared" si="190"/>
        <v>649.44000000000005</v>
      </c>
      <c r="BX274" s="75">
        <f t="shared" si="179"/>
        <v>0.30588599999999999</v>
      </c>
      <c r="BY274" s="58">
        <f t="shared" si="191"/>
        <v>252.3</v>
      </c>
      <c r="BZ274" s="58">
        <f t="shared" si="192"/>
        <v>0</v>
      </c>
      <c r="CA274" s="61">
        <v>518</v>
      </c>
      <c r="CB274" s="102">
        <f t="shared" si="193"/>
        <v>0.29299999999999998</v>
      </c>
      <c r="CC274" s="105">
        <f>IF(CB274&lt;0.06,1,IF(CB274&gt;=18.29,52,MATCH(CB274-0.001,'Weighting Factors'!$W$5:$W$156)+1))</f>
        <v>20</v>
      </c>
      <c r="CD274" s="24">
        <f>VLOOKUP(CC274, 'Weighting Factors'!$U$5:$X$56,4)</f>
        <v>1190</v>
      </c>
      <c r="CE274" s="109">
        <f>('Weighting Factors'!$O$5/'Weighting Factors'!$O$14)</f>
        <v>1.2216</v>
      </c>
      <c r="CF274" s="100">
        <f t="shared" si="194"/>
        <v>180880</v>
      </c>
      <c r="CG274" s="100">
        <f>CF274*'Weighting Factors'!$Q$7</f>
        <v>180880</v>
      </c>
      <c r="CH274" s="100">
        <f t="shared" si="180"/>
        <v>220963</v>
      </c>
      <c r="CI274" s="58">
        <f>AK274/'Weighting Factors'!$O$5</f>
        <v>43.4</v>
      </c>
      <c r="CJ274" s="67">
        <v>0</v>
      </c>
      <c r="CK274" s="80">
        <v>0</v>
      </c>
      <c r="CL274" s="110">
        <v>0</v>
      </c>
      <c r="CM274" s="24">
        <f>SUM((AR274*'Weighting Factors'!$O$5)+'2024 Legal Max'!AX274)*CL274</f>
        <v>0</v>
      </c>
      <c r="CN274" s="24">
        <f t="shared" si="181"/>
        <v>0</v>
      </c>
      <c r="CO274" s="65">
        <f t="shared" si="182"/>
        <v>0.46310000000000001</v>
      </c>
      <c r="CP274" s="58">
        <f t="shared" si="195"/>
        <v>0</v>
      </c>
      <c r="CQ274" s="58">
        <f t="shared" si="196"/>
        <v>31.3</v>
      </c>
      <c r="CR274" s="58">
        <f t="shared" si="197"/>
        <v>1577.5</v>
      </c>
      <c r="CS274" s="24">
        <f>'Required Transfers'!L274</f>
        <v>334299</v>
      </c>
      <c r="CT274" s="24">
        <f>'Required Transfers'!O274</f>
        <v>6470</v>
      </c>
      <c r="CU274" s="24">
        <f>'Required Transfers'!H274</f>
        <v>1132080</v>
      </c>
      <c r="CV274" s="58">
        <f t="shared" si="198"/>
        <v>809.5</v>
      </c>
      <c r="CW274" s="27" t="s">
        <v>459</v>
      </c>
    </row>
    <row r="275" spans="1:101" ht="15" customHeight="1">
      <c r="A275" s="54">
        <v>496</v>
      </c>
      <c r="B275" s="1" t="s">
        <v>107</v>
      </c>
      <c r="C275" s="1" t="s">
        <v>779</v>
      </c>
      <c r="D275" s="58">
        <v>134</v>
      </c>
      <c r="E275" s="58"/>
      <c r="F275" s="58">
        <v>0</v>
      </c>
      <c r="G275" s="58">
        <f t="shared" si="199"/>
        <v>134</v>
      </c>
      <c r="H275" s="58">
        <v>134.5</v>
      </c>
      <c r="I275" s="58"/>
      <c r="J275" s="58">
        <v>0</v>
      </c>
      <c r="K275" s="58">
        <f t="shared" si="200"/>
        <v>134.5</v>
      </c>
      <c r="L275" s="1">
        <v>124.5</v>
      </c>
      <c r="N275" s="1">
        <v>0</v>
      </c>
      <c r="O275" s="58">
        <f t="shared" si="201"/>
        <v>124.5</v>
      </c>
      <c r="P275" s="58">
        <f>IF(ISNA(VLOOKUP($CW275,'Audit Values'!$A:$BZ,2,FALSE)),'Preliminary SO66'!C274,VLOOKUP($CW275,'Audit Values'!$A:$BZ,76,FALSE))</f>
        <v>117</v>
      </c>
      <c r="Q275" s="58">
        <f>IF(ISNA(VLOOKUP($CW275,'Audit Values'!$A:$BZ,2,FALSE)),'Preliminary SO66'!F274,VLOOKUP($CW275,'Audit Values'!$A:$BZ,4,FALSE))</f>
        <v>0</v>
      </c>
      <c r="R275" s="58">
        <f t="shared" si="169"/>
        <v>117</v>
      </c>
      <c r="S275" s="58">
        <f>IF('Military Provision'!I275="YES", MAX('2024 Legal Max'!O275,'2024 Legal Max'!K275,AVERAGE('2024 Legal Max'!G275,'2024 Legal Max'!K275,'2024 Legal Max'!O275)), MAX(O275, K275))</f>
        <v>134.5</v>
      </c>
      <c r="T275" s="58">
        <f>IF(ISNA(VLOOKUP($CW275,'Audit Values'!$A:$BX,2,FALSE)),'Preliminary SO66'!AL274,VLOOKUP($CW275,'Audit Values'!$A:$BX,59,FALSE))</f>
        <v>2.5</v>
      </c>
      <c r="U275" s="58">
        <f t="shared" si="170"/>
        <v>137</v>
      </c>
      <c r="V275" s="58">
        <f>'Low-High ENRL- 2023 HSubSB 113'!N278</f>
        <v>125.5</v>
      </c>
      <c r="W275" s="58">
        <f>IF(ISNA(VLOOKUP($CW275,'Audit Values'!$A:$BZ,2,FALSE)),'Preliminary SO66'!AM274,VLOOKUP($CW275,'Audit Values'!$A:$BZ,63,FALSE))</f>
        <v>0</v>
      </c>
      <c r="X275" s="58">
        <f>(W275/6)*'Weighting Factors'!$O$7</f>
        <v>0</v>
      </c>
      <c r="Y275" s="61">
        <f>IF(ISNA(VLOOKUP($CW275,'Audit Values'!$A:$BZ,2,FALSE)),'Preliminary SO66'!AN274,VLOOKUP($CW275,'Audit Values'!$A:$BZ,62,FALSE))</f>
        <v>0</v>
      </c>
      <c r="Z275" s="58">
        <f>Y275*'Weighting Factors'!$O$8</f>
        <v>0</v>
      </c>
      <c r="AA275" s="58">
        <f t="shared" si="171"/>
        <v>0</v>
      </c>
      <c r="AB275" s="106">
        <f>IF(ISNA(VLOOKUP($CW275,'Audit Values'!$A:$BZ,2,FALSE)),'Preliminary SO66'!AO274,VLOOKUP($CW275,'Audit Values'!$A:$BZ,61,FALSE))</f>
        <v>0</v>
      </c>
      <c r="AC275" s="58">
        <f>AB275/6*'Weighting Factors'!$O$6</f>
        <v>0</v>
      </c>
      <c r="AD275" s="24">
        <f>IF(ISNA(VLOOKUP($CW275,'Audit Values'!$A:$BX,2,FALSE)),'Preliminary SO66'!AS274,VLOOKUP($CW275,'Audit Values'!$A:$BX,64,FALSE))</f>
        <v>123</v>
      </c>
      <c r="AE275" s="24">
        <f>IF(ISNA(VLOOKUP($CW275,'Audit Values'!$A:$BX,2,FALSE)),'Preliminary SO66'!AP274,VLOOKUP($CW275,'Audit Values'!$A:$BX,65,FALSE))</f>
        <v>47</v>
      </c>
      <c r="AF275" s="58">
        <f>IF(A275=207, AE275,(AE275))*'Weighting Factors'!$O$9</f>
        <v>22.7</v>
      </c>
      <c r="AG275" s="58">
        <f t="shared" si="168"/>
        <v>1.1000000000000001</v>
      </c>
      <c r="AH275" s="58">
        <f>IF(ISNA(VLOOKUP($CW275,'Audit Values'!$A:$BZ,2,FALSE)),'Preliminary SO66'!AG274,VLOOKUP($CW275,'Audit Values'!$A:$BZ,71,FALSE))</f>
        <v>1</v>
      </c>
      <c r="AI275" s="58">
        <f t="shared" si="172"/>
        <v>1.1000000000000001</v>
      </c>
      <c r="AJ275" s="58">
        <f>IF(ISNA(VLOOKUP($CW275,'Audit Values'!$A:$BX,2,FALSE)),'Preliminary SO66'!AR274,VLOOKUP($CW275,'Audit Values'!$A:$BX,66,FALSE))</f>
        <v>69.5</v>
      </c>
      <c r="AK275" s="24">
        <f t="shared" si="173"/>
        <v>104428</v>
      </c>
      <c r="AL275" s="58">
        <f>AK275/'Weighting Factors'!$O$5</f>
        <v>20.5</v>
      </c>
      <c r="AM275" s="58">
        <f>CJ275/'Weighting Factors'!$O$5</f>
        <v>0</v>
      </c>
      <c r="AN275" s="58">
        <f>CN275/'Weighting Factors'!$O$5</f>
        <v>0</v>
      </c>
      <c r="AO275" s="24">
        <v>151015</v>
      </c>
      <c r="AP275" s="58">
        <f>AO275/'Weighting Factors'!$O$5</f>
        <v>29.7</v>
      </c>
      <c r="AQ275" s="58">
        <f>IF(ISNA(VLOOKUP($CW275,'Audit Values'!$A:$BX,2,FALSE)),'Preliminary SO66'!X274,VLOOKUP($CW275,'Audit Values'!$A:$BX,48,FALSE))</f>
        <v>0</v>
      </c>
      <c r="AR275" s="58">
        <f t="shared" si="202"/>
        <v>336.5</v>
      </c>
      <c r="AS275" s="58">
        <f t="shared" si="203"/>
        <v>306.8</v>
      </c>
      <c r="AT275" s="58">
        <f>IF(ISNA(VLOOKUP($CW275,'Audit Values'!$A$2:$BX$410,2,FALSE)),'Preliminary SO66'!AA274,VLOOKUP($CW275,'Audit Values'!$A$2:$BX$410,41,FALSE))</f>
        <v>4</v>
      </c>
      <c r="AU275" s="58">
        <f>IF(ISNA(VLOOKUP($CW275,'Audit Values'!$A$2:$BX$410,2,FALSE)),'Preliminary SO66'!AB274,VLOOKUP($CW275,'Audit Values'!$A$2:$BX$410,42,FALSE))</f>
        <v>0</v>
      </c>
      <c r="AV275" s="73">
        <v>1</v>
      </c>
      <c r="AW275" s="73">
        <v>0</v>
      </c>
      <c r="AX275" s="24">
        <f>SUM(AT275*'Weighting Factors'!$R$10)+('2024 Legal Max'!AU275*'Weighting Factors'!$R$11)+('2024 Legal Max'!AV275*'Weighting Factors'!$R$12)+('2024 Legal Max'!AW275*'Weighting Factors'!$R$12)</f>
        <v>23109</v>
      </c>
      <c r="AY275" s="54">
        <f>IF(ISNA(VLOOKUP($CW275,'Audit Values'!$A$2:$BX$429,2,FALSE)),"",IF(AND('Weighting Factors'!G275&gt;0,VLOOKUP($CW275,'Audit Values'!$A$2:$BX$429,51,FALSE)&lt;'Weighting Factors'!G275),'Weighting Factors'!G275,VLOOKUP($CW275,'Audit Values'!$A$2:$BX$429,51,FALSE)))</f>
        <v>2</v>
      </c>
      <c r="AZ275" s="54" t="str">
        <f>IF(ISNA(VLOOKUP($CW275,'Audit Values'!$A:$BY,2,FALSE)),"",VLOOKUP($CW275,'Audit Values'!$A:$BY,52,FALSE))</f>
        <v>A</v>
      </c>
      <c r="BA275" s="54" t="str">
        <f>IF('Weighting Factors'!F275="","",IF('Weighting Factors'!H275="Pending","PX","R"))</f>
        <v/>
      </c>
      <c r="BB275" s="60">
        <f>SUM((U275+V275+AA275+AC275+AF275+AI275+AL275+AM275+AQ275+AN275)*'Weighting Factors'!$O$5)+'2024 Legal Max'!AX275</f>
        <v>1584107</v>
      </c>
      <c r="BC275" s="24">
        <f>SUM((AR275+AN275)*'Weighting Factors'!$O$5)+AX275</f>
        <v>1735221</v>
      </c>
      <c r="BD275" s="67">
        <f>IF('Weighting Factors'!F275&gt;0,'Weighting Factors'!F275,'Preliminary SO66'!AV274)</f>
        <v>1971573</v>
      </c>
      <c r="BE275" s="24">
        <f t="shared" si="174"/>
        <v>1735221</v>
      </c>
      <c r="BF275" s="71">
        <f>'Weighting Factors'!E275</f>
        <v>0</v>
      </c>
      <c r="BG275" s="71">
        <f>Transportation!G275</f>
        <v>0</v>
      </c>
      <c r="BH275" s="24">
        <f>IF(ISNA(VLOOKUP($CW275,'Audit Values'!$A:$BW,2,FALSE)), 0, VLOOKUP($CW275,'Audit Values'!$A:$BW,75,FALSE))</f>
        <v>0</v>
      </c>
      <c r="BI275" s="24">
        <f t="shared" si="175"/>
        <v>0</v>
      </c>
      <c r="BJ275" s="24">
        <f t="shared" si="176"/>
        <v>1735221</v>
      </c>
      <c r="BK275" s="24">
        <f>SUM((U275+V275+AA275+AC275+AF275+AI275+AL275+AM275+AN275)*'Weighting Factors'!O$12)+(MAX(AO275,'Weighting Factors'!B275))</f>
        <v>1748963</v>
      </c>
      <c r="BL275" s="78">
        <f>'LOB%'!F273</f>
        <v>0.33</v>
      </c>
      <c r="BM275" s="24">
        <f t="shared" si="183"/>
        <v>577158</v>
      </c>
      <c r="BN275" s="67">
        <v>652175</v>
      </c>
      <c r="BO275" s="24">
        <f t="shared" si="177"/>
        <v>577158</v>
      </c>
      <c r="BP275" s="89">
        <f t="shared" si="184"/>
        <v>0.33</v>
      </c>
      <c r="BQ275" s="58">
        <f t="shared" si="185"/>
        <v>0</v>
      </c>
      <c r="BR275" s="1" t="b">
        <f t="shared" si="186"/>
        <v>1</v>
      </c>
      <c r="BS275" s="76">
        <f t="shared" si="187"/>
        <v>357.23500000000001</v>
      </c>
      <c r="BT275" s="75">
        <f t="shared" si="178"/>
        <v>0.91625400000000001</v>
      </c>
      <c r="BU275" s="58">
        <f t="shared" si="188"/>
        <v>125.5</v>
      </c>
      <c r="BV275" s="1" t="b">
        <f t="shared" si="189"/>
        <v>0</v>
      </c>
      <c r="BW275" s="1">
        <f t="shared" si="190"/>
        <v>0</v>
      </c>
      <c r="BX275" s="75">
        <f t="shared" si="179"/>
        <v>0</v>
      </c>
      <c r="BY275" s="58">
        <f t="shared" si="191"/>
        <v>0</v>
      </c>
      <c r="BZ275" s="58">
        <f t="shared" si="192"/>
        <v>0</v>
      </c>
      <c r="CA275" s="61">
        <v>283</v>
      </c>
      <c r="CB275" s="102">
        <f t="shared" si="193"/>
        <v>0.246</v>
      </c>
      <c r="CC275" s="105">
        <f>IF(CB275&lt;0.06,1,IF(CB275&gt;=18.29,52,MATCH(CB275-0.001,'Weighting Factors'!$W$5:$W$156)+1))</f>
        <v>18</v>
      </c>
      <c r="CD275" s="24">
        <f>VLOOKUP(CC275, 'Weighting Factors'!$U$5:$X$56,4)</f>
        <v>1230</v>
      </c>
      <c r="CE275" s="109">
        <f>('Weighting Factors'!$O$5/'Weighting Factors'!$O$14)</f>
        <v>1.2216</v>
      </c>
      <c r="CF275" s="100">
        <f t="shared" si="194"/>
        <v>85485</v>
      </c>
      <c r="CG275" s="100">
        <f>CF275*'Weighting Factors'!$Q$7</f>
        <v>85485</v>
      </c>
      <c r="CH275" s="100">
        <f t="shared" si="180"/>
        <v>104428</v>
      </c>
      <c r="CI275" s="58">
        <f>AK275/'Weighting Factors'!$O$5</f>
        <v>20.5</v>
      </c>
      <c r="CJ275" s="67">
        <v>0</v>
      </c>
      <c r="CK275" s="80">
        <v>0</v>
      </c>
      <c r="CL275" s="110">
        <v>0</v>
      </c>
      <c r="CM275" s="24">
        <f>SUM((AR275*'Weighting Factors'!$O$5)+'2024 Legal Max'!AX275)*CL275</f>
        <v>0</v>
      </c>
      <c r="CN275" s="24">
        <f t="shared" si="181"/>
        <v>0</v>
      </c>
      <c r="CO275" s="65">
        <f t="shared" si="182"/>
        <v>0.3821</v>
      </c>
      <c r="CP275" s="58">
        <f t="shared" si="195"/>
        <v>0</v>
      </c>
      <c r="CQ275" s="58">
        <f t="shared" si="196"/>
        <v>1.1000000000000001</v>
      </c>
      <c r="CR275" s="58">
        <f t="shared" si="197"/>
        <v>336.5</v>
      </c>
      <c r="CS275" s="24">
        <f>'Required Transfers'!L275</f>
        <v>39247</v>
      </c>
      <c r="CT275" s="24">
        <f>'Required Transfers'!O275</f>
        <v>0</v>
      </c>
      <c r="CU275" s="24">
        <f>'Required Transfers'!H275</f>
        <v>121094</v>
      </c>
      <c r="CV275" s="58">
        <f t="shared" si="198"/>
        <v>123.7</v>
      </c>
      <c r="CW275" s="27" t="s">
        <v>460</v>
      </c>
    </row>
    <row r="276" spans="1:101" ht="15" customHeight="1">
      <c r="A276" s="54">
        <v>497</v>
      </c>
      <c r="B276" s="1" t="s">
        <v>63</v>
      </c>
      <c r="C276" s="1" t="s">
        <v>780</v>
      </c>
      <c r="D276" s="58">
        <v>9973.1</v>
      </c>
      <c r="E276" s="58"/>
      <c r="F276" s="58">
        <v>0</v>
      </c>
      <c r="G276" s="58">
        <f t="shared" si="199"/>
        <v>9973.1</v>
      </c>
      <c r="H276" s="58">
        <v>9985.6</v>
      </c>
      <c r="I276" s="58">
        <v>1</v>
      </c>
      <c r="J276" s="58">
        <v>0</v>
      </c>
      <c r="K276" s="58">
        <f t="shared" si="200"/>
        <v>9984.6</v>
      </c>
      <c r="L276" s="1">
        <v>9955</v>
      </c>
      <c r="N276" s="1">
        <v>0</v>
      </c>
      <c r="O276" s="58">
        <f t="shared" si="201"/>
        <v>9955</v>
      </c>
      <c r="P276" s="58">
        <f>IF(ISNA(VLOOKUP($CW276,'Audit Values'!$A:$BZ,2,FALSE)),'Preliminary SO66'!C275,VLOOKUP($CW276,'Audit Values'!$A:$BZ,76,FALSE))</f>
        <v>9803.5</v>
      </c>
      <c r="Q276" s="58">
        <f>IF(ISNA(VLOOKUP($CW276,'Audit Values'!$A:$BZ,2,FALSE)),'Preliminary SO66'!F275,VLOOKUP($CW276,'Audit Values'!$A:$BZ,4,FALSE))</f>
        <v>0</v>
      </c>
      <c r="R276" s="58">
        <f t="shared" si="169"/>
        <v>9803.5</v>
      </c>
      <c r="S276" s="58">
        <f>IF('Military Provision'!I276="YES", MAX('2024 Legal Max'!O276,'2024 Legal Max'!K276,AVERAGE('2024 Legal Max'!G276,'2024 Legal Max'!K276,'2024 Legal Max'!O276)), MAX(O276, K276))</f>
        <v>9984.6</v>
      </c>
      <c r="T276" s="58">
        <f>IF(ISNA(VLOOKUP($CW276,'Audit Values'!$A:$BX,2,FALSE)),'Preliminary SO66'!AL275,VLOOKUP($CW276,'Audit Values'!$A:$BX,59,FALSE))</f>
        <v>29</v>
      </c>
      <c r="U276" s="58">
        <f t="shared" si="170"/>
        <v>10013.6</v>
      </c>
      <c r="V276" s="58">
        <f>'Low-High ENRL- 2023 HSubSB 113'!N279</f>
        <v>350.9</v>
      </c>
      <c r="W276" s="58">
        <f>IF(ISNA(VLOOKUP($CW276,'Audit Values'!$A:$BZ,2,FALSE)),'Preliminary SO66'!AM275,VLOOKUP($CW276,'Audit Values'!$A:$BZ,63,FALSE))</f>
        <v>2339.5</v>
      </c>
      <c r="X276" s="58">
        <f>(W276/6)*'Weighting Factors'!$O$7</f>
        <v>154</v>
      </c>
      <c r="Y276" s="61">
        <f>IF(ISNA(VLOOKUP($CW276,'Audit Values'!$A:$BZ,2,FALSE)),'Preliminary SO66'!AN275,VLOOKUP($CW276,'Audit Values'!$A:$BZ,62,FALSE))</f>
        <v>622</v>
      </c>
      <c r="Z276" s="58">
        <f>Y276*'Weighting Factors'!$O$8</f>
        <v>115.1</v>
      </c>
      <c r="AA276" s="58">
        <f t="shared" si="171"/>
        <v>154</v>
      </c>
      <c r="AB276" s="106">
        <f>IF(ISNA(VLOOKUP($CW276,'Audit Values'!$A:$BZ,2,FALSE)),'Preliminary SO66'!AO275,VLOOKUP($CW276,'Audit Values'!$A:$BZ,61,FALSE))</f>
        <v>2291.1</v>
      </c>
      <c r="AC276" s="58">
        <f>AB276/6*'Weighting Factors'!$O$6</f>
        <v>190.9</v>
      </c>
      <c r="AD276" s="24">
        <f>IF(ISNA(VLOOKUP($CW276,'Audit Values'!$A:$BX,2,FALSE)),'Preliminary SO66'!AS275,VLOOKUP($CW276,'Audit Values'!$A:$BX,64,FALSE))</f>
        <v>9940</v>
      </c>
      <c r="AE276" s="24">
        <f>IF(ISNA(VLOOKUP($CW276,'Audit Values'!$A:$BX,2,FALSE)),'Preliminary SO66'!AP275,VLOOKUP($CW276,'Audit Values'!$A:$BX,65,FALSE))</f>
        <v>3505</v>
      </c>
      <c r="AF276" s="58">
        <f>IF(A276=207, AE276,(AE276))*'Weighting Factors'!$O$9</f>
        <v>1696.4</v>
      </c>
      <c r="AG276" s="58">
        <f t="shared" si="168"/>
        <v>6.4</v>
      </c>
      <c r="AH276" s="58">
        <f>IF(ISNA(VLOOKUP($CW276,'Audit Values'!$A:$BZ,2,FALSE)),'Preliminary SO66'!AG275,VLOOKUP($CW276,'Audit Values'!$A:$BZ,71,FALSE))</f>
        <v>167.2</v>
      </c>
      <c r="AI276" s="58">
        <f t="shared" si="172"/>
        <v>167.2</v>
      </c>
      <c r="AJ276" s="58">
        <f>IF(ISNA(VLOOKUP($CW276,'Audit Values'!$A:$BX,2,FALSE)),'Preliminary SO66'!AR275,VLOOKUP($CW276,'Audit Values'!$A:$BX,66,FALSE))</f>
        <v>2161</v>
      </c>
      <c r="AK276" s="24">
        <f t="shared" si="173"/>
        <v>1610325</v>
      </c>
      <c r="AL276" s="58">
        <f>AK276/'Weighting Factors'!$O$5</f>
        <v>316.5</v>
      </c>
      <c r="AM276" s="58">
        <f>CJ276/'Weighting Factors'!$O$5</f>
        <v>0</v>
      </c>
      <c r="AN276" s="58">
        <f>CN276/'Weighting Factors'!$O$5</f>
        <v>478.1</v>
      </c>
      <c r="AO276" s="24">
        <v>12739363</v>
      </c>
      <c r="AP276" s="58">
        <f>AO276/'Weighting Factors'!$O$5</f>
        <v>2503.8000000000002</v>
      </c>
      <c r="AQ276" s="58">
        <f>IF(ISNA(VLOOKUP($CW276,'Audit Values'!$A:$BX,2,FALSE)),'Preliminary SO66'!X275,VLOOKUP($CW276,'Audit Values'!$A:$BX,48,FALSE))</f>
        <v>0</v>
      </c>
      <c r="AR276" s="58">
        <f t="shared" si="202"/>
        <v>15393.3</v>
      </c>
      <c r="AS276" s="58">
        <f t="shared" si="203"/>
        <v>13367.6</v>
      </c>
      <c r="AT276" s="58">
        <f>IF(ISNA(VLOOKUP($CW276,'Audit Values'!$A$2:$BX$410,2,FALSE)),'Preliminary SO66'!AA275,VLOOKUP($CW276,'Audit Values'!$A$2:$BX$410,41,FALSE))</f>
        <v>449</v>
      </c>
      <c r="AU276" s="58">
        <f>IF(ISNA(VLOOKUP($CW276,'Audit Values'!$A$2:$BX$410,2,FALSE)),'Preliminary SO66'!AB275,VLOOKUP($CW276,'Audit Values'!$A$2:$BX$410,42,FALSE))</f>
        <v>83.2</v>
      </c>
      <c r="AV276" s="73">
        <v>36</v>
      </c>
      <c r="AW276" s="73">
        <v>0</v>
      </c>
      <c r="AX276" s="24">
        <f>SUM(AT276*'Weighting Factors'!$R$10)+('2024 Legal Max'!AU276*'Weighting Factors'!$R$11)+('2024 Legal Max'!AV276*'Weighting Factors'!$R$12)+('2024 Legal Max'!AW276*'Weighting Factors'!$R$12)</f>
        <v>2772884</v>
      </c>
      <c r="AY276" s="54">
        <f>IF(ISNA(VLOOKUP($CW276,'Audit Values'!$A$2:$BX$429,2,FALSE)),"",IF(AND('Weighting Factors'!G276&gt;0,VLOOKUP($CW276,'Audit Values'!$A$2:$BX$429,51,FALSE)&lt;'Weighting Factors'!G276),'Weighting Factors'!G276,VLOOKUP($CW276,'Audit Values'!$A$2:$BX$429,51,FALSE)))</f>
        <v>20</v>
      </c>
      <c r="AZ276" s="54" t="str">
        <f>IF(ISNA(VLOOKUP($CW276,'Audit Values'!$A:$BY,2,FALSE)),"",VLOOKUP($CW276,'Audit Values'!$A:$BY,52,FALSE))</f>
        <v>A</v>
      </c>
      <c r="BA276" s="54" t="str">
        <f>IF('Weighting Factors'!F276="","",IF('Weighting Factors'!H276="Pending","PX","R"))</f>
        <v/>
      </c>
      <c r="BB276" s="60">
        <f>SUM((U276+V276+AA276+AC276+AF276+AI276+AL276+AM276+AQ276+AN276)*'Weighting Factors'!$O$5)+'2024 Legal Max'!AX276</f>
        <v>70787233</v>
      </c>
      <c r="BC276" s="24">
        <f>SUM((AR276+AN276)*'Weighting Factors'!$O$5)+AX276</f>
        <v>83526567</v>
      </c>
      <c r="BD276" s="67">
        <f>IF('Weighting Factors'!F276&gt;0,'Weighting Factors'!F276,'Preliminary SO66'!AV275)</f>
        <v>87397847</v>
      </c>
      <c r="BE276" s="24">
        <f t="shared" si="174"/>
        <v>83526567</v>
      </c>
      <c r="BF276" s="71">
        <f>'Weighting Factors'!E276</f>
        <v>0</v>
      </c>
      <c r="BG276" s="71">
        <f>Transportation!G276</f>
        <v>0</v>
      </c>
      <c r="BH276" s="24">
        <f>IF(ISNA(VLOOKUP($CW276,'Audit Values'!$A:$BW,2,FALSE)), 0, VLOOKUP($CW276,'Audit Values'!$A:$BW,75,FALSE))</f>
        <v>-85268</v>
      </c>
      <c r="BI276" s="24">
        <f t="shared" si="175"/>
        <v>-85268</v>
      </c>
      <c r="BJ276" s="24">
        <f t="shared" si="176"/>
        <v>83441299</v>
      </c>
      <c r="BK276" s="24">
        <f>SUM((U276+V276+AA276+AC276+AF276+AI276+AL276+AM276+AN276)*'Weighting Factors'!O$12)+(MAX(AO276,'Weighting Factors'!B276))</f>
        <v>81689444</v>
      </c>
      <c r="BL276" s="78">
        <f>'LOB%'!F274</f>
        <v>0.33</v>
      </c>
      <c r="BM276" s="24">
        <f t="shared" si="183"/>
        <v>26957517</v>
      </c>
      <c r="BN276" s="67">
        <v>27906819</v>
      </c>
      <c r="BO276" s="24">
        <f t="shared" si="177"/>
        <v>26957517</v>
      </c>
      <c r="BP276" s="89">
        <f t="shared" si="184"/>
        <v>0.33</v>
      </c>
      <c r="BQ276" s="58">
        <f t="shared" si="185"/>
        <v>0</v>
      </c>
      <c r="BR276" s="1" t="b">
        <f t="shared" si="186"/>
        <v>0</v>
      </c>
      <c r="BS276" s="76">
        <f t="shared" si="187"/>
        <v>0</v>
      </c>
      <c r="BT276" s="75">
        <f t="shared" si="178"/>
        <v>0</v>
      </c>
      <c r="BU276" s="58">
        <f t="shared" si="188"/>
        <v>0</v>
      </c>
      <c r="BV276" s="1" t="b">
        <f t="shared" si="189"/>
        <v>0</v>
      </c>
      <c r="BW276" s="1">
        <f t="shared" si="190"/>
        <v>0</v>
      </c>
      <c r="BX276" s="75">
        <f t="shared" si="179"/>
        <v>0</v>
      </c>
      <c r="BY276" s="58">
        <f t="shared" si="191"/>
        <v>0</v>
      </c>
      <c r="BZ276" s="58">
        <f t="shared" si="192"/>
        <v>350.9</v>
      </c>
      <c r="CA276" s="61">
        <v>175.3</v>
      </c>
      <c r="CB276" s="102">
        <f t="shared" si="193"/>
        <v>12.327</v>
      </c>
      <c r="CC276" s="105">
        <f>IF(CB276&lt;0.06,1,IF(CB276&gt;=18.29,52,MATCH(CB276-0.001,'Weighting Factors'!$W$5:$W$156)+1))</f>
        <v>49</v>
      </c>
      <c r="CD276" s="24">
        <f>VLOOKUP(CC276, 'Weighting Factors'!$U$5:$X$56,4)</f>
        <v>610</v>
      </c>
      <c r="CE276" s="109">
        <f>('Weighting Factors'!$O$5/'Weighting Factors'!$O$14)</f>
        <v>1.2216</v>
      </c>
      <c r="CF276" s="100">
        <f t="shared" si="194"/>
        <v>1318210</v>
      </c>
      <c r="CG276" s="100">
        <f>CF276*'Weighting Factors'!$Q$7</f>
        <v>1318210</v>
      </c>
      <c r="CH276" s="100">
        <f t="shared" si="180"/>
        <v>1610325</v>
      </c>
      <c r="CI276" s="58">
        <f>AK276/'Weighting Factors'!$O$5</f>
        <v>316.5</v>
      </c>
      <c r="CJ276" s="67">
        <v>0</v>
      </c>
      <c r="CK276" s="80">
        <v>2545570</v>
      </c>
      <c r="CL276" s="110">
        <v>0.03</v>
      </c>
      <c r="CM276" s="24">
        <f>SUM((AR276*'Weighting Factors'!$O$5)+'2024 Legal Max'!AX276)*CL276</f>
        <v>2432820</v>
      </c>
      <c r="CN276" s="24">
        <f t="shared" si="181"/>
        <v>2432820</v>
      </c>
      <c r="CO276" s="65">
        <f t="shared" si="182"/>
        <v>0.35260000000000002</v>
      </c>
      <c r="CP276" s="58">
        <f t="shared" si="195"/>
        <v>0</v>
      </c>
      <c r="CQ276" s="58">
        <f t="shared" si="196"/>
        <v>6.4</v>
      </c>
      <c r="CR276" s="58">
        <f t="shared" si="197"/>
        <v>15871.4</v>
      </c>
      <c r="CS276" s="24">
        <f>'Required Transfers'!L276</f>
        <v>2887150</v>
      </c>
      <c r="CT276" s="24">
        <f>'Required Transfers'!O276</f>
        <v>261488</v>
      </c>
      <c r="CU276" s="24">
        <f>'Required Transfers'!H276</f>
        <v>9481997</v>
      </c>
      <c r="CV276" s="58">
        <f t="shared" si="198"/>
        <v>10370.700000000001</v>
      </c>
      <c r="CW276" s="27" t="s">
        <v>461</v>
      </c>
    </row>
    <row r="277" spans="1:101" ht="15" customHeight="1">
      <c r="A277" s="54">
        <v>498</v>
      </c>
      <c r="B277" s="1" t="s">
        <v>70</v>
      </c>
      <c r="C277" s="1" t="s">
        <v>781</v>
      </c>
      <c r="D277" s="58">
        <v>383.4</v>
      </c>
      <c r="E277" s="58"/>
      <c r="F277" s="58">
        <v>0</v>
      </c>
      <c r="G277" s="58">
        <f t="shared" si="199"/>
        <v>383.4</v>
      </c>
      <c r="H277" s="58">
        <v>398.9</v>
      </c>
      <c r="I277" s="58"/>
      <c r="J277" s="58">
        <v>0</v>
      </c>
      <c r="K277" s="58">
        <f t="shared" si="200"/>
        <v>398.9</v>
      </c>
      <c r="L277" s="1">
        <v>386.5</v>
      </c>
      <c r="N277" s="1">
        <v>0</v>
      </c>
      <c r="O277" s="58">
        <f t="shared" si="201"/>
        <v>386.5</v>
      </c>
      <c r="P277" s="58">
        <f>IF(ISNA(VLOOKUP($CW277,'Audit Values'!$A:$BZ,2,FALSE)),'Preliminary SO66'!C276,VLOOKUP($CW277,'Audit Values'!$A:$BZ,76,FALSE))</f>
        <v>373.5</v>
      </c>
      <c r="Q277" s="58">
        <f>IF(ISNA(VLOOKUP($CW277,'Audit Values'!$A:$BZ,2,FALSE)),'Preliminary SO66'!F276,VLOOKUP($CW277,'Audit Values'!$A:$BZ,4,FALSE))</f>
        <v>0</v>
      </c>
      <c r="R277" s="58">
        <f t="shared" si="169"/>
        <v>373.5</v>
      </c>
      <c r="S277" s="58">
        <f>IF('Military Provision'!I277="YES", MAX('2024 Legal Max'!O277,'2024 Legal Max'!K277,AVERAGE('2024 Legal Max'!G277,'2024 Legal Max'!K277,'2024 Legal Max'!O277)), MAX(O277, K277))</f>
        <v>398.9</v>
      </c>
      <c r="T277" s="58">
        <f>IF(ISNA(VLOOKUP($CW277,'Audit Values'!$A:$BX,2,FALSE)),'Preliminary SO66'!AL276,VLOOKUP($CW277,'Audit Values'!$A:$BX,59,FALSE))</f>
        <v>6</v>
      </c>
      <c r="U277" s="58">
        <f t="shared" si="170"/>
        <v>404.9</v>
      </c>
      <c r="V277" s="58">
        <f>'Low-High ENRL- 2023 HSubSB 113'!N280</f>
        <v>181.6</v>
      </c>
      <c r="W277" s="58">
        <f>IF(ISNA(VLOOKUP($CW277,'Audit Values'!$A:$BZ,2,FALSE)),'Preliminary SO66'!AM276,VLOOKUP($CW277,'Audit Values'!$A:$BZ,63,FALSE))</f>
        <v>0</v>
      </c>
      <c r="X277" s="58">
        <f>(W277/6)*'Weighting Factors'!$O$7</f>
        <v>0</v>
      </c>
      <c r="Y277" s="61">
        <f>IF(ISNA(VLOOKUP($CW277,'Audit Values'!$A:$BZ,2,FALSE)),'Preliminary SO66'!AN276,VLOOKUP($CW277,'Audit Values'!$A:$BZ,62,FALSE))</f>
        <v>4</v>
      </c>
      <c r="Z277" s="58">
        <f>Y277*'Weighting Factors'!$O$8</f>
        <v>0.7</v>
      </c>
      <c r="AA277" s="58">
        <f t="shared" si="171"/>
        <v>0.7</v>
      </c>
      <c r="AB277" s="106">
        <f>IF(ISNA(VLOOKUP($CW277,'Audit Values'!$A:$BZ,2,FALSE)),'Preliminary SO66'!AO276,VLOOKUP($CW277,'Audit Values'!$A:$BZ,61,FALSE))</f>
        <v>127.9</v>
      </c>
      <c r="AC277" s="58">
        <f>AB277/6*'Weighting Factors'!$O$6</f>
        <v>10.7</v>
      </c>
      <c r="AD277" s="24">
        <f>IF(ISNA(VLOOKUP($CW277,'Audit Values'!$A:$BX,2,FALSE)),'Preliminary SO66'!AS276,VLOOKUP($CW277,'Audit Values'!$A:$BX,64,FALSE))</f>
        <v>392</v>
      </c>
      <c r="AE277" s="24">
        <f>IF(ISNA(VLOOKUP($CW277,'Audit Values'!$A:$BX,2,FALSE)),'Preliminary SO66'!AP276,VLOOKUP($CW277,'Audit Values'!$A:$BX,65,FALSE))</f>
        <v>156</v>
      </c>
      <c r="AF277" s="58">
        <f>IF(A277=207, AE277,(AE277))*'Weighting Factors'!$O$9</f>
        <v>75.5</v>
      </c>
      <c r="AG277" s="58">
        <f t="shared" si="168"/>
        <v>5.2</v>
      </c>
      <c r="AH277" s="58">
        <f>IF(ISNA(VLOOKUP($CW277,'Audit Values'!$A:$BZ,2,FALSE)),'Preliminary SO66'!AG276,VLOOKUP($CW277,'Audit Values'!$A:$BZ,71,FALSE))</f>
        <v>7.2</v>
      </c>
      <c r="AI277" s="58">
        <f t="shared" si="172"/>
        <v>7.2</v>
      </c>
      <c r="AJ277" s="58">
        <f>IF(ISNA(VLOOKUP($CW277,'Audit Values'!$A:$BX,2,FALSE)),'Preliminary SO66'!AR276,VLOOKUP($CW277,'Audit Values'!$A:$BX,66,FALSE))</f>
        <v>263</v>
      </c>
      <c r="AK277" s="24">
        <f t="shared" si="173"/>
        <v>292366</v>
      </c>
      <c r="AL277" s="58">
        <f>AK277/'Weighting Factors'!$O$5</f>
        <v>57.5</v>
      </c>
      <c r="AM277" s="58">
        <f>CJ277/'Weighting Factors'!$O$5</f>
        <v>0</v>
      </c>
      <c r="AN277" s="58">
        <f>CN277/'Weighting Factors'!$O$5</f>
        <v>0</v>
      </c>
      <c r="AO277" s="24">
        <v>408882</v>
      </c>
      <c r="AP277" s="58">
        <f>AO277/'Weighting Factors'!$O$5</f>
        <v>80.400000000000006</v>
      </c>
      <c r="AQ277" s="58">
        <f>IF(ISNA(VLOOKUP($CW277,'Audit Values'!$A:$BX,2,FALSE)),'Preliminary SO66'!X276,VLOOKUP($CW277,'Audit Values'!$A:$BX,48,FALSE))</f>
        <v>0</v>
      </c>
      <c r="AR277" s="58">
        <f t="shared" si="202"/>
        <v>818.5</v>
      </c>
      <c r="AS277" s="58">
        <f t="shared" si="203"/>
        <v>738.1</v>
      </c>
      <c r="AT277" s="58">
        <f>IF(ISNA(VLOOKUP($CW277,'Audit Values'!$A$2:$BX$410,2,FALSE)),'Preliminary SO66'!AA276,VLOOKUP($CW277,'Audit Values'!$A$2:$BX$410,41,FALSE))</f>
        <v>0</v>
      </c>
      <c r="AU277" s="58">
        <f>IF(ISNA(VLOOKUP($CW277,'Audit Values'!$A$2:$BX$410,2,FALSE)),'Preliminary SO66'!AB276,VLOOKUP($CW277,'Audit Values'!$A$2:$BX$410,42,FALSE))</f>
        <v>0</v>
      </c>
      <c r="AV277" s="73">
        <v>0</v>
      </c>
      <c r="AW277" s="73">
        <v>0</v>
      </c>
      <c r="AX277" s="24">
        <f>SUM(AT277*'Weighting Factors'!$R$10)+('2024 Legal Max'!AU277*'Weighting Factors'!$R$11)+('2024 Legal Max'!AV277*'Weighting Factors'!$R$12)+('2024 Legal Max'!AW277*'Weighting Factors'!$R$12)</f>
        <v>0</v>
      </c>
      <c r="AY277" s="54">
        <f>IF(ISNA(VLOOKUP($CW277,'Audit Values'!$A$2:$BX$429,2,FALSE)),"",IF(AND('Weighting Factors'!G277&gt;0,VLOOKUP($CW277,'Audit Values'!$A$2:$BX$429,51,FALSE)&lt;'Weighting Factors'!G277),'Weighting Factors'!G277,VLOOKUP($CW277,'Audit Values'!$A$2:$BX$429,51,FALSE)))</f>
        <v>14</v>
      </c>
      <c r="AZ277" s="54" t="str">
        <f>IF(ISNA(VLOOKUP($CW277,'Audit Values'!$A:$BY,2,FALSE)),"",VLOOKUP($CW277,'Audit Values'!$A:$BY,52,FALSE))</f>
        <v>A</v>
      </c>
      <c r="BA277" s="54" t="str">
        <f>IF('Weighting Factors'!F277="","",IF('Weighting Factors'!H277="Pending","PX","R"))</f>
        <v/>
      </c>
      <c r="BB277" s="60">
        <f>SUM((U277+V277+AA277+AC277+AF277+AI277+AL277+AM277+AQ277+AN277)*'Weighting Factors'!$O$5)+'2024 Legal Max'!AX277</f>
        <v>3755453</v>
      </c>
      <c r="BC277" s="24">
        <f>SUM((AR277+AN277)*'Weighting Factors'!$O$5)+AX277</f>
        <v>4164528</v>
      </c>
      <c r="BD277" s="67">
        <f>IF('Weighting Factors'!F277&gt;0,'Weighting Factors'!F277,'Preliminary SO66'!AV276)</f>
        <v>4245936</v>
      </c>
      <c r="BE277" s="24">
        <f t="shared" si="174"/>
        <v>4164528</v>
      </c>
      <c r="BF277" s="71">
        <f>'Weighting Factors'!E277</f>
        <v>0</v>
      </c>
      <c r="BG277" s="71">
        <f>Transportation!G277</f>
        <v>0</v>
      </c>
      <c r="BH277" s="24">
        <f>IF(ISNA(VLOOKUP($CW277,'Audit Values'!$A:$BW,2,FALSE)), 0, VLOOKUP($CW277,'Audit Values'!$A:$BW,75,FALSE))</f>
        <v>0</v>
      </c>
      <c r="BI277" s="24">
        <f t="shared" si="175"/>
        <v>0</v>
      </c>
      <c r="BJ277" s="24">
        <f t="shared" si="176"/>
        <v>4164528</v>
      </c>
      <c r="BK277" s="24">
        <f>SUM((U277+V277+AA277+AC277+AF277+AI277+AL277+AM277+AN277)*'Weighting Factors'!O$12)+(MAX(AO277,'Weighting Factors'!B277))</f>
        <v>4316274</v>
      </c>
      <c r="BL277" s="78">
        <f>'LOB%'!F275</f>
        <v>0.33</v>
      </c>
      <c r="BM277" s="24">
        <f t="shared" si="183"/>
        <v>1424370</v>
      </c>
      <c r="BN277" s="67">
        <v>1437817</v>
      </c>
      <c r="BO277" s="24">
        <f t="shared" si="177"/>
        <v>1424370</v>
      </c>
      <c r="BP277" s="89">
        <f t="shared" si="184"/>
        <v>0.33</v>
      </c>
      <c r="BQ277" s="58">
        <f t="shared" si="185"/>
        <v>0</v>
      </c>
      <c r="BR277" s="1" t="b">
        <f t="shared" si="186"/>
        <v>0</v>
      </c>
      <c r="BS277" s="76">
        <f t="shared" si="187"/>
        <v>0</v>
      </c>
      <c r="BT277" s="75">
        <f t="shared" si="178"/>
        <v>0</v>
      </c>
      <c r="BU277" s="58">
        <f t="shared" si="188"/>
        <v>0</v>
      </c>
      <c r="BV277" s="1" t="b">
        <f t="shared" si="189"/>
        <v>1</v>
      </c>
      <c r="BW277" s="1">
        <f t="shared" si="190"/>
        <v>129.81379999999999</v>
      </c>
      <c r="BX277" s="75">
        <f t="shared" si="179"/>
        <v>0.44854699999999997</v>
      </c>
      <c r="BY277" s="58">
        <f t="shared" si="191"/>
        <v>181.6</v>
      </c>
      <c r="BZ277" s="58">
        <f t="shared" si="192"/>
        <v>0</v>
      </c>
      <c r="CA277" s="61">
        <v>205</v>
      </c>
      <c r="CB277" s="102">
        <f t="shared" si="193"/>
        <v>1.2829999999999999</v>
      </c>
      <c r="CC277" s="105">
        <f>IF(CB277&lt;0.06,1,IF(CB277&gt;=18.29,52,MATCH(CB277-0.001,'Weighting Factors'!$W$5:$W$156)+1))</f>
        <v>34</v>
      </c>
      <c r="CD277" s="24">
        <f>VLOOKUP(CC277, 'Weighting Factors'!$U$5:$X$56,4)</f>
        <v>910</v>
      </c>
      <c r="CE277" s="109">
        <f>('Weighting Factors'!$O$5/'Weighting Factors'!$O$14)</f>
        <v>1.2216</v>
      </c>
      <c r="CF277" s="60">
        <f t="shared" si="194"/>
        <v>239330</v>
      </c>
      <c r="CG277" s="60">
        <f>CF277*'Weighting Factors'!$Q$7</f>
        <v>239330</v>
      </c>
      <c r="CH277" s="60">
        <f t="shared" si="180"/>
        <v>292366</v>
      </c>
      <c r="CI277" s="58">
        <f>AK277/'Weighting Factors'!$O$5</f>
        <v>57.5</v>
      </c>
      <c r="CJ277" s="67">
        <v>0</v>
      </c>
      <c r="CK277" s="80">
        <v>0</v>
      </c>
      <c r="CL277" s="110">
        <v>0</v>
      </c>
      <c r="CM277" s="24">
        <f>SUM((AR277*'Weighting Factors'!$O$5)+'2024 Legal Max'!AX277)*CL277</f>
        <v>0</v>
      </c>
      <c r="CN277" s="24">
        <f t="shared" si="181"/>
        <v>0</v>
      </c>
      <c r="CO277" s="65">
        <f t="shared" si="182"/>
        <v>0.39800000000000002</v>
      </c>
      <c r="CP277" s="58">
        <f t="shared" si="195"/>
        <v>0</v>
      </c>
      <c r="CQ277" s="58">
        <f t="shared" si="196"/>
        <v>5.2</v>
      </c>
      <c r="CR277" s="58">
        <f t="shared" si="197"/>
        <v>818.5</v>
      </c>
      <c r="CS277" s="24">
        <f>'Required Transfers'!L277</f>
        <v>132324</v>
      </c>
      <c r="CT277" s="24">
        <f>'Required Transfers'!O277</f>
        <v>1282</v>
      </c>
      <c r="CU277" s="24">
        <f>'Required Transfers'!H277</f>
        <v>420778</v>
      </c>
      <c r="CV277" s="58">
        <f t="shared" si="198"/>
        <v>379.5</v>
      </c>
      <c r="CW277" s="1" t="s">
        <v>462</v>
      </c>
    </row>
    <row r="278" spans="1:101" ht="14.25" customHeight="1">
      <c r="A278" s="54">
        <v>499</v>
      </c>
      <c r="B278" s="1" t="s">
        <v>29</v>
      </c>
      <c r="C278" s="1" t="s">
        <v>782</v>
      </c>
      <c r="D278" s="58">
        <v>762.4</v>
      </c>
      <c r="E278" s="58"/>
      <c r="F278" s="58">
        <v>0</v>
      </c>
      <c r="G278" s="58">
        <f t="shared" si="199"/>
        <v>762.4</v>
      </c>
      <c r="H278" s="58">
        <v>759.8</v>
      </c>
      <c r="I278" s="58"/>
      <c r="J278" s="58">
        <v>0</v>
      </c>
      <c r="K278" s="58">
        <f t="shared" si="200"/>
        <v>759.8</v>
      </c>
      <c r="L278" s="1">
        <v>724</v>
      </c>
      <c r="N278" s="1">
        <v>0</v>
      </c>
      <c r="O278" s="58">
        <f t="shared" si="201"/>
        <v>724</v>
      </c>
      <c r="P278" s="58">
        <f>IF(ISNA(VLOOKUP($CW278,'Audit Values'!$A:$BZ,2,FALSE)),'Preliminary SO66'!C277,VLOOKUP($CW278,'Audit Values'!$A:$BZ,76,FALSE))</f>
        <v>695.6</v>
      </c>
      <c r="Q278" s="58">
        <f>IF(ISNA(VLOOKUP($CW278,'Audit Values'!$A:$BZ,2,FALSE)),'Preliminary SO66'!F277,VLOOKUP($CW278,'Audit Values'!$A:$BZ,4,FALSE))</f>
        <v>0</v>
      </c>
      <c r="R278" s="58">
        <f t="shared" si="169"/>
        <v>695.6</v>
      </c>
      <c r="S278" s="58">
        <f>IF('Military Provision'!I278="YES", MAX('2024 Legal Max'!O278,'2024 Legal Max'!K278,AVERAGE('2024 Legal Max'!G278,'2024 Legal Max'!K278,'2024 Legal Max'!O278)), MAX(O278, K278))</f>
        <v>759.8</v>
      </c>
      <c r="T278" s="58">
        <f>IF(ISNA(VLOOKUP($CW278,'Audit Values'!$A:$BX,2,FALSE)),'Preliminary SO66'!AL277,VLOOKUP($CW278,'Audit Values'!$A:$BX,59,FALSE))</f>
        <v>12.6</v>
      </c>
      <c r="U278" s="58">
        <f t="shared" si="170"/>
        <v>772.4</v>
      </c>
      <c r="V278" s="58">
        <f>'Low-High ENRL- 2023 HSubSB 113'!N281</f>
        <v>250</v>
      </c>
      <c r="W278" s="58">
        <f>IF(ISNA(VLOOKUP($CW278,'Audit Values'!$A:$BZ,2,FALSE)),'Preliminary SO66'!AM277,VLOOKUP($CW278,'Audit Values'!$A:$BZ,63,FALSE))</f>
        <v>0</v>
      </c>
      <c r="X278" s="58">
        <f>(W278/6)*'Weighting Factors'!$O$7</f>
        <v>0</v>
      </c>
      <c r="Y278" s="61">
        <f>IF(ISNA(VLOOKUP($CW278,'Audit Values'!$A:$BZ,2,FALSE)),'Preliminary SO66'!AN277,VLOOKUP($CW278,'Audit Values'!$A:$BZ,62,FALSE))</f>
        <v>0</v>
      </c>
      <c r="Z278" s="58">
        <f>Y278*'Weighting Factors'!$O$8</f>
        <v>0</v>
      </c>
      <c r="AA278" s="58">
        <f t="shared" si="171"/>
        <v>0</v>
      </c>
      <c r="AB278" s="106">
        <f>IF(ISNA(VLOOKUP($CW278,'Audit Values'!$A:$BZ,2,FALSE)),'Preliminary SO66'!AO277,VLOOKUP($CW278,'Audit Values'!$A:$BZ,61,FALSE))</f>
        <v>194.5</v>
      </c>
      <c r="AC278" s="58">
        <f>AB278/6*'Weighting Factors'!$O$6</f>
        <v>16.2</v>
      </c>
      <c r="AD278" s="24">
        <f>IF(ISNA(VLOOKUP($CW278,'Audit Values'!$A:$BX,2,FALSE)),'Preliminary SO66'!AS277,VLOOKUP($CW278,'Audit Values'!$A:$BX,64,FALSE))</f>
        <v>758</v>
      </c>
      <c r="AE278" s="24">
        <f>IF(ISNA(VLOOKUP($CW278,'Audit Values'!$A:$BX,2,FALSE)),'Preliminary SO66'!AP277,VLOOKUP($CW278,'Audit Values'!$A:$BX,65,FALSE))</f>
        <v>446</v>
      </c>
      <c r="AF278" s="58">
        <f>IF(A278=207, AE278,(AE278))*'Weighting Factors'!$O$9</f>
        <v>215.9</v>
      </c>
      <c r="AG278" s="58">
        <f t="shared" si="168"/>
        <v>46.8</v>
      </c>
      <c r="AH278" s="58">
        <f>IF(ISNA(VLOOKUP($CW278,'Audit Values'!$A:$BZ,2,FALSE)),'Preliminary SO66'!AG277,VLOOKUP($CW278,'Audit Values'!$A:$BZ,71,FALSE))</f>
        <v>46.9</v>
      </c>
      <c r="AI278" s="58">
        <f t="shared" si="172"/>
        <v>46.9</v>
      </c>
      <c r="AJ278" s="58">
        <f>IF(ISNA(VLOOKUP($CW278,'Audit Values'!$A:$BX,2,FALSE)),'Preliminary SO66'!AR277,VLOOKUP($CW278,'Audit Values'!$A:$BX,66,FALSE))</f>
        <v>10</v>
      </c>
      <c r="AK278" s="24">
        <f t="shared" si="173"/>
        <v>12338</v>
      </c>
      <c r="AL278" s="58">
        <f>AK278/'Weighting Factors'!$O$5</f>
        <v>2.4</v>
      </c>
      <c r="AM278" s="58">
        <f>CJ278/'Weighting Factors'!$O$5</f>
        <v>0</v>
      </c>
      <c r="AN278" s="58">
        <f>CN278/'Weighting Factors'!$O$5</f>
        <v>0</v>
      </c>
      <c r="AO278" s="24">
        <v>762372</v>
      </c>
      <c r="AP278" s="58">
        <f>AO278/'Weighting Factors'!$O$5</f>
        <v>149.80000000000001</v>
      </c>
      <c r="AQ278" s="58">
        <f>IF(ISNA(VLOOKUP($CW278,'Audit Values'!$A:$BX,2,FALSE)),'Preliminary SO66'!X277,VLOOKUP($CW278,'Audit Values'!$A:$BX,48,FALSE))</f>
        <v>0</v>
      </c>
      <c r="AR278" s="58">
        <f t="shared" si="202"/>
        <v>1453.6</v>
      </c>
      <c r="AS278" s="58">
        <f t="shared" si="203"/>
        <v>1303.8</v>
      </c>
      <c r="AT278" s="58">
        <f>IF(ISNA(VLOOKUP($CW278,'Audit Values'!$A$2:$BX$410,2,FALSE)),'Preliminary SO66'!AA277,VLOOKUP($CW278,'Audit Values'!$A$2:$BX$410,41,FALSE))</f>
        <v>10</v>
      </c>
      <c r="AU278" s="58">
        <f>IF(ISNA(VLOOKUP($CW278,'Audit Values'!$A$2:$BX$410,2,FALSE)),'Preliminary SO66'!AB277,VLOOKUP($CW278,'Audit Values'!$A$2:$BX$410,42,FALSE))</f>
        <v>1.7</v>
      </c>
      <c r="AV278" s="73">
        <v>0</v>
      </c>
      <c r="AW278" s="73">
        <v>0</v>
      </c>
      <c r="AX278" s="24">
        <f>SUM(AT278*'Weighting Factors'!$R$10)+('2024 Legal Max'!AU278*'Weighting Factors'!$R$11)+('2024 Legal Max'!AV278*'Weighting Factors'!$R$12)+('2024 Legal Max'!AW278*'Weighting Factors'!$R$12)</f>
        <v>60760</v>
      </c>
      <c r="AY278" s="54">
        <f>IF(ISNA(VLOOKUP($CW278,'Audit Values'!$A$2:$BX$429,2,FALSE)),"",IF(AND('Weighting Factors'!G278&gt;0,VLOOKUP($CW278,'Audit Values'!$A$2:$BX$429,51,FALSE)&lt;'Weighting Factors'!G278),'Weighting Factors'!G278,VLOOKUP($CW278,'Audit Values'!$A$2:$BX$429,51,FALSE)))</f>
        <v>12</v>
      </c>
      <c r="AZ278" s="54" t="str">
        <f>IF(ISNA(VLOOKUP($CW278,'Audit Values'!$A:$BY,2,FALSE)),"",VLOOKUP($CW278,'Audit Values'!$A:$BY,52,FALSE))</f>
        <v>A</v>
      </c>
      <c r="BA278" s="54" t="str">
        <f>IF('Weighting Factors'!F278="","",IF('Weighting Factors'!H278="Pending","PX","R"))</f>
        <v/>
      </c>
      <c r="BB278" s="60">
        <f>SUM((U278+V278+AA278+AC278+AF278+AI278+AL278+AM278+AQ278+AN278)*'Weighting Factors'!$O$5)+'2024 Legal Max'!AX278</f>
        <v>6694494</v>
      </c>
      <c r="BC278" s="24">
        <f>SUM((AR278+AN278)*'Weighting Factors'!$O$5)+AX278</f>
        <v>7456677</v>
      </c>
      <c r="BD278" s="67">
        <f>IF('Weighting Factors'!F278&gt;0,'Weighting Factors'!F278,'Preliminary SO66'!AV277)</f>
        <v>7676760</v>
      </c>
      <c r="BE278" s="24">
        <f t="shared" si="174"/>
        <v>7456677</v>
      </c>
      <c r="BF278" s="71">
        <f>'Weighting Factors'!E278</f>
        <v>0</v>
      </c>
      <c r="BG278" s="71">
        <f>Transportation!G278</f>
        <v>0</v>
      </c>
      <c r="BH278" s="24">
        <f>IF(ISNA(VLOOKUP($CW278,'Audit Values'!$A:$BW,2,FALSE)), 0, VLOOKUP($CW278,'Audit Values'!$A:$BW,75,FALSE))</f>
        <v>-24604</v>
      </c>
      <c r="BI278" s="24">
        <f t="shared" si="175"/>
        <v>-24604</v>
      </c>
      <c r="BJ278" s="24">
        <f t="shared" si="176"/>
        <v>7432073</v>
      </c>
      <c r="BK278" s="24">
        <f>SUM((U278+V278+AA278+AC278+AF278+AI278+AL278+AM278+AN278)*'Weighting Factors'!O$12)+(MAX(AO278,'Weighting Factors'!B278))</f>
        <v>7487372</v>
      </c>
      <c r="BL278" s="78">
        <f>'LOB%'!F276</f>
        <v>0.33</v>
      </c>
      <c r="BM278" s="24">
        <f t="shared" si="183"/>
        <v>2470833</v>
      </c>
      <c r="BN278" s="67">
        <v>2181700</v>
      </c>
      <c r="BO278" s="24">
        <f t="shared" si="177"/>
        <v>2181700</v>
      </c>
      <c r="BP278" s="89">
        <f t="shared" si="184"/>
        <v>0.29139999999999999</v>
      </c>
      <c r="BQ278" s="58">
        <f t="shared" si="185"/>
        <v>0</v>
      </c>
      <c r="BR278" s="1" t="b">
        <f t="shared" si="186"/>
        <v>0</v>
      </c>
      <c r="BS278" s="76">
        <f t="shared" si="187"/>
        <v>0</v>
      </c>
      <c r="BT278" s="75">
        <f t="shared" si="178"/>
        <v>0</v>
      </c>
      <c r="BU278" s="58">
        <f t="shared" si="188"/>
        <v>0</v>
      </c>
      <c r="BV278" s="1" t="b">
        <f t="shared" si="189"/>
        <v>1</v>
      </c>
      <c r="BW278" s="1">
        <f t="shared" si="190"/>
        <v>584.59500000000003</v>
      </c>
      <c r="BX278" s="75">
        <f t="shared" si="179"/>
        <v>0.323689</v>
      </c>
      <c r="BY278" s="58">
        <f t="shared" si="191"/>
        <v>250</v>
      </c>
      <c r="BZ278" s="58">
        <f t="shared" si="192"/>
        <v>0</v>
      </c>
      <c r="CA278" s="61">
        <v>13.5</v>
      </c>
      <c r="CB278" s="102">
        <f t="shared" si="193"/>
        <v>0.74099999999999999</v>
      </c>
      <c r="CC278" s="105">
        <f>IF(CB278&lt;0.06,1,IF(CB278&gt;=18.29,52,MATCH(CB278-0.001,'Weighting Factors'!$W$5:$W$156)+1))</f>
        <v>29</v>
      </c>
      <c r="CD278" s="24">
        <f>VLOOKUP(CC278, 'Weighting Factors'!$U$5:$X$56,4)</f>
        <v>1010</v>
      </c>
      <c r="CE278" s="109">
        <f>('Weighting Factors'!$O$5/'Weighting Factors'!$O$14)</f>
        <v>1.2216</v>
      </c>
      <c r="CF278" s="100">
        <f t="shared" si="194"/>
        <v>10100</v>
      </c>
      <c r="CG278" s="100">
        <f>CF278*'Weighting Factors'!$Q$7</f>
        <v>10100</v>
      </c>
      <c r="CH278" s="100">
        <f t="shared" si="180"/>
        <v>12338</v>
      </c>
      <c r="CI278" s="58">
        <f>AK278/'Weighting Factors'!$O$5</f>
        <v>2.4</v>
      </c>
      <c r="CJ278" s="67">
        <v>0</v>
      </c>
      <c r="CK278" s="80">
        <v>0</v>
      </c>
      <c r="CL278" s="110">
        <v>0</v>
      </c>
      <c r="CM278" s="24">
        <f>SUM((AR278*'Weighting Factors'!$O$5)+'2024 Legal Max'!AX278)*CL278</f>
        <v>0</v>
      </c>
      <c r="CN278" s="24">
        <f t="shared" si="181"/>
        <v>0</v>
      </c>
      <c r="CO278" s="65">
        <f t="shared" si="182"/>
        <v>0.58840000000000003</v>
      </c>
      <c r="CP278" s="58">
        <f t="shared" si="195"/>
        <v>46.8</v>
      </c>
      <c r="CQ278" s="58">
        <f t="shared" si="196"/>
        <v>0</v>
      </c>
      <c r="CR278" s="58">
        <f t="shared" si="197"/>
        <v>1453.6</v>
      </c>
      <c r="CS278" s="24">
        <f>'Required Transfers'!L278</f>
        <v>326819</v>
      </c>
      <c r="CT278" s="24">
        <f>'Required Transfers'!O278</f>
        <v>0</v>
      </c>
      <c r="CU278" s="24">
        <f>'Required Transfers'!H278</f>
        <v>1337126</v>
      </c>
      <c r="CV278" s="58">
        <f t="shared" si="198"/>
        <v>719.9</v>
      </c>
      <c r="CW278" s="27" t="s">
        <v>463</v>
      </c>
    </row>
    <row r="279" spans="1:101" ht="15" customHeight="1">
      <c r="A279" s="54">
        <v>500</v>
      </c>
      <c r="B279" s="1" t="s">
        <v>9</v>
      </c>
      <c r="C279" s="1" t="s">
        <v>783</v>
      </c>
      <c r="D279" s="58">
        <v>20569.3</v>
      </c>
      <c r="E279" s="58">
        <v>60</v>
      </c>
      <c r="F279" s="58">
        <v>0</v>
      </c>
      <c r="G279" s="58">
        <f t="shared" si="199"/>
        <v>20509.3</v>
      </c>
      <c r="H279" s="58">
        <v>19917.7</v>
      </c>
      <c r="I279" s="58">
        <v>69</v>
      </c>
      <c r="J279" s="58">
        <v>0</v>
      </c>
      <c r="K279" s="58">
        <f t="shared" si="200"/>
        <v>19848.7</v>
      </c>
      <c r="L279" s="1">
        <v>19733.599999999999</v>
      </c>
      <c r="N279" s="1">
        <v>0</v>
      </c>
      <c r="O279" s="58">
        <f t="shared" si="201"/>
        <v>19733.599999999999</v>
      </c>
      <c r="P279" s="58">
        <f>IF(ISNA(VLOOKUP($CW279,'Audit Values'!$A:$BZ,2,FALSE)),'Preliminary SO66'!C278,VLOOKUP($CW279,'Audit Values'!$A:$BZ,76,FALSE))</f>
        <v>19438.8</v>
      </c>
      <c r="Q279" s="58">
        <f>IF(ISNA(VLOOKUP($CW279,'Audit Values'!$A:$BZ,2,FALSE)),'Preliminary SO66'!F278,VLOOKUP($CW279,'Audit Values'!$A:$BZ,4,FALSE))</f>
        <v>0</v>
      </c>
      <c r="R279" s="58">
        <f t="shared" si="169"/>
        <v>19438.8</v>
      </c>
      <c r="S279" s="58">
        <f>IF('Military Provision'!I279="YES", MAX('2024 Legal Max'!O279,'2024 Legal Max'!K279,AVERAGE('2024 Legal Max'!G279,'2024 Legal Max'!K279,'2024 Legal Max'!O279)), MAX(O279, K279))</f>
        <v>19848.7</v>
      </c>
      <c r="T279" s="58">
        <f>IF(ISNA(VLOOKUP($CW279,'Audit Values'!$A:$BX,2,FALSE)),'Preliminary SO66'!AL278,VLOOKUP($CW279,'Audit Values'!$A:$BX,59,FALSE))</f>
        <v>494.5</v>
      </c>
      <c r="U279" s="58">
        <f t="shared" si="170"/>
        <v>20343.2</v>
      </c>
      <c r="V279" s="58">
        <f>'Low-High ENRL- 2023 HSubSB 113'!N282</f>
        <v>712.8</v>
      </c>
      <c r="W279" s="58">
        <f>IF(ISNA(VLOOKUP($CW279,'Audit Values'!$A:$BZ,2,FALSE)),'Preliminary SO66'!AM278,VLOOKUP($CW279,'Audit Values'!$A:$BZ,63,FALSE))</f>
        <v>17445.7</v>
      </c>
      <c r="X279" s="58">
        <f>(W279/6)*'Weighting Factors'!$O$7</f>
        <v>1148.5</v>
      </c>
      <c r="Y279" s="61">
        <f>IF(ISNA(VLOOKUP($CW279,'Audit Values'!$A:$BZ,2,FALSE)),'Preliminary SO66'!AN278,VLOOKUP($CW279,'Audit Values'!$A:$BZ,62,FALSE))</f>
        <v>8171</v>
      </c>
      <c r="Z279" s="58">
        <f>Y279*'Weighting Factors'!$O$8</f>
        <v>1511.6</v>
      </c>
      <c r="AA279" s="58">
        <f t="shared" si="171"/>
        <v>1511.6</v>
      </c>
      <c r="AB279" s="106">
        <f>IF(ISNA(VLOOKUP($CW279,'Audit Values'!$A:$BZ,2,FALSE)),'Preliminary SO66'!AO278,VLOOKUP($CW279,'Audit Values'!$A:$BZ,61,FALSE))</f>
        <v>5111.1000000000004</v>
      </c>
      <c r="AC279" s="58">
        <f>AB279/6*'Weighting Factors'!$O$6</f>
        <v>425.9</v>
      </c>
      <c r="AD279" s="24">
        <f>IF(ISNA(VLOOKUP($CW279,'Audit Values'!$A:$BX,2,FALSE)),'Preliminary SO66'!AS278,VLOOKUP($CW279,'Audit Values'!$A:$BX,64,FALSE))</f>
        <v>20553</v>
      </c>
      <c r="AE279" s="24">
        <f>IF(ISNA(VLOOKUP($CW279,'Audit Values'!$A:$BX,2,FALSE)),'Preliminary SO66'!AP278,VLOOKUP($CW279,'Audit Values'!$A:$BX,65,FALSE))</f>
        <v>15095</v>
      </c>
      <c r="AF279" s="58">
        <f>IF(A279=207, AE279,(AE279))*'Weighting Factors'!$O$9</f>
        <v>7306</v>
      </c>
      <c r="AG279" s="58">
        <f t="shared" si="168"/>
        <v>1585</v>
      </c>
      <c r="AH279" s="58">
        <f>IF(ISNA(VLOOKUP($CW279,'Audit Values'!$A:$BZ,2,FALSE)),'Preliminary SO66'!AG278,VLOOKUP($CW279,'Audit Values'!$A:$BZ,71,FALSE))</f>
        <v>1585.2</v>
      </c>
      <c r="AI279" s="58">
        <f t="shared" si="172"/>
        <v>1585.2</v>
      </c>
      <c r="AJ279" s="58">
        <f>IF(ISNA(VLOOKUP($CW279,'Audit Values'!$A:$BX,2,FALSE)),'Preliminary SO66'!AR278,VLOOKUP($CW279,'Audit Values'!$A:$BX,66,FALSE))</f>
        <v>3941.5</v>
      </c>
      <c r="AK279" s="24">
        <f t="shared" si="173"/>
        <v>2648215</v>
      </c>
      <c r="AL279" s="58">
        <f>AK279/'Weighting Factors'!$O$5</f>
        <v>520.5</v>
      </c>
      <c r="AM279" s="58">
        <f>CJ279/'Weighting Factors'!$O$5</f>
        <v>0</v>
      </c>
      <c r="AN279" s="58">
        <f>CN279/'Weighting Factors'!$O$5</f>
        <v>0</v>
      </c>
      <c r="AO279" s="24">
        <v>11180153</v>
      </c>
      <c r="AP279" s="58">
        <f>AO279/'Weighting Factors'!$O$5</f>
        <v>2197.4</v>
      </c>
      <c r="AQ279" s="58">
        <f>IF(ISNA(VLOOKUP($CW279,'Audit Values'!$A:$BX,2,FALSE)),'Preliminary SO66'!X278,VLOOKUP($CW279,'Audit Values'!$A:$BX,48,FALSE))</f>
        <v>0</v>
      </c>
      <c r="AR279" s="58">
        <f t="shared" si="202"/>
        <v>34602.6</v>
      </c>
      <c r="AS279" s="58">
        <f t="shared" si="203"/>
        <v>32405.200000000001</v>
      </c>
      <c r="AT279" s="58">
        <f>IF(ISNA(VLOOKUP($CW279,'Audit Values'!$A$2:$BX$410,2,FALSE)),'Preliminary SO66'!AA278,VLOOKUP($CW279,'Audit Values'!$A$2:$BX$410,41,FALSE))</f>
        <v>223</v>
      </c>
      <c r="AU279" s="58">
        <f>IF(ISNA(VLOOKUP($CW279,'Audit Values'!$A$2:$BX$410,2,FALSE)),'Preliminary SO66'!AB278,VLOOKUP($CW279,'Audit Values'!$A$2:$BX$410,42,FALSE))</f>
        <v>58.1</v>
      </c>
      <c r="AV279" s="73">
        <v>104</v>
      </c>
      <c r="AW279" s="73">
        <v>0</v>
      </c>
      <c r="AX279" s="24">
        <f>SUM(AT279*'Weighting Factors'!$R$10)+('2024 Legal Max'!AU279*'Weighting Factors'!$R$11)+('2024 Legal Max'!AV279*'Weighting Factors'!$R$12)+('2024 Legal Max'!AW279*'Weighting Factors'!$R$12)</f>
        <v>1485216</v>
      </c>
      <c r="AY279" s="54">
        <f>IF(ISNA(VLOOKUP($CW279,'Audit Values'!$A$2:$BX$429,2,FALSE)),"",IF(AND('Weighting Factors'!G279&gt;0,VLOOKUP($CW279,'Audit Values'!$A$2:$BX$429,51,FALSE)&lt;'Weighting Factors'!G279),'Weighting Factors'!G279,VLOOKUP($CW279,'Audit Values'!$A$2:$BX$429,51,FALSE)))</f>
        <v>7</v>
      </c>
      <c r="AZ279" s="54" t="str">
        <f>IF(ISNA(VLOOKUP($CW279,'Audit Values'!$A:$BY,2,FALSE)),"",VLOOKUP($CW279,'Audit Values'!$A:$BY,52,FALSE))</f>
        <v>A</v>
      </c>
      <c r="BA279" s="54" t="str">
        <f>IF('Weighting Factors'!F279="","",IF('Weighting Factors'!H279="Pending","PX","R"))</f>
        <v/>
      </c>
      <c r="BB279" s="60">
        <f>SUM((U279+V279+AA279+AC279+AF279+AI279+AL279+AM279+AQ279+AN279)*'Weighting Factors'!$O$5)+'2024 Legal Max'!AX279</f>
        <v>166362874</v>
      </c>
      <c r="BC279" s="24">
        <f>SUM((AR279+AN279)*'Weighting Factors'!$O$5)+AX279</f>
        <v>177543245</v>
      </c>
      <c r="BD279" s="67">
        <f>IF('Weighting Factors'!F279&gt;0,'Weighting Factors'!F279,'Preliminary SO66'!AV278)</f>
        <v>188818951</v>
      </c>
      <c r="BE279" s="24">
        <f t="shared" si="174"/>
        <v>177543245</v>
      </c>
      <c r="BF279" s="71">
        <f>'Weighting Factors'!E279</f>
        <v>0</v>
      </c>
      <c r="BG279" s="71">
        <f>Transportation!G279</f>
        <v>0</v>
      </c>
      <c r="BH279" s="24">
        <f>IF(ISNA(VLOOKUP($CW279,'Audit Values'!$A:$BW,2,FALSE)), 0, VLOOKUP($CW279,'Audit Values'!$A:$BW,75,FALSE))</f>
        <v>-57490</v>
      </c>
      <c r="BI279" s="24">
        <f t="shared" si="175"/>
        <v>-57490</v>
      </c>
      <c r="BJ279" s="24">
        <f t="shared" si="176"/>
        <v>177485755</v>
      </c>
      <c r="BK279" s="24">
        <f>SUM((U279+V279+AA279+AC279+AF279+AI279+AL279+AM279+AN279)*'Weighting Factors'!O$12)+(MAX(AO279,'Weighting Factors'!B279))</f>
        <v>181837767</v>
      </c>
      <c r="BL279" s="78">
        <f>'LOB%'!F277</f>
        <v>0.33</v>
      </c>
      <c r="BM279" s="24">
        <f t="shared" si="183"/>
        <v>60006463</v>
      </c>
      <c r="BN279" s="67">
        <v>62526814</v>
      </c>
      <c r="BO279" s="24">
        <f t="shared" si="177"/>
        <v>60006463</v>
      </c>
      <c r="BP279" s="89">
        <f t="shared" si="184"/>
        <v>0.33</v>
      </c>
      <c r="BQ279" s="58">
        <f t="shared" si="185"/>
        <v>0</v>
      </c>
      <c r="BR279" s="1" t="b">
        <f t="shared" si="186"/>
        <v>0</v>
      </c>
      <c r="BS279" s="76">
        <f t="shared" si="187"/>
        <v>0</v>
      </c>
      <c r="BT279" s="75">
        <f t="shared" si="178"/>
        <v>0</v>
      </c>
      <c r="BU279" s="58">
        <f t="shared" si="188"/>
        <v>0</v>
      </c>
      <c r="BV279" s="1" t="b">
        <f t="shared" si="189"/>
        <v>0</v>
      </c>
      <c r="BW279" s="1">
        <f t="shared" si="190"/>
        <v>0</v>
      </c>
      <c r="BX279" s="75">
        <f t="shared" si="179"/>
        <v>0</v>
      </c>
      <c r="BY279" s="58">
        <f t="shared" si="191"/>
        <v>0</v>
      </c>
      <c r="BZ279" s="58">
        <f t="shared" si="192"/>
        <v>712.8</v>
      </c>
      <c r="CA279" s="61">
        <v>59</v>
      </c>
      <c r="CB279" s="102">
        <f t="shared" si="193"/>
        <v>66.805000000000007</v>
      </c>
      <c r="CC279" s="105">
        <f>IF(CB279&lt;0.06,1,IF(CB279&gt;=18.29,52,MATCH(CB279-0.001,'Weighting Factors'!$W$5:$W$156)+1))</f>
        <v>52</v>
      </c>
      <c r="CD279" s="24">
        <f>VLOOKUP(CC279, 'Weighting Factors'!$U$5:$X$56,4)</f>
        <v>550</v>
      </c>
      <c r="CE279" s="109">
        <f>('Weighting Factors'!$O$5/'Weighting Factors'!$O$14)</f>
        <v>1.2216</v>
      </c>
      <c r="CF279" s="100">
        <f t="shared" si="194"/>
        <v>2167825</v>
      </c>
      <c r="CG279" s="100">
        <f>CF279*'Weighting Factors'!$Q$7</f>
        <v>2167825</v>
      </c>
      <c r="CH279" s="100">
        <f t="shared" si="180"/>
        <v>2648215</v>
      </c>
      <c r="CI279" s="58">
        <f>AK279/'Weighting Factors'!$O$5</f>
        <v>520.5</v>
      </c>
      <c r="CJ279" s="67">
        <v>0</v>
      </c>
      <c r="CK279" s="80">
        <v>0</v>
      </c>
      <c r="CL279" s="110">
        <v>0</v>
      </c>
      <c r="CM279" s="24">
        <f>SUM((AR279*'Weighting Factors'!$O$5)+'2024 Legal Max'!AX279)*CL279</f>
        <v>0</v>
      </c>
      <c r="CN279" s="24">
        <f t="shared" si="181"/>
        <v>0</v>
      </c>
      <c r="CO279" s="65">
        <f t="shared" si="182"/>
        <v>0.73440000000000005</v>
      </c>
      <c r="CP279" s="58">
        <f t="shared" si="195"/>
        <v>1585</v>
      </c>
      <c r="CQ279" s="58">
        <f t="shared" si="196"/>
        <v>0</v>
      </c>
      <c r="CR279" s="58">
        <f t="shared" si="197"/>
        <v>34602.6</v>
      </c>
      <c r="CS279" s="24">
        <f>'Required Transfers'!L279</f>
        <v>12853384</v>
      </c>
      <c r="CT279" s="24">
        <f>'Required Transfers'!O279</f>
        <v>2658286</v>
      </c>
      <c r="CU279" s="24">
        <f>'Required Transfers'!H279</f>
        <v>45238426</v>
      </c>
      <c r="CV279" s="58">
        <f t="shared" si="198"/>
        <v>20231.7</v>
      </c>
      <c r="CW279" s="27" t="s">
        <v>464</v>
      </c>
    </row>
    <row r="280" spans="1:101" ht="15" customHeight="1">
      <c r="A280" s="54">
        <v>501</v>
      </c>
      <c r="B280" s="1" t="s">
        <v>61</v>
      </c>
      <c r="C280" s="1" t="s">
        <v>784</v>
      </c>
      <c r="D280" s="58">
        <v>11949.3</v>
      </c>
      <c r="E280" s="58">
        <v>2</v>
      </c>
      <c r="F280" s="58">
        <v>0</v>
      </c>
      <c r="G280" s="58">
        <f t="shared" si="199"/>
        <v>11947.3</v>
      </c>
      <c r="H280" s="58">
        <v>11775</v>
      </c>
      <c r="I280" s="58">
        <v>11</v>
      </c>
      <c r="J280" s="58">
        <v>0</v>
      </c>
      <c r="K280" s="58">
        <f t="shared" si="200"/>
        <v>11764</v>
      </c>
      <c r="L280" s="1">
        <v>11840.6</v>
      </c>
      <c r="N280" s="1">
        <v>0</v>
      </c>
      <c r="O280" s="58">
        <f t="shared" si="201"/>
        <v>11840.6</v>
      </c>
      <c r="P280" s="58">
        <f>IF(ISNA(VLOOKUP($CW280,'Audit Values'!$A:$BZ,2,FALSE)),'Preliminary SO66'!C279,VLOOKUP($CW280,'Audit Values'!$A:$BZ,76,FALSE))</f>
        <v>11531.8</v>
      </c>
      <c r="Q280" s="58">
        <f>IF(ISNA(VLOOKUP($CW280,'Audit Values'!$A:$BZ,2,FALSE)),'Preliminary SO66'!F279,VLOOKUP($CW280,'Audit Values'!$A:$BZ,4,FALSE))</f>
        <v>0</v>
      </c>
      <c r="R280" s="58">
        <f t="shared" si="169"/>
        <v>11531.8</v>
      </c>
      <c r="S280" s="58">
        <f>IF('Military Provision'!I280="YES", MAX('2024 Legal Max'!O280,'2024 Legal Max'!K280,AVERAGE('2024 Legal Max'!G280,'2024 Legal Max'!K280,'2024 Legal Max'!O280)), MAX(O280, K280))</f>
        <v>11840.6</v>
      </c>
      <c r="T280" s="58">
        <f>IF(ISNA(VLOOKUP($CW280,'Audit Values'!$A:$BX,2,FALSE)),'Preliminary SO66'!AL279,VLOOKUP($CW280,'Audit Values'!$A:$BX,59,FALSE))</f>
        <v>230.5</v>
      </c>
      <c r="U280" s="58">
        <f t="shared" si="170"/>
        <v>12071.1</v>
      </c>
      <c r="V280" s="58">
        <f>'Low-High ENRL- 2023 HSubSB 113'!N283</f>
        <v>423</v>
      </c>
      <c r="W280" s="58">
        <f>IF(ISNA(VLOOKUP($CW280,'Audit Values'!$A:$BZ,2,FALSE)),'Preliminary SO66'!AM279,VLOOKUP($CW280,'Audit Values'!$A:$BZ,63,FALSE))</f>
        <v>1982.2</v>
      </c>
      <c r="X280" s="58">
        <f>(W280/6)*'Weighting Factors'!$O$7</f>
        <v>130.5</v>
      </c>
      <c r="Y280" s="61">
        <f>IF(ISNA(VLOOKUP($CW280,'Audit Values'!$A:$BZ,2,FALSE)),'Preliminary SO66'!AN279,VLOOKUP($CW280,'Audit Values'!$A:$BZ,62,FALSE))</f>
        <v>1213</v>
      </c>
      <c r="Z280" s="58">
        <f>Y280*'Weighting Factors'!$O$8</f>
        <v>224.4</v>
      </c>
      <c r="AA280" s="58">
        <f t="shared" si="171"/>
        <v>224.4</v>
      </c>
      <c r="AB280" s="106">
        <f>IF(ISNA(VLOOKUP($CW280,'Audit Values'!$A:$BZ,2,FALSE)),'Preliminary SO66'!AO279,VLOOKUP($CW280,'Audit Values'!$A:$BZ,61,FALSE))</f>
        <v>2817.9</v>
      </c>
      <c r="AC280" s="58">
        <f>AB280/6*'Weighting Factors'!$O$6</f>
        <v>234.8</v>
      </c>
      <c r="AD280" s="24">
        <f>IF(ISNA(VLOOKUP($CW280,'Audit Values'!$A:$BX,2,FALSE)),'Preliminary SO66'!AS279,VLOOKUP($CW280,'Audit Values'!$A:$BX,64,FALSE))</f>
        <v>12193</v>
      </c>
      <c r="AE280" s="24">
        <f>IF(ISNA(VLOOKUP($CW280,'Audit Values'!$A:$BX,2,FALSE)),'Preliminary SO66'!AP279,VLOOKUP($CW280,'Audit Values'!$A:$BX,65,FALSE))</f>
        <v>8360</v>
      </c>
      <c r="AF280" s="58">
        <f>IF(A280=207, AE280,(AE280))*'Weighting Factors'!$O$9</f>
        <v>4046.2</v>
      </c>
      <c r="AG280" s="58">
        <f t="shared" ref="AG280:AG290" si="204">MAX(CP280,CQ280)</f>
        <v>877.8</v>
      </c>
      <c r="AH280" s="58">
        <f>IF(ISNA(VLOOKUP($CW280,'Audit Values'!$A:$BZ,2,FALSE)),'Preliminary SO66'!AG279,VLOOKUP($CW280,'Audit Values'!$A:$BZ,71,FALSE))</f>
        <v>835.7</v>
      </c>
      <c r="AI280" s="58">
        <f t="shared" si="172"/>
        <v>877.8</v>
      </c>
      <c r="AJ280" s="58">
        <f>IF(ISNA(VLOOKUP($CW280,'Audit Values'!$A:$BX,2,FALSE)),'Preliminary SO66'!AR279,VLOOKUP($CW280,'Audit Values'!$A:$BX,66,FALSE))</f>
        <v>716</v>
      </c>
      <c r="AK280" s="24">
        <f t="shared" si="173"/>
        <v>481066</v>
      </c>
      <c r="AL280" s="58">
        <f>AK280/'Weighting Factors'!$O$5</f>
        <v>94.5</v>
      </c>
      <c r="AM280" s="58">
        <f>CJ280/'Weighting Factors'!$O$5</f>
        <v>0</v>
      </c>
      <c r="AN280" s="58">
        <f>CN280/'Weighting Factors'!$O$5</f>
        <v>0</v>
      </c>
      <c r="AO280" s="24">
        <v>16858364</v>
      </c>
      <c r="AP280" s="58">
        <f>AO280/'Weighting Factors'!$O$5</f>
        <v>3313.4</v>
      </c>
      <c r="AQ280" s="58">
        <f>IF(ISNA(VLOOKUP($CW280,'Audit Values'!$A:$BX,2,FALSE)),'Preliminary SO66'!X279,VLOOKUP($CW280,'Audit Values'!$A:$BX,48,FALSE))</f>
        <v>0</v>
      </c>
      <c r="AR280" s="58">
        <f t="shared" si="202"/>
        <v>21285.200000000001</v>
      </c>
      <c r="AS280" s="58">
        <f t="shared" si="203"/>
        <v>17971.8</v>
      </c>
      <c r="AT280" s="58">
        <f>IF(ISNA(VLOOKUP($CW280,'Audit Values'!$A$2:$BX$410,2,FALSE)),'Preliminary SO66'!AA279,VLOOKUP($CW280,'Audit Values'!$A$2:$BX$410,41,FALSE))</f>
        <v>292</v>
      </c>
      <c r="AU280" s="58">
        <f>IF(ISNA(VLOOKUP($CW280,'Audit Values'!$A$2:$BX$410,2,FALSE)),'Preliminary SO66'!AB279,VLOOKUP($CW280,'Audit Values'!$A$2:$BX$410,42,FALSE))</f>
        <v>65.8</v>
      </c>
      <c r="AV280" s="73">
        <v>13</v>
      </c>
      <c r="AW280" s="73">
        <v>12</v>
      </c>
      <c r="AX280" s="24">
        <f>SUM(AT280*'Weighting Factors'!$R$10)+('2024 Legal Max'!AU280*'Weighting Factors'!$R$11)+('2024 Legal Max'!AV280*'Weighting Factors'!$R$12)+('2024 Legal Max'!AW280*'Weighting Factors'!$R$12)</f>
        <v>1837165</v>
      </c>
      <c r="AY280" s="54">
        <f>IF(ISNA(VLOOKUP($CW280,'Audit Values'!$A$2:$BX$429,2,FALSE)),"",IF(AND('Weighting Factors'!G280&gt;0,VLOOKUP($CW280,'Audit Values'!$A$2:$BX$429,51,FALSE)&lt;'Weighting Factors'!G280),'Weighting Factors'!G280,VLOOKUP($CW280,'Audit Values'!$A$2:$BX$429,51,FALSE)))</f>
        <v>25</v>
      </c>
      <c r="AZ280" s="54" t="str">
        <f>IF(ISNA(VLOOKUP($CW280,'Audit Values'!$A:$BY,2,FALSE)),"",VLOOKUP($CW280,'Audit Values'!$A:$BY,52,FALSE))</f>
        <v>A</v>
      </c>
      <c r="BA280" s="54" t="str">
        <f>IF('Weighting Factors'!F280="","",IF('Weighting Factors'!H280="Pending","PX","R"))</f>
        <v/>
      </c>
      <c r="BB280" s="60">
        <f>SUM((U280+V280+AA280+AC280+AF280+AI280+AL280+AM280+AQ280+AN280)*'Weighting Factors'!$O$5)+'2024 Legal Max'!AX280</f>
        <v>93277683</v>
      </c>
      <c r="BC280" s="24">
        <f>SUM((AR280+AN280)*'Weighting Factors'!$O$5)+AX280</f>
        <v>110136263</v>
      </c>
      <c r="BD280" s="67">
        <f>IF('Weighting Factors'!F280&gt;0,'Weighting Factors'!F280,'Preliminary SO66'!AV279)</f>
        <v>112986567</v>
      </c>
      <c r="BE280" s="24">
        <f t="shared" si="174"/>
        <v>110136263</v>
      </c>
      <c r="BF280" s="71">
        <f>'Weighting Factors'!E280</f>
        <v>0</v>
      </c>
      <c r="BG280" s="71">
        <f>Transportation!G280</f>
        <v>0</v>
      </c>
      <c r="BH280" s="24">
        <f>IF(ISNA(VLOOKUP($CW280,'Audit Values'!$A:$BW,2,FALSE)), 0, VLOOKUP($CW280,'Audit Values'!$A:$BW,75,FALSE))</f>
        <v>-19895</v>
      </c>
      <c r="BI280" s="24">
        <f t="shared" si="175"/>
        <v>-19895</v>
      </c>
      <c r="BJ280" s="24">
        <f t="shared" si="176"/>
        <v>110116368</v>
      </c>
      <c r="BK280" s="24">
        <f>SUM((U280+V280+AA280+AC280+AF280+AI280+AL280+AM280+AN280)*'Weighting Factors'!O$12)+(MAX(AO280,'Weighting Factors'!B280))</f>
        <v>109556908</v>
      </c>
      <c r="BL280" s="78">
        <f>'LOB%'!F278</f>
        <v>0.33</v>
      </c>
      <c r="BM280" s="24">
        <f t="shared" si="183"/>
        <v>36153780</v>
      </c>
      <c r="BN280" s="67">
        <v>33900000</v>
      </c>
      <c r="BO280" s="24">
        <f t="shared" si="177"/>
        <v>33900000</v>
      </c>
      <c r="BP280" s="89">
        <f t="shared" si="184"/>
        <v>0.30940000000000001</v>
      </c>
      <c r="BQ280" s="58">
        <f t="shared" si="185"/>
        <v>0</v>
      </c>
      <c r="BR280" s="1" t="b">
        <f t="shared" si="186"/>
        <v>0</v>
      </c>
      <c r="BS280" s="76">
        <f t="shared" si="187"/>
        <v>0</v>
      </c>
      <c r="BT280" s="75">
        <f t="shared" si="178"/>
        <v>0</v>
      </c>
      <c r="BU280" s="58">
        <f t="shared" si="188"/>
        <v>0</v>
      </c>
      <c r="BV280" s="1" t="b">
        <f t="shared" si="189"/>
        <v>0</v>
      </c>
      <c r="BW280" s="1">
        <f t="shared" si="190"/>
        <v>0</v>
      </c>
      <c r="BX280" s="75">
        <f t="shared" si="179"/>
        <v>0</v>
      </c>
      <c r="BY280" s="58">
        <f t="shared" si="191"/>
        <v>0</v>
      </c>
      <c r="BZ280" s="58">
        <f t="shared" si="192"/>
        <v>423</v>
      </c>
      <c r="CA280" s="61">
        <v>35</v>
      </c>
      <c r="CB280" s="102">
        <f t="shared" si="193"/>
        <v>20.457000000000001</v>
      </c>
      <c r="CC280" s="105">
        <f>IF(CB280&lt;0.06,1,IF(CB280&gt;=18.29,52,MATCH(CB280-0.001,'Weighting Factors'!$W$5:$W$156)+1))</f>
        <v>52</v>
      </c>
      <c r="CD280" s="24">
        <f>VLOOKUP(CC280, 'Weighting Factors'!$U$5:$X$56,4)</f>
        <v>550</v>
      </c>
      <c r="CE280" s="109">
        <f>('Weighting Factors'!$O$5/'Weighting Factors'!$O$14)</f>
        <v>1.2216</v>
      </c>
      <c r="CF280" s="100">
        <f t="shared" si="194"/>
        <v>393800</v>
      </c>
      <c r="CG280" s="100">
        <f>CF280*'Weighting Factors'!$Q$7</f>
        <v>393800</v>
      </c>
      <c r="CH280" s="100">
        <f t="shared" si="180"/>
        <v>481066</v>
      </c>
      <c r="CI280" s="58">
        <f>AK280/'Weighting Factors'!$O$5</f>
        <v>94.5</v>
      </c>
      <c r="CJ280" s="67">
        <v>0</v>
      </c>
      <c r="CK280" s="80">
        <v>0</v>
      </c>
      <c r="CL280" s="110">
        <v>0</v>
      </c>
      <c r="CM280" s="24">
        <f>SUM((AR280*'Weighting Factors'!$O$5)+'2024 Legal Max'!AX280)*CL280</f>
        <v>0</v>
      </c>
      <c r="CN280" s="24">
        <f t="shared" si="181"/>
        <v>0</v>
      </c>
      <c r="CO280" s="65">
        <f t="shared" si="182"/>
        <v>0.68559999999999999</v>
      </c>
      <c r="CP280" s="58">
        <f t="shared" si="195"/>
        <v>877.8</v>
      </c>
      <c r="CQ280" s="58">
        <f t="shared" si="196"/>
        <v>0</v>
      </c>
      <c r="CR280" s="58">
        <f t="shared" si="197"/>
        <v>21285.200000000001</v>
      </c>
      <c r="CS280" s="24">
        <f>'Required Transfers'!L280</f>
        <v>6515580</v>
      </c>
      <c r="CT280" s="24">
        <f>'Required Transfers'!O280</f>
        <v>362730</v>
      </c>
      <c r="CU280" s="24">
        <f>'Required Transfers'!H280</f>
        <v>25053312</v>
      </c>
      <c r="CV280" s="58">
        <f t="shared" si="198"/>
        <v>12124.3</v>
      </c>
      <c r="CW280" s="27" t="s">
        <v>465</v>
      </c>
    </row>
    <row r="281" spans="1:101" ht="15" customHeight="1">
      <c r="A281" s="54">
        <v>502</v>
      </c>
      <c r="B281" s="1" t="s">
        <v>62</v>
      </c>
      <c r="C281" s="1" t="s">
        <v>785</v>
      </c>
      <c r="D281" s="58">
        <v>104.5</v>
      </c>
      <c r="E281" s="58"/>
      <c r="F281" s="58">
        <v>0</v>
      </c>
      <c r="G281" s="58">
        <f t="shared" si="199"/>
        <v>104.5</v>
      </c>
      <c r="H281" s="58">
        <v>121</v>
      </c>
      <c r="I281" s="58"/>
      <c r="J281" s="58">
        <v>0</v>
      </c>
      <c r="K281" s="58">
        <f t="shared" si="200"/>
        <v>121</v>
      </c>
      <c r="L281" s="1">
        <v>103</v>
      </c>
      <c r="N281" s="1">
        <v>0</v>
      </c>
      <c r="O281" s="58">
        <f t="shared" si="201"/>
        <v>103</v>
      </c>
      <c r="P281" s="58">
        <f>IF(ISNA(VLOOKUP($CW281,'Audit Values'!$A:$BZ,2,FALSE)),'Preliminary SO66'!C280,VLOOKUP($CW281,'Audit Values'!$A:$BZ,76,FALSE))</f>
        <v>110</v>
      </c>
      <c r="Q281" s="58">
        <f>IF(ISNA(VLOOKUP($CW281,'Audit Values'!$A:$BZ,2,FALSE)),'Preliminary SO66'!F280,VLOOKUP($CW281,'Audit Values'!$A:$BZ,4,FALSE))</f>
        <v>0</v>
      </c>
      <c r="R281" s="58">
        <f t="shared" si="169"/>
        <v>110</v>
      </c>
      <c r="S281" s="58">
        <f>IF('Military Provision'!I281="YES", MAX('2024 Legal Max'!O281,'2024 Legal Max'!K281,AVERAGE('2024 Legal Max'!G281,'2024 Legal Max'!K281,'2024 Legal Max'!O281)), MAX(O281, K281))</f>
        <v>121</v>
      </c>
      <c r="T281" s="58">
        <f>IF(ISNA(VLOOKUP($CW281,'Audit Values'!$A:$BX,2,FALSE)),'Preliminary SO66'!AL280,VLOOKUP($CW281,'Audit Values'!$A:$BX,59,FALSE))</f>
        <v>4</v>
      </c>
      <c r="U281" s="58">
        <f t="shared" si="170"/>
        <v>125</v>
      </c>
      <c r="V281" s="58">
        <f>'Low-High ENRL- 2023 HSubSB 113'!N284</f>
        <v>118.5</v>
      </c>
      <c r="W281" s="58">
        <f>IF(ISNA(VLOOKUP($CW281,'Audit Values'!$A:$BZ,2,FALSE)),'Preliminary SO66'!AM280,VLOOKUP($CW281,'Audit Values'!$A:$BZ,63,FALSE))</f>
        <v>74.2</v>
      </c>
      <c r="X281" s="58">
        <f>(W281/6)*'Weighting Factors'!$O$7</f>
        <v>4.9000000000000004</v>
      </c>
      <c r="Y281" s="61">
        <f>IF(ISNA(VLOOKUP($CW281,'Audit Values'!$A:$BZ,2,FALSE)),'Preliminary SO66'!AN280,VLOOKUP($CW281,'Audit Values'!$A:$BZ,62,FALSE))</f>
        <v>25</v>
      </c>
      <c r="Z281" s="58">
        <f>Y281*'Weighting Factors'!$O$8</f>
        <v>4.5999999999999996</v>
      </c>
      <c r="AA281" s="58">
        <f t="shared" si="171"/>
        <v>4.9000000000000004</v>
      </c>
      <c r="AB281" s="106">
        <f>IF(ISNA(VLOOKUP($CW281,'Audit Values'!$A:$BZ,2,FALSE)),'Preliminary SO66'!AO280,VLOOKUP($CW281,'Audit Values'!$A:$BZ,61,FALSE))</f>
        <v>7.5</v>
      </c>
      <c r="AC281" s="58">
        <f>AB281/6*'Weighting Factors'!$O$6</f>
        <v>0.6</v>
      </c>
      <c r="AD281" s="24">
        <f>IF(ISNA(VLOOKUP($CW281,'Audit Values'!$A:$BX,2,FALSE)),'Preliminary SO66'!AS280,VLOOKUP($CW281,'Audit Values'!$A:$BX,64,FALSE))</f>
        <v>120</v>
      </c>
      <c r="AE281" s="24">
        <f>IF(ISNA(VLOOKUP($CW281,'Audit Values'!$A:$BX,2,FALSE)),'Preliminary SO66'!AP280,VLOOKUP($CW281,'Audit Values'!$A:$BX,65,FALSE))</f>
        <v>65</v>
      </c>
      <c r="AF281" s="58">
        <f>IF(A281=207, AE281,(AE281))*'Weighting Factors'!$O$9</f>
        <v>31.5</v>
      </c>
      <c r="AG281" s="58">
        <f t="shared" si="204"/>
        <v>6.8</v>
      </c>
      <c r="AH281" s="58">
        <f>IF(ISNA(VLOOKUP($CW281,'Audit Values'!$A:$BZ,2,FALSE)),'Preliminary SO66'!AG280,VLOOKUP($CW281,'Audit Values'!$A:$BZ,71,FALSE))</f>
        <v>4</v>
      </c>
      <c r="AI281" s="58">
        <f t="shared" si="172"/>
        <v>6.8</v>
      </c>
      <c r="AJ281" s="58">
        <f>IF(ISNA(VLOOKUP($CW281,'Audit Values'!$A:$BX,2,FALSE)),'Preliminary SO66'!AR280,VLOOKUP($CW281,'Audit Values'!$A:$BX,66,FALSE))</f>
        <v>56</v>
      </c>
      <c r="AK281" s="24">
        <f t="shared" si="173"/>
        <v>84144</v>
      </c>
      <c r="AL281" s="58">
        <f>AK281/'Weighting Factors'!$O$5</f>
        <v>16.5</v>
      </c>
      <c r="AM281" s="58">
        <f>CJ281/'Weighting Factors'!$O$5</f>
        <v>0</v>
      </c>
      <c r="AN281" s="58">
        <f>CN281/'Weighting Factors'!$O$5</f>
        <v>0</v>
      </c>
      <c r="AO281" s="24">
        <v>143230</v>
      </c>
      <c r="AP281" s="58">
        <f>AO281/'Weighting Factors'!$O$5</f>
        <v>28.2</v>
      </c>
      <c r="AQ281" s="58">
        <f>IF(ISNA(VLOOKUP($CW281,'Audit Values'!$A:$BX,2,FALSE)),'Preliminary SO66'!X280,VLOOKUP($CW281,'Audit Values'!$A:$BX,48,FALSE))</f>
        <v>0</v>
      </c>
      <c r="AR281" s="58">
        <f t="shared" si="202"/>
        <v>332</v>
      </c>
      <c r="AS281" s="58">
        <f t="shared" si="203"/>
        <v>303.8</v>
      </c>
      <c r="AT281" s="58">
        <f>IF(ISNA(VLOOKUP($CW281,'Audit Values'!$A$2:$BX$410,2,FALSE)),'Preliminary SO66'!AA280,VLOOKUP($CW281,'Audit Values'!$A$2:$BX$410,41,FALSE))</f>
        <v>0</v>
      </c>
      <c r="AU281" s="58">
        <f>IF(ISNA(VLOOKUP($CW281,'Audit Values'!$A$2:$BX$410,2,FALSE)),'Preliminary SO66'!AB280,VLOOKUP($CW281,'Audit Values'!$A$2:$BX$410,42,FALSE))</f>
        <v>0</v>
      </c>
      <c r="AV281" s="73">
        <v>0</v>
      </c>
      <c r="AW281" s="73">
        <v>0</v>
      </c>
      <c r="AX281" s="24">
        <f>SUM(AT281*'Weighting Factors'!$R$10)+('2024 Legal Max'!AU281*'Weighting Factors'!$R$11)+('2024 Legal Max'!AV281*'Weighting Factors'!$R$12)+('2024 Legal Max'!AW281*'Weighting Factors'!$R$12)</f>
        <v>0</v>
      </c>
      <c r="AY281" s="54">
        <f>IF(ISNA(VLOOKUP($CW281,'Audit Values'!$A$2:$BX$429,2,FALSE)),"",IF(AND('Weighting Factors'!G281&gt;0,VLOOKUP($CW281,'Audit Values'!$A$2:$BX$429,51,FALSE)&lt;'Weighting Factors'!G281),'Weighting Factors'!G281,VLOOKUP($CW281,'Audit Values'!$A$2:$BX$429,51,FALSE)))</f>
        <v>16</v>
      </c>
      <c r="AZ281" s="54" t="str">
        <f>IF(ISNA(VLOOKUP($CW281,'Audit Values'!$A:$BY,2,FALSE)),"",VLOOKUP($CW281,'Audit Values'!$A:$BY,52,FALSE))</f>
        <v>A</v>
      </c>
      <c r="BA281" s="54" t="str">
        <f>IF('Weighting Factors'!F281="","",IF('Weighting Factors'!H281="Pending","PX","R"))</f>
        <v/>
      </c>
      <c r="BB281" s="60">
        <f>SUM((U281+V281+AA281+AC281+AF281+AI281+AL281+AM281+AQ281+AN281)*'Weighting Factors'!$O$5)+'2024 Legal Max'!AX281</f>
        <v>1545734</v>
      </c>
      <c r="BC281" s="24">
        <f>SUM((AR281+AN281)*'Weighting Factors'!$O$5)+AX281</f>
        <v>1689216</v>
      </c>
      <c r="BD281" s="67">
        <f>IF('Weighting Factors'!F281&gt;0,'Weighting Factors'!F281,'Preliminary SO66'!AV280)</f>
        <v>1760957</v>
      </c>
      <c r="BE281" s="24">
        <f t="shared" si="174"/>
        <v>1689216</v>
      </c>
      <c r="BF281" s="71">
        <f>'Weighting Factors'!E281</f>
        <v>0</v>
      </c>
      <c r="BG281" s="71">
        <f>Transportation!G281</f>
        <v>0</v>
      </c>
      <c r="BH281" s="24">
        <f>IF(ISNA(VLOOKUP($CW281,'Audit Values'!$A:$BW,2,FALSE)), 0, VLOOKUP($CW281,'Audit Values'!$A:$BW,75,FALSE))</f>
        <v>0</v>
      </c>
      <c r="BI281" s="24">
        <f t="shared" si="175"/>
        <v>0</v>
      </c>
      <c r="BJ281" s="24">
        <f t="shared" si="176"/>
        <v>1689216</v>
      </c>
      <c r="BK281" s="24">
        <f>SUM((U281+V281+AA281+AC281+AF281+AI281+AL281+AM281+AN281)*'Weighting Factors'!O$12)+(MAX(AO281,'Weighting Factors'!B281))</f>
        <v>1710230</v>
      </c>
      <c r="BL281" s="78">
        <f>'LOB%'!F279</f>
        <v>0.316</v>
      </c>
      <c r="BM281" s="24">
        <f t="shared" si="183"/>
        <v>540433</v>
      </c>
      <c r="BN281" s="67">
        <v>461425</v>
      </c>
      <c r="BO281" s="24">
        <f t="shared" si="177"/>
        <v>461425</v>
      </c>
      <c r="BP281" s="89">
        <f t="shared" si="184"/>
        <v>0.26979999999999998</v>
      </c>
      <c r="BQ281" s="58">
        <f t="shared" si="185"/>
        <v>0</v>
      </c>
      <c r="BR281" s="1" t="b">
        <f t="shared" si="186"/>
        <v>1</v>
      </c>
      <c r="BS281" s="76">
        <f t="shared" si="187"/>
        <v>241.375</v>
      </c>
      <c r="BT281" s="75">
        <f t="shared" si="178"/>
        <v>0.94806299999999999</v>
      </c>
      <c r="BU281" s="58">
        <f t="shared" si="188"/>
        <v>118.5</v>
      </c>
      <c r="BV281" s="1" t="b">
        <f t="shared" si="189"/>
        <v>0</v>
      </c>
      <c r="BW281" s="1">
        <f t="shared" si="190"/>
        <v>0</v>
      </c>
      <c r="BX281" s="75">
        <f t="shared" si="179"/>
        <v>0</v>
      </c>
      <c r="BY281" s="58">
        <f t="shared" si="191"/>
        <v>0</v>
      </c>
      <c r="BZ281" s="58">
        <f t="shared" si="192"/>
        <v>0</v>
      </c>
      <c r="CA281" s="61">
        <v>223.8</v>
      </c>
      <c r="CB281" s="102">
        <f t="shared" si="193"/>
        <v>0.25</v>
      </c>
      <c r="CC281" s="105">
        <f>IF(CB281&lt;0.06,1,IF(CB281&gt;=18.29,52,MATCH(CB281-0.001,'Weighting Factors'!$W$5:$W$156)+1))</f>
        <v>18</v>
      </c>
      <c r="CD281" s="24">
        <f>VLOOKUP(CC281, 'Weighting Factors'!$U$5:$X$56,4)</f>
        <v>1230</v>
      </c>
      <c r="CE281" s="109">
        <f>('Weighting Factors'!$O$5/'Weighting Factors'!$O$14)</f>
        <v>1.2216</v>
      </c>
      <c r="CF281" s="100">
        <f t="shared" si="194"/>
        <v>68880</v>
      </c>
      <c r="CG281" s="100">
        <f>CF281*'Weighting Factors'!$Q$7</f>
        <v>68880</v>
      </c>
      <c r="CH281" s="100">
        <f t="shared" si="180"/>
        <v>84144</v>
      </c>
      <c r="CI281" s="58">
        <f>AK281/'Weighting Factors'!$O$5</f>
        <v>16.5</v>
      </c>
      <c r="CJ281" s="67">
        <v>0</v>
      </c>
      <c r="CK281" s="80">
        <v>0</v>
      </c>
      <c r="CL281" s="110">
        <v>0</v>
      </c>
      <c r="CM281" s="24">
        <f>SUM((AR281*'Weighting Factors'!$O$5)+'2024 Legal Max'!AX281)*CL281</f>
        <v>0</v>
      </c>
      <c r="CN281" s="24">
        <f t="shared" si="181"/>
        <v>0</v>
      </c>
      <c r="CO281" s="65">
        <f t="shared" si="182"/>
        <v>0.54169999999999996</v>
      </c>
      <c r="CP281" s="58">
        <f t="shared" si="195"/>
        <v>6.8</v>
      </c>
      <c r="CQ281" s="58">
        <f t="shared" si="196"/>
        <v>0</v>
      </c>
      <c r="CR281" s="58">
        <f t="shared" si="197"/>
        <v>332</v>
      </c>
      <c r="CS281" s="24">
        <f>'Required Transfers'!L281</f>
        <v>44297</v>
      </c>
      <c r="CT281" s="24">
        <f>'Required Transfers'!O281</f>
        <v>6875</v>
      </c>
      <c r="CU281" s="24">
        <f>'Required Transfers'!H281</f>
        <v>194870</v>
      </c>
      <c r="CV281" s="58">
        <f t="shared" si="198"/>
        <v>114</v>
      </c>
      <c r="CW281" s="27" t="s">
        <v>466</v>
      </c>
    </row>
    <row r="282" spans="1:101" ht="15" customHeight="1">
      <c r="A282" s="54">
        <v>503</v>
      </c>
      <c r="B282" s="1" t="s">
        <v>108</v>
      </c>
      <c r="C282" s="1" t="s">
        <v>786</v>
      </c>
      <c r="D282" s="58">
        <v>1224.3</v>
      </c>
      <c r="E282" s="58"/>
      <c r="F282" s="58">
        <v>0</v>
      </c>
      <c r="G282" s="58">
        <f t="shared" si="199"/>
        <v>1224.3</v>
      </c>
      <c r="H282" s="58">
        <v>1214</v>
      </c>
      <c r="I282" s="58"/>
      <c r="J282" s="58">
        <v>0</v>
      </c>
      <c r="K282" s="58">
        <f t="shared" si="200"/>
        <v>1214</v>
      </c>
      <c r="L282" s="1">
        <v>1248.5999999999999</v>
      </c>
      <c r="N282" s="1">
        <v>0</v>
      </c>
      <c r="O282" s="58">
        <f t="shared" si="201"/>
        <v>1248.5999999999999</v>
      </c>
      <c r="P282" s="58">
        <f>IF(ISNA(VLOOKUP($CW282,'Audit Values'!$A:$BZ,2,FALSE)),'Preliminary SO66'!C281,VLOOKUP($CW282,'Audit Values'!$A:$BZ,76,FALSE))</f>
        <v>1235.9000000000001</v>
      </c>
      <c r="Q282" s="58">
        <f>IF(ISNA(VLOOKUP($CW282,'Audit Values'!$A:$BZ,2,FALSE)),'Preliminary SO66'!F281,VLOOKUP($CW282,'Audit Values'!$A:$BZ,4,FALSE))</f>
        <v>0</v>
      </c>
      <c r="R282" s="58">
        <f t="shared" si="169"/>
        <v>1235.9000000000001</v>
      </c>
      <c r="S282" s="58">
        <f>IF('Military Provision'!I282="YES", MAX('2024 Legal Max'!O282,'2024 Legal Max'!K282,AVERAGE('2024 Legal Max'!G282,'2024 Legal Max'!K282,'2024 Legal Max'!O282)), MAX(O282, K282))</f>
        <v>1248.5999999999999</v>
      </c>
      <c r="T282" s="58">
        <f>IF(ISNA(VLOOKUP($CW282,'Audit Values'!$A:$BX,2,FALSE)),'Preliminary SO66'!AL281,VLOOKUP($CW282,'Audit Values'!$A:$BX,59,FALSE))</f>
        <v>27</v>
      </c>
      <c r="U282" s="58">
        <f t="shared" si="170"/>
        <v>1275.5999999999999</v>
      </c>
      <c r="V282" s="58">
        <f>'Low-High ENRL- 2023 HSubSB 113'!N285</f>
        <v>204.9</v>
      </c>
      <c r="W282" s="58">
        <f>IF(ISNA(VLOOKUP($CW282,'Audit Values'!$A:$BZ,2,FALSE)),'Preliminary SO66'!AM281,VLOOKUP($CW282,'Audit Values'!$A:$BZ,63,FALSE))</f>
        <v>49.2</v>
      </c>
      <c r="X282" s="58">
        <f>(W282/6)*'Weighting Factors'!$O$7</f>
        <v>3.2</v>
      </c>
      <c r="Y282" s="61">
        <f>IF(ISNA(VLOOKUP($CW282,'Audit Values'!$A:$BZ,2,FALSE)),'Preliminary SO66'!AN281,VLOOKUP($CW282,'Audit Values'!$A:$BZ,62,FALSE))</f>
        <v>23</v>
      </c>
      <c r="Z282" s="58">
        <f>Y282*'Weighting Factors'!$O$8</f>
        <v>4.3</v>
      </c>
      <c r="AA282" s="58">
        <f t="shared" si="171"/>
        <v>4.3</v>
      </c>
      <c r="AB282" s="106">
        <f>IF(ISNA(VLOOKUP($CW282,'Audit Values'!$A:$BZ,2,FALSE)),'Preliminary SO66'!AO281,VLOOKUP($CW282,'Audit Values'!$A:$BZ,61,FALSE))</f>
        <v>282.7</v>
      </c>
      <c r="AC282" s="58">
        <f>AB282/6*'Weighting Factors'!$O$6</f>
        <v>23.6</v>
      </c>
      <c r="AD282" s="24">
        <f>IF(ISNA(VLOOKUP($CW282,'Audit Values'!$A:$BX,2,FALSE)),'Preliminary SO66'!AS281,VLOOKUP($CW282,'Audit Values'!$A:$BX,64,FALSE))</f>
        <v>1311</v>
      </c>
      <c r="AE282" s="24">
        <f>IF(ISNA(VLOOKUP($CW282,'Audit Values'!$A:$BX,2,FALSE)),'Preliminary SO66'!AP281,VLOOKUP($CW282,'Audit Values'!$A:$BX,65,FALSE))</f>
        <v>896</v>
      </c>
      <c r="AF282" s="58">
        <f>IF(A282=207, AE282,(AE282))*'Weighting Factors'!$O$9</f>
        <v>433.7</v>
      </c>
      <c r="AG282" s="58">
        <f t="shared" si="204"/>
        <v>94.1</v>
      </c>
      <c r="AH282" s="58">
        <f>IF(ISNA(VLOOKUP($CW282,'Audit Values'!$A:$BZ,2,FALSE)),'Preliminary SO66'!AG281,VLOOKUP($CW282,'Audit Values'!$A:$BZ,71,FALSE))</f>
        <v>94.1</v>
      </c>
      <c r="AI282" s="58">
        <f t="shared" si="172"/>
        <v>94.1</v>
      </c>
      <c r="AJ282" s="58">
        <f>IF(ISNA(VLOOKUP($CW282,'Audit Values'!$A:$BX,2,FALSE)),'Preliminary SO66'!AR281,VLOOKUP($CW282,'Audit Values'!$A:$BX,66,FALSE))</f>
        <v>81</v>
      </c>
      <c r="AK282" s="24">
        <f t="shared" si="173"/>
        <v>88065</v>
      </c>
      <c r="AL282" s="58">
        <f>AK282/'Weighting Factors'!$O$5</f>
        <v>17.3</v>
      </c>
      <c r="AM282" s="58">
        <f>CJ282/'Weighting Factors'!$O$5</f>
        <v>0</v>
      </c>
      <c r="AN282" s="58">
        <f>CN282/'Weighting Factors'!$O$5</f>
        <v>0</v>
      </c>
      <c r="AO282" s="24">
        <v>1342285</v>
      </c>
      <c r="AP282" s="58">
        <f>AO282/'Weighting Factors'!$O$5</f>
        <v>263.8</v>
      </c>
      <c r="AQ282" s="58">
        <f>IF(ISNA(VLOOKUP($CW282,'Audit Values'!$A:$BX,2,FALSE)),'Preliminary SO66'!X281,VLOOKUP($CW282,'Audit Values'!$A:$BX,48,FALSE))</f>
        <v>0</v>
      </c>
      <c r="AR282" s="58">
        <f t="shared" si="202"/>
        <v>2317.3000000000002</v>
      </c>
      <c r="AS282" s="58">
        <f t="shared" si="203"/>
        <v>2053.5</v>
      </c>
      <c r="AT282" s="58">
        <f>IF(ISNA(VLOOKUP($CW282,'Audit Values'!$A$2:$BX$410,2,FALSE)),'Preliminary SO66'!AA281,VLOOKUP($CW282,'Audit Values'!$A$2:$BX$410,41,FALSE))</f>
        <v>4</v>
      </c>
      <c r="AU282" s="58">
        <f>IF(ISNA(VLOOKUP($CW282,'Audit Values'!$A$2:$BX$410,2,FALSE)),'Preliminary SO66'!AB281,VLOOKUP($CW282,'Audit Values'!$A$2:$BX$410,42,FALSE))</f>
        <v>0.8</v>
      </c>
      <c r="AV282" s="73">
        <v>0</v>
      </c>
      <c r="AW282" s="73">
        <v>0</v>
      </c>
      <c r="AX282" s="24">
        <f>SUM(AT282*'Weighting Factors'!$R$10)+('2024 Legal Max'!AU282*'Weighting Factors'!$R$11)+('2024 Legal Max'!AV282*'Weighting Factors'!$R$12)+('2024 Legal Max'!AW282*'Weighting Factors'!$R$12)</f>
        <v>24640</v>
      </c>
      <c r="AY282" s="54">
        <f>IF(ISNA(VLOOKUP($CW282,'Audit Values'!$A$2:$BX$429,2,FALSE)),"",IF(AND('Weighting Factors'!G282&gt;0,VLOOKUP($CW282,'Audit Values'!$A$2:$BX$429,51,FALSE)&lt;'Weighting Factors'!G282),'Weighting Factors'!G282,VLOOKUP($CW282,'Audit Values'!$A$2:$BX$429,51,FALSE)))</f>
        <v>22</v>
      </c>
      <c r="AZ282" s="54" t="str">
        <f>IF(ISNA(VLOOKUP($CW282,'Audit Values'!$A:$BY,2,FALSE)),"",VLOOKUP($CW282,'Audit Values'!$A:$BY,52,FALSE))</f>
        <v>A</v>
      </c>
      <c r="BA282" s="54" t="str">
        <f>IF('Weighting Factors'!F282="","",IF('Weighting Factors'!H282="Pending","PX","R"))</f>
        <v/>
      </c>
      <c r="BB282" s="60">
        <f>SUM((U282+V282+AA282+AC282+AF282+AI282+AL282+AM282+AQ282+AN282)*'Weighting Factors'!$O$5)+'2024 Legal Max'!AX282</f>
        <v>10472848</v>
      </c>
      <c r="BC282" s="24">
        <f>SUM((AR282+AN282)*'Weighting Factors'!$O$5)+AX282</f>
        <v>11815062</v>
      </c>
      <c r="BD282" s="67">
        <f>IF('Weighting Factors'!F282&gt;0,'Weighting Factors'!F282,'Preliminary SO66'!AV281)</f>
        <v>12146605</v>
      </c>
      <c r="BE282" s="24">
        <f t="shared" si="174"/>
        <v>11815062</v>
      </c>
      <c r="BF282" s="71">
        <f>'Weighting Factors'!E282</f>
        <v>0</v>
      </c>
      <c r="BG282" s="71">
        <f>Transportation!G282</f>
        <v>0</v>
      </c>
      <c r="BH282" s="24">
        <f>IF(ISNA(VLOOKUP($CW282,'Audit Values'!$A:$BW,2,FALSE)), 0, VLOOKUP($CW282,'Audit Values'!$A:$BW,75,FALSE))</f>
        <v>0</v>
      </c>
      <c r="BI282" s="24">
        <f t="shared" si="175"/>
        <v>0</v>
      </c>
      <c r="BJ282" s="24">
        <f t="shared" si="176"/>
        <v>11815062</v>
      </c>
      <c r="BK282" s="24">
        <f>SUM((U282+V282+AA282+AC282+AF282+AI282+AL282+AM282+AN282)*'Weighting Factors'!O$12)+(MAX(AO282,'Weighting Factors'!B282))</f>
        <v>11934238</v>
      </c>
      <c r="BL282" s="78">
        <f>'LOB%'!F280</f>
        <v>0.33</v>
      </c>
      <c r="BM282" s="24">
        <f t="shared" si="183"/>
        <v>3938299</v>
      </c>
      <c r="BN282" s="67">
        <v>4043837</v>
      </c>
      <c r="BO282" s="24">
        <f t="shared" si="177"/>
        <v>3938299</v>
      </c>
      <c r="BP282" s="89">
        <f t="shared" si="184"/>
        <v>0.33</v>
      </c>
      <c r="BQ282" s="58">
        <f t="shared" si="185"/>
        <v>0</v>
      </c>
      <c r="BR282" s="1" t="b">
        <f t="shared" si="186"/>
        <v>0</v>
      </c>
      <c r="BS282" s="76">
        <f t="shared" si="187"/>
        <v>0</v>
      </c>
      <c r="BT282" s="75">
        <f t="shared" si="178"/>
        <v>0</v>
      </c>
      <c r="BU282" s="58">
        <f t="shared" si="188"/>
        <v>0</v>
      </c>
      <c r="BV282" s="1" t="b">
        <f t="shared" si="189"/>
        <v>1</v>
      </c>
      <c r="BW282" s="1">
        <f t="shared" si="190"/>
        <v>1207.3050000000001</v>
      </c>
      <c r="BX282" s="75">
        <f t="shared" si="179"/>
        <v>0.152728</v>
      </c>
      <c r="BY282" s="58">
        <f t="shared" si="191"/>
        <v>194.8</v>
      </c>
      <c r="BZ282" s="58">
        <f t="shared" si="192"/>
        <v>0</v>
      </c>
      <c r="CA282" s="61">
        <v>51</v>
      </c>
      <c r="CB282" s="102">
        <f t="shared" si="193"/>
        <v>1.5880000000000001</v>
      </c>
      <c r="CC282" s="105">
        <f>IF(CB282&lt;0.06,1,IF(CB282&gt;=18.29,52,MATCH(CB282-0.001,'Weighting Factors'!$W$5:$W$156)+1))</f>
        <v>35</v>
      </c>
      <c r="CD282" s="24">
        <f>VLOOKUP(CC282, 'Weighting Factors'!$U$5:$X$56,4)</f>
        <v>890</v>
      </c>
      <c r="CE282" s="109">
        <f>('Weighting Factors'!$O$5/'Weighting Factors'!$O$14)</f>
        <v>1.2216</v>
      </c>
      <c r="CF282" s="100">
        <f t="shared" si="194"/>
        <v>72090</v>
      </c>
      <c r="CG282" s="100">
        <f>CF282*'Weighting Factors'!$Q$7</f>
        <v>72090</v>
      </c>
      <c r="CH282" s="100">
        <f t="shared" si="180"/>
        <v>88065</v>
      </c>
      <c r="CI282" s="58">
        <f>AK282/'Weighting Factors'!$O$5</f>
        <v>17.3</v>
      </c>
      <c r="CJ282" s="67">
        <v>0</v>
      </c>
      <c r="CK282" s="80">
        <v>0</v>
      </c>
      <c r="CL282" s="110">
        <v>0</v>
      </c>
      <c r="CM282" s="24">
        <f>SUM((AR282*'Weighting Factors'!$O$5)+'2024 Legal Max'!AX282)*CL282</f>
        <v>0</v>
      </c>
      <c r="CN282" s="24">
        <f t="shared" si="181"/>
        <v>0</v>
      </c>
      <c r="CO282" s="65">
        <f t="shared" si="182"/>
        <v>0.68340000000000001</v>
      </c>
      <c r="CP282" s="58">
        <f t="shared" si="195"/>
        <v>94.1</v>
      </c>
      <c r="CQ282" s="58">
        <f t="shared" si="196"/>
        <v>0</v>
      </c>
      <c r="CR282" s="58">
        <f t="shared" si="197"/>
        <v>2317.3000000000002</v>
      </c>
      <c r="CS282" s="24">
        <f>'Required Transfers'!L282</f>
        <v>745914</v>
      </c>
      <c r="CT282" s="24">
        <f>'Required Transfers'!O282</f>
        <v>7483</v>
      </c>
      <c r="CU282" s="24">
        <f>'Required Transfers'!H282</f>
        <v>2685446</v>
      </c>
      <c r="CV282" s="58">
        <f t="shared" si="198"/>
        <v>1267.7</v>
      </c>
      <c r="CW282" s="27" t="s">
        <v>467</v>
      </c>
    </row>
    <row r="283" spans="1:101" ht="15" customHeight="1">
      <c r="A283" s="54">
        <v>504</v>
      </c>
      <c r="B283" s="1" t="s">
        <v>108</v>
      </c>
      <c r="C283" s="1" t="s">
        <v>787</v>
      </c>
      <c r="D283" s="58">
        <v>429</v>
      </c>
      <c r="E283" s="58"/>
      <c r="F283" s="58">
        <v>0</v>
      </c>
      <c r="G283" s="58">
        <f t="shared" si="199"/>
        <v>429</v>
      </c>
      <c r="H283" s="58">
        <v>420</v>
      </c>
      <c r="I283" s="58"/>
      <c r="J283" s="58">
        <v>0</v>
      </c>
      <c r="K283" s="58">
        <f t="shared" si="200"/>
        <v>420</v>
      </c>
      <c r="L283" s="1">
        <v>479.5</v>
      </c>
      <c r="N283" s="1">
        <v>0</v>
      </c>
      <c r="O283" s="58">
        <f t="shared" si="201"/>
        <v>479.5</v>
      </c>
      <c r="P283" s="58">
        <f>IF(ISNA(VLOOKUP($CW283,'Audit Values'!$A:$BZ,2,FALSE)),'Preliminary SO66'!C282,VLOOKUP($CW283,'Audit Values'!$A:$BZ,76,FALSE))</f>
        <v>475.5</v>
      </c>
      <c r="Q283" s="58">
        <f>IF(ISNA(VLOOKUP($CW283,'Audit Values'!$A:$BZ,2,FALSE)),'Preliminary SO66'!F282,VLOOKUP($CW283,'Audit Values'!$A:$BZ,4,FALSE))</f>
        <v>0</v>
      </c>
      <c r="R283" s="58">
        <f t="shared" si="169"/>
        <v>475.5</v>
      </c>
      <c r="S283" s="58">
        <f>IF('Military Provision'!I283="YES", MAX('2024 Legal Max'!O283,'2024 Legal Max'!K283,AVERAGE('2024 Legal Max'!G283,'2024 Legal Max'!K283,'2024 Legal Max'!O283)), MAX(O283, K283))</f>
        <v>479.5</v>
      </c>
      <c r="T283" s="58">
        <f>IF(ISNA(VLOOKUP($CW283,'Audit Values'!$A:$BX,2,FALSE)),'Preliminary SO66'!AL282,VLOOKUP($CW283,'Audit Values'!$A:$BX,59,FALSE))</f>
        <v>6.5</v>
      </c>
      <c r="U283" s="58">
        <f t="shared" si="170"/>
        <v>486</v>
      </c>
      <c r="V283" s="58">
        <f>'Low-High ENRL- 2023 HSubSB 113'!N286</f>
        <v>204.6</v>
      </c>
      <c r="W283" s="58">
        <f>IF(ISNA(VLOOKUP($CW283,'Audit Values'!$A:$BZ,2,FALSE)),'Preliminary SO66'!AM282,VLOOKUP($CW283,'Audit Values'!$A:$BZ,63,FALSE))</f>
        <v>0</v>
      </c>
      <c r="X283" s="58">
        <f>(W283/6)*'Weighting Factors'!$O$7</f>
        <v>0</v>
      </c>
      <c r="Y283" s="61">
        <f>IF(ISNA(VLOOKUP($CW283,'Audit Values'!$A:$BZ,2,FALSE)),'Preliminary SO66'!AN282,VLOOKUP($CW283,'Audit Values'!$A:$BZ,62,FALSE))</f>
        <v>0</v>
      </c>
      <c r="Z283" s="58">
        <f>Y283*'Weighting Factors'!$O$8</f>
        <v>0</v>
      </c>
      <c r="AA283" s="58">
        <f t="shared" si="171"/>
        <v>0</v>
      </c>
      <c r="AB283" s="106">
        <f>IF(ISNA(VLOOKUP($CW283,'Audit Values'!$A:$BZ,2,FALSE)),'Preliminary SO66'!AO282,VLOOKUP($CW283,'Audit Values'!$A:$BZ,61,FALSE))</f>
        <v>27.9</v>
      </c>
      <c r="AC283" s="58">
        <f>AB283/6*'Weighting Factors'!$O$6</f>
        <v>2.2999999999999998</v>
      </c>
      <c r="AD283" s="24">
        <f>IF(ISNA(VLOOKUP($CW283,'Audit Values'!$A:$BX,2,FALSE)),'Preliminary SO66'!AS282,VLOOKUP($CW283,'Audit Values'!$A:$BX,64,FALSE))</f>
        <v>493</v>
      </c>
      <c r="AE283" s="24">
        <f>IF(ISNA(VLOOKUP($CW283,'Audit Values'!$A:$BX,2,FALSE)),'Preliminary SO66'!AP282,VLOOKUP($CW283,'Audit Values'!$A:$BX,65,FALSE))</f>
        <v>247</v>
      </c>
      <c r="AF283" s="58">
        <f>IF(A283=207, AE283,(AE283))*'Weighting Factors'!$O$9</f>
        <v>119.5</v>
      </c>
      <c r="AG283" s="58">
        <f t="shared" si="204"/>
        <v>25.9</v>
      </c>
      <c r="AH283" s="58">
        <f>IF(ISNA(VLOOKUP($CW283,'Audit Values'!$A:$BZ,2,FALSE)),'Preliminary SO66'!AG282,VLOOKUP($CW283,'Audit Values'!$A:$BZ,71,FALSE))</f>
        <v>23.5</v>
      </c>
      <c r="AI283" s="58">
        <f t="shared" si="172"/>
        <v>25.9</v>
      </c>
      <c r="AJ283" s="58">
        <f>IF(ISNA(VLOOKUP($CW283,'Audit Values'!$A:$BX,2,FALSE)),'Preliminary SO66'!AR282,VLOOKUP($CW283,'Audit Values'!$A:$BX,66,FALSE))</f>
        <v>38</v>
      </c>
      <c r="AK283" s="24">
        <f t="shared" si="173"/>
        <v>45957</v>
      </c>
      <c r="AL283" s="58">
        <f>AK283/'Weighting Factors'!$O$5</f>
        <v>9</v>
      </c>
      <c r="AM283" s="58">
        <f>CJ283/'Weighting Factors'!$O$5</f>
        <v>0</v>
      </c>
      <c r="AN283" s="58">
        <f>CN283/'Weighting Factors'!$O$5</f>
        <v>0</v>
      </c>
      <c r="AO283" s="24">
        <v>562226</v>
      </c>
      <c r="AP283" s="58">
        <f>AO283/'Weighting Factors'!$O$5</f>
        <v>110.5</v>
      </c>
      <c r="AQ283" s="58">
        <f>IF(ISNA(VLOOKUP($CW283,'Audit Values'!$A:$BX,2,FALSE)),'Preliminary SO66'!X282,VLOOKUP($CW283,'Audit Values'!$A:$BX,48,FALSE))</f>
        <v>0</v>
      </c>
      <c r="AR283" s="58">
        <f t="shared" si="202"/>
        <v>957.8</v>
      </c>
      <c r="AS283" s="58">
        <f t="shared" si="203"/>
        <v>847.3</v>
      </c>
      <c r="AT283" s="58">
        <f>IF(ISNA(VLOOKUP($CW283,'Audit Values'!$A$2:$BX$410,2,FALSE)),'Preliminary SO66'!AA282,VLOOKUP($CW283,'Audit Values'!$A$2:$BX$410,41,FALSE))</f>
        <v>0</v>
      </c>
      <c r="AU283" s="58">
        <f>IF(ISNA(VLOOKUP($CW283,'Audit Values'!$A$2:$BX$410,2,FALSE)),'Preliminary SO66'!AB282,VLOOKUP($CW283,'Audit Values'!$A$2:$BX$410,42,FALSE))</f>
        <v>0</v>
      </c>
      <c r="AV283" s="73">
        <v>0</v>
      </c>
      <c r="AW283" s="73">
        <v>0</v>
      </c>
      <c r="AX283" s="24">
        <f>SUM(AT283*'Weighting Factors'!$R$10)+('2024 Legal Max'!AU283*'Weighting Factors'!$R$11)+('2024 Legal Max'!AV283*'Weighting Factors'!$R$12)+('2024 Legal Max'!AW283*'Weighting Factors'!$R$12)</f>
        <v>0</v>
      </c>
      <c r="AY283" s="54">
        <f>IF(ISNA(VLOOKUP($CW283,'Audit Values'!$A$2:$BX$429,2,FALSE)),"",IF(AND('Weighting Factors'!G283&gt;0,VLOOKUP($CW283,'Audit Values'!$A$2:$BX$429,51,FALSE)&lt;'Weighting Factors'!G283),'Weighting Factors'!G283,VLOOKUP($CW283,'Audit Values'!$A$2:$BX$429,51,FALSE)))</f>
        <v>7</v>
      </c>
      <c r="AZ283" s="54" t="str">
        <f>IF(ISNA(VLOOKUP($CW283,'Audit Values'!$A:$BY,2,FALSE)),"",VLOOKUP($CW283,'Audit Values'!$A:$BY,52,FALSE))</f>
        <v>A</v>
      </c>
      <c r="BA283" s="54" t="str">
        <f>IF('Weighting Factors'!F283="","",IF('Weighting Factors'!H283="Pending","PX","R"))</f>
        <v/>
      </c>
      <c r="BB283" s="60">
        <f>SUM((U283+V283+AA283+AC283+AF283+AI283+AL283+AM283+AQ283+AN283)*'Weighting Factors'!$O$5)+'2024 Legal Max'!AX283</f>
        <v>4311062</v>
      </c>
      <c r="BC283" s="24">
        <f>SUM((AR283+AN283)*'Weighting Factors'!$O$5)+AX283</f>
        <v>4873286</v>
      </c>
      <c r="BD283" s="67">
        <f>IF('Weighting Factors'!F283&gt;0,'Weighting Factors'!F283,'Preliminary SO66'!AV282)</f>
        <v>4904832</v>
      </c>
      <c r="BE283" s="24">
        <f t="shared" si="174"/>
        <v>4873286</v>
      </c>
      <c r="BF283" s="71">
        <f>'Weighting Factors'!E283</f>
        <v>0</v>
      </c>
      <c r="BG283" s="71">
        <f>Transportation!G283</f>
        <v>0</v>
      </c>
      <c r="BH283" s="24">
        <f>IF(ISNA(VLOOKUP($CW283,'Audit Values'!$A:$BW,2,FALSE)), 0, VLOOKUP($CW283,'Audit Values'!$A:$BW,75,FALSE))</f>
        <v>0</v>
      </c>
      <c r="BI283" s="24">
        <f t="shared" si="175"/>
        <v>0</v>
      </c>
      <c r="BJ283" s="24">
        <f t="shared" si="176"/>
        <v>4873286</v>
      </c>
      <c r="BK283" s="24">
        <f>SUM((U283+V283+AA283+AC283+AF283+AI283+AL283+AM283+AN283)*'Weighting Factors'!O$12)+(MAX(AO283,'Weighting Factors'!B283))</f>
        <v>4932599</v>
      </c>
      <c r="BL283" s="78">
        <f>'LOB%'!F281</f>
        <v>0.33</v>
      </c>
      <c r="BM283" s="24">
        <f t="shared" si="183"/>
        <v>1627758</v>
      </c>
      <c r="BN283" s="67">
        <v>1638038</v>
      </c>
      <c r="BO283" s="24">
        <f t="shared" si="177"/>
        <v>1627758</v>
      </c>
      <c r="BP283" s="89">
        <f t="shared" si="184"/>
        <v>0.33</v>
      </c>
      <c r="BQ283" s="58">
        <f t="shared" si="185"/>
        <v>0</v>
      </c>
      <c r="BR283" s="1" t="b">
        <f t="shared" si="186"/>
        <v>0</v>
      </c>
      <c r="BS283" s="76">
        <f t="shared" si="187"/>
        <v>0</v>
      </c>
      <c r="BT283" s="75">
        <f t="shared" si="178"/>
        <v>0</v>
      </c>
      <c r="BU283" s="58">
        <f t="shared" si="188"/>
        <v>0</v>
      </c>
      <c r="BV283" s="1" t="b">
        <f t="shared" si="189"/>
        <v>1</v>
      </c>
      <c r="BW283" s="1">
        <f t="shared" si="190"/>
        <v>230.17500000000001</v>
      </c>
      <c r="BX283" s="75">
        <f t="shared" si="179"/>
        <v>0.42099300000000001</v>
      </c>
      <c r="BY283" s="58">
        <f t="shared" si="191"/>
        <v>204.6</v>
      </c>
      <c r="BZ283" s="58">
        <f t="shared" si="192"/>
        <v>0</v>
      </c>
      <c r="CA283" s="61">
        <v>45</v>
      </c>
      <c r="CB283" s="102">
        <f t="shared" si="193"/>
        <v>0.84399999999999997</v>
      </c>
      <c r="CC283" s="105">
        <f>IF(CB283&lt;0.06,1,IF(CB283&gt;=18.29,52,MATCH(CB283-0.001,'Weighting Factors'!$W$5:$W$156)+1))</f>
        <v>30</v>
      </c>
      <c r="CD283" s="24">
        <f>VLOOKUP(CC283, 'Weighting Factors'!$U$5:$X$56,4)</f>
        <v>990</v>
      </c>
      <c r="CE283" s="109">
        <f>('Weighting Factors'!$O$5/'Weighting Factors'!$O$14)</f>
        <v>1.2216</v>
      </c>
      <c r="CF283" s="100">
        <f t="shared" si="194"/>
        <v>37620</v>
      </c>
      <c r="CG283" s="100">
        <f>CF283*'Weighting Factors'!$Q$7</f>
        <v>37620</v>
      </c>
      <c r="CH283" s="100">
        <f t="shared" si="180"/>
        <v>45957</v>
      </c>
      <c r="CI283" s="58">
        <f>AK283/'Weighting Factors'!$O$5</f>
        <v>9</v>
      </c>
      <c r="CJ283" s="67">
        <v>0</v>
      </c>
      <c r="CK283" s="80">
        <v>0</v>
      </c>
      <c r="CL283" s="110">
        <v>0</v>
      </c>
      <c r="CM283" s="24">
        <f>SUM((AR283*'Weighting Factors'!$O$5)+'2024 Legal Max'!AX283)*CL283</f>
        <v>0</v>
      </c>
      <c r="CN283" s="24">
        <f t="shared" si="181"/>
        <v>0</v>
      </c>
      <c r="CO283" s="65">
        <f t="shared" si="182"/>
        <v>0.501</v>
      </c>
      <c r="CP283" s="58">
        <f t="shared" si="195"/>
        <v>25.9</v>
      </c>
      <c r="CQ283" s="58">
        <f t="shared" si="196"/>
        <v>0</v>
      </c>
      <c r="CR283" s="58">
        <f t="shared" si="197"/>
        <v>957.8</v>
      </c>
      <c r="CS283" s="24">
        <f>'Required Transfers'!L283</f>
        <v>204446</v>
      </c>
      <c r="CT283" s="24">
        <f>'Required Transfers'!O283</f>
        <v>0</v>
      </c>
      <c r="CU283" s="24">
        <f>'Required Transfers'!H283</f>
        <v>739795</v>
      </c>
      <c r="CV283" s="58">
        <f t="shared" si="198"/>
        <v>482</v>
      </c>
      <c r="CW283" s="27" t="s">
        <v>468</v>
      </c>
    </row>
    <row r="284" spans="1:101" ht="15" customHeight="1">
      <c r="A284" s="54">
        <v>505</v>
      </c>
      <c r="B284" s="1" t="s">
        <v>108</v>
      </c>
      <c r="C284" s="1" t="s">
        <v>788</v>
      </c>
      <c r="D284" s="58">
        <v>359.2</v>
      </c>
      <c r="E284" s="58"/>
      <c r="F284" s="58">
        <v>0</v>
      </c>
      <c r="G284" s="58">
        <f t="shared" si="199"/>
        <v>359.2</v>
      </c>
      <c r="H284" s="58">
        <v>354.5</v>
      </c>
      <c r="I284" s="58"/>
      <c r="J284" s="58">
        <v>0</v>
      </c>
      <c r="K284" s="58">
        <f t="shared" si="200"/>
        <v>354.5</v>
      </c>
      <c r="L284" s="1">
        <v>362.5</v>
      </c>
      <c r="N284" s="1">
        <v>0</v>
      </c>
      <c r="O284" s="58">
        <f t="shared" si="201"/>
        <v>362.5</v>
      </c>
      <c r="P284" s="58">
        <f>IF(ISNA(VLOOKUP($CW284,'Audit Values'!$A:$BZ,2,FALSE)),'Preliminary SO66'!C283,VLOOKUP($CW284,'Audit Values'!$A:$BZ,76,FALSE))</f>
        <v>372.5</v>
      </c>
      <c r="Q284" s="58">
        <f>IF(ISNA(VLOOKUP($CW284,'Audit Values'!$A:$BZ,2,FALSE)),'Preliminary SO66'!F283,VLOOKUP($CW284,'Audit Values'!$A:$BZ,4,FALSE))</f>
        <v>0</v>
      </c>
      <c r="R284" s="58">
        <f t="shared" si="169"/>
        <v>372.5</v>
      </c>
      <c r="S284" s="58">
        <f>IF('Military Provision'!I284="YES", MAX('2024 Legal Max'!O284,'2024 Legal Max'!K284,AVERAGE('2024 Legal Max'!G284,'2024 Legal Max'!K284,'2024 Legal Max'!O284)), MAX(O284, K284))</f>
        <v>362.5</v>
      </c>
      <c r="T284" s="58">
        <f>IF(ISNA(VLOOKUP($CW284,'Audit Values'!$A:$BX,2,FALSE)),'Preliminary SO66'!AL283,VLOOKUP($CW284,'Audit Values'!$A:$BX,59,FALSE))</f>
        <v>6</v>
      </c>
      <c r="U284" s="58">
        <f t="shared" si="170"/>
        <v>368.5</v>
      </c>
      <c r="V284" s="58">
        <f>'Low-High ENRL- 2023 HSubSB 113'!N287</f>
        <v>169.8</v>
      </c>
      <c r="W284" s="58">
        <f>IF(ISNA(VLOOKUP($CW284,'Audit Values'!$A:$BZ,2,FALSE)),'Preliminary SO66'!AM283,VLOOKUP($CW284,'Audit Values'!$A:$BZ,63,FALSE))</f>
        <v>1.6</v>
      </c>
      <c r="X284" s="58">
        <f>(W284/6)*'Weighting Factors'!$O$7</f>
        <v>0.1</v>
      </c>
      <c r="Y284" s="61">
        <f>IF(ISNA(VLOOKUP($CW284,'Audit Values'!$A:$BZ,2,FALSE)),'Preliminary SO66'!AN283,VLOOKUP($CW284,'Audit Values'!$A:$BZ,62,FALSE))</f>
        <v>2</v>
      </c>
      <c r="Z284" s="58">
        <f>Y284*'Weighting Factors'!$O$8</f>
        <v>0.4</v>
      </c>
      <c r="AA284" s="58">
        <f t="shared" si="171"/>
        <v>0.4</v>
      </c>
      <c r="AB284" s="106">
        <f>IF(ISNA(VLOOKUP($CW284,'Audit Values'!$A:$BZ,2,FALSE)),'Preliminary SO66'!AO283,VLOOKUP($CW284,'Audit Values'!$A:$BZ,61,FALSE))</f>
        <v>179.3</v>
      </c>
      <c r="AC284" s="58">
        <f>AB284/6*'Weighting Factors'!$O$6</f>
        <v>14.9</v>
      </c>
      <c r="AD284" s="24">
        <f>IF(ISNA(VLOOKUP($CW284,'Audit Values'!$A:$BX,2,FALSE)),'Preliminary SO66'!AS283,VLOOKUP($CW284,'Audit Values'!$A:$BX,64,FALSE))</f>
        <v>387</v>
      </c>
      <c r="AE284" s="24">
        <f>IF(ISNA(VLOOKUP($CW284,'Audit Values'!$A:$BX,2,FALSE)),'Preliminary SO66'!AP283,VLOOKUP($CW284,'Audit Values'!$A:$BX,65,FALSE))</f>
        <v>184</v>
      </c>
      <c r="AF284" s="58">
        <f>IF(A284=207, AE284,(AE284))*'Weighting Factors'!$O$9</f>
        <v>89.1</v>
      </c>
      <c r="AG284" s="58">
        <f t="shared" si="204"/>
        <v>16.2</v>
      </c>
      <c r="AH284" s="58">
        <f>IF(ISNA(VLOOKUP($CW284,'Audit Values'!$A:$BZ,2,FALSE)),'Preliminary SO66'!AG283,VLOOKUP($CW284,'Audit Values'!$A:$BZ,71,FALSE))</f>
        <v>11.8</v>
      </c>
      <c r="AI284" s="58">
        <f t="shared" si="172"/>
        <v>16.2</v>
      </c>
      <c r="AJ284" s="58">
        <f>IF(ISNA(VLOOKUP($CW284,'Audit Values'!$A:$BX,2,FALSE)),'Preliminary SO66'!AR283,VLOOKUP($CW284,'Audit Values'!$A:$BX,66,FALSE))</f>
        <v>25.5</v>
      </c>
      <c r="AK284" s="24">
        <f t="shared" si="173"/>
        <v>40185</v>
      </c>
      <c r="AL284" s="58">
        <f>AK284/'Weighting Factors'!$O$5</f>
        <v>7.9</v>
      </c>
      <c r="AM284" s="58">
        <f>CJ284/'Weighting Factors'!$O$5</f>
        <v>0</v>
      </c>
      <c r="AN284" s="58">
        <f>CN284/'Weighting Factors'!$O$5</f>
        <v>0</v>
      </c>
      <c r="AO284" s="24">
        <v>437282</v>
      </c>
      <c r="AP284" s="58">
        <f>AO284/'Weighting Factors'!$O$5</f>
        <v>85.9</v>
      </c>
      <c r="AQ284" s="58">
        <f>IF(ISNA(VLOOKUP($CW284,'Audit Values'!$A:$BX,2,FALSE)),'Preliminary SO66'!X283,VLOOKUP($CW284,'Audit Values'!$A:$BX,48,FALSE))</f>
        <v>0</v>
      </c>
      <c r="AR284" s="58">
        <f t="shared" si="202"/>
        <v>752.7</v>
      </c>
      <c r="AS284" s="58">
        <f t="shared" si="203"/>
        <v>666.8</v>
      </c>
      <c r="AT284" s="58">
        <f>IF(ISNA(VLOOKUP($CW284,'Audit Values'!$A$2:$BX$410,2,FALSE)),'Preliminary SO66'!AA283,VLOOKUP($CW284,'Audit Values'!$A$2:$BX$410,41,FALSE))</f>
        <v>0</v>
      </c>
      <c r="AU284" s="58">
        <f>IF(ISNA(VLOOKUP($CW284,'Audit Values'!$A$2:$BX$410,2,FALSE)),'Preliminary SO66'!AB283,VLOOKUP($CW284,'Audit Values'!$A$2:$BX$410,42,FALSE))</f>
        <v>0</v>
      </c>
      <c r="AV284" s="73">
        <v>0</v>
      </c>
      <c r="AW284" s="73">
        <v>0</v>
      </c>
      <c r="AX284" s="24">
        <f>SUM(AT284*'Weighting Factors'!$R$10)+('2024 Legal Max'!AU284*'Weighting Factors'!$R$11)+('2024 Legal Max'!AV284*'Weighting Factors'!$R$12)+('2024 Legal Max'!AW284*'Weighting Factors'!$R$12)</f>
        <v>0</v>
      </c>
      <c r="AY284" s="54">
        <f>IF(ISNA(VLOOKUP($CW284,'Audit Values'!$A$2:$BX$429,2,FALSE)),"",IF(AND('Weighting Factors'!G284&gt;0,VLOOKUP($CW284,'Audit Values'!$A$2:$BX$429,51,FALSE)&lt;'Weighting Factors'!G284),'Weighting Factors'!G284,VLOOKUP($CW284,'Audit Values'!$A$2:$BX$429,51,FALSE)))</f>
        <v>18</v>
      </c>
      <c r="AZ284" s="54" t="str">
        <f>IF(ISNA(VLOOKUP($CW284,'Audit Values'!$A:$BY,2,FALSE)),"",VLOOKUP($CW284,'Audit Values'!$A:$BY,52,FALSE))</f>
        <v>A</v>
      </c>
      <c r="BA284" s="54" t="str">
        <f>IF('Weighting Factors'!F284="","",IF('Weighting Factors'!H284="Pending","PX","R"))</f>
        <v/>
      </c>
      <c r="BB284" s="60">
        <f>SUM((U284+V284+AA284+AC284+AF284+AI284+AL284+AM284+AQ284+AN284)*'Weighting Factors'!$O$5)+'2024 Legal Max'!AX284</f>
        <v>3392678</v>
      </c>
      <c r="BC284" s="24">
        <f>SUM((AR284+AN284)*'Weighting Factors'!$O$5)+AX284</f>
        <v>3829738</v>
      </c>
      <c r="BD284" s="67">
        <f>IF('Weighting Factors'!F284&gt;0,'Weighting Factors'!F284,'Preliminary SO66'!AV283)</f>
        <v>4015958</v>
      </c>
      <c r="BE284" s="24">
        <f t="shared" si="174"/>
        <v>3829738</v>
      </c>
      <c r="BF284" s="71">
        <f>'Weighting Factors'!E284</f>
        <v>0</v>
      </c>
      <c r="BG284" s="71">
        <f>Transportation!G284</f>
        <v>0</v>
      </c>
      <c r="BH284" s="24">
        <f>IF(ISNA(VLOOKUP($CW284,'Audit Values'!$A:$BW,2,FALSE)), 0, VLOOKUP($CW284,'Audit Values'!$A:$BW,75,FALSE))</f>
        <v>0</v>
      </c>
      <c r="BI284" s="24">
        <f t="shared" si="175"/>
        <v>0</v>
      </c>
      <c r="BJ284" s="24">
        <f t="shared" si="176"/>
        <v>3829738</v>
      </c>
      <c r="BK284" s="24">
        <f>SUM((U284+V284+AA284+AC284+AF284+AI284+AL284+AM284+AN284)*'Weighting Factors'!O$12)+(MAX(AO284,'Weighting Factors'!B284))</f>
        <v>3977031</v>
      </c>
      <c r="BL284" s="78">
        <f>'LOB%'!F282</f>
        <v>0.33</v>
      </c>
      <c r="BM284" s="24">
        <f t="shared" si="183"/>
        <v>1312420</v>
      </c>
      <c r="BN284" s="67">
        <v>1341011</v>
      </c>
      <c r="BO284" s="24">
        <f t="shared" si="177"/>
        <v>1312420</v>
      </c>
      <c r="BP284" s="89">
        <f t="shared" si="184"/>
        <v>0.33</v>
      </c>
      <c r="BQ284" s="58">
        <f t="shared" si="185"/>
        <v>0</v>
      </c>
      <c r="BR284" s="1" t="b">
        <f t="shared" si="186"/>
        <v>0</v>
      </c>
      <c r="BS284" s="76">
        <f t="shared" si="187"/>
        <v>0</v>
      </c>
      <c r="BT284" s="75">
        <f t="shared" si="178"/>
        <v>0</v>
      </c>
      <c r="BU284" s="58">
        <f t="shared" si="188"/>
        <v>0</v>
      </c>
      <c r="BV284" s="1" t="b">
        <f t="shared" si="189"/>
        <v>1</v>
      </c>
      <c r="BW284" s="1">
        <f t="shared" si="190"/>
        <v>84.768799999999999</v>
      </c>
      <c r="BX284" s="75">
        <f t="shared" si="179"/>
        <v>0.46091300000000002</v>
      </c>
      <c r="BY284" s="58">
        <f t="shared" si="191"/>
        <v>169.8</v>
      </c>
      <c r="BZ284" s="58">
        <f t="shared" si="192"/>
        <v>0</v>
      </c>
      <c r="CA284" s="61">
        <v>126</v>
      </c>
      <c r="CB284" s="102">
        <f t="shared" si="193"/>
        <v>0.20200000000000001</v>
      </c>
      <c r="CC284" s="105">
        <f>IF(CB284&lt;0.06,1,IF(CB284&gt;=18.29,52,MATCH(CB284-0.001,'Weighting Factors'!$W$5:$W$156)+1))</f>
        <v>15</v>
      </c>
      <c r="CD284" s="24">
        <f>VLOOKUP(CC284, 'Weighting Factors'!$U$5:$X$56,4)</f>
        <v>1290</v>
      </c>
      <c r="CE284" s="109">
        <f>('Weighting Factors'!$O$5/'Weighting Factors'!$O$14)</f>
        <v>1.2216</v>
      </c>
      <c r="CF284" s="100">
        <f t="shared" si="194"/>
        <v>32895</v>
      </c>
      <c r="CG284" s="100">
        <f>CF284*'Weighting Factors'!$Q$7</f>
        <v>32895</v>
      </c>
      <c r="CH284" s="100">
        <f t="shared" si="180"/>
        <v>40185</v>
      </c>
      <c r="CI284" s="58">
        <f>AK284/'Weighting Factors'!$O$5</f>
        <v>7.9</v>
      </c>
      <c r="CJ284" s="67">
        <v>0</v>
      </c>
      <c r="CK284" s="80">
        <v>0</v>
      </c>
      <c r="CL284" s="110">
        <v>0</v>
      </c>
      <c r="CM284" s="24">
        <f>SUM((AR284*'Weighting Factors'!$O$5)+'2024 Legal Max'!AX284)*CL284</f>
        <v>0</v>
      </c>
      <c r="CN284" s="24">
        <f t="shared" si="181"/>
        <v>0</v>
      </c>
      <c r="CO284" s="65">
        <f t="shared" si="182"/>
        <v>0.47549999999999998</v>
      </c>
      <c r="CP284" s="58">
        <f t="shared" si="195"/>
        <v>0</v>
      </c>
      <c r="CQ284" s="58">
        <f t="shared" si="196"/>
        <v>16.2</v>
      </c>
      <c r="CR284" s="58">
        <f t="shared" si="197"/>
        <v>752.7</v>
      </c>
      <c r="CS284" s="24">
        <f>'Required Transfers'!L284</f>
        <v>156572</v>
      </c>
      <c r="CT284" s="24">
        <f>'Required Transfers'!O284</f>
        <v>656</v>
      </c>
      <c r="CU284" s="24">
        <f>'Required Transfers'!H284</f>
        <v>535766</v>
      </c>
      <c r="CV284" s="58">
        <f t="shared" si="198"/>
        <v>378.5</v>
      </c>
      <c r="CW284" s="27" t="s">
        <v>469</v>
      </c>
    </row>
    <row r="285" spans="1:101" ht="15" customHeight="1">
      <c r="A285" s="54">
        <v>506</v>
      </c>
      <c r="B285" s="1" t="s">
        <v>108</v>
      </c>
      <c r="C285" s="1" t="s">
        <v>789</v>
      </c>
      <c r="D285" s="58">
        <v>1422.8</v>
      </c>
      <c r="E285" s="58"/>
      <c r="F285" s="58">
        <v>0</v>
      </c>
      <c r="G285" s="58">
        <f t="shared" si="199"/>
        <v>1422.8</v>
      </c>
      <c r="H285" s="58">
        <v>1480</v>
      </c>
      <c r="I285" s="58"/>
      <c r="J285" s="58">
        <v>0</v>
      </c>
      <c r="K285" s="58">
        <f t="shared" si="200"/>
        <v>1480</v>
      </c>
      <c r="L285" s="1">
        <v>1443</v>
      </c>
      <c r="N285" s="1">
        <v>0</v>
      </c>
      <c r="O285" s="58">
        <f t="shared" si="201"/>
        <v>1443</v>
      </c>
      <c r="P285" s="58">
        <f>IF(ISNA(VLOOKUP($CW285,'Audit Values'!$A:$BZ,2,FALSE)),'Preliminary SO66'!C284,VLOOKUP($CW285,'Audit Values'!$A:$BZ,76,FALSE))</f>
        <v>1396.6</v>
      </c>
      <c r="Q285" s="58">
        <f>IF(ISNA(VLOOKUP($CW285,'Audit Values'!$A:$BZ,2,FALSE)),'Preliminary SO66'!F284,VLOOKUP($CW285,'Audit Values'!$A:$BZ,4,FALSE))</f>
        <v>0</v>
      </c>
      <c r="R285" s="58">
        <f t="shared" si="169"/>
        <v>1396.6</v>
      </c>
      <c r="S285" s="58">
        <f>IF('Military Provision'!I285="YES", MAX('2024 Legal Max'!O285,'2024 Legal Max'!K285,AVERAGE('2024 Legal Max'!G285,'2024 Legal Max'!K285,'2024 Legal Max'!O285)), MAX(O285, K285))</f>
        <v>1480</v>
      </c>
      <c r="T285" s="58">
        <f>IF(ISNA(VLOOKUP($CW285,'Audit Values'!$A:$BX,2,FALSE)),'Preliminary SO66'!AL284,VLOOKUP($CW285,'Audit Values'!$A:$BX,59,FALSE))</f>
        <v>21</v>
      </c>
      <c r="U285" s="58">
        <f t="shared" si="170"/>
        <v>1501</v>
      </c>
      <c r="V285" s="58">
        <f>'Low-High ENRL- 2023 HSubSB 113'!N288</f>
        <v>114.3</v>
      </c>
      <c r="W285" s="58">
        <f>IF(ISNA(VLOOKUP($CW285,'Audit Values'!$A:$BZ,2,FALSE)),'Preliminary SO66'!AM284,VLOOKUP($CW285,'Audit Values'!$A:$BZ,63,FALSE))</f>
        <v>0</v>
      </c>
      <c r="X285" s="58">
        <f>(W285/6)*'Weighting Factors'!$O$7</f>
        <v>0</v>
      </c>
      <c r="Y285" s="61">
        <f>IF(ISNA(VLOOKUP($CW285,'Audit Values'!$A:$BZ,2,FALSE)),'Preliminary SO66'!AN284,VLOOKUP($CW285,'Audit Values'!$A:$BZ,62,FALSE))</f>
        <v>0</v>
      </c>
      <c r="Z285" s="58">
        <f>Y285*'Weighting Factors'!$O$8</f>
        <v>0</v>
      </c>
      <c r="AA285" s="58">
        <f t="shared" si="171"/>
        <v>0</v>
      </c>
      <c r="AB285" s="106">
        <f>IF(ISNA(VLOOKUP($CW285,'Audit Values'!$A:$BZ,2,FALSE)),'Preliminary SO66'!AO284,VLOOKUP($CW285,'Audit Values'!$A:$BZ,61,FALSE))</f>
        <v>297.89999999999998</v>
      </c>
      <c r="AC285" s="58">
        <f>AB285/6*'Weighting Factors'!$O$6</f>
        <v>24.8</v>
      </c>
      <c r="AD285" s="24">
        <f>IF(ISNA(VLOOKUP($CW285,'Audit Values'!$A:$BX,2,FALSE)),'Preliminary SO66'!AS284,VLOOKUP($CW285,'Audit Values'!$A:$BX,64,FALSE))</f>
        <v>1444</v>
      </c>
      <c r="AE285" s="24">
        <f>IF(ISNA(VLOOKUP($CW285,'Audit Values'!$A:$BX,2,FALSE)),'Preliminary SO66'!AP284,VLOOKUP($CW285,'Audit Values'!$A:$BX,65,FALSE))</f>
        <v>681</v>
      </c>
      <c r="AF285" s="58">
        <f>IF(A285=207, AE285,(AE285))*'Weighting Factors'!$O$9</f>
        <v>329.6</v>
      </c>
      <c r="AG285" s="58">
        <f t="shared" si="204"/>
        <v>58</v>
      </c>
      <c r="AH285" s="58">
        <f>IF(ISNA(VLOOKUP($CW285,'Audit Values'!$A:$BZ,2,FALSE)),'Preliminary SO66'!AG284,VLOOKUP($CW285,'Audit Values'!$A:$BZ,71,FALSE))</f>
        <v>54.3</v>
      </c>
      <c r="AI285" s="58">
        <f t="shared" si="172"/>
        <v>58</v>
      </c>
      <c r="AJ285" s="58">
        <f>IF(ISNA(VLOOKUP($CW285,'Audit Values'!$A:$BX,2,FALSE)),'Preliminary SO66'!AR284,VLOOKUP($CW285,'Audit Values'!$A:$BX,66,FALSE))</f>
        <v>577</v>
      </c>
      <c r="AK285" s="24">
        <f t="shared" si="173"/>
        <v>655523</v>
      </c>
      <c r="AL285" s="58">
        <f>AK285/'Weighting Factors'!$O$5</f>
        <v>128.80000000000001</v>
      </c>
      <c r="AM285" s="58">
        <f>CJ285/'Weighting Factors'!$O$5</f>
        <v>0</v>
      </c>
      <c r="AN285" s="58">
        <f>CN285/'Weighting Factors'!$O$5</f>
        <v>0</v>
      </c>
      <c r="AO285" s="24">
        <v>1636516</v>
      </c>
      <c r="AP285" s="58">
        <f>AO285/'Weighting Factors'!$O$5</f>
        <v>321.60000000000002</v>
      </c>
      <c r="AQ285" s="58">
        <f>IF(ISNA(VLOOKUP($CW285,'Audit Values'!$A:$BX,2,FALSE)),'Preliminary SO66'!X284,VLOOKUP($CW285,'Audit Values'!$A:$BX,48,FALSE))</f>
        <v>0</v>
      </c>
      <c r="AR285" s="58">
        <f t="shared" si="202"/>
        <v>2478.1</v>
      </c>
      <c r="AS285" s="58">
        <f t="shared" si="203"/>
        <v>2156.5</v>
      </c>
      <c r="AT285" s="58">
        <f>IF(ISNA(VLOOKUP($CW285,'Audit Values'!$A$2:$BX$410,2,FALSE)),'Preliminary SO66'!AA284,VLOOKUP($CW285,'Audit Values'!$A$2:$BX$410,41,FALSE))</f>
        <v>23</v>
      </c>
      <c r="AU285" s="58">
        <f>IF(ISNA(VLOOKUP($CW285,'Audit Values'!$A$2:$BX$410,2,FALSE)),'Preliminary SO66'!AB284,VLOOKUP($CW285,'Audit Values'!$A$2:$BX$410,42,FALSE))</f>
        <v>0.8</v>
      </c>
      <c r="AV285" s="73">
        <v>0</v>
      </c>
      <c r="AW285" s="73">
        <v>0</v>
      </c>
      <c r="AX285" s="24">
        <f>SUM(AT285*'Weighting Factors'!$R$10)+('2024 Legal Max'!AU285*'Weighting Factors'!$R$11)+('2024 Legal Max'!AV285*'Weighting Factors'!$R$12)+('2024 Legal Max'!AW285*'Weighting Factors'!$R$12)</f>
        <v>131040</v>
      </c>
      <c r="AY285" s="54">
        <f>IF(ISNA(VLOOKUP($CW285,'Audit Values'!$A$2:$BX$429,2,FALSE)),"",IF(AND('Weighting Factors'!G285&gt;0,VLOOKUP($CW285,'Audit Values'!$A$2:$BX$429,51,FALSE)&lt;'Weighting Factors'!G285),'Weighting Factors'!G285,VLOOKUP($CW285,'Audit Values'!$A$2:$BX$429,51,FALSE)))</f>
        <v>6</v>
      </c>
      <c r="AZ285" s="54" t="str">
        <f>IF(ISNA(VLOOKUP($CW285,'Audit Values'!$A:$BY,2,FALSE)),"",VLOOKUP($CW285,'Audit Values'!$A:$BY,52,FALSE))</f>
        <v>A</v>
      </c>
      <c r="BA285" s="54" t="str">
        <f>IF('Weighting Factors'!F285="","",IF('Weighting Factors'!H285="Pending","PX","R"))</f>
        <v/>
      </c>
      <c r="BB285" s="60">
        <f>SUM((U285+V285+AA285+AC285+AF285+AI285+AL285+AM285+AQ285+AN285)*'Weighting Factors'!$O$5)+'2024 Legal Max'!AX285</f>
        <v>11103312</v>
      </c>
      <c r="BC285" s="24">
        <f>SUM((AR285+AN285)*'Weighting Factors'!$O$5)+AX285</f>
        <v>12739613</v>
      </c>
      <c r="BD285" s="67">
        <f>IF('Weighting Factors'!F285&gt;0,'Weighting Factors'!F285,'Preliminary SO66'!AV284)</f>
        <v>12976837</v>
      </c>
      <c r="BE285" s="24">
        <f t="shared" si="174"/>
        <v>12739613</v>
      </c>
      <c r="BF285" s="71">
        <f>'Weighting Factors'!E285</f>
        <v>0</v>
      </c>
      <c r="BG285" s="71">
        <f>Transportation!G285</f>
        <v>0</v>
      </c>
      <c r="BH285" s="24">
        <f>IF(ISNA(VLOOKUP($CW285,'Audit Values'!$A:$BW,2,FALSE)), 0, VLOOKUP($CW285,'Audit Values'!$A:$BW,75,FALSE))</f>
        <v>0</v>
      </c>
      <c r="BI285" s="24">
        <f t="shared" si="175"/>
        <v>0</v>
      </c>
      <c r="BJ285" s="24">
        <f t="shared" si="176"/>
        <v>12739613</v>
      </c>
      <c r="BK285" s="24">
        <f>SUM((U285+V285+AA285+AC285+AF285+AI285+AL285+AM285+AN285)*'Weighting Factors'!O$12)+(MAX(AO285,'Weighting Factors'!B285))</f>
        <v>12759743</v>
      </c>
      <c r="BL285" s="78">
        <f>'LOB%'!F283</f>
        <v>0.316</v>
      </c>
      <c r="BM285" s="24">
        <f t="shared" si="183"/>
        <v>4032079</v>
      </c>
      <c r="BN285" s="67">
        <v>4117266</v>
      </c>
      <c r="BO285" s="24">
        <f t="shared" si="177"/>
        <v>4032079</v>
      </c>
      <c r="BP285" s="89">
        <f t="shared" si="184"/>
        <v>0.316</v>
      </c>
      <c r="BQ285" s="58">
        <f t="shared" si="185"/>
        <v>0</v>
      </c>
      <c r="BR285" s="1" t="b">
        <f t="shared" si="186"/>
        <v>0</v>
      </c>
      <c r="BS285" s="76">
        <f t="shared" si="187"/>
        <v>0</v>
      </c>
      <c r="BT285" s="75">
        <f t="shared" si="178"/>
        <v>0</v>
      </c>
      <c r="BU285" s="58">
        <f t="shared" si="188"/>
        <v>0</v>
      </c>
      <c r="BV285" s="1" t="b">
        <f t="shared" si="189"/>
        <v>1</v>
      </c>
      <c r="BW285" s="1">
        <f t="shared" si="190"/>
        <v>1486.2375</v>
      </c>
      <c r="BX285" s="75">
        <f t="shared" si="179"/>
        <v>7.6147999999999993E-2</v>
      </c>
      <c r="BY285" s="58">
        <f t="shared" si="191"/>
        <v>114.3</v>
      </c>
      <c r="BZ285" s="58">
        <f t="shared" si="192"/>
        <v>0</v>
      </c>
      <c r="CA285" s="61">
        <v>500</v>
      </c>
      <c r="CB285" s="102">
        <f t="shared" si="193"/>
        <v>1.1539999999999999</v>
      </c>
      <c r="CC285" s="105">
        <f>IF(CB285&lt;0.06,1,IF(CB285&gt;=18.29,52,MATCH(CB285-0.001,'Weighting Factors'!$W$5:$W$156)+1))</f>
        <v>33</v>
      </c>
      <c r="CD285" s="24">
        <f>VLOOKUP(CC285, 'Weighting Factors'!$U$5:$X$56,4)</f>
        <v>930</v>
      </c>
      <c r="CE285" s="109">
        <f>('Weighting Factors'!$O$5/'Weighting Factors'!$O$14)</f>
        <v>1.2216</v>
      </c>
      <c r="CF285" s="100">
        <f t="shared" si="194"/>
        <v>536610</v>
      </c>
      <c r="CG285" s="100">
        <f>CF285*'Weighting Factors'!$Q$7</f>
        <v>536610</v>
      </c>
      <c r="CH285" s="100">
        <f t="shared" si="180"/>
        <v>655523</v>
      </c>
      <c r="CI285" s="58">
        <f>AK285/'Weighting Factors'!$O$5</f>
        <v>128.80000000000001</v>
      </c>
      <c r="CJ285" s="67">
        <v>0</v>
      </c>
      <c r="CK285" s="80">
        <v>0</v>
      </c>
      <c r="CL285" s="110">
        <v>0</v>
      </c>
      <c r="CM285" s="24">
        <f>SUM((AR285*'Weighting Factors'!$O$5)+'2024 Legal Max'!AX285)*CL285</f>
        <v>0</v>
      </c>
      <c r="CN285" s="24">
        <f t="shared" si="181"/>
        <v>0</v>
      </c>
      <c r="CO285" s="65">
        <f t="shared" si="182"/>
        <v>0.47160000000000002</v>
      </c>
      <c r="CP285" s="58">
        <f t="shared" si="195"/>
        <v>0</v>
      </c>
      <c r="CQ285" s="58">
        <f t="shared" si="196"/>
        <v>58</v>
      </c>
      <c r="CR285" s="58">
        <f t="shared" si="197"/>
        <v>2478.1</v>
      </c>
      <c r="CS285" s="24">
        <f>'Required Transfers'!L285</f>
        <v>540702</v>
      </c>
      <c r="CT285" s="24">
        <f>'Required Transfers'!O285</f>
        <v>0</v>
      </c>
      <c r="CU285" s="24">
        <f>'Required Transfers'!H285</f>
        <v>1972109</v>
      </c>
      <c r="CV285" s="58">
        <f t="shared" si="198"/>
        <v>1441.4</v>
      </c>
      <c r="CW285" s="27" t="s">
        <v>470</v>
      </c>
    </row>
    <row r="286" spans="1:101" ht="15" customHeight="1">
      <c r="A286" s="54">
        <v>507</v>
      </c>
      <c r="B286" s="1" t="s">
        <v>75</v>
      </c>
      <c r="C286" s="1" t="s">
        <v>790</v>
      </c>
      <c r="D286" s="58">
        <v>240</v>
      </c>
      <c r="E286" s="58"/>
      <c r="F286" s="58">
        <v>0</v>
      </c>
      <c r="G286" s="58">
        <f t="shared" si="199"/>
        <v>240</v>
      </c>
      <c r="H286" s="58">
        <v>241.5</v>
      </c>
      <c r="I286" s="58"/>
      <c r="J286" s="58">
        <v>0</v>
      </c>
      <c r="K286" s="58">
        <f t="shared" si="200"/>
        <v>241.5</v>
      </c>
      <c r="L286" s="1">
        <v>219.5</v>
      </c>
      <c r="N286" s="1">
        <v>0</v>
      </c>
      <c r="O286" s="58">
        <f t="shared" si="201"/>
        <v>219.5</v>
      </c>
      <c r="P286" s="58">
        <f>IF(ISNA(VLOOKUP($CW286,'Audit Values'!$A:$BZ,2,FALSE)),'Preliminary SO66'!C285,VLOOKUP($CW286,'Audit Values'!$A:$BZ,76,FALSE))</f>
        <v>225.5</v>
      </c>
      <c r="Q286" s="58">
        <f>IF(ISNA(VLOOKUP($CW286,'Audit Values'!$A:$BZ,2,FALSE)),'Preliminary SO66'!F285,VLOOKUP($CW286,'Audit Values'!$A:$BZ,4,FALSE))</f>
        <v>0</v>
      </c>
      <c r="R286" s="58">
        <f t="shared" ref="R286:R290" si="205">SUM(P286+Q286)</f>
        <v>225.5</v>
      </c>
      <c r="S286" s="58">
        <f>IF('Military Provision'!I286="YES", MAX('2024 Legal Max'!O286,'2024 Legal Max'!K286,AVERAGE('2024 Legal Max'!G286,'2024 Legal Max'!K286,'2024 Legal Max'!O286)), MAX(O286, K286))</f>
        <v>241.5</v>
      </c>
      <c r="T286" s="58">
        <f>IF(ISNA(VLOOKUP($CW286,'Audit Values'!$A:$BX,2,FALSE)),'Preliminary SO66'!AL285,VLOOKUP($CW286,'Audit Values'!$A:$BX,59,FALSE))</f>
        <v>6.5</v>
      </c>
      <c r="U286" s="58">
        <f t="shared" ref="U286:U290" si="206">S286+T286</f>
        <v>248</v>
      </c>
      <c r="V286" s="58">
        <f>'Low-High ENRL- 2023 HSubSB 113'!N289</f>
        <v>154.30000000000001</v>
      </c>
      <c r="W286" s="58">
        <f>IF(ISNA(VLOOKUP($CW286,'Audit Values'!$A:$BZ,2,FALSE)),'Preliminary SO66'!AM285,VLOOKUP($CW286,'Audit Values'!$A:$BZ,63,FALSE))</f>
        <v>459.4</v>
      </c>
      <c r="X286" s="58">
        <f>(W286/6)*'Weighting Factors'!$O$7</f>
        <v>30.2</v>
      </c>
      <c r="Y286" s="61">
        <f>IF(ISNA(VLOOKUP($CW286,'Audit Values'!$A:$BZ,2,FALSE)),'Preliminary SO66'!AN285,VLOOKUP($CW286,'Audit Values'!$A:$BZ,62,FALSE))</f>
        <v>83</v>
      </c>
      <c r="Z286" s="58">
        <f>Y286*'Weighting Factors'!$O$8</f>
        <v>15.4</v>
      </c>
      <c r="AA286" s="58">
        <f t="shared" ref="AA286:AA290" si="207">MAX(X286,Z286)</f>
        <v>30.2</v>
      </c>
      <c r="AB286" s="106">
        <f>IF(ISNA(VLOOKUP($CW286,'Audit Values'!$A:$BZ,2,FALSE)),'Preliminary SO66'!AO285,VLOOKUP($CW286,'Audit Values'!$A:$BZ,61,FALSE))</f>
        <v>77.900000000000006</v>
      </c>
      <c r="AC286" s="58">
        <f>AB286/6*'Weighting Factors'!$O$6</f>
        <v>6.5</v>
      </c>
      <c r="AD286" s="24">
        <f>IF(ISNA(VLOOKUP($CW286,'Audit Values'!$A:$BX,2,FALSE)),'Preliminary SO66'!AS285,VLOOKUP($CW286,'Audit Values'!$A:$BX,64,FALSE))</f>
        <v>242</v>
      </c>
      <c r="AE286" s="24">
        <f>IF(ISNA(VLOOKUP($CW286,'Audit Values'!$A:$BX,2,FALSE)),'Preliminary SO66'!AP285,VLOOKUP($CW286,'Audit Values'!$A:$BX,65,FALSE))</f>
        <v>142</v>
      </c>
      <c r="AF286" s="58">
        <f>IF(A286=207, AE286,(AE286))*'Weighting Factors'!$O$9</f>
        <v>68.7</v>
      </c>
      <c r="AG286" s="58">
        <f t="shared" si="204"/>
        <v>14.9</v>
      </c>
      <c r="AH286" s="58">
        <f>IF(ISNA(VLOOKUP($CW286,'Audit Values'!$A:$BZ,2,FALSE)),'Preliminary SO66'!AG285,VLOOKUP($CW286,'Audit Values'!$A:$BZ,71,FALSE))</f>
        <v>14.9</v>
      </c>
      <c r="AI286" s="58">
        <f t="shared" ref="AI286:AI290" si="208">MAX(AG286, AH286)</f>
        <v>14.9</v>
      </c>
      <c r="AJ286" s="58">
        <f>IF(ISNA(VLOOKUP($CW286,'Audit Values'!$A:$BX,2,FALSE)),'Preliminary SO66'!AR285,VLOOKUP($CW286,'Audit Values'!$A:$BX,66,FALSE))</f>
        <v>50</v>
      </c>
      <c r="AK286" s="24">
        <f t="shared" ref="AK286:AK290" si="209">CH286</f>
        <v>78793</v>
      </c>
      <c r="AL286" s="58">
        <f>AK286/'Weighting Factors'!$O$5</f>
        <v>15.5</v>
      </c>
      <c r="AM286" s="58">
        <f>CJ286/'Weighting Factors'!$O$5</f>
        <v>0</v>
      </c>
      <c r="AN286" s="58">
        <f>CN286/'Weighting Factors'!$O$5</f>
        <v>0</v>
      </c>
      <c r="AO286" s="24">
        <v>166873</v>
      </c>
      <c r="AP286" s="58">
        <f>AO286/'Weighting Factors'!$O$5</f>
        <v>32.799999999999997</v>
      </c>
      <c r="AQ286" s="58">
        <f>IF(ISNA(VLOOKUP($CW286,'Audit Values'!$A:$BX,2,FALSE)),'Preliminary SO66'!X285,VLOOKUP($CW286,'Audit Values'!$A:$BX,48,FALSE))</f>
        <v>0</v>
      </c>
      <c r="AR286" s="58">
        <f t="shared" si="202"/>
        <v>570.9</v>
      </c>
      <c r="AS286" s="58">
        <f t="shared" si="203"/>
        <v>538.1</v>
      </c>
      <c r="AT286" s="58">
        <f>IF(ISNA(VLOOKUP($CW286,'Audit Values'!$A$2:$BX$410,2,FALSE)),'Preliminary SO66'!AA285,VLOOKUP($CW286,'Audit Values'!$A$2:$BX$410,41,FALSE))</f>
        <v>0</v>
      </c>
      <c r="AU286" s="58">
        <f>IF(ISNA(VLOOKUP($CW286,'Audit Values'!$A$2:$BX$410,2,FALSE)),'Preliminary SO66'!AB285,VLOOKUP($CW286,'Audit Values'!$A$2:$BX$410,42,FALSE))</f>
        <v>0</v>
      </c>
      <c r="AV286" s="73">
        <v>0</v>
      </c>
      <c r="AW286" s="73">
        <v>0</v>
      </c>
      <c r="AX286" s="24">
        <f>SUM(AT286*'Weighting Factors'!$R$10)+('2024 Legal Max'!AU286*'Weighting Factors'!$R$11)+('2024 Legal Max'!AV286*'Weighting Factors'!$R$12)+('2024 Legal Max'!AW286*'Weighting Factors'!$R$12)</f>
        <v>0</v>
      </c>
      <c r="AY286" s="54">
        <f>IF(ISNA(VLOOKUP($CW286,'Audit Values'!$A$2:$BX$429,2,FALSE)),"",IF(AND('Weighting Factors'!G286&gt;0,VLOOKUP($CW286,'Audit Values'!$A$2:$BX$429,51,FALSE)&lt;'Weighting Factors'!G286),'Weighting Factors'!G286,VLOOKUP($CW286,'Audit Values'!$A$2:$BX$429,51,FALSE)))</f>
        <v>4</v>
      </c>
      <c r="AZ286" s="54" t="str">
        <f>IF(ISNA(VLOOKUP($CW286,'Audit Values'!$A:$BY,2,FALSE)),"",VLOOKUP($CW286,'Audit Values'!$A:$BY,52,FALSE))</f>
        <v>A</v>
      </c>
      <c r="BA286" s="54" t="str">
        <f>IF('Weighting Factors'!F286="","",IF('Weighting Factors'!H286="Pending","PX","R"))</f>
        <v/>
      </c>
      <c r="BB286" s="60">
        <f>SUM((U286+V286+AA286+AC286+AF286+AI286+AL286+AM286+AQ286+AN286)*'Weighting Factors'!$O$5)+'2024 Legal Max'!AX286</f>
        <v>2737853</v>
      </c>
      <c r="BC286" s="24">
        <f>SUM((AR286+AN286)*'Weighting Factors'!$O$5)+AX286</f>
        <v>2904739</v>
      </c>
      <c r="BD286" s="67">
        <f>IF('Weighting Factors'!F286&gt;0,'Weighting Factors'!F286,'Preliminary SO66'!AV285)</f>
        <v>3013622</v>
      </c>
      <c r="BE286" s="24">
        <f t="shared" ref="BE286:BE290" si="210">MIN(BC286,BD286)</f>
        <v>2904739</v>
      </c>
      <c r="BF286" s="71">
        <f>'Weighting Factors'!E286</f>
        <v>0</v>
      </c>
      <c r="BG286" s="71">
        <f>Transportation!G286</f>
        <v>0</v>
      </c>
      <c r="BH286" s="24">
        <f>IF(ISNA(VLOOKUP($CW286,'Audit Values'!$A:$BW,2,FALSE)), 0, VLOOKUP($CW286,'Audit Values'!$A:$BW,75,FALSE))</f>
        <v>0</v>
      </c>
      <c r="BI286" s="24">
        <f t="shared" ref="BI286:BI290" si="211">SUM(BF286:BH286)</f>
        <v>0</v>
      </c>
      <c r="BJ286" s="24">
        <f t="shared" ref="BJ286:BJ290" si="212">BE286+BI286</f>
        <v>2904739</v>
      </c>
      <c r="BK286" s="24">
        <f>SUM((U286+V286+AA286+AC286+AF286+AI286+AL286+AM286+AN286)*'Weighting Factors'!O$12)+(MAX(AO286,'Weighting Factors'!B286))</f>
        <v>3001628</v>
      </c>
      <c r="BL286" s="78">
        <f>'LOB%'!F284</f>
        <v>0.316</v>
      </c>
      <c r="BM286" s="24">
        <f t="shared" si="183"/>
        <v>948514</v>
      </c>
      <c r="BN286" s="67">
        <v>979157</v>
      </c>
      <c r="BO286" s="24">
        <f t="shared" ref="BO286:BO290" si="213">MIN(BM286,BN286)</f>
        <v>948514</v>
      </c>
      <c r="BP286" s="89">
        <f t="shared" si="184"/>
        <v>0.316</v>
      </c>
      <c r="BQ286" s="58">
        <f t="shared" si="185"/>
        <v>0</v>
      </c>
      <c r="BR286" s="1" t="b">
        <f t="shared" si="186"/>
        <v>1</v>
      </c>
      <c r="BS286" s="76">
        <f t="shared" si="187"/>
        <v>1428.94</v>
      </c>
      <c r="BT286" s="75">
        <f t="shared" ref="BT286:BT290" si="214">IF(BR286=TRUE,ROUND(((7337-BS286)/3642.4)-1,6),0)</f>
        <v>0.62202400000000002</v>
      </c>
      <c r="BU286" s="58">
        <f t="shared" si="188"/>
        <v>154.30000000000001</v>
      </c>
      <c r="BV286" s="1" t="b">
        <f t="shared" si="189"/>
        <v>0</v>
      </c>
      <c r="BW286" s="1">
        <f t="shared" si="190"/>
        <v>0</v>
      </c>
      <c r="BX286" s="75">
        <f t="shared" ref="BX286:BX290" si="215">IF(BV286=TRUE,ROUND(((5406-BW286)/3642.4)-1,6),0)</f>
        <v>0</v>
      </c>
      <c r="BY286" s="58">
        <f t="shared" si="191"/>
        <v>0</v>
      </c>
      <c r="BZ286" s="58">
        <f t="shared" si="192"/>
        <v>0</v>
      </c>
      <c r="CA286" s="61">
        <v>250</v>
      </c>
      <c r="CB286" s="102">
        <f t="shared" si="193"/>
        <v>0.2</v>
      </c>
      <c r="CC286" s="105">
        <f>IF(CB286&lt;0.06,1,IF(CB286&gt;=18.29,52,MATCH(CB286-0.001,'Weighting Factors'!$W$5:$W$156)+1))</f>
        <v>15</v>
      </c>
      <c r="CD286" s="24">
        <f>VLOOKUP(CC286, 'Weighting Factors'!$U$5:$X$56,4)</f>
        <v>1290</v>
      </c>
      <c r="CE286" s="109">
        <f>('Weighting Factors'!$O$5/'Weighting Factors'!$O$14)</f>
        <v>1.2216</v>
      </c>
      <c r="CF286" s="100">
        <f t="shared" si="194"/>
        <v>64500</v>
      </c>
      <c r="CG286" s="100">
        <f>CF286*'Weighting Factors'!$Q$7</f>
        <v>64500</v>
      </c>
      <c r="CH286" s="100">
        <f t="shared" ref="CH286:CH290" si="216">CG286*CE286</f>
        <v>78793</v>
      </c>
      <c r="CI286" s="58">
        <f>AK286/'Weighting Factors'!$O$5</f>
        <v>15.5</v>
      </c>
      <c r="CJ286" s="67">
        <v>0</v>
      </c>
      <c r="CK286" s="80">
        <v>0</v>
      </c>
      <c r="CL286" s="110">
        <v>0</v>
      </c>
      <c r="CM286" s="24">
        <f>SUM((AR286*'Weighting Factors'!$O$5)+'2024 Legal Max'!AX286)*CL286</f>
        <v>0</v>
      </c>
      <c r="CN286" s="24">
        <f t="shared" ref="CN286:CN290" si="217">IF(CK286&gt;CM286,CM286,CK286)</f>
        <v>0</v>
      </c>
      <c r="CO286" s="65">
        <f t="shared" si="182"/>
        <v>0.58679999999999999</v>
      </c>
      <c r="CP286" s="58">
        <f t="shared" si="195"/>
        <v>14.9</v>
      </c>
      <c r="CQ286" s="58">
        <f t="shared" si="196"/>
        <v>0</v>
      </c>
      <c r="CR286" s="58">
        <f t="shared" si="197"/>
        <v>570.9</v>
      </c>
      <c r="CS286" s="24">
        <f>'Required Transfers'!L286</f>
        <v>115434</v>
      </c>
      <c r="CT286" s="24">
        <f>'Required Transfers'!O286</f>
        <v>50745</v>
      </c>
      <c r="CU286" s="24">
        <f>'Required Transfers'!H286</f>
        <v>425357</v>
      </c>
      <c r="CV286" s="58">
        <f t="shared" si="198"/>
        <v>232</v>
      </c>
      <c r="CW286" s="27" t="s">
        <v>471</v>
      </c>
    </row>
    <row r="287" spans="1:101" ht="15" customHeight="1">
      <c r="A287" s="54">
        <v>508</v>
      </c>
      <c r="B287" s="1" t="s">
        <v>29</v>
      </c>
      <c r="C287" s="1" t="s">
        <v>791</v>
      </c>
      <c r="D287" s="58">
        <v>789.4</v>
      </c>
      <c r="E287" s="58"/>
      <c r="F287" s="58">
        <v>0</v>
      </c>
      <c r="G287" s="58">
        <f t="shared" si="199"/>
        <v>789.4</v>
      </c>
      <c r="H287" s="58">
        <v>786.5</v>
      </c>
      <c r="I287" s="58"/>
      <c r="J287" s="58">
        <v>0</v>
      </c>
      <c r="K287" s="58">
        <f t="shared" si="200"/>
        <v>786.5</v>
      </c>
      <c r="L287" s="1">
        <v>774</v>
      </c>
      <c r="N287" s="1">
        <v>0</v>
      </c>
      <c r="O287" s="58">
        <f t="shared" si="201"/>
        <v>774</v>
      </c>
      <c r="P287" s="58">
        <f>IF(ISNA(VLOOKUP($CW287,'Audit Values'!$A:$BZ,2,FALSE)),'Preliminary SO66'!C286,VLOOKUP($CW287,'Audit Values'!$A:$BZ,76,FALSE))</f>
        <v>747</v>
      </c>
      <c r="Q287" s="58">
        <f>IF(ISNA(VLOOKUP($CW287,'Audit Values'!$A:$BZ,2,FALSE)),'Preliminary SO66'!F286,VLOOKUP($CW287,'Audit Values'!$A:$BZ,4,FALSE))</f>
        <v>0</v>
      </c>
      <c r="R287" s="58">
        <f t="shared" si="205"/>
        <v>747</v>
      </c>
      <c r="S287" s="58">
        <f>IF('Military Provision'!I287="YES", MAX('2024 Legal Max'!O287,'2024 Legal Max'!K287,AVERAGE('2024 Legal Max'!G287,'2024 Legal Max'!K287,'2024 Legal Max'!O287)), MAX(O287, K287))</f>
        <v>786.5</v>
      </c>
      <c r="T287" s="58">
        <f>IF(ISNA(VLOOKUP($CW287,'Audit Values'!$A:$BX,2,FALSE)),'Preliminary SO66'!AL286,VLOOKUP($CW287,'Audit Values'!$A:$BX,59,FALSE))</f>
        <v>21.3</v>
      </c>
      <c r="U287" s="58">
        <f t="shared" si="206"/>
        <v>807.8</v>
      </c>
      <c r="V287" s="58">
        <f>'Low-High ENRL- 2023 HSubSB 113'!N290</f>
        <v>251.8</v>
      </c>
      <c r="W287" s="58">
        <f>IF(ISNA(VLOOKUP($CW287,'Audit Values'!$A:$BZ,2,FALSE)),'Preliminary SO66'!AM286,VLOOKUP($CW287,'Audit Values'!$A:$BZ,63,FALSE))</f>
        <v>0.6</v>
      </c>
      <c r="X287" s="58">
        <f>(W287/6)*'Weighting Factors'!$O$7</f>
        <v>0</v>
      </c>
      <c r="Y287" s="61">
        <f>IF(ISNA(VLOOKUP($CW287,'Audit Values'!$A:$BZ,2,FALSE)),'Preliminary SO66'!AN286,VLOOKUP($CW287,'Audit Values'!$A:$BZ,62,FALSE))</f>
        <v>1</v>
      </c>
      <c r="Z287" s="58">
        <f>Y287*'Weighting Factors'!$O$8</f>
        <v>0.2</v>
      </c>
      <c r="AA287" s="58">
        <f t="shared" si="207"/>
        <v>0.2</v>
      </c>
      <c r="AB287" s="106">
        <f>IF(ISNA(VLOOKUP($CW287,'Audit Values'!$A:$BZ,2,FALSE)),'Preliminary SO66'!AO286,VLOOKUP($CW287,'Audit Values'!$A:$BZ,61,FALSE))</f>
        <v>166.7</v>
      </c>
      <c r="AC287" s="58">
        <f>AB287/6*'Weighting Factors'!$O$6</f>
        <v>13.9</v>
      </c>
      <c r="AD287" s="24">
        <f>IF(ISNA(VLOOKUP($CW287,'Audit Values'!$A:$BX,2,FALSE)),'Preliminary SO66'!AS286,VLOOKUP($CW287,'Audit Values'!$A:$BX,64,FALSE))</f>
        <v>810</v>
      </c>
      <c r="AE287" s="24">
        <f>IF(ISNA(VLOOKUP($CW287,'Audit Values'!$A:$BX,2,FALSE)),'Preliminary SO66'!AP286,VLOOKUP($CW287,'Audit Values'!$A:$BX,65,FALSE))</f>
        <v>455</v>
      </c>
      <c r="AF287" s="58">
        <f>IF(A287=207, AE287,(AE287))*'Weighting Factors'!$O$9</f>
        <v>220.2</v>
      </c>
      <c r="AG287" s="58">
        <f t="shared" si="204"/>
        <v>47.8</v>
      </c>
      <c r="AH287" s="58">
        <f>IF(ISNA(VLOOKUP($CW287,'Audit Values'!$A:$BZ,2,FALSE)),'Preliminary SO66'!AG286,VLOOKUP($CW287,'Audit Values'!$A:$BZ,71,FALSE))</f>
        <v>47.8</v>
      </c>
      <c r="AI287" s="58">
        <f t="shared" si="208"/>
        <v>47.8</v>
      </c>
      <c r="AJ287" s="58">
        <f>IF(ISNA(VLOOKUP($CW287,'Audit Values'!$A:$BX,2,FALSE)),'Preliminary SO66'!AR286,VLOOKUP($CW287,'Audit Values'!$A:$BX,66,FALSE))</f>
        <v>76</v>
      </c>
      <c r="AK287" s="24">
        <f t="shared" si="209"/>
        <v>73345</v>
      </c>
      <c r="AL287" s="58">
        <f>AK287/'Weighting Factors'!$O$5</f>
        <v>14.4</v>
      </c>
      <c r="AM287" s="58">
        <f>CJ287/'Weighting Factors'!$O$5</f>
        <v>0</v>
      </c>
      <c r="AN287" s="58">
        <f>CN287/'Weighting Factors'!$O$5</f>
        <v>0</v>
      </c>
      <c r="AO287" s="24">
        <v>883648</v>
      </c>
      <c r="AP287" s="58">
        <f>AO287/'Weighting Factors'!$O$5</f>
        <v>173.7</v>
      </c>
      <c r="AQ287" s="58">
        <f>IF(ISNA(VLOOKUP($CW287,'Audit Values'!$A:$BX,2,FALSE)),'Preliminary SO66'!X286,VLOOKUP($CW287,'Audit Values'!$A:$BX,48,FALSE))</f>
        <v>0</v>
      </c>
      <c r="AR287" s="58">
        <f t="shared" si="202"/>
        <v>1529.8</v>
      </c>
      <c r="AS287" s="58">
        <f t="shared" si="203"/>
        <v>1356.1</v>
      </c>
      <c r="AT287" s="58">
        <f>IF(ISNA(VLOOKUP($CW287,'Audit Values'!$A$2:$BX$410,2,FALSE)),'Preliminary SO66'!AA286,VLOOKUP($CW287,'Audit Values'!$A$2:$BX$410,41,FALSE))</f>
        <v>29</v>
      </c>
      <c r="AU287" s="58">
        <f>IF(ISNA(VLOOKUP($CW287,'Audit Values'!$A$2:$BX$410,2,FALSE)),'Preliminary SO66'!AB286,VLOOKUP($CW287,'Audit Values'!$A$2:$BX$410,42,FALSE))</f>
        <v>5.3</v>
      </c>
      <c r="AV287" s="73">
        <v>21</v>
      </c>
      <c r="AW287" s="73">
        <v>2</v>
      </c>
      <c r="AX287" s="24">
        <f>SUM(AT287*'Weighting Factors'!$R$10)+('2024 Legal Max'!AU287*'Weighting Factors'!$R$11)+('2024 Legal Max'!AV287*'Weighting Factors'!$R$12)+('2024 Legal Max'!AW287*'Weighting Factors'!$R$12)</f>
        <v>193547</v>
      </c>
      <c r="AY287" s="54">
        <f>IF(ISNA(VLOOKUP($CW287,'Audit Values'!$A$2:$BX$429,2,FALSE)),"",IF(AND('Weighting Factors'!G287&gt;0,VLOOKUP($CW287,'Audit Values'!$A$2:$BX$429,51,FALSE)&lt;'Weighting Factors'!G287),'Weighting Factors'!G287,VLOOKUP($CW287,'Audit Values'!$A$2:$BX$429,51,FALSE)))</f>
        <v>9</v>
      </c>
      <c r="AZ287" s="54" t="str">
        <f>IF(ISNA(VLOOKUP($CW287,'Audit Values'!$A:$BY,2,FALSE)),"",VLOOKUP($CW287,'Audit Values'!$A:$BY,52,FALSE))</f>
        <v>A</v>
      </c>
      <c r="BA287" s="54" t="str">
        <f>IF('Weighting Factors'!F287="","",IF('Weighting Factors'!H287="Pending","PX","R"))</f>
        <v/>
      </c>
      <c r="BB287" s="60">
        <f>SUM((U287+V287+AA287+AC287+AF287+AI287+AL287+AM287+AQ287+AN287)*'Weighting Factors'!$O$5)+'2024 Legal Max'!AX287</f>
        <v>7093384</v>
      </c>
      <c r="BC287" s="24">
        <f>SUM((AR287+AN287)*'Weighting Factors'!$O$5)+AX287</f>
        <v>7977169</v>
      </c>
      <c r="BD287" s="67">
        <f>IF('Weighting Factors'!F287&gt;0,'Weighting Factors'!F287,'Preliminary SO66'!AV286)</f>
        <v>8148976</v>
      </c>
      <c r="BE287" s="24">
        <f t="shared" si="210"/>
        <v>7977169</v>
      </c>
      <c r="BF287" s="71">
        <f>'Weighting Factors'!E287</f>
        <v>0</v>
      </c>
      <c r="BG287" s="71">
        <f>Transportation!G287</f>
        <v>0</v>
      </c>
      <c r="BH287" s="24">
        <f>IF(ISNA(VLOOKUP($CW287,'Audit Values'!$A:$BW,2,FALSE)), 0, VLOOKUP($CW287,'Audit Values'!$A:$BW,75,FALSE))</f>
        <v>-3368</v>
      </c>
      <c r="BI287" s="24">
        <f t="shared" si="211"/>
        <v>-3368</v>
      </c>
      <c r="BJ287" s="24">
        <f t="shared" si="212"/>
        <v>7973801</v>
      </c>
      <c r="BK287" s="24">
        <f>SUM((U287+V287+AA287+AC287+AF287+AI287+AL287+AM287+AN287)*'Weighting Factors'!O$12)+(MAX(AO287,'Weighting Factors'!B287))</f>
        <v>7878412</v>
      </c>
      <c r="BL287" s="78">
        <f>'LOB%'!F285</f>
        <v>0.33</v>
      </c>
      <c r="BM287" s="24">
        <f t="shared" si="183"/>
        <v>2599876</v>
      </c>
      <c r="BN287" s="67">
        <v>2646515</v>
      </c>
      <c r="BO287" s="24">
        <f t="shared" si="213"/>
        <v>2599876</v>
      </c>
      <c r="BP287" s="89">
        <f t="shared" si="184"/>
        <v>0.33</v>
      </c>
      <c r="BQ287" s="58">
        <f t="shared" si="185"/>
        <v>0</v>
      </c>
      <c r="BR287" s="1" t="b">
        <f t="shared" si="186"/>
        <v>0</v>
      </c>
      <c r="BS287" s="76">
        <f t="shared" si="187"/>
        <v>0</v>
      </c>
      <c r="BT287" s="75">
        <f t="shared" si="214"/>
        <v>0</v>
      </c>
      <c r="BU287" s="58">
        <f t="shared" si="188"/>
        <v>0</v>
      </c>
      <c r="BV287" s="1" t="b">
        <f t="shared" si="189"/>
        <v>1</v>
      </c>
      <c r="BW287" s="1">
        <f t="shared" si="190"/>
        <v>628.40250000000003</v>
      </c>
      <c r="BX287" s="75">
        <f t="shared" si="215"/>
        <v>0.31166199999999999</v>
      </c>
      <c r="BY287" s="58">
        <f t="shared" si="191"/>
        <v>251.8</v>
      </c>
      <c r="BZ287" s="58">
        <f t="shared" si="192"/>
        <v>0</v>
      </c>
      <c r="CA287" s="61">
        <v>26</v>
      </c>
      <c r="CB287" s="102">
        <f t="shared" si="193"/>
        <v>2.923</v>
      </c>
      <c r="CC287" s="105">
        <f>IF(CB287&lt;0.06,1,IF(CB287&gt;=18.29,52,MATCH(CB287-0.001,'Weighting Factors'!$W$5:$W$156)+1))</f>
        <v>40</v>
      </c>
      <c r="CD287" s="24">
        <f>VLOOKUP(CC287, 'Weighting Factors'!$U$5:$X$56,4)</f>
        <v>790</v>
      </c>
      <c r="CE287" s="109">
        <f>('Weighting Factors'!$O$5/'Weighting Factors'!$O$14)</f>
        <v>1.2216</v>
      </c>
      <c r="CF287" s="100">
        <f t="shared" si="194"/>
        <v>60040</v>
      </c>
      <c r="CG287" s="100">
        <f>CF287*'Weighting Factors'!$Q$7</f>
        <v>60040</v>
      </c>
      <c r="CH287" s="100">
        <f t="shared" si="216"/>
        <v>73345</v>
      </c>
      <c r="CI287" s="58">
        <f>AK287/'Weighting Factors'!$O$5</f>
        <v>14.4</v>
      </c>
      <c r="CJ287" s="67">
        <v>0</v>
      </c>
      <c r="CK287" s="80">
        <v>0</v>
      </c>
      <c r="CL287" s="110">
        <v>0</v>
      </c>
      <c r="CM287" s="24">
        <f>SUM((AR287*'Weighting Factors'!$O$5)+'2024 Legal Max'!AX287)*CL287</f>
        <v>0</v>
      </c>
      <c r="CN287" s="24">
        <f t="shared" si="217"/>
        <v>0</v>
      </c>
      <c r="CO287" s="65">
        <f t="shared" si="182"/>
        <v>0.56169999999999998</v>
      </c>
      <c r="CP287" s="58">
        <f t="shared" si="195"/>
        <v>47.8</v>
      </c>
      <c r="CQ287" s="58">
        <f t="shared" si="196"/>
        <v>0</v>
      </c>
      <c r="CR287" s="58">
        <f t="shared" si="197"/>
        <v>1529.8</v>
      </c>
      <c r="CS287" s="24">
        <f>'Required Transfers'!L287</f>
        <v>379582</v>
      </c>
      <c r="CT287" s="24">
        <f>'Required Transfers'!O287</f>
        <v>260</v>
      </c>
      <c r="CU287" s="24">
        <f>'Required Transfers'!H287</f>
        <v>1363584</v>
      </c>
      <c r="CV287" s="58">
        <f t="shared" si="198"/>
        <v>806.4</v>
      </c>
      <c r="CW287" s="27" t="s">
        <v>472</v>
      </c>
    </row>
    <row r="288" spans="1:101" ht="15" customHeight="1">
      <c r="A288" s="54">
        <v>509</v>
      </c>
      <c r="B288" s="1" t="s">
        <v>66</v>
      </c>
      <c r="C288" s="1" t="s">
        <v>792</v>
      </c>
      <c r="D288" s="58">
        <v>197.6</v>
      </c>
      <c r="E288" s="58"/>
      <c r="F288" s="58">
        <v>0</v>
      </c>
      <c r="G288" s="58">
        <f t="shared" si="199"/>
        <v>197.6</v>
      </c>
      <c r="H288" s="58">
        <v>188.5</v>
      </c>
      <c r="I288" s="58"/>
      <c r="J288" s="58">
        <v>0</v>
      </c>
      <c r="K288" s="58">
        <f t="shared" si="200"/>
        <v>188.5</v>
      </c>
      <c r="L288" s="1">
        <v>197.7</v>
      </c>
      <c r="N288" s="1">
        <v>0</v>
      </c>
      <c r="O288" s="58">
        <f t="shared" si="201"/>
        <v>197.7</v>
      </c>
      <c r="P288" s="58">
        <f>IF(ISNA(VLOOKUP($CW288,'Audit Values'!$A:$BZ,2,FALSE)),'Preliminary SO66'!C287,VLOOKUP($CW288,'Audit Values'!$A:$BZ,76,FALSE))</f>
        <v>198</v>
      </c>
      <c r="Q288" s="58">
        <f>IF(ISNA(VLOOKUP($CW288,'Audit Values'!$A:$BZ,2,FALSE)),'Preliminary SO66'!F287,VLOOKUP($CW288,'Audit Values'!$A:$BZ,4,FALSE))</f>
        <v>0</v>
      </c>
      <c r="R288" s="58">
        <f t="shared" si="205"/>
        <v>198</v>
      </c>
      <c r="S288" s="58">
        <f>IF('Military Provision'!I288="YES", MAX('2024 Legal Max'!O288,'2024 Legal Max'!K288,AVERAGE('2024 Legal Max'!G288,'2024 Legal Max'!K288,'2024 Legal Max'!O288)), MAX(O288, K288))</f>
        <v>197.7</v>
      </c>
      <c r="T288" s="58">
        <f>IF(ISNA(VLOOKUP($CW288,'Audit Values'!$A:$BX,2,FALSE)),'Preliminary SO66'!AL287,VLOOKUP($CW288,'Audit Values'!$A:$BX,59,FALSE))</f>
        <v>2.8</v>
      </c>
      <c r="U288" s="58">
        <f t="shared" si="206"/>
        <v>200.5</v>
      </c>
      <c r="V288" s="58">
        <f>'Low-High ENRL- 2023 HSubSB 113'!N291</f>
        <v>150</v>
      </c>
      <c r="W288" s="58">
        <f>IF(ISNA(VLOOKUP($CW288,'Audit Values'!$A:$BZ,2,FALSE)),'Preliminary SO66'!AM287,VLOOKUP($CW288,'Audit Values'!$A:$BZ,63,FALSE))</f>
        <v>0</v>
      </c>
      <c r="X288" s="58">
        <f>(W288/6)*'Weighting Factors'!$O$7</f>
        <v>0</v>
      </c>
      <c r="Y288" s="61">
        <f>IF(ISNA(VLOOKUP($CW288,'Audit Values'!$A:$BZ,2,FALSE)),'Preliminary SO66'!AN287,VLOOKUP($CW288,'Audit Values'!$A:$BZ,62,FALSE))</f>
        <v>0</v>
      </c>
      <c r="Z288" s="58">
        <f>Y288*'Weighting Factors'!$O$8</f>
        <v>0</v>
      </c>
      <c r="AA288" s="58">
        <f t="shared" si="207"/>
        <v>0</v>
      </c>
      <c r="AB288" s="106">
        <f>IF(ISNA(VLOOKUP($CW288,'Audit Values'!$A:$BZ,2,FALSE)),'Preliminary SO66'!AO287,VLOOKUP($CW288,'Audit Values'!$A:$BZ,61,FALSE))</f>
        <v>72.8</v>
      </c>
      <c r="AC288" s="58">
        <f>AB288/6*'Weighting Factors'!$O$6</f>
        <v>6.1</v>
      </c>
      <c r="AD288" s="24">
        <f>IF(ISNA(VLOOKUP($CW288,'Audit Values'!$A:$BX,2,FALSE)),'Preliminary SO66'!AS287,VLOOKUP($CW288,'Audit Values'!$A:$BX,64,FALSE))</f>
        <v>208</v>
      </c>
      <c r="AE288" s="24">
        <f>IF(ISNA(VLOOKUP($CW288,'Audit Values'!$A:$BX,2,FALSE)),'Preliminary SO66'!AP287,VLOOKUP($CW288,'Audit Values'!$A:$BX,65,FALSE))</f>
        <v>76</v>
      </c>
      <c r="AF288" s="58">
        <f>IF(A288=207, AE288,(AE288))*'Weighting Factors'!$O$9</f>
        <v>36.799999999999997</v>
      </c>
      <c r="AG288" s="58">
        <f t="shared" si="204"/>
        <v>0.8</v>
      </c>
      <c r="AH288" s="58">
        <f>IF(ISNA(VLOOKUP($CW288,'Audit Values'!$A:$BZ,2,FALSE)),'Preliminary SO66'!AG287,VLOOKUP($CW288,'Audit Values'!$A:$BZ,71,FALSE))</f>
        <v>1</v>
      </c>
      <c r="AI288" s="58">
        <f t="shared" si="208"/>
        <v>1</v>
      </c>
      <c r="AJ288" s="58">
        <f>IF(ISNA(VLOOKUP($CW288,'Audit Values'!$A:$BX,2,FALSE)),'Preliminary SO66'!AR287,VLOOKUP($CW288,'Audit Values'!$A:$BX,66,FALSE))</f>
        <v>51</v>
      </c>
      <c r="AK288" s="24">
        <f t="shared" si="209"/>
        <v>72893</v>
      </c>
      <c r="AL288" s="58">
        <f>AK288/'Weighting Factors'!$O$5</f>
        <v>14.3</v>
      </c>
      <c r="AM288" s="58">
        <f>CJ288/'Weighting Factors'!$O$5</f>
        <v>0</v>
      </c>
      <c r="AN288" s="58">
        <f>CN288/'Weighting Factors'!$O$5</f>
        <v>0</v>
      </c>
      <c r="AO288" s="24">
        <v>336736</v>
      </c>
      <c r="AP288" s="58">
        <f>AO288/'Weighting Factors'!$O$5</f>
        <v>66.2</v>
      </c>
      <c r="AQ288" s="58">
        <f>IF(ISNA(VLOOKUP($CW288,'Audit Values'!$A:$BX,2,FALSE)),'Preliminary SO66'!X287,VLOOKUP($CW288,'Audit Values'!$A:$BX,48,FALSE))</f>
        <v>0</v>
      </c>
      <c r="AR288" s="58">
        <f t="shared" si="202"/>
        <v>474.9</v>
      </c>
      <c r="AS288" s="58">
        <f t="shared" si="203"/>
        <v>408.7</v>
      </c>
      <c r="AT288" s="58">
        <f>IF(ISNA(VLOOKUP($CW288,'Audit Values'!$A$2:$BX$410,2,FALSE)),'Preliminary SO66'!AA287,VLOOKUP($CW288,'Audit Values'!$A$2:$BX$410,41,FALSE))</f>
        <v>0</v>
      </c>
      <c r="AU288" s="58">
        <f>IF(ISNA(VLOOKUP($CW288,'Audit Values'!$A$2:$BX$410,2,FALSE)),'Preliminary SO66'!AB287,VLOOKUP($CW288,'Audit Values'!$A$2:$BX$410,42,FALSE))</f>
        <v>0</v>
      </c>
      <c r="AV288" s="73">
        <v>0</v>
      </c>
      <c r="AW288" s="73">
        <v>0</v>
      </c>
      <c r="AX288" s="24">
        <f>SUM(AT288*'Weighting Factors'!$R$10)+('2024 Legal Max'!AU288*'Weighting Factors'!$R$11)+('2024 Legal Max'!AV288*'Weighting Factors'!$R$12)+('2024 Legal Max'!AW288*'Weighting Factors'!$R$12)</f>
        <v>0</v>
      </c>
      <c r="AY288" s="54">
        <f>IF(ISNA(VLOOKUP($CW288,'Audit Values'!$A$2:$BX$429,2,FALSE)),"",IF(AND('Weighting Factors'!G288&gt;0,VLOOKUP($CW288,'Audit Values'!$A$2:$BX$429,51,FALSE)&lt;'Weighting Factors'!G288),'Weighting Factors'!G288,VLOOKUP($CW288,'Audit Values'!$A$2:$BX$429,51,FALSE)))</f>
        <v>16</v>
      </c>
      <c r="AZ288" s="54" t="str">
        <f>IF(ISNA(VLOOKUP($CW288,'Audit Values'!$A:$BY,2,FALSE)),"",VLOOKUP($CW288,'Audit Values'!$A:$BY,52,FALSE))</f>
        <v>A</v>
      </c>
      <c r="BA288" s="54" t="str">
        <f>IF('Weighting Factors'!F288="","",IF('Weighting Factors'!H288="Pending","PX","R"))</f>
        <v/>
      </c>
      <c r="BB288" s="60">
        <f>SUM((U288+V288+AA288+AC288+AF288+AI288+AL288+AM288+AQ288+AN288)*'Weighting Factors'!$O$5)+'2024 Legal Max'!AX288</f>
        <v>2079466</v>
      </c>
      <c r="BC288" s="24">
        <f>SUM((AR288+AN288)*'Weighting Factors'!$O$5)+AX288</f>
        <v>2416291</v>
      </c>
      <c r="BD288" s="67">
        <f>IF('Weighting Factors'!F288&gt;0,'Weighting Factors'!F288,'Preliminary SO66'!AV287)</f>
        <v>2487014</v>
      </c>
      <c r="BE288" s="24">
        <f t="shared" si="210"/>
        <v>2416291</v>
      </c>
      <c r="BF288" s="71">
        <f>'Weighting Factors'!E288</f>
        <v>0</v>
      </c>
      <c r="BG288" s="71">
        <f>Transportation!G288</f>
        <v>0</v>
      </c>
      <c r="BH288" s="24">
        <f>IF(ISNA(VLOOKUP($CW288,'Audit Values'!$A:$BW,2,FALSE)), 0, VLOOKUP($CW288,'Audit Values'!$A:$BW,75,FALSE))</f>
        <v>0</v>
      </c>
      <c r="BI288" s="24">
        <f t="shared" si="211"/>
        <v>0</v>
      </c>
      <c r="BJ288" s="24">
        <f t="shared" si="212"/>
        <v>2416291</v>
      </c>
      <c r="BK288" s="24">
        <f>SUM((U288+V288+AA288+AC288+AF288+AI288+AL288+AM288+AN288)*'Weighting Factors'!O$12)+(MAX(AO288,'Weighting Factors'!B288))</f>
        <v>2444811</v>
      </c>
      <c r="BL288" s="78">
        <f>'LOB%'!F286</f>
        <v>0.33</v>
      </c>
      <c r="BM288" s="24">
        <f t="shared" si="183"/>
        <v>806788</v>
      </c>
      <c r="BN288" s="67">
        <v>830218</v>
      </c>
      <c r="BO288" s="24">
        <f t="shared" si="213"/>
        <v>806788</v>
      </c>
      <c r="BP288" s="89">
        <f t="shared" si="184"/>
        <v>0.33</v>
      </c>
      <c r="BQ288" s="58">
        <f t="shared" si="185"/>
        <v>0</v>
      </c>
      <c r="BR288" s="1" t="b">
        <f t="shared" si="186"/>
        <v>1</v>
      </c>
      <c r="BS288" s="76">
        <f t="shared" si="187"/>
        <v>970.32799999999997</v>
      </c>
      <c r="BT288" s="75">
        <f t="shared" si="214"/>
        <v>0.74793299999999996</v>
      </c>
      <c r="BU288" s="58">
        <f t="shared" si="188"/>
        <v>150</v>
      </c>
      <c r="BV288" s="1" t="b">
        <f t="shared" si="189"/>
        <v>0</v>
      </c>
      <c r="BW288" s="1">
        <f t="shared" si="190"/>
        <v>0</v>
      </c>
      <c r="BX288" s="75">
        <f t="shared" si="215"/>
        <v>0</v>
      </c>
      <c r="BY288" s="58">
        <f t="shared" si="191"/>
        <v>0</v>
      </c>
      <c r="BZ288" s="58">
        <f t="shared" si="192"/>
        <v>0</v>
      </c>
      <c r="CA288" s="61">
        <v>150</v>
      </c>
      <c r="CB288" s="102">
        <f t="shared" si="193"/>
        <v>0.34</v>
      </c>
      <c r="CC288" s="105">
        <f>IF(CB288&lt;0.06,1,IF(CB288&gt;=18.29,52,MATCH(CB288-0.001,'Weighting Factors'!$W$5:$W$156)+1))</f>
        <v>21</v>
      </c>
      <c r="CD288" s="24">
        <f>VLOOKUP(CC288, 'Weighting Factors'!$U$5:$X$56,4)</f>
        <v>1170</v>
      </c>
      <c r="CE288" s="109">
        <f>('Weighting Factors'!$O$5/'Weighting Factors'!$O$14)</f>
        <v>1.2216</v>
      </c>
      <c r="CF288" s="100">
        <f t="shared" si="194"/>
        <v>59670</v>
      </c>
      <c r="CG288" s="100">
        <f>CF288*'Weighting Factors'!$Q$7</f>
        <v>59670</v>
      </c>
      <c r="CH288" s="100">
        <f t="shared" si="216"/>
        <v>72893</v>
      </c>
      <c r="CI288" s="58">
        <f>AK288/'Weighting Factors'!$O$5</f>
        <v>14.3</v>
      </c>
      <c r="CJ288" s="67">
        <v>0</v>
      </c>
      <c r="CK288" s="80">
        <v>0</v>
      </c>
      <c r="CL288" s="110">
        <v>0</v>
      </c>
      <c r="CM288" s="24">
        <f>SUM((AR288*'Weighting Factors'!$O$5)+'2024 Legal Max'!AX288)*CL288</f>
        <v>0</v>
      </c>
      <c r="CN288" s="24">
        <f t="shared" si="217"/>
        <v>0</v>
      </c>
      <c r="CO288" s="65">
        <f t="shared" si="182"/>
        <v>0.3654</v>
      </c>
      <c r="CP288" s="58">
        <f t="shared" si="195"/>
        <v>0</v>
      </c>
      <c r="CQ288" s="58">
        <f t="shared" si="196"/>
        <v>0.8</v>
      </c>
      <c r="CR288" s="58">
        <f t="shared" si="197"/>
        <v>474.9</v>
      </c>
      <c r="CS288" s="24">
        <f>'Required Transfers'!L288</f>
        <v>62849</v>
      </c>
      <c r="CT288" s="24">
        <f>'Required Transfers'!O288</f>
        <v>0</v>
      </c>
      <c r="CU288" s="24">
        <f>'Required Transfers'!H288</f>
        <v>192326</v>
      </c>
      <c r="CV288" s="58">
        <f t="shared" si="198"/>
        <v>200.8</v>
      </c>
      <c r="CW288" s="27" t="s">
        <v>473</v>
      </c>
    </row>
    <row r="289" spans="1:101" ht="15" customHeight="1">
      <c r="A289" s="54">
        <v>511</v>
      </c>
      <c r="B289" s="1" t="s">
        <v>68</v>
      </c>
      <c r="C289" s="1" t="s">
        <v>793</v>
      </c>
      <c r="D289" s="58">
        <v>159.5</v>
      </c>
      <c r="E289" s="58"/>
      <c r="F289" s="58">
        <v>0</v>
      </c>
      <c r="G289" s="58">
        <f t="shared" si="199"/>
        <v>159.5</v>
      </c>
      <c r="H289" s="58">
        <v>157.5</v>
      </c>
      <c r="I289" s="58"/>
      <c r="J289" s="58">
        <v>0</v>
      </c>
      <c r="K289" s="58">
        <f t="shared" si="200"/>
        <v>157.5</v>
      </c>
      <c r="L289" s="1">
        <v>163.1</v>
      </c>
      <c r="N289" s="1">
        <v>0</v>
      </c>
      <c r="O289" s="58">
        <f t="shared" si="201"/>
        <v>163.1</v>
      </c>
      <c r="P289" s="58">
        <f>IF(ISNA(VLOOKUP($CW289,'Audit Values'!$A:$BZ,2,FALSE)),'Preliminary SO66'!C288,VLOOKUP($CW289,'Audit Values'!$A:$BZ,76,FALSE))</f>
        <v>147</v>
      </c>
      <c r="Q289" s="58">
        <f>IF(ISNA(VLOOKUP($CW289,'Audit Values'!$A:$BZ,2,FALSE)),'Preliminary SO66'!F288,VLOOKUP($CW289,'Audit Values'!$A:$BZ,4,FALSE))</f>
        <v>0</v>
      </c>
      <c r="R289" s="58">
        <f t="shared" si="205"/>
        <v>147</v>
      </c>
      <c r="S289" s="58">
        <f>IF('Military Provision'!I289="YES", MAX('2024 Legal Max'!O289,'2024 Legal Max'!K289,AVERAGE('2024 Legal Max'!G289,'2024 Legal Max'!K289,'2024 Legal Max'!O289)), MAX(O289, K289))</f>
        <v>163.1</v>
      </c>
      <c r="T289" s="58">
        <f>IF(ISNA(VLOOKUP($CW289,'Audit Values'!$A:$BX,2,FALSE)),'Preliminary SO66'!AL288,VLOOKUP($CW289,'Audit Values'!$A:$BX,59,FALSE))</f>
        <v>4</v>
      </c>
      <c r="U289" s="58">
        <f t="shared" si="206"/>
        <v>167.1</v>
      </c>
      <c r="V289" s="58">
        <f>'Low-High ENRL- 2023 HSubSB 113'!N292</f>
        <v>139.80000000000001</v>
      </c>
      <c r="W289" s="58">
        <f>IF(ISNA(VLOOKUP($CW289,'Audit Values'!$A:$BZ,2,FALSE)),'Preliminary SO66'!AM288,VLOOKUP($CW289,'Audit Values'!$A:$BZ,63,FALSE))</f>
        <v>0</v>
      </c>
      <c r="X289" s="58">
        <f>(W289/6)*'Weighting Factors'!$O$7</f>
        <v>0</v>
      </c>
      <c r="Y289" s="61">
        <f>IF(ISNA(VLOOKUP($CW289,'Audit Values'!$A:$BZ,2,FALSE)),'Preliminary SO66'!AN288,VLOOKUP($CW289,'Audit Values'!$A:$BZ,62,FALSE))</f>
        <v>0</v>
      </c>
      <c r="Z289" s="58">
        <f>Y289*'Weighting Factors'!$O$8</f>
        <v>0</v>
      </c>
      <c r="AA289" s="58">
        <f t="shared" si="207"/>
        <v>0</v>
      </c>
      <c r="AB289" s="106">
        <f>IF(ISNA(VLOOKUP($CW289,'Audit Values'!$A:$BZ,2,FALSE)),'Preliminary SO66'!AO288,VLOOKUP($CW289,'Audit Values'!$A:$BZ,61,FALSE))</f>
        <v>24.3</v>
      </c>
      <c r="AC289" s="58">
        <f>AB289/6*'Weighting Factors'!$O$6</f>
        <v>2</v>
      </c>
      <c r="AD289" s="24">
        <f>IF(ISNA(VLOOKUP($CW289,'Audit Values'!$A:$BX,2,FALSE)),'Preliminary SO66'!AS288,VLOOKUP($CW289,'Audit Values'!$A:$BX,64,FALSE))</f>
        <v>158</v>
      </c>
      <c r="AE289" s="24">
        <f>IF(ISNA(VLOOKUP($CW289,'Audit Values'!$A:$BX,2,FALSE)),'Preliminary SO66'!AP288,VLOOKUP($CW289,'Audit Values'!$A:$BX,65,FALSE))</f>
        <v>61</v>
      </c>
      <c r="AF289" s="58">
        <f>IF(A289=207, AE289,(AE289))*'Weighting Factors'!$O$9</f>
        <v>29.5</v>
      </c>
      <c r="AG289" s="58">
        <f t="shared" si="204"/>
        <v>1.5</v>
      </c>
      <c r="AH289" s="58">
        <f>IF(ISNA(VLOOKUP($CW289,'Audit Values'!$A:$BZ,2,FALSE)),'Preliminary SO66'!AG288,VLOOKUP($CW289,'Audit Values'!$A:$BZ,71,FALSE))</f>
        <v>2.6</v>
      </c>
      <c r="AI289" s="58">
        <f t="shared" si="208"/>
        <v>2.6</v>
      </c>
      <c r="AJ289" s="58">
        <f>IF(ISNA(VLOOKUP($CW289,'Audit Values'!$A:$BX,2,FALSE)),'Preliminary SO66'!AR288,VLOOKUP($CW289,'Audit Values'!$A:$BX,66,FALSE))</f>
        <v>14</v>
      </c>
      <c r="AK289" s="24">
        <f t="shared" si="209"/>
        <v>24456</v>
      </c>
      <c r="AL289" s="58">
        <f>AK289/'Weighting Factors'!$O$5</f>
        <v>4.8</v>
      </c>
      <c r="AM289" s="58">
        <f>CJ289/'Weighting Factors'!$O$5</f>
        <v>0</v>
      </c>
      <c r="AN289" s="58">
        <f>CN289/'Weighting Factors'!$O$5</f>
        <v>0</v>
      </c>
      <c r="AO289" s="24">
        <v>220320</v>
      </c>
      <c r="AP289" s="58">
        <f>AO289/'Weighting Factors'!$O$5</f>
        <v>43.3</v>
      </c>
      <c r="AQ289" s="58">
        <f>IF(ISNA(VLOOKUP($CW289,'Audit Values'!$A:$BX,2,FALSE)),'Preliminary SO66'!X288,VLOOKUP($CW289,'Audit Values'!$A:$BX,48,FALSE))</f>
        <v>0</v>
      </c>
      <c r="AR289" s="58">
        <f t="shared" si="202"/>
        <v>389.1</v>
      </c>
      <c r="AS289" s="58">
        <f t="shared" si="203"/>
        <v>345.8</v>
      </c>
      <c r="AT289" s="58">
        <f>IF(ISNA(VLOOKUP($CW289,'Audit Values'!$A$2:$BX$410,2,FALSE)),'Preliminary SO66'!AA288,VLOOKUP($CW289,'Audit Values'!$A$2:$BX$410,41,FALSE))</f>
        <v>0</v>
      </c>
      <c r="AU289" s="58">
        <f>IF(ISNA(VLOOKUP($CW289,'Audit Values'!$A$2:$BX$410,2,FALSE)),'Preliminary SO66'!AB288,VLOOKUP($CW289,'Audit Values'!$A$2:$BX$410,42,FALSE))</f>
        <v>0</v>
      </c>
      <c r="AV289" s="73">
        <v>0</v>
      </c>
      <c r="AW289" s="73">
        <v>0</v>
      </c>
      <c r="AX289" s="24">
        <f>SUM(AT289*'Weighting Factors'!$R$10)+('2024 Legal Max'!AU289*'Weighting Factors'!$R$11)+('2024 Legal Max'!AV289*'Weighting Factors'!$R$12)+('2024 Legal Max'!AW289*'Weighting Factors'!$R$12)</f>
        <v>0</v>
      </c>
      <c r="AY289" s="54">
        <f>IF(ISNA(VLOOKUP($CW289,'Audit Values'!$A$2:$BX$429,2,FALSE)),"",IF(AND('Weighting Factors'!G289&gt;0,VLOOKUP($CW289,'Audit Values'!$A$2:$BX$429,51,FALSE)&lt;'Weighting Factors'!G289),'Weighting Factors'!G289,VLOOKUP($CW289,'Audit Values'!$A$2:$BX$429,51,FALSE)))</f>
        <v>8</v>
      </c>
      <c r="AZ289" s="54" t="str">
        <f>IF(ISNA(VLOOKUP($CW289,'Audit Values'!$A:$BY,2,FALSE)),"",VLOOKUP($CW289,'Audit Values'!$A:$BY,52,FALSE))</f>
        <v>A</v>
      </c>
      <c r="BA289" s="54" t="str">
        <f>IF('Weighting Factors'!F289="","",IF('Weighting Factors'!H289="Pending","PX","R"))</f>
        <v/>
      </c>
      <c r="BB289" s="60">
        <f>SUM((U289+V289+AA289+AC289+AF289+AI289+AL289+AM289+AQ289+AN289)*'Weighting Factors'!$O$5)+'2024 Legal Max'!AX289</f>
        <v>1759430</v>
      </c>
      <c r="BC289" s="24">
        <f>SUM((AR289+AN289)*'Weighting Factors'!$O$5)+AX289</f>
        <v>1979741</v>
      </c>
      <c r="BD289" s="67">
        <f>IF('Weighting Factors'!F289&gt;0,'Weighting Factors'!F289,'Preliminary SO66'!AV288)</f>
        <v>2099309</v>
      </c>
      <c r="BE289" s="24">
        <f t="shared" si="210"/>
        <v>1979741</v>
      </c>
      <c r="BF289" s="71">
        <f>'Weighting Factors'!E289</f>
        <v>0</v>
      </c>
      <c r="BG289" s="71">
        <f>Transportation!G289</f>
        <v>0</v>
      </c>
      <c r="BH289" s="24">
        <f>IF(ISNA(VLOOKUP($CW289,'Audit Values'!$A:$BW,2,FALSE)), 0, VLOOKUP($CW289,'Audit Values'!$A:$BW,75,FALSE))</f>
        <v>0</v>
      </c>
      <c r="BI289" s="24">
        <f t="shared" si="211"/>
        <v>0</v>
      </c>
      <c r="BJ289" s="24">
        <f t="shared" si="212"/>
        <v>1979741</v>
      </c>
      <c r="BK289" s="24">
        <f>SUM((U289+V289+AA289+AC289+AF289+AI289+AL289+AM289+AN289)*'Weighting Factors'!O$12)+(MAX(AO289,'Weighting Factors'!B289))</f>
        <v>2003956</v>
      </c>
      <c r="BL289" s="78">
        <f>'LOB%'!F287</f>
        <v>0.33</v>
      </c>
      <c r="BM289" s="24">
        <f t="shared" si="183"/>
        <v>661305</v>
      </c>
      <c r="BN289" s="67">
        <v>701019</v>
      </c>
      <c r="BO289" s="24">
        <f t="shared" si="213"/>
        <v>661305</v>
      </c>
      <c r="BP289" s="89">
        <f t="shared" si="184"/>
        <v>0.33</v>
      </c>
      <c r="BQ289" s="58">
        <f t="shared" si="185"/>
        <v>0</v>
      </c>
      <c r="BR289" s="1" t="b">
        <f t="shared" si="186"/>
        <v>1</v>
      </c>
      <c r="BS289" s="76">
        <f t="shared" si="187"/>
        <v>647.851</v>
      </c>
      <c r="BT289" s="75">
        <f t="shared" si="214"/>
        <v>0.83646699999999996</v>
      </c>
      <c r="BU289" s="58">
        <f t="shared" si="188"/>
        <v>139.80000000000001</v>
      </c>
      <c r="BV289" s="1" t="b">
        <f t="shared" si="189"/>
        <v>0</v>
      </c>
      <c r="BW289" s="1">
        <f t="shared" si="190"/>
        <v>0</v>
      </c>
      <c r="BX289" s="75">
        <f t="shared" si="215"/>
        <v>0</v>
      </c>
      <c r="BY289" s="58">
        <f t="shared" si="191"/>
        <v>0</v>
      </c>
      <c r="BZ289" s="58">
        <f t="shared" si="192"/>
        <v>0</v>
      </c>
      <c r="CA289" s="61">
        <v>126</v>
      </c>
      <c r="CB289" s="102">
        <f t="shared" si="193"/>
        <v>0.111</v>
      </c>
      <c r="CC289" s="105">
        <f>IF(CB289&lt;0.06,1,IF(CB289&gt;=18.29,52,MATCH(CB289-0.001,'Weighting Factors'!$W$5:$W$156)+1))</f>
        <v>7</v>
      </c>
      <c r="CD289" s="24">
        <f>VLOOKUP(CC289, 'Weighting Factors'!$U$5:$X$56,4)</f>
        <v>1430</v>
      </c>
      <c r="CE289" s="109">
        <f>('Weighting Factors'!$O$5/'Weighting Factors'!$O$14)</f>
        <v>1.2216</v>
      </c>
      <c r="CF289" s="100">
        <f t="shared" si="194"/>
        <v>20020</v>
      </c>
      <c r="CG289" s="100">
        <f>CF289*'Weighting Factors'!$Q$7</f>
        <v>20020</v>
      </c>
      <c r="CH289" s="100">
        <f t="shared" si="216"/>
        <v>24456</v>
      </c>
      <c r="CI289" s="58">
        <f>AK289/'Weighting Factors'!$O$5</f>
        <v>4.8</v>
      </c>
      <c r="CJ289" s="67">
        <v>0</v>
      </c>
      <c r="CK289" s="80">
        <v>0</v>
      </c>
      <c r="CL289" s="110">
        <v>0</v>
      </c>
      <c r="CM289" s="24">
        <f>SUM((AR289*'Weighting Factors'!$O$5)+'2024 Legal Max'!AX289)*CL289</f>
        <v>0</v>
      </c>
      <c r="CN289" s="24">
        <f t="shared" si="217"/>
        <v>0</v>
      </c>
      <c r="CO289" s="65">
        <f t="shared" si="182"/>
        <v>0.3861</v>
      </c>
      <c r="CP289" s="58">
        <f t="shared" si="195"/>
        <v>0</v>
      </c>
      <c r="CQ289" s="58">
        <f t="shared" si="196"/>
        <v>1.5</v>
      </c>
      <c r="CR289" s="58">
        <f t="shared" si="197"/>
        <v>389.1</v>
      </c>
      <c r="CS289" s="24">
        <f>'Required Transfers'!L289</f>
        <v>50656</v>
      </c>
      <c r="CT289" s="24">
        <f>'Required Transfers'!O289</f>
        <v>0</v>
      </c>
      <c r="CU289" s="24">
        <f>'Required Transfers'!H289</f>
        <v>163325</v>
      </c>
      <c r="CV289" s="58">
        <f t="shared" si="198"/>
        <v>151</v>
      </c>
      <c r="CW289" s="27" t="s">
        <v>474</v>
      </c>
    </row>
    <row r="290" spans="1:101" ht="15" customHeight="1">
      <c r="A290" s="54">
        <v>512</v>
      </c>
      <c r="B290" s="1" t="s">
        <v>22</v>
      </c>
      <c r="C290" s="1" t="s">
        <v>794</v>
      </c>
      <c r="D290" s="58">
        <v>25572.3</v>
      </c>
      <c r="E290" s="58">
        <v>1</v>
      </c>
      <c r="F290" s="58">
        <v>0</v>
      </c>
      <c r="G290" s="58">
        <f t="shared" si="199"/>
        <v>25571.3</v>
      </c>
      <c r="H290" s="58">
        <v>25769.9</v>
      </c>
      <c r="I290" s="58">
        <v>10</v>
      </c>
      <c r="J290" s="58">
        <v>0</v>
      </c>
      <c r="K290" s="58">
        <f t="shared" si="200"/>
        <v>25759.9</v>
      </c>
      <c r="L290" s="1">
        <v>25904.9</v>
      </c>
      <c r="N290" s="1">
        <v>0</v>
      </c>
      <c r="O290" s="58">
        <f t="shared" si="201"/>
        <v>25904.9</v>
      </c>
      <c r="P290" s="58">
        <f>IF(ISNA(VLOOKUP($CW290,'Audit Values'!$A:$BZ,2,FALSE)),'Preliminary SO66'!C289,VLOOKUP($CW290,'Audit Values'!$A:$BZ,76,FALSE))</f>
        <v>25770.7</v>
      </c>
      <c r="Q290" s="58">
        <f>IF(ISNA(VLOOKUP($CW290,'Audit Values'!$A:$BZ,2,FALSE)),'Preliminary SO66'!F289,VLOOKUP($CW290,'Audit Values'!$A:$BZ,4,FALSE))</f>
        <v>0</v>
      </c>
      <c r="R290" s="58">
        <f t="shared" si="205"/>
        <v>25770.7</v>
      </c>
      <c r="S290" s="58">
        <f>IF('Military Provision'!I290="YES", MAX('2024 Legal Max'!O290,'2024 Legal Max'!K290,AVERAGE('2024 Legal Max'!G290,'2024 Legal Max'!K290,'2024 Legal Max'!O290)), MAX(O290, K290))</f>
        <v>25904.9</v>
      </c>
      <c r="T290" s="58">
        <f>IF(ISNA(VLOOKUP($CW290,'Audit Values'!$A:$BX,2,FALSE)),'Preliminary SO66'!AL289,VLOOKUP($CW290,'Audit Values'!$A:$BX,59,FALSE))</f>
        <v>143</v>
      </c>
      <c r="U290" s="58">
        <f t="shared" si="206"/>
        <v>26047.9</v>
      </c>
      <c r="V290" s="58">
        <f>'Low-High ENRL- 2023 HSubSB 113'!N293</f>
        <v>912.7</v>
      </c>
      <c r="W290" s="58">
        <f>IF(ISNA(VLOOKUP($CW290,'Audit Values'!$A:$BZ,2,FALSE)),'Preliminary SO66'!AM289,VLOOKUP($CW290,'Audit Values'!$A:$BZ,63,FALSE))</f>
        <v>4597.2</v>
      </c>
      <c r="X290" s="58">
        <f>(W290/6)*'Weighting Factors'!$O$7</f>
        <v>302.60000000000002</v>
      </c>
      <c r="Y290" s="61">
        <f>IF(ISNA(VLOOKUP($CW290,'Audit Values'!$A:$BZ,2,FALSE)),'Preliminary SO66'!AN289,VLOOKUP($CW290,'Audit Values'!$A:$BZ,62,FALSE))</f>
        <v>2573</v>
      </c>
      <c r="Z290" s="58">
        <f>Y290*'Weighting Factors'!$O$8</f>
        <v>476</v>
      </c>
      <c r="AA290" s="58">
        <f t="shared" si="207"/>
        <v>476</v>
      </c>
      <c r="AB290" s="106">
        <f>IF(ISNA(VLOOKUP($CW290,'Audit Values'!$A:$BZ,2,FALSE)),'Preliminary SO66'!AO289,VLOOKUP($CW290,'Audit Values'!$A:$BZ,61,FALSE))</f>
        <v>7443.8</v>
      </c>
      <c r="AC290" s="58">
        <f>AB290/6*'Weighting Factors'!$O$6</f>
        <v>620.29999999999995</v>
      </c>
      <c r="AD290" s="24">
        <f>IF(ISNA(VLOOKUP($CW290,'Audit Values'!$A:$BX,2,FALSE)),'Preliminary SO66'!AS289,VLOOKUP($CW290,'Audit Values'!$A:$BX,64,FALSE))</f>
        <v>26217</v>
      </c>
      <c r="AE290" s="24">
        <f>IF(ISNA(VLOOKUP($CW290,'Audit Values'!$A:$BX,2,FALSE)),'Preliminary SO66'!AP289,VLOOKUP($CW290,'Audit Values'!$A:$BX,65,FALSE))</f>
        <v>8569</v>
      </c>
      <c r="AF290" s="58">
        <f>IF(A290=207, AE290,(AE290))*'Weighting Factors'!$O$9</f>
        <v>4147.3999999999996</v>
      </c>
      <c r="AG290" s="58">
        <f t="shared" si="204"/>
        <v>0</v>
      </c>
      <c r="AH290" s="58">
        <f>IF(ISNA(VLOOKUP($CW290,'Audit Values'!$A:$BZ,2,FALSE)),'Preliminary SO66'!AG289,VLOOKUP($CW290,'Audit Values'!$A:$BZ,71,FALSE))</f>
        <v>431.3</v>
      </c>
      <c r="AI290" s="58">
        <f t="shared" si="208"/>
        <v>431.3</v>
      </c>
      <c r="AJ290" s="58">
        <f>IF(ISNA(VLOOKUP($CW290,'Audit Values'!$A:$BX,2,FALSE)),'Preliminary SO66'!AR289,VLOOKUP($CW290,'Audit Values'!$A:$BX,66,FALSE))</f>
        <v>4906</v>
      </c>
      <c r="AK290" s="24">
        <f t="shared" si="209"/>
        <v>3296243</v>
      </c>
      <c r="AL290" s="58">
        <f>AK290/'Weighting Factors'!$O$5</f>
        <v>647.79999999999995</v>
      </c>
      <c r="AM290" s="58">
        <f>CJ290/'Weighting Factors'!$O$5</f>
        <v>0</v>
      </c>
      <c r="AN290" s="58">
        <f>CN290/'Weighting Factors'!$O$5</f>
        <v>2514.5</v>
      </c>
      <c r="AO290" s="24">
        <v>25337328</v>
      </c>
      <c r="AP290" s="58">
        <f>AO290/'Weighting Factors'!$O$5</f>
        <v>4979.8</v>
      </c>
      <c r="AQ290" s="58">
        <f>IF(ISNA(VLOOKUP($CW290,'Audit Values'!$A:$BX,2,FALSE)),'Preliminary SO66'!X289,VLOOKUP($CW290,'Audit Values'!$A:$BX,48,FALSE))</f>
        <v>1</v>
      </c>
      <c r="AR290" s="58">
        <f t="shared" si="202"/>
        <v>38264.199999999997</v>
      </c>
      <c r="AS290" s="58">
        <f t="shared" si="203"/>
        <v>35798.9</v>
      </c>
      <c r="AT290" s="58">
        <f>IF(ISNA(VLOOKUP($CW290,'Audit Values'!$A$2:$BX$410,2,FALSE)),'Preliminary SO66'!AA289,VLOOKUP($CW290,'Audit Values'!$A$2:$BX$410,41,FALSE))</f>
        <v>2</v>
      </c>
      <c r="AU290" s="58">
        <f>IF(ISNA(VLOOKUP($CW290,'Audit Values'!$A$2:$BX$410,2,FALSE)),'Preliminary SO66'!AB289,VLOOKUP($CW290,'Audit Values'!$A$2:$BX$410,42,FALSE))</f>
        <v>0.7</v>
      </c>
      <c r="AV290" s="73">
        <v>40</v>
      </c>
      <c r="AW290" s="73">
        <v>0</v>
      </c>
      <c r="AX290" s="24">
        <f>SUM(AT290*'Weighting Factors'!$R$10)+('2024 Legal Max'!AU290*'Weighting Factors'!$R$11)+('2024 Legal Max'!AV290*'Weighting Factors'!$R$12)+('2024 Legal Max'!AW290*'Weighting Factors'!$R$12)</f>
        <v>41520</v>
      </c>
      <c r="AY290" s="54">
        <f>IF(ISNA(VLOOKUP($CW290,'Audit Values'!$A$2:$BX$429,2,FALSE)),"",IF(AND('Weighting Factors'!G290&gt;0,VLOOKUP($CW290,'Audit Values'!$A$2:$BX$429,51,FALSE)&lt;'Weighting Factors'!G290),'Weighting Factors'!G290,VLOOKUP($CW290,'Audit Values'!$A$2:$BX$429,51,FALSE)))</f>
        <v>25</v>
      </c>
      <c r="AZ290" s="54" t="str">
        <f>IF(ISNA(VLOOKUP($CW290,'Audit Values'!$A:$BY,2,FALSE)),"",VLOOKUP($CW290,'Audit Values'!$A:$BY,52,FALSE))</f>
        <v>A</v>
      </c>
      <c r="BA290" s="54" t="str">
        <f>IF('Weighting Factors'!F290="","",IF('Weighting Factors'!H290="Pending","PX","R"))</f>
        <v/>
      </c>
      <c r="BB290" s="60">
        <f>SUM((U290+V290+AA290+AC290+AF290+AI290+AL290+AM290+AQ290+AN290)*'Weighting Factors'!$O$5)+'2024 Legal Max'!AX290</f>
        <v>182186323</v>
      </c>
      <c r="BC290" s="24">
        <f>SUM((AR290+AN290)*'Weighting Factors'!$O$5)+AX290</f>
        <v>207523546</v>
      </c>
      <c r="BD290" s="67">
        <f>IF('Weighting Factors'!F290&gt;0,'Weighting Factors'!F290,'Preliminary SO66'!AV289)</f>
        <v>209363911</v>
      </c>
      <c r="BE290" s="24">
        <f t="shared" si="210"/>
        <v>207523546</v>
      </c>
      <c r="BF290" s="71">
        <f>'Weighting Factors'!E290</f>
        <v>0</v>
      </c>
      <c r="BG290" s="71">
        <f>Transportation!G290</f>
        <v>0</v>
      </c>
      <c r="BH290" s="24">
        <f>IF(ISNA(VLOOKUP($CW290,'Audit Values'!$A:$BW,2,FALSE)), 0, VLOOKUP($CW290,'Audit Values'!$A:$BW,75,FALSE))</f>
        <v>-17726</v>
      </c>
      <c r="BI290" s="24">
        <f t="shared" si="211"/>
        <v>-17726</v>
      </c>
      <c r="BJ290" s="24">
        <f t="shared" si="212"/>
        <v>207505820</v>
      </c>
      <c r="BK290" s="24">
        <f>SUM((U290+V290+AA290+AC290+AF290+AI290+AL290+AM290+AN290)*'Weighting Factors'!O$12)+(MAX(AO290,'Weighting Factors'!B290))</f>
        <v>210748874</v>
      </c>
      <c r="BL290" s="78">
        <f>'LOB%'!F288</f>
        <v>0.33</v>
      </c>
      <c r="BM290" s="24">
        <f t="shared" si="183"/>
        <v>69547128</v>
      </c>
      <c r="BN290" s="67">
        <v>70198367</v>
      </c>
      <c r="BO290" s="24">
        <f t="shared" si="213"/>
        <v>69547128</v>
      </c>
      <c r="BP290" s="89">
        <f t="shared" si="184"/>
        <v>0.33</v>
      </c>
      <c r="BQ290" s="58">
        <f t="shared" si="185"/>
        <v>0</v>
      </c>
      <c r="BR290" s="1" t="b">
        <f t="shared" si="186"/>
        <v>0</v>
      </c>
      <c r="BS290" s="76">
        <f t="shared" si="187"/>
        <v>0</v>
      </c>
      <c r="BT290" s="75">
        <f t="shared" si="214"/>
        <v>0</v>
      </c>
      <c r="BU290" s="58">
        <f t="shared" si="188"/>
        <v>0</v>
      </c>
      <c r="BV290" s="1" t="b">
        <f t="shared" si="189"/>
        <v>0</v>
      </c>
      <c r="BW290" s="1">
        <f t="shared" si="190"/>
        <v>0</v>
      </c>
      <c r="BX290" s="75">
        <f t="shared" si="215"/>
        <v>0</v>
      </c>
      <c r="BY290" s="58">
        <f t="shared" si="191"/>
        <v>0</v>
      </c>
      <c r="BZ290" s="58">
        <f t="shared" si="192"/>
        <v>912.7</v>
      </c>
      <c r="CA290" s="61">
        <v>72</v>
      </c>
      <c r="CB290" s="102">
        <f t="shared" si="193"/>
        <v>68.138999999999996</v>
      </c>
      <c r="CC290" s="105">
        <f>IF(CB290&lt;0.06,1,IF(CB290&gt;=18.29,52,MATCH(CB290-0.001,'Weighting Factors'!$W$5:$W$156)+1))</f>
        <v>52</v>
      </c>
      <c r="CD290" s="24">
        <f>VLOOKUP(CC290, 'Weighting Factors'!$U$5:$X$56,4)</f>
        <v>550</v>
      </c>
      <c r="CE290" s="109">
        <f>('Weighting Factors'!$O$5/'Weighting Factors'!$O$14)</f>
        <v>1.2216</v>
      </c>
      <c r="CF290" s="100">
        <f t="shared" si="194"/>
        <v>2698300</v>
      </c>
      <c r="CG290" s="100">
        <f>CF290*'Weighting Factors'!$Q$7</f>
        <v>2698300</v>
      </c>
      <c r="CH290" s="100">
        <f t="shared" si="216"/>
        <v>3296243</v>
      </c>
      <c r="CI290" s="58">
        <f>AK290/'Weighting Factors'!$O$5</f>
        <v>647.79999999999995</v>
      </c>
      <c r="CJ290" s="67">
        <v>0</v>
      </c>
      <c r="CK290" s="80">
        <v>14197924</v>
      </c>
      <c r="CL290" s="110">
        <v>6.5699999999999995E-2</v>
      </c>
      <c r="CM290" s="24">
        <f>SUM((AR290*'Weighting Factors'!$O$5)+'2024 Legal Max'!AX290)*CL290</f>
        <v>12793746</v>
      </c>
      <c r="CN290" s="24">
        <f t="shared" si="217"/>
        <v>12793746</v>
      </c>
      <c r="CO290" s="65">
        <f t="shared" si="182"/>
        <v>0.32679999999999998</v>
      </c>
      <c r="CP290" s="58">
        <f t="shared" si="195"/>
        <v>0</v>
      </c>
      <c r="CQ290" s="58">
        <f t="shared" si="196"/>
        <v>0</v>
      </c>
      <c r="CR290" s="58">
        <f t="shared" si="197"/>
        <v>40778.699999999997</v>
      </c>
      <c r="CS290" s="24">
        <f>'Required Transfers'!L290</f>
        <v>7100762</v>
      </c>
      <c r="CT290" s="24">
        <f>'Required Transfers'!O290</f>
        <v>813701</v>
      </c>
      <c r="CU290" s="24">
        <f>'Required Transfers'!H290</f>
        <v>23296426</v>
      </c>
      <c r="CV290" s="58">
        <f t="shared" si="198"/>
        <v>25923.1</v>
      </c>
      <c r="CW290" s="27" t="s">
        <v>475</v>
      </c>
    </row>
    <row r="291" spans="1:101" ht="15" customHeight="1">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24"/>
      <c r="AL291" s="58"/>
      <c r="AM291" s="58"/>
      <c r="AN291" s="58"/>
      <c r="AO291" s="24"/>
      <c r="AP291" s="58"/>
      <c r="AQ291" s="58"/>
      <c r="AR291" s="58"/>
      <c r="AS291" s="58"/>
      <c r="AT291" s="58"/>
      <c r="AU291" s="58"/>
      <c r="AV291" s="58"/>
      <c r="AW291" s="24"/>
      <c r="AX291" s="24"/>
      <c r="AY291" s="54"/>
      <c r="AZ291" s="54"/>
      <c r="BA291" s="54"/>
      <c r="BB291" s="60"/>
      <c r="BC291" s="24"/>
      <c r="BD291" s="67"/>
      <c r="BE291" s="24"/>
      <c r="BF291" s="71"/>
      <c r="BG291" s="71"/>
      <c r="BH291" s="71"/>
      <c r="BI291" s="24"/>
      <c r="BJ291" s="24"/>
      <c r="BK291" s="24"/>
      <c r="BL291" s="78"/>
      <c r="BM291" s="24"/>
      <c r="BN291" s="67"/>
      <c r="BO291" s="24"/>
      <c r="BP291" s="65"/>
      <c r="BQ291" s="58"/>
      <c r="BS291" s="76"/>
      <c r="BT291" s="75"/>
      <c r="BU291" s="58"/>
      <c r="BX291" s="75"/>
      <c r="BY291" s="58"/>
      <c r="BZ291" s="58"/>
      <c r="CA291" s="61"/>
      <c r="CB291" s="73"/>
      <c r="CC291" s="73"/>
      <c r="CD291" s="74"/>
      <c r="CE291" s="74"/>
      <c r="CF291" s="74"/>
      <c r="CG291" s="74"/>
      <c r="CH291" s="74"/>
      <c r="CI291" s="58"/>
      <c r="CJ291" s="67"/>
      <c r="CK291" s="80"/>
      <c r="CL291" s="82"/>
      <c r="CM291" s="24"/>
      <c r="CN291" s="24"/>
      <c r="CO291" s="68"/>
      <c r="CP291" s="58"/>
      <c r="CQ291" s="58"/>
      <c r="CR291" s="58"/>
    </row>
    <row r="292" spans="1:101" ht="15" customHeight="1">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24"/>
      <c r="AL292" s="58"/>
      <c r="AM292" s="58"/>
      <c r="AN292" s="58"/>
      <c r="AO292" s="24"/>
      <c r="AP292" s="58"/>
      <c r="AQ292" s="58"/>
      <c r="AR292" s="58"/>
      <c r="AS292" s="58"/>
      <c r="AT292" s="58"/>
      <c r="AU292" s="58"/>
      <c r="AV292" s="58"/>
      <c r="AW292" s="24"/>
      <c r="AX292" s="24"/>
      <c r="AY292" s="54"/>
      <c r="AZ292" s="54"/>
      <c r="BA292" s="54"/>
      <c r="BB292" s="60"/>
      <c r="BC292" s="24"/>
      <c r="BD292" s="67"/>
      <c r="BE292" s="24"/>
      <c r="BF292" s="71"/>
      <c r="BG292" s="71"/>
      <c r="BH292" s="71"/>
      <c r="BI292" s="24"/>
      <c r="BJ292" s="24"/>
      <c r="BK292" s="24"/>
      <c r="BL292" s="78"/>
      <c r="BM292" s="24"/>
      <c r="BN292" s="67"/>
      <c r="BO292" s="24"/>
      <c r="BP292" s="65"/>
      <c r="BQ292" s="58"/>
      <c r="BS292" s="76"/>
      <c r="BT292" s="75"/>
      <c r="BU292" s="58"/>
      <c r="BX292" s="75"/>
      <c r="BY292" s="58"/>
      <c r="BZ292" s="58"/>
      <c r="CA292" s="61"/>
      <c r="CB292" s="73"/>
      <c r="CC292" s="73"/>
      <c r="CD292" s="74"/>
      <c r="CE292" s="74"/>
      <c r="CF292" s="74"/>
      <c r="CG292" s="74"/>
      <c r="CH292" s="74"/>
      <c r="CI292" s="58"/>
      <c r="CJ292" s="67"/>
      <c r="CK292" s="80"/>
      <c r="CL292" s="82"/>
      <c r="CM292" s="24"/>
      <c r="CN292" s="24"/>
      <c r="CO292" s="68"/>
      <c r="CP292" s="58"/>
      <c r="CQ292" s="58"/>
      <c r="CR292" s="58"/>
    </row>
    <row r="293" spans="1:101" ht="15" customHeight="1">
      <c r="B293" s="69" t="s">
        <v>509</v>
      </c>
      <c r="C293" s="64" t="s">
        <v>144</v>
      </c>
      <c r="H293" s="58"/>
      <c r="R293" s="58"/>
      <c r="S293" s="58"/>
      <c r="T293" s="58"/>
      <c r="U293" s="58"/>
      <c r="V293" s="58"/>
      <c r="W293" s="58"/>
      <c r="X293" s="58"/>
      <c r="Y293" s="58"/>
      <c r="Z293" s="58"/>
      <c r="AA293" s="58"/>
      <c r="AB293" s="58"/>
      <c r="AC293" s="58"/>
      <c r="AD293" s="58"/>
      <c r="AE293" s="24"/>
      <c r="AF293" s="58"/>
      <c r="AG293" s="58"/>
      <c r="AH293" s="58"/>
      <c r="AI293" s="58"/>
      <c r="AJ293" s="58"/>
      <c r="AK293" s="24"/>
      <c r="AL293" s="58"/>
      <c r="AP293" s="58"/>
      <c r="AR293" s="58"/>
      <c r="AS293" s="58"/>
      <c r="BK293" s="24"/>
      <c r="CR293" s="58"/>
    </row>
    <row r="294" spans="1:101" ht="15" customHeight="1">
      <c r="C294" s="55" t="s">
        <v>799</v>
      </c>
      <c r="H294" s="58"/>
      <c r="R294" s="58"/>
      <c r="S294" s="58"/>
      <c r="T294" s="58"/>
      <c r="U294" s="58"/>
      <c r="V294" s="58"/>
      <c r="W294" s="58"/>
      <c r="X294" s="58"/>
      <c r="Y294" s="58"/>
      <c r="Z294" s="58"/>
      <c r="AA294" s="58"/>
      <c r="AB294" s="58"/>
      <c r="AC294" s="58"/>
      <c r="AD294" s="58"/>
      <c r="AE294" s="24"/>
      <c r="AF294" s="58"/>
      <c r="AG294" s="58"/>
      <c r="AH294" s="58"/>
      <c r="AI294" s="58"/>
      <c r="AJ294" s="58"/>
      <c r="AK294" s="24"/>
      <c r="AL294" s="58"/>
      <c r="AP294" s="58"/>
      <c r="AR294" s="58"/>
      <c r="AS294" s="58"/>
      <c r="BK294" s="24"/>
      <c r="CR294" s="58"/>
    </row>
    <row r="295" spans="1:101" ht="15" customHeight="1">
      <c r="C295" s="66" t="s">
        <v>510</v>
      </c>
      <c r="H295" s="58"/>
      <c r="R295" s="58"/>
      <c r="S295" s="58"/>
      <c r="T295" s="58"/>
      <c r="U295" s="58"/>
      <c r="V295" s="58"/>
      <c r="W295" s="58"/>
      <c r="X295" s="58"/>
      <c r="Y295" s="58"/>
      <c r="Z295" s="58"/>
      <c r="AA295" s="58"/>
      <c r="AB295" s="58"/>
      <c r="AC295" s="58"/>
      <c r="AD295" s="58"/>
      <c r="AE295" s="24"/>
      <c r="AF295" s="58"/>
      <c r="AG295" s="58"/>
      <c r="AH295" s="58"/>
      <c r="AI295" s="58"/>
      <c r="AJ295" s="58"/>
      <c r="AK295" s="24"/>
      <c r="AL295" s="58"/>
      <c r="AP295" s="58"/>
      <c r="AR295" s="58"/>
      <c r="AS295" s="58"/>
      <c r="BK295" s="24"/>
      <c r="CR295" s="58"/>
    </row>
    <row r="296" spans="1:101" ht="15" customHeight="1">
      <c r="C296" s="72" t="s">
        <v>800</v>
      </c>
      <c r="R296" s="58"/>
      <c r="AS296" s="58"/>
      <c r="BK296" s="24"/>
      <c r="CR296" s="58"/>
    </row>
    <row r="297" spans="1:101">
      <c r="BK297" s="24"/>
    </row>
    <row r="298" spans="1:101">
      <c r="BK298" s="24"/>
    </row>
  </sheetData>
  <sheetProtection formatCells="0" formatColumns="0" formatRows="0" insertColumns="0" insertRows="0" deleteColumns="0" deleteRows="0"/>
  <autoFilter ref="A4:CW290" xr:uid="{9054F36A-9F81-4F80-8B8D-E44465AA88A7}"/>
  <mergeCells count="5">
    <mergeCell ref="CS2:CT2"/>
    <mergeCell ref="BQ2:BZ2"/>
    <mergeCell ref="CJ2:CN2"/>
    <mergeCell ref="CO2:CQ2"/>
    <mergeCell ref="CA2:CI2"/>
  </mergeCells>
  <phoneticPr fontId="0" type="noConversion"/>
  <conditionalFormatting sqref="BA5:BA292">
    <cfRule type="cellIs" dxfId="3" priority="1" operator="equal">
      <formula>"PX"</formula>
    </cfRule>
  </conditionalFormatting>
  <conditionalFormatting sqref="BE5:BE292">
    <cfRule type="expression" dxfId="2" priority="3">
      <formula>BC5&gt;BD5</formula>
    </cfRule>
  </conditionalFormatting>
  <printOptions gridLines="1" gridLinesSet="0"/>
  <pageMargins left="0.1" right="0.1" top="0.4" bottom="0.25" header="0.1" footer="0.1"/>
  <pageSetup paperSize="5" scale="65" pageOrder="overThenDown" orientation="landscape" r:id="rId1"/>
  <headerFooter alignWithMargins="0">
    <oddHeader>&amp;L&amp;"-,Regular"BASE Gen Fund = $5,088
BASE LOB = $5,158&amp;C&amp;"-,Regular"FY 2024 Legal Max
(KSA 72-5131)&amp;R&amp;"-,Regular"Page &amp;P</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A1:X290"/>
  <sheetViews>
    <sheetView workbookViewId="0">
      <pane ySplit="4" topLeftCell="A5" activePane="bottomLeft" state="frozen"/>
      <selection pane="bottomLeft" sqref="A1:B1"/>
    </sheetView>
  </sheetViews>
  <sheetFormatPr defaultColWidth="9.109375" defaultRowHeight="13.2"/>
  <cols>
    <col min="1" max="1" width="7.6640625" style="129" bestFit="1" customWidth="1"/>
    <col min="2" max="2" width="9.88671875" style="129" bestFit="1" customWidth="1"/>
    <col min="3" max="3" width="0" style="129" hidden="1" customWidth="1"/>
    <col min="4" max="4" width="9.109375" style="129"/>
    <col min="5" max="5" width="9.33203125" style="129" customWidth="1"/>
    <col min="6" max="6" width="10.88671875" style="129" bestFit="1" customWidth="1"/>
    <col min="7" max="7" width="9.109375" style="129"/>
    <col min="8" max="8" width="10.44140625" style="129" bestFit="1" customWidth="1"/>
    <col min="9" max="9" width="10.44140625" style="129" customWidth="1"/>
    <col min="10" max="10" width="11.6640625" style="129" customWidth="1"/>
    <col min="11" max="11" width="9.44140625" style="129" bestFit="1" customWidth="1"/>
    <col min="12" max="13" width="9.109375" style="129"/>
    <col min="14" max="14" width="18.44140625" style="129" bestFit="1" customWidth="1"/>
    <col min="15" max="17" width="9.109375" style="129"/>
    <col min="18" max="18" width="13.5546875" style="129" bestFit="1" customWidth="1"/>
    <col min="19" max="21" width="9.109375" style="129"/>
    <col min="22" max="22" width="14.33203125" style="129" customWidth="1"/>
    <col min="23" max="16384" width="9.109375" style="129"/>
  </cols>
  <sheetData>
    <row r="1" spans="1:24">
      <c r="A1" s="341" t="s">
        <v>3624</v>
      </c>
      <c r="B1" s="341"/>
      <c r="E1" s="186" t="s">
        <v>848</v>
      </c>
    </row>
    <row r="2" spans="1:24" ht="13.8" thickBot="1">
      <c r="E2" s="187" t="s">
        <v>812</v>
      </c>
      <c r="U2" s="340" t="s">
        <v>889</v>
      </c>
      <c r="V2" s="340"/>
      <c r="W2" s="340"/>
      <c r="X2" s="340"/>
    </row>
    <row r="3" spans="1:24" ht="13.8" thickTop="1">
      <c r="A3" s="336" t="s">
        <v>797</v>
      </c>
      <c r="B3" s="336"/>
      <c r="D3" s="188"/>
      <c r="E3" s="187" t="s">
        <v>808</v>
      </c>
      <c r="F3" s="137"/>
      <c r="G3" s="137"/>
      <c r="H3" s="189"/>
      <c r="I3" s="190"/>
      <c r="J3" s="166"/>
      <c r="N3" s="337" t="s">
        <v>823</v>
      </c>
      <c r="O3" s="338"/>
      <c r="P3" s="338"/>
      <c r="Q3" s="338"/>
      <c r="R3" s="339"/>
    </row>
    <row r="4" spans="1:24">
      <c r="A4" s="129" t="s">
        <v>170</v>
      </c>
      <c r="B4" s="129" t="s">
        <v>504</v>
      </c>
      <c r="D4" s="191" t="s">
        <v>505</v>
      </c>
      <c r="E4" s="192" t="s">
        <v>874</v>
      </c>
      <c r="F4" s="192" t="s">
        <v>506</v>
      </c>
      <c r="G4" s="192" t="s">
        <v>507</v>
      </c>
      <c r="H4" s="193" t="s">
        <v>508</v>
      </c>
      <c r="J4" s="167"/>
      <c r="K4" s="167"/>
      <c r="N4" s="194"/>
      <c r="R4" s="195"/>
      <c r="U4" s="129" t="s">
        <v>886</v>
      </c>
      <c r="V4" s="336" t="s">
        <v>887</v>
      </c>
      <c r="W4" s="336"/>
      <c r="X4" s="129" t="s">
        <v>888</v>
      </c>
    </row>
    <row r="5" spans="1:24">
      <c r="A5" s="194" t="s">
        <v>190</v>
      </c>
      <c r="B5" s="139">
        <v>731167</v>
      </c>
      <c r="D5" s="194" t="s">
        <v>190</v>
      </c>
      <c r="E5" s="139"/>
      <c r="F5" s="139">
        <v>4743053</v>
      </c>
      <c r="G5" s="129">
        <v>19</v>
      </c>
      <c r="H5" s="195"/>
      <c r="L5" s="136"/>
      <c r="N5" s="196" t="s">
        <v>892</v>
      </c>
      <c r="O5" s="129">
        <v>5088</v>
      </c>
      <c r="Q5" s="129" t="s">
        <v>798</v>
      </c>
      <c r="R5" s="197">
        <f>O5/O14</f>
        <v>1.2216</v>
      </c>
      <c r="U5" s="129">
        <v>1</v>
      </c>
      <c r="V5" s="198">
        <v>0</v>
      </c>
      <c r="W5" s="129">
        <v>5.8999999999999997E-2</v>
      </c>
      <c r="X5" s="129">
        <v>1620</v>
      </c>
    </row>
    <row r="6" spans="1:24">
      <c r="A6" s="194" t="s">
        <v>191</v>
      </c>
      <c r="B6" s="139">
        <v>538383</v>
      </c>
      <c r="D6" s="194" t="s">
        <v>191</v>
      </c>
      <c r="E6" s="139"/>
      <c r="F6" s="139"/>
      <c r="H6" s="195"/>
      <c r="L6" s="136"/>
      <c r="N6" s="196" t="s">
        <v>819</v>
      </c>
      <c r="O6" s="129">
        <v>0.5</v>
      </c>
      <c r="Q6" s="129" t="s">
        <v>913</v>
      </c>
      <c r="R6" s="199"/>
      <c r="U6" s="129">
        <v>2</v>
      </c>
      <c r="V6" s="198">
        <v>0.06</v>
      </c>
      <c r="W6" s="129">
        <v>6.9000000000000006E-2</v>
      </c>
      <c r="X6" s="129">
        <v>1580</v>
      </c>
    </row>
    <row r="7" spans="1:24">
      <c r="A7" s="194" t="s">
        <v>192</v>
      </c>
      <c r="B7" s="139">
        <v>190255</v>
      </c>
      <c r="D7" s="194" t="s">
        <v>192</v>
      </c>
      <c r="E7" s="139"/>
      <c r="F7" s="139"/>
      <c r="H7" s="195"/>
      <c r="L7" s="136"/>
      <c r="N7" s="196" t="s">
        <v>816</v>
      </c>
      <c r="O7" s="129">
        <v>0.39500000000000002</v>
      </c>
      <c r="Q7" s="140">
        <v>1</v>
      </c>
      <c r="R7" s="195"/>
      <c r="U7" s="129">
        <v>3</v>
      </c>
      <c r="V7" s="198">
        <v>7.0000000000000007E-2</v>
      </c>
      <c r="W7" s="129">
        <v>7.9000000000000001E-2</v>
      </c>
      <c r="X7" s="129">
        <v>1540</v>
      </c>
    </row>
    <row r="8" spans="1:24">
      <c r="A8" s="194" t="s">
        <v>193</v>
      </c>
      <c r="B8" s="139">
        <v>333603</v>
      </c>
      <c r="D8" s="194" t="s">
        <v>193</v>
      </c>
      <c r="E8" s="139"/>
      <c r="F8" s="139"/>
      <c r="H8" s="195"/>
      <c r="L8" s="136"/>
      <c r="N8" s="196" t="s">
        <v>817</v>
      </c>
      <c r="O8" s="129">
        <v>0.185</v>
      </c>
      <c r="Q8" s="129" t="s">
        <v>891</v>
      </c>
      <c r="R8" s="199"/>
      <c r="U8" s="129">
        <v>4</v>
      </c>
      <c r="V8" s="198">
        <v>0.08</v>
      </c>
      <c r="W8" s="129">
        <v>8.8999999999999996E-2</v>
      </c>
      <c r="X8" s="129">
        <v>1500</v>
      </c>
    </row>
    <row r="9" spans="1:24">
      <c r="A9" s="194" t="s">
        <v>194</v>
      </c>
      <c r="B9" s="139">
        <v>151342</v>
      </c>
      <c r="D9" s="194" t="s">
        <v>194</v>
      </c>
      <c r="E9" s="139"/>
      <c r="F9" s="139"/>
      <c r="H9" s="195"/>
      <c r="L9" s="136"/>
      <c r="N9" s="196" t="s">
        <v>820</v>
      </c>
      <c r="O9" s="129">
        <v>0.48399999999999999</v>
      </c>
      <c r="R9" s="195"/>
      <c r="U9" s="129">
        <v>5</v>
      </c>
      <c r="V9" s="198">
        <v>0.09</v>
      </c>
      <c r="W9" s="129">
        <v>9.9000000000000005E-2</v>
      </c>
      <c r="X9" s="129">
        <v>1480</v>
      </c>
    </row>
    <row r="10" spans="1:24">
      <c r="A10" s="194" t="s">
        <v>195</v>
      </c>
      <c r="B10" s="200">
        <f>267171+56043</f>
        <v>323214</v>
      </c>
      <c r="D10" s="194" t="s">
        <v>195</v>
      </c>
      <c r="E10" s="139"/>
      <c r="F10" s="139"/>
      <c r="H10" s="195"/>
      <c r="L10" s="136"/>
      <c r="N10" s="196" t="s">
        <v>821</v>
      </c>
      <c r="O10" s="129">
        <v>0.25</v>
      </c>
      <c r="Q10" s="129" t="s">
        <v>833</v>
      </c>
      <c r="R10" s="195">
        <v>5600</v>
      </c>
      <c r="U10" s="129">
        <v>6</v>
      </c>
      <c r="V10" s="198">
        <v>0.1</v>
      </c>
      <c r="W10" s="129">
        <v>0.109</v>
      </c>
      <c r="X10" s="129">
        <v>1450</v>
      </c>
    </row>
    <row r="11" spans="1:24">
      <c r="A11" s="194" t="s">
        <v>196</v>
      </c>
      <c r="B11" s="139">
        <v>548331</v>
      </c>
      <c r="D11" s="194" t="s">
        <v>196</v>
      </c>
      <c r="E11" s="139"/>
      <c r="F11" s="139">
        <v>3667430</v>
      </c>
      <c r="G11" s="129">
        <v>25</v>
      </c>
      <c r="H11" s="195"/>
      <c r="L11" s="136"/>
      <c r="N11" s="196"/>
      <c r="Q11" s="129" t="s">
        <v>834</v>
      </c>
      <c r="R11" s="195">
        <v>2800</v>
      </c>
      <c r="U11" s="129">
        <v>7</v>
      </c>
      <c r="V11" s="198">
        <v>0.11</v>
      </c>
      <c r="W11" s="129">
        <v>0.11899999999999999</v>
      </c>
      <c r="X11" s="129">
        <v>1430</v>
      </c>
    </row>
    <row r="12" spans="1:24">
      <c r="A12" s="194" t="s">
        <v>197</v>
      </c>
      <c r="B12" s="139">
        <v>615260</v>
      </c>
      <c r="D12" s="194" t="s">
        <v>197</v>
      </c>
      <c r="E12" s="139"/>
      <c r="F12" s="139">
        <v>5100720</v>
      </c>
      <c r="G12" s="129">
        <v>19</v>
      </c>
      <c r="H12" s="195"/>
      <c r="L12" s="136"/>
      <c r="N12" s="196" t="s">
        <v>822</v>
      </c>
      <c r="O12" s="129">
        <v>5158</v>
      </c>
      <c r="Q12" s="129" t="s">
        <v>835</v>
      </c>
      <c r="R12" s="195">
        <v>709</v>
      </c>
      <c r="U12" s="129">
        <v>8</v>
      </c>
      <c r="V12" s="198">
        <v>0.12</v>
      </c>
      <c r="W12" s="129">
        <v>0.129</v>
      </c>
      <c r="X12" s="129">
        <v>1410</v>
      </c>
    </row>
    <row r="13" spans="1:24">
      <c r="A13" s="194" t="s">
        <v>198</v>
      </c>
      <c r="B13" s="139">
        <v>333931</v>
      </c>
      <c r="D13" s="194" t="s">
        <v>198</v>
      </c>
      <c r="E13" s="139"/>
      <c r="F13" s="139"/>
      <c r="H13" s="195"/>
      <c r="L13" s="136"/>
      <c r="N13" s="194"/>
      <c r="R13" s="195"/>
      <c r="U13" s="129">
        <v>9</v>
      </c>
      <c r="V13" s="198">
        <v>0.13</v>
      </c>
      <c r="W13" s="129">
        <v>0.13900000000000001</v>
      </c>
      <c r="X13" s="129">
        <v>1390</v>
      </c>
    </row>
    <row r="14" spans="1:24" ht="13.8" thickBot="1">
      <c r="A14" s="194" t="s">
        <v>199</v>
      </c>
      <c r="B14" s="200">
        <v>555221</v>
      </c>
      <c r="D14" s="194" t="s">
        <v>199</v>
      </c>
      <c r="E14" s="139"/>
      <c r="F14" s="139"/>
      <c r="H14" s="195"/>
      <c r="L14" s="136"/>
      <c r="N14" s="201" t="s">
        <v>893</v>
      </c>
      <c r="O14" s="202">
        <v>4165</v>
      </c>
      <c r="P14" s="202"/>
      <c r="Q14" s="202"/>
      <c r="R14" s="203"/>
      <c r="U14" s="129">
        <v>10</v>
      </c>
      <c r="V14" s="198">
        <v>0.14000000000000001</v>
      </c>
      <c r="W14" s="129">
        <v>0.14899999999999999</v>
      </c>
      <c r="X14" s="129">
        <v>1370</v>
      </c>
    </row>
    <row r="15" spans="1:24" ht="13.8" thickTop="1">
      <c r="A15" s="194" t="s">
        <v>200</v>
      </c>
      <c r="B15" s="200">
        <v>685976</v>
      </c>
      <c r="D15" s="194" t="s">
        <v>200</v>
      </c>
      <c r="E15" s="139"/>
      <c r="F15" s="139"/>
      <c r="H15" s="195"/>
      <c r="L15" s="136"/>
      <c r="U15" s="129">
        <v>11</v>
      </c>
      <c r="V15" s="198">
        <v>0.15</v>
      </c>
      <c r="W15" s="129">
        <v>0.159</v>
      </c>
      <c r="X15" s="129">
        <v>1350</v>
      </c>
    </row>
    <row r="16" spans="1:24">
      <c r="A16" s="194" t="s">
        <v>201</v>
      </c>
      <c r="B16" s="200">
        <v>1100793</v>
      </c>
      <c r="D16" s="194" t="s">
        <v>201</v>
      </c>
      <c r="E16" s="139"/>
      <c r="F16" s="139"/>
      <c r="H16" s="195"/>
      <c r="L16" s="136"/>
      <c r="U16" s="129">
        <v>12</v>
      </c>
      <c r="V16" s="198">
        <v>0.16</v>
      </c>
      <c r="W16" s="129">
        <v>0.16900000000000001</v>
      </c>
      <c r="X16" s="129">
        <v>1340</v>
      </c>
    </row>
    <row r="17" spans="1:24">
      <c r="A17" s="194" t="s">
        <v>202</v>
      </c>
      <c r="B17" s="200">
        <v>631555</v>
      </c>
      <c r="D17" s="194" t="s">
        <v>202</v>
      </c>
      <c r="E17" s="139"/>
      <c r="F17" s="139"/>
      <c r="H17" s="195"/>
      <c r="L17" s="136"/>
      <c r="U17" s="129">
        <v>13</v>
      </c>
      <c r="V17" s="198">
        <v>0.17</v>
      </c>
      <c r="W17" s="129">
        <v>0.17899999999999999</v>
      </c>
      <c r="X17" s="129">
        <v>1320</v>
      </c>
    </row>
    <row r="18" spans="1:24">
      <c r="A18" s="194" t="s">
        <v>203</v>
      </c>
      <c r="B18" s="200">
        <v>577233</v>
      </c>
      <c r="D18" s="194" t="s">
        <v>203</v>
      </c>
      <c r="E18" s="139"/>
      <c r="F18" s="139"/>
      <c r="H18" s="195"/>
      <c r="L18" s="136"/>
      <c r="U18" s="129">
        <v>14</v>
      </c>
      <c r="V18" s="198">
        <v>0.18</v>
      </c>
      <c r="W18" s="129">
        <v>0.19900000000000001</v>
      </c>
      <c r="X18" s="129">
        <v>1300</v>
      </c>
    </row>
    <row r="19" spans="1:24">
      <c r="A19" s="194" t="s">
        <v>204</v>
      </c>
      <c r="B19" s="139">
        <v>165851</v>
      </c>
      <c r="D19" s="194" t="s">
        <v>204</v>
      </c>
      <c r="E19" s="139"/>
      <c r="F19" s="139"/>
      <c r="H19" s="195"/>
      <c r="L19" s="136"/>
      <c r="U19" s="129">
        <v>15</v>
      </c>
      <c r="V19" s="198">
        <v>0.2</v>
      </c>
      <c r="W19" s="129">
        <v>0.20899999999999999</v>
      </c>
      <c r="X19" s="129">
        <v>1290</v>
      </c>
    </row>
    <row r="20" spans="1:24">
      <c r="A20" s="194" t="s">
        <v>205</v>
      </c>
      <c r="B20" s="139">
        <v>3234002</v>
      </c>
      <c r="D20" s="194" t="s">
        <v>205</v>
      </c>
      <c r="E20" s="139"/>
      <c r="F20" s="139"/>
      <c r="H20" s="195"/>
      <c r="L20" s="136"/>
      <c r="U20" s="129">
        <v>16</v>
      </c>
      <c r="V20" s="198">
        <v>0.21</v>
      </c>
      <c r="W20" s="129">
        <v>0.219</v>
      </c>
      <c r="X20" s="129">
        <v>1270</v>
      </c>
    </row>
    <row r="21" spans="1:24">
      <c r="A21" s="194" t="s">
        <v>206</v>
      </c>
      <c r="B21" s="139">
        <v>1285790</v>
      </c>
      <c r="D21" s="194" t="s">
        <v>206</v>
      </c>
      <c r="E21" s="139"/>
      <c r="F21" s="139"/>
      <c r="H21" s="195"/>
      <c r="L21" s="136"/>
      <c r="U21" s="129">
        <v>17</v>
      </c>
      <c r="V21" s="198">
        <v>0.22</v>
      </c>
      <c r="W21" s="129">
        <v>0.23899999999999999</v>
      </c>
      <c r="X21" s="129">
        <v>1250</v>
      </c>
    </row>
    <row r="22" spans="1:24">
      <c r="A22" s="194" t="s">
        <v>207</v>
      </c>
      <c r="B22" s="139">
        <v>2016420</v>
      </c>
      <c r="D22" s="194" t="s">
        <v>207</v>
      </c>
      <c r="E22" s="139"/>
      <c r="F22" s="139">
        <v>21117079</v>
      </c>
      <c r="G22" s="129">
        <v>14</v>
      </c>
      <c r="H22" s="195"/>
      <c r="L22" s="136"/>
      <c r="U22" s="129">
        <v>18</v>
      </c>
      <c r="V22" s="198">
        <v>0.24</v>
      </c>
      <c r="W22" s="129">
        <v>0.26900000000000002</v>
      </c>
      <c r="X22" s="129">
        <v>1230</v>
      </c>
    </row>
    <row r="23" spans="1:24">
      <c r="A23" s="194" t="s">
        <v>208</v>
      </c>
      <c r="B23" s="139">
        <v>606474</v>
      </c>
      <c r="D23" s="194" t="s">
        <v>208</v>
      </c>
      <c r="E23" s="139"/>
      <c r="F23" s="139"/>
      <c r="H23" s="195"/>
      <c r="L23" s="136"/>
      <c r="U23" s="129">
        <v>19</v>
      </c>
      <c r="V23" s="198">
        <v>0.27</v>
      </c>
      <c r="W23" s="129">
        <v>0.28899999999999998</v>
      </c>
      <c r="X23" s="129">
        <v>1210</v>
      </c>
    </row>
    <row r="24" spans="1:24">
      <c r="A24" s="194" t="s">
        <v>209</v>
      </c>
      <c r="B24" s="139">
        <v>531708</v>
      </c>
      <c r="D24" s="194" t="s">
        <v>209</v>
      </c>
      <c r="E24" s="139"/>
      <c r="F24" s="139"/>
      <c r="H24" s="195"/>
      <c r="L24" s="136"/>
      <c r="U24" s="129">
        <v>20</v>
      </c>
      <c r="V24" s="198">
        <v>0.28999999999999998</v>
      </c>
      <c r="W24" s="129">
        <v>0.31900000000000001</v>
      </c>
      <c r="X24" s="129">
        <v>1190</v>
      </c>
    </row>
    <row r="25" spans="1:24">
      <c r="A25" s="194" t="s">
        <v>210</v>
      </c>
      <c r="B25" s="139">
        <v>1239600</v>
      </c>
      <c r="D25" s="194" t="s">
        <v>210</v>
      </c>
      <c r="E25" s="139"/>
      <c r="F25" s="139"/>
      <c r="H25" s="195"/>
      <c r="L25" s="136"/>
      <c r="U25" s="129">
        <v>21</v>
      </c>
      <c r="V25" s="198">
        <v>0.32</v>
      </c>
      <c r="W25" s="129">
        <v>0.34899999999999998</v>
      </c>
      <c r="X25" s="129">
        <v>1170</v>
      </c>
    </row>
    <row r="26" spans="1:24">
      <c r="A26" s="194" t="s">
        <v>211</v>
      </c>
      <c r="B26" s="139">
        <v>509998</v>
      </c>
      <c r="D26" s="194" t="s">
        <v>211</v>
      </c>
      <c r="E26" s="139"/>
      <c r="F26" s="139"/>
      <c r="H26" s="195"/>
      <c r="L26" s="136"/>
      <c r="U26" s="129">
        <v>22</v>
      </c>
      <c r="V26" s="198">
        <v>0.35</v>
      </c>
      <c r="W26" s="129">
        <v>0.38900000000000001</v>
      </c>
      <c r="X26" s="129">
        <v>1150</v>
      </c>
    </row>
    <row r="27" spans="1:24">
      <c r="A27" s="194" t="s">
        <v>212</v>
      </c>
      <c r="B27" s="139">
        <v>138161</v>
      </c>
      <c r="D27" s="194" t="s">
        <v>212</v>
      </c>
      <c r="E27" s="139"/>
      <c r="F27" s="139"/>
      <c r="H27" s="195"/>
      <c r="L27" s="136"/>
      <c r="U27" s="129">
        <v>23</v>
      </c>
      <c r="V27" s="198">
        <v>0.39</v>
      </c>
      <c r="W27" s="129">
        <v>0.42899999999999999</v>
      </c>
      <c r="X27" s="129">
        <v>1130</v>
      </c>
    </row>
    <row r="28" spans="1:24">
      <c r="A28" s="194" t="s">
        <v>213</v>
      </c>
      <c r="B28" s="139">
        <v>622779</v>
      </c>
      <c r="D28" s="194" t="s">
        <v>213</v>
      </c>
      <c r="E28" s="139"/>
      <c r="F28" s="139"/>
      <c r="H28" s="195"/>
      <c r="L28" s="136"/>
      <c r="U28" s="129">
        <v>24</v>
      </c>
      <c r="V28" s="198">
        <v>0.43</v>
      </c>
      <c r="W28" s="129">
        <v>0.46899999999999997</v>
      </c>
      <c r="X28" s="129">
        <v>1110</v>
      </c>
    </row>
    <row r="29" spans="1:24">
      <c r="A29" s="204" t="s">
        <v>214</v>
      </c>
      <c r="B29" s="200">
        <v>866534</v>
      </c>
      <c r="D29" s="204" t="s">
        <v>214</v>
      </c>
      <c r="E29" s="139"/>
      <c r="F29" s="139"/>
      <c r="H29" s="195"/>
      <c r="L29" s="136"/>
      <c r="U29" s="129">
        <v>25</v>
      </c>
      <c r="V29" s="198">
        <v>0.47</v>
      </c>
      <c r="W29" s="129">
        <v>0.51900000000000002</v>
      </c>
      <c r="X29" s="129">
        <v>1090</v>
      </c>
    </row>
    <row r="30" spans="1:24">
      <c r="A30" s="194" t="s">
        <v>215</v>
      </c>
      <c r="B30" s="139">
        <v>247100</v>
      </c>
      <c r="D30" s="194" t="s">
        <v>215</v>
      </c>
      <c r="E30" s="139"/>
      <c r="F30" s="139">
        <v>1917667</v>
      </c>
      <c r="G30" s="129">
        <v>25</v>
      </c>
      <c r="H30" s="195"/>
      <c r="L30" s="136"/>
      <c r="U30" s="129">
        <v>26</v>
      </c>
      <c r="V30" s="198">
        <v>0.52</v>
      </c>
      <c r="W30" s="129">
        <v>0.57899999999999996</v>
      </c>
      <c r="X30" s="129">
        <v>1070</v>
      </c>
    </row>
    <row r="31" spans="1:24">
      <c r="A31" s="194" t="s">
        <v>216</v>
      </c>
      <c r="B31" s="139">
        <v>994230</v>
      </c>
      <c r="D31" s="194" t="s">
        <v>216</v>
      </c>
      <c r="E31" s="139"/>
      <c r="F31" s="139"/>
      <c r="H31" s="195"/>
      <c r="L31" s="136"/>
      <c r="U31" s="129">
        <v>27</v>
      </c>
      <c r="V31" s="198">
        <v>0.57999999999999996</v>
      </c>
      <c r="W31" s="129">
        <v>0.63900000000000001</v>
      </c>
      <c r="X31" s="129">
        <v>1050</v>
      </c>
    </row>
    <row r="32" spans="1:24">
      <c r="A32" s="194" t="s">
        <v>217</v>
      </c>
      <c r="B32" s="139">
        <v>396551</v>
      </c>
      <c r="D32" s="194" t="s">
        <v>217</v>
      </c>
      <c r="E32" s="139"/>
      <c r="F32" s="139">
        <v>6023174</v>
      </c>
      <c r="G32" s="129">
        <v>24</v>
      </c>
      <c r="H32" s="195"/>
      <c r="L32" s="136"/>
      <c r="U32" s="129">
        <v>28</v>
      </c>
      <c r="V32" s="198">
        <v>0.64</v>
      </c>
      <c r="W32" s="129">
        <v>0.70899999999999996</v>
      </c>
      <c r="X32" s="129">
        <v>1030</v>
      </c>
    </row>
    <row r="33" spans="1:24">
      <c r="A33" s="194" t="s">
        <v>218</v>
      </c>
      <c r="B33" s="139">
        <v>205889</v>
      </c>
      <c r="D33" s="194" t="s">
        <v>218</v>
      </c>
      <c r="E33" s="139"/>
      <c r="F33" s="139"/>
      <c r="H33" s="195"/>
      <c r="L33" s="136"/>
      <c r="U33" s="129">
        <v>29</v>
      </c>
      <c r="V33" s="198">
        <v>0.71</v>
      </c>
      <c r="W33" s="129">
        <v>0.78900000000000003</v>
      </c>
      <c r="X33" s="129">
        <v>1010</v>
      </c>
    </row>
    <row r="34" spans="1:24">
      <c r="A34" s="194" t="s">
        <v>219</v>
      </c>
      <c r="B34" s="139">
        <v>146340</v>
      </c>
      <c r="D34" s="194" t="s">
        <v>219</v>
      </c>
      <c r="E34" s="139"/>
      <c r="F34" s="139"/>
      <c r="H34" s="195"/>
      <c r="L34" s="136"/>
      <c r="U34" s="129">
        <v>30</v>
      </c>
      <c r="V34" s="198">
        <v>0.79</v>
      </c>
      <c r="W34" s="129">
        <v>0.879</v>
      </c>
      <c r="X34" s="129">
        <v>990</v>
      </c>
    </row>
    <row r="35" spans="1:24">
      <c r="A35" s="194" t="s">
        <v>220</v>
      </c>
      <c r="B35" s="139">
        <v>390789</v>
      </c>
      <c r="D35" s="194" t="s">
        <v>220</v>
      </c>
      <c r="E35" s="139"/>
      <c r="F35" s="139"/>
      <c r="H35" s="195"/>
      <c r="L35" s="136"/>
      <c r="U35" s="129">
        <v>31</v>
      </c>
      <c r="V35" s="198">
        <v>0.88</v>
      </c>
      <c r="W35" s="129">
        <v>0.98899999999999999</v>
      </c>
      <c r="X35" s="129">
        <v>970</v>
      </c>
    </row>
    <row r="36" spans="1:24">
      <c r="A36" s="194" t="s">
        <v>221</v>
      </c>
      <c r="B36" s="139">
        <v>247823</v>
      </c>
      <c r="D36" s="194" t="s">
        <v>221</v>
      </c>
      <c r="E36" s="139"/>
      <c r="F36" s="139"/>
      <c r="H36" s="195"/>
      <c r="L36" s="136"/>
      <c r="U36" s="129">
        <v>32</v>
      </c>
      <c r="V36" s="198">
        <v>0.99</v>
      </c>
      <c r="W36" s="129">
        <v>1.109</v>
      </c>
      <c r="X36" s="129">
        <v>950</v>
      </c>
    </row>
    <row r="37" spans="1:24">
      <c r="A37" s="194" t="s">
        <v>222</v>
      </c>
      <c r="B37" s="139">
        <v>198681</v>
      </c>
      <c r="D37" s="194" t="s">
        <v>222</v>
      </c>
      <c r="E37" s="139"/>
      <c r="F37" s="139"/>
      <c r="H37" s="195"/>
      <c r="L37" s="136"/>
      <c r="U37" s="129">
        <v>33</v>
      </c>
      <c r="V37" s="198">
        <v>1.1100000000000001</v>
      </c>
      <c r="W37" s="129">
        <v>1.2490000000000001</v>
      </c>
      <c r="X37" s="129">
        <v>930</v>
      </c>
    </row>
    <row r="38" spans="1:24">
      <c r="A38" s="194" t="s">
        <v>223</v>
      </c>
      <c r="B38" s="139">
        <v>427159</v>
      </c>
      <c r="D38" s="194" t="s">
        <v>223</v>
      </c>
      <c r="E38" s="139"/>
      <c r="F38" s="139"/>
      <c r="H38" s="195"/>
      <c r="L38" s="136"/>
      <c r="U38" s="129">
        <v>34</v>
      </c>
      <c r="V38" s="198">
        <v>1.25</v>
      </c>
      <c r="W38" s="129">
        <v>1.399</v>
      </c>
      <c r="X38" s="129">
        <v>910</v>
      </c>
    </row>
    <row r="39" spans="1:24">
      <c r="A39" s="194" t="s">
        <v>224</v>
      </c>
      <c r="B39" s="139">
        <v>347858</v>
      </c>
      <c r="D39" s="194" t="s">
        <v>224</v>
      </c>
      <c r="E39" s="139"/>
      <c r="F39" s="139">
        <v>3074170</v>
      </c>
      <c r="G39" s="129">
        <v>17</v>
      </c>
      <c r="H39" s="195"/>
      <c r="L39" s="136"/>
      <c r="U39" s="129">
        <v>35</v>
      </c>
      <c r="V39" s="198">
        <v>1.4</v>
      </c>
      <c r="W39" s="129">
        <v>1.589</v>
      </c>
      <c r="X39" s="129">
        <v>890</v>
      </c>
    </row>
    <row r="40" spans="1:24">
      <c r="A40" s="194" t="s">
        <v>225</v>
      </c>
      <c r="B40" s="139">
        <v>152787</v>
      </c>
      <c r="D40" s="194" t="s">
        <v>225</v>
      </c>
      <c r="E40" s="139"/>
      <c r="F40" s="139"/>
      <c r="H40" s="195"/>
      <c r="L40" s="136"/>
      <c r="U40" s="129">
        <v>36</v>
      </c>
      <c r="V40" s="198">
        <v>1.59</v>
      </c>
      <c r="W40" s="129">
        <v>1.7989999999999999</v>
      </c>
      <c r="X40" s="129">
        <v>870</v>
      </c>
    </row>
    <row r="41" spans="1:24">
      <c r="A41" s="194" t="s">
        <v>226</v>
      </c>
      <c r="B41" s="139">
        <v>393594</v>
      </c>
      <c r="D41" s="194" t="s">
        <v>226</v>
      </c>
      <c r="E41" s="139"/>
      <c r="F41" s="139"/>
      <c r="H41" s="195"/>
      <c r="L41" s="136"/>
      <c r="U41" s="129">
        <v>37</v>
      </c>
      <c r="V41" s="198">
        <v>1.8</v>
      </c>
      <c r="W41" s="129">
        <v>2.0390000000000001</v>
      </c>
      <c r="X41" s="129">
        <v>850</v>
      </c>
    </row>
    <row r="42" spans="1:24">
      <c r="A42" s="194" t="s">
        <v>227</v>
      </c>
      <c r="B42" s="200">
        <v>320652</v>
      </c>
      <c r="D42" s="194" t="s">
        <v>227</v>
      </c>
      <c r="E42" s="139"/>
      <c r="F42" s="139"/>
      <c r="H42" s="195"/>
      <c r="L42" s="136"/>
      <c r="U42" s="129">
        <v>38</v>
      </c>
      <c r="V42" s="198">
        <v>2.04</v>
      </c>
      <c r="W42" s="129">
        <v>2.319</v>
      </c>
      <c r="X42" s="129">
        <v>830</v>
      </c>
    </row>
    <row r="43" spans="1:24">
      <c r="A43" s="194" t="s">
        <v>228</v>
      </c>
      <c r="B43" s="139">
        <v>19935033</v>
      </c>
      <c r="D43" s="194" t="s">
        <v>228</v>
      </c>
      <c r="E43" s="139"/>
      <c r="F43" s="139">
        <v>169166867</v>
      </c>
      <c r="G43" s="129">
        <v>25</v>
      </c>
      <c r="H43" s="195"/>
      <c r="L43" s="136"/>
      <c r="U43" s="129">
        <v>39</v>
      </c>
      <c r="V43" s="198">
        <v>2.3199999999999998</v>
      </c>
      <c r="W43" s="129">
        <v>2.6589999999999998</v>
      </c>
      <c r="X43" s="129">
        <v>810</v>
      </c>
    </row>
    <row r="44" spans="1:24">
      <c r="A44" s="194" t="s">
        <v>229</v>
      </c>
      <c r="B44" s="139">
        <v>1621297</v>
      </c>
      <c r="D44" s="194" t="s">
        <v>229</v>
      </c>
      <c r="E44" s="139"/>
      <c r="F44" s="139"/>
      <c r="H44" s="195"/>
      <c r="L44" s="136"/>
      <c r="U44" s="129">
        <v>40</v>
      </c>
      <c r="V44" s="198">
        <v>2.66</v>
      </c>
      <c r="W44" s="129">
        <v>3.0489999999999999</v>
      </c>
      <c r="X44" s="129">
        <v>790</v>
      </c>
    </row>
    <row r="45" spans="1:24">
      <c r="A45" s="194" t="s">
        <v>230</v>
      </c>
      <c r="B45" s="139">
        <v>4523118</v>
      </c>
      <c r="D45" s="194" t="s">
        <v>230</v>
      </c>
      <c r="E45" s="139"/>
      <c r="F45" s="139"/>
      <c r="H45" s="195"/>
      <c r="L45" s="136"/>
      <c r="U45" s="129">
        <v>41</v>
      </c>
      <c r="V45" s="198">
        <v>3.05</v>
      </c>
      <c r="W45" s="129">
        <v>3.5089999999999999</v>
      </c>
      <c r="X45" s="129">
        <v>770</v>
      </c>
    </row>
    <row r="46" spans="1:24">
      <c r="A46" s="194" t="s">
        <v>231</v>
      </c>
      <c r="B46" s="139">
        <v>4437654</v>
      </c>
      <c r="D46" s="194" t="s">
        <v>231</v>
      </c>
      <c r="E46" s="139"/>
      <c r="F46" s="139">
        <v>54442328</v>
      </c>
      <c r="G46" s="129">
        <v>17</v>
      </c>
      <c r="H46" s="195"/>
      <c r="L46" s="136"/>
      <c r="U46" s="129">
        <v>42</v>
      </c>
      <c r="V46" s="198">
        <v>3.51</v>
      </c>
      <c r="W46" s="129">
        <v>4.0490000000000004</v>
      </c>
      <c r="X46" s="129">
        <v>750</v>
      </c>
    </row>
    <row r="47" spans="1:24">
      <c r="A47" s="194" t="s">
        <v>232</v>
      </c>
      <c r="B47" s="139">
        <v>27522172</v>
      </c>
      <c r="D47" s="194" t="s">
        <v>232</v>
      </c>
      <c r="E47" s="139"/>
      <c r="F47" s="139"/>
      <c r="H47" s="195"/>
      <c r="L47" s="136"/>
      <c r="U47" s="129">
        <v>43</v>
      </c>
      <c r="V47" s="198">
        <v>4.05</v>
      </c>
      <c r="W47" s="129">
        <v>4.6989999999999998</v>
      </c>
      <c r="X47" s="129">
        <v>730</v>
      </c>
    </row>
    <row r="48" spans="1:24">
      <c r="A48" s="194" t="s">
        <v>233</v>
      </c>
      <c r="B48" s="139">
        <v>1149929</v>
      </c>
      <c r="D48" s="194" t="s">
        <v>233</v>
      </c>
      <c r="E48" s="139"/>
      <c r="F48" s="139"/>
      <c r="H48" s="195"/>
      <c r="L48" s="136"/>
      <c r="U48" s="129">
        <v>44</v>
      </c>
      <c r="V48" s="198">
        <v>4.7</v>
      </c>
      <c r="W48" s="129">
        <v>5.4690000000000003</v>
      </c>
      <c r="X48" s="129">
        <v>710</v>
      </c>
    </row>
    <row r="49" spans="1:24">
      <c r="A49" s="194" t="s">
        <v>234</v>
      </c>
      <c r="B49" s="139">
        <v>371669</v>
      </c>
      <c r="D49" s="194" t="s">
        <v>234</v>
      </c>
      <c r="E49" s="139"/>
      <c r="F49" s="139"/>
      <c r="H49" s="195"/>
      <c r="L49" s="136"/>
      <c r="U49" s="129">
        <v>45</v>
      </c>
      <c r="V49" s="198">
        <v>5.47</v>
      </c>
      <c r="W49" s="129">
        <v>6.399</v>
      </c>
      <c r="X49" s="129">
        <v>690</v>
      </c>
    </row>
    <row r="50" spans="1:24">
      <c r="A50" s="194" t="s">
        <v>235</v>
      </c>
      <c r="B50" s="139">
        <v>586035</v>
      </c>
      <c r="D50" s="194" t="s">
        <v>235</v>
      </c>
      <c r="E50" s="139"/>
      <c r="F50" s="139"/>
      <c r="H50" s="195"/>
      <c r="L50" s="136"/>
      <c r="U50" s="129">
        <v>46</v>
      </c>
      <c r="V50" s="198">
        <v>6.4</v>
      </c>
      <c r="W50" s="129">
        <v>7.5190000000000001</v>
      </c>
      <c r="X50" s="129">
        <v>670</v>
      </c>
    </row>
    <row r="51" spans="1:24">
      <c r="A51" s="194" t="s">
        <v>236</v>
      </c>
      <c r="B51" s="139">
        <v>614442</v>
      </c>
      <c r="D51" s="194" t="s">
        <v>236</v>
      </c>
      <c r="E51" s="139"/>
      <c r="F51" s="139"/>
      <c r="H51" s="195"/>
      <c r="L51" s="136"/>
      <c r="U51" s="129">
        <v>47</v>
      </c>
      <c r="V51" s="198">
        <v>7.52</v>
      </c>
      <c r="W51" s="129">
        <v>8.8789999999999996</v>
      </c>
      <c r="X51" s="129">
        <v>650</v>
      </c>
    </row>
    <row r="52" spans="1:24">
      <c r="A52" s="194" t="s">
        <v>237</v>
      </c>
      <c r="B52" s="139">
        <v>594084</v>
      </c>
      <c r="D52" s="194" t="s">
        <v>237</v>
      </c>
      <c r="E52" s="139"/>
      <c r="F52" s="139">
        <v>5913782</v>
      </c>
      <c r="G52" s="129">
        <v>25</v>
      </c>
      <c r="H52" s="195"/>
      <c r="L52" s="136"/>
      <c r="U52" s="129">
        <v>48</v>
      </c>
      <c r="V52" s="198">
        <v>8.8800000000000008</v>
      </c>
      <c r="W52" s="129">
        <v>10.548999999999999</v>
      </c>
      <c r="X52" s="129">
        <v>630</v>
      </c>
    </row>
    <row r="53" spans="1:24">
      <c r="A53" s="194" t="s">
        <v>238</v>
      </c>
      <c r="B53" s="139">
        <v>156774</v>
      </c>
      <c r="D53" s="194" t="s">
        <v>238</v>
      </c>
      <c r="E53" s="139"/>
      <c r="F53" s="139"/>
      <c r="H53" s="195"/>
      <c r="L53" s="136"/>
      <c r="U53" s="129">
        <v>49</v>
      </c>
      <c r="V53" s="198">
        <v>10.55</v>
      </c>
      <c r="W53" s="129">
        <v>12.589</v>
      </c>
      <c r="X53" s="129">
        <v>610</v>
      </c>
    </row>
    <row r="54" spans="1:24">
      <c r="A54" s="194" t="s">
        <v>239</v>
      </c>
      <c r="B54" s="139">
        <v>98257</v>
      </c>
      <c r="D54" s="194" t="s">
        <v>239</v>
      </c>
      <c r="E54" s="139"/>
      <c r="F54" s="139"/>
      <c r="H54" s="195"/>
      <c r="L54" s="136"/>
      <c r="U54" s="129">
        <v>50</v>
      </c>
      <c r="V54" s="198">
        <v>12.59</v>
      </c>
      <c r="W54" s="129">
        <v>15.129</v>
      </c>
      <c r="X54" s="129">
        <v>590</v>
      </c>
    </row>
    <row r="55" spans="1:24">
      <c r="A55" s="194" t="s">
        <v>240</v>
      </c>
      <c r="B55" s="200">
        <v>440826</v>
      </c>
      <c r="D55" s="194" t="s">
        <v>240</v>
      </c>
      <c r="E55" s="139"/>
      <c r="F55" s="139">
        <v>4779667</v>
      </c>
      <c r="G55" s="129">
        <v>30</v>
      </c>
      <c r="H55" s="195"/>
      <c r="L55" s="136"/>
      <c r="U55" s="129">
        <v>51</v>
      </c>
      <c r="V55" s="198">
        <v>15.13</v>
      </c>
      <c r="W55" s="129">
        <v>18.289000000000001</v>
      </c>
      <c r="X55" s="129">
        <v>570</v>
      </c>
    </row>
    <row r="56" spans="1:24">
      <c r="A56" s="194" t="s">
        <v>241</v>
      </c>
      <c r="B56" s="139">
        <v>1300350</v>
      </c>
      <c r="D56" s="194" t="s">
        <v>241</v>
      </c>
      <c r="E56" s="139"/>
      <c r="F56" s="139"/>
      <c r="H56" s="195"/>
      <c r="L56" s="136"/>
      <c r="U56" s="129">
        <v>52</v>
      </c>
      <c r="V56" s="198">
        <v>18.29</v>
      </c>
      <c r="X56" s="129">
        <v>550</v>
      </c>
    </row>
    <row r="57" spans="1:24">
      <c r="A57" s="194" t="s">
        <v>242</v>
      </c>
      <c r="B57" s="139">
        <v>300551</v>
      </c>
      <c r="D57" s="194" t="s">
        <v>242</v>
      </c>
      <c r="E57" s="139"/>
      <c r="F57" s="139"/>
      <c r="H57" s="195"/>
      <c r="L57" s="136"/>
    </row>
    <row r="58" spans="1:24">
      <c r="A58" s="194" t="s">
        <v>243</v>
      </c>
      <c r="B58" s="139">
        <v>520996</v>
      </c>
      <c r="D58" s="194" t="s">
        <v>243</v>
      </c>
      <c r="E58" s="139"/>
      <c r="F58" s="139"/>
      <c r="H58" s="195"/>
      <c r="L58" s="136"/>
    </row>
    <row r="59" spans="1:24">
      <c r="A59" s="194" t="s">
        <v>244</v>
      </c>
      <c r="B59" s="139">
        <v>656640</v>
      </c>
      <c r="D59" s="194" t="s">
        <v>244</v>
      </c>
      <c r="E59" s="139"/>
      <c r="F59" s="139"/>
      <c r="H59" s="195"/>
      <c r="L59" s="136"/>
    </row>
    <row r="60" spans="1:24">
      <c r="A60" s="194" t="s">
        <v>245</v>
      </c>
      <c r="B60" s="139">
        <v>846550</v>
      </c>
      <c r="D60" s="194" t="s">
        <v>245</v>
      </c>
      <c r="E60" s="139"/>
      <c r="F60" s="139"/>
      <c r="H60" s="195"/>
      <c r="L60" s="136"/>
    </row>
    <row r="61" spans="1:24">
      <c r="A61" s="194" t="s">
        <v>246</v>
      </c>
      <c r="B61" s="139">
        <v>643130</v>
      </c>
      <c r="D61" s="194" t="s">
        <v>246</v>
      </c>
      <c r="E61" s="139"/>
      <c r="F61" s="139">
        <v>8131658</v>
      </c>
      <c r="G61" s="129">
        <v>19</v>
      </c>
      <c r="H61" s="195"/>
      <c r="L61" s="136"/>
    </row>
    <row r="62" spans="1:24">
      <c r="A62" s="194" t="s">
        <v>247</v>
      </c>
      <c r="B62" s="139">
        <v>2265391</v>
      </c>
      <c r="D62" s="194" t="s">
        <v>247</v>
      </c>
      <c r="E62" s="139"/>
      <c r="F62" s="139"/>
      <c r="H62" s="195"/>
      <c r="L62" s="136"/>
    </row>
    <row r="63" spans="1:24">
      <c r="A63" s="194" t="s">
        <v>248</v>
      </c>
      <c r="B63" s="139">
        <v>442086</v>
      </c>
      <c r="D63" s="194" t="s">
        <v>248</v>
      </c>
      <c r="E63" s="139"/>
      <c r="F63" s="139"/>
      <c r="H63" s="195"/>
      <c r="L63" s="136"/>
    </row>
    <row r="64" spans="1:24">
      <c r="A64" s="194" t="s">
        <v>249</v>
      </c>
      <c r="B64" s="139">
        <v>481383</v>
      </c>
      <c r="D64" s="194" t="s">
        <v>249</v>
      </c>
      <c r="E64" s="139"/>
      <c r="F64" s="139"/>
      <c r="H64" s="195"/>
      <c r="L64" s="136"/>
    </row>
    <row r="65" spans="1:12">
      <c r="A65" s="194" t="s">
        <v>250</v>
      </c>
      <c r="B65" s="139">
        <v>3107792</v>
      </c>
      <c r="D65" s="194" t="s">
        <v>250</v>
      </c>
      <c r="E65" s="139"/>
      <c r="F65" s="139">
        <v>36809136</v>
      </c>
      <c r="G65" s="129">
        <v>19</v>
      </c>
      <c r="H65" s="195"/>
      <c r="L65" s="136"/>
    </row>
    <row r="66" spans="1:12">
      <c r="A66" s="194" t="s">
        <v>251</v>
      </c>
      <c r="B66" s="139">
        <v>586690</v>
      </c>
      <c r="D66" s="194" t="s">
        <v>251</v>
      </c>
      <c r="E66" s="139"/>
      <c r="F66" s="139"/>
      <c r="H66" s="195"/>
      <c r="L66" s="136"/>
    </row>
    <row r="67" spans="1:12">
      <c r="A67" s="194" t="s">
        <v>252</v>
      </c>
      <c r="B67" s="139">
        <v>254322</v>
      </c>
      <c r="D67" s="194" t="s">
        <v>252</v>
      </c>
      <c r="E67" s="139"/>
      <c r="F67" s="139"/>
      <c r="H67" s="195"/>
      <c r="L67" s="136"/>
    </row>
    <row r="68" spans="1:12">
      <c r="A68" s="194" t="s">
        <v>253</v>
      </c>
      <c r="B68" s="139">
        <v>442688</v>
      </c>
      <c r="D68" s="194" t="s">
        <v>253</v>
      </c>
      <c r="E68" s="139"/>
      <c r="F68" s="139"/>
      <c r="H68" s="195"/>
      <c r="L68" s="136"/>
    </row>
    <row r="69" spans="1:12">
      <c r="A69" s="194" t="s">
        <v>254</v>
      </c>
      <c r="B69" s="139">
        <v>1748337</v>
      </c>
      <c r="D69" s="194" t="s">
        <v>254</v>
      </c>
      <c r="E69" s="139"/>
      <c r="F69" s="139"/>
      <c r="H69" s="195"/>
      <c r="L69" s="136"/>
    </row>
    <row r="70" spans="1:12">
      <c r="A70" s="194" t="s">
        <v>255</v>
      </c>
      <c r="B70" s="139">
        <v>610724</v>
      </c>
      <c r="D70" s="194" t="s">
        <v>255</v>
      </c>
      <c r="E70" s="139"/>
      <c r="F70" s="139">
        <v>8467373</v>
      </c>
      <c r="G70" s="129">
        <v>26</v>
      </c>
      <c r="H70" s="195"/>
      <c r="L70" s="136"/>
    </row>
    <row r="71" spans="1:12">
      <c r="A71" s="194" t="s">
        <v>256</v>
      </c>
      <c r="B71" s="139">
        <v>39142041</v>
      </c>
      <c r="D71" s="194" t="s">
        <v>256</v>
      </c>
      <c r="E71" s="139"/>
      <c r="F71" s="139"/>
      <c r="H71" s="195"/>
      <c r="L71" s="136"/>
    </row>
    <row r="72" spans="1:12">
      <c r="A72" s="194" t="s">
        <v>257</v>
      </c>
      <c r="B72" s="139">
        <v>5092269</v>
      </c>
      <c r="D72" s="194" t="s">
        <v>257</v>
      </c>
      <c r="E72" s="139"/>
      <c r="F72" s="139"/>
      <c r="H72" s="195"/>
      <c r="L72" s="136"/>
    </row>
    <row r="73" spans="1:12">
      <c r="A73" s="194" t="s">
        <v>258</v>
      </c>
      <c r="B73" s="139">
        <v>4441727</v>
      </c>
      <c r="D73" s="194" t="s">
        <v>258</v>
      </c>
      <c r="E73" s="139"/>
      <c r="F73" s="139"/>
      <c r="H73" s="195"/>
      <c r="L73" s="136"/>
    </row>
    <row r="74" spans="1:12">
      <c r="A74" s="194" t="s">
        <v>259</v>
      </c>
      <c r="B74" s="139">
        <v>2337803</v>
      </c>
      <c r="D74" s="194" t="s">
        <v>259</v>
      </c>
      <c r="E74" s="139"/>
      <c r="F74" s="139"/>
      <c r="H74" s="195"/>
      <c r="L74" s="136"/>
    </row>
    <row r="75" spans="1:12">
      <c r="A75" s="194" t="s">
        <v>260</v>
      </c>
      <c r="B75" s="139">
        <v>1238221</v>
      </c>
      <c r="D75" s="194" t="s">
        <v>260</v>
      </c>
      <c r="E75" s="139"/>
      <c r="F75" s="139"/>
      <c r="H75" s="195"/>
      <c r="L75" s="136"/>
    </row>
    <row r="76" spans="1:12">
      <c r="A76" s="194" t="s">
        <v>261</v>
      </c>
      <c r="B76" s="139">
        <v>1100218</v>
      </c>
      <c r="D76" s="194" t="s">
        <v>261</v>
      </c>
      <c r="E76" s="139"/>
      <c r="F76" s="139">
        <v>9550685</v>
      </c>
      <c r="G76" s="129">
        <v>25</v>
      </c>
      <c r="H76" s="195"/>
      <c r="L76" s="136"/>
    </row>
    <row r="77" spans="1:12">
      <c r="A77" s="194" t="s">
        <v>262</v>
      </c>
      <c r="B77" s="139">
        <v>3914158</v>
      </c>
      <c r="D77" s="194" t="s">
        <v>262</v>
      </c>
      <c r="E77" s="139"/>
      <c r="F77" s="139"/>
      <c r="H77" s="195"/>
      <c r="L77" s="136"/>
    </row>
    <row r="78" spans="1:12">
      <c r="A78" s="194" t="s">
        <v>263</v>
      </c>
      <c r="B78" s="139">
        <v>5269645</v>
      </c>
      <c r="D78" s="194" t="s">
        <v>263</v>
      </c>
      <c r="E78" s="139"/>
      <c r="F78" s="139"/>
      <c r="H78" s="195"/>
      <c r="L78" s="136"/>
    </row>
    <row r="79" spans="1:12">
      <c r="A79" s="194" t="s">
        <v>264</v>
      </c>
      <c r="B79" s="139">
        <v>1668975</v>
      </c>
      <c r="D79" s="194" t="s">
        <v>264</v>
      </c>
      <c r="E79" s="139"/>
      <c r="F79" s="139"/>
      <c r="H79" s="195"/>
      <c r="L79" s="136"/>
    </row>
    <row r="80" spans="1:12">
      <c r="A80" s="194" t="s">
        <v>265</v>
      </c>
      <c r="B80" s="139">
        <v>640416</v>
      </c>
      <c r="D80" s="194" t="s">
        <v>265</v>
      </c>
      <c r="E80" s="139"/>
      <c r="F80" s="139"/>
      <c r="H80" s="195"/>
      <c r="L80" s="136"/>
    </row>
    <row r="81" spans="1:12">
      <c r="A81" s="194" t="s">
        <v>266</v>
      </c>
      <c r="B81" s="139">
        <v>218610</v>
      </c>
      <c r="D81" s="194" t="s">
        <v>266</v>
      </c>
      <c r="E81" s="139"/>
      <c r="F81" s="139"/>
      <c r="H81" s="195"/>
      <c r="L81" s="136"/>
    </row>
    <row r="82" spans="1:12">
      <c r="A82" s="194" t="s">
        <v>267</v>
      </c>
      <c r="B82" s="139">
        <v>444500</v>
      </c>
      <c r="D82" s="194" t="s">
        <v>267</v>
      </c>
      <c r="E82" s="139"/>
      <c r="F82" s="139">
        <v>3866371</v>
      </c>
      <c r="G82" s="129">
        <v>25</v>
      </c>
      <c r="H82" s="195"/>
      <c r="L82" s="136"/>
    </row>
    <row r="83" spans="1:12">
      <c r="A83" s="194" t="s">
        <v>268</v>
      </c>
      <c r="B83" s="139">
        <v>372425</v>
      </c>
      <c r="D83" s="194" t="s">
        <v>268</v>
      </c>
      <c r="E83" s="139"/>
      <c r="F83" s="139"/>
      <c r="H83" s="195"/>
      <c r="L83" s="136"/>
    </row>
    <row r="84" spans="1:12">
      <c r="A84" s="194" t="s">
        <v>269</v>
      </c>
      <c r="B84" s="139">
        <v>373480</v>
      </c>
      <c r="D84" s="194" t="s">
        <v>269</v>
      </c>
      <c r="E84" s="139"/>
      <c r="F84" s="139"/>
      <c r="H84" s="195"/>
      <c r="L84" s="136"/>
    </row>
    <row r="85" spans="1:12">
      <c r="A85" s="194" t="s">
        <v>270</v>
      </c>
      <c r="B85" s="200">
        <f>764106+60713</f>
        <v>824819</v>
      </c>
      <c r="D85" s="194" t="s">
        <v>270</v>
      </c>
      <c r="E85" s="139"/>
      <c r="F85" s="139"/>
      <c r="H85" s="195"/>
      <c r="L85" s="136"/>
    </row>
    <row r="86" spans="1:12">
      <c r="A86" s="194" t="s">
        <v>271</v>
      </c>
      <c r="B86" s="139">
        <v>508174</v>
      </c>
      <c r="D86" s="194" t="s">
        <v>271</v>
      </c>
      <c r="E86" s="139"/>
      <c r="F86" s="139"/>
      <c r="H86" s="195"/>
      <c r="L86" s="136"/>
    </row>
    <row r="87" spans="1:12">
      <c r="A87" s="194" t="s">
        <v>272</v>
      </c>
      <c r="B87" s="139">
        <v>121926</v>
      </c>
      <c r="D87" s="194" t="s">
        <v>272</v>
      </c>
      <c r="E87" s="139"/>
      <c r="F87" s="139"/>
      <c r="H87" s="195"/>
      <c r="L87" s="136"/>
    </row>
    <row r="88" spans="1:12">
      <c r="A88" s="194" t="s">
        <v>273</v>
      </c>
      <c r="B88" s="139">
        <v>452779</v>
      </c>
      <c r="D88" s="194" t="s">
        <v>273</v>
      </c>
      <c r="E88" s="139"/>
      <c r="F88" s="139"/>
      <c r="H88" s="195"/>
      <c r="L88" s="136"/>
    </row>
    <row r="89" spans="1:12">
      <c r="A89" s="194" t="s">
        <v>274</v>
      </c>
      <c r="B89" s="139">
        <v>544334</v>
      </c>
      <c r="D89" s="194" t="s">
        <v>274</v>
      </c>
      <c r="E89" s="139"/>
      <c r="F89" s="139"/>
      <c r="H89" s="195"/>
      <c r="L89" s="136"/>
    </row>
    <row r="90" spans="1:12">
      <c r="A90" s="194" t="s">
        <v>275</v>
      </c>
      <c r="B90" s="139">
        <v>299912</v>
      </c>
      <c r="D90" s="194" t="s">
        <v>275</v>
      </c>
      <c r="E90" s="139"/>
      <c r="F90" s="139"/>
      <c r="H90" s="195"/>
      <c r="L90" s="136"/>
    </row>
    <row r="91" spans="1:12">
      <c r="A91" s="194" t="s">
        <v>276</v>
      </c>
      <c r="B91" s="139">
        <v>443057</v>
      </c>
      <c r="D91" s="194" t="s">
        <v>276</v>
      </c>
      <c r="E91" s="139"/>
      <c r="F91" s="139"/>
      <c r="H91" s="195"/>
      <c r="L91" s="136"/>
    </row>
    <row r="92" spans="1:12">
      <c r="A92" s="194" t="s">
        <v>277</v>
      </c>
      <c r="B92" s="139">
        <v>122186</v>
      </c>
      <c r="D92" s="194" t="s">
        <v>277</v>
      </c>
      <c r="E92" s="139"/>
      <c r="F92" s="139">
        <v>1768080</v>
      </c>
      <c r="G92" s="129">
        <v>19</v>
      </c>
      <c r="H92" s="195"/>
      <c r="L92" s="136"/>
    </row>
    <row r="93" spans="1:12">
      <c r="A93" s="194" t="s">
        <v>278</v>
      </c>
      <c r="B93" s="139">
        <v>503240</v>
      </c>
      <c r="D93" s="194" t="s">
        <v>278</v>
      </c>
      <c r="E93" s="139"/>
      <c r="F93" s="139"/>
      <c r="H93" s="195"/>
      <c r="L93" s="136"/>
    </row>
    <row r="94" spans="1:12">
      <c r="A94" s="194" t="s">
        <v>279</v>
      </c>
      <c r="B94" s="139">
        <v>928124</v>
      </c>
      <c r="D94" s="194" t="s">
        <v>279</v>
      </c>
      <c r="E94" s="139"/>
      <c r="F94" s="139"/>
      <c r="H94" s="195"/>
      <c r="L94" s="136"/>
    </row>
    <row r="95" spans="1:12">
      <c r="A95" s="194" t="s">
        <v>280</v>
      </c>
      <c r="B95" s="139">
        <v>479646</v>
      </c>
      <c r="D95" s="194" t="s">
        <v>280</v>
      </c>
      <c r="E95" s="139"/>
      <c r="F95" s="139">
        <v>5564746</v>
      </c>
      <c r="G95" s="129">
        <v>20</v>
      </c>
      <c r="H95" s="195"/>
      <c r="L95" s="136"/>
    </row>
    <row r="96" spans="1:12">
      <c r="A96" s="194" t="s">
        <v>281</v>
      </c>
      <c r="B96" s="139">
        <v>787622</v>
      </c>
      <c r="D96" s="194" t="s">
        <v>281</v>
      </c>
      <c r="E96" s="139"/>
      <c r="F96" s="139"/>
      <c r="H96" s="195"/>
      <c r="L96" s="136"/>
    </row>
    <row r="97" spans="1:12">
      <c r="A97" s="194" t="s">
        <v>282</v>
      </c>
      <c r="B97" s="139">
        <v>1820815</v>
      </c>
      <c r="D97" s="194" t="s">
        <v>282</v>
      </c>
      <c r="E97" s="139"/>
      <c r="F97" s="139"/>
      <c r="H97" s="195"/>
      <c r="L97" s="136"/>
    </row>
    <row r="98" spans="1:12">
      <c r="A98" s="194" t="s">
        <v>283</v>
      </c>
      <c r="B98" s="139">
        <v>85263</v>
      </c>
      <c r="D98" s="194" t="s">
        <v>283</v>
      </c>
      <c r="E98" s="139"/>
      <c r="F98" s="139"/>
      <c r="H98" s="195"/>
      <c r="L98" s="136"/>
    </row>
    <row r="99" spans="1:12">
      <c r="A99" s="194" t="s">
        <v>284</v>
      </c>
      <c r="B99" s="139">
        <v>197465</v>
      </c>
      <c r="D99" s="194" t="s">
        <v>284</v>
      </c>
      <c r="E99" s="139"/>
      <c r="F99" s="139">
        <v>1497398</v>
      </c>
      <c r="G99" s="129">
        <v>16</v>
      </c>
      <c r="H99" s="195"/>
      <c r="L99" s="136"/>
    </row>
    <row r="100" spans="1:12">
      <c r="A100" s="194" t="s">
        <v>285</v>
      </c>
      <c r="B100" s="139">
        <v>368645</v>
      </c>
      <c r="D100" s="194" t="s">
        <v>285</v>
      </c>
      <c r="E100" s="139"/>
      <c r="F100" s="139"/>
      <c r="H100" s="195"/>
      <c r="L100" s="136"/>
    </row>
    <row r="101" spans="1:12">
      <c r="A101" s="194" t="s">
        <v>286</v>
      </c>
      <c r="B101" s="139">
        <v>336024</v>
      </c>
      <c r="D101" s="194" t="s">
        <v>286</v>
      </c>
      <c r="E101" s="139"/>
      <c r="F101" s="139"/>
      <c r="H101" s="195"/>
      <c r="L101" s="136"/>
    </row>
    <row r="102" spans="1:12">
      <c r="A102" s="194" t="s">
        <v>287</v>
      </c>
      <c r="B102" s="139">
        <v>211022</v>
      </c>
      <c r="D102" s="194" t="s">
        <v>287</v>
      </c>
      <c r="E102" s="139"/>
      <c r="F102" s="139"/>
      <c r="H102" s="195"/>
      <c r="L102" s="136"/>
    </row>
    <row r="103" spans="1:12">
      <c r="A103" s="194" t="s">
        <v>288</v>
      </c>
      <c r="B103" s="139">
        <v>375477</v>
      </c>
      <c r="D103" s="194" t="s">
        <v>288</v>
      </c>
      <c r="E103" s="139"/>
      <c r="F103" s="139"/>
      <c r="H103" s="195"/>
      <c r="L103" s="136"/>
    </row>
    <row r="104" spans="1:12">
      <c r="A104" s="194" t="s">
        <v>289</v>
      </c>
      <c r="B104" s="139">
        <v>152613</v>
      </c>
      <c r="D104" s="194" t="s">
        <v>289</v>
      </c>
      <c r="E104" s="139"/>
      <c r="F104" s="139">
        <v>2888458</v>
      </c>
      <c r="G104" s="129">
        <v>25</v>
      </c>
      <c r="H104" s="195"/>
      <c r="L104" s="136"/>
    </row>
    <row r="105" spans="1:12">
      <c r="A105" s="194" t="s">
        <v>290</v>
      </c>
      <c r="B105" s="139">
        <v>356029</v>
      </c>
      <c r="D105" s="194" t="s">
        <v>290</v>
      </c>
      <c r="E105" s="139"/>
      <c r="F105" s="139"/>
      <c r="H105" s="195"/>
      <c r="L105" s="136"/>
    </row>
    <row r="106" spans="1:12">
      <c r="A106" s="194" t="s">
        <v>291</v>
      </c>
      <c r="B106" s="139">
        <v>229741</v>
      </c>
      <c r="D106" s="194" t="s">
        <v>291</v>
      </c>
      <c r="E106" s="139"/>
      <c r="F106" s="139"/>
      <c r="H106" s="195"/>
      <c r="L106" s="136"/>
    </row>
    <row r="107" spans="1:12">
      <c r="A107" s="194" t="s">
        <v>292</v>
      </c>
      <c r="B107" s="139">
        <v>6968955</v>
      </c>
      <c r="D107" s="194" t="s">
        <v>292</v>
      </c>
      <c r="E107" s="139"/>
      <c r="F107" s="139"/>
      <c r="H107" s="195"/>
      <c r="L107" s="136"/>
    </row>
    <row r="108" spans="1:12">
      <c r="A108" s="194" t="s">
        <v>293</v>
      </c>
      <c r="B108" s="139">
        <v>603783</v>
      </c>
      <c r="D108" s="194" t="s">
        <v>293</v>
      </c>
      <c r="E108" s="139"/>
      <c r="F108" s="139"/>
      <c r="H108" s="195"/>
      <c r="L108" s="136"/>
    </row>
    <row r="109" spans="1:12">
      <c r="A109" s="194" t="s">
        <v>294</v>
      </c>
      <c r="B109" s="139">
        <v>410156</v>
      </c>
      <c r="D109" s="194" t="s">
        <v>294</v>
      </c>
      <c r="E109" s="139"/>
      <c r="F109" s="139"/>
      <c r="H109" s="195"/>
      <c r="L109" s="136"/>
    </row>
    <row r="110" spans="1:12">
      <c r="A110" s="194" t="s">
        <v>295</v>
      </c>
      <c r="B110" s="139">
        <v>3778404</v>
      </c>
      <c r="D110" s="194" t="s">
        <v>295</v>
      </c>
      <c r="E110" s="139"/>
      <c r="F110" s="139"/>
      <c r="H110" s="195"/>
      <c r="L110" s="136"/>
    </row>
    <row r="111" spans="1:12">
      <c r="A111" s="194" t="s">
        <v>296</v>
      </c>
      <c r="B111" s="139">
        <v>1185157</v>
      </c>
      <c r="D111" s="194" t="s">
        <v>296</v>
      </c>
      <c r="E111" s="139"/>
      <c r="F111" s="139"/>
      <c r="H111" s="195"/>
      <c r="L111" s="136"/>
    </row>
    <row r="112" spans="1:12">
      <c r="A112" s="194" t="s">
        <v>297</v>
      </c>
      <c r="B112" s="139">
        <v>385012</v>
      </c>
      <c r="D112" s="194" t="s">
        <v>297</v>
      </c>
      <c r="E112" s="139"/>
      <c r="F112" s="139"/>
      <c r="H112" s="195"/>
      <c r="L112" s="136"/>
    </row>
    <row r="113" spans="1:12">
      <c r="A113" s="194" t="s">
        <v>298</v>
      </c>
      <c r="B113" s="139">
        <v>255358</v>
      </c>
      <c r="D113" s="194" t="s">
        <v>298</v>
      </c>
      <c r="E113" s="139"/>
      <c r="F113" s="139"/>
      <c r="H113" s="195"/>
      <c r="L113" s="136"/>
    </row>
    <row r="114" spans="1:12">
      <c r="A114" s="194" t="s">
        <v>299</v>
      </c>
      <c r="B114" s="139">
        <v>984291</v>
      </c>
      <c r="D114" s="194" t="s">
        <v>299</v>
      </c>
      <c r="E114" s="139"/>
      <c r="F114" s="139"/>
      <c r="H114" s="195"/>
      <c r="L114" s="136"/>
    </row>
    <row r="115" spans="1:12">
      <c r="A115" s="194" t="s">
        <v>300</v>
      </c>
      <c r="B115" s="139">
        <v>2427444</v>
      </c>
      <c r="D115" s="194" t="s">
        <v>300</v>
      </c>
      <c r="E115" s="139"/>
      <c r="F115" s="139"/>
      <c r="H115" s="195"/>
      <c r="L115" s="136"/>
    </row>
    <row r="116" spans="1:12">
      <c r="A116" s="194" t="s">
        <v>301</v>
      </c>
      <c r="B116" s="139">
        <v>117129</v>
      </c>
      <c r="D116" s="194" t="s">
        <v>301</v>
      </c>
      <c r="E116" s="139"/>
      <c r="F116" s="139"/>
      <c r="H116" s="195"/>
      <c r="L116" s="136"/>
    </row>
    <row r="117" spans="1:12">
      <c r="A117" s="194" t="s">
        <v>302</v>
      </c>
      <c r="B117" s="139">
        <v>1046262</v>
      </c>
      <c r="D117" s="194" t="s">
        <v>302</v>
      </c>
      <c r="E117" s="139"/>
      <c r="F117" s="139"/>
      <c r="H117" s="195"/>
      <c r="L117" s="136"/>
    </row>
    <row r="118" spans="1:12">
      <c r="A118" s="194" t="s">
        <v>303</v>
      </c>
      <c r="B118" s="139">
        <v>341861</v>
      </c>
      <c r="D118" s="194" t="s">
        <v>303</v>
      </c>
      <c r="E118" s="139"/>
      <c r="F118" s="139">
        <v>2259072</v>
      </c>
      <c r="G118" s="129">
        <v>21</v>
      </c>
      <c r="H118" s="195"/>
      <c r="L118" s="136"/>
    </row>
    <row r="119" spans="1:12">
      <c r="A119" s="194" t="s">
        <v>304</v>
      </c>
      <c r="B119" s="139">
        <v>1364892</v>
      </c>
      <c r="D119" s="194" t="s">
        <v>304</v>
      </c>
      <c r="E119" s="139"/>
      <c r="H119" s="195"/>
      <c r="L119" s="136"/>
    </row>
    <row r="120" spans="1:12">
      <c r="A120" s="194" t="s">
        <v>305</v>
      </c>
      <c r="B120" s="139">
        <v>1389894</v>
      </c>
      <c r="D120" s="194" t="s">
        <v>305</v>
      </c>
      <c r="E120" s="139"/>
      <c r="F120" s="139"/>
      <c r="H120" s="195"/>
      <c r="L120" s="136"/>
    </row>
    <row r="121" spans="1:12">
      <c r="A121" s="194" t="s">
        <v>306</v>
      </c>
      <c r="B121" s="139">
        <v>278544</v>
      </c>
      <c r="D121" s="194" t="s">
        <v>306</v>
      </c>
      <c r="E121" s="139"/>
      <c r="F121" s="139"/>
      <c r="H121" s="195"/>
      <c r="L121" s="136"/>
    </row>
    <row r="122" spans="1:12">
      <c r="A122" s="194" t="s">
        <v>307</v>
      </c>
      <c r="B122" s="139">
        <v>889996</v>
      </c>
      <c r="D122" s="194" t="s">
        <v>307</v>
      </c>
      <c r="E122" s="139"/>
      <c r="F122" s="139"/>
      <c r="H122" s="195"/>
      <c r="L122" s="136"/>
    </row>
    <row r="123" spans="1:12">
      <c r="A123" s="194" t="s">
        <v>308</v>
      </c>
      <c r="B123" s="139">
        <v>757039</v>
      </c>
      <c r="D123" s="194" t="s">
        <v>308</v>
      </c>
      <c r="E123" s="139"/>
      <c r="F123" s="139">
        <v>5615117</v>
      </c>
      <c r="G123" s="129">
        <v>16</v>
      </c>
      <c r="H123" s="195"/>
      <c r="L123" s="136"/>
    </row>
    <row r="124" spans="1:12">
      <c r="A124" s="194" t="s">
        <v>309</v>
      </c>
      <c r="B124" s="139">
        <v>216525</v>
      </c>
      <c r="D124" s="194" t="s">
        <v>309</v>
      </c>
      <c r="E124" s="139"/>
      <c r="F124" s="139"/>
      <c r="H124" s="195"/>
      <c r="L124" s="136"/>
    </row>
    <row r="125" spans="1:12">
      <c r="A125" s="194" t="s">
        <v>310</v>
      </c>
      <c r="B125" s="139">
        <v>519523</v>
      </c>
      <c r="D125" s="194" t="s">
        <v>310</v>
      </c>
      <c r="E125" s="139"/>
      <c r="F125" s="139"/>
      <c r="H125" s="195"/>
      <c r="L125" s="136"/>
    </row>
    <row r="126" spans="1:12">
      <c r="A126" s="194" t="s">
        <v>311</v>
      </c>
      <c r="B126" s="139">
        <v>536962</v>
      </c>
      <c r="D126" s="194" t="s">
        <v>311</v>
      </c>
      <c r="E126" s="139"/>
      <c r="F126" s="139"/>
      <c r="H126" s="195"/>
      <c r="L126" s="136"/>
    </row>
    <row r="127" spans="1:12">
      <c r="A127" s="194" t="s">
        <v>312</v>
      </c>
      <c r="B127" s="139">
        <v>659639</v>
      </c>
      <c r="D127" s="194" t="s">
        <v>312</v>
      </c>
      <c r="E127" s="139"/>
      <c r="F127" s="139"/>
      <c r="H127" s="195"/>
      <c r="L127" s="136"/>
    </row>
    <row r="128" spans="1:12">
      <c r="A128" s="194" t="s">
        <v>313</v>
      </c>
      <c r="B128" s="139">
        <v>1192582</v>
      </c>
      <c r="D128" s="194" t="s">
        <v>313</v>
      </c>
      <c r="E128" s="139"/>
      <c r="F128" s="139"/>
      <c r="H128" s="195"/>
      <c r="L128" s="136"/>
    </row>
    <row r="129" spans="1:12">
      <c r="A129" s="194" t="s">
        <v>314</v>
      </c>
      <c r="B129" s="139">
        <v>242816</v>
      </c>
      <c r="D129" s="194" t="s">
        <v>314</v>
      </c>
      <c r="E129" s="139"/>
      <c r="F129" s="139"/>
      <c r="H129" s="195"/>
      <c r="L129" s="136"/>
    </row>
    <row r="130" spans="1:12">
      <c r="A130" s="194" t="s">
        <v>315</v>
      </c>
      <c r="B130" s="139">
        <v>1174790</v>
      </c>
      <c r="D130" s="194" t="s">
        <v>315</v>
      </c>
      <c r="E130" s="139"/>
      <c r="F130" s="139"/>
      <c r="H130" s="195"/>
      <c r="L130" s="136"/>
    </row>
    <row r="131" spans="1:12">
      <c r="A131" s="194" t="s">
        <v>316</v>
      </c>
      <c r="B131" s="139">
        <v>322301</v>
      </c>
      <c r="D131" s="194" t="s">
        <v>316</v>
      </c>
      <c r="E131" s="139"/>
      <c r="F131" s="139"/>
      <c r="H131" s="195"/>
      <c r="L131" s="136"/>
    </row>
    <row r="132" spans="1:12">
      <c r="A132" s="194" t="s">
        <v>317</v>
      </c>
      <c r="B132" s="139">
        <v>300689</v>
      </c>
      <c r="D132" s="194" t="s">
        <v>317</v>
      </c>
      <c r="E132" s="139"/>
      <c r="F132" s="139"/>
      <c r="H132" s="195"/>
      <c r="L132" s="136"/>
    </row>
    <row r="133" spans="1:12">
      <c r="A133" s="194" t="s">
        <v>318</v>
      </c>
      <c r="B133" s="139">
        <v>991198</v>
      </c>
      <c r="D133" s="194" t="s">
        <v>318</v>
      </c>
      <c r="E133" s="139"/>
      <c r="F133" s="139"/>
      <c r="H133" s="195"/>
      <c r="L133" s="136"/>
    </row>
    <row r="134" spans="1:12">
      <c r="A134" s="194" t="s">
        <v>319</v>
      </c>
      <c r="B134" s="139">
        <v>943887</v>
      </c>
      <c r="D134" s="194" t="s">
        <v>319</v>
      </c>
      <c r="E134" s="139"/>
      <c r="F134" s="139">
        <v>8094506</v>
      </c>
      <c r="G134" s="129">
        <v>8</v>
      </c>
      <c r="H134" s="195"/>
      <c r="L134" s="136"/>
    </row>
    <row r="135" spans="1:12">
      <c r="A135" s="194" t="s">
        <v>320</v>
      </c>
      <c r="B135" s="139">
        <v>430778</v>
      </c>
      <c r="D135" s="194" t="s">
        <v>320</v>
      </c>
      <c r="E135" s="139"/>
      <c r="F135" s="139"/>
      <c r="H135" s="195"/>
      <c r="L135" s="136"/>
    </row>
    <row r="136" spans="1:12">
      <c r="A136" s="194" t="s">
        <v>321</v>
      </c>
      <c r="B136" s="139">
        <v>513194</v>
      </c>
      <c r="D136" s="194" t="s">
        <v>321</v>
      </c>
      <c r="E136" s="139"/>
      <c r="F136" s="139"/>
      <c r="H136" s="195"/>
      <c r="L136" s="136"/>
    </row>
    <row r="137" spans="1:12">
      <c r="A137" s="194" t="s">
        <v>322</v>
      </c>
      <c r="B137" s="139">
        <v>949082</v>
      </c>
      <c r="D137" s="194" t="s">
        <v>322</v>
      </c>
      <c r="E137" s="139"/>
      <c r="F137" s="139">
        <v>12600932</v>
      </c>
      <c r="G137" s="129">
        <v>9</v>
      </c>
      <c r="H137" s="195"/>
      <c r="L137" s="136"/>
    </row>
    <row r="138" spans="1:12">
      <c r="A138" s="194" t="s">
        <v>323</v>
      </c>
      <c r="B138" s="139">
        <v>778649</v>
      </c>
      <c r="D138" s="194" t="s">
        <v>323</v>
      </c>
      <c r="E138" s="139"/>
      <c r="F138" s="139"/>
      <c r="H138" s="195"/>
      <c r="L138" s="136"/>
    </row>
    <row r="139" spans="1:12">
      <c r="A139" s="194" t="s">
        <v>324</v>
      </c>
      <c r="B139" s="139">
        <v>653028</v>
      </c>
      <c r="D139" s="194" t="s">
        <v>324</v>
      </c>
      <c r="E139" s="139"/>
      <c r="F139" s="139"/>
      <c r="H139" s="195"/>
      <c r="L139" s="136"/>
    </row>
    <row r="140" spans="1:12">
      <c r="A140" s="194" t="s">
        <v>325</v>
      </c>
      <c r="B140" s="139">
        <v>979752</v>
      </c>
      <c r="D140" s="194" t="s">
        <v>325</v>
      </c>
      <c r="E140" s="139"/>
      <c r="F140" s="139"/>
      <c r="H140" s="195"/>
      <c r="L140" s="136"/>
    </row>
    <row r="141" spans="1:12">
      <c r="A141" s="194" t="s">
        <v>326</v>
      </c>
      <c r="B141" s="139">
        <v>215399</v>
      </c>
      <c r="D141" s="194" t="s">
        <v>326</v>
      </c>
      <c r="E141" s="139"/>
      <c r="F141" s="139"/>
      <c r="H141" s="195"/>
      <c r="L141" s="136"/>
    </row>
    <row r="142" spans="1:12">
      <c r="A142" s="194" t="s">
        <v>327</v>
      </c>
      <c r="B142" s="139">
        <v>3447701</v>
      </c>
      <c r="D142" s="194" t="s">
        <v>327</v>
      </c>
      <c r="E142" s="139"/>
      <c r="F142" s="139"/>
      <c r="H142" s="195"/>
      <c r="L142" s="136"/>
    </row>
    <row r="143" spans="1:12">
      <c r="A143" s="194" t="s">
        <v>328</v>
      </c>
      <c r="B143" s="139">
        <v>487029</v>
      </c>
      <c r="D143" s="194" t="s">
        <v>328</v>
      </c>
      <c r="E143" s="139"/>
      <c r="F143" s="139"/>
      <c r="H143" s="195"/>
      <c r="L143" s="136"/>
    </row>
    <row r="144" spans="1:12">
      <c r="A144" s="194" t="s">
        <v>329</v>
      </c>
      <c r="B144" s="139">
        <v>388779</v>
      </c>
      <c r="D144" s="194" t="s">
        <v>329</v>
      </c>
      <c r="E144" s="139"/>
      <c r="F144" s="139"/>
      <c r="H144" s="195"/>
      <c r="L144" s="136"/>
    </row>
    <row r="145" spans="1:12">
      <c r="A145" s="194" t="s">
        <v>330</v>
      </c>
      <c r="B145" s="139">
        <v>1163351</v>
      </c>
      <c r="D145" s="194" t="s">
        <v>330</v>
      </c>
      <c r="E145" s="139"/>
      <c r="F145" s="139">
        <v>10679939</v>
      </c>
      <c r="G145" s="129">
        <v>15</v>
      </c>
      <c r="H145" s="195"/>
      <c r="L145" s="136"/>
    </row>
    <row r="146" spans="1:12">
      <c r="A146" s="194" t="s">
        <v>331</v>
      </c>
      <c r="B146" s="139">
        <v>271072</v>
      </c>
      <c r="D146" s="194" t="s">
        <v>331</v>
      </c>
      <c r="E146" s="139"/>
      <c r="F146" s="139">
        <v>2960707</v>
      </c>
      <c r="G146" s="129">
        <v>29</v>
      </c>
      <c r="H146" s="195"/>
      <c r="L146" s="136"/>
    </row>
    <row r="147" spans="1:12">
      <c r="A147" s="194" t="s">
        <v>332</v>
      </c>
      <c r="B147" s="139">
        <v>393541</v>
      </c>
      <c r="D147" s="194" t="s">
        <v>332</v>
      </c>
      <c r="E147" s="139"/>
      <c r="F147" s="139"/>
      <c r="H147" s="195"/>
      <c r="L147" s="136"/>
    </row>
    <row r="148" spans="1:12">
      <c r="A148" s="194" t="s">
        <v>333</v>
      </c>
      <c r="B148" s="139">
        <v>308335</v>
      </c>
      <c r="D148" s="194" t="s">
        <v>333</v>
      </c>
      <c r="E148" s="139"/>
      <c r="F148" s="139"/>
      <c r="H148" s="195"/>
      <c r="L148" s="136"/>
    </row>
    <row r="149" spans="1:12">
      <c r="A149" s="194" t="s">
        <v>334</v>
      </c>
      <c r="B149" s="139">
        <v>840606</v>
      </c>
      <c r="D149" s="194" t="s">
        <v>334</v>
      </c>
      <c r="E149" s="139"/>
      <c r="F149" s="139"/>
      <c r="H149" s="195"/>
      <c r="L149" s="136"/>
    </row>
    <row r="150" spans="1:12">
      <c r="A150" s="194" t="s">
        <v>335</v>
      </c>
      <c r="B150" s="139">
        <v>1855849</v>
      </c>
      <c r="D150" s="194" t="s">
        <v>335</v>
      </c>
      <c r="E150" s="139"/>
      <c r="F150" s="139"/>
      <c r="H150" s="195"/>
      <c r="L150" s="136"/>
    </row>
    <row r="151" spans="1:12">
      <c r="A151" s="194" t="s">
        <v>336</v>
      </c>
      <c r="B151" s="139">
        <v>443078</v>
      </c>
      <c r="D151" s="194" t="s">
        <v>336</v>
      </c>
      <c r="E151" s="139"/>
      <c r="F151" s="139"/>
      <c r="H151" s="195"/>
      <c r="L151" s="136"/>
    </row>
    <row r="152" spans="1:12">
      <c r="A152" s="194" t="s">
        <v>337</v>
      </c>
      <c r="B152" s="139">
        <v>511282</v>
      </c>
      <c r="D152" s="194" t="s">
        <v>337</v>
      </c>
      <c r="E152" s="139"/>
      <c r="F152" s="139"/>
      <c r="H152" s="195"/>
      <c r="L152" s="136"/>
    </row>
    <row r="153" spans="1:12">
      <c r="A153" s="194" t="s">
        <v>338</v>
      </c>
      <c r="B153" s="139">
        <v>945653</v>
      </c>
      <c r="D153" s="194" t="s">
        <v>338</v>
      </c>
      <c r="E153" s="139"/>
      <c r="F153" s="139"/>
      <c r="H153" s="195"/>
      <c r="L153" s="136"/>
    </row>
    <row r="154" spans="1:12">
      <c r="A154" s="194" t="s">
        <v>339</v>
      </c>
      <c r="B154" s="139">
        <v>489876</v>
      </c>
      <c r="D154" s="194" t="s">
        <v>339</v>
      </c>
      <c r="E154" s="139"/>
      <c r="F154" s="139"/>
      <c r="H154" s="195"/>
      <c r="L154" s="136"/>
    </row>
    <row r="155" spans="1:12">
      <c r="A155" s="194" t="s">
        <v>340</v>
      </c>
      <c r="B155" s="139">
        <v>242767</v>
      </c>
      <c r="D155" s="194" t="s">
        <v>340</v>
      </c>
      <c r="E155" s="139"/>
      <c r="F155" s="139"/>
      <c r="H155" s="195"/>
      <c r="L155" s="136"/>
    </row>
    <row r="156" spans="1:12">
      <c r="A156" s="194" t="s">
        <v>341</v>
      </c>
      <c r="B156" s="139">
        <v>317974</v>
      </c>
      <c r="D156" s="194" t="s">
        <v>341</v>
      </c>
      <c r="E156" s="139"/>
      <c r="F156" s="139"/>
      <c r="H156" s="195"/>
      <c r="L156" s="136"/>
    </row>
    <row r="157" spans="1:12">
      <c r="A157" s="194" t="s">
        <v>342</v>
      </c>
      <c r="B157" s="139">
        <v>953494</v>
      </c>
      <c r="D157" s="194" t="s">
        <v>342</v>
      </c>
      <c r="E157" s="139"/>
      <c r="F157" s="139">
        <v>8645685</v>
      </c>
      <c r="G157" s="129">
        <v>16</v>
      </c>
      <c r="H157" s="195"/>
      <c r="L157" s="136"/>
    </row>
    <row r="158" spans="1:12">
      <c r="A158" s="194" t="s">
        <v>343</v>
      </c>
      <c r="B158" s="139">
        <v>1412645</v>
      </c>
      <c r="D158" s="194" t="s">
        <v>343</v>
      </c>
      <c r="E158" s="139"/>
      <c r="F158" s="139"/>
      <c r="H158" s="195"/>
      <c r="L158" s="136"/>
    </row>
    <row r="159" spans="1:12">
      <c r="A159" s="194" t="s">
        <v>344</v>
      </c>
      <c r="B159" s="139">
        <v>529925</v>
      </c>
      <c r="D159" s="194" t="s">
        <v>344</v>
      </c>
      <c r="E159" s="139"/>
      <c r="F159" s="139"/>
      <c r="H159" s="195"/>
      <c r="L159" s="136"/>
    </row>
    <row r="160" spans="1:12">
      <c r="A160" s="194" t="s">
        <v>345</v>
      </c>
      <c r="B160" s="139">
        <v>863551</v>
      </c>
      <c r="D160" s="194" t="s">
        <v>345</v>
      </c>
      <c r="E160" s="139"/>
      <c r="F160" s="139"/>
      <c r="H160" s="195"/>
      <c r="L160" s="136"/>
    </row>
    <row r="161" spans="1:12">
      <c r="A161" s="194" t="s">
        <v>346</v>
      </c>
      <c r="B161" s="139">
        <v>918984</v>
      </c>
      <c r="D161" s="194" t="s">
        <v>346</v>
      </c>
      <c r="E161" s="139"/>
      <c r="F161" s="139"/>
      <c r="H161" s="195"/>
      <c r="L161" s="136"/>
    </row>
    <row r="162" spans="1:12">
      <c r="A162" s="194" t="s">
        <v>347</v>
      </c>
      <c r="B162" s="139">
        <v>550054</v>
      </c>
      <c r="D162" s="194" t="s">
        <v>347</v>
      </c>
      <c r="E162" s="139"/>
      <c r="F162" s="139">
        <v>4275426</v>
      </c>
      <c r="G162" s="129">
        <v>19</v>
      </c>
      <c r="H162" s="195"/>
      <c r="L162" s="136"/>
    </row>
    <row r="163" spans="1:12">
      <c r="A163" s="194" t="s">
        <v>348</v>
      </c>
      <c r="B163" s="139">
        <v>1467129</v>
      </c>
      <c r="D163" s="194" t="s">
        <v>348</v>
      </c>
      <c r="E163" s="139"/>
      <c r="F163" s="139"/>
      <c r="H163" s="195"/>
      <c r="L163" s="136"/>
    </row>
    <row r="164" spans="1:12">
      <c r="A164" s="194" t="s">
        <v>349</v>
      </c>
      <c r="B164" s="139">
        <v>1671914</v>
      </c>
      <c r="D164" s="194" t="s">
        <v>349</v>
      </c>
      <c r="E164" s="139"/>
      <c r="F164" s="139"/>
      <c r="H164" s="195"/>
      <c r="L164" s="136"/>
    </row>
    <row r="165" spans="1:12">
      <c r="A165" s="194" t="s">
        <v>350</v>
      </c>
      <c r="B165" s="139">
        <v>209309</v>
      </c>
      <c r="D165" s="194" t="s">
        <v>350</v>
      </c>
      <c r="E165" s="139"/>
      <c r="F165" s="139"/>
      <c r="H165" s="195"/>
      <c r="L165" s="136"/>
    </row>
    <row r="166" spans="1:12">
      <c r="A166" s="194" t="s">
        <v>351</v>
      </c>
      <c r="B166" s="139">
        <v>157284</v>
      </c>
      <c r="D166" s="194" t="s">
        <v>351</v>
      </c>
      <c r="E166" s="139"/>
      <c r="F166" s="139"/>
      <c r="H166" s="195"/>
      <c r="L166" s="136"/>
    </row>
    <row r="167" spans="1:12">
      <c r="A167" s="194" t="s">
        <v>352</v>
      </c>
      <c r="B167" s="139">
        <v>620221</v>
      </c>
      <c r="D167" s="194" t="s">
        <v>352</v>
      </c>
      <c r="E167" s="139"/>
      <c r="F167" s="139"/>
      <c r="H167" s="195"/>
      <c r="L167" s="136"/>
    </row>
    <row r="168" spans="1:12">
      <c r="A168" s="194" t="s">
        <v>353</v>
      </c>
      <c r="B168" s="139">
        <v>3030773</v>
      </c>
      <c r="D168" s="194" t="s">
        <v>353</v>
      </c>
      <c r="E168" s="139"/>
      <c r="F168" s="139"/>
      <c r="H168" s="195"/>
      <c r="L168" s="136"/>
    </row>
    <row r="169" spans="1:12">
      <c r="A169" s="194" t="s">
        <v>354</v>
      </c>
      <c r="B169" s="139">
        <v>311042</v>
      </c>
      <c r="D169" s="194" t="s">
        <v>354</v>
      </c>
      <c r="E169" s="139"/>
      <c r="F169" s="139"/>
      <c r="H169" s="195"/>
      <c r="L169" s="136"/>
    </row>
    <row r="170" spans="1:12">
      <c r="A170" s="194" t="s">
        <v>355</v>
      </c>
      <c r="B170" s="139">
        <v>1237181</v>
      </c>
      <c r="D170" s="194" t="s">
        <v>355</v>
      </c>
      <c r="E170" s="139"/>
      <c r="F170" s="139">
        <v>14784014</v>
      </c>
      <c r="G170" s="129">
        <v>25</v>
      </c>
      <c r="H170" s="195"/>
      <c r="L170" s="136"/>
    </row>
    <row r="171" spans="1:12">
      <c r="A171" s="194" t="s">
        <v>356</v>
      </c>
      <c r="B171" s="139">
        <v>610570</v>
      </c>
      <c r="D171" s="194" t="s">
        <v>356</v>
      </c>
      <c r="E171" s="139"/>
      <c r="F171" s="139"/>
      <c r="H171" s="195"/>
      <c r="L171" s="136"/>
    </row>
    <row r="172" spans="1:12">
      <c r="A172" s="194" t="s">
        <v>357</v>
      </c>
      <c r="B172" s="139">
        <v>870652</v>
      </c>
      <c r="D172" s="194" t="s">
        <v>357</v>
      </c>
      <c r="E172" s="139"/>
      <c r="F172" s="139"/>
      <c r="H172" s="195"/>
      <c r="L172" s="136"/>
    </row>
    <row r="173" spans="1:12">
      <c r="A173" s="194" t="s">
        <v>358</v>
      </c>
      <c r="B173" s="139">
        <v>682551</v>
      </c>
      <c r="D173" s="194" t="s">
        <v>358</v>
      </c>
      <c r="E173" s="139"/>
      <c r="F173" s="139"/>
      <c r="H173" s="195"/>
      <c r="L173" s="136"/>
    </row>
    <row r="174" spans="1:12">
      <c r="A174" s="194" t="s">
        <v>359</v>
      </c>
      <c r="B174" s="139">
        <v>1199396</v>
      </c>
      <c r="D174" s="194" t="s">
        <v>359</v>
      </c>
      <c r="E174" s="139"/>
      <c r="F174" s="139">
        <v>10960061</v>
      </c>
      <c r="G174" s="129">
        <v>8</v>
      </c>
      <c r="H174" s="195"/>
      <c r="L174" s="136"/>
    </row>
    <row r="175" spans="1:12">
      <c r="A175" s="194" t="s">
        <v>360</v>
      </c>
      <c r="B175" s="139">
        <v>381367</v>
      </c>
      <c r="D175" s="194" t="s">
        <v>360</v>
      </c>
      <c r="E175" s="139"/>
      <c r="F175" s="139"/>
      <c r="H175" s="195"/>
      <c r="L175" s="136"/>
    </row>
    <row r="176" spans="1:12">
      <c r="A176" s="194" t="s">
        <v>361</v>
      </c>
      <c r="B176" s="139">
        <v>294126</v>
      </c>
      <c r="D176" s="194" t="s">
        <v>361</v>
      </c>
      <c r="E176" s="139"/>
      <c r="F176" s="139">
        <v>3142858</v>
      </c>
      <c r="G176" s="129">
        <v>21</v>
      </c>
      <c r="H176" s="195"/>
      <c r="L176" s="136"/>
    </row>
    <row r="177" spans="1:12">
      <c r="A177" s="194" t="s">
        <v>362</v>
      </c>
      <c r="B177" s="139">
        <v>1113369</v>
      </c>
      <c r="D177" s="194" t="s">
        <v>362</v>
      </c>
      <c r="E177" s="139"/>
      <c r="F177" s="139">
        <v>10565789</v>
      </c>
      <c r="G177" s="129">
        <v>21</v>
      </c>
      <c r="H177" s="195"/>
      <c r="L177" s="136"/>
    </row>
    <row r="178" spans="1:12">
      <c r="A178" s="194" t="s">
        <v>363</v>
      </c>
      <c r="B178" s="139">
        <v>5959414</v>
      </c>
      <c r="D178" s="194" t="s">
        <v>363</v>
      </c>
      <c r="E178" s="139"/>
      <c r="F178" s="139">
        <v>54872386</v>
      </c>
      <c r="G178" s="129">
        <v>14</v>
      </c>
      <c r="H178" s="195"/>
      <c r="L178" s="136"/>
    </row>
    <row r="179" spans="1:12">
      <c r="A179" s="194" t="s">
        <v>364</v>
      </c>
      <c r="B179" s="139">
        <v>285953</v>
      </c>
      <c r="D179" s="194" t="s">
        <v>364</v>
      </c>
      <c r="E179" s="139"/>
      <c r="F179" s="139"/>
      <c r="H179" s="195"/>
      <c r="L179" s="136"/>
    </row>
    <row r="180" spans="1:12">
      <c r="A180" s="194" t="s">
        <v>365</v>
      </c>
      <c r="B180" s="139">
        <v>3115951</v>
      </c>
      <c r="D180" s="194" t="s">
        <v>365</v>
      </c>
      <c r="E180" s="139"/>
      <c r="F180" s="139"/>
      <c r="H180" s="195"/>
      <c r="L180" s="136"/>
    </row>
    <row r="181" spans="1:12">
      <c r="A181" s="194" t="s">
        <v>366</v>
      </c>
      <c r="B181" s="139">
        <v>254392</v>
      </c>
      <c r="D181" s="194" t="s">
        <v>366</v>
      </c>
      <c r="E181" s="139"/>
      <c r="F181" s="139"/>
      <c r="H181" s="195"/>
      <c r="L181" s="136"/>
    </row>
    <row r="182" spans="1:12">
      <c r="A182" s="194" t="s">
        <v>367</v>
      </c>
      <c r="B182" s="139">
        <v>266166</v>
      </c>
      <c r="D182" s="194" t="s">
        <v>367</v>
      </c>
      <c r="E182" s="139"/>
      <c r="F182" s="139"/>
      <c r="H182" s="195"/>
      <c r="L182" s="136"/>
    </row>
    <row r="183" spans="1:12">
      <c r="A183" s="194" t="s">
        <v>368</v>
      </c>
      <c r="B183" s="139">
        <v>382482</v>
      </c>
      <c r="D183" s="194" t="s">
        <v>368</v>
      </c>
      <c r="E183" s="139"/>
      <c r="F183" s="139"/>
      <c r="H183" s="195"/>
      <c r="L183" s="136"/>
    </row>
    <row r="184" spans="1:12">
      <c r="A184" s="194" t="s">
        <v>369</v>
      </c>
      <c r="B184" s="139">
        <v>562510</v>
      </c>
      <c r="D184" s="194" t="s">
        <v>369</v>
      </c>
      <c r="E184" s="139"/>
      <c r="F184" s="139">
        <v>5994606</v>
      </c>
      <c r="G184" s="129">
        <v>23</v>
      </c>
      <c r="H184" s="195"/>
      <c r="L184" s="136"/>
    </row>
    <row r="185" spans="1:12">
      <c r="A185" s="194" t="s">
        <v>370</v>
      </c>
      <c r="B185" s="139">
        <v>135051</v>
      </c>
      <c r="D185" s="194" t="s">
        <v>370</v>
      </c>
      <c r="E185" s="139"/>
      <c r="F185" s="139"/>
      <c r="H185" s="195"/>
      <c r="L185" s="136"/>
    </row>
    <row r="186" spans="1:12">
      <c r="A186" s="194" t="s">
        <v>371</v>
      </c>
      <c r="B186" s="139">
        <v>395888</v>
      </c>
      <c r="D186" s="194" t="s">
        <v>371</v>
      </c>
      <c r="E186" s="139"/>
      <c r="F186" s="139">
        <v>3532090</v>
      </c>
      <c r="G186" s="129">
        <v>25</v>
      </c>
      <c r="H186" s="195"/>
      <c r="L186" s="136"/>
    </row>
    <row r="187" spans="1:12">
      <c r="A187" s="194" t="s">
        <v>372</v>
      </c>
      <c r="B187" s="139">
        <v>363948</v>
      </c>
      <c r="D187" s="194" t="s">
        <v>372</v>
      </c>
      <c r="E187" s="139"/>
      <c r="F187" s="139"/>
      <c r="H187" s="195"/>
      <c r="L187" s="136"/>
    </row>
    <row r="188" spans="1:12">
      <c r="A188" s="194" t="s">
        <v>373</v>
      </c>
      <c r="B188" s="139">
        <v>1297380</v>
      </c>
      <c r="D188" s="194" t="s">
        <v>373</v>
      </c>
      <c r="E188" s="139"/>
      <c r="F188" s="139"/>
      <c r="H188" s="195"/>
      <c r="L188" s="136"/>
    </row>
    <row r="189" spans="1:12">
      <c r="A189" s="194" t="s">
        <v>374</v>
      </c>
      <c r="B189" s="139">
        <v>365920</v>
      </c>
      <c r="D189" s="194" t="s">
        <v>374</v>
      </c>
      <c r="E189" s="139"/>
      <c r="F189" s="139"/>
      <c r="H189" s="195"/>
      <c r="L189" s="136"/>
    </row>
    <row r="190" spans="1:12">
      <c r="A190" s="194" t="s">
        <v>375</v>
      </c>
      <c r="B190" s="139">
        <v>745599</v>
      </c>
      <c r="D190" s="194" t="s">
        <v>375</v>
      </c>
      <c r="E190" s="139"/>
      <c r="F190" s="139"/>
      <c r="H190" s="195"/>
      <c r="L190" s="136"/>
    </row>
    <row r="191" spans="1:12">
      <c r="A191" s="194" t="s">
        <v>376</v>
      </c>
      <c r="B191" s="139">
        <v>311503</v>
      </c>
      <c r="D191" s="194" t="s">
        <v>376</v>
      </c>
      <c r="E191" s="139"/>
      <c r="F191" s="139">
        <v>3759913</v>
      </c>
      <c r="G191" s="129">
        <v>15</v>
      </c>
      <c r="H191" s="195"/>
      <c r="L191" s="136"/>
    </row>
    <row r="192" spans="1:12">
      <c r="A192" s="194" t="s">
        <v>377</v>
      </c>
      <c r="B192" s="139">
        <v>429491</v>
      </c>
      <c r="D192" s="194" t="s">
        <v>377</v>
      </c>
      <c r="E192" s="139"/>
      <c r="F192" s="139"/>
      <c r="H192" s="195"/>
      <c r="L192" s="136"/>
    </row>
    <row r="193" spans="1:12">
      <c r="A193" s="194" t="s">
        <v>378</v>
      </c>
      <c r="B193" s="139">
        <v>173570</v>
      </c>
      <c r="D193" s="194" t="s">
        <v>378</v>
      </c>
      <c r="E193" s="139"/>
      <c r="F193" s="139"/>
      <c r="H193" s="195"/>
      <c r="L193" s="136"/>
    </row>
    <row r="194" spans="1:12">
      <c r="A194" s="194" t="s">
        <v>379</v>
      </c>
      <c r="B194" s="139">
        <v>934526</v>
      </c>
      <c r="D194" s="194" t="s">
        <v>379</v>
      </c>
      <c r="E194" s="139"/>
      <c r="F194" s="139"/>
      <c r="H194" s="195"/>
      <c r="L194" s="136"/>
    </row>
    <row r="195" spans="1:12">
      <c r="A195" s="194" t="s">
        <v>380</v>
      </c>
      <c r="B195" s="139">
        <v>145015</v>
      </c>
      <c r="D195" s="194" t="s">
        <v>380</v>
      </c>
      <c r="E195" s="139"/>
      <c r="F195" s="139"/>
      <c r="H195" s="195"/>
      <c r="L195" s="136"/>
    </row>
    <row r="196" spans="1:12">
      <c r="A196" s="194" t="s">
        <v>381</v>
      </c>
      <c r="B196" s="139">
        <v>1657128</v>
      </c>
      <c r="D196" s="194" t="s">
        <v>381</v>
      </c>
      <c r="E196" s="139"/>
      <c r="F196" s="139"/>
      <c r="H196" s="195"/>
      <c r="L196" s="136"/>
    </row>
    <row r="197" spans="1:12">
      <c r="A197" s="194" t="s">
        <v>382</v>
      </c>
      <c r="B197" s="139">
        <v>252027</v>
      </c>
      <c r="D197" s="194" t="s">
        <v>382</v>
      </c>
      <c r="E197" s="139"/>
      <c r="F197" s="139"/>
      <c r="H197" s="195"/>
      <c r="L197" s="136"/>
    </row>
    <row r="198" spans="1:12">
      <c r="A198" s="194" t="s">
        <v>383</v>
      </c>
      <c r="B198" s="139">
        <v>675003</v>
      </c>
      <c r="D198" s="194" t="s">
        <v>383</v>
      </c>
      <c r="E198" s="139"/>
      <c r="F198" s="139"/>
      <c r="H198" s="195"/>
      <c r="L198" s="136"/>
    </row>
    <row r="199" spans="1:12">
      <c r="A199" s="194" t="s">
        <v>384</v>
      </c>
      <c r="B199" s="139">
        <v>845087</v>
      </c>
      <c r="D199" s="194" t="s">
        <v>384</v>
      </c>
      <c r="E199" s="139"/>
      <c r="F199" s="139"/>
      <c r="H199" s="195"/>
      <c r="L199" s="136"/>
    </row>
    <row r="200" spans="1:12">
      <c r="A200" s="194" t="s">
        <v>385</v>
      </c>
      <c r="B200" s="139">
        <v>833131</v>
      </c>
      <c r="D200" s="194" t="s">
        <v>385</v>
      </c>
      <c r="E200" s="139"/>
      <c r="F200" s="139"/>
      <c r="H200" s="195"/>
      <c r="L200" s="136"/>
    </row>
    <row r="201" spans="1:12">
      <c r="A201" s="194" t="s">
        <v>386</v>
      </c>
      <c r="B201" s="139">
        <v>733262</v>
      </c>
      <c r="D201" s="194" t="s">
        <v>386</v>
      </c>
      <c r="E201" s="139"/>
      <c r="F201" s="139"/>
      <c r="H201" s="195"/>
      <c r="L201" s="136"/>
    </row>
    <row r="202" spans="1:12">
      <c r="A202" s="194" t="s">
        <v>387</v>
      </c>
      <c r="B202" s="139">
        <v>1734681</v>
      </c>
      <c r="D202" s="194" t="s">
        <v>387</v>
      </c>
      <c r="E202" s="139"/>
      <c r="F202" s="139"/>
      <c r="H202" s="195"/>
      <c r="L202" s="136"/>
    </row>
    <row r="203" spans="1:12">
      <c r="A203" s="194" t="s">
        <v>388</v>
      </c>
      <c r="B203" s="139">
        <v>785523</v>
      </c>
      <c r="D203" s="194" t="s">
        <v>388</v>
      </c>
      <c r="E203" s="139"/>
      <c r="F203" s="139"/>
      <c r="H203" s="195"/>
      <c r="L203" s="136"/>
    </row>
    <row r="204" spans="1:12">
      <c r="A204" s="194" t="s">
        <v>389</v>
      </c>
      <c r="B204" s="139">
        <v>323216</v>
      </c>
      <c r="D204" s="194" t="s">
        <v>389</v>
      </c>
      <c r="E204" s="139"/>
      <c r="F204" s="139"/>
      <c r="H204" s="195"/>
      <c r="L204" s="136"/>
    </row>
    <row r="205" spans="1:12">
      <c r="A205" s="194" t="s">
        <v>390</v>
      </c>
      <c r="B205" s="139">
        <v>373688</v>
      </c>
      <c r="D205" s="194" t="s">
        <v>390</v>
      </c>
      <c r="E205" s="139"/>
      <c r="F205" s="139"/>
      <c r="H205" s="195"/>
      <c r="L205" s="136"/>
    </row>
    <row r="206" spans="1:12">
      <c r="A206" s="194" t="s">
        <v>391</v>
      </c>
      <c r="B206" s="139">
        <v>2137449</v>
      </c>
      <c r="D206" s="194" t="s">
        <v>391</v>
      </c>
      <c r="E206" s="139"/>
      <c r="F206" s="139">
        <v>15133238</v>
      </c>
      <c r="G206" s="129">
        <v>16</v>
      </c>
      <c r="H206" s="195"/>
      <c r="L206" s="136"/>
    </row>
    <row r="207" spans="1:12">
      <c r="A207" s="194" t="s">
        <v>392</v>
      </c>
      <c r="B207" s="139">
        <v>976775</v>
      </c>
      <c r="D207" s="194" t="s">
        <v>392</v>
      </c>
      <c r="E207" s="139"/>
      <c r="F207" s="139"/>
      <c r="H207" s="195"/>
      <c r="L207" s="136"/>
    </row>
    <row r="208" spans="1:12">
      <c r="A208" s="194" t="s">
        <v>393</v>
      </c>
      <c r="B208" s="139">
        <v>1237349</v>
      </c>
      <c r="D208" s="194" t="s">
        <v>393</v>
      </c>
      <c r="E208" s="139"/>
      <c r="F208" s="139"/>
      <c r="H208" s="195"/>
      <c r="L208" s="136"/>
    </row>
    <row r="209" spans="1:12">
      <c r="A209" s="194" t="s">
        <v>394</v>
      </c>
      <c r="B209" s="139">
        <v>672573</v>
      </c>
      <c r="D209" s="194" t="s">
        <v>394</v>
      </c>
      <c r="E209" s="139"/>
      <c r="F209" s="139"/>
      <c r="H209" s="195"/>
      <c r="L209" s="136"/>
    </row>
    <row r="210" spans="1:12">
      <c r="A210" s="194" t="s">
        <v>395</v>
      </c>
      <c r="B210" s="139">
        <v>2296201</v>
      </c>
      <c r="D210" s="194" t="s">
        <v>395</v>
      </c>
      <c r="E210" s="139"/>
      <c r="F210" s="139"/>
      <c r="H210" s="195"/>
      <c r="L210" s="136"/>
    </row>
    <row r="211" spans="1:12">
      <c r="A211" s="194" t="s">
        <v>396</v>
      </c>
      <c r="B211" s="139">
        <v>394917</v>
      </c>
      <c r="D211" s="194" t="s">
        <v>396</v>
      </c>
      <c r="E211" s="139"/>
      <c r="F211" s="139"/>
      <c r="H211" s="195"/>
      <c r="L211" s="136"/>
    </row>
    <row r="212" spans="1:12">
      <c r="A212" s="194" t="s">
        <v>397</v>
      </c>
      <c r="B212" s="139">
        <v>822116</v>
      </c>
      <c r="D212" s="194" t="s">
        <v>397</v>
      </c>
      <c r="E212" s="139"/>
      <c r="F212" s="139">
        <v>6740228</v>
      </c>
      <c r="G212" s="129">
        <v>17</v>
      </c>
      <c r="H212" s="195"/>
      <c r="L212" s="136"/>
    </row>
    <row r="213" spans="1:12">
      <c r="A213" s="194" t="s">
        <v>398</v>
      </c>
      <c r="B213" s="139">
        <v>529037</v>
      </c>
      <c r="D213" s="194" t="s">
        <v>398</v>
      </c>
      <c r="E213" s="139"/>
      <c r="F213" s="139"/>
      <c r="H213" s="195"/>
      <c r="L213" s="136"/>
    </row>
    <row r="214" spans="1:12">
      <c r="A214" s="194" t="s">
        <v>399</v>
      </c>
      <c r="B214" s="200">
        <v>289543</v>
      </c>
      <c r="D214" s="194" t="s">
        <v>399</v>
      </c>
      <c r="E214" s="139"/>
      <c r="F214" s="139"/>
      <c r="H214" s="195"/>
      <c r="L214" s="136"/>
    </row>
    <row r="215" spans="1:12">
      <c r="A215" s="194" t="s">
        <v>400</v>
      </c>
      <c r="B215" s="139">
        <v>412532</v>
      </c>
      <c r="D215" s="194" t="s">
        <v>400</v>
      </c>
      <c r="E215" s="139"/>
      <c r="F215" s="139">
        <v>4596499</v>
      </c>
      <c r="G215" s="129">
        <v>25</v>
      </c>
      <c r="H215" s="195"/>
      <c r="L215" s="136"/>
    </row>
    <row r="216" spans="1:12">
      <c r="A216" s="194" t="s">
        <v>401</v>
      </c>
      <c r="B216" s="139">
        <v>291358</v>
      </c>
      <c r="D216" s="194" t="s">
        <v>401</v>
      </c>
      <c r="E216" s="139"/>
      <c r="F216" s="139"/>
      <c r="H216" s="195"/>
      <c r="L216" s="136"/>
    </row>
    <row r="217" spans="1:12">
      <c r="A217" s="194" t="s">
        <v>402</v>
      </c>
      <c r="B217" s="139">
        <v>2088537</v>
      </c>
      <c r="D217" s="194" t="s">
        <v>402</v>
      </c>
      <c r="E217" s="139"/>
      <c r="F217" s="139"/>
      <c r="H217" s="195"/>
      <c r="L217" s="136"/>
    </row>
    <row r="218" spans="1:12">
      <c r="A218" s="194" t="s">
        <v>403</v>
      </c>
      <c r="B218" s="139">
        <v>338671</v>
      </c>
      <c r="D218" s="194" t="s">
        <v>403</v>
      </c>
      <c r="E218" s="139"/>
      <c r="F218" s="139"/>
      <c r="H218" s="195"/>
      <c r="L218" s="136"/>
    </row>
    <row r="219" spans="1:12">
      <c r="A219" s="194" t="s">
        <v>404</v>
      </c>
      <c r="B219" s="139">
        <v>830393</v>
      </c>
      <c r="D219" s="194" t="s">
        <v>404</v>
      </c>
      <c r="E219" s="139"/>
      <c r="F219" s="139"/>
      <c r="H219" s="195"/>
      <c r="L219" s="136"/>
    </row>
    <row r="220" spans="1:12">
      <c r="A220" s="204" t="s">
        <v>405</v>
      </c>
      <c r="B220" s="139">
        <v>573375</v>
      </c>
      <c r="D220" s="204" t="s">
        <v>405</v>
      </c>
      <c r="E220" s="139"/>
      <c r="F220" s="139"/>
      <c r="H220" s="195"/>
      <c r="L220" s="136"/>
    </row>
    <row r="221" spans="1:12">
      <c r="A221" s="194" t="s">
        <v>406</v>
      </c>
      <c r="B221" s="139">
        <v>270667</v>
      </c>
      <c r="D221" s="194" t="s">
        <v>406</v>
      </c>
      <c r="E221" s="139"/>
      <c r="F221" s="139"/>
      <c r="H221" s="195"/>
      <c r="L221" s="136"/>
    </row>
    <row r="222" spans="1:12">
      <c r="A222" s="194" t="s">
        <v>407</v>
      </c>
      <c r="B222" s="139">
        <v>1411795</v>
      </c>
      <c r="D222" s="194" t="s">
        <v>407</v>
      </c>
      <c r="E222" s="139"/>
      <c r="F222" s="139"/>
      <c r="H222" s="195"/>
      <c r="L222" s="136"/>
    </row>
    <row r="223" spans="1:12">
      <c r="A223" s="194" t="s">
        <v>408</v>
      </c>
      <c r="B223" s="139">
        <v>1393535</v>
      </c>
      <c r="D223" s="194" t="s">
        <v>408</v>
      </c>
      <c r="E223" s="139"/>
      <c r="F223" s="139"/>
      <c r="H223" s="195"/>
      <c r="L223" s="136"/>
    </row>
    <row r="224" spans="1:12">
      <c r="A224" s="194" t="s">
        <v>409</v>
      </c>
      <c r="B224" s="139">
        <v>526930</v>
      </c>
      <c r="D224" s="194" t="s">
        <v>409</v>
      </c>
      <c r="E224" s="139"/>
      <c r="F224" s="139"/>
      <c r="H224" s="195"/>
      <c r="L224" s="136"/>
    </row>
    <row r="225" spans="1:12" ht="13.5" customHeight="1">
      <c r="A225" s="194" t="s">
        <v>410</v>
      </c>
      <c r="B225" s="139">
        <v>5497178</v>
      </c>
      <c r="D225" s="194" t="s">
        <v>410</v>
      </c>
      <c r="E225" s="139"/>
      <c r="F225" s="139"/>
      <c r="H225" s="195"/>
      <c r="L225" s="136"/>
    </row>
    <row r="226" spans="1:12">
      <c r="A226" s="194" t="s">
        <v>411</v>
      </c>
      <c r="B226" s="139">
        <v>415786</v>
      </c>
      <c r="D226" s="194" t="s">
        <v>411</v>
      </c>
      <c r="E226" s="139"/>
      <c r="F226" s="139"/>
      <c r="H226" s="195"/>
      <c r="L226" s="136"/>
    </row>
    <row r="227" spans="1:12">
      <c r="A227" s="194" t="s">
        <v>412</v>
      </c>
      <c r="B227" s="139">
        <v>453550</v>
      </c>
      <c r="D227" s="194" t="s">
        <v>412</v>
      </c>
      <c r="E227" s="139"/>
      <c r="F227" s="139"/>
      <c r="H227" s="195"/>
      <c r="L227" s="136"/>
    </row>
    <row r="228" spans="1:12">
      <c r="A228" s="194" t="s">
        <v>413</v>
      </c>
      <c r="B228" s="139">
        <v>657735</v>
      </c>
      <c r="D228" s="194" t="s">
        <v>413</v>
      </c>
      <c r="E228" s="139"/>
      <c r="F228" s="139"/>
      <c r="H228" s="195"/>
      <c r="L228" s="136"/>
    </row>
    <row r="229" spans="1:12">
      <c r="A229" s="194" t="s">
        <v>414</v>
      </c>
      <c r="B229" s="139">
        <v>4812211</v>
      </c>
      <c r="D229" s="194" t="s">
        <v>414</v>
      </c>
      <c r="E229" s="139"/>
      <c r="F229" s="139">
        <v>65088091</v>
      </c>
      <c r="G229" s="129">
        <v>20</v>
      </c>
      <c r="H229" s="195"/>
      <c r="L229" s="136"/>
    </row>
    <row r="230" spans="1:12">
      <c r="A230" s="194" t="s">
        <v>415</v>
      </c>
      <c r="B230" s="139">
        <v>348040</v>
      </c>
      <c r="D230" s="194" t="s">
        <v>415</v>
      </c>
      <c r="E230" s="139"/>
      <c r="F230" s="139"/>
      <c r="H230" s="195"/>
      <c r="L230" s="136"/>
    </row>
    <row r="231" spans="1:12">
      <c r="A231" s="194" t="s">
        <v>416</v>
      </c>
      <c r="B231" s="139">
        <v>1548644</v>
      </c>
      <c r="D231" s="194" t="s">
        <v>416</v>
      </c>
      <c r="E231" s="139"/>
      <c r="F231" s="139"/>
      <c r="H231" s="195"/>
      <c r="L231" s="136"/>
    </row>
    <row r="232" spans="1:12">
      <c r="A232" s="194" t="s">
        <v>417</v>
      </c>
      <c r="B232" s="139">
        <v>1410849</v>
      </c>
      <c r="D232" s="194" t="s">
        <v>417</v>
      </c>
      <c r="E232" s="139"/>
      <c r="F232" s="139"/>
      <c r="H232" s="195"/>
      <c r="L232" s="136"/>
    </row>
    <row r="233" spans="1:12">
      <c r="A233" s="194" t="s">
        <v>418</v>
      </c>
      <c r="B233" s="139">
        <v>609546</v>
      </c>
      <c r="D233" s="194" t="s">
        <v>418</v>
      </c>
      <c r="E233" s="139"/>
      <c r="F233" s="139"/>
      <c r="H233" s="195"/>
      <c r="L233" s="136"/>
    </row>
    <row r="234" spans="1:12">
      <c r="A234" s="194" t="s">
        <v>419</v>
      </c>
      <c r="B234" s="139">
        <v>403182</v>
      </c>
      <c r="D234" s="194" t="s">
        <v>419</v>
      </c>
      <c r="E234" s="139"/>
      <c r="F234" s="139"/>
      <c r="H234" s="195"/>
      <c r="L234" s="136"/>
    </row>
    <row r="235" spans="1:12">
      <c r="A235" s="194" t="s">
        <v>420</v>
      </c>
      <c r="B235" s="139">
        <v>742094</v>
      </c>
      <c r="D235" s="194" t="s">
        <v>420</v>
      </c>
      <c r="E235" s="139"/>
      <c r="F235" s="139"/>
      <c r="H235" s="195"/>
      <c r="L235" s="136"/>
    </row>
    <row r="236" spans="1:12">
      <c r="A236" s="194" t="s">
        <v>421</v>
      </c>
      <c r="B236" s="139">
        <v>3011455</v>
      </c>
      <c r="D236" s="194" t="s">
        <v>421</v>
      </c>
      <c r="E236" s="139"/>
      <c r="F236" s="139"/>
      <c r="H236" s="195"/>
      <c r="L236" s="136"/>
    </row>
    <row r="237" spans="1:12">
      <c r="A237" s="194" t="s">
        <v>422</v>
      </c>
      <c r="B237" s="139">
        <v>289235</v>
      </c>
      <c r="D237" s="194" t="s">
        <v>422</v>
      </c>
      <c r="E237" s="139"/>
      <c r="F237" s="139">
        <v>4328870</v>
      </c>
      <c r="G237" s="129">
        <v>29</v>
      </c>
      <c r="H237" s="195"/>
      <c r="L237" s="136"/>
    </row>
    <row r="238" spans="1:12">
      <c r="A238" s="194" t="s">
        <v>423</v>
      </c>
      <c r="B238" s="139">
        <v>3833833</v>
      </c>
      <c r="D238" s="194" t="s">
        <v>423</v>
      </c>
      <c r="E238" s="139"/>
      <c r="F238" s="139"/>
      <c r="H238" s="195"/>
      <c r="L238" s="136"/>
    </row>
    <row r="239" spans="1:12">
      <c r="A239" s="194" t="s">
        <v>424</v>
      </c>
      <c r="B239" s="139">
        <v>386535</v>
      </c>
      <c r="D239" s="194" t="s">
        <v>424</v>
      </c>
      <c r="E239" s="139"/>
      <c r="F239" s="139"/>
      <c r="H239" s="195"/>
      <c r="L239" s="136"/>
    </row>
    <row r="240" spans="1:12">
      <c r="A240" s="194" t="s">
        <v>425</v>
      </c>
      <c r="B240" s="139">
        <v>341448</v>
      </c>
      <c r="D240" s="194" t="s">
        <v>425</v>
      </c>
      <c r="E240" s="139"/>
      <c r="F240" s="139"/>
      <c r="H240" s="195"/>
      <c r="L240" s="136"/>
    </row>
    <row r="241" spans="1:12">
      <c r="A241" s="194" t="s">
        <v>426</v>
      </c>
      <c r="B241" s="139">
        <v>5361952</v>
      </c>
      <c r="D241" s="194" t="s">
        <v>426</v>
      </c>
      <c r="E241" s="139"/>
      <c r="F241" s="139"/>
      <c r="H241" s="195"/>
      <c r="L241" s="136"/>
    </row>
    <row r="242" spans="1:12">
      <c r="A242" s="194" t="s">
        <v>427</v>
      </c>
      <c r="B242" s="139">
        <v>1552609</v>
      </c>
      <c r="D242" s="194" t="s">
        <v>427</v>
      </c>
      <c r="E242" s="139"/>
      <c r="F242" s="139"/>
      <c r="H242" s="195"/>
      <c r="L242" s="136"/>
    </row>
    <row r="243" spans="1:12">
      <c r="A243" s="194" t="s">
        <v>428</v>
      </c>
      <c r="B243" s="139">
        <v>197927</v>
      </c>
      <c r="D243" s="194" t="s">
        <v>428</v>
      </c>
      <c r="E243" s="139"/>
      <c r="F243" s="139"/>
      <c r="H243" s="195"/>
      <c r="L243" s="136"/>
    </row>
    <row r="244" spans="1:12">
      <c r="A244" s="194" t="s">
        <v>429</v>
      </c>
      <c r="B244" s="139">
        <v>642823</v>
      </c>
      <c r="D244" s="194" t="s">
        <v>429</v>
      </c>
      <c r="E244" s="139"/>
      <c r="F244" s="139"/>
      <c r="H244" s="195"/>
      <c r="L244" s="136"/>
    </row>
    <row r="245" spans="1:12">
      <c r="A245" s="194" t="s">
        <v>430</v>
      </c>
      <c r="B245" s="139">
        <v>589497</v>
      </c>
      <c r="D245" s="194" t="s">
        <v>430</v>
      </c>
      <c r="E245" s="139"/>
      <c r="F245" s="139"/>
      <c r="H245" s="195"/>
      <c r="L245" s="136"/>
    </row>
    <row r="246" spans="1:12">
      <c r="A246" s="194" t="s">
        <v>431</v>
      </c>
      <c r="B246" s="139">
        <v>308722</v>
      </c>
      <c r="D246" s="194" t="s">
        <v>431</v>
      </c>
      <c r="E246" s="139"/>
      <c r="F246" s="139"/>
      <c r="H246" s="195"/>
      <c r="L246" s="136"/>
    </row>
    <row r="247" spans="1:12">
      <c r="A247" s="194" t="s">
        <v>432</v>
      </c>
      <c r="B247" s="139">
        <v>371593</v>
      </c>
      <c r="D247" s="194" t="s">
        <v>432</v>
      </c>
      <c r="E247" s="139"/>
      <c r="F247" s="139"/>
      <c r="H247" s="195"/>
      <c r="L247" s="136"/>
    </row>
    <row r="248" spans="1:12">
      <c r="A248" s="194" t="s">
        <v>433</v>
      </c>
      <c r="B248" s="139">
        <v>1347372</v>
      </c>
      <c r="D248" s="194" t="s">
        <v>433</v>
      </c>
      <c r="E248" s="139"/>
      <c r="F248" s="139"/>
      <c r="H248" s="195"/>
      <c r="L248" s="136"/>
    </row>
    <row r="249" spans="1:12">
      <c r="A249" s="194" t="s">
        <v>434</v>
      </c>
      <c r="B249" s="139">
        <v>2187665</v>
      </c>
      <c r="D249" s="194" t="s">
        <v>434</v>
      </c>
      <c r="E249" s="139"/>
      <c r="F249" s="139"/>
      <c r="H249" s="195"/>
      <c r="L249" s="136"/>
    </row>
    <row r="250" spans="1:12">
      <c r="A250" s="194" t="s">
        <v>435</v>
      </c>
      <c r="B250" s="139">
        <v>535429</v>
      </c>
      <c r="D250" s="194" t="s">
        <v>435</v>
      </c>
      <c r="E250" s="139"/>
      <c r="F250" s="139">
        <v>8318265</v>
      </c>
      <c r="G250" s="129">
        <v>16</v>
      </c>
      <c r="H250" s="195"/>
      <c r="L250" s="136"/>
    </row>
    <row r="251" spans="1:12">
      <c r="A251" s="194" t="s">
        <v>436</v>
      </c>
      <c r="B251" s="139">
        <v>278906</v>
      </c>
      <c r="D251" s="194" t="s">
        <v>436</v>
      </c>
      <c r="E251" s="139"/>
      <c r="F251" s="139"/>
      <c r="H251" s="195"/>
      <c r="L251" s="136"/>
    </row>
    <row r="252" spans="1:12">
      <c r="A252" s="194" t="s">
        <v>437</v>
      </c>
      <c r="B252" s="139">
        <v>115125</v>
      </c>
      <c r="D252" s="194" t="s">
        <v>437</v>
      </c>
      <c r="E252" s="139"/>
      <c r="F252" s="139"/>
      <c r="H252" s="195"/>
      <c r="L252" s="136"/>
    </row>
    <row r="253" spans="1:12">
      <c r="A253" s="194" t="s">
        <v>438</v>
      </c>
      <c r="B253" s="139">
        <v>1716493</v>
      </c>
      <c r="D253" s="194" t="s">
        <v>438</v>
      </c>
      <c r="E253" s="139"/>
      <c r="F253" s="139"/>
      <c r="H253" s="195"/>
      <c r="L253" s="136"/>
    </row>
    <row r="254" spans="1:12">
      <c r="A254" s="194" t="s">
        <v>439</v>
      </c>
      <c r="B254" s="139">
        <v>2403951</v>
      </c>
      <c r="D254" s="194" t="s">
        <v>439</v>
      </c>
      <c r="E254" s="139"/>
      <c r="F254" s="139"/>
      <c r="H254" s="195"/>
      <c r="L254" s="136"/>
    </row>
    <row r="255" spans="1:12">
      <c r="A255" s="194" t="s">
        <v>440</v>
      </c>
      <c r="B255" s="139">
        <v>182014</v>
      </c>
      <c r="D255" s="194" t="s">
        <v>440</v>
      </c>
      <c r="E255" s="139"/>
      <c r="F255" s="139"/>
      <c r="H255" s="195"/>
      <c r="L255" s="136"/>
    </row>
    <row r="256" spans="1:12">
      <c r="A256" s="194" t="s">
        <v>441</v>
      </c>
      <c r="B256" s="139">
        <v>852264</v>
      </c>
      <c r="D256" s="194" t="s">
        <v>441</v>
      </c>
      <c r="E256" s="139"/>
      <c r="F256" s="139"/>
      <c r="H256" s="195"/>
      <c r="L256" s="136"/>
    </row>
    <row r="257" spans="1:12">
      <c r="A257" s="194" t="s">
        <v>442</v>
      </c>
      <c r="B257" s="139">
        <v>163745</v>
      </c>
      <c r="D257" s="194" t="s">
        <v>442</v>
      </c>
      <c r="E257" s="139"/>
      <c r="F257" s="139">
        <v>1214518</v>
      </c>
      <c r="G257" s="129">
        <v>16</v>
      </c>
      <c r="H257" s="195"/>
      <c r="L257" s="136"/>
    </row>
    <row r="258" spans="1:12">
      <c r="A258" s="194" t="s">
        <v>443</v>
      </c>
      <c r="B258" s="139">
        <v>6169799</v>
      </c>
      <c r="D258" s="194" t="s">
        <v>443</v>
      </c>
      <c r="E258" s="139"/>
      <c r="F258" s="139">
        <v>59306046</v>
      </c>
      <c r="G258" s="129">
        <v>13</v>
      </c>
      <c r="H258" s="195"/>
      <c r="L258" s="136"/>
    </row>
    <row r="259" spans="1:12">
      <c r="A259" s="194" t="s">
        <v>444</v>
      </c>
      <c r="B259" s="139">
        <v>102150</v>
      </c>
      <c r="D259" s="194" t="s">
        <v>444</v>
      </c>
      <c r="E259" s="139"/>
      <c r="F259" s="139"/>
      <c r="H259" s="195"/>
      <c r="L259" s="136"/>
    </row>
    <row r="260" spans="1:12">
      <c r="A260" s="194" t="s">
        <v>445</v>
      </c>
      <c r="B260" s="139">
        <v>207959</v>
      </c>
      <c r="D260" s="194" t="s">
        <v>445</v>
      </c>
      <c r="E260" s="139"/>
      <c r="F260" s="139"/>
      <c r="H260" s="195"/>
      <c r="L260" s="136"/>
    </row>
    <row r="261" spans="1:12">
      <c r="A261" s="194" t="s">
        <v>446</v>
      </c>
      <c r="B261" s="139">
        <v>308637</v>
      </c>
      <c r="D261" s="194" t="s">
        <v>446</v>
      </c>
      <c r="E261" s="139"/>
      <c r="F261" s="139"/>
      <c r="H261" s="195"/>
      <c r="L261" s="136"/>
    </row>
    <row r="262" spans="1:12">
      <c r="A262" s="194" t="s">
        <v>447</v>
      </c>
      <c r="B262" s="139">
        <v>2081006</v>
      </c>
      <c r="D262" s="194" t="s">
        <v>447</v>
      </c>
      <c r="E262" s="139"/>
      <c r="F262" s="139">
        <v>39666048</v>
      </c>
      <c r="G262" s="129">
        <v>29</v>
      </c>
      <c r="H262" s="195"/>
      <c r="L262" s="136"/>
    </row>
    <row r="263" spans="1:12">
      <c r="A263" s="194" t="s">
        <v>448</v>
      </c>
      <c r="B263" s="139">
        <v>401024</v>
      </c>
      <c r="D263" s="194" t="s">
        <v>448</v>
      </c>
      <c r="E263" s="139"/>
      <c r="F263" s="139"/>
      <c r="H263" s="195"/>
      <c r="L263" s="136"/>
    </row>
    <row r="264" spans="1:12">
      <c r="A264" s="194" t="s">
        <v>449</v>
      </c>
      <c r="B264" s="139">
        <v>205278</v>
      </c>
      <c r="D264" s="194" t="s">
        <v>449</v>
      </c>
      <c r="E264" s="139"/>
      <c r="F264" s="139"/>
      <c r="H264" s="195"/>
      <c r="L264" s="136"/>
    </row>
    <row r="265" spans="1:12">
      <c r="A265" s="194" t="s">
        <v>450</v>
      </c>
      <c r="B265" s="139">
        <v>599845</v>
      </c>
      <c r="D265" s="194" t="s">
        <v>450</v>
      </c>
      <c r="E265" s="139"/>
      <c r="F265" s="139"/>
      <c r="H265" s="195"/>
      <c r="L265" s="136"/>
    </row>
    <row r="266" spans="1:12">
      <c r="A266" s="194" t="s">
        <v>451</v>
      </c>
      <c r="B266" s="139">
        <v>658732</v>
      </c>
      <c r="D266" s="194" t="s">
        <v>451</v>
      </c>
      <c r="E266" s="139"/>
      <c r="F266" s="139"/>
      <c r="H266" s="195"/>
      <c r="L266" s="136"/>
    </row>
    <row r="267" spans="1:12">
      <c r="A267" s="194" t="s">
        <v>452</v>
      </c>
      <c r="B267" s="139">
        <v>463854</v>
      </c>
      <c r="D267" s="194" t="s">
        <v>452</v>
      </c>
      <c r="E267" s="139"/>
      <c r="F267" s="139"/>
      <c r="H267" s="195"/>
      <c r="L267" s="136"/>
    </row>
    <row r="268" spans="1:12">
      <c r="A268" s="194" t="s">
        <v>453</v>
      </c>
      <c r="B268" s="139">
        <v>3138412</v>
      </c>
      <c r="D268" s="194" t="s">
        <v>453</v>
      </c>
      <c r="E268" s="139"/>
      <c r="F268" s="139">
        <v>25027017</v>
      </c>
      <c r="G268" s="129">
        <v>14</v>
      </c>
      <c r="H268" s="195"/>
      <c r="L268" s="136"/>
    </row>
    <row r="269" spans="1:12">
      <c r="A269" s="194" t="s">
        <v>454</v>
      </c>
      <c r="B269" s="139">
        <v>1883402</v>
      </c>
      <c r="D269" s="194" t="s">
        <v>454</v>
      </c>
      <c r="E269" s="139"/>
      <c r="F269" s="139"/>
      <c r="H269" s="195"/>
      <c r="L269" s="136"/>
    </row>
    <row r="270" spans="1:12">
      <c r="A270" s="194" t="s">
        <v>455</v>
      </c>
      <c r="B270" s="139">
        <v>1227861</v>
      </c>
      <c r="D270" s="194" t="s">
        <v>455</v>
      </c>
      <c r="E270" s="139"/>
      <c r="F270" s="139">
        <v>12520390</v>
      </c>
      <c r="G270" s="129">
        <v>29</v>
      </c>
      <c r="H270" s="195"/>
      <c r="L270" s="136"/>
    </row>
    <row r="271" spans="1:12">
      <c r="A271" s="194" t="s">
        <v>456</v>
      </c>
      <c r="B271" s="139">
        <v>293427</v>
      </c>
      <c r="D271" s="194" t="s">
        <v>456</v>
      </c>
      <c r="E271" s="139"/>
      <c r="F271" s="139"/>
      <c r="H271" s="195"/>
      <c r="L271" s="136"/>
    </row>
    <row r="272" spans="1:12">
      <c r="A272" s="194" t="s">
        <v>457</v>
      </c>
      <c r="B272" s="139">
        <v>1047175</v>
      </c>
      <c r="D272" s="194" t="s">
        <v>457</v>
      </c>
      <c r="E272" s="139"/>
      <c r="F272" s="139">
        <v>8925530</v>
      </c>
      <c r="G272" s="129">
        <v>19</v>
      </c>
      <c r="H272" s="195"/>
      <c r="L272" s="136"/>
    </row>
    <row r="273" spans="1:12">
      <c r="A273" s="194" t="s">
        <v>458</v>
      </c>
      <c r="B273" s="139">
        <v>297844</v>
      </c>
      <c r="D273" s="194" t="s">
        <v>458</v>
      </c>
      <c r="E273" s="139"/>
      <c r="F273" s="139"/>
      <c r="H273" s="195"/>
      <c r="L273" s="136"/>
    </row>
    <row r="274" spans="1:12">
      <c r="A274" s="194" t="s">
        <v>459</v>
      </c>
      <c r="B274" s="139">
        <v>1069591</v>
      </c>
      <c r="D274" s="194" t="s">
        <v>459</v>
      </c>
      <c r="E274" s="139"/>
      <c r="F274" s="139"/>
      <c r="H274" s="195"/>
      <c r="L274" s="136"/>
    </row>
    <row r="275" spans="1:12">
      <c r="A275" s="194" t="s">
        <v>460</v>
      </c>
      <c r="B275" s="139">
        <v>166489</v>
      </c>
      <c r="D275" s="194" t="s">
        <v>460</v>
      </c>
      <c r="E275" s="139"/>
      <c r="F275" s="139"/>
      <c r="H275" s="195"/>
      <c r="L275" s="136"/>
    </row>
    <row r="276" spans="1:12">
      <c r="A276" s="194" t="s">
        <v>461</v>
      </c>
      <c r="B276" s="139">
        <v>10918476</v>
      </c>
      <c r="D276" s="194" t="s">
        <v>461</v>
      </c>
      <c r="E276" s="139"/>
      <c r="F276" s="139"/>
      <c r="H276" s="195"/>
      <c r="L276" s="136"/>
    </row>
    <row r="277" spans="1:12">
      <c r="A277" s="194" t="s">
        <v>462</v>
      </c>
      <c r="B277" s="139">
        <v>509154</v>
      </c>
      <c r="D277" s="194" t="s">
        <v>462</v>
      </c>
      <c r="E277" s="139"/>
      <c r="F277" s="139"/>
      <c r="H277" s="195"/>
      <c r="L277" s="136"/>
    </row>
    <row r="278" spans="1:12">
      <c r="A278" s="194" t="s">
        <v>463</v>
      </c>
      <c r="B278" s="139">
        <v>577658</v>
      </c>
      <c r="D278" s="194" t="s">
        <v>463</v>
      </c>
      <c r="E278" s="139"/>
      <c r="F278" s="139"/>
      <c r="H278" s="195"/>
      <c r="L278" s="136"/>
    </row>
    <row r="279" spans="1:12">
      <c r="A279" s="194" t="s">
        <v>464</v>
      </c>
      <c r="B279" s="200">
        <v>14691745</v>
      </c>
      <c r="D279" s="194" t="s">
        <v>464</v>
      </c>
      <c r="E279" s="139"/>
      <c r="F279" s="139"/>
      <c r="H279" s="195"/>
      <c r="L279" s="136"/>
    </row>
    <row r="280" spans="1:12">
      <c r="A280" s="194" t="s">
        <v>465</v>
      </c>
      <c r="B280" s="139">
        <v>14947071</v>
      </c>
      <c r="D280" s="194" t="s">
        <v>465</v>
      </c>
      <c r="E280" s="139"/>
      <c r="F280" s="139"/>
      <c r="H280" s="195"/>
      <c r="L280" s="136"/>
    </row>
    <row r="281" spans="1:12">
      <c r="A281" s="194" t="s">
        <v>466</v>
      </c>
      <c r="B281" s="139">
        <v>123427</v>
      </c>
      <c r="D281" s="194" t="s">
        <v>466</v>
      </c>
      <c r="E281" s="139"/>
      <c r="F281" s="139"/>
      <c r="H281" s="195"/>
      <c r="L281" s="136"/>
    </row>
    <row r="282" spans="1:12">
      <c r="A282" s="194" t="s">
        <v>467</v>
      </c>
      <c r="B282" s="139">
        <v>1277708</v>
      </c>
      <c r="D282" s="194" t="s">
        <v>467</v>
      </c>
      <c r="E282" s="139"/>
      <c r="F282" s="139"/>
      <c r="H282" s="195"/>
      <c r="L282" s="136"/>
    </row>
    <row r="283" spans="1:12">
      <c r="A283" s="194" t="s">
        <v>468</v>
      </c>
      <c r="B283" s="139">
        <v>421887</v>
      </c>
      <c r="D283" s="194" t="s">
        <v>468</v>
      </c>
      <c r="E283" s="139"/>
      <c r="F283" s="139"/>
      <c r="H283" s="195"/>
      <c r="L283" s="136"/>
    </row>
    <row r="284" spans="1:12">
      <c r="A284" s="194" t="s">
        <v>469</v>
      </c>
      <c r="B284" s="139">
        <v>537677</v>
      </c>
      <c r="D284" s="194" t="s">
        <v>469</v>
      </c>
      <c r="E284" s="139"/>
      <c r="F284" s="139"/>
      <c r="H284" s="195"/>
      <c r="L284" s="136"/>
    </row>
    <row r="285" spans="1:12">
      <c r="A285" s="194" t="s">
        <v>470</v>
      </c>
      <c r="B285" s="139">
        <v>1454609</v>
      </c>
      <c r="D285" s="194" t="s">
        <v>470</v>
      </c>
      <c r="E285" s="139"/>
      <c r="F285" s="139"/>
      <c r="H285" s="195"/>
      <c r="L285" s="136"/>
    </row>
    <row r="286" spans="1:12">
      <c r="A286" s="194" t="s">
        <v>471</v>
      </c>
      <c r="B286" s="139">
        <v>226108</v>
      </c>
      <c r="D286" s="194" t="s">
        <v>471</v>
      </c>
      <c r="E286" s="139"/>
      <c r="F286" s="139"/>
      <c r="H286" s="195"/>
      <c r="L286" s="136"/>
    </row>
    <row r="287" spans="1:12">
      <c r="A287" s="194" t="s">
        <v>472</v>
      </c>
      <c r="B287" s="139">
        <v>764175</v>
      </c>
      <c r="D287" s="194" t="s">
        <v>472</v>
      </c>
      <c r="E287" s="139"/>
      <c r="F287" s="139"/>
      <c r="H287" s="195"/>
      <c r="L287" s="136"/>
    </row>
    <row r="288" spans="1:12">
      <c r="A288" s="194" t="s">
        <v>473</v>
      </c>
      <c r="B288" s="139">
        <v>314886</v>
      </c>
      <c r="D288" s="194" t="s">
        <v>473</v>
      </c>
      <c r="E288" s="139"/>
      <c r="F288" s="139"/>
      <c r="H288" s="195"/>
      <c r="L288" s="136"/>
    </row>
    <row r="289" spans="1:12">
      <c r="A289" s="194" t="s">
        <v>474</v>
      </c>
      <c r="B289" s="139">
        <v>149260</v>
      </c>
      <c r="D289" s="194" t="s">
        <v>474</v>
      </c>
      <c r="E289" s="139"/>
      <c r="F289" s="139"/>
      <c r="H289" s="195"/>
      <c r="L289" s="136"/>
    </row>
    <row r="290" spans="1:12">
      <c r="A290" s="194" t="s">
        <v>475</v>
      </c>
      <c r="B290" s="139">
        <v>26103306</v>
      </c>
      <c r="D290" s="194" t="s">
        <v>475</v>
      </c>
      <c r="E290" s="139"/>
      <c r="F290" s="139"/>
      <c r="H290" s="195"/>
      <c r="L290" s="136"/>
    </row>
  </sheetData>
  <autoFilter ref="A4:I290" xr:uid="{00000000-0009-0000-0000-000008000000}"/>
  <mergeCells count="5">
    <mergeCell ref="A3:B3"/>
    <mergeCell ref="N3:R3"/>
    <mergeCell ref="V4:W4"/>
    <mergeCell ref="U2:X2"/>
    <mergeCell ref="A1:B1"/>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H291"/>
  <sheetViews>
    <sheetView zoomScaleNormal="100" workbookViewId="0">
      <pane ySplit="4" topLeftCell="A5" activePane="bottomLeft" state="frozen"/>
      <selection pane="bottomLeft" activeCell="D4" sqref="D4"/>
    </sheetView>
  </sheetViews>
  <sheetFormatPr defaultColWidth="9.109375" defaultRowHeight="13.2"/>
  <cols>
    <col min="1" max="1" width="7.6640625" style="129" bestFit="1" customWidth="1"/>
    <col min="2" max="2" width="11.6640625" style="129" bestFit="1" customWidth="1"/>
    <col min="3" max="3" width="23.88671875" style="129" bestFit="1" customWidth="1"/>
    <col min="4" max="4" width="12.5546875" style="129" customWidth="1"/>
    <col min="5" max="5" width="13" style="129" customWidth="1"/>
    <col min="6" max="6" width="12.6640625" style="129" customWidth="1"/>
    <col min="7" max="7" width="11.109375" style="129" customWidth="1"/>
    <col min="8" max="8" width="7" style="129" customWidth="1"/>
    <col min="9" max="16384" width="9.109375" style="129"/>
  </cols>
  <sheetData>
    <row r="1" spans="1:8">
      <c r="E1" s="228" t="s">
        <v>848</v>
      </c>
      <c r="F1" s="229"/>
      <c r="G1" s="229"/>
    </row>
    <row r="2" spans="1:8" ht="14.25" customHeight="1">
      <c r="D2" s="228" t="s">
        <v>902</v>
      </c>
      <c r="E2" s="230" t="s">
        <v>903</v>
      </c>
      <c r="F2" s="228"/>
      <c r="G2" s="228"/>
    </row>
    <row r="3" spans="1:8">
      <c r="A3" s="130" t="s">
        <v>170</v>
      </c>
      <c r="B3" s="130" t="s">
        <v>171</v>
      </c>
      <c r="C3" s="130" t="s">
        <v>172</v>
      </c>
      <c r="D3" s="130" t="s">
        <v>909</v>
      </c>
      <c r="E3" s="231">
        <v>1.1000000000000001</v>
      </c>
      <c r="F3" s="141" t="s">
        <v>904</v>
      </c>
      <c r="G3" s="141" t="s">
        <v>901</v>
      </c>
      <c r="H3" s="232" t="s">
        <v>944</v>
      </c>
    </row>
    <row r="4" spans="1:8">
      <c r="A4" s="133" t="s">
        <v>189</v>
      </c>
      <c r="B4" s="133"/>
      <c r="C4" s="133" t="s">
        <v>796</v>
      </c>
      <c r="D4" s="233">
        <f>SUM(D5:D290)</f>
        <v>174111846</v>
      </c>
      <c r="E4" s="233">
        <f>SUM(E5:E290)</f>
        <v>191523041</v>
      </c>
      <c r="F4" s="233">
        <f>SUM(F5:F290)</f>
        <v>112311997</v>
      </c>
      <c r="G4" s="233">
        <f>SUM(G5:G290)</f>
        <v>-1602010</v>
      </c>
      <c r="H4" s="234"/>
    </row>
    <row r="5" spans="1:8">
      <c r="A5" s="134" t="s">
        <v>190</v>
      </c>
      <c r="B5" s="129" t="s">
        <v>4</v>
      </c>
      <c r="C5" s="129" t="s">
        <v>511</v>
      </c>
      <c r="D5" s="139">
        <f>IF(ISNA(VLOOKUP($A5,'Audit Values'!$A:$BX,2,FALSE)),'Preliminary SO66'!AZ4,VLOOKUP($A5,'Audit Values'!$A:$BX,49,FALSE))</f>
        <v>314785</v>
      </c>
      <c r="E5" s="139">
        <f>D5*$E$3</f>
        <v>346264</v>
      </c>
      <c r="F5" s="139">
        <f>'2024 Legal Max'!AL5*'Weighting Factors'!$O$5</f>
        <v>237101</v>
      </c>
      <c r="G5" s="139">
        <f>IF(F5-E5&gt;0,E5-F5,0)</f>
        <v>0</v>
      </c>
      <c r="H5" s="166">
        <f>'2024 Legal Max'!AY5</f>
        <v>19</v>
      </c>
    </row>
    <row r="6" spans="1:8">
      <c r="A6" s="134" t="s">
        <v>191</v>
      </c>
      <c r="B6" s="129" t="s">
        <v>5</v>
      </c>
      <c r="C6" s="129" t="s">
        <v>801</v>
      </c>
      <c r="D6" s="139">
        <f>IF(ISNA(VLOOKUP($A6,'Audit Values'!$A:$BX,2,FALSE)),'Preliminary SO66'!AZ5,VLOOKUP($A6,'Audit Values'!$A:$BX,49,FALSE))</f>
        <v>219329</v>
      </c>
      <c r="E6" s="139">
        <f t="shared" ref="E6:E69" si="0">D6*$E$3</f>
        <v>241262</v>
      </c>
      <c r="F6" s="139">
        <f>'2024 Legal Max'!AL6*'Weighting Factors'!$O$5</f>
        <v>124147</v>
      </c>
      <c r="G6" s="139">
        <f t="shared" ref="G6:G69" si="1">IF(F6-E6&gt;0,E6-F6,0)</f>
        <v>0</v>
      </c>
      <c r="H6" s="166">
        <f>'2024 Legal Max'!AY6</f>
        <v>16</v>
      </c>
    </row>
    <row r="7" spans="1:8">
      <c r="A7" s="134" t="s">
        <v>192</v>
      </c>
      <c r="B7" s="129" t="s">
        <v>6</v>
      </c>
      <c r="C7" s="129" t="s">
        <v>512</v>
      </c>
      <c r="D7" s="139">
        <f>IF(ISNA(VLOOKUP($A7,'Audit Values'!$A:$BX,2,FALSE)),'Preliminary SO66'!AZ6,VLOOKUP($A7,'Audit Values'!$A:$BX,49,FALSE))</f>
        <v>128133</v>
      </c>
      <c r="E7" s="139">
        <f t="shared" si="0"/>
        <v>140946</v>
      </c>
      <c r="F7" s="139">
        <f>'2024 Legal Max'!AL7*'Weighting Factors'!$O$5</f>
        <v>84970</v>
      </c>
      <c r="G7" s="139">
        <f t="shared" si="1"/>
        <v>0</v>
      </c>
      <c r="H7" s="166">
        <f>'2024 Legal Max'!AY7</f>
        <v>16</v>
      </c>
    </row>
    <row r="8" spans="1:8">
      <c r="A8" s="134" t="s">
        <v>193</v>
      </c>
      <c r="B8" s="129" t="s">
        <v>51</v>
      </c>
      <c r="C8" s="129" t="s">
        <v>513</v>
      </c>
      <c r="D8" s="139">
        <f>IF(ISNA(VLOOKUP($A8,'Audit Values'!$A:$BX,2,FALSE)),'Preliminary SO66'!AZ7,VLOOKUP($A8,'Audit Values'!$A:$BX,49,FALSE))</f>
        <v>248097</v>
      </c>
      <c r="E8" s="139">
        <f t="shared" si="0"/>
        <v>272907</v>
      </c>
      <c r="F8" s="139">
        <f>'2024 Legal Max'!AL8*'Weighting Factors'!$O$5</f>
        <v>212170</v>
      </c>
      <c r="G8" s="139">
        <f t="shared" si="1"/>
        <v>0</v>
      </c>
      <c r="H8" s="166">
        <f>'2024 Legal Max'!AY8</f>
        <v>16</v>
      </c>
    </row>
    <row r="9" spans="1:8">
      <c r="A9" s="134" t="s">
        <v>194</v>
      </c>
      <c r="B9" s="129" t="s">
        <v>47</v>
      </c>
      <c r="C9" s="129" t="s">
        <v>514</v>
      </c>
      <c r="D9" s="139">
        <f>IF(ISNA(VLOOKUP($A9,'Audit Values'!$A:$BX,2,FALSE)),'Preliminary SO66'!AZ8,VLOOKUP($A9,'Audit Values'!$A:$BX,49,FALSE))</f>
        <v>98977</v>
      </c>
      <c r="E9" s="139">
        <f t="shared" si="0"/>
        <v>108875</v>
      </c>
      <c r="F9" s="139">
        <f>'2024 Legal Max'!AL9*'Weighting Factors'!$O$5</f>
        <v>49354</v>
      </c>
      <c r="G9" s="139">
        <f t="shared" si="1"/>
        <v>0</v>
      </c>
      <c r="H9" s="166">
        <f>'2024 Legal Max'!AY9</f>
        <v>6</v>
      </c>
    </row>
    <row r="10" spans="1:8">
      <c r="A10" s="134" t="s">
        <v>195</v>
      </c>
      <c r="B10" s="129" t="s">
        <v>7</v>
      </c>
      <c r="C10" s="129" t="s">
        <v>515</v>
      </c>
      <c r="D10" s="139">
        <f>IF(ISNA(VLOOKUP($A10,'Audit Values'!$A:$BX,2,FALSE)),'Preliminary SO66'!AZ9,VLOOKUP($A10,'Audit Values'!$A:$BX,49,FALSE))</f>
        <v>292915</v>
      </c>
      <c r="E10" s="139">
        <f t="shared" si="0"/>
        <v>322207</v>
      </c>
      <c r="F10" s="139">
        <f>'2024 Legal Max'!AL10*'Weighting Factors'!$O$5</f>
        <v>251347</v>
      </c>
      <c r="G10" s="139">
        <f t="shared" si="1"/>
        <v>0</v>
      </c>
      <c r="H10" s="166">
        <f>'2024 Legal Max'!AY10</f>
        <v>15</v>
      </c>
    </row>
    <row r="11" spans="1:8">
      <c r="A11" s="134" t="s">
        <v>196</v>
      </c>
      <c r="B11" s="129" t="s">
        <v>19</v>
      </c>
      <c r="C11" s="129" t="s">
        <v>516</v>
      </c>
      <c r="D11" s="139">
        <f>IF(ISNA(VLOOKUP($A11,'Audit Values'!$A:$BX,2,FALSE)),'Preliminary SO66'!AZ10,VLOOKUP($A11,'Audit Values'!$A:$BX,49,FALSE))</f>
        <v>235474</v>
      </c>
      <c r="E11" s="139">
        <f t="shared" si="0"/>
        <v>259021</v>
      </c>
      <c r="F11" s="139">
        <f>'2024 Legal Max'!AL11*'Weighting Factors'!$O$5</f>
        <v>216749</v>
      </c>
      <c r="G11" s="139">
        <f t="shared" si="1"/>
        <v>0</v>
      </c>
      <c r="H11" s="166">
        <f>'2024 Legal Max'!AY11</f>
        <v>25</v>
      </c>
    </row>
    <row r="12" spans="1:8">
      <c r="A12" s="134" t="s">
        <v>197</v>
      </c>
      <c r="B12" s="129" t="s">
        <v>98</v>
      </c>
      <c r="C12" s="129" t="s">
        <v>517</v>
      </c>
      <c r="D12" s="139">
        <f>IF(ISNA(VLOOKUP($A12,'Audit Values'!$A:$BX,2,FALSE)),'Preliminary SO66'!AZ11,VLOOKUP($A12,'Audit Values'!$A:$BX,49,FALSE))</f>
        <v>277872</v>
      </c>
      <c r="E12" s="139">
        <f t="shared" si="0"/>
        <v>305659</v>
      </c>
      <c r="F12" s="139">
        <f>'2024 Legal Max'!AL12*'Weighting Factors'!$O$5</f>
        <v>238627</v>
      </c>
      <c r="G12" s="139">
        <f t="shared" si="1"/>
        <v>0</v>
      </c>
      <c r="H12" s="166">
        <f>'2024 Legal Max'!AY12</f>
        <v>19</v>
      </c>
    </row>
    <row r="13" spans="1:8">
      <c r="A13" s="134" t="s">
        <v>198</v>
      </c>
      <c r="B13" s="129" t="s">
        <v>53</v>
      </c>
      <c r="C13" s="129" t="s">
        <v>518</v>
      </c>
      <c r="D13" s="139">
        <f>IF(ISNA(VLOOKUP($A13,'Audit Values'!$A:$BX,2,FALSE)),'Preliminary SO66'!AZ12,VLOOKUP($A13,'Audit Values'!$A:$BX,49,FALSE))</f>
        <v>252121</v>
      </c>
      <c r="E13" s="139">
        <f t="shared" si="0"/>
        <v>277333</v>
      </c>
      <c r="F13" s="139">
        <f>'2024 Legal Max'!AL13*'Weighting Factors'!$O$5</f>
        <v>169430</v>
      </c>
      <c r="G13" s="139">
        <f t="shared" si="1"/>
        <v>0</v>
      </c>
      <c r="H13" s="166">
        <f>'2024 Legal Max'!AY13</f>
        <v>7</v>
      </c>
    </row>
    <row r="14" spans="1:8">
      <c r="A14" s="134" t="s">
        <v>199</v>
      </c>
      <c r="B14" s="129" t="s">
        <v>92</v>
      </c>
      <c r="C14" s="129" t="s">
        <v>519</v>
      </c>
      <c r="D14" s="139">
        <f>IF(ISNA(VLOOKUP($A14,'Audit Values'!$A:$BX,2,FALSE)),'Preliminary SO66'!AZ13,VLOOKUP($A14,'Audit Values'!$A:$BX,49,FALSE))</f>
        <v>291152</v>
      </c>
      <c r="E14" s="139">
        <f t="shared" si="0"/>
        <v>320267</v>
      </c>
      <c r="F14" s="139">
        <f>'2024 Legal Max'!AL14*'Weighting Factors'!$O$5</f>
        <v>260506</v>
      </c>
      <c r="G14" s="139">
        <f t="shared" si="1"/>
        <v>0</v>
      </c>
      <c r="H14" s="166">
        <f>'2024 Legal Max'!AY14</f>
        <v>6</v>
      </c>
    </row>
    <row r="15" spans="1:8">
      <c r="A15" s="134" t="s">
        <v>200</v>
      </c>
      <c r="B15" s="129" t="s">
        <v>54</v>
      </c>
      <c r="C15" s="129" t="s">
        <v>520</v>
      </c>
      <c r="D15" s="139">
        <f>IF(ISNA(VLOOKUP($A15,'Audit Values'!$A:$BX,2,FALSE)),'Preliminary SO66'!AZ14,VLOOKUP($A15,'Audit Values'!$A:$BX,49,FALSE))</f>
        <v>355245</v>
      </c>
      <c r="E15" s="139">
        <f t="shared" si="0"/>
        <v>390770</v>
      </c>
      <c r="F15" s="139">
        <f>'2024 Legal Max'!AL15*'Weighting Factors'!$O$5</f>
        <v>342422</v>
      </c>
      <c r="G15" s="139">
        <f t="shared" si="1"/>
        <v>0</v>
      </c>
      <c r="H15" s="166">
        <f>'2024 Legal Max'!AY15</f>
        <v>5</v>
      </c>
    </row>
    <row r="16" spans="1:8">
      <c r="A16" s="134" t="s">
        <v>201</v>
      </c>
      <c r="B16" s="129" t="s">
        <v>100</v>
      </c>
      <c r="C16" s="129" t="s">
        <v>521</v>
      </c>
      <c r="D16" s="139">
        <f>IF(ISNA(VLOOKUP($A16,'Audit Values'!$A:$BX,2,FALSE)),'Preliminary SO66'!AZ15,VLOOKUP($A16,'Audit Values'!$A:$BX,49,FALSE))</f>
        <v>427748</v>
      </c>
      <c r="E16" s="139">
        <f t="shared" si="0"/>
        <v>470523</v>
      </c>
      <c r="F16" s="139">
        <f>'2024 Legal Max'!AL16*'Weighting Factors'!$O$5</f>
        <v>399917</v>
      </c>
      <c r="G16" s="139">
        <f t="shared" si="1"/>
        <v>0</v>
      </c>
      <c r="H16" s="166">
        <f>'2024 Legal Max'!AY16</f>
        <v>15</v>
      </c>
    </row>
    <row r="17" spans="1:8">
      <c r="A17" s="134" t="s">
        <v>202</v>
      </c>
      <c r="B17" s="129" t="s">
        <v>92</v>
      </c>
      <c r="C17" s="129" t="s">
        <v>522</v>
      </c>
      <c r="D17" s="139">
        <f>IF(ISNA(VLOOKUP($A17,'Audit Values'!$A:$BX,2,FALSE)),'Preliminary SO66'!AZ16,VLOOKUP($A17,'Audit Values'!$A:$BX,49,FALSE))</f>
        <v>189513</v>
      </c>
      <c r="E17" s="139">
        <f t="shared" si="0"/>
        <v>208464</v>
      </c>
      <c r="F17" s="139">
        <f>'2024 Legal Max'!AL17*'Weighting Factors'!$O$5</f>
        <v>289507</v>
      </c>
      <c r="G17" s="139">
        <f t="shared" si="1"/>
        <v>-81043</v>
      </c>
      <c r="H17" s="166">
        <f>'2024 Legal Max'!AY17</f>
        <v>13</v>
      </c>
    </row>
    <row r="18" spans="1:8">
      <c r="A18" s="134" t="s">
        <v>203</v>
      </c>
      <c r="B18" s="129" t="s">
        <v>100</v>
      </c>
      <c r="C18" s="129" t="s">
        <v>523</v>
      </c>
      <c r="D18" s="139">
        <f>IF(ISNA(VLOOKUP($A18,'Audit Values'!$A:$BX,2,FALSE)),'Preliminary SO66'!AZ17,VLOOKUP($A18,'Audit Values'!$A:$BX,49,FALSE))</f>
        <v>257311</v>
      </c>
      <c r="E18" s="139">
        <f t="shared" si="0"/>
        <v>283042</v>
      </c>
      <c r="F18" s="139">
        <f>'2024 Legal Max'!AL18*'Weighting Factors'!$O$5</f>
        <v>241171</v>
      </c>
      <c r="G18" s="139">
        <f t="shared" si="1"/>
        <v>0</v>
      </c>
      <c r="H18" s="166">
        <f>'2024 Legal Max'!AY18</f>
        <v>16</v>
      </c>
    </row>
    <row r="19" spans="1:8">
      <c r="A19" s="134" t="s">
        <v>204</v>
      </c>
      <c r="B19" s="129" t="s">
        <v>8</v>
      </c>
      <c r="C19" s="129" t="s">
        <v>524</v>
      </c>
      <c r="D19" s="139">
        <f>IF(ISNA(VLOOKUP($A19,'Audit Values'!$A:$BX,2,FALSE)),'Preliminary SO66'!AZ18,VLOOKUP($A19,'Audit Values'!$A:$BX,49,FALSE))</f>
        <v>203190</v>
      </c>
      <c r="E19" s="139">
        <f t="shared" si="0"/>
        <v>223509</v>
      </c>
      <c r="F19" s="139">
        <f>'2024 Legal Max'!AL19*'Weighting Factors'!$O$5</f>
        <v>102269</v>
      </c>
      <c r="G19" s="139">
        <f t="shared" si="1"/>
        <v>0</v>
      </c>
      <c r="H19" s="166">
        <f>'2024 Legal Max'!AY19</f>
        <v>6</v>
      </c>
    </row>
    <row r="20" spans="1:8">
      <c r="A20" s="134" t="s">
        <v>205</v>
      </c>
      <c r="B20" s="129" t="s">
        <v>9</v>
      </c>
      <c r="C20" s="129" t="s">
        <v>525</v>
      </c>
      <c r="D20" s="139">
        <f>IF(ISNA(VLOOKUP($A20,'Audit Values'!$A:$BX,2,FALSE)),'Preliminary SO66'!AZ19,VLOOKUP($A20,'Audit Values'!$A:$BX,49,FALSE))</f>
        <v>1654283</v>
      </c>
      <c r="E20" s="139">
        <f t="shared" si="0"/>
        <v>1819711</v>
      </c>
      <c r="F20" s="139">
        <f>'2024 Legal Max'!AL20*'Weighting Factors'!$O$5</f>
        <v>823747</v>
      </c>
      <c r="G20" s="139">
        <f t="shared" si="1"/>
        <v>0</v>
      </c>
      <c r="H20" s="166">
        <f>'2024 Legal Max'!AY20</f>
        <v>25</v>
      </c>
    </row>
    <row r="21" spans="1:8">
      <c r="A21" s="134" t="s">
        <v>206</v>
      </c>
      <c r="B21" s="129" t="s">
        <v>9</v>
      </c>
      <c r="C21" s="129" t="s">
        <v>526</v>
      </c>
      <c r="D21" s="139">
        <f>IF(ISNA(VLOOKUP($A21,'Audit Values'!$A:$BX,2,FALSE)),'Preliminary SO66'!AZ20,VLOOKUP($A21,'Audit Values'!$A:$BX,49,FALSE))</f>
        <v>1202915</v>
      </c>
      <c r="E21" s="139">
        <f t="shared" si="0"/>
        <v>1323207</v>
      </c>
      <c r="F21" s="139">
        <f>'2024 Legal Max'!AL21*'Weighting Factors'!$O$5</f>
        <v>861907</v>
      </c>
      <c r="G21" s="139">
        <f t="shared" si="1"/>
        <v>0</v>
      </c>
      <c r="H21" s="166">
        <f>'2024 Legal Max'!AY21</f>
        <v>8</v>
      </c>
    </row>
    <row r="22" spans="1:8">
      <c r="A22" s="134" t="s">
        <v>207</v>
      </c>
      <c r="B22" s="129" t="s">
        <v>9</v>
      </c>
      <c r="C22" s="129" t="s">
        <v>527</v>
      </c>
      <c r="D22" s="139">
        <f>IF(ISNA(VLOOKUP($A22,'Audit Values'!$A:$BX,2,FALSE)),'Preliminary SO66'!AZ21,VLOOKUP($A22,'Audit Values'!$A:$BX,49,FALSE))</f>
        <v>935584</v>
      </c>
      <c r="E22" s="139">
        <f t="shared" si="0"/>
        <v>1029142</v>
      </c>
      <c r="F22" s="139">
        <f>'2024 Legal Max'!AL22*'Weighting Factors'!$O$5</f>
        <v>389232</v>
      </c>
      <c r="G22" s="139">
        <f t="shared" si="1"/>
        <v>0</v>
      </c>
      <c r="H22" s="166">
        <f>'2024 Legal Max'!AY22</f>
        <v>14</v>
      </c>
    </row>
    <row r="23" spans="1:8">
      <c r="A23" s="134" t="s">
        <v>208</v>
      </c>
      <c r="B23" s="129" t="s">
        <v>10</v>
      </c>
      <c r="C23" s="129" t="s">
        <v>528</v>
      </c>
      <c r="D23" s="139">
        <f>IF(ISNA(VLOOKUP($A23,'Audit Values'!$A:$BX,2,FALSE)),'Preliminary SO66'!AZ22,VLOOKUP($A23,'Audit Values'!$A:$BX,49,FALSE))</f>
        <v>361747</v>
      </c>
      <c r="E23" s="139">
        <f t="shared" si="0"/>
        <v>397922</v>
      </c>
      <c r="F23" s="139">
        <f>'2024 Legal Max'!AL23*'Weighting Factors'!$O$5</f>
        <v>350563</v>
      </c>
      <c r="G23" s="139">
        <f t="shared" si="1"/>
        <v>0</v>
      </c>
      <c r="H23" s="166">
        <f>'2024 Legal Max'!AY23</f>
        <v>18</v>
      </c>
    </row>
    <row r="24" spans="1:8">
      <c r="A24" s="134" t="s">
        <v>209</v>
      </c>
      <c r="B24" s="129" t="s">
        <v>10</v>
      </c>
      <c r="C24" s="129" t="s">
        <v>529</v>
      </c>
      <c r="D24" s="139">
        <f>IF(ISNA(VLOOKUP($A24,'Audit Values'!$A:$BX,2,FALSE)),'Preliminary SO66'!AZ23,VLOOKUP($A24,'Audit Values'!$A:$BX,49,FALSE))</f>
        <v>310932</v>
      </c>
      <c r="E24" s="139">
        <f t="shared" si="0"/>
        <v>342025</v>
      </c>
      <c r="F24" s="139">
        <f>'2024 Legal Max'!AL24*'Weighting Factors'!$O$5</f>
        <v>280858</v>
      </c>
      <c r="G24" s="139">
        <f t="shared" si="1"/>
        <v>0</v>
      </c>
      <c r="H24" s="166">
        <f>'2024 Legal Max'!AY24</f>
        <v>15</v>
      </c>
    </row>
    <row r="25" spans="1:8">
      <c r="A25" s="134" t="s">
        <v>210</v>
      </c>
      <c r="B25" s="129" t="s">
        <v>11</v>
      </c>
      <c r="C25" s="129" t="s">
        <v>530</v>
      </c>
      <c r="D25" s="139">
        <f>IF(ISNA(VLOOKUP($A25,'Audit Values'!$A:$BX,2,FALSE)),'Preliminary SO66'!AZ24,VLOOKUP($A25,'Audit Values'!$A:$BX,49,FALSE))</f>
        <v>402560</v>
      </c>
      <c r="E25" s="139">
        <f t="shared" si="0"/>
        <v>442816</v>
      </c>
      <c r="F25" s="139">
        <f>'2024 Legal Max'!AL25*'Weighting Factors'!$O$5</f>
        <v>124147</v>
      </c>
      <c r="G25" s="139">
        <f>IF(F25-E25&gt;0,E25-F25,0)</f>
        <v>0</v>
      </c>
      <c r="H25" s="166">
        <f>'2024 Legal Max'!AY25</f>
        <v>14</v>
      </c>
    </row>
    <row r="26" spans="1:8">
      <c r="A26" s="134" t="s">
        <v>211</v>
      </c>
      <c r="B26" s="129" t="s">
        <v>12</v>
      </c>
      <c r="C26" s="129" t="s">
        <v>531</v>
      </c>
      <c r="D26" s="139">
        <f>IF(ISNA(VLOOKUP($A26,'Audit Values'!$A:$BX,2,FALSE)),'Preliminary SO66'!AZ25,VLOOKUP($A26,'Audit Values'!$A:$BX,49,FALSE))</f>
        <v>135127</v>
      </c>
      <c r="E26" s="139">
        <f t="shared" si="0"/>
        <v>148640</v>
      </c>
      <c r="F26" s="139">
        <f>'2024 Legal Max'!AL26*'Weighting Factors'!$O$5</f>
        <v>130253</v>
      </c>
      <c r="G26" s="139">
        <f t="shared" si="1"/>
        <v>0</v>
      </c>
      <c r="H26" s="166">
        <f>'2024 Legal Max'!AY26</f>
        <v>3</v>
      </c>
    </row>
    <row r="27" spans="1:8">
      <c r="A27" s="134" t="s">
        <v>212</v>
      </c>
      <c r="B27" s="129" t="s">
        <v>13</v>
      </c>
      <c r="C27" s="129" t="s">
        <v>532</v>
      </c>
      <c r="D27" s="139">
        <f>IF(ISNA(VLOOKUP($A27,'Audit Values'!$A:$BX,2,FALSE)),'Preliminary SO66'!AZ26,VLOOKUP($A27,'Audit Values'!$A:$BX,49,FALSE))</f>
        <v>93602</v>
      </c>
      <c r="E27" s="139">
        <f t="shared" si="0"/>
        <v>102962</v>
      </c>
      <c r="F27" s="139">
        <f>'2024 Legal Max'!AL27*'Weighting Factors'!$O$5</f>
        <v>39686</v>
      </c>
      <c r="G27" s="139">
        <f t="shared" si="1"/>
        <v>0</v>
      </c>
      <c r="H27" s="166">
        <f>'2024 Legal Max'!AY27</f>
        <v>10</v>
      </c>
    </row>
    <row r="28" spans="1:8">
      <c r="A28" s="134" t="s">
        <v>213</v>
      </c>
      <c r="B28" s="129" t="s">
        <v>13</v>
      </c>
      <c r="C28" s="129" t="s">
        <v>533</v>
      </c>
      <c r="D28" s="139">
        <f>IF(ISNA(VLOOKUP($A28,'Audit Values'!$A:$BX,2,FALSE)),'Preliminary SO66'!AZ27,VLOOKUP($A28,'Audit Values'!$A:$BX,49,FALSE))</f>
        <v>509207</v>
      </c>
      <c r="E28" s="139">
        <f t="shared" si="0"/>
        <v>560128</v>
      </c>
      <c r="F28" s="139">
        <f>'2024 Legal Max'!AL28*'Weighting Factors'!$O$5</f>
        <v>223872</v>
      </c>
      <c r="G28" s="139">
        <f t="shared" si="1"/>
        <v>0</v>
      </c>
      <c r="H28" s="166">
        <f>'2024 Legal Max'!AY28</f>
        <v>8</v>
      </c>
    </row>
    <row r="29" spans="1:8">
      <c r="A29" s="134" t="s">
        <v>214</v>
      </c>
      <c r="B29" s="129" t="s">
        <v>14</v>
      </c>
      <c r="C29" s="129" t="s">
        <v>534</v>
      </c>
      <c r="D29" s="139">
        <f>IF(ISNA(VLOOKUP($A29,'Audit Values'!$A:$BX,2,FALSE)),'Preliminary SO66'!AZ28,VLOOKUP($A29,'Audit Values'!$A:$BX,49,FALSE))</f>
        <v>307413</v>
      </c>
      <c r="E29" s="139">
        <f t="shared" si="0"/>
        <v>338154</v>
      </c>
      <c r="F29" s="139">
        <f>'2024 Legal Max'!AL29*'Weighting Factors'!$O$5</f>
        <v>178080</v>
      </c>
      <c r="G29" s="139">
        <f t="shared" si="1"/>
        <v>0</v>
      </c>
      <c r="H29" s="166">
        <f>'2024 Legal Max'!AY29</f>
        <v>15</v>
      </c>
    </row>
    <row r="30" spans="1:8">
      <c r="A30" s="134" t="s">
        <v>215</v>
      </c>
      <c r="B30" s="129" t="s">
        <v>14</v>
      </c>
      <c r="C30" s="129" t="s">
        <v>535</v>
      </c>
      <c r="D30" s="139">
        <f>IF(ISNA(VLOOKUP($A30,'Audit Values'!$A:$BX,2,FALSE)),'Preliminary SO66'!AZ29,VLOOKUP($A30,'Audit Values'!$A:$BX,49,FALSE))</f>
        <v>105181</v>
      </c>
      <c r="E30" s="139">
        <f t="shared" si="0"/>
        <v>115699</v>
      </c>
      <c r="F30" s="139">
        <f>'2024 Legal Max'!AL30*'Weighting Factors'!$O$5</f>
        <v>102269</v>
      </c>
      <c r="G30" s="139">
        <f t="shared" si="1"/>
        <v>0</v>
      </c>
      <c r="H30" s="166">
        <f>'2024 Legal Max'!AY30</f>
        <v>25</v>
      </c>
    </row>
    <row r="31" spans="1:8">
      <c r="A31" s="134" t="s">
        <v>216</v>
      </c>
      <c r="B31" s="129" t="s">
        <v>15</v>
      </c>
      <c r="C31" s="129" t="s">
        <v>536</v>
      </c>
      <c r="D31" s="139">
        <f>IF(ISNA(VLOOKUP($A31,'Audit Values'!$A:$BX,2,FALSE)),'Preliminary SO66'!AZ30,VLOOKUP($A31,'Audit Values'!$A:$BX,49,FALSE))</f>
        <v>325871</v>
      </c>
      <c r="E31" s="139">
        <f t="shared" si="0"/>
        <v>358458</v>
      </c>
      <c r="F31" s="139">
        <f>'2024 Legal Max'!AL31*'Weighting Factors'!$O$5</f>
        <v>282893</v>
      </c>
      <c r="G31" s="139">
        <f t="shared" si="1"/>
        <v>0</v>
      </c>
      <c r="H31" s="166">
        <f>'2024 Legal Max'!AY31</f>
        <v>18</v>
      </c>
    </row>
    <row r="32" spans="1:8">
      <c r="A32" s="134" t="s">
        <v>217</v>
      </c>
      <c r="B32" s="129" t="s">
        <v>16</v>
      </c>
      <c r="C32" s="129" t="s">
        <v>537</v>
      </c>
      <c r="D32" s="139">
        <f>IF(ISNA(VLOOKUP($A32,'Audit Values'!$A:$BX,2,FALSE)),'Preliminary SO66'!AZ31,VLOOKUP($A32,'Audit Values'!$A:$BX,49,FALSE))</f>
        <v>240027</v>
      </c>
      <c r="E32" s="139">
        <f t="shared" si="0"/>
        <v>264030</v>
      </c>
      <c r="F32" s="139">
        <f>'2024 Legal Max'!AL32*'Weighting Factors'!$O$5</f>
        <v>75302</v>
      </c>
      <c r="G32" s="139">
        <f t="shared" si="1"/>
        <v>0</v>
      </c>
      <c r="H32" s="166">
        <f>'2024 Legal Max'!AY32</f>
        <v>24</v>
      </c>
    </row>
    <row r="33" spans="1:8">
      <c r="A33" s="134" t="s">
        <v>218</v>
      </c>
      <c r="B33" s="129" t="s">
        <v>16</v>
      </c>
      <c r="C33" s="129" t="s">
        <v>538</v>
      </c>
      <c r="D33" s="139">
        <f>IF(ISNA(VLOOKUP($A33,'Audit Values'!$A:$BX,2,FALSE)),'Preliminary SO66'!AZ32,VLOOKUP($A33,'Audit Values'!$A:$BX,49,FALSE))</f>
        <v>82000</v>
      </c>
      <c r="E33" s="139">
        <f t="shared" si="0"/>
        <v>90200</v>
      </c>
      <c r="F33" s="139">
        <f>'2024 Legal Max'!AL33*'Weighting Factors'!$O$5</f>
        <v>21878</v>
      </c>
      <c r="G33" s="139">
        <f t="shared" si="1"/>
        <v>0</v>
      </c>
      <c r="H33" s="166">
        <f>'2024 Legal Max'!AY33</f>
        <v>17</v>
      </c>
    </row>
    <row r="34" spans="1:8">
      <c r="A34" s="134" t="s">
        <v>219</v>
      </c>
      <c r="B34" s="129" t="s">
        <v>17</v>
      </c>
      <c r="C34" s="129" t="s">
        <v>539</v>
      </c>
      <c r="D34" s="139">
        <f>IF(ISNA(VLOOKUP($A34,'Audit Values'!$A:$BX,2,FALSE)),'Preliminary SO66'!AZ33,VLOOKUP($A34,'Audit Values'!$A:$BX,49,FALSE))</f>
        <v>81179</v>
      </c>
      <c r="E34" s="139">
        <f t="shared" si="0"/>
        <v>89297</v>
      </c>
      <c r="F34" s="139">
        <f>'2024 Legal Max'!AL34*'Weighting Factors'!$O$5</f>
        <v>48845</v>
      </c>
      <c r="G34" s="139">
        <f t="shared" si="1"/>
        <v>0</v>
      </c>
      <c r="H34" s="166">
        <f>'2024 Legal Max'!AY34</f>
        <v>6</v>
      </c>
    </row>
    <row r="35" spans="1:8">
      <c r="A35" s="134" t="s">
        <v>220</v>
      </c>
      <c r="B35" s="129" t="s">
        <v>17</v>
      </c>
      <c r="C35" s="129" t="s">
        <v>540</v>
      </c>
      <c r="D35" s="139">
        <f>IF(ISNA(VLOOKUP($A35,'Audit Values'!$A:$BX,2,FALSE)),'Preliminary SO66'!AZ34,VLOOKUP($A35,'Audit Values'!$A:$BX,49,FALSE))</f>
        <v>120579</v>
      </c>
      <c r="E35" s="139">
        <f t="shared" si="0"/>
        <v>132637</v>
      </c>
      <c r="F35" s="139">
        <f>'2024 Legal Max'!AL35*'Weighting Factors'!$O$5</f>
        <v>37651</v>
      </c>
      <c r="G35" s="139">
        <f t="shared" si="1"/>
        <v>0</v>
      </c>
      <c r="H35" s="166">
        <f>'2024 Legal Max'!AY35</f>
        <v>28</v>
      </c>
    </row>
    <row r="36" spans="1:8">
      <c r="A36" s="134" t="s">
        <v>221</v>
      </c>
      <c r="B36" s="129" t="s">
        <v>18</v>
      </c>
      <c r="C36" s="129" t="s">
        <v>541</v>
      </c>
      <c r="D36" s="139">
        <f>IF(ISNA(VLOOKUP($A36,'Audit Values'!$A:$BX,2,FALSE)),'Preliminary SO66'!AZ35,VLOOKUP($A36,'Audit Values'!$A:$BX,49,FALSE))</f>
        <v>91016</v>
      </c>
      <c r="E36" s="139">
        <f t="shared" si="0"/>
        <v>100118</v>
      </c>
      <c r="F36" s="139">
        <f>'2024 Legal Max'!AL36*'Weighting Factors'!$O$5</f>
        <v>78355</v>
      </c>
      <c r="G36" s="139">
        <f t="shared" si="1"/>
        <v>0</v>
      </c>
      <c r="H36" s="166">
        <f>'2024 Legal Max'!AY36</f>
        <v>14</v>
      </c>
    </row>
    <row r="37" spans="1:8">
      <c r="A37" s="134" t="s">
        <v>222</v>
      </c>
      <c r="B37" s="129" t="s">
        <v>18</v>
      </c>
      <c r="C37" s="129" t="s">
        <v>542</v>
      </c>
      <c r="D37" s="139">
        <f>IF(ISNA(VLOOKUP($A37,'Audit Values'!$A:$BX,2,FALSE)),'Preliminary SO66'!AZ36,VLOOKUP($A37,'Audit Values'!$A:$BX,49,FALSE))</f>
        <v>161728</v>
      </c>
      <c r="E37" s="139">
        <f t="shared" si="0"/>
        <v>177901</v>
      </c>
      <c r="F37" s="139">
        <f>'2024 Legal Max'!AL37*'Weighting Factors'!$O$5</f>
        <v>52406</v>
      </c>
      <c r="G37" s="139">
        <f t="shared" si="1"/>
        <v>0</v>
      </c>
      <c r="H37" s="166">
        <f>'2024 Legal Max'!AY37</f>
        <v>11</v>
      </c>
    </row>
    <row r="38" spans="1:8">
      <c r="A38" s="134" t="s">
        <v>223</v>
      </c>
      <c r="B38" s="129" t="s">
        <v>19</v>
      </c>
      <c r="C38" s="129" t="s">
        <v>543</v>
      </c>
      <c r="D38" s="139">
        <f>IF(ISNA(VLOOKUP($A38,'Audit Values'!$A:$BX,2,FALSE)),'Preliminary SO66'!AZ37,VLOOKUP($A38,'Audit Values'!$A:$BX,49,FALSE))</f>
        <v>246552</v>
      </c>
      <c r="E38" s="139">
        <f t="shared" si="0"/>
        <v>271207</v>
      </c>
      <c r="F38" s="139">
        <f>'2024 Legal Max'!AL38*'Weighting Factors'!$O$5</f>
        <v>175027</v>
      </c>
      <c r="G38" s="139">
        <f t="shared" si="1"/>
        <v>0</v>
      </c>
      <c r="H38" s="166">
        <f>'2024 Legal Max'!AY38</f>
        <v>16</v>
      </c>
    </row>
    <row r="39" spans="1:8">
      <c r="A39" s="134" t="s">
        <v>224</v>
      </c>
      <c r="B39" s="129" t="s">
        <v>19</v>
      </c>
      <c r="C39" s="129" t="s">
        <v>544</v>
      </c>
      <c r="D39" s="139">
        <f>IF(ISNA(VLOOKUP($A39,'Audit Values'!$A:$BX,2,FALSE)),'Preliminary SO66'!AZ38,VLOOKUP($A39,'Audit Values'!$A:$BX,49,FALSE))</f>
        <v>271614</v>
      </c>
      <c r="E39" s="139">
        <f t="shared" si="0"/>
        <v>298775</v>
      </c>
      <c r="F39" s="139">
        <f>'2024 Legal Max'!AL39*'Weighting Factors'!$O$5</f>
        <v>205046</v>
      </c>
      <c r="G39" s="139">
        <f t="shared" si="1"/>
        <v>0</v>
      </c>
      <c r="H39" s="166">
        <f>'2024 Legal Max'!AY39</f>
        <v>17</v>
      </c>
    </row>
    <row r="40" spans="1:8">
      <c r="A40" s="134" t="s">
        <v>225</v>
      </c>
      <c r="B40" s="129" t="s">
        <v>20</v>
      </c>
      <c r="C40" s="129" t="s">
        <v>545</v>
      </c>
      <c r="D40" s="139">
        <f>IF(ISNA(VLOOKUP($A40,'Audit Values'!$A:$BX,2,FALSE)),'Preliminary SO66'!AZ39,VLOOKUP($A40,'Audit Values'!$A:$BX,49,FALSE))</f>
        <v>62909</v>
      </c>
      <c r="E40" s="139">
        <f t="shared" si="0"/>
        <v>69200</v>
      </c>
      <c r="F40" s="139">
        <f>'2024 Legal Max'!AL40*'Weighting Factors'!$O$5</f>
        <v>2035</v>
      </c>
      <c r="G40" s="139">
        <f t="shared" si="1"/>
        <v>0</v>
      </c>
      <c r="H40" s="166">
        <f>'2024 Legal Max'!AY40</f>
        <v>6</v>
      </c>
    </row>
    <row r="41" spans="1:8">
      <c r="A41" s="134" t="s">
        <v>226</v>
      </c>
      <c r="B41" s="129" t="s">
        <v>20</v>
      </c>
      <c r="C41" s="129" t="s">
        <v>546</v>
      </c>
      <c r="D41" s="139">
        <f>IF(ISNA(VLOOKUP($A41,'Audit Values'!$A:$BX,2,FALSE)),'Preliminary SO66'!AZ40,VLOOKUP($A41,'Audit Values'!$A:$BX,49,FALSE))</f>
        <v>120167</v>
      </c>
      <c r="E41" s="139">
        <f t="shared" si="0"/>
        <v>132184</v>
      </c>
      <c r="F41" s="139">
        <f>'2024 Legal Max'!AL41*'Weighting Factors'!$O$5</f>
        <v>75811</v>
      </c>
      <c r="G41" s="139">
        <f t="shared" si="1"/>
        <v>0</v>
      </c>
      <c r="H41" s="166">
        <f>'2024 Legal Max'!AY41</f>
        <v>5</v>
      </c>
    </row>
    <row r="42" spans="1:8">
      <c r="A42" s="134" t="s">
        <v>227</v>
      </c>
      <c r="B42" s="129" t="s">
        <v>21</v>
      </c>
      <c r="C42" s="129" t="s">
        <v>547</v>
      </c>
      <c r="D42" s="139">
        <f>IF(ISNA(VLOOKUP($A42,'Audit Values'!$A:$BX,2,FALSE)),'Preliminary SO66'!AZ41,VLOOKUP($A42,'Audit Values'!$A:$BX,49,FALSE))</f>
        <v>229739</v>
      </c>
      <c r="E42" s="139">
        <f t="shared" si="0"/>
        <v>252713</v>
      </c>
      <c r="F42" s="139">
        <f>'2024 Legal Max'!AL42*'Weighting Factors'!$O$5</f>
        <v>212678</v>
      </c>
      <c r="G42" s="139">
        <f t="shared" si="1"/>
        <v>0</v>
      </c>
      <c r="H42" s="166">
        <f>'2024 Legal Max'!AY42</f>
        <v>7</v>
      </c>
    </row>
    <row r="43" spans="1:8">
      <c r="A43" s="134" t="s">
        <v>228</v>
      </c>
      <c r="B43" s="129" t="s">
        <v>22</v>
      </c>
      <c r="C43" s="129" t="s">
        <v>548</v>
      </c>
      <c r="D43" s="139">
        <f>IF(ISNA(VLOOKUP($A43,'Audit Values'!$A:$BX,2,FALSE)),'Preliminary SO66'!AZ42,VLOOKUP($A43,'Audit Values'!$A:$BX,49,FALSE))</f>
        <v>2812059</v>
      </c>
      <c r="E43" s="139">
        <f t="shared" si="0"/>
        <v>3093265</v>
      </c>
      <c r="F43" s="139">
        <f>'2024 Legal Max'!AL43*'Weighting Factors'!$O$5</f>
        <v>2637619</v>
      </c>
      <c r="G43" s="139">
        <f t="shared" si="1"/>
        <v>0</v>
      </c>
      <c r="H43" s="166">
        <f>'2024 Legal Max'!AY43</f>
        <v>25</v>
      </c>
    </row>
    <row r="44" spans="1:8">
      <c r="A44" s="134" t="s">
        <v>229</v>
      </c>
      <c r="B44" s="129" t="s">
        <v>22</v>
      </c>
      <c r="C44" s="129" t="s">
        <v>549</v>
      </c>
      <c r="D44" s="139">
        <f>IF(ISNA(VLOOKUP($A44,'Audit Values'!$A:$BX,2,FALSE)),'Preliminary SO66'!AZ43,VLOOKUP($A44,'Audit Values'!$A:$BX,49,FALSE))</f>
        <v>1749314</v>
      </c>
      <c r="E44" s="139">
        <f t="shared" si="0"/>
        <v>1924245</v>
      </c>
      <c r="F44" s="139">
        <f>'2024 Legal Max'!AL44*'Weighting Factors'!$O$5</f>
        <v>969773</v>
      </c>
      <c r="G44" s="139">
        <f t="shared" si="1"/>
        <v>0</v>
      </c>
      <c r="H44" s="166">
        <f>'2024 Legal Max'!AY44</f>
        <v>15</v>
      </c>
    </row>
    <row r="45" spans="1:8">
      <c r="A45" s="134" t="s">
        <v>230</v>
      </c>
      <c r="B45" s="129" t="s">
        <v>22</v>
      </c>
      <c r="C45" s="129" t="s">
        <v>550</v>
      </c>
      <c r="D45" s="139">
        <f>IF(ISNA(VLOOKUP($A45,'Audit Values'!$A:$BX,2,FALSE)),'Preliminary SO66'!AZ44,VLOOKUP($A45,'Audit Values'!$A:$BX,49,FALSE))</f>
        <v>4629459</v>
      </c>
      <c r="E45" s="139">
        <f t="shared" si="0"/>
        <v>5092405</v>
      </c>
      <c r="F45" s="139">
        <f>'2024 Legal Max'!AL45*'Weighting Factors'!$O$5</f>
        <v>821712</v>
      </c>
      <c r="G45" s="139">
        <f t="shared" si="1"/>
        <v>0</v>
      </c>
      <c r="H45" s="166">
        <f>'2024 Legal Max'!AY45</f>
        <v>13</v>
      </c>
    </row>
    <row r="46" spans="1:8">
      <c r="A46" s="134" t="s">
        <v>231</v>
      </c>
      <c r="B46" s="129" t="s">
        <v>22</v>
      </c>
      <c r="C46" s="129" t="s">
        <v>551</v>
      </c>
      <c r="D46" s="139">
        <f>IF(ISNA(VLOOKUP($A46,'Audit Values'!$A:$BX,2,FALSE)),'Preliminary SO66'!AZ45,VLOOKUP($A46,'Audit Values'!$A:$BX,49,FALSE))</f>
        <v>2219486</v>
      </c>
      <c r="E46" s="139">
        <f t="shared" si="0"/>
        <v>2441435</v>
      </c>
      <c r="F46" s="139">
        <f>'2024 Legal Max'!AL46*'Weighting Factors'!$O$5</f>
        <v>1260806</v>
      </c>
      <c r="G46" s="139">
        <f t="shared" si="1"/>
        <v>0</v>
      </c>
      <c r="H46" s="166">
        <f>'2024 Legal Max'!AY46</f>
        <v>25</v>
      </c>
    </row>
    <row r="47" spans="1:8">
      <c r="A47" s="134" t="s">
        <v>232</v>
      </c>
      <c r="B47" s="129" t="s">
        <v>22</v>
      </c>
      <c r="C47" s="129" t="s">
        <v>552</v>
      </c>
      <c r="D47" s="139">
        <f>IF(ISNA(VLOOKUP($A47,'Audit Values'!$A:$BX,2,FALSE)),'Preliminary SO66'!AZ46,VLOOKUP($A47,'Audit Values'!$A:$BX,49,FALSE))</f>
        <v>6391425</v>
      </c>
      <c r="E47" s="139">
        <f t="shared" si="0"/>
        <v>7030568</v>
      </c>
      <c r="F47" s="139">
        <f>'2024 Legal Max'!AL47*'Weighting Factors'!$O$5</f>
        <v>4075997</v>
      </c>
      <c r="G47" s="139">
        <f t="shared" si="1"/>
        <v>0</v>
      </c>
      <c r="H47" s="166">
        <f>'2024 Legal Max'!AY47</f>
        <v>22</v>
      </c>
    </row>
    <row r="48" spans="1:8">
      <c r="A48" s="134" t="s">
        <v>233</v>
      </c>
      <c r="B48" s="129" t="s">
        <v>23</v>
      </c>
      <c r="C48" s="129" t="s">
        <v>553</v>
      </c>
      <c r="D48" s="139">
        <f>IF(ISNA(VLOOKUP($A48,'Audit Values'!$A:$BX,2,FALSE)),'Preliminary SO66'!AZ47,VLOOKUP($A48,'Audit Values'!$A:$BX,49,FALSE))</f>
        <v>1096508</v>
      </c>
      <c r="E48" s="139">
        <f t="shared" si="0"/>
        <v>1206159</v>
      </c>
      <c r="F48" s="139">
        <f>'2024 Legal Max'!AL48*'Weighting Factors'!$O$5</f>
        <v>511853</v>
      </c>
      <c r="G48" s="139">
        <f t="shared" si="1"/>
        <v>0</v>
      </c>
      <c r="H48" s="166">
        <f>'2024 Legal Max'!AY48</f>
        <v>15</v>
      </c>
    </row>
    <row r="49" spans="1:8">
      <c r="A49" s="134" t="s">
        <v>234</v>
      </c>
      <c r="B49" s="129" t="s">
        <v>23</v>
      </c>
      <c r="C49" s="129" t="s">
        <v>554</v>
      </c>
      <c r="D49" s="139">
        <f>IF(ISNA(VLOOKUP($A49,'Audit Values'!$A:$BX,2,FALSE)),'Preliminary SO66'!AZ48,VLOOKUP($A49,'Audit Values'!$A:$BX,49,FALSE))</f>
        <v>308023</v>
      </c>
      <c r="E49" s="139">
        <f t="shared" si="0"/>
        <v>338825</v>
      </c>
      <c r="F49" s="139">
        <f>'2024 Legal Max'!AL49*'Weighting Factors'!$O$5</f>
        <v>308333</v>
      </c>
      <c r="G49" s="139">
        <f t="shared" si="1"/>
        <v>0</v>
      </c>
      <c r="H49" s="166">
        <f>'2024 Legal Max'!AY49</f>
        <v>8</v>
      </c>
    </row>
    <row r="50" spans="1:8">
      <c r="A50" s="134" t="s">
        <v>235</v>
      </c>
      <c r="B50" s="129" t="s">
        <v>24</v>
      </c>
      <c r="C50" s="129" t="s">
        <v>555</v>
      </c>
      <c r="D50" s="139">
        <f>IF(ISNA(VLOOKUP($A50,'Audit Values'!$A:$BX,2,FALSE)),'Preliminary SO66'!AZ49,VLOOKUP($A50,'Audit Values'!$A:$BX,49,FALSE))</f>
        <v>195071</v>
      </c>
      <c r="E50" s="139">
        <f t="shared" si="0"/>
        <v>214578</v>
      </c>
      <c r="F50" s="139">
        <f>'2024 Legal Max'!AL50*'Weighting Factors'!$O$5</f>
        <v>203011</v>
      </c>
      <c r="G50" s="139">
        <f t="shared" si="1"/>
        <v>0</v>
      </c>
      <c r="H50" s="166">
        <f>'2024 Legal Max'!AY50</f>
        <v>16</v>
      </c>
    </row>
    <row r="51" spans="1:8">
      <c r="A51" s="134" t="s">
        <v>236</v>
      </c>
      <c r="B51" s="129" t="s">
        <v>25</v>
      </c>
      <c r="C51" s="129" t="s">
        <v>556</v>
      </c>
      <c r="D51" s="139">
        <f>IF(ISNA(VLOOKUP($A51,'Audit Values'!$A:$BX,2,FALSE)),'Preliminary SO66'!AZ50,VLOOKUP($A51,'Audit Values'!$A:$BX,49,FALSE))</f>
        <v>237609</v>
      </c>
      <c r="E51" s="139">
        <f t="shared" si="0"/>
        <v>261370</v>
      </c>
      <c r="F51" s="139">
        <f>'2024 Legal Max'!AL51*'Weighting Factors'!$O$5</f>
        <v>238627</v>
      </c>
      <c r="G51" s="139">
        <f t="shared" si="1"/>
        <v>0</v>
      </c>
      <c r="H51" s="166">
        <f>'2024 Legal Max'!AY51</f>
        <v>4</v>
      </c>
    </row>
    <row r="52" spans="1:8">
      <c r="A52" s="134" t="s">
        <v>237</v>
      </c>
      <c r="B52" s="129" t="s">
        <v>25</v>
      </c>
      <c r="C52" s="129" t="s">
        <v>557</v>
      </c>
      <c r="D52" s="139">
        <f>IF(ISNA(VLOOKUP($A52,'Audit Values'!$A:$BX,2,FALSE)),'Preliminary SO66'!AZ51,VLOOKUP($A52,'Audit Values'!$A:$BX,49,FALSE))</f>
        <v>455136</v>
      </c>
      <c r="E52" s="139">
        <f t="shared" si="0"/>
        <v>500650</v>
      </c>
      <c r="F52" s="139">
        <f>'2024 Legal Max'!AL52*'Weighting Factors'!$O$5</f>
        <v>218275</v>
      </c>
      <c r="G52" s="139">
        <f t="shared" si="1"/>
        <v>0</v>
      </c>
      <c r="H52" s="166">
        <f>'2024 Legal Max'!AY52</f>
        <v>25</v>
      </c>
    </row>
    <row r="53" spans="1:8">
      <c r="A53" s="134" t="s">
        <v>238</v>
      </c>
      <c r="B53" s="129" t="s">
        <v>26</v>
      </c>
      <c r="C53" s="129" t="s">
        <v>558</v>
      </c>
      <c r="D53" s="139">
        <f>IF(ISNA(VLOOKUP($A53,'Audit Values'!$A:$BX,2,FALSE)),'Preliminary SO66'!AZ52,VLOOKUP($A53,'Audit Values'!$A:$BX,49,FALSE))</f>
        <v>84413</v>
      </c>
      <c r="E53" s="139">
        <f t="shared" si="0"/>
        <v>92854</v>
      </c>
      <c r="F53" s="139">
        <f>'2024 Legal Max'!AL53*'Weighting Factors'!$O$5</f>
        <v>97690</v>
      </c>
      <c r="G53" s="139">
        <f t="shared" si="1"/>
        <v>-4836</v>
      </c>
      <c r="H53" s="166">
        <f>'2024 Legal Max'!AY53</f>
        <v>25</v>
      </c>
    </row>
    <row r="54" spans="1:8">
      <c r="A54" s="134" t="s">
        <v>239</v>
      </c>
      <c r="B54" s="129" t="s">
        <v>26</v>
      </c>
      <c r="C54" s="129" t="s">
        <v>559</v>
      </c>
      <c r="D54" s="139">
        <f>IF(ISNA(VLOOKUP($A54,'Audit Values'!$A:$BX,2,FALSE)),'Preliminary SO66'!AZ53,VLOOKUP($A54,'Audit Values'!$A:$BX,49,FALSE))</f>
        <v>26173</v>
      </c>
      <c r="E54" s="139">
        <f t="shared" si="0"/>
        <v>28790</v>
      </c>
      <c r="F54" s="139">
        <f>'2024 Legal Max'!AL54*'Weighting Factors'!$O$5</f>
        <v>58512</v>
      </c>
      <c r="G54" s="139">
        <f t="shared" si="1"/>
        <v>-29722</v>
      </c>
      <c r="H54" s="166">
        <f>'2024 Legal Max'!AY54</f>
        <v>7</v>
      </c>
    </row>
    <row r="55" spans="1:8">
      <c r="A55" s="134" t="s">
        <v>240</v>
      </c>
      <c r="B55" s="129" t="s">
        <v>27</v>
      </c>
      <c r="C55" s="129" t="s">
        <v>560</v>
      </c>
      <c r="D55" s="139">
        <f>IF(ISNA(VLOOKUP($A55,'Audit Values'!$A:$BX,2,FALSE)),'Preliminary SO66'!AZ54,VLOOKUP($A55,'Audit Values'!$A:$BX,49,FALSE))</f>
        <v>338786</v>
      </c>
      <c r="E55" s="139">
        <f t="shared" si="0"/>
        <v>372665</v>
      </c>
      <c r="F55" s="139">
        <f>'2024 Legal Max'!AL55*'Weighting Factors'!$O$5</f>
        <v>122112</v>
      </c>
      <c r="G55" s="139">
        <f t="shared" si="1"/>
        <v>0</v>
      </c>
      <c r="H55" s="166">
        <f>'2024 Legal Max'!AY55</f>
        <v>30</v>
      </c>
    </row>
    <row r="56" spans="1:8">
      <c r="A56" s="134" t="s">
        <v>241</v>
      </c>
      <c r="B56" s="129" t="s">
        <v>27</v>
      </c>
      <c r="C56" s="129" t="s">
        <v>561</v>
      </c>
      <c r="D56" s="139">
        <f>IF(ISNA(VLOOKUP($A56,'Audit Values'!$A:$BX,2,FALSE)),'Preliminary SO66'!AZ55,VLOOKUP($A56,'Audit Values'!$A:$BX,49,FALSE))</f>
        <v>278039</v>
      </c>
      <c r="E56" s="139">
        <f t="shared" si="0"/>
        <v>305843</v>
      </c>
      <c r="F56" s="139">
        <f>'2024 Legal Max'!AL56*'Weighting Factors'!$O$5</f>
        <v>221328</v>
      </c>
      <c r="G56" s="139">
        <f t="shared" si="1"/>
        <v>0</v>
      </c>
      <c r="H56" s="166">
        <f>'2024 Legal Max'!AY56</f>
        <v>14</v>
      </c>
    </row>
    <row r="57" spans="1:8">
      <c r="A57" s="134" t="s">
        <v>242</v>
      </c>
      <c r="B57" s="129" t="s">
        <v>27</v>
      </c>
      <c r="C57" s="129" t="s">
        <v>562</v>
      </c>
      <c r="D57" s="139">
        <f>IF(ISNA(VLOOKUP($A57,'Audit Values'!$A:$BX,2,FALSE)),'Preliminary SO66'!AZ56,VLOOKUP($A57,'Audit Values'!$A:$BX,49,FALSE))</f>
        <v>278400</v>
      </c>
      <c r="E57" s="139">
        <f t="shared" si="0"/>
        <v>306240</v>
      </c>
      <c r="F57" s="139">
        <f>'2024 Legal Max'!AL57*'Weighting Factors'!$O$5</f>
        <v>122112</v>
      </c>
      <c r="G57" s="139">
        <f t="shared" si="1"/>
        <v>0</v>
      </c>
      <c r="H57" s="166">
        <f>'2024 Legal Max'!AY57</f>
        <v>15</v>
      </c>
    </row>
    <row r="58" spans="1:8">
      <c r="A58" s="134" t="s">
        <v>243</v>
      </c>
      <c r="B58" s="129" t="s">
        <v>28</v>
      </c>
      <c r="C58" s="129" t="s">
        <v>563</v>
      </c>
      <c r="D58" s="139">
        <f>IF(ISNA(VLOOKUP($A58,'Audit Values'!$A:$BX,2,FALSE)),'Preliminary SO66'!AZ57,VLOOKUP($A58,'Audit Values'!$A:$BX,49,FALSE))</f>
        <v>154738</v>
      </c>
      <c r="E58" s="139">
        <f t="shared" si="0"/>
        <v>170212</v>
      </c>
      <c r="F58" s="139">
        <f>'2024 Legal Max'!AL58*'Weighting Factors'!$O$5</f>
        <v>151622</v>
      </c>
      <c r="G58" s="139">
        <f t="shared" si="1"/>
        <v>0</v>
      </c>
      <c r="H58" s="166">
        <f>'2024 Legal Max'!AY58</f>
        <v>25</v>
      </c>
    </row>
    <row r="59" spans="1:8">
      <c r="A59" s="134" t="s">
        <v>244</v>
      </c>
      <c r="B59" s="129" t="s">
        <v>28</v>
      </c>
      <c r="C59" s="129" t="s">
        <v>564</v>
      </c>
      <c r="D59" s="139">
        <f>IF(ISNA(VLOOKUP($A59,'Audit Values'!$A:$BX,2,FALSE)),'Preliminary SO66'!AZ58,VLOOKUP($A59,'Audit Values'!$A:$BX,49,FALSE))</f>
        <v>266652</v>
      </c>
      <c r="E59" s="139">
        <f t="shared" si="0"/>
        <v>293317</v>
      </c>
      <c r="F59" s="139">
        <f>'2024 Legal Max'!AL59*'Weighting Factors'!$O$5</f>
        <v>281366</v>
      </c>
      <c r="G59" s="139">
        <f t="shared" si="1"/>
        <v>0</v>
      </c>
      <c r="H59" s="166">
        <f>'2024 Legal Max'!AY59</f>
        <v>16</v>
      </c>
    </row>
    <row r="60" spans="1:8">
      <c r="A60" s="134" t="s">
        <v>245</v>
      </c>
      <c r="B60" s="129" t="s">
        <v>28</v>
      </c>
      <c r="C60" s="129" t="s">
        <v>565</v>
      </c>
      <c r="D60" s="139">
        <f>IF(ISNA(VLOOKUP($A60,'Audit Values'!$A:$BX,2,FALSE)),'Preliminary SO66'!AZ59,VLOOKUP($A60,'Audit Values'!$A:$BX,49,FALSE))</f>
        <v>620760</v>
      </c>
      <c r="E60" s="139">
        <f t="shared" si="0"/>
        <v>682836</v>
      </c>
      <c r="F60" s="139">
        <f>'2024 Legal Max'!AL60*'Weighting Factors'!$O$5</f>
        <v>303245</v>
      </c>
      <c r="G60" s="139">
        <f t="shared" si="1"/>
        <v>0</v>
      </c>
      <c r="H60" s="166">
        <f>'2024 Legal Max'!AY60</f>
        <v>25</v>
      </c>
    </row>
    <row r="61" spans="1:8">
      <c r="A61" s="134" t="s">
        <v>246</v>
      </c>
      <c r="B61" s="129" t="s">
        <v>28</v>
      </c>
      <c r="C61" s="129" t="s">
        <v>566</v>
      </c>
      <c r="D61" s="139">
        <f>IF(ISNA(VLOOKUP($A61,'Audit Values'!$A:$BX,2,FALSE)),'Preliminary SO66'!AZ60,VLOOKUP($A61,'Audit Values'!$A:$BX,49,FALSE))</f>
        <v>116880</v>
      </c>
      <c r="E61" s="139">
        <f t="shared" si="0"/>
        <v>128568</v>
      </c>
      <c r="F61" s="139">
        <f>'2024 Legal Max'!AL61*'Weighting Factors'!$O$5</f>
        <v>69706</v>
      </c>
      <c r="G61" s="139">
        <f t="shared" si="1"/>
        <v>0</v>
      </c>
      <c r="H61" s="166">
        <f>'2024 Legal Max'!AY61</f>
        <v>19</v>
      </c>
    </row>
    <row r="62" spans="1:8">
      <c r="A62" s="134" t="s">
        <v>247</v>
      </c>
      <c r="B62" s="129" t="s">
        <v>28</v>
      </c>
      <c r="C62" s="129" t="s">
        <v>567</v>
      </c>
      <c r="D62" s="139">
        <f>IF(ISNA(VLOOKUP($A62,'Audit Values'!$A:$BX,2,FALSE)),'Preliminary SO66'!AZ61,VLOOKUP($A62,'Audit Values'!$A:$BX,49,FALSE))</f>
        <v>712521</v>
      </c>
      <c r="E62" s="139">
        <f t="shared" si="0"/>
        <v>783773</v>
      </c>
      <c r="F62" s="139">
        <f>'2024 Legal Max'!AL62*'Weighting Factors'!$O$5</f>
        <v>370406</v>
      </c>
      <c r="G62" s="139">
        <f t="shared" si="1"/>
        <v>0</v>
      </c>
      <c r="H62" s="166">
        <f>'2024 Legal Max'!AY62</f>
        <v>16</v>
      </c>
    </row>
    <row r="63" spans="1:8">
      <c r="A63" s="134" t="s">
        <v>248</v>
      </c>
      <c r="B63" s="129" t="s">
        <v>30</v>
      </c>
      <c r="C63" s="129" t="s">
        <v>568</v>
      </c>
      <c r="D63" s="139">
        <f>IF(ISNA(VLOOKUP($A63,'Audit Values'!$A:$BX,2,FALSE)),'Preliminary SO66'!AZ62,VLOOKUP($A63,'Audit Values'!$A:$BX,49,FALSE))</f>
        <v>508491</v>
      </c>
      <c r="E63" s="139">
        <f t="shared" si="0"/>
        <v>559340</v>
      </c>
      <c r="F63" s="139">
        <f>'2024 Legal Max'!AL63*'Weighting Factors'!$O$5</f>
        <v>255418</v>
      </c>
      <c r="G63" s="139">
        <f t="shared" si="1"/>
        <v>0</v>
      </c>
      <c r="H63" s="166">
        <f>'2024 Legal Max'!AY63</f>
        <v>17</v>
      </c>
    </row>
    <row r="64" spans="1:8">
      <c r="A64" s="134" t="s">
        <v>249</v>
      </c>
      <c r="B64" s="129" t="s">
        <v>30</v>
      </c>
      <c r="C64" s="129" t="s">
        <v>569</v>
      </c>
      <c r="D64" s="139">
        <f>IF(ISNA(VLOOKUP($A64,'Audit Values'!$A:$BX,2,FALSE)),'Preliminary SO66'!AZ63,VLOOKUP($A64,'Audit Values'!$A:$BX,49,FALSE))</f>
        <v>254675</v>
      </c>
      <c r="E64" s="139">
        <f t="shared" si="0"/>
        <v>280143</v>
      </c>
      <c r="F64" s="139">
        <f>'2024 Legal Max'!AL64*'Weighting Factors'!$O$5</f>
        <v>224381</v>
      </c>
      <c r="G64" s="139">
        <f t="shared" si="1"/>
        <v>0</v>
      </c>
      <c r="H64" s="166">
        <f>'2024 Legal Max'!AY64</f>
        <v>16</v>
      </c>
    </row>
    <row r="65" spans="1:8">
      <c r="A65" s="134" t="s">
        <v>250</v>
      </c>
      <c r="B65" s="129" t="s">
        <v>30</v>
      </c>
      <c r="C65" s="129" t="s">
        <v>570</v>
      </c>
      <c r="D65" s="139">
        <f>IF(ISNA(VLOOKUP($A65,'Audit Values'!$A:$BX,2,FALSE)),'Preliminary SO66'!AZ64,VLOOKUP($A65,'Audit Values'!$A:$BX,49,FALSE))</f>
        <v>1122176</v>
      </c>
      <c r="E65" s="139">
        <f t="shared" si="0"/>
        <v>1234394</v>
      </c>
      <c r="F65" s="139">
        <f>'2024 Legal Max'!AL65*'Weighting Factors'!$O$5</f>
        <v>1276579</v>
      </c>
      <c r="G65" s="139">
        <f t="shared" si="1"/>
        <v>-42185</v>
      </c>
      <c r="H65" s="166">
        <f>'2024 Legal Max'!AY65</f>
        <v>20</v>
      </c>
    </row>
    <row r="66" spans="1:8">
      <c r="A66" s="134" t="s">
        <v>251</v>
      </c>
      <c r="B66" s="129" t="s">
        <v>31</v>
      </c>
      <c r="C66" s="129" t="s">
        <v>571</v>
      </c>
      <c r="D66" s="139">
        <f>IF(ISNA(VLOOKUP($A66,'Audit Values'!$A:$BX,2,FALSE)),'Preliminary SO66'!AZ65,VLOOKUP($A66,'Audit Values'!$A:$BX,49,FALSE))</f>
        <v>324098</v>
      </c>
      <c r="E66" s="139">
        <f t="shared" si="0"/>
        <v>356508</v>
      </c>
      <c r="F66" s="139">
        <f>'2024 Legal Max'!AL66*'Weighting Factors'!$O$5</f>
        <v>170957</v>
      </c>
      <c r="G66" s="139">
        <f t="shared" si="1"/>
        <v>0</v>
      </c>
      <c r="H66" s="166">
        <f>'2024 Legal Max'!AY66</f>
        <v>8</v>
      </c>
    </row>
    <row r="67" spans="1:8">
      <c r="A67" s="134" t="s">
        <v>252</v>
      </c>
      <c r="B67" s="129" t="s">
        <v>31</v>
      </c>
      <c r="C67" s="129" t="s">
        <v>572</v>
      </c>
      <c r="D67" s="139">
        <f>IF(ISNA(VLOOKUP($A67,'Audit Values'!$A:$BX,2,FALSE)),'Preliminary SO66'!AZ66,VLOOKUP($A67,'Audit Values'!$A:$BX,49,FALSE))</f>
        <v>123500</v>
      </c>
      <c r="E67" s="139">
        <f t="shared" si="0"/>
        <v>135850</v>
      </c>
      <c r="F67" s="139">
        <f>'2024 Legal Max'!AL67*'Weighting Factors'!$O$5</f>
        <v>87514</v>
      </c>
      <c r="G67" s="139">
        <f t="shared" si="1"/>
        <v>0</v>
      </c>
      <c r="H67" s="166">
        <f>'2024 Legal Max'!AY67</f>
        <v>2</v>
      </c>
    </row>
    <row r="68" spans="1:8">
      <c r="A68" s="134" t="s">
        <v>253</v>
      </c>
      <c r="B68" s="129" t="s">
        <v>32</v>
      </c>
      <c r="C68" s="129" t="s">
        <v>573</v>
      </c>
      <c r="D68" s="139">
        <f>IF(ISNA(VLOOKUP($A68,'Audit Values'!$A:$BX,2,FALSE)),'Preliminary SO66'!AZ67,VLOOKUP($A68,'Audit Values'!$A:$BX,49,FALSE))</f>
        <v>258963</v>
      </c>
      <c r="E68" s="139">
        <f t="shared" si="0"/>
        <v>284859</v>
      </c>
      <c r="F68" s="139">
        <f>'2024 Legal Max'!AL68*'Weighting Factors'!$O$5</f>
        <v>129744</v>
      </c>
      <c r="G68" s="139">
        <f t="shared" si="1"/>
        <v>0</v>
      </c>
      <c r="H68" s="166">
        <f>'2024 Legal Max'!AY68</f>
        <v>7</v>
      </c>
    </row>
    <row r="69" spans="1:8">
      <c r="A69" s="134" t="s">
        <v>254</v>
      </c>
      <c r="B69" s="129" t="s">
        <v>32</v>
      </c>
      <c r="C69" s="129" t="s">
        <v>574</v>
      </c>
      <c r="D69" s="139">
        <f>IF(ISNA(VLOOKUP($A69,'Audit Values'!$A:$BX,2,FALSE)),'Preliminary SO66'!AZ68,VLOOKUP($A69,'Audit Values'!$A:$BX,49,FALSE))</f>
        <v>327530</v>
      </c>
      <c r="E69" s="139">
        <f t="shared" si="0"/>
        <v>360283</v>
      </c>
      <c r="F69" s="139">
        <f>'2024 Legal Max'!AL69*'Weighting Factors'!$O$5</f>
        <v>261523</v>
      </c>
      <c r="G69" s="139">
        <f t="shared" si="1"/>
        <v>0</v>
      </c>
      <c r="H69" s="166">
        <f>'2024 Legal Max'!AY69</f>
        <v>25</v>
      </c>
    </row>
    <row r="70" spans="1:8">
      <c r="A70" s="134" t="s">
        <v>255</v>
      </c>
      <c r="B70" s="129" t="s">
        <v>32</v>
      </c>
      <c r="C70" s="129" t="s">
        <v>575</v>
      </c>
      <c r="D70" s="139">
        <f>IF(ISNA(VLOOKUP($A70,'Audit Values'!$A:$BX,2,FALSE)),'Preliminary SO66'!AZ69,VLOOKUP($A70,'Audit Values'!$A:$BX,49,FALSE))</f>
        <v>128913</v>
      </c>
      <c r="E70" s="139">
        <f t="shared" ref="E70:E133" si="2">D70*$E$3</f>
        <v>141804</v>
      </c>
      <c r="F70" s="139">
        <f>'2024 Legal Max'!AL70*'Weighting Factors'!$O$5</f>
        <v>121094</v>
      </c>
      <c r="G70" s="139">
        <f t="shared" ref="G70:G133" si="3">IF(F70-E70&gt;0,E70-F70,0)</f>
        <v>0</v>
      </c>
      <c r="H70" s="166">
        <f>'2024 Legal Max'!AY70</f>
        <v>26</v>
      </c>
    </row>
    <row r="71" spans="1:8">
      <c r="A71" s="134" t="s">
        <v>256</v>
      </c>
      <c r="B71" s="129" t="s">
        <v>33</v>
      </c>
      <c r="C71" s="129" t="s">
        <v>576</v>
      </c>
      <c r="D71" s="139">
        <f>IF(ISNA(VLOOKUP($A71,'Audit Values'!$A:$BX,2,FALSE)),'Preliminary SO66'!AZ70,VLOOKUP($A71,'Audit Values'!$A:$BX,49,FALSE))</f>
        <v>18040790</v>
      </c>
      <c r="E71" s="139">
        <f t="shared" si="2"/>
        <v>19844869</v>
      </c>
      <c r="F71" s="139">
        <f>'2024 Legal Max'!AL71*'Weighting Factors'!$O$5</f>
        <v>10227389</v>
      </c>
      <c r="G71" s="139">
        <f t="shared" si="3"/>
        <v>0</v>
      </c>
      <c r="H71" s="166">
        <f>'2024 Legal Max'!AY71</f>
        <v>13</v>
      </c>
    </row>
    <row r="72" spans="1:8">
      <c r="A72" s="134" t="s">
        <v>257</v>
      </c>
      <c r="B72" s="129" t="s">
        <v>33</v>
      </c>
      <c r="C72" s="129" t="s">
        <v>577</v>
      </c>
      <c r="D72" s="139">
        <f>IF(ISNA(VLOOKUP($A72,'Audit Values'!$A:$BX,2,FALSE)),'Preliminary SO66'!AZ71,VLOOKUP($A72,'Audit Values'!$A:$BX,49,FALSE))</f>
        <v>1232194</v>
      </c>
      <c r="E72" s="139">
        <f t="shared" si="2"/>
        <v>1355413</v>
      </c>
      <c r="F72" s="139">
        <f>'2024 Legal Max'!AL72*'Weighting Factors'!$O$5</f>
        <v>1027776</v>
      </c>
      <c r="G72" s="139">
        <f t="shared" si="3"/>
        <v>0</v>
      </c>
      <c r="H72" s="166">
        <f>'2024 Legal Max'!AY72</f>
        <v>25</v>
      </c>
    </row>
    <row r="73" spans="1:8">
      <c r="A73" s="134" t="s">
        <v>258</v>
      </c>
      <c r="B73" s="129" t="s">
        <v>33</v>
      </c>
      <c r="C73" s="129" t="s">
        <v>578</v>
      </c>
      <c r="D73" s="139">
        <f>IF(ISNA(VLOOKUP($A73,'Audit Values'!$A:$BX,2,FALSE)),'Preliminary SO66'!AZ72,VLOOKUP($A73,'Audit Values'!$A:$BX,49,FALSE))</f>
        <v>1620795</v>
      </c>
      <c r="E73" s="139">
        <f t="shared" si="2"/>
        <v>1782875</v>
      </c>
      <c r="F73" s="139">
        <f>'2024 Legal Max'!AL73*'Weighting Factors'!$O$5</f>
        <v>1551331</v>
      </c>
      <c r="G73" s="139">
        <f t="shared" si="3"/>
        <v>0</v>
      </c>
      <c r="H73" s="166">
        <f>'2024 Legal Max'!AY73</f>
        <v>9</v>
      </c>
    </row>
    <row r="74" spans="1:8">
      <c r="A74" s="134" t="s">
        <v>259</v>
      </c>
      <c r="B74" s="129" t="s">
        <v>33</v>
      </c>
      <c r="C74" s="129" t="s">
        <v>579</v>
      </c>
      <c r="D74" s="139">
        <f>IF(ISNA(VLOOKUP($A74,'Audit Values'!$A:$BX,2,FALSE)),'Preliminary SO66'!AZ73,VLOOKUP($A74,'Audit Values'!$A:$BX,49,FALSE))</f>
        <v>990252</v>
      </c>
      <c r="E74" s="139">
        <f t="shared" si="2"/>
        <v>1089277</v>
      </c>
      <c r="F74" s="139">
        <f>'2024 Legal Max'!AL74*'Weighting Factors'!$O$5</f>
        <v>1094429</v>
      </c>
      <c r="G74" s="139">
        <f t="shared" si="3"/>
        <v>-5152</v>
      </c>
      <c r="H74" s="166">
        <f>'2024 Legal Max'!AY74</f>
        <v>19</v>
      </c>
    </row>
    <row r="75" spans="1:8">
      <c r="A75" s="134" t="s">
        <v>260</v>
      </c>
      <c r="B75" s="129" t="s">
        <v>33</v>
      </c>
      <c r="C75" s="129" t="s">
        <v>580</v>
      </c>
      <c r="D75" s="139">
        <f>IF(ISNA(VLOOKUP($A75,'Audit Values'!$A:$BX,2,FALSE)),'Preliminary SO66'!AZ74,VLOOKUP($A75,'Audit Values'!$A:$BX,49,FALSE))</f>
        <v>436265</v>
      </c>
      <c r="E75" s="139">
        <f t="shared" si="2"/>
        <v>479892</v>
      </c>
      <c r="F75" s="139">
        <f>'2024 Legal Max'!AL75*'Weighting Factors'!$O$5</f>
        <v>309350</v>
      </c>
      <c r="G75" s="139">
        <f t="shared" si="3"/>
        <v>0</v>
      </c>
      <c r="H75" s="166">
        <f>'2024 Legal Max'!AY75</f>
        <v>6</v>
      </c>
    </row>
    <row r="76" spans="1:8">
      <c r="A76" s="134" t="s">
        <v>261</v>
      </c>
      <c r="B76" s="129" t="s">
        <v>33</v>
      </c>
      <c r="C76" s="129" t="s">
        <v>581</v>
      </c>
      <c r="D76" s="139">
        <f>IF(ISNA(VLOOKUP($A76,'Audit Values'!$A:$BX,2,FALSE)),'Preliminary SO66'!AZ75,VLOOKUP($A76,'Audit Values'!$A:$BX,49,FALSE))</f>
        <v>454918</v>
      </c>
      <c r="E76" s="139">
        <f t="shared" si="2"/>
        <v>500410</v>
      </c>
      <c r="F76" s="139">
        <f>'2024 Legal Max'!AL76*'Weighting Factors'!$O$5</f>
        <v>399408</v>
      </c>
      <c r="G76" s="139">
        <f t="shared" si="3"/>
        <v>0</v>
      </c>
      <c r="H76" s="166">
        <f>'2024 Legal Max'!AY76</f>
        <v>25</v>
      </c>
    </row>
    <row r="77" spans="1:8">
      <c r="A77" s="134" t="s">
        <v>262</v>
      </c>
      <c r="B77" s="129" t="s">
        <v>33</v>
      </c>
      <c r="C77" s="129" t="s">
        <v>582</v>
      </c>
      <c r="D77" s="139">
        <f>IF(ISNA(VLOOKUP($A77,'Audit Values'!$A:$BX,2,FALSE)),'Preliminary SO66'!AZ76,VLOOKUP($A77,'Audit Values'!$A:$BX,49,FALSE))</f>
        <v>2862905</v>
      </c>
      <c r="E77" s="139">
        <f t="shared" si="2"/>
        <v>3149196</v>
      </c>
      <c r="F77" s="139">
        <f>'2024 Legal Max'!AL77*'Weighting Factors'!$O$5</f>
        <v>2697149</v>
      </c>
      <c r="G77" s="139">
        <f t="shared" si="3"/>
        <v>0</v>
      </c>
      <c r="H77" s="166">
        <f>'2024 Legal Max'!AY77</f>
        <v>25</v>
      </c>
    </row>
    <row r="78" spans="1:8">
      <c r="A78" s="134" t="s">
        <v>263</v>
      </c>
      <c r="B78" s="129" t="s">
        <v>33</v>
      </c>
      <c r="C78" s="129" t="s">
        <v>583</v>
      </c>
      <c r="D78" s="139">
        <f>IF(ISNA(VLOOKUP($A78,'Audit Values'!$A:$BX,2,FALSE)),'Preliminary SO66'!AZ77,VLOOKUP($A78,'Audit Values'!$A:$BX,49,FALSE))</f>
        <v>2753644</v>
      </c>
      <c r="E78" s="139">
        <f t="shared" si="2"/>
        <v>3029008</v>
      </c>
      <c r="F78" s="139">
        <f>'2024 Legal Max'!AL78*'Weighting Factors'!$O$5</f>
        <v>2985130</v>
      </c>
      <c r="G78" s="139">
        <f t="shared" si="3"/>
        <v>0</v>
      </c>
      <c r="H78" s="166">
        <f>'2024 Legal Max'!AY78</f>
        <v>18</v>
      </c>
    </row>
    <row r="79" spans="1:8">
      <c r="A79" s="134" t="s">
        <v>264</v>
      </c>
      <c r="B79" s="129" t="s">
        <v>33</v>
      </c>
      <c r="C79" s="129" t="s">
        <v>584</v>
      </c>
      <c r="D79" s="139">
        <f>IF(ISNA(VLOOKUP($A79,'Audit Values'!$A:$BX,2,FALSE)),'Preliminary SO66'!AZ78,VLOOKUP($A79,'Audit Values'!$A:$BX,49,FALSE))</f>
        <v>663703</v>
      </c>
      <c r="E79" s="139">
        <f t="shared" si="2"/>
        <v>730073</v>
      </c>
      <c r="F79" s="139">
        <f>'2024 Legal Max'!AL79*'Weighting Factors'!$O$5</f>
        <v>650246</v>
      </c>
      <c r="G79" s="139">
        <f t="shared" si="3"/>
        <v>0</v>
      </c>
      <c r="H79" s="166">
        <f>'2024 Legal Max'!AY79</f>
        <v>14</v>
      </c>
    </row>
    <row r="80" spans="1:8">
      <c r="A80" s="134" t="s">
        <v>265</v>
      </c>
      <c r="B80" s="129" t="s">
        <v>33</v>
      </c>
      <c r="C80" s="129" t="s">
        <v>585</v>
      </c>
      <c r="D80" s="139">
        <f>IF(ISNA(VLOOKUP($A80,'Audit Values'!$A:$BX,2,FALSE)),'Preliminary SO66'!AZ79,VLOOKUP($A80,'Audit Values'!$A:$BX,49,FALSE))</f>
        <v>227698</v>
      </c>
      <c r="E80" s="139">
        <f t="shared" si="2"/>
        <v>250468</v>
      </c>
      <c r="F80" s="139">
        <f>'2024 Legal Max'!AL80*'Weighting Factors'!$O$5</f>
        <v>205555</v>
      </c>
      <c r="G80" s="139">
        <f t="shared" si="3"/>
        <v>0</v>
      </c>
      <c r="H80" s="166">
        <f>'2024 Legal Max'!AY80</f>
        <v>1</v>
      </c>
    </row>
    <row r="81" spans="1:8">
      <c r="A81" s="134" t="s">
        <v>266</v>
      </c>
      <c r="B81" s="129" t="s">
        <v>35</v>
      </c>
      <c r="C81" s="129" t="s">
        <v>586</v>
      </c>
      <c r="D81" s="139">
        <f>IF(ISNA(VLOOKUP($A81,'Audit Values'!$A:$BX,2,FALSE)),'Preliminary SO66'!AZ80,VLOOKUP($A81,'Audit Values'!$A:$BX,49,FALSE))</f>
        <v>86690</v>
      </c>
      <c r="E81" s="139">
        <f t="shared" si="2"/>
        <v>95359</v>
      </c>
      <c r="F81" s="139">
        <f>'2024 Legal Max'!AL81*'Weighting Factors'!$O$5</f>
        <v>62074</v>
      </c>
      <c r="G81" s="139">
        <f t="shared" si="3"/>
        <v>0</v>
      </c>
      <c r="H81" s="166">
        <f>'2024 Legal Max'!AY81</f>
        <v>7</v>
      </c>
    </row>
    <row r="82" spans="1:8">
      <c r="A82" s="134" t="s">
        <v>267</v>
      </c>
      <c r="B82" s="129" t="s">
        <v>35</v>
      </c>
      <c r="C82" s="129" t="s">
        <v>587</v>
      </c>
      <c r="D82" s="139">
        <f>IF(ISNA(VLOOKUP($A82,'Audit Values'!$A:$BX,2,FALSE)),'Preliminary SO66'!AZ81,VLOOKUP($A82,'Audit Values'!$A:$BX,49,FALSE))</f>
        <v>69632</v>
      </c>
      <c r="E82" s="139">
        <f t="shared" si="2"/>
        <v>76595</v>
      </c>
      <c r="F82" s="139">
        <f>'2024 Legal Max'!AL82*'Weighting Factors'!$O$5</f>
        <v>55968</v>
      </c>
      <c r="G82" s="139">
        <f t="shared" si="3"/>
        <v>0</v>
      </c>
      <c r="H82" s="166">
        <f>'2024 Legal Max'!AY82</f>
        <v>25</v>
      </c>
    </row>
    <row r="83" spans="1:8">
      <c r="A83" s="134" t="s">
        <v>268</v>
      </c>
      <c r="B83" s="129" t="s">
        <v>35</v>
      </c>
      <c r="C83" s="129" t="s">
        <v>588</v>
      </c>
      <c r="D83" s="139">
        <f>IF(ISNA(VLOOKUP($A83,'Audit Values'!$A:$BX,2,FALSE)),'Preliminary SO66'!AZ82,VLOOKUP($A83,'Audit Values'!$A:$BX,49,FALSE))</f>
        <v>105546</v>
      </c>
      <c r="E83" s="139">
        <f t="shared" si="2"/>
        <v>116101</v>
      </c>
      <c r="F83" s="139">
        <f>'2024 Legal Max'!AL83*'Weighting Factors'!$O$5</f>
        <v>74285</v>
      </c>
      <c r="G83" s="139">
        <f t="shared" si="3"/>
        <v>0</v>
      </c>
      <c r="H83" s="166">
        <f>'2024 Legal Max'!AY83</f>
        <v>15</v>
      </c>
    </row>
    <row r="84" spans="1:8">
      <c r="A84" s="134" t="s">
        <v>269</v>
      </c>
      <c r="B84" s="129" t="s">
        <v>36</v>
      </c>
      <c r="C84" s="129" t="s">
        <v>589</v>
      </c>
      <c r="D84" s="139">
        <f>IF(ISNA(VLOOKUP($A84,'Audit Values'!$A:$BX,2,FALSE)),'Preliminary SO66'!AZ83,VLOOKUP($A84,'Audit Values'!$A:$BX,49,FALSE))</f>
        <v>199994</v>
      </c>
      <c r="E84" s="139">
        <f t="shared" si="2"/>
        <v>219993</v>
      </c>
      <c r="F84" s="139">
        <f>'2024 Legal Max'!AL84*'Weighting Factors'!$O$5</f>
        <v>205046</v>
      </c>
      <c r="G84" s="139">
        <f t="shared" si="3"/>
        <v>0</v>
      </c>
      <c r="H84" s="166">
        <f>'2024 Legal Max'!AY84</f>
        <v>6</v>
      </c>
    </row>
    <row r="85" spans="1:8">
      <c r="A85" s="134" t="s">
        <v>270</v>
      </c>
      <c r="B85" s="129" t="s">
        <v>36</v>
      </c>
      <c r="C85" s="129" t="s">
        <v>590</v>
      </c>
      <c r="D85" s="139">
        <f>IF(ISNA(VLOOKUP($A85,'Audit Values'!$A:$BX,2,FALSE)),'Preliminary SO66'!AZ84,VLOOKUP($A85,'Audit Values'!$A:$BX,49,FALSE))</f>
        <v>445409</v>
      </c>
      <c r="E85" s="139">
        <f t="shared" si="2"/>
        <v>489950</v>
      </c>
      <c r="F85" s="139">
        <f>'2024 Legal Max'!AL85*'Weighting Factors'!$O$5</f>
        <v>217766</v>
      </c>
      <c r="G85" s="139">
        <f t="shared" si="3"/>
        <v>0</v>
      </c>
      <c r="H85" s="166">
        <f>'2024 Legal Max'!AY85</f>
        <v>7</v>
      </c>
    </row>
    <row r="86" spans="1:8">
      <c r="A86" s="134" t="s">
        <v>271</v>
      </c>
      <c r="B86" s="129" t="s">
        <v>37</v>
      </c>
      <c r="C86" s="129" t="s">
        <v>591</v>
      </c>
      <c r="D86" s="139">
        <f>IF(ISNA(VLOOKUP($A86,'Audit Values'!$A:$BX,2,FALSE)),'Preliminary SO66'!AZ85,VLOOKUP($A86,'Audit Values'!$A:$BX,49,FALSE))</f>
        <v>141253</v>
      </c>
      <c r="E86" s="139">
        <f t="shared" si="2"/>
        <v>155378</v>
      </c>
      <c r="F86" s="139">
        <f>'2024 Legal Max'!AL86*'Weighting Factors'!$O$5</f>
        <v>110410</v>
      </c>
      <c r="G86" s="139">
        <f t="shared" si="3"/>
        <v>0</v>
      </c>
      <c r="H86" s="166">
        <f>'2024 Legal Max'!AY86</f>
        <v>7</v>
      </c>
    </row>
    <row r="87" spans="1:8">
      <c r="A87" s="134" t="s">
        <v>272</v>
      </c>
      <c r="B87" s="129" t="s">
        <v>37</v>
      </c>
      <c r="C87" s="129" t="s">
        <v>592</v>
      </c>
      <c r="D87" s="139">
        <f>IF(ISNA(VLOOKUP($A87,'Audit Values'!$A:$BX,2,FALSE)),'Preliminary SO66'!AZ86,VLOOKUP($A87,'Audit Values'!$A:$BX,49,FALSE))</f>
        <v>86825</v>
      </c>
      <c r="E87" s="139">
        <f t="shared" si="2"/>
        <v>95508</v>
      </c>
      <c r="F87" s="139">
        <f>'2024 Legal Max'!AL87*'Weighting Factors'!$O$5</f>
        <v>57494</v>
      </c>
      <c r="G87" s="139">
        <f t="shared" si="3"/>
        <v>0</v>
      </c>
      <c r="H87" s="166">
        <f>'2024 Legal Max'!AY87</f>
        <v>16</v>
      </c>
    </row>
    <row r="88" spans="1:8">
      <c r="A88" s="134" t="s">
        <v>273</v>
      </c>
      <c r="B88" s="129" t="s">
        <v>38</v>
      </c>
      <c r="C88" s="129" t="s">
        <v>593</v>
      </c>
      <c r="D88" s="139">
        <f>IF(ISNA(VLOOKUP($A88,'Audit Values'!$A:$BX,2,FALSE)),'Preliminary SO66'!AZ87,VLOOKUP($A88,'Audit Values'!$A:$BX,49,FALSE))</f>
        <v>257049</v>
      </c>
      <c r="E88" s="139">
        <f t="shared" si="2"/>
        <v>282754</v>
      </c>
      <c r="F88" s="139">
        <f>'2024 Legal Max'!AL88*'Weighting Factors'!$O$5</f>
        <v>167904</v>
      </c>
      <c r="G88" s="139">
        <f t="shared" si="3"/>
        <v>0</v>
      </c>
      <c r="H88" s="166">
        <f>'2024 Legal Max'!AY88</f>
        <v>7</v>
      </c>
    </row>
    <row r="89" spans="1:8">
      <c r="A89" s="134" t="s">
        <v>274</v>
      </c>
      <c r="B89" s="129" t="s">
        <v>39</v>
      </c>
      <c r="C89" s="129" t="s">
        <v>594</v>
      </c>
      <c r="D89" s="139">
        <f>IF(ISNA(VLOOKUP($A89,'Audit Values'!$A:$BX,2,FALSE)),'Preliminary SO66'!AZ88,VLOOKUP($A89,'Audit Values'!$A:$BX,49,FALSE))</f>
        <v>334554</v>
      </c>
      <c r="E89" s="139">
        <f t="shared" si="2"/>
        <v>368009</v>
      </c>
      <c r="F89" s="139">
        <f>'2024 Legal Max'!AL89*'Weighting Factors'!$O$5</f>
        <v>283910</v>
      </c>
      <c r="G89" s="139">
        <f t="shared" si="3"/>
        <v>0</v>
      </c>
      <c r="H89" s="166">
        <f>'2024 Legal Max'!AY89</f>
        <v>19</v>
      </c>
    </row>
    <row r="90" spans="1:8">
      <c r="A90" s="134" t="s">
        <v>275</v>
      </c>
      <c r="B90" s="129" t="s">
        <v>39</v>
      </c>
      <c r="C90" s="129" t="s">
        <v>595</v>
      </c>
      <c r="D90" s="139">
        <f>IF(ISNA(VLOOKUP($A90,'Audit Values'!$A:$BX,2,FALSE)),'Preliminary SO66'!AZ89,VLOOKUP($A90,'Audit Values'!$A:$BX,49,FALSE))</f>
        <v>121747</v>
      </c>
      <c r="E90" s="139">
        <f t="shared" si="2"/>
        <v>133922</v>
      </c>
      <c r="F90" s="139">
        <f>'2024 Legal Max'!AL90*'Weighting Factors'!$O$5</f>
        <v>31546</v>
      </c>
      <c r="G90" s="139">
        <f t="shared" si="3"/>
        <v>0</v>
      </c>
      <c r="H90" s="166">
        <f>'2024 Legal Max'!AY90</f>
        <v>17</v>
      </c>
    </row>
    <row r="91" spans="1:8">
      <c r="A91" s="134" t="s">
        <v>276</v>
      </c>
      <c r="B91" s="129" t="s">
        <v>40</v>
      </c>
      <c r="C91" s="129" t="s">
        <v>596</v>
      </c>
      <c r="D91" s="139">
        <f>IF(ISNA(VLOOKUP($A91,'Audit Values'!$A:$BX,2,FALSE)),'Preliminary SO66'!AZ90,VLOOKUP($A91,'Audit Values'!$A:$BX,49,FALSE))</f>
        <v>370887</v>
      </c>
      <c r="E91" s="139">
        <f t="shared" si="2"/>
        <v>407976</v>
      </c>
      <c r="F91" s="139">
        <f>'2024 Legal Max'!AL91*'Weighting Factors'!$O$5</f>
        <v>232013</v>
      </c>
      <c r="G91" s="139">
        <f t="shared" si="3"/>
        <v>0</v>
      </c>
      <c r="H91" s="166">
        <f>'2024 Legal Max'!AY91</f>
        <v>11</v>
      </c>
    </row>
    <row r="92" spans="1:8">
      <c r="A92" s="134" t="s">
        <v>277</v>
      </c>
      <c r="B92" s="129" t="s">
        <v>41</v>
      </c>
      <c r="C92" s="129" t="s">
        <v>597</v>
      </c>
      <c r="D92" s="139">
        <f>IF(ISNA(VLOOKUP($A92,'Audit Values'!$A:$BX,2,FALSE)),'Preliminary SO66'!AZ91,VLOOKUP($A92,'Audit Values'!$A:$BX,49,FALSE))</f>
        <v>46311</v>
      </c>
      <c r="E92" s="139">
        <f t="shared" si="2"/>
        <v>50942</v>
      </c>
      <c r="F92" s="139">
        <f>'2024 Legal Max'!AL92*'Weighting Factors'!$O$5</f>
        <v>38669</v>
      </c>
      <c r="G92" s="139">
        <f t="shared" si="3"/>
        <v>0</v>
      </c>
      <c r="H92" s="166">
        <f>'2024 Legal Max'!AY92</f>
        <v>19</v>
      </c>
    </row>
    <row r="93" spans="1:8">
      <c r="A93" s="134" t="s">
        <v>278</v>
      </c>
      <c r="B93" s="129" t="s">
        <v>41</v>
      </c>
      <c r="C93" s="129" t="s">
        <v>598</v>
      </c>
      <c r="D93" s="139">
        <f>IF(ISNA(VLOOKUP($A93,'Audit Values'!$A:$BX,2,FALSE)),'Preliminary SO66'!AZ92,VLOOKUP($A93,'Audit Values'!$A:$BX,49,FALSE))</f>
        <v>267194</v>
      </c>
      <c r="E93" s="139">
        <f t="shared" si="2"/>
        <v>293913</v>
      </c>
      <c r="F93" s="139">
        <f>'2024 Legal Max'!AL93*'Weighting Factors'!$O$5</f>
        <v>142973</v>
      </c>
      <c r="G93" s="139">
        <f t="shared" si="3"/>
        <v>0</v>
      </c>
      <c r="H93" s="166">
        <f>'2024 Legal Max'!AY93</f>
        <v>18</v>
      </c>
    </row>
    <row r="94" spans="1:8">
      <c r="A94" s="134" t="s">
        <v>279</v>
      </c>
      <c r="B94" s="129" t="s">
        <v>42</v>
      </c>
      <c r="C94" s="129" t="s">
        <v>599</v>
      </c>
      <c r="D94" s="139">
        <f>IF(ISNA(VLOOKUP($A94,'Audit Values'!$A:$BX,2,FALSE)),'Preliminary SO66'!AZ93,VLOOKUP($A94,'Audit Values'!$A:$BX,49,FALSE))</f>
        <v>427775</v>
      </c>
      <c r="E94" s="139">
        <f t="shared" si="2"/>
        <v>470553</v>
      </c>
      <c r="F94" s="139">
        <f>'2024 Legal Max'!AL94*'Weighting Factors'!$O$5</f>
        <v>431462</v>
      </c>
      <c r="G94" s="139">
        <f t="shared" si="3"/>
        <v>0</v>
      </c>
      <c r="H94" s="166">
        <f>'2024 Legal Max'!AY94</f>
        <v>3</v>
      </c>
    </row>
    <row r="95" spans="1:8">
      <c r="A95" s="134" t="s">
        <v>280</v>
      </c>
      <c r="B95" s="129" t="s">
        <v>42</v>
      </c>
      <c r="C95" s="129" t="s">
        <v>600</v>
      </c>
      <c r="D95" s="139">
        <f>IF(ISNA(VLOOKUP($A95,'Audit Values'!$A:$BX,2,FALSE)),'Preliminary SO66'!AZ94,VLOOKUP($A95,'Audit Values'!$A:$BX,49,FALSE))</f>
        <v>372146</v>
      </c>
      <c r="E95" s="139">
        <f t="shared" si="2"/>
        <v>409361</v>
      </c>
      <c r="F95" s="139">
        <f>'2024 Legal Max'!AL95*'Weighting Factors'!$O$5</f>
        <v>366336</v>
      </c>
      <c r="G95" s="139">
        <f t="shared" si="3"/>
        <v>0</v>
      </c>
      <c r="H95" s="166">
        <f>'2024 Legal Max'!AY95</f>
        <v>20</v>
      </c>
    </row>
    <row r="96" spans="1:8">
      <c r="A96" s="134" t="s">
        <v>281</v>
      </c>
      <c r="B96" s="129" t="s">
        <v>42</v>
      </c>
      <c r="C96" s="129" t="s">
        <v>601</v>
      </c>
      <c r="D96" s="139">
        <f>IF(ISNA(VLOOKUP($A96,'Audit Values'!$A:$BX,2,FALSE)),'Preliminary SO66'!AZ95,VLOOKUP($A96,'Audit Values'!$A:$BX,49,FALSE))</f>
        <v>324267</v>
      </c>
      <c r="E96" s="139">
        <f t="shared" si="2"/>
        <v>356694</v>
      </c>
      <c r="F96" s="139">
        <f>'2024 Legal Max'!AL96*'Weighting Factors'!$O$5</f>
        <v>226416</v>
      </c>
      <c r="G96" s="139">
        <f t="shared" si="3"/>
        <v>0</v>
      </c>
      <c r="H96" s="166">
        <f>'2024 Legal Max'!AY96</f>
        <v>15</v>
      </c>
    </row>
    <row r="97" spans="1:8">
      <c r="A97" s="134" t="s">
        <v>282</v>
      </c>
      <c r="B97" s="129" t="s">
        <v>42</v>
      </c>
      <c r="C97" s="129" t="s">
        <v>602</v>
      </c>
      <c r="D97" s="139">
        <f>IF(ISNA(VLOOKUP($A97,'Audit Values'!$A:$BX,2,FALSE)),'Preliminary SO66'!AZ96,VLOOKUP($A97,'Audit Values'!$A:$BX,49,FALSE))</f>
        <v>797471</v>
      </c>
      <c r="E97" s="139">
        <f t="shared" si="2"/>
        <v>877218</v>
      </c>
      <c r="F97" s="139">
        <f>'2024 Legal Max'!AL97*'Weighting Factors'!$O$5</f>
        <v>374477</v>
      </c>
      <c r="G97" s="139">
        <f t="shared" si="3"/>
        <v>0</v>
      </c>
      <c r="H97" s="166">
        <f>'2024 Legal Max'!AY97</f>
        <v>3</v>
      </c>
    </row>
    <row r="98" spans="1:8">
      <c r="A98" s="134" t="s">
        <v>283</v>
      </c>
      <c r="B98" s="129" t="s">
        <v>43</v>
      </c>
      <c r="C98" s="129" t="s">
        <v>603</v>
      </c>
      <c r="D98" s="139">
        <f>IF(ISNA(VLOOKUP($A98,'Audit Values'!$A:$BX,2,FALSE)),'Preliminary SO66'!AZ97,VLOOKUP($A98,'Audit Values'!$A:$BX,49,FALSE))</f>
        <v>64477</v>
      </c>
      <c r="E98" s="139">
        <f t="shared" si="2"/>
        <v>70925</v>
      </c>
      <c r="F98" s="139">
        <f>'2024 Legal Max'!AL98*'Weighting Factors'!$O$5</f>
        <v>43248</v>
      </c>
      <c r="G98" s="139">
        <f t="shared" si="3"/>
        <v>0</v>
      </c>
      <c r="H98" s="166">
        <f>'2024 Legal Max'!AY98</f>
        <v>14</v>
      </c>
    </row>
    <row r="99" spans="1:8">
      <c r="A99" s="134" t="s">
        <v>284</v>
      </c>
      <c r="B99" s="129" t="s">
        <v>43</v>
      </c>
      <c r="C99" s="129" t="s">
        <v>604</v>
      </c>
      <c r="D99" s="139">
        <f>IF(ISNA(VLOOKUP($A99,'Audit Values'!$A:$BX,2,FALSE)),'Preliminary SO66'!AZ98,VLOOKUP($A99,'Audit Values'!$A:$BX,49,FALSE))</f>
        <v>139041</v>
      </c>
      <c r="E99" s="139">
        <f t="shared" si="2"/>
        <v>152945</v>
      </c>
      <c r="F99" s="139">
        <f>'2024 Legal Max'!AL99*'Weighting Factors'!$O$5</f>
        <v>103795</v>
      </c>
      <c r="G99" s="139">
        <f t="shared" si="3"/>
        <v>0</v>
      </c>
      <c r="H99" s="166">
        <f>'2024 Legal Max'!AY99</f>
        <v>16</v>
      </c>
    </row>
    <row r="100" spans="1:8">
      <c r="A100" s="134" t="s">
        <v>285</v>
      </c>
      <c r="B100" s="129" t="s">
        <v>43</v>
      </c>
      <c r="C100" s="129" t="s">
        <v>605</v>
      </c>
      <c r="D100" s="139">
        <f>IF(ISNA(VLOOKUP($A100,'Audit Values'!$A:$BX,2,FALSE)),'Preliminary SO66'!AZ99,VLOOKUP($A100,'Audit Values'!$A:$BX,49,FALSE))</f>
        <v>161913</v>
      </c>
      <c r="E100" s="139">
        <f t="shared" si="2"/>
        <v>178104</v>
      </c>
      <c r="F100" s="139">
        <f>'2024 Legal Max'!AL100*'Weighting Factors'!$O$5</f>
        <v>130762</v>
      </c>
      <c r="G100" s="139">
        <f t="shared" si="3"/>
        <v>0</v>
      </c>
      <c r="H100" s="166">
        <f>'2024 Legal Max'!AY100</f>
        <v>7</v>
      </c>
    </row>
    <row r="101" spans="1:8">
      <c r="A101" s="134" t="s">
        <v>286</v>
      </c>
      <c r="B101" s="129" t="s">
        <v>44</v>
      </c>
      <c r="C101" s="129" t="s">
        <v>606</v>
      </c>
      <c r="D101" s="139">
        <f>IF(ISNA(VLOOKUP($A101,'Audit Values'!$A:$BX,2,FALSE)),'Preliminary SO66'!AZ100,VLOOKUP($A101,'Audit Values'!$A:$BX,49,FALSE))</f>
        <v>246901</v>
      </c>
      <c r="E101" s="139">
        <f t="shared" si="2"/>
        <v>271591</v>
      </c>
      <c r="F101" s="139">
        <f>'2024 Legal Max'!AL101*'Weighting Factors'!$O$5</f>
        <v>165869</v>
      </c>
      <c r="G101" s="139">
        <f t="shared" si="3"/>
        <v>0</v>
      </c>
      <c r="H101" s="166">
        <f>'2024 Legal Max'!AY101</f>
        <v>17</v>
      </c>
    </row>
    <row r="102" spans="1:8">
      <c r="A102" s="134" t="s">
        <v>287</v>
      </c>
      <c r="B102" s="129" t="s">
        <v>6</v>
      </c>
      <c r="C102" s="129" t="s">
        <v>607</v>
      </c>
      <c r="D102" s="139">
        <f>IF(ISNA(VLOOKUP($A102,'Audit Values'!$A:$BX,2,FALSE)),'Preliminary SO66'!AZ101,VLOOKUP($A102,'Audit Values'!$A:$BX,49,FALSE))</f>
        <v>146475</v>
      </c>
      <c r="E102" s="139">
        <f t="shared" si="2"/>
        <v>161123</v>
      </c>
      <c r="F102" s="139">
        <f>'2024 Legal Max'!AL102*'Weighting Factors'!$O$5</f>
        <v>132797</v>
      </c>
      <c r="G102" s="139">
        <f t="shared" si="3"/>
        <v>0</v>
      </c>
      <c r="H102" s="166">
        <f>'2024 Legal Max'!AY102</f>
        <v>16</v>
      </c>
    </row>
    <row r="103" spans="1:8">
      <c r="A103" s="134" t="s">
        <v>288</v>
      </c>
      <c r="B103" s="129" t="s">
        <v>45</v>
      </c>
      <c r="C103" s="129" t="s">
        <v>608</v>
      </c>
      <c r="D103" s="139">
        <f>IF(ISNA(VLOOKUP($A103,'Audit Values'!$A:$BX,2,FALSE)),'Preliminary SO66'!AZ102,VLOOKUP($A103,'Audit Values'!$A:$BX,49,FALSE))</f>
        <v>279972</v>
      </c>
      <c r="E103" s="139">
        <f t="shared" si="2"/>
        <v>307969</v>
      </c>
      <c r="F103" s="139">
        <f>'2024 Legal Max'!AL103*'Weighting Factors'!$O$5</f>
        <v>162307</v>
      </c>
      <c r="G103" s="139">
        <f t="shared" si="3"/>
        <v>0</v>
      </c>
      <c r="H103" s="166">
        <f>'2024 Legal Max'!AY103</f>
        <v>4</v>
      </c>
    </row>
    <row r="104" spans="1:8">
      <c r="A104" s="134" t="s">
        <v>289</v>
      </c>
      <c r="B104" s="129" t="s">
        <v>45</v>
      </c>
      <c r="C104" s="129" t="s">
        <v>609</v>
      </c>
      <c r="D104" s="139">
        <f>IF(ISNA(VLOOKUP($A104,'Audit Values'!$A:$BX,2,FALSE)),'Preliminary SO66'!AZ103,VLOOKUP($A104,'Audit Values'!$A:$BX,49,FALSE))</f>
        <v>212902</v>
      </c>
      <c r="E104" s="139">
        <f t="shared" si="2"/>
        <v>234192</v>
      </c>
      <c r="F104" s="139">
        <f>'2024 Legal Max'!AL104*'Weighting Factors'!$O$5</f>
        <v>225398</v>
      </c>
      <c r="G104" s="139">
        <f t="shared" si="3"/>
        <v>0</v>
      </c>
      <c r="H104" s="166">
        <f>'2024 Legal Max'!AY104</f>
        <v>25</v>
      </c>
    </row>
    <row r="105" spans="1:8">
      <c r="A105" s="134" t="s">
        <v>290</v>
      </c>
      <c r="B105" s="129" t="s">
        <v>46</v>
      </c>
      <c r="C105" s="129" t="s">
        <v>610</v>
      </c>
      <c r="D105" s="139">
        <f>IF(ISNA(VLOOKUP($A105,'Audit Values'!$A:$BX,2,FALSE)),'Preliminary SO66'!AZ104,VLOOKUP($A105,'Audit Values'!$A:$BX,49,FALSE))</f>
        <v>246081</v>
      </c>
      <c r="E105" s="139">
        <f t="shared" si="2"/>
        <v>270689</v>
      </c>
      <c r="F105" s="139">
        <f>'2024 Legal Max'!AL105*'Weighting Factors'!$O$5</f>
        <v>303754</v>
      </c>
      <c r="G105" s="139">
        <f t="shared" si="3"/>
        <v>-33065</v>
      </c>
      <c r="H105" s="166">
        <f>'2024 Legal Max'!AY105</f>
        <v>5</v>
      </c>
    </row>
    <row r="106" spans="1:8">
      <c r="A106" s="134" t="s">
        <v>291</v>
      </c>
      <c r="B106" s="129" t="s">
        <v>47</v>
      </c>
      <c r="C106" s="129" t="s">
        <v>611</v>
      </c>
      <c r="D106" s="139">
        <f>IF(ISNA(VLOOKUP($A106,'Audit Values'!$A:$BX,2,FALSE)),'Preliminary SO66'!AZ105,VLOOKUP($A106,'Audit Values'!$A:$BX,49,FALSE))</f>
        <v>109124</v>
      </c>
      <c r="E106" s="139">
        <f t="shared" si="2"/>
        <v>120036</v>
      </c>
      <c r="F106" s="139">
        <f>'2024 Legal Max'!AL106*'Weighting Factors'!$O$5</f>
        <v>44774</v>
      </c>
      <c r="G106" s="139">
        <f t="shared" si="3"/>
        <v>0</v>
      </c>
      <c r="H106" s="166">
        <f>'2024 Legal Max'!AY106</f>
        <v>2</v>
      </c>
    </row>
    <row r="107" spans="1:8">
      <c r="A107" s="134" t="s">
        <v>292</v>
      </c>
      <c r="B107" s="129" t="s">
        <v>48</v>
      </c>
      <c r="C107" s="129" t="s">
        <v>612</v>
      </c>
      <c r="D107" s="139">
        <f>IF(ISNA(VLOOKUP($A107,'Audit Values'!$A:$BX,2,FALSE)),'Preliminary SO66'!AZ106,VLOOKUP($A107,'Audit Values'!$A:$BX,49,FALSE))</f>
        <v>934215</v>
      </c>
      <c r="E107" s="139">
        <f t="shared" si="2"/>
        <v>1027637</v>
      </c>
      <c r="F107" s="139">
        <f>'2024 Legal Max'!AL107*'Weighting Factors'!$O$5</f>
        <v>895997</v>
      </c>
      <c r="G107" s="139">
        <f t="shared" si="3"/>
        <v>0</v>
      </c>
      <c r="H107" s="166">
        <f>'2024 Legal Max'!AY107</f>
        <v>18</v>
      </c>
    </row>
    <row r="108" spans="1:8">
      <c r="A108" s="134" t="s">
        <v>293</v>
      </c>
      <c r="B108" s="129" t="s">
        <v>48</v>
      </c>
      <c r="C108" s="129" t="s">
        <v>613</v>
      </c>
      <c r="D108" s="139">
        <f>IF(ISNA(VLOOKUP($A108,'Audit Values'!$A:$BX,2,FALSE)),'Preliminary SO66'!AZ107,VLOOKUP($A108,'Audit Values'!$A:$BX,49,FALSE))</f>
        <v>409311</v>
      </c>
      <c r="E108" s="139">
        <f t="shared" si="2"/>
        <v>450242</v>
      </c>
      <c r="F108" s="139">
        <f>'2024 Legal Max'!AL108*'Weighting Factors'!$O$5</f>
        <v>455376</v>
      </c>
      <c r="G108" s="139">
        <f t="shared" si="3"/>
        <v>-5134</v>
      </c>
      <c r="H108" s="166">
        <f>'2024 Legal Max'!AY108</f>
        <v>11</v>
      </c>
    </row>
    <row r="109" spans="1:8">
      <c r="A109" s="134" t="s">
        <v>294</v>
      </c>
      <c r="B109" s="129" t="s">
        <v>48</v>
      </c>
      <c r="C109" s="129" t="s">
        <v>614</v>
      </c>
      <c r="D109" s="139">
        <f>IF(ISNA(VLOOKUP($A109,'Audit Values'!$A:$BX,2,FALSE)),'Preliminary SO66'!AZ108,VLOOKUP($A109,'Audit Values'!$A:$BX,49,FALSE))</f>
        <v>391680</v>
      </c>
      <c r="E109" s="139">
        <f t="shared" si="2"/>
        <v>430848</v>
      </c>
      <c r="F109" s="139">
        <f>'2024 Legal Max'!AL109*'Weighting Factors'!$O$5</f>
        <v>227434</v>
      </c>
      <c r="G109" s="139">
        <f t="shared" si="3"/>
        <v>0</v>
      </c>
      <c r="H109" s="166">
        <f>'2024 Legal Max'!AY109</f>
        <v>15</v>
      </c>
    </row>
    <row r="110" spans="1:8">
      <c r="A110" s="134" t="s">
        <v>295</v>
      </c>
      <c r="B110" s="129" t="s">
        <v>49</v>
      </c>
      <c r="C110" s="129" t="s">
        <v>615</v>
      </c>
      <c r="D110" s="139">
        <f>IF(ISNA(VLOOKUP($A110,'Audit Values'!$A:$BX,2,FALSE)),'Preliminary SO66'!AZ109,VLOOKUP($A110,'Audit Values'!$A:$BX,49,FALSE))</f>
        <v>214861</v>
      </c>
      <c r="E110" s="139">
        <f t="shared" si="2"/>
        <v>236347</v>
      </c>
      <c r="F110" s="139">
        <f>'2024 Legal Max'!AL110*'Weighting Factors'!$O$5</f>
        <v>94637</v>
      </c>
      <c r="G110" s="139">
        <f t="shared" si="3"/>
        <v>0</v>
      </c>
      <c r="H110" s="166">
        <f>'2024 Legal Max'!AY110</f>
        <v>24</v>
      </c>
    </row>
    <row r="111" spans="1:8">
      <c r="A111" s="134" t="s">
        <v>296</v>
      </c>
      <c r="B111" s="129" t="s">
        <v>49</v>
      </c>
      <c r="C111" s="129" t="s">
        <v>616</v>
      </c>
      <c r="D111" s="139">
        <f>IF(ISNA(VLOOKUP($A111,'Audit Values'!$A:$BX,2,FALSE)),'Preliminary SO66'!AZ110,VLOOKUP($A111,'Audit Values'!$A:$BX,49,FALSE))</f>
        <v>643402</v>
      </c>
      <c r="E111" s="139">
        <f t="shared" si="2"/>
        <v>707742</v>
      </c>
      <c r="F111" s="139">
        <f>'2024 Legal Max'!AL111*'Weighting Factors'!$O$5</f>
        <v>358195</v>
      </c>
      <c r="G111" s="139">
        <f t="shared" si="3"/>
        <v>0</v>
      </c>
      <c r="H111" s="166">
        <f>'2024 Legal Max'!AY111</f>
        <v>15</v>
      </c>
    </row>
    <row r="112" spans="1:8">
      <c r="A112" s="134" t="s">
        <v>297</v>
      </c>
      <c r="B112" s="129" t="s">
        <v>49</v>
      </c>
      <c r="C112" s="129" t="s">
        <v>617</v>
      </c>
      <c r="D112" s="139">
        <f>IF(ISNA(VLOOKUP($A112,'Audit Values'!$A:$BX,2,FALSE)),'Preliminary SO66'!AZ111,VLOOKUP($A112,'Audit Values'!$A:$BX,49,FALSE))</f>
        <v>358599</v>
      </c>
      <c r="E112" s="139">
        <f t="shared" si="2"/>
        <v>394459</v>
      </c>
      <c r="F112" s="139">
        <f>'2024 Legal Max'!AL112*'Weighting Factors'!$O$5</f>
        <v>316474</v>
      </c>
      <c r="G112" s="139">
        <f t="shared" si="3"/>
        <v>0</v>
      </c>
      <c r="H112" s="166">
        <f>'2024 Legal Max'!AY112</f>
        <v>8</v>
      </c>
    </row>
    <row r="113" spans="1:8">
      <c r="A113" s="134" t="s">
        <v>298</v>
      </c>
      <c r="B113" s="129" t="s">
        <v>49</v>
      </c>
      <c r="C113" s="129" t="s">
        <v>618</v>
      </c>
      <c r="D113" s="139">
        <f>IF(ISNA(VLOOKUP($A113,'Audit Values'!$A:$BX,2,FALSE)),'Preliminary SO66'!AZ112,VLOOKUP($A113,'Audit Values'!$A:$BX,49,FALSE))</f>
        <v>96539</v>
      </c>
      <c r="E113" s="139">
        <f t="shared" si="2"/>
        <v>106193</v>
      </c>
      <c r="F113" s="139">
        <f>'2024 Legal Max'!AL113*'Weighting Factors'!$O$5</f>
        <v>153149</v>
      </c>
      <c r="G113" s="139">
        <f t="shared" si="3"/>
        <v>-46956</v>
      </c>
      <c r="H113" s="166">
        <f>'2024 Legal Max'!AY113</f>
        <v>11</v>
      </c>
    </row>
    <row r="114" spans="1:8">
      <c r="A114" s="134" t="s">
        <v>299</v>
      </c>
      <c r="B114" s="129" t="s">
        <v>49</v>
      </c>
      <c r="C114" s="129" t="s">
        <v>619</v>
      </c>
      <c r="D114" s="139">
        <f>IF(ISNA(VLOOKUP($A114,'Audit Values'!$A:$BX,2,FALSE)),'Preliminary SO66'!AZ113,VLOOKUP($A114,'Audit Values'!$A:$BX,49,FALSE))</f>
        <v>320337</v>
      </c>
      <c r="E114" s="139">
        <f t="shared" si="2"/>
        <v>352371</v>
      </c>
      <c r="F114" s="139">
        <f>'2024 Legal Max'!AL114*'Weighting Factors'!$O$5</f>
        <v>421286</v>
      </c>
      <c r="G114" s="139">
        <f t="shared" si="3"/>
        <v>-68915</v>
      </c>
      <c r="H114" s="166">
        <f>'2024 Legal Max'!AY114</f>
        <v>16</v>
      </c>
    </row>
    <row r="115" spans="1:8">
      <c r="A115" s="134" t="s">
        <v>300</v>
      </c>
      <c r="B115" s="129" t="s">
        <v>49</v>
      </c>
      <c r="C115" s="129" t="s">
        <v>620</v>
      </c>
      <c r="D115" s="139">
        <f>IF(ISNA(VLOOKUP($A115,'Audit Values'!$A:$BX,2,FALSE)),'Preliminary SO66'!AZ114,VLOOKUP($A115,'Audit Values'!$A:$BX,49,FALSE))</f>
        <v>913333</v>
      </c>
      <c r="E115" s="139">
        <f t="shared" si="2"/>
        <v>1004666</v>
      </c>
      <c r="F115" s="139">
        <f>'2024 Legal Max'!AL115*'Weighting Factors'!$O$5</f>
        <v>824765</v>
      </c>
      <c r="G115" s="139">
        <f t="shared" si="3"/>
        <v>0</v>
      </c>
      <c r="H115" s="166">
        <f>'2024 Legal Max'!AY115</f>
        <v>25</v>
      </c>
    </row>
    <row r="116" spans="1:8">
      <c r="A116" s="134" t="s">
        <v>301</v>
      </c>
      <c r="B116" s="129" t="s">
        <v>50</v>
      </c>
      <c r="C116" s="129" t="s">
        <v>621</v>
      </c>
      <c r="D116" s="139">
        <f>IF(ISNA(VLOOKUP($A116,'Audit Values'!$A:$BX,2,FALSE)),'Preliminary SO66'!AZ115,VLOOKUP($A116,'Audit Values'!$A:$BX,49,FALSE))</f>
        <v>82138</v>
      </c>
      <c r="E116" s="139">
        <f t="shared" si="2"/>
        <v>90352</v>
      </c>
      <c r="F116" s="139">
        <f>'2024 Legal Max'!AL116*'Weighting Factors'!$O$5</f>
        <v>61565</v>
      </c>
      <c r="G116" s="139">
        <f t="shared" si="3"/>
        <v>0</v>
      </c>
      <c r="H116" s="166">
        <f>'2024 Legal Max'!AY116</f>
        <v>8</v>
      </c>
    </row>
    <row r="117" spans="1:8">
      <c r="A117" s="134" t="s">
        <v>302</v>
      </c>
      <c r="B117" s="129" t="s">
        <v>50</v>
      </c>
      <c r="C117" s="129" t="s">
        <v>622</v>
      </c>
      <c r="D117" s="139">
        <f>IF(ISNA(VLOOKUP($A117,'Audit Values'!$A:$BX,2,FALSE)),'Preliminary SO66'!AZ116,VLOOKUP($A117,'Audit Values'!$A:$BX,49,FALSE))</f>
        <v>242850</v>
      </c>
      <c r="E117" s="139">
        <f t="shared" si="2"/>
        <v>267135</v>
      </c>
      <c r="F117" s="139">
        <f>'2024 Legal Max'!AL117*'Weighting Factors'!$O$5</f>
        <v>244224</v>
      </c>
      <c r="G117" s="139">
        <f t="shared" si="3"/>
        <v>0</v>
      </c>
      <c r="H117" s="166">
        <f>'2024 Legal Max'!AY117</f>
        <v>11</v>
      </c>
    </row>
    <row r="118" spans="1:8">
      <c r="A118" s="134" t="s">
        <v>303</v>
      </c>
      <c r="B118" s="129" t="s">
        <v>50</v>
      </c>
      <c r="C118" s="129" t="s">
        <v>623</v>
      </c>
      <c r="D118" s="139">
        <f>IF(ISNA(VLOOKUP($A118,'Audit Values'!$A:$BX,2,FALSE)),'Preliminary SO66'!AZ117,VLOOKUP($A118,'Audit Values'!$A:$BX,49,FALSE))</f>
        <v>158016</v>
      </c>
      <c r="E118" s="139">
        <f t="shared" si="2"/>
        <v>173818</v>
      </c>
      <c r="F118" s="139">
        <f>'2024 Legal Max'!AL118*'Weighting Factors'!$O$5</f>
        <v>74794</v>
      </c>
      <c r="G118" s="139">
        <f t="shared" si="3"/>
        <v>0</v>
      </c>
      <c r="H118" s="166">
        <f>'2024 Legal Max'!AY118</f>
        <v>21</v>
      </c>
    </row>
    <row r="119" spans="1:8">
      <c r="A119" s="134" t="s">
        <v>304</v>
      </c>
      <c r="B119" s="129" t="s">
        <v>52</v>
      </c>
      <c r="C119" s="129" t="s">
        <v>624</v>
      </c>
      <c r="D119" s="139">
        <f>IF(ISNA(VLOOKUP($A119,'Audit Values'!$A:$BX,2,FALSE)),'Preliminary SO66'!AZ118,VLOOKUP($A119,'Audit Values'!$A:$BX,49,FALSE))</f>
        <v>506763</v>
      </c>
      <c r="E119" s="139">
        <f t="shared" si="2"/>
        <v>557439</v>
      </c>
      <c r="F119" s="139">
        <f>'2024 Legal Max'!AL119*'Weighting Factors'!$O$5</f>
        <v>466061</v>
      </c>
      <c r="G119" s="139">
        <f t="shared" si="3"/>
        <v>0</v>
      </c>
      <c r="H119" s="166">
        <f>'2024 Legal Max'!AY119</f>
        <v>8</v>
      </c>
    </row>
    <row r="120" spans="1:8">
      <c r="A120" s="134" t="s">
        <v>305</v>
      </c>
      <c r="B120" s="129" t="s">
        <v>52</v>
      </c>
      <c r="C120" s="129" t="s">
        <v>625</v>
      </c>
      <c r="D120" s="139">
        <f>IF(ISNA(VLOOKUP($A120,'Audit Values'!$A:$BX,2,FALSE)),'Preliminary SO66'!AZ119,VLOOKUP($A120,'Audit Values'!$A:$BX,49,FALSE))</f>
        <v>263553</v>
      </c>
      <c r="E120" s="139">
        <f t="shared" si="2"/>
        <v>289908</v>
      </c>
      <c r="F120" s="139">
        <f>'2024 Legal Max'!AL120*'Weighting Factors'!$O$5</f>
        <v>439094</v>
      </c>
      <c r="G120" s="139">
        <f t="shared" si="3"/>
        <v>-149186</v>
      </c>
      <c r="H120" s="166">
        <f>'2024 Legal Max'!AY120</f>
        <v>7</v>
      </c>
    </row>
    <row r="121" spans="1:8">
      <c r="A121" s="134" t="s">
        <v>306</v>
      </c>
      <c r="B121" s="129" t="s">
        <v>52</v>
      </c>
      <c r="C121" s="129" t="s">
        <v>626</v>
      </c>
      <c r="D121" s="139">
        <f>IF(ISNA(VLOOKUP($A121,'Audit Values'!$A:$BX,2,FALSE)),'Preliminary SO66'!AZ120,VLOOKUP($A121,'Audit Values'!$A:$BX,49,FALSE))</f>
        <v>163445</v>
      </c>
      <c r="E121" s="139">
        <f t="shared" si="2"/>
        <v>179790</v>
      </c>
      <c r="F121" s="139">
        <f>'2024 Legal Max'!AL121*'Weighting Factors'!$O$5</f>
        <v>206573</v>
      </c>
      <c r="G121" s="139">
        <f t="shared" si="3"/>
        <v>-26783</v>
      </c>
      <c r="H121" s="166">
        <f>'2024 Legal Max'!AY121</f>
        <v>15</v>
      </c>
    </row>
    <row r="122" spans="1:8">
      <c r="A122" s="134" t="s">
        <v>307</v>
      </c>
      <c r="B122" s="129" t="s">
        <v>52</v>
      </c>
      <c r="C122" s="129" t="s">
        <v>627</v>
      </c>
      <c r="D122" s="139">
        <f>IF(ISNA(VLOOKUP($A122,'Audit Values'!$A:$BX,2,FALSE)),'Preliminary SO66'!AZ121,VLOOKUP($A122,'Audit Values'!$A:$BX,49,FALSE))</f>
        <v>648472</v>
      </c>
      <c r="E122" s="139">
        <f t="shared" si="2"/>
        <v>713319</v>
      </c>
      <c r="F122" s="139">
        <f>'2024 Legal Max'!AL122*'Weighting Factors'!$O$5</f>
        <v>822221</v>
      </c>
      <c r="G122" s="139">
        <f t="shared" si="3"/>
        <v>-108902</v>
      </c>
      <c r="H122" s="166">
        <f>'2024 Legal Max'!AY122</f>
        <v>25</v>
      </c>
    </row>
    <row r="123" spans="1:8">
      <c r="A123" s="134" t="s">
        <v>308</v>
      </c>
      <c r="B123" s="129" t="s">
        <v>53</v>
      </c>
      <c r="C123" s="129" t="s">
        <v>628</v>
      </c>
      <c r="D123" s="139">
        <f>IF(ISNA(VLOOKUP($A123,'Audit Values'!$A:$BX,2,FALSE)),'Preliminary SO66'!AZ122,VLOOKUP($A123,'Audit Values'!$A:$BX,49,FALSE))</f>
        <v>194323</v>
      </c>
      <c r="E123" s="139">
        <f t="shared" si="2"/>
        <v>213755</v>
      </c>
      <c r="F123" s="139">
        <f>'2024 Legal Max'!AL123*'Weighting Factors'!$O$5</f>
        <v>150096</v>
      </c>
      <c r="G123" s="139">
        <f t="shared" si="3"/>
        <v>0</v>
      </c>
      <c r="H123" s="166">
        <f>'2024 Legal Max'!AY123</f>
        <v>16</v>
      </c>
    </row>
    <row r="124" spans="1:8">
      <c r="A124" s="134" t="s">
        <v>309</v>
      </c>
      <c r="B124" s="129" t="s">
        <v>53</v>
      </c>
      <c r="C124" s="129" t="s">
        <v>629</v>
      </c>
      <c r="D124" s="139">
        <f>IF(ISNA(VLOOKUP($A124,'Audit Values'!$A:$BX,2,FALSE)),'Preliminary SO66'!AZ123,VLOOKUP($A124,'Audit Values'!$A:$BX,49,FALSE))</f>
        <v>80355</v>
      </c>
      <c r="E124" s="139">
        <f t="shared" si="2"/>
        <v>88391</v>
      </c>
      <c r="F124" s="139">
        <f>'2024 Legal Max'!AL124*'Weighting Factors'!$O$5</f>
        <v>68688</v>
      </c>
      <c r="G124" s="139">
        <f t="shared" si="3"/>
        <v>0</v>
      </c>
      <c r="H124" s="166">
        <f>'2024 Legal Max'!AY124</f>
        <v>3</v>
      </c>
    </row>
    <row r="125" spans="1:8">
      <c r="A125" s="134" t="s">
        <v>310</v>
      </c>
      <c r="B125" s="129" t="s">
        <v>54</v>
      </c>
      <c r="C125" s="129" t="s">
        <v>630</v>
      </c>
      <c r="D125" s="139">
        <f>IF(ISNA(VLOOKUP($A125,'Audit Values'!$A:$BX,2,FALSE)),'Preliminary SO66'!AZ124,VLOOKUP($A125,'Audit Values'!$A:$BX,49,FALSE))</f>
        <v>301669</v>
      </c>
      <c r="E125" s="139">
        <f t="shared" si="2"/>
        <v>331836</v>
      </c>
      <c r="F125" s="139">
        <f>'2024 Legal Max'!AL125*'Weighting Factors'!$O$5</f>
        <v>347510</v>
      </c>
      <c r="G125" s="139">
        <f t="shared" si="3"/>
        <v>-15674</v>
      </c>
      <c r="H125" s="166">
        <f>'2024 Legal Max'!AY125</f>
        <v>5</v>
      </c>
    </row>
    <row r="126" spans="1:8">
      <c r="A126" s="134" t="s">
        <v>311</v>
      </c>
      <c r="B126" s="129" t="s">
        <v>55</v>
      </c>
      <c r="C126" s="129" t="s">
        <v>631</v>
      </c>
      <c r="D126" s="139">
        <f>IF(ISNA(VLOOKUP($A126,'Audit Values'!$A:$BX,2,FALSE)),'Preliminary SO66'!AZ125,VLOOKUP($A126,'Audit Values'!$A:$BX,49,FALSE))</f>
        <v>390516</v>
      </c>
      <c r="E126" s="139">
        <f t="shared" si="2"/>
        <v>429568</v>
      </c>
      <c r="F126" s="139">
        <f>'2024 Legal Max'!AL126*'Weighting Factors'!$O$5</f>
        <v>299174</v>
      </c>
      <c r="G126" s="139">
        <f t="shared" si="3"/>
        <v>0</v>
      </c>
      <c r="H126" s="166">
        <f>'2024 Legal Max'!AY126</f>
        <v>4</v>
      </c>
    </row>
    <row r="127" spans="1:8">
      <c r="A127" s="134" t="s">
        <v>312</v>
      </c>
      <c r="B127" s="129" t="s">
        <v>55</v>
      </c>
      <c r="C127" s="129" t="s">
        <v>632</v>
      </c>
      <c r="D127" s="139">
        <f>IF(ISNA(VLOOKUP($A127,'Audit Values'!$A:$BX,2,FALSE)),'Preliminary SO66'!AZ126,VLOOKUP($A127,'Audit Values'!$A:$BX,49,FALSE))</f>
        <v>374119</v>
      </c>
      <c r="E127" s="139">
        <f t="shared" si="2"/>
        <v>411531</v>
      </c>
      <c r="F127" s="139">
        <f>'2024 Legal Max'!AL127*'Weighting Factors'!$O$5</f>
        <v>367862</v>
      </c>
      <c r="G127" s="139">
        <f t="shared" si="3"/>
        <v>0</v>
      </c>
      <c r="H127" s="166">
        <f>'2024 Legal Max'!AY127</f>
        <v>2</v>
      </c>
    </row>
    <row r="128" spans="1:8">
      <c r="A128" s="134" t="s">
        <v>313</v>
      </c>
      <c r="B128" s="129" t="s">
        <v>56</v>
      </c>
      <c r="C128" s="129" t="s">
        <v>633</v>
      </c>
      <c r="D128" s="139">
        <f>IF(ISNA(VLOOKUP($A128,'Audit Values'!$A:$BX,2,FALSE)),'Preliminary SO66'!AZ127,VLOOKUP($A128,'Audit Values'!$A:$BX,49,FALSE))</f>
        <v>448029</v>
      </c>
      <c r="E128" s="139">
        <f t="shared" si="2"/>
        <v>492832</v>
      </c>
      <c r="F128" s="139">
        <f>'2024 Legal Max'!AL128*'Weighting Factors'!$O$5</f>
        <v>320544</v>
      </c>
      <c r="G128" s="139">
        <f t="shared" si="3"/>
        <v>0</v>
      </c>
      <c r="H128" s="166">
        <f>'2024 Legal Max'!AY128</f>
        <v>8</v>
      </c>
    </row>
    <row r="129" spans="1:8">
      <c r="A129" s="134" t="s">
        <v>314</v>
      </c>
      <c r="B129" s="129" t="s">
        <v>56</v>
      </c>
      <c r="C129" s="129" t="s">
        <v>634</v>
      </c>
      <c r="D129" s="139">
        <f>IF(ISNA(VLOOKUP($A129,'Audit Values'!$A:$BX,2,FALSE)),'Preliminary SO66'!AZ128,VLOOKUP($A129,'Audit Values'!$A:$BX,49,FALSE))</f>
        <v>276555</v>
      </c>
      <c r="E129" s="139">
        <f t="shared" si="2"/>
        <v>304211</v>
      </c>
      <c r="F129" s="139">
        <f>'2024 Legal Max'!AL129*'Weighting Factors'!$O$5</f>
        <v>135850</v>
      </c>
      <c r="G129" s="139">
        <f t="shared" si="3"/>
        <v>0</v>
      </c>
      <c r="H129" s="166">
        <f>'2024 Legal Max'!AY129</f>
        <v>16</v>
      </c>
    </row>
    <row r="130" spans="1:8">
      <c r="A130" s="134" t="s">
        <v>315</v>
      </c>
      <c r="B130" s="129" t="s">
        <v>57</v>
      </c>
      <c r="C130" s="129" t="s">
        <v>635</v>
      </c>
      <c r="D130" s="139">
        <f>IF(ISNA(VLOOKUP($A130,'Audit Values'!$A:$BX,2,FALSE)),'Preliminary SO66'!AZ129,VLOOKUP($A130,'Audit Values'!$A:$BX,49,FALSE))</f>
        <v>472445</v>
      </c>
      <c r="E130" s="139">
        <f t="shared" si="2"/>
        <v>519690</v>
      </c>
      <c r="F130" s="139">
        <f>'2024 Legal Max'!AL130*'Weighting Factors'!$O$5</f>
        <v>256435</v>
      </c>
      <c r="G130" s="139">
        <f t="shared" si="3"/>
        <v>0</v>
      </c>
      <c r="H130" s="166">
        <f>'2024 Legal Max'!AY130</f>
        <v>10</v>
      </c>
    </row>
    <row r="131" spans="1:8">
      <c r="A131" s="134" t="s">
        <v>316</v>
      </c>
      <c r="B131" s="129" t="s">
        <v>57</v>
      </c>
      <c r="C131" s="129" t="s">
        <v>636</v>
      </c>
      <c r="D131" s="139">
        <f>IF(ISNA(VLOOKUP($A131,'Audit Values'!$A:$BX,2,FALSE)),'Preliminary SO66'!AZ130,VLOOKUP($A131,'Audit Values'!$A:$BX,49,FALSE))</f>
        <v>86423</v>
      </c>
      <c r="E131" s="139">
        <f t="shared" si="2"/>
        <v>95065</v>
      </c>
      <c r="F131" s="139">
        <f>'2024 Legal Max'!AL131*'Weighting Factors'!$O$5</f>
        <v>32563</v>
      </c>
      <c r="G131" s="139">
        <f t="shared" si="3"/>
        <v>0</v>
      </c>
      <c r="H131" s="166">
        <f>'2024 Legal Max'!AY131</f>
        <v>12</v>
      </c>
    </row>
    <row r="132" spans="1:8">
      <c r="A132" s="134" t="s">
        <v>317</v>
      </c>
      <c r="B132" s="129" t="s">
        <v>58</v>
      </c>
      <c r="C132" s="129" t="s">
        <v>637</v>
      </c>
      <c r="D132" s="139">
        <f>IF(ISNA(VLOOKUP($A132,'Audit Values'!$A:$BX,2,FALSE)),'Preliminary SO66'!AZ131,VLOOKUP($A132,'Audit Values'!$A:$BX,49,FALSE))</f>
        <v>264202</v>
      </c>
      <c r="E132" s="139">
        <f t="shared" si="2"/>
        <v>290622</v>
      </c>
      <c r="F132" s="139">
        <f>'2024 Legal Max'!AL132*'Weighting Factors'!$O$5</f>
        <v>278314</v>
      </c>
      <c r="G132" s="139">
        <f t="shared" si="3"/>
        <v>0</v>
      </c>
      <c r="H132" s="166">
        <f>'2024 Legal Max'!AY132</f>
        <v>14</v>
      </c>
    </row>
    <row r="133" spans="1:8">
      <c r="A133" s="134" t="s">
        <v>318</v>
      </c>
      <c r="B133" s="129" t="s">
        <v>58</v>
      </c>
      <c r="C133" s="129" t="s">
        <v>638</v>
      </c>
      <c r="D133" s="139">
        <f>IF(ISNA(VLOOKUP($A133,'Audit Values'!$A:$BX,2,FALSE)),'Preliminary SO66'!AZ132,VLOOKUP($A133,'Audit Values'!$A:$BX,49,FALSE))</f>
        <v>430229</v>
      </c>
      <c r="E133" s="139">
        <f t="shared" si="2"/>
        <v>473252</v>
      </c>
      <c r="F133" s="139">
        <f>'2024 Legal Max'!AL133*'Weighting Factors'!$O$5</f>
        <v>356669</v>
      </c>
      <c r="G133" s="139">
        <f t="shared" si="3"/>
        <v>0</v>
      </c>
      <c r="H133" s="166">
        <f>'2024 Legal Max'!AY133</f>
        <v>8</v>
      </c>
    </row>
    <row r="134" spans="1:8">
      <c r="A134" s="134" t="s">
        <v>319</v>
      </c>
      <c r="B134" s="129" t="s">
        <v>58</v>
      </c>
      <c r="C134" s="129" t="s">
        <v>639</v>
      </c>
      <c r="D134" s="139">
        <f>IF(ISNA(VLOOKUP($A134,'Audit Values'!$A:$BX,2,FALSE)),'Preliminary SO66'!AZ133,VLOOKUP($A134,'Audit Values'!$A:$BX,49,FALSE))</f>
        <v>625388</v>
      </c>
      <c r="E134" s="139">
        <f t="shared" ref="E134:E197" si="4">D134*$E$3</f>
        <v>687927</v>
      </c>
      <c r="F134" s="139">
        <f>'2024 Legal Max'!AL134*'Weighting Factors'!$O$5</f>
        <v>545434</v>
      </c>
      <c r="G134" s="139">
        <f t="shared" ref="G134:G197" si="5">IF(F134-E134&gt;0,E134-F134,0)</f>
        <v>0</v>
      </c>
      <c r="H134" s="166">
        <f>'2024 Legal Max'!AY134</f>
        <v>8</v>
      </c>
    </row>
    <row r="135" spans="1:8">
      <c r="A135" s="134" t="s">
        <v>320</v>
      </c>
      <c r="B135" s="129" t="s">
        <v>59</v>
      </c>
      <c r="C135" s="129" t="s">
        <v>640</v>
      </c>
      <c r="D135" s="139">
        <f>IF(ISNA(VLOOKUP($A135,'Audit Values'!$A:$BX,2,FALSE)),'Preliminary SO66'!AZ134,VLOOKUP($A135,'Audit Values'!$A:$BX,49,FALSE))</f>
        <v>154566</v>
      </c>
      <c r="E135" s="139">
        <f t="shared" si="4"/>
        <v>170023</v>
      </c>
      <c r="F135" s="139">
        <f>'2024 Legal Max'!AL135*'Weighting Factors'!$O$5</f>
        <v>139411</v>
      </c>
      <c r="G135" s="139">
        <f t="shared" si="5"/>
        <v>0</v>
      </c>
      <c r="H135" s="166">
        <f>'2024 Legal Max'!AY135</f>
        <v>6</v>
      </c>
    </row>
    <row r="136" spans="1:8">
      <c r="A136" s="134" t="s">
        <v>321</v>
      </c>
      <c r="B136" s="129" t="s">
        <v>59</v>
      </c>
      <c r="C136" s="129" t="s">
        <v>641</v>
      </c>
      <c r="D136" s="139">
        <f>IF(ISNA(VLOOKUP($A136,'Audit Values'!$A:$BX,2,FALSE)),'Preliminary SO66'!AZ135,VLOOKUP($A136,'Audit Values'!$A:$BX,49,FALSE))</f>
        <v>265442</v>
      </c>
      <c r="E136" s="139">
        <f t="shared" si="4"/>
        <v>291986</v>
      </c>
      <c r="F136" s="139">
        <f>'2024 Legal Max'!AL136*'Weighting Factors'!$O$5</f>
        <v>216240</v>
      </c>
      <c r="G136" s="139">
        <f t="shared" si="5"/>
        <v>0</v>
      </c>
      <c r="H136" s="166">
        <f>'2024 Legal Max'!AY136</f>
        <v>18</v>
      </c>
    </row>
    <row r="137" spans="1:8">
      <c r="A137" s="134" t="s">
        <v>322</v>
      </c>
      <c r="B137" s="129" t="s">
        <v>59</v>
      </c>
      <c r="C137" s="129" t="s">
        <v>642</v>
      </c>
      <c r="D137" s="139">
        <f>IF(ISNA(VLOOKUP($A137,'Audit Values'!$A:$BX,2,FALSE)),'Preliminary SO66'!AZ136,VLOOKUP($A137,'Audit Values'!$A:$BX,49,FALSE))</f>
        <v>443364</v>
      </c>
      <c r="E137" s="139">
        <f t="shared" si="4"/>
        <v>487700</v>
      </c>
      <c r="F137" s="139">
        <f>'2024 Legal Max'!AL137*'Weighting Factors'!$O$5</f>
        <v>358704</v>
      </c>
      <c r="G137" s="139">
        <f t="shared" si="5"/>
        <v>0</v>
      </c>
      <c r="H137" s="166">
        <f>'2024 Legal Max'!AY137</f>
        <v>14</v>
      </c>
    </row>
    <row r="138" spans="1:8">
      <c r="A138" s="134" t="s">
        <v>323</v>
      </c>
      <c r="B138" s="129" t="s">
        <v>59</v>
      </c>
      <c r="C138" s="129" t="s">
        <v>643</v>
      </c>
      <c r="D138" s="139">
        <f>IF(ISNA(VLOOKUP($A138,'Audit Values'!$A:$BX,2,FALSE)),'Preliminary SO66'!AZ137,VLOOKUP($A138,'Audit Values'!$A:$BX,49,FALSE))</f>
        <v>517035</v>
      </c>
      <c r="E138" s="139">
        <f t="shared" si="4"/>
        <v>568739</v>
      </c>
      <c r="F138" s="139">
        <f>'2024 Legal Max'!AL138*'Weighting Factors'!$O$5</f>
        <v>232013</v>
      </c>
      <c r="G138" s="139">
        <f t="shared" si="5"/>
        <v>0</v>
      </c>
      <c r="H138" s="166">
        <f>'2024 Legal Max'!AY138</f>
        <v>17</v>
      </c>
    </row>
    <row r="139" spans="1:8">
      <c r="A139" s="134" t="s">
        <v>324</v>
      </c>
      <c r="B139" s="129" t="s">
        <v>59</v>
      </c>
      <c r="C139" s="129" t="s">
        <v>644</v>
      </c>
      <c r="D139" s="139">
        <f>IF(ISNA(VLOOKUP($A139,'Audit Values'!$A:$BX,2,FALSE)),'Preliminary SO66'!AZ138,VLOOKUP($A139,'Audit Values'!$A:$BX,49,FALSE))</f>
        <v>288859</v>
      </c>
      <c r="E139" s="139">
        <f t="shared" si="4"/>
        <v>317745</v>
      </c>
      <c r="F139" s="139">
        <f>'2024 Legal Max'!AL139*'Weighting Factors'!$O$5</f>
        <v>207082</v>
      </c>
      <c r="G139" s="139">
        <f t="shared" si="5"/>
        <v>0</v>
      </c>
      <c r="H139" s="166">
        <f>'2024 Legal Max'!AY139</f>
        <v>7</v>
      </c>
    </row>
    <row r="140" spans="1:8">
      <c r="A140" s="134" t="s">
        <v>325</v>
      </c>
      <c r="B140" s="129" t="s">
        <v>59</v>
      </c>
      <c r="C140" s="129" t="s">
        <v>645</v>
      </c>
      <c r="D140" s="139">
        <f>IF(ISNA(VLOOKUP($A140,'Audit Values'!$A:$BX,2,FALSE)),'Preliminary SO66'!AZ139,VLOOKUP($A140,'Audit Values'!$A:$BX,49,FALSE))</f>
        <v>553590</v>
      </c>
      <c r="E140" s="139">
        <f t="shared" si="4"/>
        <v>608949</v>
      </c>
      <c r="F140" s="139">
        <f>'2024 Legal Max'!AL140*'Weighting Factors'!$O$5</f>
        <v>412637</v>
      </c>
      <c r="G140" s="139">
        <f t="shared" si="5"/>
        <v>0</v>
      </c>
      <c r="H140" s="166">
        <f>'2024 Legal Max'!AY140</f>
        <v>7</v>
      </c>
    </row>
    <row r="141" spans="1:8">
      <c r="A141" s="134" t="s">
        <v>326</v>
      </c>
      <c r="B141" s="129" t="s">
        <v>60</v>
      </c>
      <c r="C141" s="129" t="s">
        <v>646</v>
      </c>
      <c r="D141" s="139">
        <f>IF(ISNA(VLOOKUP($A141,'Audit Values'!$A:$BX,2,FALSE)),'Preliminary SO66'!AZ140,VLOOKUP($A141,'Audit Values'!$A:$BX,49,FALSE))</f>
        <v>62418</v>
      </c>
      <c r="E141" s="139">
        <f t="shared" si="4"/>
        <v>68660</v>
      </c>
      <c r="F141" s="139">
        <f>'2024 Legal Max'!AL141*'Weighting Factors'!$O$5</f>
        <v>65126</v>
      </c>
      <c r="G141" s="139">
        <f t="shared" si="5"/>
        <v>0</v>
      </c>
      <c r="H141" s="166">
        <f>'2024 Legal Max'!AY141</f>
        <v>14</v>
      </c>
    </row>
    <row r="142" spans="1:8">
      <c r="A142" s="134" t="s">
        <v>327</v>
      </c>
      <c r="B142" s="129" t="s">
        <v>61</v>
      </c>
      <c r="C142" s="129" t="s">
        <v>647</v>
      </c>
      <c r="D142" s="139">
        <f>IF(ISNA(VLOOKUP($A142,'Audit Values'!$A:$BX,2,FALSE)),'Preliminary SO66'!AZ141,VLOOKUP($A142,'Audit Values'!$A:$BX,49,FALSE))</f>
        <v>1594908</v>
      </c>
      <c r="E142" s="139">
        <f t="shared" si="4"/>
        <v>1754399</v>
      </c>
      <c r="F142" s="139">
        <f>'2024 Legal Max'!AL142*'Weighting Factors'!$O$5</f>
        <v>1056778</v>
      </c>
      <c r="G142" s="139">
        <f t="shared" si="5"/>
        <v>0</v>
      </c>
      <c r="H142" s="166">
        <f>'2024 Legal Max'!AY142</f>
        <v>14</v>
      </c>
    </row>
    <row r="143" spans="1:8">
      <c r="A143" s="134" t="s">
        <v>328</v>
      </c>
      <c r="B143" s="129" t="s">
        <v>60</v>
      </c>
      <c r="C143" s="129" t="s">
        <v>648</v>
      </c>
      <c r="D143" s="139">
        <f>IF(ISNA(VLOOKUP($A143,'Audit Values'!$A:$BX,2,FALSE)),'Preliminary SO66'!AZ142,VLOOKUP($A143,'Audit Values'!$A:$BX,49,FALSE))</f>
        <v>375758</v>
      </c>
      <c r="E143" s="139">
        <f t="shared" si="4"/>
        <v>413334</v>
      </c>
      <c r="F143" s="139">
        <f>'2024 Legal Max'!AL143*'Weighting Factors'!$O$5</f>
        <v>365318</v>
      </c>
      <c r="G143" s="139">
        <f t="shared" si="5"/>
        <v>0</v>
      </c>
      <c r="H143" s="166">
        <f>'2024 Legal Max'!AY143</f>
        <v>14</v>
      </c>
    </row>
    <row r="144" spans="1:8">
      <c r="A144" s="134" t="s">
        <v>329</v>
      </c>
      <c r="B144" s="129" t="s">
        <v>62</v>
      </c>
      <c r="C144" s="129" t="s">
        <v>649</v>
      </c>
      <c r="D144" s="139">
        <f>IF(ISNA(VLOOKUP($A144,'Audit Values'!$A:$BX,2,FALSE)),'Preliminary SO66'!AZ143,VLOOKUP($A144,'Audit Values'!$A:$BX,49,FALSE))</f>
        <v>218386</v>
      </c>
      <c r="E144" s="139">
        <f t="shared" si="4"/>
        <v>240225</v>
      </c>
      <c r="F144" s="139">
        <f>'2024 Legal Max'!AL144*'Weighting Factors'!$O$5</f>
        <v>164342</v>
      </c>
      <c r="G144" s="139">
        <f t="shared" si="5"/>
        <v>0</v>
      </c>
      <c r="H144" s="166">
        <f>'2024 Legal Max'!AY144</f>
        <v>8</v>
      </c>
    </row>
    <row r="145" spans="1:8">
      <c r="A145" s="134" t="s">
        <v>330</v>
      </c>
      <c r="B145" s="129" t="s">
        <v>63</v>
      </c>
      <c r="C145" s="129" t="s">
        <v>650</v>
      </c>
      <c r="D145" s="139">
        <f>IF(ISNA(VLOOKUP($A145,'Audit Values'!$A:$BX,2,FALSE)),'Preliminary SO66'!AZ144,VLOOKUP($A145,'Audit Values'!$A:$BX,49,FALSE))</f>
        <v>1054534</v>
      </c>
      <c r="E145" s="139">
        <f t="shared" si="4"/>
        <v>1159987</v>
      </c>
      <c r="F145" s="139">
        <f>'2024 Legal Max'!AL145*'Weighting Factors'!$O$5</f>
        <v>508291</v>
      </c>
      <c r="G145" s="139">
        <f t="shared" si="5"/>
        <v>0</v>
      </c>
      <c r="H145" s="166">
        <f>'2024 Legal Max'!AY145</f>
        <v>15</v>
      </c>
    </row>
    <row r="146" spans="1:8">
      <c r="A146" s="134" t="s">
        <v>331</v>
      </c>
      <c r="B146" s="129" t="s">
        <v>64</v>
      </c>
      <c r="C146" s="129" t="s">
        <v>651</v>
      </c>
      <c r="D146" s="139">
        <f>IF(ISNA(VLOOKUP($A146,'Audit Values'!$A:$BX,2,FALSE)),'Preliminary SO66'!AZ145,VLOOKUP($A146,'Audit Values'!$A:$BX,49,FALSE))</f>
        <v>40730</v>
      </c>
      <c r="E146" s="139">
        <f t="shared" si="4"/>
        <v>44803</v>
      </c>
      <c r="F146" s="139">
        <f>'2024 Legal Max'!AL146*'Weighting Factors'!$O$5</f>
        <v>43248</v>
      </c>
      <c r="G146" s="139">
        <f t="shared" si="5"/>
        <v>0</v>
      </c>
      <c r="H146" s="166">
        <f>'2024 Legal Max'!AY146</f>
        <v>29</v>
      </c>
    </row>
    <row r="147" spans="1:8">
      <c r="A147" s="134" t="s">
        <v>332</v>
      </c>
      <c r="B147" s="129" t="s">
        <v>64</v>
      </c>
      <c r="C147" s="129" t="s">
        <v>652</v>
      </c>
      <c r="D147" s="139">
        <f>IF(ISNA(VLOOKUP($A147,'Audit Values'!$A:$BX,2,FALSE)),'Preliminary SO66'!AZ146,VLOOKUP($A147,'Audit Values'!$A:$BX,49,FALSE))</f>
        <v>103045</v>
      </c>
      <c r="E147" s="139">
        <f t="shared" si="4"/>
        <v>113350</v>
      </c>
      <c r="F147" s="139">
        <f>'2024 Legal Max'!AL147*'Weighting Factors'!$O$5</f>
        <v>88022</v>
      </c>
      <c r="G147" s="139">
        <f t="shared" si="5"/>
        <v>0</v>
      </c>
      <c r="H147" s="166">
        <f>'2024 Legal Max'!AY147</f>
        <v>17</v>
      </c>
    </row>
    <row r="148" spans="1:8">
      <c r="A148" s="134" t="s">
        <v>333</v>
      </c>
      <c r="B148" s="129" t="s">
        <v>64</v>
      </c>
      <c r="C148" s="129" t="s">
        <v>653</v>
      </c>
      <c r="D148" s="139">
        <f>IF(ISNA(VLOOKUP($A148,'Audit Values'!$A:$BX,2,FALSE)),'Preliminary SO66'!AZ147,VLOOKUP($A148,'Audit Values'!$A:$BX,49,FALSE))</f>
        <v>140605</v>
      </c>
      <c r="E148" s="139">
        <f t="shared" si="4"/>
        <v>154666</v>
      </c>
      <c r="F148" s="139">
        <f>'2024 Legal Max'!AL148*'Weighting Factors'!$O$5</f>
        <v>83443</v>
      </c>
      <c r="G148" s="139">
        <f t="shared" si="5"/>
        <v>0</v>
      </c>
      <c r="H148" s="166">
        <f>'2024 Legal Max'!AY148</f>
        <v>17</v>
      </c>
    </row>
    <row r="149" spans="1:8">
      <c r="A149" s="134" t="s">
        <v>334</v>
      </c>
      <c r="B149" s="129" t="s">
        <v>65</v>
      </c>
      <c r="C149" s="129" t="s">
        <v>654</v>
      </c>
      <c r="D149" s="139">
        <f>IF(ISNA(VLOOKUP($A149,'Audit Values'!$A:$BX,2,FALSE)),'Preliminary SO66'!AZ148,VLOOKUP($A149,'Audit Values'!$A:$BX,49,FALSE))</f>
        <v>204128</v>
      </c>
      <c r="E149" s="139">
        <f t="shared" si="4"/>
        <v>224541</v>
      </c>
      <c r="F149" s="139">
        <f>'2024 Legal Max'!AL149*'Weighting Factors'!$O$5</f>
        <v>222346</v>
      </c>
      <c r="G149" s="139">
        <f t="shared" si="5"/>
        <v>0</v>
      </c>
      <c r="H149" s="166">
        <f>'2024 Legal Max'!AY149</f>
        <v>25</v>
      </c>
    </row>
    <row r="150" spans="1:8">
      <c r="A150" s="134" t="s">
        <v>335</v>
      </c>
      <c r="B150" s="129" t="s">
        <v>66</v>
      </c>
      <c r="C150" s="129" t="s">
        <v>655</v>
      </c>
      <c r="D150" s="139">
        <f>IF(ISNA(VLOOKUP($A150,'Audit Values'!$A:$BX,2,FALSE)),'Preliminary SO66'!AZ149,VLOOKUP($A150,'Audit Values'!$A:$BX,49,FALSE))</f>
        <v>345720</v>
      </c>
      <c r="E150" s="139">
        <f t="shared" si="4"/>
        <v>380292</v>
      </c>
      <c r="F150" s="139">
        <f>'2024 Legal Max'!AL150*'Weighting Factors'!$O$5</f>
        <v>214714</v>
      </c>
      <c r="G150" s="139">
        <f t="shared" si="5"/>
        <v>0</v>
      </c>
      <c r="H150" s="166">
        <f>'2024 Legal Max'!AY150</f>
        <v>9</v>
      </c>
    </row>
    <row r="151" spans="1:8">
      <c r="A151" s="134" t="s">
        <v>336</v>
      </c>
      <c r="B151" s="129" t="s">
        <v>67</v>
      </c>
      <c r="C151" s="129" t="s">
        <v>656</v>
      </c>
      <c r="D151" s="139">
        <f>IF(ISNA(VLOOKUP($A151,'Audit Values'!$A:$BX,2,FALSE)),'Preliminary SO66'!AZ150,VLOOKUP($A151,'Audit Values'!$A:$BX,49,FALSE))</f>
        <v>113853</v>
      </c>
      <c r="E151" s="139">
        <f t="shared" si="4"/>
        <v>125238</v>
      </c>
      <c r="F151" s="139">
        <f>'2024 Legal Max'!AL151*'Weighting Factors'!$O$5</f>
        <v>75811</v>
      </c>
      <c r="G151" s="139">
        <f t="shared" si="5"/>
        <v>0</v>
      </c>
      <c r="H151" s="166">
        <f>'2024 Legal Max'!AY151</f>
        <v>15</v>
      </c>
    </row>
    <row r="152" spans="1:8">
      <c r="A152" s="134" t="s">
        <v>337</v>
      </c>
      <c r="B152" s="129" t="s">
        <v>66</v>
      </c>
      <c r="C152" s="129" t="s">
        <v>657</v>
      </c>
      <c r="D152" s="139">
        <f>IF(ISNA(VLOOKUP($A152,'Audit Values'!$A:$BX,2,FALSE)),'Preliminary SO66'!AZ151,VLOOKUP($A152,'Audit Values'!$A:$BX,49,FALSE))</f>
        <v>154885</v>
      </c>
      <c r="E152" s="139">
        <f t="shared" si="4"/>
        <v>170374</v>
      </c>
      <c r="F152" s="139">
        <f>'2024 Legal Max'!AL152*'Weighting Factors'!$O$5</f>
        <v>161290</v>
      </c>
      <c r="G152" s="139">
        <f t="shared" si="5"/>
        <v>0</v>
      </c>
      <c r="H152" s="166">
        <f>'2024 Legal Max'!AY152</f>
        <v>6</v>
      </c>
    </row>
    <row r="153" spans="1:8">
      <c r="A153" s="134" t="s">
        <v>338</v>
      </c>
      <c r="B153" s="129" t="s">
        <v>66</v>
      </c>
      <c r="C153" s="129" t="s">
        <v>658</v>
      </c>
      <c r="D153" s="139">
        <f>IF(ISNA(VLOOKUP($A153,'Audit Values'!$A:$BX,2,FALSE)),'Preliminary SO66'!AZ152,VLOOKUP($A153,'Audit Values'!$A:$BX,49,FALSE))</f>
        <v>145623</v>
      </c>
      <c r="E153" s="139">
        <f t="shared" si="4"/>
        <v>160185</v>
      </c>
      <c r="F153" s="139">
        <f>'2024 Legal Max'!AL153*'Weighting Factors'!$O$5</f>
        <v>166378</v>
      </c>
      <c r="G153" s="139">
        <f t="shared" si="5"/>
        <v>-6193</v>
      </c>
      <c r="H153" s="166">
        <f>'2024 Legal Max'!AY153</f>
        <v>25</v>
      </c>
    </row>
    <row r="154" spans="1:8">
      <c r="A154" s="134" t="s">
        <v>339</v>
      </c>
      <c r="B154" s="129" t="s">
        <v>66</v>
      </c>
      <c r="C154" s="129" t="s">
        <v>659</v>
      </c>
      <c r="D154" s="139">
        <f>IF(ISNA(VLOOKUP($A154,'Audit Values'!$A:$BX,2,FALSE)),'Preliminary SO66'!AZ153,VLOOKUP($A154,'Audit Values'!$A:$BX,49,FALSE))</f>
        <v>182575</v>
      </c>
      <c r="E154" s="139">
        <f t="shared" si="4"/>
        <v>200833</v>
      </c>
      <c r="F154" s="139">
        <f>'2024 Legal Max'!AL154*'Weighting Factors'!$O$5</f>
        <v>83952</v>
      </c>
      <c r="G154" s="139">
        <f t="shared" si="5"/>
        <v>0</v>
      </c>
      <c r="H154" s="166">
        <f>'2024 Legal Max'!AY154</f>
        <v>18</v>
      </c>
    </row>
    <row r="155" spans="1:8">
      <c r="A155" s="134" t="s">
        <v>340</v>
      </c>
      <c r="B155" s="129" t="s">
        <v>66</v>
      </c>
      <c r="C155" s="129" t="s">
        <v>660</v>
      </c>
      <c r="D155" s="139">
        <f>IF(ISNA(VLOOKUP($A155,'Audit Values'!$A:$BX,2,FALSE)),'Preliminary SO66'!AZ154,VLOOKUP($A155,'Audit Values'!$A:$BX,49,FALSE))</f>
        <v>88047</v>
      </c>
      <c r="E155" s="139">
        <f t="shared" si="4"/>
        <v>96852</v>
      </c>
      <c r="F155" s="139">
        <f>'2024 Legal Max'!AL155*'Weighting Factors'!$O$5</f>
        <v>47318</v>
      </c>
      <c r="G155" s="139">
        <f t="shared" si="5"/>
        <v>0</v>
      </c>
      <c r="H155" s="166">
        <f>'2024 Legal Max'!AY155</f>
        <v>17</v>
      </c>
    </row>
    <row r="156" spans="1:8">
      <c r="A156" s="134" t="s">
        <v>341</v>
      </c>
      <c r="B156" s="129" t="s">
        <v>66</v>
      </c>
      <c r="C156" s="129" t="s">
        <v>661</v>
      </c>
      <c r="D156" s="139">
        <f>IF(ISNA(VLOOKUP($A156,'Audit Values'!$A:$BX,2,FALSE)),'Preliminary SO66'!AZ155,VLOOKUP($A156,'Audit Values'!$A:$BX,49,FALSE))</f>
        <v>41289</v>
      </c>
      <c r="E156" s="139">
        <f t="shared" si="4"/>
        <v>45418</v>
      </c>
      <c r="F156" s="139">
        <f>'2024 Legal Max'!AL156*'Weighting Factors'!$O$5</f>
        <v>65126</v>
      </c>
      <c r="G156" s="139">
        <f t="shared" si="5"/>
        <v>-19708</v>
      </c>
      <c r="H156" s="166">
        <f>'2024 Legal Max'!AY156</f>
        <v>17</v>
      </c>
    </row>
    <row r="157" spans="1:8">
      <c r="A157" s="134" t="s">
        <v>342</v>
      </c>
      <c r="B157" s="129" t="s">
        <v>68</v>
      </c>
      <c r="C157" s="129" t="s">
        <v>662</v>
      </c>
      <c r="D157" s="139">
        <f>IF(ISNA(VLOOKUP($A157,'Audit Values'!$A:$BX,2,FALSE)),'Preliminary SO66'!AZ156,VLOOKUP($A157,'Audit Values'!$A:$BX,49,FALSE))</f>
        <v>563140</v>
      </c>
      <c r="E157" s="139">
        <f t="shared" si="4"/>
        <v>619454</v>
      </c>
      <c r="F157" s="139">
        <f>'2024 Legal Max'!AL157*'Weighting Factors'!$O$5</f>
        <v>525082</v>
      </c>
      <c r="G157" s="139">
        <f t="shared" si="5"/>
        <v>0</v>
      </c>
      <c r="H157" s="166">
        <f>'2024 Legal Max'!AY157</f>
        <v>16</v>
      </c>
    </row>
    <row r="158" spans="1:8">
      <c r="A158" s="134" t="s">
        <v>343</v>
      </c>
      <c r="B158" s="129" t="s">
        <v>60</v>
      </c>
      <c r="C158" s="129" t="s">
        <v>663</v>
      </c>
      <c r="D158" s="139">
        <f>IF(ISNA(VLOOKUP($A158,'Audit Values'!$A:$BX,2,FALSE)),'Preliminary SO66'!AZ157,VLOOKUP($A158,'Audit Values'!$A:$BX,49,FALSE))</f>
        <v>706920</v>
      </c>
      <c r="E158" s="139">
        <f t="shared" si="4"/>
        <v>777612</v>
      </c>
      <c r="F158" s="139">
        <f>'2024 Legal Max'!AL158*'Weighting Factors'!$O$5</f>
        <v>629386</v>
      </c>
      <c r="G158" s="139">
        <f t="shared" si="5"/>
        <v>0</v>
      </c>
      <c r="H158" s="166">
        <f>'2024 Legal Max'!AY158</f>
        <v>7</v>
      </c>
    </row>
    <row r="159" spans="1:8">
      <c r="A159" s="134" t="s">
        <v>344</v>
      </c>
      <c r="B159" s="129" t="s">
        <v>69</v>
      </c>
      <c r="C159" s="129" t="s">
        <v>664</v>
      </c>
      <c r="D159" s="139">
        <f>IF(ISNA(VLOOKUP($A159,'Audit Values'!$A:$BX,2,FALSE)),'Preliminary SO66'!AZ158,VLOOKUP($A159,'Audit Values'!$A:$BX,49,FALSE))</f>
        <v>166647</v>
      </c>
      <c r="E159" s="139">
        <f t="shared" si="4"/>
        <v>183312</v>
      </c>
      <c r="F159" s="139">
        <f>'2024 Legal Max'!AL159*'Weighting Factors'!$O$5</f>
        <v>77846</v>
      </c>
      <c r="G159" s="139">
        <f t="shared" si="5"/>
        <v>0</v>
      </c>
      <c r="H159" s="166">
        <f>'2024 Legal Max'!AY159</f>
        <v>15</v>
      </c>
    </row>
    <row r="160" spans="1:8">
      <c r="A160" s="134" t="s">
        <v>345</v>
      </c>
      <c r="B160" s="129" t="s">
        <v>70</v>
      </c>
      <c r="C160" s="129" t="s">
        <v>665</v>
      </c>
      <c r="D160" s="139">
        <f>IF(ISNA(VLOOKUP($A160,'Audit Values'!$A:$BX,2,FALSE)),'Preliminary SO66'!AZ159,VLOOKUP($A160,'Audit Values'!$A:$BX,49,FALSE))</f>
        <v>279860</v>
      </c>
      <c r="E160" s="139">
        <f t="shared" si="4"/>
        <v>307846</v>
      </c>
      <c r="F160" s="139">
        <f>'2024 Legal Max'!AL160*'Weighting Factors'!$O$5</f>
        <v>272208</v>
      </c>
      <c r="G160" s="139">
        <f t="shared" si="5"/>
        <v>0</v>
      </c>
      <c r="H160" s="166">
        <f>'2024 Legal Max'!AY160</f>
        <v>10</v>
      </c>
    </row>
    <row r="161" spans="1:8">
      <c r="A161" s="134" t="s">
        <v>346</v>
      </c>
      <c r="B161" s="129" t="s">
        <v>71</v>
      </c>
      <c r="C161" s="129" t="s">
        <v>666</v>
      </c>
      <c r="D161" s="139">
        <f>IF(ISNA(VLOOKUP($A161,'Audit Values'!$A:$BX,2,FALSE)),'Preliminary SO66'!AZ160,VLOOKUP($A161,'Audit Values'!$A:$BX,49,FALSE))</f>
        <v>642136</v>
      </c>
      <c r="E161" s="139">
        <f t="shared" si="4"/>
        <v>706350</v>
      </c>
      <c r="F161" s="139">
        <f>'2024 Legal Max'!AL161*'Weighting Factors'!$O$5</f>
        <v>372442</v>
      </c>
      <c r="G161" s="139">
        <f t="shared" si="5"/>
        <v>0</v>
      </c>
      <c r="H161" s="166">
        <f>'2024 Legal Max'!AY161</f>
        <v>6</v>
      </c>
    </row>
    <row r="162" spans="1:8">
      <c r="A162" s="134" t="s">
        <v>347</v>
      </c>
      <c r="B162" s="129" t="s">
        <v>72</v>
      </c>
      <c r="C162" s="129" t="s">
        <v>667</v>
      </c>
      <c r="D162" s="139">
        <f>IF(ISNA(VLOOKUP($A162,'Audit Values'!$A:$BX,2,FALSE)),'Preliminary SO66'!AZ161,VLOOKUP($A162,'Audit Values'!$A:$BX,49,FALSE))</f>
        <v>307518</v>
      </c>
      <c r="E162" s="139">
        <f t="shared" si="4"/>
        <v>338270</v>
      </c>
      <c r="F162" s="139">
        <f>'2024 Legal Max'!AL162*'Weighting Factors'!$O$5</f>
        <v>213696</v>
      </c>
      <c r="G162" s="139">
        <f t="shared" si="5"/>
        <v>0</v>
      </c>
      <c r="H162" s="166">
        <f>'2024 Legal Max'!AY162</f>
        <v>19</v>
      </c>
    </row>
    <row r="163" spans="1:8">
      <c r="A163" s="134" t="s">
        <v>348</v>
      </c>
      <c r="B163" s="129" t="s">
        <v>73</v>
      </c>
      <c r="C163" s="129" t="s">
        <v>668</v>
      </c>
      <c r="D163" s="139">
        <f>IF(ISNA(VLOOKUP($A163,'Audit Values'!$A:$BX,2,FALSE)),'Preliminary SO66'!AZ162,VLOOKUP($A163,'Audit Values'!$A:$BX,49,FALSE))</f>
        <v>500151</v>
      </c>
      <c r="E163" s="139">
        <f t="shared" si="4"/>
        <v>550166</v>
      </c>
      <c r="F163" s="139">
        <f>'2024 Legal Max'!AL163*'Weighting Factors'!$O$5</f>
        <v>175536</v>
      </c>
      <c r="G163" s="139">
        <f t="shared" si="5"/>
        <v>0</v>
      </c>
      <c r="H163" s="166">
        <f>'2024 Legal Max'!AY163</f>
        <v>17</v>
      </c>
    </row>
    <row r="164" spans="1:8">
      <c r="A164" s="134" t="s">
        <v>349</v>
      </c>
      <c r="B164" s="129" t="s">
        <v>73</v>
      </c>
      <c r="C164" s="129" t="s">
        <v>669</v>
      </c>
      <c r="D164" s="139">
        <f>IF(ISNA(VLOOKUP($A164,'Audit Values'!$A:$BX,2,FALSE)),'Preliminary SO66'!AZ163,VLOOKUP($A164,'Audit Values'!$A:$BX,49,FALSE))</f>
        <v>774569</v>
      </c>
      <c r="E164" s="139">
        <f t="shared" si="4"/>
        <v>852026</v>
      </c>
      <c r="F164" s="139">
        <f>'2024 Legal Max'!AL164*'Weighting Factors'!$O$5</f>
        <v>650755</v>
      </c>
      <c r="G164" s="139">
        <f t="shared" si="5"/>
        <v>0</v>
      </c>
      <c r="H164" s="166">
        <f>'2024 Legal Max'!AY164</f>
        <v>25</v>
      </c>
    </row>
    <row r="165" spans="1:8">
      <c r="A165" s="134" t="s">
        <v>350</v>
      </c>
      <c r="B165" s="129" t="s">
        <v>74</v>
      </c>
      <c r="C165" s="129" t="s">
        <v>670</v>
      </c>
      <c r="D165" s="139">
        <f>IF(ISNA(VLOOKUP($A165,'Audit Values'!$A:$BX,2,FALSE)),'Preliminary SO66'!AZ164,VLOOKUP($A165,'Audit Values'!$A:$BX,49,FALSE))</f>
        <v>35076</v>
      </c>
      <c r="E165" s="139">
        <f t="shared" si="4"/>
        <v>38584</v>
      </c>
      <c r="F165" s="139">
        <f>'2024 Legal Max'!AL165*'Weighting Factors'!$O$5</f>
        <v>37651</v>
      </c>
      <c r="G165" s="139">
        <f t="shared" si="5"/>
        <v>0</v>
      </c>
      <c r="H165" s="166">
        <f>'2024 Legal Max'!AY165</f>
        <v>18</v>
      </c>
    </row>
    <row r="166" spans="1:8">
      <c r="A166" s="134" t="s">
        <v>351</v>
      </c>
      <c r="B166" s="129" t="s">
        <v>5</v>
      </c>
      <c r="C166" s="129" t="s">
        <v>671</v>
      </c>
      <c r="D166" s="139">
        <f>IF(ISNA(VLOOKUP($A166,'Audit Values'!$A:$BX,2,FALSE)),'Preliminary SO66'!AZ165,VLOOKUP($A166,'Audit Values'!$A:$BX,49,FALSE))</f>
        <v>106228</v>
      </c>
      <c r="E166" s="139">
        <f t="shared" si="4"/>
        <v>116851</v>
      </c>
      <c r="F166" s="139">
        <f>'2024 Legal Max'!AL166*'Weighting Factors'!$O$5</f>
        <v>85478</v>
      </c>
      <c r="G166" s="139">
        <f t="shared" si="5"/>
        <v>0</v>
      </c>
      <c r="H166" s="166">
        <f>'2024 Legal Max'!AY166</f>
        <v>25</v>
      </c>
    </row>
    <row r="167" spans="1:8">
      <c r="A167" s="134" t="s">
        <v>352</v>
      </c>
      <c r="B167" s="129" t="s">
        <v>61</v>
      </c>
      <c r="C167" s="129" t="s">
        <v>672</v>
      </c>
      <c r="D167" s="139">
        <f>IF(ISNA(VLOOKUP($A167,'Audit Values'!$A:$BX,2,FALSE)),'Preliminary SO66'!AZ166,VLOOKUP($A167,'Audit Values'!$A:$BX,49,FALSE))</f>
        <v>231395</v>
      </c>
      <c r="E167" s="139">
        <f t="shared" si="4"/>
        <v>254535</v>
      </c>
      <c r="F167" s="139">
        <f>'2024 Legal Max'!AL167*'Weighting Factors'!$O$5</f>
        <v>273226</v>
      </c>
      <c r="G167" s="139">
        <f t="shared" si="5"/>
        <v>-18691</v>
      </c>
      <c r="H167" s="166">
        <f>'2024 Legal Max'!AY167</f>
        <v>6</v>
      </c>
    </row>
    <row r="168" spans="1:8">
      <c r="A168" s="134" t="s">
        <v>353</v>
      </c>
      <c r="B168" s="129" t="s">
        <v>74</v>
      </c>
      <c r="C168" s="129" t="s">
        <v>673</v>
      </c>
      <c r="D168" s="139">
        <f>IF(ISNA(VLOOKUP($A168,'Audit Values'!$A:$BX,2,FALSE)),'Preliminary SO66'!AZ167,VLOOKUP($A168,'Audit Values'!$A:$BX,49,FALSE))</f>
        <v>509213</v>
      </c>
      <c r="E168" s="139">
        <f t="shared" si="4"/>
        <v>560134</v>
      </c>
      <c r="F168" s="139">
        <f>'2024 Legal Max'!AL168*'Weighting Factors'!$O$5</f>
        <v>600384</v>
      </c>
      <c r="G168" s="139">
        <f t="shared" si="5"/>
        <v>-40250</v>
      </c>
      <c r="H168" s="166">
        <f>'2024 Legal Max'!AY168</f>
        <v>19</v>
      </c>
    </row>
    <row r="169" spans="1:8">
      <c r="A169" s="134" t="s">
        <v>354</v>
      </c>
      <c r="B169" s="129" t="s">
        <v>75</v>
      </c>
      <c r="C169" s="129" t="s">
        <v>674</v>
      </c>
      <c r="D169" s="139">
        <f>IF(ISNA(VLOOKUP($A169,'Audit Values'!$A:$BX,2,FALSE)),'Preliminary SO66'!AZ168,VLOOKUP($A169,'Audit Values'!$A:$BX,49,FALSE))</f>
        <v>136157</v>
      </c>
      <c r="E169" s="139">
        <f t="shared" si="4"/>
        <v>149773</v>
      </c>
      <c r="F169" s="139">
        <f>'2024 Legal Max'!AL169*'Weighting Factors'!$O$5</f>
        <v>98198</v>
      </c>
      <c r="G169" s="139">
        <f t="shared" si="5"/>
        <v>0</v>
      </c>
      <c r="H169" s="166">
        <f>'2024 Legal Max'!AY169</f>
        <v>18</v>
      </c>
    </row>
    <row r="170" spans="1:8">
      <c r="A170" s="134" t="s">
        <v>355</v>
      </c>
      <c r="B170" s="129" t="s">
        <v>10</v>
      </c>
      <c r="C170" s="129" t="s">
        <v>675</v>
      </c>
      <c r="D170" s="139">
        <f>IF(ISNA(VLOOKUP($A170,'Audit Values'!$A:$BX,2,FALSE)),'Preliminary SO66'!AZ169,VLOOKUP($A170,'Audit Values'!$A:$BX,49,FALSE))</f>
        <v>626451</v>
      </c>
      <c r="E170" s="139">
        <f t="shared" si="4"/>
        <v>689096</v>
      </c>
      <c r="F170" s="139">
        <f>'2024 Legal Max'!AL170*'Weighting Factors'!$O$5</f>
        <v>304771</v>
      </c>
      <c r="G170" s="139">
        <f t="shared" si="5"/>
        <v>0</v>
      </c>
      <c r="H170" s="166">
        <f>'2024 Legal Max'!AY170</f>
        <v>25</v>
      </c>
    </row>
    <row r="171" spans="1:8">
      <c r="A171" s="134" t="s">
        <v>356</v>
      </c>
      <c r="B171" s="129" t="s">
        <v>76</v>
      </c>
      <c r="C171" s="129" t="s">
        <v>676</v>
      </c>
      <c r="D171" s="139">
        <f>IF(ISNA(VLOOKUP($A171,'Audit Values'!$A:$BX,2,FALSE)),'Preliminary SO66'!AZ170,VLOOKUP($A171,'Audit Values'!$A:$BX,49,FALSE))</f>
        <v>191570</v>
      </c>
      <c r="E171" s="139">
        <f t="shared" si="4"/>
        <v>210727</v>
      </c>
      <c r="F171" s="139">
        <f>'2024 Legal Max'!AL171*'Weighting Factors'!$O$5</f>
        <v>101251</v>
      </c>
      <c r="G171" s="139">
        <f t="shared" si="5"/>
        <v>0</v>
      </c>
      <c r="H171" s="166">
        <f>'2024 Legal Max'!AY171</f>
        <v>17</v>
      </c>
    </row>
    <row r="172" spans="1:8">
      <c r="A172" s="134" t="s">
        <v>357</v>
      </c>
      <c r="B172" s="129" t="s">
        <v>77</v>
      </c>
      <c r="C172" s="129" t="s">
        <v>677</v>
      </c>
      <c r="D172" s="139">
        <f>IF(ISNA(VLOOKUP($A172,'Audit Values'!$A:$BX,2,FALSE)),'Preliminary SO66'!AZ171,VLOOKUP($A172,'Audit Values'!$A:$BX,49,FALSE))</f>
        <v>445688</v>
      </c>
      <c r="E172" s="139">
        <f t="shared" si="4"/>
        <v>490257</v>
      </c>
      <c r="F172" s="139">
        <f>'2024 Legal Max'!AL172*'Weighting Factors'!$O$5</f>
        <v>358195</v>
      </c>
      <c r="G172" s="139">
        <f t="shared" si="5"/>
        <v>0</v>
      </c>
      <c r="H172" s="166">
        <f>'2024 Legal Max'!AY172</f>
        <v>14</v>
      </c>
    </row>
    <row r="173" spans="1:8">
      <c r="A173" s="134" t="s">
        <v>358</v>
      </c>
      <c r="B173" s="129" t="s">
        <v>78</v>
      </c>
      <c r="C173" s="129" t="s">
        <v>678</v>
      </c>
      <c r="D173" s="139">
        <f>IF(ISNA(VLOOKUP($A173,'Audit Values'!$A:$BX,2,FALSE)),'Preliminary SO66'!AZ172,VLOOKUP($A173,'Audit Values'!$A:$BX,49,FALSE))</f>
        <v>444664</v>
      </c>
      <c r="E173" s="139">
        <f t="shared" si="4"/>
        <v>489130</v>
      </c>
      <c r="F173" s="139">
        <f>'2024 Legal Max'!AL173*'Weighting Factors'!$O$5</f>
        <v>383126</v>
      </c>
      <c r="G173" s="139">
        <f t="shared" si="5"/>
        <v>0</v>
      </c>
      <c r="H173" s="166">
        <f>'2024 Legal Max'!AY173</f>
        <v>7</v>
      </c>
    </row>
    <row r="174" spans="1:8">
      <c r="A174" s="134" t="s">
        <v>359</v>
      </c>
      <c r="B174" s="129" t="s">
        <v>79</v>
      </c>
      <c r="C174" s="129" t="s">
        <v>679</v>
      </c>
      <c r="D174" s="139">
        <f>IF(ISNA(VLOOKUP($A174,'Audit Values'!$A:$BX,2,FALSE)),'Preliminary SO66'!AZ173,VLOOKUP($A174,'Audit Values'!$A:$BX,49,FALSE))</f>
        <v>671461</v>
      </c>
      <c r="E174" s="139">
        <f t="shared" si="4"/>
        <v>738607</v>
      </c>
      <c r="F174" s="139">
        <f>'2024 Legal Max'!AL174*'Weighting Factors'!$O$5</f>
        <v>438077</v>
      </c>
      <c r="G174" s="139">
        <f t="shared" si="5"/>
        <v>0</v>
      </c>
      <c r="H174" s="166">
        <f>'2024 Legal Max'!AY174</f>
        <v>8</v>
      </c>
    </row>
    <row r="175" spans="1:8">
      <c r="A175" s="134" t="s">
        <v>360</v>
      </c>
      <c r="B175" s="129" t="s">
        <v>70</v>
      </c>
      <c r="C175" s="129" t="s">
        <v>680</v>
      </c>
      <c r="D175" s="139">
        <f>IF(ISNA(VLOOKUP($A175,'Audit Values'!$A:$BX,2,FALSE)),'Preliminary SO66'!AZ174,VLOOKUP($A175,'Audit Values'!$A:$BX,49,FALSE))</f>
        <v>441698</v>
      </c>
      <c r="E175" s="139">
        <f t="shared" si="4"/>
        <v>485868</v>
      </c>
      <c r="F175" s="139">
        <f>'2024 Legal Max'!AL175*'Weighting Factors'!$O$5</f>
        <v>385162</v>
      </c>
      <c r="G175" s="139">
        <f t="shared" si="5"/>
        <v>0</v>
      </c>
      <c r="H175" s="166">
        <f>'2024 Legal Max'!AY175</f>
        <v>16</v>
      </c>
    </row>
    <row r="176" spans="1:8">
      <c r="A176" s="134" t="s">
        <v>361</v>
      </c>
      <c r="B176" s="129" t="s">
        <v>80</v>
      </c>
      <c r="C176" s="129" t="s">
        <v>681</v>
      </c>
      <c r="D176" s="139">
        <f>IF(ISNA(VLOOKUP($A176,'Audit Values'!$A:$BX,2,FALSE)),'Preliminary SO66'!AZ175,VLOOKUP($A176,'Audit Values'!$A:$BX,49,FALSE))</f>
        <v>151464</v>
      </c>
      <c r="E176" s="139">
        <f t="shared" si="4"/>
        <v>166610</v>
      </c>
      <c r="F176" s="139">
        <f>'2024 Legal Max'!AL176*'Weighting Factors'!$O$5</f>
        <v>79882</v>
      </c>
      <c r="G176" s="139">
        <f t="shared" si="5"/>
        <v>0</v>
      </c>
      <c r="H176" s="166">
        <f>'2024 Legal Max'!AY176</f>
        <v>21</v>
      </c>
    </row>
    <row r="177" spans="1:8">
      <c r="A177" s="134" t="s">
        <v>362</v>
      </c>
      <c r="B177" s="129" t="s">
        <v>81</v>
      </c>
      <c r="C177" s="129" t="s">
        <v>682</v>
      </c>
      <c r="D177" s="139">
        <f>IF(ISNA(VLOOKUP($A177,'Audit Values'!$A:$BX,2,FALSE)),'Preliminary SO66'!AZ176,VLOOKUP($A177,'Audit Values'!$A:$BX,49,FALSE))</f>
        <v>299956</v>
      </c>
      <c r="E177" s="139">
        <f t="shared" si="4"/>
        <v>329952</v>
      </c>
      <c r="F177" s="139">
        <f>'2024 Legal Max'!AL177*'Weighting Factors'!$O$5</f>
        <v>170448</v>
      </c>
      <c r="G177" s="139">
        <f t="shared" si="5"/>
        <v>0</v>
      </c>
      <c r="H177" s="166">
        <f>'2024 Legal Max'!AY177</f>
        <v>21</v>
      </c>
    </row>
    <row r="178" spans="1:8">
      <c r="A178" s="134" t="s">
        <v>363</v>
      </c>
      <c r="B178" s="129" t="s">
        <v>78</v>
      </c>
      <c r="C178" s="129" t="s">
        <v>683</v>
      </c>
      <c r="D178" s="139">
        <f>IF(ISNA(VLOOKUP($A178,'Audit Values'!$A:$BX,2,FALSE)),'Preliminary SO66'!AZ177,VLOOKUP($A178,'Audit Values'!$A:$BX,49,FALSE))</f>
        <v>2575162</v>
      </c>
      <c r="E178" s="139">
        <f t="shared" si="4"/>
        <v>2832678</v>
      </c>
      <c r="F178" s="139">
        <f>'2024 Legal Max'!AL178*'Weighting Factors'!$O$5</f>
        <v>1912579</v>
      </c>
      <c r="G178" s="139">
        <f t="shared" si="5"/>
        <v>0</v>
      </c>
      <c r="H178" s="166">
        <f>'2024 Legal Max'!AY178</f>
        <v>25</v>
      </c>
    </row>
    <row r="179" spans="1:8">
      <c r="A179" s="134" t="s">
        <v>364</v>
      </c>
      <c r="B179" s="129" t="s">
        <v>78</v>
      </c>
      <c r="C179" s="129" t="s">
        <v>548</v>
      </c>
      <c r="D179" s="139">
        <f>IF(ISNA(VLOOKUP($A179,'Audit Values'!$A:$BX,2,FALSE)),'Preliminary SO66'!AZ178,VLOOKUP($A179,'Audit Values'!$A:$BX,49,FALSE))</f>
        <v>234510</v>
      </c>
      <c r="E179" s="139">
        <f t="shared" si="4"/>
        <v>257961</v>
      </c>
      <c r="F179" s="139">
        <f>'2024 Legal Max'!AL179*'Weighting Factors'!$O$5</f>
        <v>246259</v>
      </c>
      <c r="G179" s="139">
        <f t="shared" si="5"/>
        <v>0</v>
      </c>
      <c r="H179" s="166">
        <f>'2024 Legal Max'!AY179</f>
        <v>5</v>
      </c>
    </row>
    <row r="180" spans="1:8">
      <c r="A180" s="134" t="s">
        <v>365</v>
      </c>
      <c r="B180" s="129" t="s">
        <v>10</v>
      </c>
      <c r="C180" s="129" t="s">
        <v>684</v>
      </c>
      <c r="D180" s="139">
        <f>IF(ISNA(VLOOKUP($A180,'Audit Values'!$A:$BX,2,FALSE)),'Preliminary SO66'!AZ179,VLOOKUP($A180,'Audit Values'!$A:$BX,49,FALSE))</f>
        <v>2139781</v>
      </c>
      <c r="E180" s="139">
        <f t="shared" si="4"/>
        <v>2353759</v>
      </c>
      <c r="F180" s="139">
        <f>'2024 Legal Max'!AL180*'Weighting Factors'!$O$5</f>
        <v>1184995</v>
      </c>
      <c r="G180" s="139">
        <f t="shared" si="5"/>
        <v>0</v>
      </c>
      <c r="H180" s="166">
        <f>'2024 Legal Max'!AY180</f>
        <v>20</v>
      </c>
    </row>
    <row r="181" spans="1:8">
      <c r="A181" s="134" t="s">
        <v>366</v>
      </c>
      <c r="B181" s="129" t="s">
        <v>82</v>
      </c>
      <c r="C181" s="129" t="s">
        <v>685</v>
      </c>
      <c r="D181" s="139">
        <f>IF(ISNA(VLOOKUP($A181,'Audit Values'!$A:$BX,2,FALSE)),'Preliminary SO66'!AZ180,VLOOKUP($A181,'Audit Values'!$A:$BX,49,FALSE))</f>
        <v>219272</v>
      </c>
      <c r="E181" s="139">
        <f t="shared" si="4"/>
        <v>241199</v>
      </c>
      <c r="F181" s="139">
        <f>'2024 Legal Max'!AL181*'Weighting Factors'!$O$5</f>
        <v>84461</v>
      </c>
      <c r="G181" s="139">
        <f t="shared" si="5"/>
        <v>0</v>
      </c>
      <c r="H181" s="166">
        <f>'2024 Legal Max'!AY181</f>
        <v>5</v>
      </c>
    </row>
    <row r="182" spans="1:8">
      <c r="A182" s="134" t="s">
        <v>367</v>
      </c>
      <c r="B182" s="129" t="s">
        <v>83</v>
      </c>
      <c r="C182" s="129" t="s">
        <v>686</v>
      </c>
      <c r="D182" s="139">
        <f>IF(ISNA(VLOOKUP($A182,'Audit Values'!$A:$BX,2,FALSE)),'Preliminary SO66'!AZ181,VLOOKUP($A182,'Audit Values'!$A:$BX,49,FALSE))</f>
        <v>127605</v>
      </c>
      <c r="E182" s="139">
        <f t="shared" si="4"/>
        <v>140366</v>
      </c>
      <c r="F182" s="139">
        <f>'2024 Legal Max'!AL182*'Weighting Factors'!$O$5</f>
        <v>129235</v>
      </c>
      <c r="G182" s="139">
        <f t="shared" si="5"/>
        <v>0</v>
      </c>
      <c r="H182" s="166">
        <f>'2024 Legal Max'!AY182</f>
        <v>17</v>
      </c>
    </row>
    <row r="183" spans="1:8">
      <c r="A183" s="134" t="s">
        <v>368</v>
      </c>
      <c r="B183" s="129" t="s">
        <v>84</v>
      </c>
      <c r="C183" s="129" t="s">
        <v>687</v>
      </c>
      <c r="D183" s="139">
        <f>IF(ISNA(VLOOKUP($A183,'Audit Values'!$A:$BX,2,FALSE)),'Preliminary SO66'!AZ182,VLOOKUP($A183,'Audit Values'!$A:$BX,49,FALSE))</f>
        <v>110508</v>
      </c>
      <c r="E183" s="139">
        <f t="shared" si="4"/>
        <v>121559</v>
      </c>
      <c r="F183" s="139">
        <f>'2024 Legal Max'!AL183*'Weighting Factors'!$O$5</f>
        <v>48845</v>
      </c>
      <c r="G183" s="139">
        <f t="shared" si="5"/>
        <v>0</v>
      </c>
      <c r="H183" s="166">
        <f>'2024 Legal Max'!AY183</f>
        <v>13</v>
      </c>
    </row>
    <row r="184" spans="1:8">
      <c r="A184" s="134" t="s">
        <v>369</v>
      </c>
      <c r="B184" s="129" t="s">
        <v>82</v>
      </c>
      <c r="C184" s="129" t="s">
        <v>688</v>
      </c>
      <c r="D184" s="139">
        <f>IF(ISNA(VLOOKUP($A184,'Audit Values'!$A:$BX,2,FALSE)),'Preliminary SO66'!AZ183,VLOOKUP($A184,'Audit Values'!$A:$BX,49,FALSE))</f>
        <v>274443</v>
      </c>
      <c r="E184" s="139">
        <f t="shared" si="4"/>
        <v>301887</v>
      </c>
      <c r="F184" s="139">
        <f>'2024 Legal Max'!AL184*'Weighting Factors'!$O$5</f>
        <v>207590</v>
      </c>
      <c r="G184" s="139">
        <f t="shared" si="5"/>
        <v>0</v>
      </c>
      <c r="H184" s="166">
        <f>'2024 Legal Max'!AY184</f>
        <v>23</v>
      </c>
    </row>
    <row r="185" spans="1:8">
      <c r="A185" s="134" t="s">
        <v>370</v>
      </c>
      <c r="B185" s="129" t="s">
        <v>82</v>
      </c>
      <c r="C185" s="129" t="s">
        <v>689</v>
      </c>
      <c r="D185" s="139">
        <f>IF(ISNA(VLOOKUP($A185,'Audit Values'!$A:$BX,2,FALSE)),'Preliminary SO66'!AZ184,VLOOKUP($A185,'Audit Values'!$A:$BX,49,FALSE))</f>
        <v>64611</v>
      </c>
      <c r="E185" s="139">
        <f t="shared" si="4"/>
        <v>71072</v>
      </c>
      <c r="F185" s="139">
        <f>'2024 Legal Max'!AL185*'Weighting Factors'!$O$5</f>
        <v>19843</v>
      </c>
      <c r="G185" s="139">
        <f t="shared" si="5"/>
        <v>0</v>
      </c>
      <c r="H185" s="166">
        <f>'2024 Legal Max'!AY185</f>
        <v>5</v>
      </c>
    </row>
    <row r="186" spans="1:8">
      <c r="A186" s="134" t="s">
        <v>371</v>
      </c>
      <c r="B186" s="129" t="s">
        <v>86</v>
      </c>
      <c r="C186" s="129" t="s">
        <v>690</v>
      </c>
      <c r="D186" s="139">
        <f>IF(ISNA(VLOOKUP($A186,'Audit Values'!$A:$BX,2,FALSE)),'Preliminary SO66'!AZ185,VLOOKUP($A186,'Audit Values'!$A:$BX,49,FALSE))</f>
        <v>143493</v>
      </c>
      <c r="E186" s="139">
        <f t="shared" si="4"/>
        <v>157842</v>
      </c>
      <c r="F186" s="139">
        <f>'2024 Legal Max'!AL186*'Weighting Factors'!$O$5</f>
        <v>156202</v>
      </c>
      <c r="G186" s="139">
        <f t="shared" si="5"/>
        <v>0</v>
      </c>
      <c r="H186" s="166">
        <f>'2024 Legal Max'!AY186</f>
        <v>25</v>
      </c>
    </row>
    <row r="187" spans="1:8">
      <c r="A187" s="134" t="s">
        <v>372</v>
      </c>
      <c r="B187" s="129" t="s">
        <v>87</v>
      </c>
      <c r="C187" s="129" t="s">
        <v>691</v>
      </c>
      <c r="D187" s="139">
        <f>IF(ISNA(VLOOKUP($A187,'Audit Values'!$A:$BX,2,FALSE)),'Preliminary SO66'!AZ186,VLOOKUP($A187,'Audit Values'!$A:$BX,49,FALSE))</f>
        <v>135226</v>
      </c>
      <c r="E187" s="139">
        <f t="shared" si="4"/>
        <v>148749</v>
      </c>
      <c r="F187" s="139">
        <f>'2024 Legal Max'!AL187*'Weighting Factors'!$O$5</f>
        <v>103286</v>
      </c>
      <c r="G187" s="139">
        <f t="shared" si="5"/>
        <v>0</v>
      </c>
      <c r="H187" s="166">
        <f>'2024 Legal Max'!AY187</f>
        <v>3</v>
      </c>
    </row>
    <row r="188" spans="1:8">
      <c r="A188" s="134" t="s">
        <v>373</v>
      </c>
      <c r="B188" s="129" t="s">
        <v>10</v>
      </c>
      <c r="C188" s="129" t="s">
        <v>692</v>
      </c>
      <c r="D188" s="139">
        <f>IF(ISNA(VLOOKUP($A188,'Audit Values'!$A:$BX,2,FALSE)),'Preliminary SO66'!AZ187,VLOOKUP($A188,'Audit Values'!$A:$BX,49,FALSE))</f>
        <v>409486</v>
      </c>
      <c r="E188" s="139">
        <f t="shared" si="4"/>
        <v>450435</v>
      </c>
      <c r="F188" s="139">
        <f>'2024 Legal Max'!AL188*'Weighting Factors'!$O$5</f>
        <v>445709</v>
      </c>
      <c r="G188" s="139">
        <f t="shared" si="5"/>
        <v>0</v>
      </c>
      <c r="H188" s="166">
        <f>'2024 Legal Max'!AY188</f>
        <v>21</v>
      </c>
    </row>
    <row r="189" spans="1:8">
      <c r="A189" s="134" t="s">
        <v>374</v>
      </c>
      <c r="B189" s="129" t="s">
        <v>88</v>
      </c>
      <c r="C189" s="129" t="s">
        <v>693</v>
      </c>
      <c r="D189" s="139">
        <f>IF(ISNA(VLOOKUP($A189,'Audit Values'!$A:$BX,2,FALSE)),'Preliminary SO66'!AZ188,VLOOKUP($A189,'Audit Values'!$A:$BX,49,FALSE))</f>
        <v>225852</v>
      </c>
      <c r="E189" s="139">
        <f t="shared" si="4"/>
        <v>248437</v>
      </c>
      <c r="F189" s="139">
        <f>'2024 Legal Max'!AL189*'Weighting Factors'!$O$5</f>
        <v>106848</v>
      </c>
      <c r="G189" s="139">
        <f t="shared" si="5"/>
        <v>0</v>
      </c>
      <c r="H189" s="166">
        <f>'2024 Legal Max'!AY189</f>
        <v>12</v>
      </c>
    </row>
    <row r="190" spans="1:8">
      <c r="A190" s="134" t="s">
        <v>375</v>
      </c>
      <c r="B190" s="129" t="s">
        <v>10</v>
      </c>
      <c r="C190" s="129" t="s">
        <v>694</v>
      </c>
      <c r="D190" s="139">
        <f>IF(ISNA(VLOOKUP($A190,'Audit Values'!$A:$BX,2,FALSE)),'Preliminary SO66'!AZ189,VLOOKUP($A190,'Audit Values'!$A:$BX,49,FALSE))</f>
        <v>209625</v>
      </c>
      <c r="E190" s="139">
        <f t="shared" si="4"/>
        <v>230588</v>
      </c>
      <c r="F190" s="139">
        <f>'2024 Legal Max'!AL190*'Weighting Factors'!$O$5</f>
        <v>190800</v>
      </c>
      <c r="G190" s="139">
        <f t="shared" si="5"/>
        <v>0</v>
      </c>
      <c r="H190" s="166">
        <f>'2024 Legal Max'!AY190</f>
        <v>21</v>
      </c>
    </row>
    <row r="191" spans="1:8">
      <c r="A191" s="134" t="s">
        <v>376</v>
      </c>
      <c r="B191" s="129" t="s">
        <v>89</v>
      </c>
      <c r="C191" s="129" t="s">
        <v>695</v>
      </c>
      <c r="D191" s="139">
        <f>IF(ISNA(VLOOKUP($A191,'Audit Values'!$A:$BX,2,FALSE)),'Preliminary SO66'!AZ190,VLOOKUP($A191,'Audit Values'!$A:$BX,49,FALSE))</f>
        <v>322495</v>
      </c>
      <c r="E191" s="139">
        <f t="shared" si="4"/>
        <v>354745</v>
      </c>
      <c r="F191" s="139">
        <f>'2024 Legal Max'!AL191*'Weighting Factors'!$O$5</f>
        <v>181642</v>
      </c>
      <c r="G191" s="139">
        <f t="shared" si="5"/>
        <v>0</v>
      </c>
      <c r="H191" s="166">
        <f>'2024 Legal Max'!AY191</f>
        <v>19</v>
      </c>
    </row>
    <row r="192" spans="1:8">
      <c r="A192" s="134" t="s">
        <v>377</v>
      </c>
      <c r="B192" s="129" t="s">
        <v>89</v>
      </c>
      <c r="C192" s="129" t="s">
        <v>696</v>
      </c>
      <c r="D192" s="139">
        <f>IF(ISNA(VLOOKUP($A192,'Audit Values'!$A:$BX,2,FALSE)),'Preliminary SO66'!AZ191,VLOOKUP($A192,'Audit Values'!$A:$BX,49,FALSE))</f>
        <v>167804</v>
      </c>
      <c r="E192" s="139">
        <f t="shared" si="4"/>
        <v>184584</v>
      </c>
      <c r="F192" s="139">
        <f>'2024 Legal Max'!AL192*'Weighting Factors'!$O$5</f>
        <v>77338</v>
      </c>
      <c r="G192" s="139">
        <f t="shared" si="5"/>
        <v>0</v>
      </c>
      <c r="H192" s="166">
        <f>'2024 Legal Max'!AY192</f>
        <v>13</v>
      </c>
    </row>
    <row r="193" spans="1:8">
      <c r="A193" s="134" t="s">
        <v>378</v>
      </c>
      <c r="B193" s="129" t="s">
        <v>90</v>
      </c>
      <c r="C193" s="129" t="s">
        <v>697</v>
      </c>
      <c r="D193" s="139">
        <f>IF(ISNA(VLOOKUP($A193,'Audit Values'!$A:$BX,2,FALSE)),'Preliminary SO66'!AZ192,VLOOKUP($A193,'Audit Values'!$A:$BX,49,FALSE))</f>
        <v>81572</v>
      </c>
      <c r="E193" s="139">
        <f t="shared" si="4"/>
        <v>89729</v>
      </c>
      <c r="F193" s="139">
        <f>'2024 Legal Max'!AL193*'Weighting Factors'!$O$5</f>
        <v>29510</v>
      </c>
      <c r="G193" s="139">
        <f t="shared" si="5"/>
        <v>0</v>
      </c>
      <c r="H193" s="166">
        <f>'2024 Legal Max'!AY193</f>
        <v>17</v>
      </c>
    </row>
    <row r="194" spans="1:8">
      <c r="A194" s="134" t="s">
        <v>379</v>
      </c>
      <c r="B194" s="129" t="s">
        <v>91</v>
      </c>
      <c r="C194" s="129" t="s">
        <v>698</v>
      </c>
      <c r="D194" s="139">
        <f>IF(ISNA(VLOOKUP($A194,'Audit Values'!$A:$BX,2,FALSE)),'Preliminary SO66'!AZ193,VLOOKUP($A194,'Audit Values'!$A:$BX,49,FALSE))</f>
        <v>537139</v>
      </c>
      <c r="E194" s="139">
        <f t="shared" si="4"/>
        <v>590853</v>
      </c>
      <c r="F194" s="139">
        <f>'2024 Legal Max'!AL194*'Weighting Factors'!$O$5</f>
        <v>362266</v>
      </c>
      <c r="G194" s="139">
        <f t="shared" si="5"/>
        <v>0</v>
      </c>
      <c r="H194" s="166">
        <f>'2024 Legal Max'!AY194</f>
        <v>18</v>
      </c>
    </row>
    <row r="195" spans="1:8">
      <c r="A195" s="134" t="s">
        <v>380</v>
      </c>
      <c r="B195" s="129" t="s">
        <v>76</v>
      </c>
      <c r="C195" s="129" t="s">
        <v>699</v>
      </c>
      <c r="D195" s="139">
        <f>IF(ISNA(VLOOKUP($A195,'Audit Values'!$A:$BX,2,FALSE)),'Preliminary SO66'!AZ194,VLOOKUP($A195,'Audit Values'!$A:$BX,49,FALSE))</f>
        <v>58787</v>
      </c>
      <c r="E195" s="139">
        <f t="shared" si="4"/>
        <v>64666</v>
      </c>
      <c r="F195" s="139">
        <f>'2024 Legal Max'!AL195*'Weighting Factors'!$O$5</f>
        <v>21878</v>
      </c>
      <c r="G195" s="139">
        <f t="shared" si="5"/>
        <v>0</v>
      </c>
      <c r="H195" s="166">
        <f>'2024 Legal Max'!AY195</f>
        <v>17</v>
      </c>
    </row>
    <row r="196" spans="1:8">
      <c r="A196" s="134" t="s">
        <v>381</v>
      </c>
      <c r="B196" s="129" t="s">
        <v>10</v>
      </c>
      <c r="C196" s="129" t="s">
        <v>700</v>
      </c>
      <c r="D196" s="139">
        <f>IF(ISNA(VLOOKUP($A196,'Audit Values'!$A:$BX,2,FALSE)),'Preliminary SO66'!AZ195,VLOOKUP($A196,'Audit Values'!$A:$BX,49,FALSE))</f>
        <v>282569</v>
      </c>
      <c r="E196" s="139">
        <f t="shared" si="4"/>
        <v>310826</v>
      </c>
      <c r="F196" s="139">
        <f>'2024 Legal Max'!AL196*'Weighting Factors'!$O$5</f>
        <v>294086</v>
      </c>
      <c r="G196" s="139">
        <f t="shared" si="5"/>
        <v>0</v>
      </c>
      <c r="H196" s="166">
        <f>'2024 Legal Max'!AY196</f>
        <v>18</v>
      </c>
    </row>
    <row r="197" spans="1:8">
      <c r="A197" s="134" t="s">
        <v>382</v>
      </c>
      <c r="B197" s="129" t="s">
        <v>88</v>
      </c>
      <c r="C197" s="129" t="s">
        <v>701</v>
      </c>
      <c r="D197" s="139">
        <f>IF(ISNA(VLOOKUP($A197,'Audit Values'!$A:$BX,2,FALSE)),'Preliminary SO66'!AZ196,VLOOKUP($A197,'Audit Values'!$A:$BX,49,FALSE))</f>
        <v>106361</v>
      </c>
      <c r="E197" s="139">
        <f t="shared" si="4"/>
        <v>116997</v>
      </c>
      <c r="F197" s="139">
        <f>'2024 Legal Max'!AL197*'Weighting Factors'!$O$5</f>
        <v>122112</v>
      </c>
      <c r="G197" s="139">
        <f t="shared" si="5"/>
        <v>-5115</v>
      </c>
      <c r="H197" s="166">
        <f>'2024 Legal Max'!AY197</f>
        <v>18</v>
      </c>
    </row>
    <row r="198" spans="1:8">
      <c r="A198" s="134" t="s">
        <v>383</v>
      </c>
      <c r="B198" s="129" t="s">
        <v>29</v>
      </c>
      <c r="C198" s="129" t="s">
        <v>702</v>
      </c>
      <c r="D198" s="139">
        <f>IF(ISNA(VLOOKUP($A198,'Audit Values'!$A:$BX,2,FALSE)),'Preliminary SO66'!AZ197,VLOOKUP($A198,'Audit Values'!$A:$BX,49,FALSE))</f>
        <v>210736</v>
      </c>
      <c r="E198" s="139">
        <f t="shared" ref="E198:E261" si="6">D198*$E$3</f>
        <v>231810</v>
      </c>
      <c r="F198" s="139">
        <f>'2024 Legal Max'!AL198*'Weighting Factors'!$O$5</f>
        <v>193344</v>
      </c>
      <c r="G198" s="139">
        <f t="shared" ref="G198:G261" si="7">IF(F198-E198&gt;0,E198-F198,0)</f>
        <v>0</v>
      </c>
      <c r="H198" s="166">
        <f>'2024 Legal Max'!AY198</f>
        <v>8</v>
      </c>
    </row>
    <row r="199" spans="1:8">
      <c r="A199" s="134" t="s">
        <v>384</v>
      </c>
      <c r="B199" s="129" t="s">
        <v>76</v>
      </c>
      <c r="C199" s="129" t="s">
        <v>703</v>
      </c>
      <c r="D199" s="139">
        <f>IF(ISNA(VLOOKUP($A199,'Audit Values'!$A:$BX,2,FALSE)),'Preliminary SO66'!AZ198,VLOOKUP($A199,'Audit Values'!$A:$BX,49,FALSE))</f>
        <v>85961</v>
      </c>
      <c r="E199" s="139">
        <f t="shared" si="6"/>
        <v>94557</v>
      </c>
      <c r="F199" s="139">
        <f>'2024 Legal Max'!AL199*'Weighting Factors'!$O$5</f>
        <v>32054</v>
      </c>
      <c r="G199" s="139">
        <f t="shared" si="7"/>
        <v>0</v>
      </c>
      <c r="H199" s="166">
        <f>'2024 Legal Max'!AY199</f>
        <v>17</v>
      </c>
    </row>
    <row r="200" spans="1:8">
      <c r="A200" s="134" t="s">
        <v>385</v>
      </c>
      <c r="B200" s="129" t="s">
        <v>90</v>
      </c>
      <c r="C200" s="129" t="s">
        <v>704</v>
      </c>
      <c r="D200" s="139">
        <f>IF(ISNA(VLOOKUP($A200,'Audit Values'!$A:$BX,2,FALSE)),'Preliminary SO66'!AZ199,VLOOKUP($A200,'Audit Values'!$A:$BX,49,FALSE))</f>
        <v>200223</v>
      </c>
      <c r="E200" s="139">
        <f t="shared" si="6"/>
        <v>220245</v>
      </c>
      <c r="F200" s="139">
        <f>'2024 Legal Max'!AL200*'Weighting Factors'!$O$5</f>
        <v>159763</v>
      </c>
      <c r="G200" s="139">
        <f t="shared" si="7"/>
        <v>0</v>
      </c>
      <c r="H200" s="166">
        <f>'2024 Legal Max'!AY200</f>
        <v>16</v>
      </c>
    </row>
    <row r="201" spans="1:8">
      <c r="A201" s="134" t="s">
        <v>386</v>
      </c>
      <c r="B201" s="129" t="s">
        <v>89</v>
      </c>
      <c r="C201" s="129" t="s">
        <v>705</v>
      </c>
      <c r="D201" s="139">
        <f>IF(ISNA(VLOOKUP($A201,'Audit Values'!$A:$BX,2,FALSE)),'Preliminary SO66'!AZ200,VLOOKUP($A201,'Audit Values'!$A:$BX,49,FALSE))</f>
        <v>196522</v>
      </c>
      <c r="E201" s="139">
        <f t="shared" si="6"/>
        <v>216174</v>
      </c>
      <c r="F201" s="139">
        <f>'2024 Legal Max'!AL201*'Weighting Factors'!$O$5</f>
        <v>211152</v>
      </c>
      <c r="G201" s="139">
        <f t="shared" si="7"/>
        <v>0</v>
      </c>
      <c r="H201" s="166">
        <f>'2024 Legal Max'!AY201</f>
        <v>7</v>
      </c>
    </row>
    <row r="202" spans="1:8">
      <c r="A202" s="134" t="s">
        <v>387</v>
      </c>
      <c r="B202" s="129" t="s">
        <v>77</v>
      </c>
      <c r="C202" s="129" t="s">
        <v>706</v>
      </c>
      <c r="D202" s="139">
        <f>IF(ISNA(VLOOKUP($A202,'Audit Values'!$A:$BX,2,FALSE)),'Preliminary SO66'!AZ201,VLOOKUP($A202,'Audit Values'!$A:$BX,49,FALSE))</f>
        <v>548257</v>
      </c>
      <c r="E202" s="139">
        <f t="shared" si="6"/>
        <v>603083</v>
      </c>
      <c r="F202" s="139">
        <f>'2024 Legal Max'!AL202*'Weighting Factors'!$O$5</f>
        <v>159763</v>
      </c>
      <c r="G202" s="139">
        <f t="shared" si="7"/>
        <v>0</v>
      </c>
      <c r="H202" s="166">
        <f>'2024 Legal Max'!AY202</f>
        <v>14</v>
      </c>
    </row>
    <row r="203" spans="1:8">
      <c r="A203" s="134" t="s">
        <v>388</v>
      </c>
      <c r="B203" s="129" t="s">
        <v>89</v>
      </c>
      <c r="C203" s="129" t="s">
        <v>707</v>
      </c>
      <c r="D203" s="139">
        <f>IF(ISNA(VLOOKUP($A203,'Audit Values'!$A:$BX,2,FALSE)),'Preliminary SO66'!AZ202,VLOOKUP($A203,'Audit Values'!$A:$BX,49,FALSE))</f>
        <v>227407</v>
      </c>
      <c r="E203" s="139">
        <f t="shared" si="6"/>
        <v>250148</v>
      </c>
      <c r="F203" s="139">
        <f>'2024 Legal Max'!AL203*'Weighting Factors'!$O$5</f>
        <v>200467</v>
      </c>
      <c r="G203" s="139">
        <f t="shared" si="7"/>
        <v>0</v>
      </c>
      <c r="H203" s="166">
        <f>'2024 Legal Max'!AY203</f>
        <v>18</v>
      </c>
    </row>
    <row r="204" spans="1:8">
      <c r="A204" s="134" t="s">
        <v>389</v>
      </c>
      <c r="B204" s="129" t="s">
        <v>89</v>
      </c>
      <c r="C204" s="129" t="s">
        <v>708</v>
      </c>
      <c r="D204" s="139">
        <f>IF(ISNA(VLOOKUP($A204,'Audit Values'!$A:$BX,2,FALSE)),'Preliminary SO66'!AZ203,VLOOKUP($A204,'Audit Values'!$A:$BX,49,FALSE))</f>
        <v>165030</v>
      </c>
      <c r="E204" s="139">
        <f t="shared" si="6"/>
        <v>181533</v>
      </c>
      <c r="F204" s="139">
        <f>'2024 Legal Max'!AL204*'Weighting Factors'!$O$5</f>
        <v>108374</v>
      </c>
      <c r="G204" s="139">
        <f t="shared" si="7"/>
        <v>0</v>
      </c>
      <c r="H204" s="166">
        <f>'2024 Legal Max'!AY204</f>
        <v>7</v>
      </c>
    </row>
    <row r="205" spans="1:8">
      <c r="A205" s="134" t="s">
        <v>390</v>
      </c>
      <c r="B205" s="129" t="s">
        <v>93</v>
      </c>
      <c r="C205" s="129" t="s">
        <v>709</v>
      </c>
      <c r="D205" s="139">
        <f>IF(ISNA(VLOOKUP($A205,'Audit Values'!$A:$BX,2,FALSE)),'Preliminary SO66'!AZ204,VLOOKUP($A205,'Audit Values'!$A:$BX,49,FALSE))</f>
        <v>286005</v>
      </c>
      <c r="E205" s="139">
        <f t="shared" si="6"/>
        <v>314606</v>
      </c>
      <c r="F205" s="139">
        <f>'2024 Legal Max'!AL205*'Weighting Factors'!$O$5</f>
        <v>167395</v>
      </c>
      <c r="G205" s="139">
        <f t="shared" si="7"/>
        <v>0</v>
      </c>
      <c r="H205" s="166">
        <f>'2024 Legal Max'!AY205</f>
        <v>14</v>
      </c>
    </row>
    <row r="206" spans="1:8">
      <c r="A206" s="134" t="s">
        <v>391</v>
      </c>
      <c r="B206" s="129" t="s">
        <v>4</v>
      </c>
      <c r="C206" s="129" t="s">
        <v>710</v>
      </c>
      <c r="D206" s="139">
        <f>IF(ISNA(VLOOKUP($A206,'Audit Values'!$A:$BX,2,FALSE)),'Preliminary SO66'!AZ205,VLOOKUP($A206,'Audit Values'!$A:$BX,49,FALSE))</f>
        <v>1002223</v>
      </c>
      <c r="E206" s="139">
        <f t="shared" si="6"/>
        <v>1102445</v>
      </c>
      <c r="F206" s="139">
        <f>'2024 Legal Max'!AL206*'Weighting Factors'!$O$5</f>
        <v>507274</v>
      </c>
      <c r="G206" s="139">
        <f t="shared" si="7"/>
        <v>0</v>
      </c>
      <c r="H206" s="166">
        <f>'2024 Legal Max'!AY206</f>
        <v>16</v>
      </c>
    </row>
    <row r="207" spans="1:8">
      <c r="A207" s="134" t="s">
        <v>392</v>
      </c>
      <c r="B207" s="129" t="s">
        <v>94</v>
      </c>
      <c r="C207" s="129" t="s">
        <v>711</v>
      </c>
      <c r="D207" s="139">
        <f>IF(ISNA(VLOOKUP($A207,'Audit Values'!$A:$BX,2,FALSE)),'Preliminary SO66'!AZ206,VLOOKUP($A207,'Audit Values'!$A:$BX,49,FALSE))</f>
        <v>418865</v>
      </c>
      <c r="E207" s="139">
        <f t="shared" si="6"/>
        <v>460752</v>
      </c>
      <c r="F207" s="139">
        <f>'2024 Legal Max'!AL207*'Weighting Factors'!$O$5</f>
        <v>292560</v>
      </c>
      <c r="G207" s="139">
        <f t="shared" si="7"/>
        <v>0</v>
      </c>
      <c r="H207" s="166">
        <f>'2024 Legal Max'!AY207</f>
        <v>7</v>
      </c>
    </row>
    <row r="208" spans="1:8">
      <c r="A208" s="134" t="s">
        <v>393</v>
      </c>
      <c r="B208" s="129" t="s">
        <v>73</v>
      </c>
      <c r="C208" s="129" t="s">
        <v>712</v>
      </c>
      <c r="D208" s="139">
        <f>IF(ISNA(VLOOKUP($A208,'Audit Values'!$A:$BX,2,FALSE)),'Preliminary SO66'!AZ207,VLOOKUP($A208,'Audit Values'!$A:$BX,49,FALSE))</f>
        <v>463785</v>
      </c>
      <c r="E208" s="139">
        <f t="shared" si="6"/>
        <v>510164</v>
      </c>
      <c r="F208" s="139">
        <f>'2024 Legal Max'!AL208*'Weighting Factors'!$O$5</f>
        <v>570874</v>
      </c>
      <c r="G208" s="139">
        <f t="shared" si="7"/>
        <v>-60710</v>
      </c>
      <c r="H208" s="166">
        <f>'2024 Legal Max'!AY208</f>
        <v>7</v>
      </c>
    </row>
    <row r="209" spans="1:8">
      <c r="A209" s="134" t="s">
        <v>394</v>
      </c>
      <c r="B209" s="129" t="s">
        <v>95</v>
      </c>
      <c r="C209" s="129" t="s">
        <v>713</v>
      </c>
      <c r="D209" s="139">
        <f>IF(ISNA(VLOOKUP($A209,'Audit Values'!$A:$BX,2,FALSE)),'Preliminary SO66'!AZ208,VLOOKUP($A209,'Audit Values'!$A:$BX,49,FALSE))</f>
        <v>512454</v>
      </c>
      <c r="E209" s="139">
        <f t="shared" si="6"/>
        <v>563699</v>
      </c>
      <c r="F209" s="139">
        <f>'2024 Legal Max'!AL209*'Weighting Factors'!$O$5</f>
        <v>356669</v>
      </c>
      <c r="G209" s="139">
        <f t="shared" si="7"/>
        <v>0</v>
      </c>
      <c r="H209" s="166">
        <f>'2024 Legal Max'!AY209</f>
        <v>2</v>
      </c>
    </row>
    <row r="210" spans="1:8">
      <c r="A210" s="134" t="s">
        <v>395</v>
      </c>
      <c r="B210" s="129" t="s">
        <v>91</v>
      </c>
      <c r="C210" s="129" t="s">
        <v>714</v>
      </c>
      <c r="D210" s="139">
        <f>IF(ISNA(VLOOKUP($A210,'Audit Values'!$A:$BX,2,FALSE)),'Preliminary SO66'!AZ209,VLOOKUP($A210,'Audit Values'!$A:$BX,49,FALSE))</f>
        <v>366657</v>
      </c>
      <c r="E210" s="139">
        <f t="shared" si="6"/>
        <v>403323</v>
      </c>
      <c r="F210" s="139">
        <f>'2024 Legal Max'!AL210*'Weighting Factors'!$O$5</f>
        <v>218275</v>
      </c>
      <c r="G210" s="139">
        <f t="shared" si="7"/>
        <v>0</v>
      </c>
      <c r="H210" s="166">
        <f>'2024 Legal Max'!AY210</f>
        <v>18</v>
      </c>
    </row>
    <row r="211" spans="1:8">
      <c r="A211" s="134" t="s">
        <v>396</v>
      </c>
      <c r="B211" s="129" t="s">
        <v>91</v>
      </c>
      <c r="C211" s="129" t="s">
        <v>715</v>
      </c>
      <c r="D211" s="139">
        <f>IF(ISNA(VLOOKUP($A211,'Audit Values'!$A:$BX,2,FALSE)),'Preliminary SO66'!AZ210,VLOOKUP($A211,'Audit Values'!$A:$BX,49,FALSE))</f>
        <v>162938</v>
      </c>
      <c r="E211" s="139">
        <f t="shared" si="6"/>
        <v>179232</v>
      </c>
      <c r="F211" s="139">
        <f>'2024 Legal Max'!AL211*'Weighting Factors'!$O$5</f>
        <v>201994</v>
      </c>
      <c r="G211" s="139">
        <f t="shared" si="7"/>
        <v>-22762</v>
      </c>
      <c r="H211" s="166">
        <f>'2024 Legal Max'!AY211</f>
        <v>16</v>
      </c>
    </row>
    <row r="212" spans="1:8">
      <c r="A212" s="134" t="s">
        <v>397</v>
      </c>
      <c r="B212" s="129" t="s">
        <v>96</v>
      </c>
      <c r="C212" s="129" t="s">
        <v>716</v>
      </c>
      <c r="D212" s="139">
        <f>IF(ISNA(VLOOKUP($A212,'Audit Values'!$A:$BX,2,FALSE)),'Preliminary SO66'!AZ211,VLOOKUP($A212,'Audit Values'!$A:$BX,49,FALSE))</f>
        <v>178200</v>
      </c>
      <c r="E212" s="139">
        <f t="shared" si="6"/>
        <v>196020</v>
      </c>
      <c r="F212" s="139">
        <f>'2024 Legal Max'!AL212*'Weighting Factors'!$O$5</f>
        <v>124656</v>
      </c>
      <c r="G212" s="139">
        <f t="shared" si="7"/>
        <v>0</v>
      </c>
      <c r="H212" s="166">
        <f>'2024 Legal Max'!AY212</f>
        <v>17</v>
      </c>
    </row>
    <row r="213" spans="1:8">
      <c r="A213" s="134" t="s">
        <v>398</v>
      </c>
      <c r="B213" s="129" t="s">
        <v>96</v>
      </c>
      <c r="C213" s="129" t="s">
        <v>717</v>
      </c>
      <c r="D213" s="139">
        <f>IF(ISNA(VLOOKUP($A213,'Audit Values'!$A:$BX,2,FALSE)),'Preliminary SO66'!AZ212,VLOOKUP($A213,'Audit Values'!$A:$BX,49,FALSE))</f>
        <v>167344</v>
      </c>
      <c r="E213" s="139">
        <f t="shared" si="6"/>
        <v>184078</v>
      </c>
      <c r="F213" s="139">
        <f>'2024 Legal Max'!AL213*'Weighting Factors'!$O$5</f>
        <v>164342</v>
      </c>
      <c r="G213" s="139">
        <f t="shared" si="7"/>
        <v>0</v>
      </c>
      <c r="H213" s="166">
        <f>'2024 Legal Max'!AY213</f>
        <v>11</v>
      </c>
    </row>
    <row r="214" spans="1:8">
      <c r="A214" s="134" t="s">
        <v>399</v>
      </c>
      <c r="B214" s="129" t="s">
        <v>97</v>
      </c>
      <c r="C214" s="129" t="s">
        <v>718</v>
      </c>
      <c r="D214" s="139">
        <f>IF(ISNA(VLOOKUP($A214,'Audit Values'!$A:$BX,2,FALSE)),'Preliminary SO66'!AZ213,VLOOKUP($A214,'Audit Values'!$A:$BX,49,FALSE))</f>
        <v>188693</v>
      </c>
      <c r="E214" s="139">
        <f t="shared" si="6"/>
        <v>207562</v>
      </c>
      <c r="F214" s="139">
        <f>'2024 Legal Max'!AL214*'Weighting Factors'!$O$5</f>
        <v>146534</v>
      </c>
      <c r="G214" s="139">
        <f t="shared" si="7"/>
        <v>0</v>
      </c>
      <c r="H214" s="166">
        <f>'2024 Legal Max'!AY214</f>
        <v>17</v>
      </c>
    </row>
    <row r="215" spans="1:8">
      <c r="A215" s="134" t="s">
        <v>400</v>
      </c>
      <c r="B215" s="129" t="s">
        <v>91</v>
      </c>
      <c r="C215" s="129" t="s">
        <v>719</v>
      </c>
      <c r="D215" s="139">
        <f>IF(ISNA(VLOOKUP($A215,'Audit Values'!$A:$BX,2,FALSE)),'Preliminary SO66'!AZ214,VLOOKUP($A215,'Audit Values'!$A:$BX,49,FALSE))</f>
        <v>149743</v>
      </c>
      <c r="E215" s="139">
        <f t="shared" si="6"/>
        <v>164717</v>
      </c>
      <c r="F215" s="139">
        <f>'2024 Legal Max'!AL215*'Weighting Factors'!$O$5</f>
        <v>148061</v>
      </c>
      <c r="G215" s="139">
        <f t="shared" si="7"/>
        <v>0</v>
      </c>
      <c r="H215" s="166">
        <f>'2024 Legal Max'!AY215</f>
        <v>25</v>
      </c>
    </row>
    <row r="216" spans="1:8">
      <c r="A216" s="134" t="s">
        <v>401</v>
      </c>
      <c r="B216" s="129" t="s">
        <v>98</v>
      </c>
      <c r="C216" s="129" t="s">
        <v>720</v>
      </c>
      <c r="D216" s="139">
        <f>IF(ISNA(VLOOKUP($A216,'Audit Values'!$A:$BX,2,FALSE)),'Preliminary SO66'!AZ215,VLOOKUP($A216,'Audit Values'!$A:$BX,49,FALSE))</f>
        <v>240700</v>
      </c>
      <c r="E216" s="139">
        <f t="shared" si="6"/>
        <v>264770</v>
      </c>
      <c r="F216" s="139">
        <f>'2024 Legal Max'!AL216*'Weighting Factors'!$O$5</f>
        <v>133306</v>
      </c>
      <c r="G216" s="139">
        <f t="shared" si="7"/>
        <v>0</v>
      </c>
      <c r="H216" s="166">
        <f>'2024 Legal Max'!AY216</f>
        <v>16</v>
      </c>
    </row>
    <row r="217" spans="1:8">
      <c r="A217" s="134" t="s">
        <v>402</v>
      </c>
      <c r="B217" s="129" t="s">
        <v>67</v>
      </c>
      <c r="C217" s="129" t="s">
        <v>721</v>
      </c>
      <c r="D217" s="139">
        <f>IF(ISNA(VLOOKUP($A217,'Audit Values'!$A:$BX,2,FALSE)),'Preliminary SO66'!AZ216,VLOOKUP($A217,'Audit Values'!$A:$BX,49,FALSE))</f>
        <v>112705</v>
      </c>
      <c r="E217" s="139">
        <f t="shared" si="6"/>
        <v>123976</v>
      </c>
      <c r="F217" s="139">
        <f>'2024 Legal Max'!AL217*'Weighting Factors'!$O$5</f>
        <v>201485</v>
      </c>
      <c r="G217" s="139">
        <f t="shared" si="7"/>
        <v>-77509</v>
      </c>
      <c r="H217" s="166">
        <f>'2024 Legal Max'!AY217</f>
        <v>17</v>
      </c>
    </row>
    <row r="218" spans="1:8">
      <c r="A218" s="134" t="s">
        <v>403</v>
      </c>
      <c r="B218" s="129" t="s">
        <v>92</v>
      </c>
      <c r="C218" s="129" t="s">
        <v>722</v>
      </c>
      <c r="D218" s="139">
        <f>IF(ISNA(VLOOKUP($A218,'Audit Values'!$A:$BX,2,FALSE)),'Preliminary SO66'!AZ217,VLOOKUP($A218,'Audit Values'!$A:$BX,49,FALSE))</f>
        <v>95603</v>
      </c>
      <c r="E218" s="139">
        <f t="shared" si="6"/>
        <v>105163</v>
      </c>
      <c r="F218" s="139">
        <f>'2024 Legal Max'!AL218*'Weighting Factors'!$O$5</f>
        <v>68179</v>
      </c>
      <c r="G218" s="139">
        <f t="shared" si="7"/>
        <v>0</v>
      </c>
      <c r="H218" s="166">
        <f>'2024 Legal Max'!AY218</f>
        <v>6</v>
      </c>
    </row>
    <row r="219" spans="1:8">
      <c r="A219" s="134" t="s">
        <v>404</v>
      </c>
      <c r="B219" s="129" t="s">
        <v>94</v>
      </c>
      <c r="C219" s="129" t="s">
        <v>723</v>
      </c>
      <c r="D219" s="139">
        <f>IF(ISNA(VLOOKUP($A219,'Audit Values'!$A:$BX,2,FALSE)),'Preliminary SO66'!AZ218,VLOOKUP($A219,'Audit Values'!$A:$BX,49,FALSE))</f>
        <v>296039</v>
      </c>
      <c r="E219" s="139">
        <f t="shared" si="6"/>
        <v>325643</v>
      </c>
      <c r="F219" s="139">
        <f>'2024 Legal Max'!AL219*'Weighting Factors'!$O$5</f>
        <v>209626</v>
      </c>
      <c r="G219" s="139">
        <f t="shared" si="7"/>
        <v>0</v>
      </c>
      <c r="H219" s="166">
        <f>'2024 Legal Max'!AY219</f>
        <v>16</v>
      </c>
    </row>
    <row r="220" spans="1:8">
      <c r="A220" s="134" t="s">
        <v>405</v>
      </c>
      <c r="B220" s="129" t="s">
        <v>67</v>
      </c>
      <c r="C220" s="129" t="s">
        <v>724</v>
      </c>
      <c r="D220" s="139">
        <f>IF(ISNA(VLOOKUP($A220,'Audit Values'!$A:$BX,2,FALSE)),'Preliminary SO66'!AZ219,VLOOKUP($A220,'Audit Values'!$A:$BX,49,FALSE))</f>
        <v>116582</v>
      </c>
      <c r="E220" s="139">
        <f t="shared" si="6"/>
        <v>128240</v>
      </c>
      <c r="F220" s="139">
        <f>'2024 Legal Max'!AL220*'Weighting Factors'!$O$5</f>
        <v>106848</v>
      </c>
      <c r="G220" s="139">
        <f t="shared" si="7"/>
        <v>0</v>
      </c>
      <c r="H220" s="166">
        <f>'2024 Legal Max'!AY220</f>
        <v>16</v>
      </c>
    </row>
    <row r="221" spans="1:8">
      <c r="A221" s="134" t="s">
        <v>406</v>
      </c>
      <c r="B221" s="129" t="s">
        <v>84</v>
      </c>
      <c r="C221" s="129" t="s">
        <v>725</v>
      </c>
      <c r="D221" s="139">
        <f>IF(ISNA(VLOOKUP($A221,'Audit Values'!$A:$BX,2,FALSE)),'Preliminary SO66'!AZ220,VLOOKUP($A221,'Audit Values'!$A:$BX,49,FALSE))</f>
        <v>54370</v>
      </c>
      <c r="E221" s="139">
        <f t="shared" si="6"/>
        <v>59807</v>
      </c>
      <c r="F221" s="139">
        <f>'2024 Legal Max'!AL221*'Weighting Factors'!$O$5</f>
        <v>53424</v>
      </c>
      <c r="G221" s="139">
        <f t="shared" si="7"/>
        <v>0</v>
      </c>
      <c r="H221" s="166">
        <f>'2024 Legal Max'!AY221</f>
        <v>7</v>
      </c>
    </row>
    <row r="222" spans="1:8">
      <c r="A222" s="134" t="s">
        <v>407</v>
      </c>
      <c r="B222" s="129" t="s">
        <v>96</v>
      </c>
      <c r="C222" s="129" t="s">
        <v>726</v>
      </c>
      <c r="D222" s="139">
        <f>IF(ISNA(VLOOKUP($A222,'Audit Values'!$A:$BX,2,FALSE)),'Preliminary SO66'!AZ221,VLOOKUP($A222,'Audit Values'!$A:$BX,49,FALSE))</f>
        <v>1015131</v>
      </c>
      <c r="E222" s="139">
        <f t="shared" si="6"/>
        <v>1116644</v>
      </c>
      <c r="F222" s="139">
        <f>'2024 Legal Max'!AL222*'Weighting Factors'!$O$5</f>
        <v>629894</v>
      </c>
      <c r="G222" s="139">
        <f t="shared" si="7"/>
        <v>0</v>
      </c>
      <c r="H222" s="166">
        <f>'2024 Legal Max'!AY222</f>
        <v>6</v>
      </c>
    </row>
    <row r="223" spans="1:8">
      <c r="A223" s="134" t="s">
        <v>408</v>
      </c>
      <c r="B223" s="129" t="s">
        <v>87</v>
      </c>
      <c r="C223" s="129" t="s">
        <v>727</v>
      </c>
      <c r="D223" s="139">
        <f>IF(ISNA(VLOOKUP($A223,'Audit Values'!$A:$BX,2,FALSE)),'Preliminary SO66'!AZ222,VLOOKUP($A223,'Audit Values'!$A:$BX,49,FALSE))</f>
        <v>412155</v>
      </c>
      <c r="E223" s="139">
        <f t="shared" si="6"/>
        <v>453371</v>
      </c>
      <c r="F223" s="139">
        <f>'2024 Legal Max'!AL223*'Weighting Factors'!$O$5</f>
        <v>229978</v>
      </c>
      <c r="G223" s="139">
        <f t="shared" si="7"/>
        <v>0</v>
      </c>
      <c r="H223" s="166">
        <f>'2024 Legal Max'!AY223</f>
        <v>14</v>
      </c>
    </row>
    <row r="224" spans="1:8">
      <c r="A224" s="134" t="s">
        <v>409</v>
      </c>
      <c r="B224" s="129" t="s">
        <v>99</v>
      </c>
      <c r="C224" s="129" t="s">
        <v>728</v>
      </c>
      <c r="D224" s="139">
        <f>IF(ISNA(VLOOKUP($A224,'Audit Values'!$A:$BX,2,FALSE)),'Preliminary SO66'!AZ223,VLOOKUP($A224,'Audit Values'!$A:$BX,49,FALSE))</f>
        <v>289594</v>
      </c>
      <c r="E224" s="139">
        <f t="shared" si="6"/>
        <v>318553</v>
      </c>
      <c r="F224" s="139">
        <f>'2024 Legal Max'!AL224*'Weighting Factors'!$O$5</f>
        <v>275770</v>
      </c>
      <c r="G224" s="139">
        <f t="shared" si="7"/>
        <v>0</v>
      </c>
      <c r="H224" s="166">
        <f>'2024 Legal Max'!AY224</f>
        <v>16</v>
      </c>
    </row>
    <row r="225" spans="1:8">
      <c r="A225" s="134" t="s">
        <v>410</v>
      </c>
      <c r="B225" s="129" t="s">
        <v>61</v>
      </c>
      <c r="C225" s="129" t="s">
        <v>729</v>
      </c>
      <c r="D225" s="139">
        <f>IF(ISNA(VLOOKUP($A225,'Audit Values'!$A:$BX,2,FALSE)),'Preliminary SO66'!AZ224,VLOOKUP($A225,'Audit Values'!$A:$BX,49,FALSE))</f>
        <v>2158549</v>
      </c>
      <c r="E225" s="139">
        <f t="shared" si="6"/>
        <v>2374404</v>
      </c>
      <c r="F225" s="139">
        <f>'2024 Legal Max'!AL225*'Weighting Factors'!$O$5</f>
        <v>2137469</v>
      </c>
      <c r="G225" s="139">
        <f t="shared" si="7"/>
        <v>0</v>
      </c>
      <c r="H225" s="166">
        <f>'2024 Legal Max'!AY225</f>
        <v>27</v>
      </c>
    </row>
    <row r="226" spans="1:8">
      <c r="A226" s="134" t="s">
        <v>411</v>
      </c>
      <c r="B226" s="129" t="s">
        <v>81</v>
      </c>
      <c r="C226" s="129" t="s">
        <v>730</v>
      </c>
      <c r="D226" s="139">
        <f>IF(ISNA(VLOOKUP($A226,'Audit Values'!$A:$BX,2,FALSE)),'Preliminary SO66'!AZ225,VLOOKUP($A226,'Audit Values'!$A:$BX,49,FALSE))</f>
        <v>256605</v>
      </c>
      <c r="E226" s="139">
        <f t="shared" si="6"/>
        <v>282266</v>
      </c>
      <c r="F226" s="139">
        <f>'2024 Legal Max'!AL226*'Weighting Factors'!$O$5</f>
        <v>141446</v>
      </c>
      <c r="G226" s="139">
        <f t="shared" si="7"/>
        <v>0</v>
      </c>
      <c r="H226" s="166">
        <f>'2024 Legal Max'!AY226</f>
        <v>7</v>
      </c>
    </row>
    <row r="227" spans="1:8">
      <c r="A227" s="134" t="s">
        <v>412</v>
      </c>
      <c r="B227" s="129" t="s">
        <v>74</v>
      </c>
      <c r="C227" s="129" t="s">
        <v>731</v>
      </c>
      <c r="D227" s="139">
        <f>IF(ISNA(VLOOKUP($A227,'Audit Values'!$A:$BX,2,FALSE)),'Preliminary SO66'!AZ226,VLOOKUP($A227,'Audit Values'!$A:$BX,49,FALSE))</f>
        <v>127743</v>
      </c>
      <c r="E227" s="139">
        <f t="shared" si="6"/>
        <v>140517</v>
      </c>
      <c r="F227" s="139">
        <f>'2024 Legal Max'!AL227*'Weighting Factors'!$O$5</f>
        <v>48845</v>
      </c>
      <c r="G227" s="139">
        <f t="shared" si="7"/>
        <v>0</v>
      </c>
      <c r="H227" s="166">
        <f>'2024 Legal Max'!AY227</f>
        <v>16</v>
      </c>
    </row>
    <row r="228" spans="1:8">
      <c r="A228" s="134" t="s">
        <v>413</v>
      </c>
      <c r="B228" s="129" t="s">
        <v>74</v>
      </c>
      <c r="C228" s="129" t="s">
        <v>732</v>
      </c>
      <c r="D228" s="139">
        <f>IF(ISNA(VLOOKUP($A228,'Audit Values'!$A:$BX,2,FALSE)),'Preliminary SO66'!AZ227,VLOOKUP($A228,'Audit Values'!$A:$BX,49,FALSE))</f>
        <v>433550</v>
      </c>
      <c r="E228" s="139">
        <f t="shared" si="6"/>
        <v>476905</v>
      </c>
      <c r="F228" s="139">
        <f>'2024 Legal Max'!AL228*'Weighting Factors'!$O$5</f>
        <v>312912</v>
      </c>
      <c r="G228" s="139">
        <f t="shared" si="7"/>
        <v>0</v>
      </c>
      <c r="H228" s="166">
        <f>'2024 Legal Max'!AY228</f>
        <v>9</v>
      </c>
    </row>
    <row r="229" spans="1:8">
      <c r="A229" s="134" t="s">
        <v>414</v>
      </c>
      <c r="B229" s="129" t="s">
        <v>80</v>
      </c>
      <c r="C229" s="129" t="s">
        <v>733</v>
      </c>
      <c r="D229" s="139">
        <f>IF(ISNA(VLOOKUP($A229,'Audit Values'!$A:$BX,2,FALSE)),'Preliminary SO66'!AZ228,VLOOKUP($A229,'Audit Values'!$A:$BX,49,FALSE))</f>
        <v>1404443</v>
      </c>
      <c r="E229" s="139">
        <f t="shared" si="6"/>
        <v>1544887</v>
      </c>
      <c r="F229" s="139">
        <f>'2024 Legal Max'!AL229*'Weighting Factors'!$O$5</f>
        <v>2278406</v>
      </c>
      <c r="G229" s="139">
        <f t="shared" si="7"/>
        <v>-733519</v>
      </c>
      <c r="H229" s="166">
        <f>'2024 Legal Max'!AY229</f>
        <v>25</v>
      </c>
    </row>
    <row r="230" spans="1:8">
      <c r="A230" s="134" t="s">
        <v>415</v>
      </c>
      <c r="B230" s="129" t="s">
        <v>76</v>
      </c>
      <c r="C230" s="129" t="s">
        <v>734</v>
      </c>
      <c r="D230" s="139">
        <f>IF(ISNA(VLOOKUP($A230,'Audit Values'!$A:$BX,2,FALSE)),'Preliminary SO66'!AZ229,VLOOKUP($A230,'Audit Values'!$A:$BX,49,FALSE))</f>
        <v>178828</v>
      </c>
      <c r="E230" s="139">
        <f t="shared" si="6"/>
        <v>196711</v>
      </c>
      <c r="F230" s="139">
        <f>'2024 Legal Max'!AL230*'Weighting Factors'!$O$5</f>
        <v>182150</v>
      </c>
      <c r="G230" s="139">
        <f t="shared" si="7"/>
        <v>0</v>
      </c>
      <c r="H230" s="166">
        <f>'2024 Legal Max'!AY230</f>
        <v>17</v>
      </c>
    </row>
    <row r="231" spans="1:8">
      <c r="A231" s="134" t="s">
        <v>416</v>
      </c>
      <c r="B231" s="129" t="s">
        <v>99</v>
      </c>
      <c r="C231" s="129" t="s">
        <v>735</v>
      </c>
      <c r="D231" s="139">
        <f>IF(ISNA(VLOOKUP($A231,'Audit Values'!$A:$BX,2,FALSE)),'Preliminary SO66'!AZ230,VLOOKUP($A231,'Audit Values'!$A:$BX,49,FALSE))</f>
        <v>675181</v>
      </c>
      <c r="E231" s="139">
        <f t="shared" si="6"/>
        <v>742699</v>
      </c>
      <c r="F231" s="139">
        <f>'2024 Legal Max'!AL231*'Weighting Factors'!$O$5</f>
        <v>345984</v>
      </c>
      <c r="G231" s="139">
        <f t="shared" si="7"/>
        <v>0</v>
      </c>
      <c r="H231" s="166">
        <f>'2024 Legal Max'!AY231</f>
        <v>9</v>
      </c>
    </row>
    <row r="232" spans="1:8">
      <c r="A232" s="134" t="s">
        <v>417</v>
      </c>
      <c r="B232" s="129" t="s">
        <v>99</v>
      </c>
      <c r="C232" s="129" t="s">
        <v>736</v>
      </c>
      <c r="D232" s="139">
        <f>IF(ISNA(VLOOKUP($A232,'Audit Values'!$A:$BX,2,FALSE)),'Preliminary SO66'!AZ231,VLOOKUP($A232,'Audit Values'!$A:$BX,49,FALSE))</f>
        <v>1293154</v>
      </c>
      <c r="E232" s="139">
        <f t="shared" si="6"/>
        <v>1422469</v>
      </c>
      <c r="F232" s="139">
        <f>'2024 Legal Max'!AL232*'Weighting Factors'!$O$5</f>
        <v>363283</v>
      </c>
      <c r="G232" s="139">
        <f t="shared" si="7"/>
        <v>0</v>
      </c>
      <c r="H232" s="166">
        <f>'2024 Legal Max'!AY232</f>
        <v>7</v>
      </c>
    </row>
    <row r="233" spans="1:8">
      <c r="A233" s="134" t="s">
        <v>418</v>
      </c>
      <c r="B233" s="129" t="s">
        <v>99</v>
      </c>
      <c r="C233" s="129" t="s">
        <v>737</v>
      </c>
      <c r="D233" s="139">
        <f>IF(ISNA(VLOOKUP($A233,'Audit Values'!$A:$BX,2,FALSE)),'Preliminary SO66'!AZ232,VLOOKUP($A233,'Audit Values'!$A:$BX,49,FALSE))</f>
        <v>398383</v>
      </c>
      <c r="E233" s="139">
        <f t="shared" si="6"/>
        <v>438221</v>
      </c>
      <c r="F233" s="139">
        <f>'2024 Legal Max'!AL233*'Weighting Factors'!$O$5</f>
        <v>148061</v>
      </c>
      <c r="G233" s="139">
        <f t="shared" si="7"/>
        <v>0</v>
      </c>
      <c r="H233" s="166">
        <f>'2024 Legal Max'!AY233</f>
        <v>7</v>
      </c>
    </row>
    <row r="234" spans="1:8">
      <c r="A234" s="134" t="s">
        <v>419</v>
      </c>
      <c r="B234" s="129" t="s">
        <v>91</v>
      </c>
      <c r="C234" s="129" t="s">
        <v>738</v>
      </c>
      <c r="D234" s="139">
        <f>IF(ISNA(VLOOKUP($A234,'Audit Values'!$A:$BX,2,FALSE)),'Preliminary SO66'!AZ233,VLOOKUP($A234,'Audit Values'!$A:$BX,49,FALSE))</f>
        <v>160252</v>
      </c>
      <c r="E234" s="139">
        <f t="shared" si="6"/>
        <v>176277</v>
      </c>
      <c r="F234" s="139">
        <f>'2024 Legal Max'!AL234*'Weighting Factors'!$O$5</f>
        <v>111427</v>
      </c>
      <c r="G234" s="139">
        <f t="shared" si="7"/>
        <v>0</v>
      </c>
      <c r="H234" s="166">
        <f>'2024 Legal Max'!AY234</f>
        <v>5</v>
      </c>
    </row>
    <row r="235" spans="1:8">
      <c r="A235" s="134" t="s">
        <v>420</v>
      </c>
      <c r="B235" s="129" t="s">
        <v>11</v>
      </c>
      <c r="C235" s="129" t="s">
        <v>739</v>
      </c>
      <c r="D235" s="139">
        <f>IF(ISNA(VLOOKUP($A235,'Audit Values'!$A:$BX,2,FALSE)),'Preliminary SO66'!AZ234,VLOOKUP($A235,'Audit Values'!$A:$BX,49,FALSE))</f>
        <v>415659</v>
      </c>
      <c r="E235" s="139">
        <f t="shared" si="6"/>
        <v>457225</v>
      </c>
      <c r="F235" s="139">
        <f>'2024 Legal Max'!AL235*'Weighting Factors'!$O$5</f>
        <v>354125</v>
      </c>
      <c r="G235" s="139">
        <f t="shared" si="7"/>
        <v>0</v>
      </c>
      <c r="H235" s="166">
        <f>'2024 Legal Max'!AY235</f>
        <v>5</v>
      </c>
    </row>
    <row r="236" spans="1:8">
      <c r="A236" s="134" t="s">
        <v>421</v>
      </c>
      <c r="B236" s="129" t="s">
        <v>61</v>
      </c>
      <c r="C236" s="129" t="s">
        <v>740</v>
      </c>
      <c r="D236" s="139">
        <f>IF(ISNA(VLOOKUP($A236,'Audit Values'!$A:$BX,2,FALSE)),'Preliminary SO66'!AZ235,VLOOKUP($A236,'Audit Values'!$A:$BX,49,FALSE))</f>
        <v>1839785</v>
      </c>
      <c r="E236" s="139">
        <f t="shared" si="6"/>
        <v>2023764</v>
      </c>
      <c r="F236" s="139">
        <f>'2024 Legal Max'!AL236*'Weighting Factors'!$O$5</f>
        <v>1676496</v>
      </c>
      <c r="G236" s="139">
        <f t="shared" si="7"/>
        <v>0</v>
      </c>
      <c r="H236" s="166">
        <f>'2024 Legal Max'!AY236</f>
        <v>25</v>
      </c>
    </row>
    <row r="237" spans="1:8">
      <c r="A237" s="134" t="s">
        <v>422</v>
      </c>
      <c r="B237" s="129" t="s">
        <v>101</v>
      </c>
      <c r="C237" s="129" t="s">
        <v>741</v>
      </c>
      <c r="D237" s="139">
        <f>IF(ISNA(VLOOKUP($A237,'Audit Values'!$A:$BX,2,FALSE)),'Preliminary SO66'!AZ236,VLOOKUP($A237,'Audit Values'!$A:$BX,49,FALSE))</f>
        <v>219025</v>
      </c>
      <c r="E237" s="139">
        <f t="shared" si="6"/>
        <v>240928</v>
      </c>
      <c r="F237" s="139">
        <f>'2024 Legal Max'!AL237*'Weighting Factors'!$O$5</f>
        <v>107357</v>
      </c>
      <c r="G237" s="139">
        <f t="shared" si="7"/>
        <v>0</v>
      </c>
      <c r="H237" s="166">
        <f>'2024 Legal Max'!AY237</f>
        <v>29</v>
      </c>
    </row>
    <row r="238" spans="1:8">
      <c r="A238" s="134" t="s">
        <v>423</v>
      </c>
      <c r="B238" s="129" t="s">
        <v>11</v>
      </c>
      <c r="C238" s="129" t="s">
        <v>742</v>
      </c>
      <c r="D238" s="139">
        <f>IF(ISNA(VLOOKUP($A238,'Audit Values'!$A:$BX,2,FALSE)),'Preliminary SO66'!AZ237,VLOOKUP($A238,'Audit Values'!$A:$BX,49,FALSE))</f>
        <v>800468</v>
      </c>
      <c r="E238" s="139">
        <f t="shared" si="6"/>
        <v>880515</v>
      </c>
      <c r="F238" s="139">
        <f>'2024 Legal Max'!AL238*'Weighting Factors'!$O$5</f>
        <v>488957</v>
      </c>
      <c r="G238" s="139">
        <f t="shared" si="7"/>
        <v>0</v>
      </c>
      <c r="H238" s="166">
        <f>'2024 Legal Max'!AY238</f>
        <v>17</v>
      </c>
    </row>
    <row r="239" spans="1:8">
      <c r="A239" s="134" t="s">
        <v>424</v>
      </c>
      <c r="B239" s="129" t="s">
        <v>96</v>
      </c>
      <c r="C239" s="129" t="s">
        <v>743</v>
      </c>
      <c r="D239" s="139">
        <f>IF(ISNA(VLOOKUP($A239,'Audit Values'!$A:$BX,2,FALSE)),'Preliminary SO66'!AZ238,VLOOKUP($A239,'Audit Values'!$A:$BX,49,FALSE))</f>
        <v>128562</v>
      </c>
      <c r="E239" s="139">
        <f t="shared" si="6"/>
        <v>141418</v>
      </c>
      <c r="F239" s="139">
        <f>'2024 Legal Max'!AL239*'Weighting Factors'!$O$5</f>
        <v>56477</v>
      </c>
      <c r="G239" s="139">
        <f t="shared" si="7"/>
        <v>0</v>
      </c>
      <c r="H239" s="166">
        <f>'2024 Legal Max'!AY239</f>
        <v>9</v>
      </c>
    </row>
    <row r="240" spans="1:8">
      <c r="A240" s="134" t="s">
        <v>425</v>
      </c>
      <c r="B240" s="129" t="s">
        <v>96</v>
      </c>
      <c r="C240" s="129" t="s">
        <v>744</v>
      </c>
      <c r="D240" s="139">
        <f>IF(ISNA(VLOOKUP($A240,'Audit Values'!$A:$BX,2,FALSE)),'Preliminary SO66'!AZ239,VLOOKUP($A240,'Audit Values'!$A:$BX,49,FALSE))</f>
        <v>141234</v>
      </c>
      <c r="E240" s="139">
        <f t="shared" si="6"/>
        <v>155357</v>
      </c>
      <c r="F240" s="139">
        <f>'2024 Legal Max'!AL240*'Weighting Factors'!$O$5</f>
        <v>119059</v>
      </c>
      <c r="G240" s="139">
        <f t="shared" si="7"/>
        <v>0</v>
      </c>
      <c r="H240" s="166">
        <f>'2024 Legal Max'!AY240</f>
        <v>3</v>
      </c>
    </row>
    <row r="241" spans="1:8">
      <c r="A241" s="134" t="s">
        <v>426</v>
      </c>
      <c r="B241" s="129" t="s">
        <v>69</v>
      </c>
      <c r="C241" s="129" t="s">
        <v>745</v>
      </c>
      <c r="D241" s="139">
        <f>IF(ISNA(VLOOKUP($A241,'Audit Values'!$A:$BX,2,FALSE)),'Preliminary SO66'!AZ240,VLOOKUP($A241,'Audit Values'!$A:$BX,49,FALSE))</f>
        <v>2454263</v>
      </c>
      <c r="E241" s="139">
        <f t="shared" si="6"/>
        <v>2699689</v>
      </c>
      <c r="F241" s="139">
        <f>'2024 Legal Max'!AL241*'Weighting Factors'!$O$5</f>
        <v>2156803</v>
      </c>
      <c r="G241" s="139">
        <f t="shared" si="7"/>
        <v>0</v>
      </c>
      <c r="H241" s="166">
        <f>'2024 Legal Max'!AY241</f>
        <v>23</v>
      </c>
    </row>
    <row r="242" spans="1:8">
      <c r="A242" s="134" t="s">
        <v>427</v>
      </c>
      <c r="B242" s="129" t="s">
        <v>11</v>
      </c>
      <c r="C242" s="129" t="s">
        <v>746</v>
      </c>
      <c r="D242" s="139">
        <f>IF(ISNA(VLOOKUP($A242,'Audit Values'!$A:$BX,2,FALSE)),'Preliminary SO66'!AZ241,VLOOKUP($A242,'Audit Values'!$A:$BX,49,FALSE))</f>
        <v>1119454</v>
      </c>
      <c r="E242" s="139">
        <f t="shared" si="6"/>
        <v>1231399</v>
      </c>
      <c r="F242" s="139">
        <f>'2024 Legal Max'!AL242*'Weighting Factors'!$O$5</f>
        <v>1016582</v>
      </c>
      <c r="G242" s="139">
        <f t="shared" si="7"/>
        <v>0</v>
      </c>
      <c r="H242" s="166">
        <f>'2024 Legal Max'!AY242</f>
        <v>25</v>
      </c>
    </row>
    <row r="243" spans="1:8">
      <c r="A243" s="134" t="s">
        <v>428</v>
      </c>
      <c r="B243" s="129" t="s">
        <v>80</v>
      </c>
      <c r="C243" s="129" t="s">
        <v>747</v>
      </c>
      <c r="D243" s="139">
        <f>IF(ISNA(VLOOKUP($A243,'Audit Values'!$A:$BX,2,FALSE)),'Preliminary SO66'!AZ242,VLOOKUP($A243,'Audit Values'!$A:$BX,49,FALSE))</f>
        <v>126017</v>
      </c>
      <c r="E243" s="139">
        <f t="shared" si="6"/>
        <v>138619</v>
      </c>
      <c r="F243" s="139">
        <f>'2024 Legal Max'!AL243*'Weighting Factors'!$O$5</f>
        <v>103286</v>
      </c>
      <c r="G243" s="139">
        <f t="shared" si="7"/>
        <v>0</v>
      </c>
      <c r="H243" s="166">
        <f>'2024 Legal Max'!AY243</f>
        <v>3</v>
      </c>
    </row>
    <row r="244" spans="1:8">
      <c r="A244" s="134" t="s">
        <v>429</v>
      </c>
      <c r="B244" s="129" t="s">
        <v>74</v>
      </c>
      <c r="C244" s="129" t="s">
        <v>748</v>
      </c>
      <c r="D244" s="139">
        <f>IF(ISNA(VLOOKUP($A244,'Audit Values'!$A:$BX,2,FALSE)),'Preliminary SO66'!AZ243,VLOOKUP($A244,'Audit Values'!$A:$BX,49,FALSE))</f>
        <v>93463</v>
      </c>
      <c r="E244" s="139">
        <f t="shared" si="6"/>
        <v>102809</v>
      </c>
      <c r="F244" s="139">
        <f>'2024 Legal Max'!AL244*'Weighting Factors'!$O$5</f>
        <v>98707</v>
      </c>
      <c r="G244" s="139">
        <f t="shared" si="7"/>
        <v>0</v>
      </c>
      <c r="H244" s="166">
        <f>'2024 Legal Max'!AY244</f>
        <v>18</v>
      </c>
    </row>
    <row r="245" spans="1:8">
      <c r="A245" s="134" t="s">
        <v>430</v>
      </c>
      <c r="B245" s="129" t="s">
        <v>83</v>
      </c>
      <c r="C245" s="129" t="s">
        <v>749</v>
      </c>
      <c r="D245" s="139">
        <f>IF(ISNA(VLOOKUP($A245,'Audit Values'!$A:$BX,2,FALSE)),'Preliminary SO66'!AZ244,VLOOKUP($A245,'Audit Values'!$A:$BX,49,FALSE))</f>
        <v>392899</v>
      </c>
      <c r="E245" s="139">
        <f t="shared" si="6"/>
        <v>432189</v>
      </c>
      <c r="F245" s="139">
        <f>'2024 Legal Max'!AL245*'Weighting Factors'!$O$5</f>
        <v>52915</v>
      </c>
      <c r="G245" s="139">
        <f t="shared" si="7"/>
        <v>0</v>
      </c>
      <c r="H245" s="166">
        <f>'2024 Legal Max'!AY245</f>
        <v>14</v>
      </c>
    </row>
    <row r="246" spans="1:8">
      <c r="A246" s="134" t="s">
        <v>431</v>
      </c>
      <c r="B246" s="129" t="s">
        <v>102</v>
      </c>
      <c r="C246" s="129" t="s">
        <v>750</v>
      </c>
      <c r="D246" s="139">
        <f>IF(ISNA(VLOOKUP($A246,'Audit Values'!$A:$BX,2,FALSE)),'Preliminary SO66'!AZ245,VLOOKUP($A246,'Audit Values'!$A:$BX,49,FALSE))</f>
        <v>252073</v>
      </c>
      <c r="E246" s="139">
        <f t="shared" si="6"/>
        <v>277280</v>
      </c>
      <c r="F246" s="139">
        <f>'2024 Legal Max'!AL246*'Weighting Factors'!$O$5</f>
        <v>141446</v>
      </c>
      <c r="G246" s="139">
        <f t="shared" si="7"/>
        <v>0</v>
      </c>
      <c r="H246" s="166">
        <f>'2024 Legal Max'!AY246</f>
        <v>14</v>
      </c>
    </row>
    <row r="247" spans="1:8">
      <c r="A247" s="134" t="s">
        <v>432</v>
      </c>
      <c r="B247" s="129" t="s">
        <v>102</v>
      </c>
      <c r="C247" s="129" t="s">
        <v>751</v>
      </c>
      <c r="D247" s="139">
        <f>IF(ISNA(VLOOKUP($A247,'Audit Values'!$A:$BX,2,FALSE)),'Preliminary SO66'!AZ246,VLOOKUP($A247,'Audit Values'!$A:$BX,49,FALSE))</f>
        <v>175910</v>
      </c>
      <c r="E247" s="139">
        <f t="shared" si="6"/>
        <v>193501</v>
      </c>
      <c r="F247" s="139">
        <f>'2024 Legal Max'!AL247*'Weighting Factors'!$O$5</f>
        <v>148061</v>
      </c>
      <c r="G247" s="139">
        <f t="shared" si="7"/>
        <v>0</v>
      </c>
      <c r="H247" s="166">
        <f>'2024 Legal Max'!AY247</f>
        <v>16</v>
      </c>
    </row>
    <row r="248" spans="1:8">
      <c r="A248" s="134" t="s">
        <v>433</v>
      </c>
      <c r="B248" s="129" t="s">
        <v>11</v>
      </c>
      <c r="C248" s="129" t="s">
        <v>752</v>
      </c>
      <c r="D248" s="139">
        <f>IF(ISNA(VLOOKUP($A248,'Audit Values'!$A:$BX,2,FALSE)),'Preliminary SO66'!AZ247,VLOOKUP($A248,'Audit Values'!$A:$BX,49,FALSE))</f>
        <v>594217</v>
      </c>
      <c r="E248" s="139">
        <f t="shared" si="6"/>
        <v>653639</v>
      </c>
      <c r="F248" s="139">
        <f>'2024 Legal Max'!AL248*'Weighting Factors'!$O$5</f>
        <v>539328</v>
      </c>
      <c r="G248" s="139">
        <f t="shared" si="7"/>
        <v>0</v>
      </c>
      <c r="H248" s="166">
        <f>'2024 Legal Max'!AY248</f>
        <v>10</v>
      </c>
    </row>
    <row r="249" spans="1:8">
      <c r="A249" s="134" t="s">
        <v>434</v>
      </c>
      <c r="B249" s="129" t="s">
        <v>102</v>
      </c>
      <c r="C249" s="129" t="s">
        <v>753</v>
      </c>
      <c r="D249" s="139">
        <f>IF(ISNA(VLOOKUP($A249,'Audit Values'!$A:$BX,2,FALSE)),'Preliminary SO66'!AZ248,VLOOKUP($A249,'Audit Values'!$A:$BX,49,FALSE))</f>
        <v>666391</v>
      </c>
      <c r="E249" s="139">
        <f t="shared" si="6"/>
        <v>733030</v>
      </c>
      <c r="F249" s="139">
        <f>'2024 Legal Max'!AL249*'Weighting Factors'!$O$5</f>
        <v>543398</v>
      </c>
      <c r="G249" s="139">
        <f t="shared" si="7"/>
        <v>0</v>
      </c>
      <c r="H249" s="166">
        <f>'2024 Legal Max'!AY249</f>
        <v>24</v>
      </c>
    </row>
    <row r="250" spans="1:8">
      <c r="A250" s="134" t="s">
        <v>435</v>
      </c>
      <c r="B250" s="129" t="s">
        <v>103</v>
      </c>
      <c r="C250" s="129" t="s">
        <v>754</v>
      </c>
      <c r="D250" s="139">
        <f>IF(ISNA(VLOOKUP($A250,'Audit Values'!$A:$BX,2,FALSE)),'Preliminary SO66'!AZ249,VLOOKUP($A250,'Audit Values'!$A:$BX,49,FALSE))</f>
        <v>344977</v>
      </c>
      <c r="E250" s="139">
        <f t="shared" si="6"/>
        <v>379475</v>
      </c>
      <c r="F250" s="139">
        <f>'2024 Legal Max'!AL250*'Weighting Factors'!$O$5</f>
        <v>166378</v>
      </c>
      <c r="G250" s="139">
        <f t="shared" si="7"/>
        <v>0</v>
      </c>
      <c r="H250" s="166">
        <f>'2024 Legal Max'!AY250</f>
        <v>16</v>
      </c>
    </row>
    <row r="251" spans="1:8">
      <c r="A251" s="134" t="s">
        <v>436</v>
      </c>
      <c r="B251" s="129" t="s">
        <v>34</v>
      </c>
      <c r="C251" s="129" t="s">
        <v>755</v>
      </c>
      <c r="D251" s="139">
        <f>IF(ISNA(VLOOKUP($A251,'Audit Values'!$A:$BX,2,FALSE)),'Preliminary SO66'!AZ250,VLOOKUP($A251,'Audit Values'!$A:$BX,49,FALSE))</f>
        <v>206700</v>
      </c>
      <c r="E251" s="139">
        <f t="shared" si="6"/>
        <v>227370</v>
      </c>
      <c r="F251" s="139">
        <f>'2024 Legal Max'!AL251*'Weighting Factors'!$O$5</f>
        <v>129235</v>
      </c>
      <c r="G251" s="139">
        <f t="shared" si="7"/>
        <v>0</v>
      </c>
      <c r="H251" s="166">
        <f>'2024 Legal Max'!AY251</f>
        <v>8</v>
      </c>
    </row>
    <row r="252" spans="1:8">
      <c r="A252" s="134" t="s">
        <v>437</v>
      </c>
      <c r="B252" s="129" t="s">
        <v>104</v>
      </c>
      <c r="C252" s="129" t="s">
        <v>756</v>
      </c>
      <c r="D252" s="139">
        <f>IF(ISNA(VLOOKUP($A252,'Audit Values'!$A:$BX,2,FALSE)),'Preliminary SO66'!AZ251,VLOOKUP($A252,'Audit Values'!$A:$BX,49,FALSE))</f>
        <v>40038</v>
      </c>
      <c r="E252" s="139">
        <f t="shared" si="6"/>
        <v>44042</v>
      </c>
      <c r="F252" s="139">
        <f>'2024 Legal Max'!AL252*'Weighting Factors'!$O$5</f>
        <v>5088</v>
      </c>
      <c r="G252" s="139">
        <f t="shared" si="7"/>
        <v>0</v>
      </c>
      <c r="H252" s="166">
        <f>'2024 Legal Max'!AY252</f>
        <v>12</v>
      </c>
    </row>
    <row r="253" spans="1:8">
      <c r="A253" s="134" t="s">
        <v>438</v>
      </c>
      <c r="B253" s="129" t="s">
        <v>11</v>
      </c>
      <c r="C253" s="129" t="s">
        <v>757</v>
      </c>
      <c r="D253" s="139">
        <f>IF(ISNA(VLOOKUP($A253,'Audit Values'!$A:$BX,2,FALSE)),'Preliminary SO66'!AZ252,VLOOKUP($A253,'Audit Values'!$A:$BX,49,FALSE))</f>
        <v>735227</v>
      </c>
      <c r="E253" s="139">
        <f t="shared" si="6"/>
        <v>808750</v>
      </c>
      <c r="F253" s="139">
        <f>'2024 Legal Max'!AL253*'Weighting Factors'!$O$5</f>
        <v>538310</v>
      </c>
      <c r="G253" s="139">
        <f t="shared" si="7"/>
        <v>0</v>
      </c>
      <c r="H253" s="166">
        <f>'2024 Legal Max'!AY253</f>
        <v>17</v>
      </c>
    </row>
    <row r="254" spans="1:8">
      <c r="A254" s="134" t="s">
        <v>439</v>
      </c>
      <c r="B254" s="129" t="s">
        <v>102</v>
      </c>
      <c r="C254" s="129" t="s">
        <v>758</v>
      </c>
      <c r="D254" s="139">
        <f>IF(ISNA(VLOOKUP($A254,'Audit Values'!$A:$BX,2,FALSE)),'Preliminary SO66'!AZ253,VLOOKUP($A254,'Audit Values'!$A:$BX,49,FALSE))</f>
        <v>824288</v>
      </c>
      <c r="E254" s="139">
        <f t="shared" si="6"/>
        <v>906717</v>
      </c>
      <c r="F254" s="139">
        <f>'2024 Legal Max'!AL254*'Weighting Factors'!$O$5</f>
        <v>641597</v>
      </c>
      <c r="G254" s="139">
        <f t="shared" si="7"/>
        <v>0</v>
      </c>
      <c r="H254" s="166">
        <f>'2024 Legal Max'!AY254</f>
        <v>16</v>
      </c>
    </row>
    <row r="255" spans="1:8">
      <c r="A255" s="134" t="s">
        <v>440</v>
      </c>
      <c r="B255" s="129" t="s">
        <v>102</v>
      </c>
      <c r="C255" s="129" t="s">
        <v>759</v>
      </c>
      <c r="D255" s="139">
        <f>IF(ISNA(VLOOKUP($A255,'Audit Values'!$A:$BX,2,FALSE)),'Preliminary SO66'!AZ254,VLOOKUP($A255,'Audit Values'!$A:$BX,49,FALSE))</f>
        <v>94689</v>
      </c>
      <c r="E255" s="139">
        <f t="shared" si="6"/>
        <v>104158</v>
      </c>
      <c r="F255" s="139">
        <f>'2024 Legal Max'!AL255*'Weighting Factors'!$O$5</f>
        <v>80899</v>
      </c>
      <c r="G255" s="139">
        <f t="shared" si="7"/>
        <v>0</v>
      </c>
      <c r="H255" s="166">
        <f>'2024 Legal Max'!AY255</f>
        <v>13</v>
      </c>
    </row>
    <row r="256" spans="1:8">
      <c r="A256" s="134" t="s">
        <v>441</v>
      </c>
      <c r="B256" s="129" t="s">
        <v>87</v>
      </c>
      <c r="C256" s="129" t="s">
        <v>760</v>
      </c>
      <c r="D256" s="139">
        <f>IF(ISNA(VLOOKUP($A256,'Audit Values'!$A:$BX,2,FALSE)),'Preliminary SO66'!AZ255,VLOOKUP($A256,'Audit Values'!$A:$BX,49,FALSE))</f>
        <v>1049753</v>
      </c>
      <c r="E256" s="139">
        <f t="shared" si="6"/>
        <v>1154728</v>
      </c>
      <c r="F256" s="139">
        <f>'2024 Legal Max'!AL256*'Weighting Factors'!$O$5</f>
        <v>535258</v>
      </c>
      <c r="G256" s="139">
        <f t="shared" si="7"/>
        <v>0</v>
      </c>
      <c r="H256" s="166">
        <f>'2024 Legal Max'!AY256</f>
        <v>14</v>
      </c>
    </row>
    <row r="257" spans="1:8">
      <c r="A257" s="134" t="s">
        <v>442</v>
      </c>
      <c r="B257" s="129" t="s">
        <v>97</v>
      </c>
      <c r="C257" s="129" t="s">
        <v>761</v>
      </c>
      <c r="D257" s="139">
        <f>IF(ISNA(VLOOKUP($A257,'Audit Values'!$A:$BX,2,FALSE)),'Preliminary SO66'!AZ256,VLOOKUP($A257,'Audit Values'!$A:$BX,49,FALSE))</f>
        <v>72364</v>
      </c>
      <c r="E257" s="139">
        <f t="shared" si="6"/>
        <v>79600</v>
      </c>
      <c r="F257" s="139">
        <f>'2024 Legal Max'!AL257*'Weighting Factors'!$O$5</f>
        <v>51898</v>
      </c>
      <c r="G257" s="139">
        <f t="shared" si="7"/>
        <v>0</v>
      </c>
      <c r="H257" s="166">
        <f>'2024 Legal Max'!AY257</f>
        <v>19</v>
      </c>
    </row>
    <row r="258" spans="1:8">
      <c r="A258" s="134" t="s">
        <v>443</v>
      </c>
      <c r="B258" s="129" t="s">
        <v>105</v>
      </c>
      <c r="C258" s="129" t="s">
        <v>762</v>
      </c>
      <c r="D258" s="139">
        <f>IF(ISNA(VLOOKUP($A258,'Audit Values'!$A:$BX,2,FALSE)),'Preliminary SO66'!AZ257,VLOOKUP($A258,'Audit Values'!$A:$BX,49,FALSE))</f>
        <v>1860518</v>
      </c>
      <c r="E258" s="139">
        <f t="shared" si="6"/>
        <v>2046570</v>
      </c>
      <c r="F258" s="139">
        <f>'2024 Legal Max'!AL258*'Weighting Factors'!$O$5</f>
        <v>1600176</v>
      </c>
      <c r="G258" s="139">
        <f t="shared" si="7"/>
        <v>0</v>
      </c>
      <c r="H258" s="166">
        <f>'2024 Legal Max'!AY258</f>
        <v>25</v>
      </c>
    </row>
    <row r="259" spans="1:8">
      <c r="A259" s="134" t="s">
        <v>444</v>
      </c>
      <c r="B259" s="129" t="s">
        <v>5</v>
      </c>
      <c r="C259" s="129" t="s">
        <v>763</v>
      </c>
      <c r="D259" s="139">
        <f>IF(ISNA(VLOOKUP($A259,'Audit Values'!$A:$BX,2,FALSE)),'Preliminary SO66'!AZ258,VLOOKUP($A259,'Audit Values'!$A:$BX,49,FALSE))</f>
        <v>112154</v>
      </c>
      <c r="E259" s="139">
        <f t="shared" si="6"/>
        <v>123369</v>
      </c>
      <c r="F259" s="139">
        <f>'2024 Legal Max'!AL259*'Weighting Factors'!$O$5</f>
        <v>58512</v>
      </c>
      <c r="G259" s="139">
        <f t="shared" si="7"/>
        <v>0</v>
      </c>
      <c r="H259" s="166">
        <f>'2024 Legal Max'!AY259</f>
        <v>25</v>
      </c>
    </row>
    <row r="260" spans="1:8">
      <c r="A260" s="134" t="s">
        <v>445</v>
      </c>
      <c r="B260" s="129" t="s">
        <v>5</v>
      </c>
      <c r="C260" s="129" t="s">
        <v>764</v>
      </c>
      <c r="D260" s="139">
        <f>IF(ISNA(VLOOKUP($A260,'Audit Values'!$A:$BX,2,FALSE)),'Preliminary SO66'!AZ259,VLOOKUP($A260,'Audit Values'!$A:$BX,49,FALSE))</f>
        <v>300127</v>
      </c>
      <c r="E260" s="139">
        <f t="shared" si="6"/>
        <v>330140</v>
      </c>
      <c r="F260" s="139">
        <f>'2024 Legal Max'!AL260*'Weighting Factors'!$O$5</f>
        <v>82426</v>
      </c>
      <c r="G260" s="139">
        <f t="shared" si="7"/>
        <v>0</v>
      </c>
      <c r="H260" s="166">
        <f>'2024 Legal Max'!AY260</f>
        <v>1</v>
      </c>
    </row>
    <row r="261" spans="1:8">
      <c r="A261" s="134" t="s">
        <v>446</v>
      </c>
      <c r="B261" s="129" t="s">
        <v>71</v>
      </c>
      <c r="C261" s="129" t="s">
        <v>765</v>
      </c>
      <c r="D261" s="139">
        <f>IF(ISNA(VLOOKUP($A261,'Audit Values'!$A:$BX,2,FALSE)),'Preliminary SO66'!AZ260,VLOOKUP($A261,'Audit Values'!$A:$BX,49,FALSE))</f>
        <v>152762</v>
      </c>
      <c r="E261" s="139">
        <f t="shared" si="6"/>
        <v>168038</v>
      </c>
      <c r="F261" s="139">
        <f>'2024 Legal Max'!AL261*'Weighting Factors'!$O$5</f>
        <v>131779</v>
      </c>
      <c r="G261" s="139">
        <f t="shared" si="7"/>
        <v>0</v>
      </c>
      <c r="H261" s="166">
        <f>'2024 Legal Max'!AY261</f>
        <v>9</v>
      </c>
    </row>
    <row r="262" spans="1:8">
      <c r="A262" s="134" t="s">
        <v>447</v>
      </c>
      <c r="B262" s="129" t="s">
        <v>106</v>
      </c>
      <c r="C262" s="129" t="s">
        <v>766</v>
      </c>
      <c r="D262" s="139">
        <f>IF(ISNA(VLOOKUP($A262,'Audit Values'!$A:$BX,2,FALSE)),'Preliminary SO66'!AZ261,VLOOKUP($A262,'Audit Values'!$A:$BX,49,FALSE))</f>
        <v>921136</v>
      </c>
      <c r="E262" s="139">
        <f t="shared" ref="E262:E290" si="8">D262*$E$3</f>
        <v>1013250</v>
      </c>
      <c r="F262" s="139">
        <f>'2024 Legal Max'!AL262*'Weighting Factors'!$O$5</f>
        <v>198941</v>
      </c>
      <c r="G262" s="139">
        <f t="shared" ref="G262:G290" si="9">IF(F262-E262&gt;0,E262-F262,0)</f>
        <v>0</v>
      </c>
      <c r="H262" s="166">
        <f>'2024 Legal Max'!AY262</f>
        <v>29</v>
      </c>
    </row>
    <row r="263" spans="1:8">
      <c r="A263" s="134" t="s">
        <v>448</v>
      </c>
      <c r="B263" s="129" t="s">
        <v>87</v>
      </c>
      <c r="C263" s="129" t="s">
        <v>767</v>
      </c>
      <c r="D263" s="139">
        <f>IF(ISNA(VLOOKUP($A263,'Audit Values'!$A:$BX,2,FALSE)),'Preliminary SO66'!AZ262,VLOOKUP($A263,'Audit Values'!$A:$BX,49,FALSE))</f>
        <v>215671</v>
      </c>
      <c r="E263" s="139">
        <f t="shared" si="8"/>
        <v>237238</v>
      </c>
      <c r="F263" s="139">
        <f>'2024 Legal Max'!AL263*'Weighting Factors'!$O$5</f>
        <v>132797</v>
      </c>
      <c r="G263" s="139">
        <f t="shared" si="9"/>
        <v>0</v>
      </c>
      <c r="H263" s="166">
        <f>'2024 Legal Max'!AY263</f>
        <v>16</v>
      </c>
    </row>
    <row r="264" spans="1:8">
      <c r="A264" s="134" t="s">
        <v>449</v>
      </c>
      <c r="B264" s="129" t="s">
        <v>104</v>
      </c>
      <c r="C264" s="129" t="s">
        <v>768</v>
      </c>
      <c r="D264" s="139">
        <f>IF(ISNA(VLOOKUP($A264,'Audit Values'!$A:$BX,2,FALSE)),'Preliminary SO66'!AZ263,VLOOKUP($A264,'Audit Values'!$A:$BX,49,FALSE))</f>
        <v>141471</v>
      </c>
      <c r="E264" s="139">
        <f t="shared" si="8"/>
        <v>155618</v>
      </c>
      <c r="F264" s="139">
        <f>'2024 Legal Max'!AL264*'Weighting Factors'!$O$5</f>
        <v>48336</v>
      </c>
      <c r="G264" s="139">
        <f t="shared" si="9"/>
        <v>0</v>
      </c>
      <c r="H264" s="166">
        <f>'2024 Legal Max'!AY264</f>
        <v>7</v>
      </c>
    </row>
    <row r="265" spans="1:8">
      <c r="A265" s="134" t="s">
        <v>450</v>
      </c>
      <c r="B265" s="129" t="s">
        <v>106</v>
      </c>
      <c r="C265" s="129" t="s">
        <v>769</v>
      </c>
      <c r="D265" s="139">
        <f>IF(ISNA(VLOOKUP($A265,'Audit Values'!$A:$BX,2,FALSE)),'Preliminary SO66'!AZ264,VLOOKUP($A265,'Audit Values'!$A:$BX,49,FALSE))</f>
        <v>642063</v>
      </c>
      <c r="E265" s="139">
        <f t="shared" si="8"/>
        <v>706269</v>
      </c>
      <c r="F265" s="139">
        <f>'2024 Legal Max'!AL265*'Weighting Factors'!$O$5</f>
        <v>548995</v>
      </c>
      <c r="G265" s="139">
        <f t="shared" si="9"/>
        <v>0</v>
      </c>
      <c r="H265" s="166">
        <f>'2024 Legal Max'!AY265</f>
        <v>7</v>
      </c>
    </row>
    <row r="266" spans="1:8">
      <c r="A266" s="134" t="s">
        <v>451</v>
      </c>
      <c r="B266" s="129" t="s">
        <v>83</v>
      </c>
      <c r="C266" s="129" t="s">
        <v>770</v>
      </c>
      <c r="D266" s="139">
        <f>IF(ISNA(VLOOKUP($A266,'Audit Values'!$A:$BX,2,FALSE)),'Preliminary SO66'!AZ265,VLOOKUP($A266,'Audit Values'!$A:$BX,49,FALSE))</f>
        <v>381244</v>
      </c>
      <c r="E266" s="139">
        <f t="shared" si="8"/>
        <v>419368</v>
      </c>
      <c r="F266" s="139">
        <f>'2024 Legal Max'!AL266*'Weighting Factors'!$O$5</f>
        <v>259488</v>
      </c>
      <c r="G266" s="139">
        <f t="shared" si="9"/>
        <v>0</v>
      </c>
      <c r="H266" s="166">
        <f>'2024 Legal Max'!AY266</f>
        <v>9</v>
      </c>
    </row>
    <row r="267" spans="1:8">
      <c r="A267" s="134" t="s">
        <v>452</v>
      </c>
      <c r="B267" s="129" t="s">
        <v>87</v>
      </c>
      <c r="C267" s="129" t="s">
        <v>771</v>
      </c>
      <c r="D267" s="139">
        <f>IF(ISNA(VLOOKUP($A267,'Audit Values'!$A:$BX,2,FALSE)),'Preliminary SO66'!AZ266,VLOOKUP($A267,'Audit Values'!$A:$BX,49,FALSE))</f>
        <v>186251</v>
      </c>
      <c r="E267" s="139">
        <f t="shared" si="8"/>
        <v>204876</v>
      </c>
      <c r="F267" s="139">
        <f>'2024 Legal Max'!AL267*'Weighting Factors'!$O$5</f>
        <v>37651</v>
      </c>
      <c r="G267" s="139">
        <f t="shared" si="9"/>
        <v>0</v>
      </c>
      <c r="H267" s="166">
        <f>'2024 Legal Max'!AY267</f>
        <v>16</v>
      </c>
    </row>
    <row r="268" spans="1:8">
      <c r="A268" s="134" t="s">
        <v>453</v>
      </c>
      <c r="B268" s="129" t="s">
        <v>84</v>
      </c>
      <c r="C268" s="129" t="s">
        <v>772</v>
      </c>
      <c r="D268" s="139">
        <f>IF(ISNA(VLOOKUP($A268,'Audit Values'!$A:$BX,2,FALSE)),'Preliminary SO66'!AZ267,VLOOKUP($A268,'Audit Values'!$A:$BX,49,FALSE))</f>
        <v>945797</v>
      </c>
      <c r="E268" s="139">
        <f t="shared" si="8"/>
        <v>1040377</v>
      </c>
      <c r="F268" s="139">
        <f>'2024 Legal Max'!AL268*'Weighting Factors'!$O$5</f>
        <v>748445</v>
      </c>
      <c r="G268" s="139">
        <f t="shared" si="9"/>
        <v>0</v>
      </c>
      <c r="H268" s="166">
        <f>'2024 Legal Max'!AY268</f>
        <v>14</v>
      </c>
    </row>
    <row r="269" spans="1:8">
      <c r="A269" s="134" t="s">
        <v>454</v>
      </c>
      <c r="B269" s="129" t="s">
        <v>10</v>
      </c>
      <c r="C269" s="129" t="s">
        <v>773</v>
      </c>
      <c r="D269" s="139">
        <f>IF(ISNA(VLOOKUP($A269,'Audit Values'!$A:$BX,2,FALSE)),'Preliminary SO66'!AZ268,VLOOKUP($A269,'Audit Values'!$A:$BX,49,FALSE))</f>
        <v>587089</v>
      </c>
      <c r="E269" s="139">
        <f t="shared" si="8"/>
        <v>645798</v>
      </c>
      <c r="F269" s="139">
        <f>'2024 Legal Max'!AL269*'Weighting Factors'!$O$5</f>
        <v>542890</v>
      </c>
      <c r="G269" s="139">
        <f t="shared" si="9"/>
        <v>0</v>
      </c>
      <c r="H269" s="166">
        <f>'2024 Legal Max'!AY269</f>
        <v>25</v>
      </c>
    </row>
    <row r="270" spans="1:8">
      <c r="A270" s="134" t="s">
        <v>455</v>
      </c>
      <c r="B270" s="129" t="s">
        <v>63</v>
      </c>
      <c r="C270" s="129" t="s">
        <v>774</v>
      </c>
      <c r="D270" s="139">
        <f>IF(ISNA(VLOOKUP($A270,'Audit Values'!$A:$BX,2,FALSE)),'Preliminary SO66'!AZ269,VLOOKUP($A270,'Audit Values'!$A:$BX,49,FALSE))</f>
        <v>519173</v>
      </c>
      <c r="E270" s="139">
        <f t="shared" si="8"/>
        <v>571090</v>
      </c>
      <c r="F270" s="139">
        <f>'2024 Legal Max'!AL270*'Weighting Factors'!$O$5</f>
        <v>207082</v>
      </c>
      <c r="G270" s="139">
        <f t="shared" si="9"/>
        <v>0</v>
      </c>
      <c r="H270" s="166">
        <f>'2024 Legal Max'!AY270</f>
        <v>29</v>
      </c>
    </row>
    <row r="271" spans="1:8">
      <c r="A271" s="134" t="s">
        <v>456</v>
      </c>
      <c r="B271" s="129" t="s">
        <v>10</v>
      </c>
      <c r="C271" s="129" t="s">
        <v>775</v>
      </c>
      <c r="D271" s="139">
        <f>IF(ISNA(VLOOKUP($A271,'Audit Values'!$A:$BX,2,FALSE)),'Preliminary SO66'!AZ270,VLOOKUP($A271,'Audit Values'!$A:$BX,49,FALSE))</f>
        <v>287123</v>
      </c>
      <c r="E271" s="139">
        <f t="shared" si="8"/>
        <v>315835</v>
      </c>
      <c r="F271" s="139">
        <f>'2024 Legal Max'!AL271*'Weighting Factors'!$O$5</f>
        <v>197923</v>
      </c>
      <c r="G271" s="139">
        <f t="shared" si="9"/>
        <v>0</v>
      </c>
      <c r="H271" s="166">
        <f>'2024 Legal Max'!AY271</f>
        <v>13</v>
      </c>
    </row>
    <row r="272" spans="1:8">
      <c r="A272" s="134" t="s">
        <v>457</v>
      </c>
      <c r="B272" s="129" t="s">
        <v>29</v>
      </c>
      <c r="C272" s="129" t="s">
        <v>776</v>
      </c>
      <c r="D272" s="139">
        <f>IF(ISNA(VLOOKUP($A272,'Audit Values'!$A:$BX,2,FALSE)),'Preliminary SO66'!AZ271,VLOOKUP($A272,'Audit Values'!$A:$BX,49,FALSE))</f>
        <v>527374</v>
      </c>
      <c r="E272" s="139">
        <f t="shared" si="8"/>
        <v>580111</v>
      </c>
      <c r="F272" s="139">
        <f>'2024 Legal Max'!AL272*'Weighting Factors'!$O$5</f>
        <v>347510</v>
      </c>
      <c r="G272" s="139">
        <f t="shared" si="9"/>
        <v>0</v>
      </c>
      <c r="H272" s="166">
        <f>'2024 Legal Max'!AY272</f>
        <v>19</v>
      </c>
    </row>
    <row r="273" spans="1:8">
      <c r="A273" s="134" t="s">
        <v>458</v>
      </c>
      <c r="B273" s="129" t="s">
        <v>85</v>
      </c>
      <c r="C273" s="129" t="s">
        <v>777</v>
      </c>
      <c r="D273" s="139">
        <f>IF(ISNA(VLOOKUP($A273,'Audit Values'!$A:$BX,2,FALSE)),'Preliminary SO66'!AZ272,VLOOKUP($A273,'Audit Values'!$A:$BX,49,FALSE))</f>
        <v>238389</v>
      </c>
      <c r="E273" s="139">
        <f t="shared" si="8"/>
        <v>262228</v>
      </c>
      <c r="F273" s="139">
        <f>'2024 Legal Max'!AL273*'Weighting Factors'!$O$5</f>
        <v>187747</v>
      </c>
      <c r="G273" s="139">
        <f t="shared" si="9"/>
        <v>0</v>
      </c>
      <c r="H273" s="166">
        <f>'2024 Legal Max'!AY273</f>
        <v>15</v>
      </c>
    </row>
    <row r="274" spans="1:8">
      <c r="A274" s="134" t="s">
        <v>459</v>
      </c>
      <c r="B274" s="129" t="s">
        <v>107</v>
      </c>
      <c r="C274" s="129" t="s">
        <v>778</v>
      </c>
      <c r="D274" s="139">
        <f>IF(ISNA(VLOOKUP($A274,'Audit Values'!$A:$BX,2,FALSE)),'Preliminary SO66'!AZ273,VLOOKUP($A274,'Audit Values'!$A:$BX,49,FALSE))</f>
        <v>355054</v>
      </c>
      <c r="E274" s="139">
        <f t="shared" si="8"/>
        <v>390559</v>
      </c>
      <c r="F274" s="139">
        <f>'2024 Legal Max'!AL274*'Weighting Factors'!$O$5</f>
        <v>220819</v>
      </c>
      <c r="G274" s="139">
        <f t="shared" si="9"/>
        <v>0</v>
      </c>
      <c r="H274" s="166">
        <f>'2024 Legal Max'!AY274</f>
        <v>16</v>
      </c>
    </row>
    <row r="275" spans="1:8">
      <c r="A275" s="134" t="s">
        <v>460</v>
      </c>
      <c r="B275" s="129" t="s">
        <v>107</v>
      </c>
      <c r="C275" s="129" t="s">
        <v>779</v>
      </c>
      <c r="D275" s="139">
        <f>IF(ISNA(VLOOKUP($A275,'Audit Values'!$A:$BX,2,FALSE)),'Preliminary SO66'!AZ274,VLOOKUP($A275,'Audit Values'!$A:$BX,49,FALSE))</f>
        <v>141139</v>
      </c>
      <c r="E275" s="139">
        <f t="shared" si="8"/>
        <v>155253</v>
      </c>
      <c r="F275" s="139">
        <f>'2024 Legal Max'!AL275*'Weighting Factors'!$O$5</f>
        <v>104304</v>
      </c>
      <c r="G275" s="139">
        <f t="shared" si="9"/>
        <v>0</v>
      </c>
      <c r="H275" s="166">
        <f>'2024 Legal Max'!AY275</f>
        <v>2</v>
      </c>
    </row>
    <row r="276" spans="1:8">
      <c r="A276" s="134" t="s">
        <v>461</v>
      </c>
      <c r="B276" s="129" t="s">
        <v>63</v>
      </c>
      <c r="C276" s="129" t="s">
        <v>780</v>
      </c>
      <c r="D276" s="139">
        <f>IF(ISNA(VLOOKUP($A276,'Audit Values'!$A:$BX,2,FALSE)),'Preliminary SO66'!AZ275,VLOOKUP($A276,'Audit Values'!$A:$BX,49,FALSE))</f>
        <v>1972504</v>
      </c>
      <c r="E276" s="139">
        <f t="shared" si="8"/>
        <v>2169754</v>
      </c>
      <c r="F276" s="139">
        <f>'2024 Legal Max'!AL276*'Weighting Factors'!$O$5</f>
        <v>1610352</v>
      </c>
      <c r="G276" s="139">
        <f t="shared" si="9"/>
        <v>0</v>
      </c>
      <c r="H276" s="166">
        <f>'2024 Legal Max'!AY276</f>
        <v>20</v>
      </c>
    </row>
    <row r="277" spans="1:8">
      <c r="A277" s="134" t="s">
        <v>462</v>
      </c>
      <c r="B277" s="129" t="s">
        <v>70</v>
      </c>
      <c r="C277" s="129" t="s">
        <v>781</v>
      </c>
      <c r="D277" s="139">
        <f>IF(ISNA(VLOOKUP($A277,'Audit Values'!$A:$BX,2,FALSE)),'Preliminary SO66'!AZ276,VLOOKUP($A277,'Audit Values'!$A:$BX,49,FALSE))</f>
        <v>275222</v>
      </c>
      <c r="E277" s="139">
        <f t="shared" si="8"/>
        <v>302744</v>
      </c>
      <c r="F277" s="139">
        <f>'2024 Legal Max'!AL277*'Weighting Factors'!$O$5</f>
        <v>292560</v>
      </c>
      <c r="G277" s="139">
        <f t="shared" si="9"/>
        <v>0</v>
      </c>
      <c r="H277" s="166">
        <f>'2024 Legal Max'!AY277</f>
        <v>14</v>
      </c>
    </row>
    <row r="278" spans="1:8">
      <c r="A278" s="134" t="s">
        <v>463</v>
      </c>
      <c r="B278" s="129" t="s">
        <v>29</v>
      </c>
      <c r="C278" s="129" t="s">
        <v>782</v>
      </c>
      <c r="D278" s="139">
        <f>IF(ISNA(VLOOKUP($A278,'Audit Values'!$A:$BX,2,FALSE)),'Preliminary SO66'!AZ277,VLOOKUP($A278,'Audit Values'!$A:$BX,49,FALSE))</f>
        <v>213394</v>
      </c>
      <c r="E278" s="139">
        <f t="shared" si="8"/>
        <v>234733</v>
      </c>
      <c r="F278" s="139">
        <f>'2024 Legal Max'!AL278*'Weighting Factors'!$O$5</f>
        <v>12211</v>
      </c>
      <c r="G278" s="139">
        <f t="shared" si="9"/>
        <v>0</v>
      </c>
      <c r="H278" s="166">
        <f>'2024 Legal Max'!AY278</f>
        <v>12</v>
      </c>
    </row>
    <row r="279" spans="1:8">
      <c r="A279" s="134" t="s">
        <v>464</v>
      </c>
      <c r="B279" s="129" t="s">
        <v>9</v>
      </c>
      <c r="C279" s="129" t="s">
        <v>783</v>
      </c>
      <c r="D279" s="139">
        <f>IF(ISNA(VLOOKUP($A279,'Audit Values'!$A:$BX,2,FALSE)),'Preliminary SO66'!AZ278,VLOOKUP($A279,'Audit Values'!$A:$BX,49,FALSE))</f>
        <v>15838021</v>
      </c>
      <c r="E279" s="139">
        <f t="shared" si="8"/>
        <v>17421823</v>
      </c>
      <c r="F279" s="139">
        <f>'2024 Legal Max'!AL279*'Weighting Factors'!$O$5</f>
        <v>2648304</v>
      </c>
      <c r="G279" s="139">
        <f t="shared" si="9"/>
        <v>0</v>
      </c>
      <c r="H279" s="166">
        <f>'2024 Legal Max'!AY279</f>
        <v>7</v>
      </c>
    </row>
    <row r="280" spans="1:8">
      <c r="A280" s="134" t="s">
        <v>465</v>
      </c>
      <c r="B280" s="129" t="s">
        <v>61</v>
      </c>
      <c r="C280" s="129" t="s">
        <v>784</v>
      </c>
      <c r="D280" s="139">
        <f>IF(ISNA(VLOOKUP($A280,'Audit Values'!$A:$BX,2,FALSE)),'Preliminary SO66'!AZ279,VLOOKUP($A280,'Audit Values'!$A:$BX,49,FALSE))</f>
        <v>3108226</v>
      </c>
      <c r="E280" s="139">
        <f t="shared" si="8"/>
        <v>3419049</v>
      </c>
      <c r="F280" s="139">
        <f>'2024 Legal Max'!AL280*'Weighting Factors'!$O$5</f>
        <v>480816</v>
      </c>
      <c r="G280" s="139">
        <f t="shared" si="9"/>
        <v>0</v>
      </c>
      <c r="H280" s="166">
        <f>'2024 Legal Max'!AY280</f>
        <v>25</v>
      </c>
    </row>
    <row r="281" spans="1:8">
      <c r="A281" s="134" t="s">
        <v>466</v>
      </c>
      <c r="B281" s="129" t="s">
        <v>62</v>
      </c>
      <c r="C281" s="129" t="s">
        <v>785</v>
      </c>
      <c r="D281" s="139">
        <f>IF(ISNA(VLOOKUP($A281,'Audit Values'!$A:$BX,2,FALSE)),'Preliminary SO66'!AZ280,VLOOKUP($A281,'Audit Values'!$A:$BX,49,FALSE))</f>
        <v>96264</v>
      </c>
      <c r="E281" s="139">
        <f t="shared" si="8"/>
        <v>105890</v>
      </c>
      <c r="F281" s="139">
        <f>'2024 Legal Max'!AL281*'Weighting Factors'!$O$5</f>
        <v>83952</v>
      </c>
      <c r="G281" s="139">
        <f t="shared" si="9"/>
        <v>0</v>
      </c>
      <c r="H281" s="166">
        <f>'2024 Legal Max'!AY281</f>
        <v>16</v>
      </c>
    </row>
    <row r="282" spans="1:8">
      <c r="A282" s="134" t="s">
        <v>467</v>
      </c>
      <c r="B282" s="129" t="s">
        <v>108</v>
      </c>
      <c r="C282" s="129" t="s">
        <v>786</v>
      </c>
      <c r="D282" s="139">
        <f>IF(ISNA(VLOOKUP($A282,'Audit Values'!$A:$BX,2,FALSE)),'Preliminary SO66'!AZ281,VLOOKUP($A282,'Audit Values'!$A:$BX,49,FALSE))</f>
        <v>199988</v>
      </c>
      <c r="E282" s="139">
        <f t="shared" si="8"/>
        <v>219987</v>
      </c>
      <c r="F282" s="139">
        <f>'2024 Legal Max'!AL282*'Weighting Factors'!$O$5</f>
        <v>88022</v>
      </c>
      <c r="G282" s="139">
        <f t="shared" si="9"/>
        <v>0</v>
      </c>
      <c r="H282" s="166">
        <f>'2024 Legal Max'!AY282</f>
        <v>22</v>
      </c>
    </row>
    <row r="283" spans="1:8">
      <c r="A283" s="134" t="s">
        <v>468</v>
      </c>
      <c r="B283" s="129" t="s">
        <v>108</v>
      </c>
      <c r="C283" s="129" t="s">
        <v>787</v>
      </c>
      <c r="D283" s="139">
        <f>IF(ISNA(VLOOKUP($A283,'Audit Values'!$A:$BX,2,FALSE)),'Preliminary SO66'!AZ282,VLOOKUP($A283,'Audit Values'!$A:$BX,49,FALSE))</f>
        <v>250224</v>
      </c>
      <c r="E283" s="139">
        <f t="shared" si="8"/>
        <v>275246</v>
      </c>
      <c r="F283" s="139">
        <f>'2024 Legal Max'!AL283*'Weighting Factors'!$O$5</f>
        <v>45792</v>
      </c>
      <c r="G283" s="139">
        <f t="shared" si="9"/>
        <v>0</v>
      </c>
      <c r="H283" s="166">
        <f>'2024 Legal Max'!AY283</f>
        <v>7</v>
      </c>
    </row>
    <row r="284" spans="1:8">
      <c r="A284" s="134" t="s">
        <v>469</v>
      </c>
      <c r="B284" s="129" t="s">
        <v>108</v>
      </c>
      <c r="C284" s="129" t="s">
        <v>788</v>
      </c>
      <c r="D284" s="139">
        <f>IF(ISNA(VLOOKUP($A284,'Audit Values'!$A:$BX,2,FALSE)),'Preliminary SO66'!AZ283,VLOOKUP($A284,'Audit Values'!$A:$BX,49,FALSE))</f>
        <v>93438</v>
      </c>
      <c r="E284" s="139">
        <f t="shared" si="8"/>
        <v>102782</v>
      </c>
      <c r="F284" s="139">
        <f>'2024 Legal Max'!AL284*'Weighting Factors'!$O$5</f>
        <v>40195</v>
      </c>
      <c r="G284" s="139">
        <f t="shared" si="9"/>
        <v>0</v>
      </c>
      <c r="H284" s="166">
        <f>'2024 Legal Max'!AY284</f>
        <v>18</v>
      </c>
    </row>
    <row r="285" spans="1:8">
      <c r="A285" s="134" t="s">
        <v>470</v>
      </c>
      <c r="B285" s="129" t="s">
        <v>108</v>
      </c>
      <c r="C285" s="129" t="s">
        <v>789</v>
      </c>
      <c r="D285" s="139">
        <f>IF(ISNA(VLOOKUP($A285,'Audit Values'!$A:$BX,2,FALSE)),'Preliminary SO66'!AZ284,VLOOKUP($A285,'Audit Values'!$A:$BX,49,FALSE))</f>
        <v>1033461</v>
      </c>
      <c r="E285" s="139">
        <f t="shared" si="8"/>
        <v>1136807</v>
      </c>
      <c r="F285" s="139">
        <f>'2024 Legal Max'!AL285*'Weighting Factors'!$O$5</f>
        <v>655334</v>
      </c>
      <c r="G285" s="139">
        <f t="shared" si="9"/>
        <v>0</v>
      </c>
      <c r="H285" s="166">
        <f>'2024 Legal Max'!AY285</f>
        <v>6</v>
      </c>
    </row>
    <row r="286" spans="1:8">
      <c r="A286" s="134" t="s">
        <v>471</v>
      </c>
      <c r="B286" s="129" t="s">
        <v>75</v>
      </c>
      <c r="C286" s="129" t="s">
        <v>790</v>
      </c>
      <c r="D286" s="139">
        <f>IF(ISNA(VLOOKUP($A286,'Audit Values'!$A:$BX,2,FALSE)),'Preliminary SO66'!AZ285,VLOOKUP($A286,'Audit Values'!$A:$BX,49,FALSE))</f>
        <v>145008</v>
      </c>
      <c r="E286" s="139">
        <f t="shared" si="8"/>
        <v>159509</v>
      </c>
      <c r="F286" s="139">
        <f>'2024 Legal Max'!AL286*'Weighting Factors'!$O$5</f>
        <v>78864</v>
      </c>
      <c r="G286" s="139">
        <f t="shared" si="9"/>
        <v>0</v>
      </c>
      <c r="H286" s="166">
        <f>'2024 Legal Max'!AY286</f>
        <v>4</v>
      </c>
    </row>
    <row r="287" spans="1:8">
      <c r="A287" s="134" t="s">
        <v>472</v>
      </c>
      <c r="B287" s="129" t="s">
        <v>29</v>
      </c>
      <c r="C287" s="129" t="s">
        <v>791</v>
      </c>
      <c r="D287" s="139">
        <f>IF(ISNA(VLOOKUP($A287,'Audit Values'!$A:$BX,2,FALSE)),'Preliminary SO66'!AZ286,VLOOKUP($A287,'Audit Values'!$A:$BX,49,FALSE))</f>
        <v>192098</v>
      </c>
      <c r="E287" s="139">
        <f t="shared" si="8"/>
        <v>211308</v>
      </c>
      <c r="F287" s="139">
        <f>'2024 Legal Max'!AL287*'Weighting Factors'!$O$5</f>
        <v>73267</v>
      </c>
      <c r="G287" s="139">
        <f t="shared" si="9"/>
        <v>0</v>
      </c>
      <c r="H287" s="166">
        <f>'2024 Legal Max'!AY287</f>
        <v>9</v>
      </c>
    </row>
    <row r="288" spans="1:8">
      <c r="A288" s="134" t="s">
        <v>473</v>
      </c>
      <c r="B288" s="129" t="s">
        <v>66</v>
      </c>
      <c r="C288" s="129" t="s">
        <v>792</v>
      </c>
      <c r="D288" s="139">
        <f>IF(ISNA(VLOOKUP($A288,'Audit Values'!$A:$BX,2,FALSE)),'Preliminary SO66'!AZ287,VLOOKUP($A288,'Audit Values'!$A:$BX,49,FALSE))</f>
        <v>92523</v>
      </c>
      <c r="E288" s="139">
        <f t="shared" si="8"/>
        <v>101775</v>
      </c>
      <c r="F288" s="139">
        <f>'2024 Legal Max'!AL288*'Weighting Factors'!$O$5</f>
        <v>72758</v>
      </c>
      <c r="G288" s="139">
        <f t="shared" si="9"/>
        <v>0</v>
      </c>
      <c r="H288" s="166">
        <f>'2024 Legal Max'!AY288</f>
        <v>16</v>
      </c>
    </row>
    <row r="289" spans="1:8">
      <c r="A289" s="134" t="s">
        <v>474</v>
      </c>
      <c r="B289" s="129" t="s">
        <v>68</v>
      </c>
      <c r="C289" s="129" t="s">
        <v>793</v>
      </c>
      <c r="D289" s="139">
        <f>IF(ISNA(VLOOKUP($A289,'Audit Values'!$A:$BX,2,FALSE)),'Preliminary SO66'!AZ288,VLOOKUP($A289,'Audit Values'!$A:$BX,49,FALSE))</f>
        <v>83595</v>
      </c>
      <c r="E289" s="139">
        <f t="shared" si="8"/>
        <v>91955</v>
      </c>
      <c r="F289" s="139">
        <f>'2024 Legal Max'!AL289*'Weighting Factors'!$O$5</f>
        <v>24422</v>
      </c>
      <c r="G289" s="139">
        <f t="shared" si="9"/>
        <v>0</v>
      </c>
      <c r="H289" s="166">
        <f>'2024 Legal Max'!AY289</f>
        <v>8</v>
      </c>
    </row>
    <row r="290" spans="1:8">
      <c r="A290" s="134" t="s">
        <v>475</v>
      </c>
      <c r="B290" s="129" t="s">
        <v>22</v>
      </c>
      <c r="C290" s="129" t="s">
        <v>794</v>
      </c>
      <c r="D290" s="139">
        <f>IF(ISNA(VLOOKUP($A290,'Audit Values'!$A:$BX,2,FALSE)),'Preliminary SO66'!AZ289,VLOOKUP($A290,'Audit Values'!$A:$BX,49,FALSE))</f>
        <v>6717497</v>
      </c>
      <c r="E290" s="139">
        <f t="shared" si="8"/>
        <v>7389247</v>
      </c>
      <c r="F290" s="139">
        <f>'2024 Legal Max'!AL290*'Weighting Factors'!$O$5</f>
        <v>3296006</v>
      </c>
      <c r="G290" s="139">
        <f t="shared" si="9"/>
        <v>0</v>
      </c>
      <c r="H290" s="166">
        <f>'2024 Legal Max'!AY290</f>
        <v>25</v>
      </c>
    </row>
    <row r="291" spans="1:8">
      <c r="D291" s="139"/>
      <c r="E291" s="139"/>
      <c r="F291" s="139"/>
      <c r="G291" s="139"/>
    </row>
  </sheetData>
  <autoFilter ref="A4:H290" xr:uid="{00000000-0009-0000-0000-000001000000}"/>
  <printOptions horizontalCentered="1" gridLines="1"/>
  <pageMargins left="0.45" right="0.45" top="0.5" bottom="0.5" header="0.3" footer="0.3"/>
  <pageSetup scale="95"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4B068-D839-4391-952B-9AC843FD415E}">
  <sheetPr codeName="Sheet14"/>
  <dimension ref="A1:O290"/>
  <sheetViews>
    <sheetView zoomScaleNormal="100" workbookViewId="0">
      <pane ySplit="4" topLeftCell="A5" activePane="bottomLeft" state="frozen"/>
      <selection pane="bottomLeft"/>
    </sheetView>
  </sheetViews>
  <sheetFormatPr defaultColWidth="9.109375" defaultRowHeight="13.2"/>
  <cols>
    <col min="1" max="2" width="9.109375" style="129"/>
    <col min="3" max="3" width="24.5546875" style="129" customWidth="1"/>
    <col min="4" max="4" width="8.109375" style="129" customWidth="1"/>
    <col min="5" max="5" width="15.6640625" style="129" customWidth="1"/>
    <col min="6" max="7" width="12.44140625" style="129" customWidth="1"/>
    <col min="8" max="8" width="15" style="129" customWidth="1"/>
    <col min="9" max="9" width="13.109375" style="129" customWidth="1"/>
    <col min="10" max="10" width="11.6640625" style="129" customWidth="1"/>
    <col min="11" max="11" width="9.88671875" style="129" customWidth="1"/>
    <col min="12" max="12" width="14.33203125" style="129" customWidth="1"/>
    <col min="13" max="13" width="10.88671875" style="129" customWidth="1"/>
    <col min="14" max="14" width="9.88671875" style="129" customWidth="1"/>
    <col min="15" max="15" width="14" style="129" customWidth="1"/>
    <col min="16" max="16384" width="9.109375" style="129"/>
  </cols>
  <sheetData>
    <row r="1" spans="1:15" ht="13.8" thickBot="1">
      <c r="E1" s="248" t="s">
        <v>1039</v>
      </c>
      <c r="F1" s="342" t="s">
        <v>910</v>
      </c>
      <c r="G1" s="343"/>
      <c r="H1" s="344"/>
      <c r="I1" s="249"/>
      <c r="J1" s="345" t="s">
        <v>910</v>
      </c>
      <c r="K1" s="345"/>
      <c r="L1" s="345"/>
      <c r="M1" s="345" t="s">
        <v>1041</v>
      </c>
      <c r="N1" s="345"/>
      <c r="O1" s="345"/>
    </row>
    <row r="2" spans="1:15">
      <c r="A2" s="129" t="s">
        <v>810</v>
      </c>
      <c r="E2" s="239" t="s">
        <v>1036</v>
      </c>
      <c r="G2" s="134" t="s">
        <v>1037</v>
      </c>
      <c r="H2" s="247"/>
      <c r="I2" s="250"/>
      <c r="K2" s="134" t="s">
        <v>1037</v>
      </c>
      <c r="L2" s="245"/>
      <c r="M2" s="244"/>
      <c r="N2" s="134" t="s">
        <v>1038</v>
      </c>
      <c r="O2" s="245"/>
    </row>
    <row r="3" spans="1:15" ht="71.400000000000006" customHeight="1">
      <c r="A3" s="142"/>
      <c r="B3" s="142" t="s">
        <v>171</v>
      </c>
      <c r="C3" s="142" t="s">
        <v>172</v>
      </c>
      <c r="D3" s="142"/>
      <c r="E3" s="240" t="s">
        <v>1040</v>
      </c>
      <c r="F3" s="131" t="s">
        <v>3625</v>
      </c>
      <c r="G3" s="132" t="s">
        <v>3626</v>
      </c>
      <c r="H3" s="242" t="s">
        <v>3628</v>
      </c>
      <c r="I3" s="251" t="s">
        <v>3629</v>
      </c>
      <c r="J3" s="132" t="s">
        <v>3630</v>
      </c>
      <c r="K3" s="132" t="s">
        <v>3631</v>
      </c>
      <c r="L3" s="246" t="s">
        <v>911</v>
      </c>
      <c r="M3" s="132" t="s">
        <v>3627</v>
      </c>
      <c r="N3" s="131" t="s">
        <v>3632</v>
      </c>
      <c r="O3" s="246" t="s">
        <v>912</v>
      </c>
    </row>
    <row r="4" spans="1:15">
      <c r="A4" s="143" t="s">
        <v>189</v>
      </c>
      <c r="B4" s="143"/>
      <c r="C4" s="143" t="s">
        <v>796</v>
      </c>
      <c r="D4" s="143" t="s">
        <v>905</v>
      </c>
      <c r="E4" s="276">
        <f t="shared" ref="E4:J4" si="0">SUM(E5:E290)</f>
        <v>515471951</v>
      </c>
      <c r="F4" s="277">
        <f t="shared" si="0"/>
        <v>95944.2</v>
      </c>
      <c r="G4" s="277">
        <f t="shared" si="0"/>
        <v>14766.6</v>
      </c>
      <c r="H4" s="278">
        <f t="shared" si="0"/>
        <v>563296545</v>
      </c>
      <c r="I4" s="279">
        <f t="shared" si="0"/>
        <v>771440.9</v>
      </c>
      <c r="J4" s="280">
        <f t="shared" si="0"/>
        <v>95944.2</v>
      </c>
      <c r="K4" s="281">
        <f>IF(J4=0,0,ROUND((J4/I4)*100,2))</f>
        <v>12.44</v>
      </c>
      <c r="L4" s="282">
        <f>SUM(L5:L290)</f>
        <v>161907941</v>
      </c>
      <c r="M4" s="280">
        <f>SUM(M5:M290)</f>
        <v>9085.1</v>
      </c>
      <c r="N4" s="283">
        <f>IF('2024 Legal Max'!AA4=0,0,ROUND((M4/I4)*100,2))</f>
        <v>1.18</v>
      </c>
      <c r="O4" s="282">
        <f>SUM(O5:O290)</f>
        <v>15395123</v>
      </c>
    </row>
    <row r="5" spans="1:15">
      <c r="A5" s="134">
        <v>101</v>
      </c>
      <c r="B5" s="129" t="s">
        <v>4</v>
      </c>
      <c r="C5" s="129" t="s">
        <v>511</v>
      </c>
      <c r="D5" s="129" t="str">
        <f>'2024 Legal Max'!AZ5</f>
        <v>A</v>
      </c>
      <c r="E5" s="241">
        <f>'2024 Legal Max'!AO5</f>
        <v>484836</v>
      </c>
      <c r="F5" s="136">
        <f>'2024 Legal Max'!AF5</f>
        <v>113.3</v>
      </c>
      <c r="G5" s="136">
        <f>'2024 Legal Max'!AI5</f>
        <v>24.6</v>
      </c>
      <c r="H5" s="243">
        <f>SUM(F5+G5)*'Weighting Factors'!$O$5</f>
        <v>701635</v>
      </c>
      <c r="I5" s="252">
        <f>'2024 Legal Max'!CR5-'2024 Legal Max'!T5-'2024 Legal Max'!AQ5</f>
        <v>899.4</v>
      </c>
      <c r="J5" s="136">
        <f>'2024 Legal Max'!AF5</f>
        <v>113.3</v>
      </c>
      <c r="K5" s="138">
        <f>IF(J5=0,0,ROUND((J5/I5)*100,2))</f>
        <v>12.6</v>
      </c>
      <c r="L5" s="243">
        <f>(K5/100)*'2024 Legal Max'!BO5</f>
        <v>191288</v>
      </c>
      <c r="M5" s="129">
        <f>'2024 Legal Max'!AA5</f>
        <v>0.7</v>
      </c>
      <c r="N5" s="140">
        <f>IF('2024 Legal Max'!AA5=0,0,ROUND((M5/I5)*100,2))</f>
        <v>0.08</v>
      </c>
      <c r="O5" s="243">
        <f>(N5/100)*'2024 Legal Max'!BO5</f>
        <v>1215</v>
      </c>
    </row>
    <row r="6" spans="1:15">
      <c r="A6" s="134">
        <v>102</v>
      </c>
      <c r="B6" s="129" t="s">
        <v>5</v>
      </c>
      <c r="C6" s="129" t="s">
        <v>801</v>
      </c>
      <c r="D6" s="129" t="str">
        <f>'2024 Legal Max'!AZ6</f>
        <v>A</v>
      </c>
      <c r="E6" s="241">
        <f>'2024 Legal Max'!AO6</f>
        <v>512639</v>
      </c>
      <c r="F6" s="136">
        <f>'2024 Legal Max'!AF6</f>
        <v>93.9</v>
      </c>
      <c r="G6" s="136">
        <f>'2024 Legal Max'!AI6</f>
        <v>0</v>
      </c>
      <c r="H6" s="243">
        <f>SUM(F6+G6)*'Weighting Factors'!$O$5</f>
        <v>477763</v>
      </c>
      <c r="I6" s="252">
        <f>'2024 Legal Max'!CR6-'2024 Legal Max'!T6-'2024 Legal Max'!AQ6</f>
        <v>1130</v>
      </c>
      <c r="J6" s="136">
        <f>'2024 Legal Max'!AF6</f>
        <v>93.9</v>
      </c>
      <c r="K6" s="138">
        <f t="shared" ref="K6:K69" si="1">IF(J6=0,0,ROUND((J6/I6)*100,2))</f>
        <v>8.31</v>
      </c>
      <c r="L6" s="243">
        <f>(K6/100)*'2024 Legal Max'!BO6</f>
        <v>150760</v>
      </c>
      <c r="M6" s="129">
        <f>'2024 Legal Max'!AA6</f>
        <v>35.700000000000003</v>
      </c>
      <c r="N6" s="140">
        <f>IF('2024 Legal Max'!AA6=0,0,ROUND((M6/I6)*100,2))</f>
        <v>3.16</v>
      </c>
      <c r="O6" s="243">
        <f>(N6/100)*'2024 Legal Max'!BO6</f>
        <v>57329</v>
      </c>
    </row>
    <row r="7" spans="1:15">
      <c r="A7" s="134">
        <v>103</v>
      </c>
      <c r="B7" s="129" t="s">
        <v>6</v>
      </c>
      <c r="C7" s="129" t="s">
        <v>512</v>
      </c>
      <c r="D7" s="129" t="str">
        <f>'2024 Legal Max'!AZ7</f>
        <v>A</v>
      </c>
      <c r="E7" s="241">
        <f>'2024 Legal Max'!AO7</f>
        <v>104255</v>
      </c>
      <c r="F7" s="136">
        <f>'2024 Legal Max'!AF7</f>
        <v>31.5</v>
      </c>
      <c r="G7" s="136">
        <f>'2024 Legal Max'!AI7</f>
        <v>4.5999999999999996</v>
      </c>
      <c r="H7" s="243">
        <f>SUM(F7+G7)*'Weighting Factors'!$O$5</f>
        <v>183677</v>
      </c>
      <c r="I7" s="252">
        <f>'2024 Legal Max'!CR7-'2024 Legal Max'!T7-'2024 Legal Max'!AQ7</f>
        <v>362.6</v>
      </c>
      <c r="J7" s="136">
        <f>'2024 Legal Max'!AF7</f>
        <v>31.5</v>
      </c>
      <c r="K7" s="138">
        <f t="shared" si="1"/>
        <v>8.69</v>
      </c>
      <c r="L7" s="243">
        <f>(K7/100)*'2024 Legal Max'!BO7</f>
        <v>53667</v>
      </c>
      <c r="M7" s="129">
        <f>'2024 Legal Max'!AA7</f>
        <v>5.3</v>
      </c>
      <c r="N7" s="140">
        <f>IF('2024 Legal Max'!AA7=0,0,ROUND((M7/I7)*100,2))</f>
        <v>1.46</v>
      </c>
      <c r="O7" s="243">
        <f>(N7/100)*'2024 Legal Max'!BO7</f>
        <v>9017</v>
      </c>
    </row>
    <row r="8" spans="1:15">
      <c r="A8" s="134">
        <v>105</v>
      </c>
      <c r="B8" s="129" t="s">
        <v>51</v>
      </c>
      <c r="C8" s="129" t="s">
        <v>513</v>
      </c>
      <c r="D8" s="129" t="str">
        <f>'2024 Legal Max'!AZ8</f>
        <v>A</v>
      </c>
      <c r="E8" s="241">
        <f>'2024 Legal Max'!AO8</f>
        <v>280739</v>
      </c>
      <c r="F8" s="136">
        <f>'2024 Legal Max'!AF8</f>
        <v>57.1</v>
      </c>
      <c r="G8" s="136">
        <f>'2024 Legal Max'!AI8</f>
        <v>1.1000000000000001</v>
      </c>
      <c r="H8" s="243">
        <f>SUM(F8+G8)*'Weighting Factors'!$O$5</f>
        <v>296122</v>
      </c>
      <c r="I8" s="252">
        <f>'2024 Legal Max'!CR8-'2024 Legal Max'!T8-'2024 Legal Max'!AQ8</f>
        <v>715.4</v>
      </c>
      <c r="J8" s="136">
        <f>'2024 Legal Max'!AF8</f>
        <v>57.1</v>
      </c>
      <c r="K8" s="138">
        <f t="shared" si="1"/>
        <v>7.98</v>
      </c>
      <c r="L8" s="243">
        <f>(K8/100)*'2024 Legal Max'!BO8</f>
        <v>98461</v>
      </c>
      <c r="M8" s="129">
        <f>'2024 Legal Max'!AA8</f>
        <v>4.4000000000000004</v>
      </c>
      <c r="N8" s="140">
        <f>IF('2024 Legal Max'!AA8=0,0,ROUND((M8/I8)*100,2))</f>
        <v>0.62</v>
      </c>
      <c r="O8" s="243">
        <f>(N8/100)*'2024 Legal Max'!BO8</f>
        <v>7650</v>
      </c>
    </row>
    <row r="9" spans="1:15">
      <c r="A9" s="134">
        <v>106</v>
      </c>
      <c r="B9" s="129" t="s">
        <v>47</v>
      </c>
      <c r="C9" s="129" t="s">
        <v>514</v>
      </c>
      <c r="D9" s="129" t="str">
        <f>'2024 Legal Max'!AZ9</f>
        <v>A</v>
      </c>
      <c r="E9" s="241">
        <f>'2024 Legal Max'!AO9</f>
        <v>93572</v>
      </c>
      <c r="F9" s="136">
        <f>'2024 Legal Max'!AF9</f>
        <v>38.200000000000003</v>
      </c>
      <c r="G9" s="136">
        <f>'2024 Legal Max'!AI9</f>
        <v>8.3000000000000007</v>
      </c>
      <c r="H9" s="243">
        <f>SUM(F9+G9)*'Weighting Factors'!$O$5</f>
        <v>236592</v>
      </c>
      <c r="I9" s="252">
        <f>'2024 Legal Max'!CR9-'2024 Legal Max'!T9-'2024 Legal Max'!AQ9</f>
        <v>302.60000000000002</v>
      </c>
      <c r="J9" s="136">
        <f>'2024 Legal Max'!AF9</f>
        <v>38.200000000000003</v>
      </c>
      <c r="K9" s="138">
        <f t="shared" si="1"/>
        <v>12.62</v>
      </c>
      <c r="L9" s="243">
        <f>(K9/100)*'2024 Legal Max'!BO9</f>
        <v>68748</v>
      </c>
      <c r="M9" s="129">
        <f>'2024 Legal Max'!AA9</f>
        <v>5</v>
      </c>
      <c r="N9" s="140">
        <f>IF('2024 Legal Max'!AA9=0,0,ROUND((M9/I9)*100,2))</f>
        <v>1.65</v>
      </c>
      <c r="O9" s="243">
        <f>(N9/100)*'2024 Legal Max'!BO9</f>
        <v>8988</v>
      </c>
    </row>
    <row r="10" spans="1:15">
      <c r="A10" s="134">
        <v>107</v>
      </c>
      <c r="B10" s="129" t="s">
        <v>7</v>
      </c>
      <c r="C10" s="129" t="s">
        <v>515</v>
      </c>
      <c r="D10" s="129" t="str">
        <f>'2024 Legal Max'!AZ10</f>
        <v>A</v>
      </c>
      <c r="E10" s="241">
        <f>'2024 Legal Max'!AO10</f>
        <v>376463</v>
      </c>
      <c r="F10" s="136">
        <f>'2024 Legal Max'!AF10</f>
        <v>78.900000000000006</v>
      </c>
      <c r="G10" s="136">
        <f>'2024 Legal Max'!AI10</f>
        <v>11</v>
      </c>
      <c r="H10" s="243">
        <f>SUM(F10+G10)*'Weighting Factors'!$O$5</f>
        <v>457411</v>
      </c>
      <c r="I10" s="252">
        <f>'2024 Legal Max'!CR10-'2024 Legal Max'!T10-'2024 Legal Max'!AQ10</f>
        <v>773.7</v>
      </c>
      <c r="J10" s="136">
        <f>'2024 Legal Max'!AF10</f>
        <v>78.900000000000006</v>
      </c>
      <c r="K10" s="138">
        <f t="shared" si="1"/>
        <v>10.199999999999999</v>
      </c>
      <c r="L10" s="243">
        <f>(K10/100)*'2024 Legal Max'!BO10</f>
        <v>129957</v>
      </c>
      <c r="M10" s="129">
        <f>'2024 Legal Max'!AA10</f>
        <v>0.4</v>
      </c>
      <c r="N10" s="140">
        <f>IF('2024 Legal Max'!AA10=0,0,ROUND((M10/I10)*100,2))</f>
        <v>0.05</v>
      </c>
      <c r="O10" s="243">
        <f>(N10/100)*'2024 Legal Max'!BO10</f>
        <v>637</v>
      </c>
    </row>
    <row r="11" spans="1:15">
      <c r="A11" s="134">
        <v>108</v>
      </c>
      <c r="B11" s="129" t="s">
        <v>19</v>
      </c>
      <c r="C11" s="129" t="s">
        <v>516</v>
      </c>
      <c r="D11" s="129" t="str">
        <f>'2024 Legal Max'!AZ11</f>
        <v>A</v>
      </c>
      <c r="E11" s="241">
        <f>'2024 Legal Max'!AO11</f>
        <v>370954</v>
      </c>
      <c r="F11" s="136">
        <f>'2024 Legal Max'!AF11</f>
        <v>72.099999999999994</v>
      </c>
      <c r="G11" s="136">
        <f>'2024 Legal Max'!AI11</f>
        <v>7.1</v>
      </c>
      <c r="H11" s="243">
        <f>SUM(F11+G11)*'Weighting Factors'!$O$5</f>
        <v>402970</v>
      </c>
      <c r="I11" s="252">
        <f>'2024 Legal Max'!CR11-'2024 Legal Max'!T11-'2024 Legal Max'!AQ11</f>
        <v>719.3</v>
      </c>
      <c r="J11" s="136">
        <f>'2024 Legal Max'!AF11</f>
        <v>72.099999999999994</v>
      </c>
      <c r="K11" s="138">
        <f t="shared" si="1"/>
        <v>10.02</v>
      </c>
      <c r="L11" s="243">
        <f>(K11/100)*'2024 Legal Max'!BO11</f>
        <v>127508</v>
      </c>
      <c r="M11" s="129">
        <f>'2024 Legal Max'!AA11</f>
        <v>3.5</v>
      </c>
      <c r="N11" s="140">
        <f>IF('2024 Legal Max'!AA11=0,0,ROUND((M11/I11)*100,2))</f>
        <v>0.49</v>
      </c>
      <c r="O11" s="243">
        <f>(N11/100)*'2024 Legal Max'!BO11</f>
        <v>6235</v>
      </c>
    </row>
    <row r="12" spans="1:15">
      <c r="A12" s="134">
        <v>109</v>
      </c>
      <c r="B12" s="129" t="s">
        <v>98</v>
      </c>
      <c r="C12" s="129" t="s">
        <v>517</v>
      </c>
      <c r="D12" s="129" t="str">
        <f>'2024 Legal Max'!AZ12</f>
        <v>A</v>
      </c>
      <c r="E12" s="241">
        <f>'2024 Legal Max'!AO12</f>
        <v>511297</v>
      </c>
      <c r="F12" s="136">
        <f>'2024 Legal Max'!AF12</f>
        <v>111.8</v>
      </c>
      <c r="G12" s="136">
        <f>'2024 Legal Max'!AI12</f>
        <v>16.100000000000001</v>
      </c>
      <c r="H12" s="243">
        <f>SUM(F12+G12)*'Weighting Factors'!$O$5</f>
        <v>650755</v>
      </c>
      <c r="I12" s="252">
        <f>'2024 Legal Max'!CR12-'2024 Legal Max'!T12-'2024 Legal Max'!AQ12</f>
        <v>993.9</v>
      </c>
      <c r="J12" s="136">
        <f>'2024 Legal Max'!AF12</f>
        <v>111.8</v>
      </c>
      <c r="K12" s="138">
        <f t="shared" si="1"/>
        <v>11.25</v>
      </c>
      <c r="L12" s="243">
        <f>(K12/100)*'2024 Legal Max'!BO12</f>
        <v>185069</v>
      </c>
      <c r="M12" s="129">
        <f>'2024 Legal Max'!AA12</f>
        <v>0.4</v>
      </c>
      <c r="N12" s="140">
        <f>IF('2024 Legal Max'!AA12=0,0,ROUND((M12/I12)*100,2))</f>
        <v>0.04</v>
      </c>
      <c r="O12" s="243">
        <f>(N12/100)*'2024 Legal Max'!BO12</f>
        <v>658</v>
      </c>
    </row>
    <row r="13" spans="1:15">
      <c r="A13" s="134">
        <v>110</v>
      </c>
      <c r="B13" s="129" t="s">
        <v>53</v>
      </c>
      <c r="C13" s="129" t="s">
        <v>518</v>
      </c>
      <c r="D13" s="129" t="str">
        <f>'2024 Legal Max'!AZ13</f>
        <v>A</v>
      </c>
      <c r="E13" s="241">
        <f>'2024 Legal Max'!AO13</f>
        <v>211450</v>
      </c>
      <c r="F13" s="136">
        <f>'2024 Legal Max'!AF13</f>
        <v>26.6</v>
      </c>
      <c r="G13" s="136">
        <f>'2024 Legal Max'!AI13</f>
        <v>0.3</v>
      </c>
      <c r="H13" s="243">
        <f>SUM(F13+G13)*'Weighting Factors'!$O$5</f>
        <v>136867</v>
      </c>
      <c r="I13" s="252">
        <f>'2024 Legal Max'!CR13-'2024 Legal Max'!T13-'2024 Legal Max'!AQ13</f>
        <v>426.2</v>
      </c>
      <c r="J13" s="136">
        <f>'2024 Legal Max'!AF13</f>
        <v>26.6</v>
      </c>
      <c r="K13" s="138">
        <f t="shared" si="1"/>
        <v>6.24</v>
      </c>
      <c r="L13" s="243">
        <f>(K13/100)*'2024 Legal Max'!BO13</f>
        <v>45905</v>
      </c>
      <c r="M13" s="129">
        <f>'2024 Legal Max'!AA13</f>
        <v>0</v>
      </c>
      <c r="N13" s="140">
        <f>IF('2024 Legal Max'!AA13=0,0,ROUND((M13/I13)*100,2))</f>
        <v>0</v>
      </c>
      <c r="O13" s="243">
        <f>(N13/100)*'2024 Legal Max'!BO13</f>
        <v>0</v>
      </c>
    </row>
    <row r="14" spans="1:15">
      <c r="A14" s="134">
        <v>111</v>
      </c>
      <c r="B14" s="129" t="s">
        <v>92</v>
      </c>
      <c r="C14" s="129" t="s">
        <v>519</v>
      </c>
      <c r="D14" s="129" t="str">
        <f>'2024 Legal Max'!AZ14</f>
        <v>A</v>
      </c>
      <c r="E14" s="241">
        <f>'2024 Legal Max'!AO14</f>
        <v>436669</v>
      </c>
      <c r="F14" s="136">
        <f>'2024 Legal Max'!AF14</f>
        <v>65.3</v>
      </c>
      <c r="G14" s="136">
        <f>'2024 Legal Max'!AI14</f>
        <v>1.4</v>
      </c>
      <c r="H14" s="243">
        <f>SUM(F14+G14)*'Weighting Factors'!$O$5</f>
        <v>339370</v>
      </c>
      <c r="I14" s="252">
        <f>'2024 Legal Max'!CR14-'2024 Legal Max'!T14-'2024 Legal Max'!AQ14</f>
        <v>730.8</v>
      </c>
      <c r="J14" s="136">
        <f>'2024 Legal Max'!AF14</f>
        <v>65.3</v>
      </c>
      <c r="K14" s="138">
        <f t="shared" si="1"/>
        <v>8.94</v>
      </c>
      <c r="L14" s="243">
        <f>(K14/100)*'2024 Legal Max'!BO14</f>
        <v>110400</v>
      </c>
      <c r="M14" s="129">
        <f>'2024 Legal Max'!AA14</f>
        <v>0</v>
      </c>
      <c r="N14" s="140">
        <f>IF('2024 Legal Max'!AA14=0,0,ROUND((M14/I14)*100,2))</f>
        <v>0</v>
      </c>
      <c r="O14" s="243">
        <f>(N14/100)*'2024 Legal Max'!BO14</f>
        <v>0</v>
      </c>
    </row>
    <row r="15" spans="1:15">
      <c r="A15" s="134">
        <v>112</v>
      </c>
      <c r="B15" s="129" t="s">
        <v>54</v>
      </c>
      <c r="C15" s="129" t="s">
        <v>520</v>
      </c>
      <c r="D15" s="129" t="str">
        <f>'2024 Legal Max'!AZ15</f>
        <v>A</v>
      </c>
      <c r="E15" s="241">
        <f>'2024 Legal Max'!AO15</f>
        <v>542764</v>
      </c>
      <c r="F15" s="136">
        <f>'2024 Legal Max'!AF15</f>
        <v>81.8</v>
      </c>
      <c r="G15" s="136">
        <f>'2024 Legal Max'!AI15</f>
        <v>6.7</v>
      </c>
      <c r="H15" s="243">
        <f>SUM(F15+G15)*'Weighting Factors'!$O$5</f>
        <v>450288</v>
      </c>
      <c r="I15" s="252">
        <f>'2024 Legal Max'!CR15-'2024 Legal Max'!T15-'2024 Legal Max'!AQ15</f>
        <v>950.4</v>
      </c>
      <c r="J15" s="136">
        <f>'2024 Legal Max'!AF15</f>
        <v>81.8</v>
      </c>
      <c r="K15" s="138">
        <f t="shared" si="1"/>
        <v>8.61</v>
      </c>
      <c r="L15" s="243">
        <f>(K15/100)*'2024 Legal Max'!BO15</f>
        <v>144531</v>
      </c>
      <c r="M15" s="129">
        <f>'2024 Legal Max'!AA15</f>
        <v>0</v>
      </c>
      <c r="N15" s="140">
        <f>IF('2024 Legal Max'!AA15=0,0,ROUND((M15/I15)*100,2))</f>
        <v>0</v>
      </c>
      <c r="O15" s="243">
        <f>(N15/100)*'2024 Legal Max'!BO15</f>
        <v>0</v>
      </c>
    </row>
    <row r="16" spans="1:15">
      <c r="A16" s="134">
        <v>113</v>
      </c>
      <c r="B16" s="129" t="s">
        <v>100</v>
      </c>
      <c r="C16" s="129" t="s">
        <v>521</v>
      </c>
      <c r="D16" s="129" t="str">
        <f>'2024 Legal Max'!AZ16</f>
        <v>A</v>
      </c>
      <c r="E16" s="241">
        <f>'2024 Legal Max'!AO16</f>
        <v>621912</v>
      </c>
      <c r="F16" s="136">
        <f>'2024 Legal Max'!AF16</f>
        <v>117.6</v>
      </c>
      <c r="G16" s="136">
        <f>'2024 Legal Max'!AI16</f>
        <v>0</v>
      </c>
      <c r="H16" s="243">
        <f>SUM(F16+G16)*'Weighting Factors'!$O$5</f>
        <v>598349</v>
      </c>
      <c r="I16" s="252">
        <f>'2024 Legal Max'!CR16-'2024 Legal Max'!T16-'2024 Legal Max'!AQ16</f>
        <v>1610.5</v>
      </c>
      <c r="J16" s="136">
        <f>'2024 Legal Max'!AF16</f>
        <v>117.6</v>
      </c>
      <c r="K16" s="138">
        <f t="shared" si="1"/>
        <v>7.3</v>
      </c>
      <c r="L16" s="243">
        <f>(K16/100)*'2024 Legal Max'!BO16</f>
        <v>202282</v>
      </c>
      <c r="M16" s="129">
        <f>'2024 Legal Max'!AA16</f>
        <v>0</v>
      </c>
      <c r="N16" s="140">
        <f>IF('2024 Legal Max'!AA16=0,0,ROUND((M16/I16)*100,2))</f>
        <v>0</v>
      </c>
      <c r="O16" s="243">
        <f>(N16/100)*'2024 Legal Max'!BO16</f>
        <v>0</v>
      </c>
    </row>
    <row r="17" spans="1:15">
      <c r="A17" s="134">
        <v>114</v>
      </c>
      <c r="B17" s="129" t="s">
        <v>92</v>
      </c>
      <c r="C17" s="129" t="s">
        <v>522</v>
      </c>
      <c r="D17" s="129" t="str">
        <f>'2024 Legal Max'!AZ17</f>
        <v>A</v>
      </c>
      <c r="E17" s="241">
        <f>'2024 Legal Max'!AO17</f>
        <v>645059</v>
      </c>
      <c r="F17" s="136">
        <f>'2024 Legal Max'!AF17</f>
        <v>135.5</v>
      </c>
      <c r="G17" s="136">
        <f>'2024 Legal Max'!AI17</f>
        <v>19</v>
      </c>
      <c r="H17" s="243">
        <f>SUM(F17+G17)*'Weighting Factors'!$O$5</f>
        <v>786096</v>
      </c>
      <c r="I17" s="252">
        <f>'2024 Legal Max'!CR17-'2024 Legal Max'!T17-'2024 Legal Max'!AQ17</f>
        <v>1179.8</v>
      </c>
      <c r="J17" s="136">
        <f>'2024 Legal Max'!AF17</f>
        <v>135.5</v>
      </c>
      <c r="K17" s="138">
        <f t="shared" si="1"/>
        <v>11.48</v>
      </c>
      <c r="L17" s="243">
        <f>(K17/100)*'2024 Legal Max'!BO17</f>
        <v>222118</v>
      </c>
      <c r="M17" s="129">
        <f>'2024 Legal Max'!AA17</f>
        <v>0</v>
      </c>
      <c r="N17" s="140">
        <f>IF('2024 Legal Max'!AA17=0,0,ROUND((M17/I17)*100,2))</f>
        <v>0</v>
      </c>
      <c r="O17" s="243">
        <f>(N17/100)*'2024 Legal Max'!BO17</f>
        <v>0</v>
      </c>
    </row>
    <row r="18" spans="1:15">
      <c r="A18" s="134">
        <v>115</v>
      </c>
      <c r="B18" s="129" t="s">
        <v>100</v>
      </c>
      <c r="C18" s="129" t="s">
        <v>523</v>
      </c>
      <c r="D18" s="129" t="str">
        <f>'2024 Legal Max'!AZ18</f>
        <v>A</v>
      </c>
      <c r="E18" s="241">
        <f>'2024 Legal Max'!AO18</f>
        <v>598593</v>
      </c>
      <c r="F18" s="136">
        <f>'2024 Legal Max'!AF18</f>
        <v>83.2</v>
      </c>
      <c r="G18" s="136">
        <f>'2024 Legal Max'!AI18</f>
        <v>0</v>
      </c>
      <c r="H18" s="243">
        <f>SUM(F18+G18)*'Weighting Factors'!$O$5</f>
        <v>423322</v>
      </c>
      <c r="I18" s="252">
        <f>'2024 Legal Max'!CR18-'2024 Legal Max'!T18-'2024 Legal Max'!AQ18</f>
        <v>1218.2</v>
      </c>
      <c r="J18" s="136">
        <f>'2024 Legal Max'!AF18</f>
        <v>83.2</v>
      </c>
      <c r="K18" s="138">
        <f t="shared" si="1"/>
        <v>6.83</v>
      </c>
      <c r="L18" s="243">
        <f>(K18/100)*'2024 Legal Max'!BO18</f>
        <v>143652</v>
      </c>
      <c r="M18" s="129">
        <f>'2024 Legal Max'!AA18</f>
        <v>2</v>
      </c>
      <c r="N18" s="140">
        <f>IF('2024 Legal Max'!AA18=0,0,ROUND((M18/I18)*100,2))</f>
        <v>0.16</v>
      </c>
      <c r="O18" s="243">
        <f>(N18/100)*'2024 Legal Max'!BO18</f>
        <v>3365</v>
      </c>
    </row>
    <row r="19" spans="1:15">
      <c r="A19" s="134">
        <v>200</v>
      </c>
      <c r="B19" s="129" t="s">
        <v>8</v>
      </c>
      <c r="C19" s="129" t="s">
        <v>524</v>
      </c>
      <c r="D19" s="129" t="str">
        <f>'2024 Legal Max'!AZ19</f>
        <v>A</v>
      </c>
      <c r="E19" s="241">
        <f>'2024 Legal Max'!AO19</f>
        <v>159676</v>
      </c>
      <c r="F19" s="136">
        <f>'2024 Legal Max'!AF19</f>
        <v>38.200000000000003</v>
      </c>
      <c r="G19" s="136">
        <f>'2024 Legal Max'!AI19</f>
        <v>0</v>
      </c>
      <c r="H19" s="243">
        <f>SUM(F19+G19)*'Weighting Factors'!$O$5</f>
        <v>194362</v>
      </c>
      <c r="I19" s="252">
        <f>'2024 Legal Max'!CR19-'2024 Legal Max'!T19-'2024 Legal Max'!AQ19</f>
        <v>497.2</v>
      </c>
      <c r="J19" s="136">
        <f>'2024 Legal Max'!AF19</f>
        <v>38.200000000000003</v>
      </c>
      <c r="K19" s="138">
        <f t="shared" si="1"/>
        <v>7.68</v>
      </c>
      <c r="L19" s="243">
        <f>(K19/100)*'2024 Legal Max'!BO19</f>
        <v>62646</v>
      </c>
      <c r="M19" s="129">
        <f>'2024 Legal Max'!AA19</f>
        <v>8.5</v>
      </c>
      <c r="N19" s="140">
        <f>IF('2024 Legal Max'!AA19=0,0,ROUND((M19/I19)*100,2))</f>
        <v>1.71</v>
      </c>
      <c r="O19" s="243">
        <f>(N19/100)*'2024 Legal Max'!BO19</f>
        <v>13949</v>
      </c>
    </row>
    <row r="20" spans="1:15">
      <c r="A20" s="134">
        <v>202</v>
      </c>
      <c r="B20" s="129" t="s">
        <v>9</v>
      </c>
      <c r="C20" s="129" t="s">
        <v>525</v>
      </c>
      <c r="D20" s="129" t="str">
        <f>'2024 Legal Max'!AZ20</f>
        <v>A</v>
      </c>
      <c r="E20" s="241">
        <f>'2024 Legal Max'!AO20</f>
        <v>3251883</v>
      </c>
      <c r="F20" s="136">
        <f>'2024 Legal Max'!AF20</f>
        <v>1298.5999999999999</v>
      </c>
      <c r="G20" s="136">
        <f>'2024 Legal Max'!AI20</f>
        <v>281.7</v>
      </c>
      <c r="H20" s="243">
        <f>SUM(F20+G20)*'Weighting Factors'!$O$5</f>
        <v>8040566</v>
      </c>
      <c r="I20" s="252">
        <f>'2024 Legal Max'!CR20-'2024 Legal Max'!T20-'2024 Legal Max'!AQ20</f>
        <v>6430</v>
      </c>
      <c r="J20" s="136">
        <f>'2024 Legal Max'!AF20</f>
        <v>1298.5999999999999</v>
      </c>
      <c r="K20" s="138">
        <f t="shared" si="1"/>
        <v>20.2</v>
      </c>
      <c r="L20" s="243">
        <f>(K20/100)*'2024 Legal Max'!BO20</f>
        <v>2106883</v>
      </c>
      <c r="M20" s="129">
        <f>'2024 Legal Max'!AA20</f>
        <v>127.8</v>
      </c>
      <c r="N20" s="140">
        <f>IF('2024 Legal Max'!AA20=0,0,ROUND((M20/I20)*100,2))</f>
        <v>1.99</v>
      </c>
      <c r="O20" s="243">
        <f>(N20/100)*'2024 Legal Max'!BO20</f>
        <v>207559</v>
      </c>
    </row>
    <row r="21" spans="1:15">
      <c r="A21" s="134">
        <v>203</v>
      </c>
      <c r="B21" s="129" t="s">
        <v>9</v>
      </c>
      <c r="C21" s="129" t="s">
        <v>526</v>
      </c>
      <c r="D21" s="129" t="str">
        <f>'2024 Legal Max'!AZ21</f>
        <v>A</v>
      </c>
      <c r="E21" s="241">
        <f>'2024 Legal Max'!AO21</f>
        <v>3395297</v>
      </c>
      <c r="F21" s="136">
        <f>'2024 Legal Max'!AF21</f>
        <v>289.39999999999998</v>
      </c>
      <c r="G21" s="136">
        <f>'2024 Legal Max'!AI21</f>
        <v>0</v>
      </c>
      <c r="H21" s="243">
        <f>SUM(F21+G21)*'Weighting Factors'!$O$5</f>
        <v>1472467</v>
      </c>
      <c r="I21" s="252">
        <f>'2024 Legal Max'!CR21-'2024 Legal Max'!T21-'2024 Legal Max'!AQ21</f>
        <v>4088.3</v>
      </c>
      <c r="J21" s="136">
        <f>'2024 Legal Max'!AF21</f>
        <v>289.39999999999998</v>
      </c>
      <c r="K21" s="138">
        <f t="shared" si="1"/>
        <v>7.08</v>
      </c>
      <c r="L21" s="243">
        <f>(K21/100)*'2024 Legal Max'!BO21</f>
        <v>494068</v>
      </c>
      <c r="M21" s="129">
        <f>'2024 Legal Max'!AA21</f>
        <v>38.5</v>
      </c>
      <c r="N21" s="140">
        <f>IF('2024 Legal Max'!AA21=0,0,ROUND((M21/I21)*100,2))</f>
        <v>0.94</v>
      </c>
      <c r="O21" s="243">
        <f>(N21/100)*'2024 Legal Max'!BO21</f>
        <v>65597</v>
      </c>
    </row>
    <row r="22" spans="1:15">
      <c r="A22" s="134">
        <v>204</v>
      </c>
      <c r="B22" s="129" t="s">
        <v>9</v>
      </c>
      <c r="C22" s="129" t="s">
        <v>527</v>
      </c>
      <c r="D22" s="129" t="str">
        <f>'2024 Legal Max'!AZ22</f>
        <v>A</v>
      </c>
      <c r="E22" s="241">
        <f>'2024 Legal Max'!AO22</f>
        <v>3163684</v>
      </c>
      <c r="F22" s="136">
        <f>'2024 Legal Max'!AF22</f>
        <v>576</v>
      </c>
      <c r="G22" s="136">
        <f>'2024 Legal Max'!AI22</f>
        <v>116</v>
      </c>
      <c r="H22" s="243">
        <f>SUM(F22+G22)*'Weighting Factors'!$O$5</f>
        <v>3520896</v>
      </c>
      <c r="I22" s="252">
        <f>'2024 Legal Max'!CR22-'2024 Legal Max'!T22-'2024 Legal Max'!AQ22</f>
        <v>3975.8</v>
      </c>
      <c r="J22" s="136">
        <f>'2024 Legal Max'!AF22</f>
        <v>576</v>
      </c>
      <c r="K22" s="138">
        <f t="shared" si="1"/>
        <v>14.49</v>
      </c>
      <c r="L22" s="243">
        <f>(K22/100)*'2024 Legal Max'!BO22</f>
        <v>979166</v>
      </c>
      <c r="M22" s="129">
        <f>'2024 Legal Max'!AA22</f>
        <v>28.5</v>
      </c>
      <c r="N22" s="140">
        <f>IF('2024 Legal Max'!AA22=0,0,ROUND((M22/I22)*100,2))</f>
        <v>0.72</v>
      </c>
      <c r="O22" s="243">
        <f>(N22/100)*'2024 Legal Max'!BO22</f>
        <v>48654</v>
      </c>
    </row>
    <row r="23" spans="1:15">
      <c r="A23" s="134">
        <v>205</v>
      </c>
      <c r="B23" s="129" t="s">
        <v>10</v>
      </c>
      <c r="C23" s="129" t="s">
        <v>528</v>
      </c>
      <c r="D23" s="129" t="str">
        <f>'2024 Legal Max'!AZ23</f>
        <v>A</v>
      </c>
      <c r="E23" s="241">
        <f>'2024 Legal Max'!AO23</f>
        <v>559437</v>
      </c>
      <c r="F23" s="136">
        <f>'2024 Legal Max'!AF23</f>
        <v>87.6</v>
      </c>
      <c r="G23" s="136">
        <f>'2024 Legal Max'!AI23</f>
        <v>0.9</v>
      </c>
      <c r="H23" s="243">
        <f>SUM(F23+G23)*'Weighting Factors'!$O$5</f>
        <v>450288</v>
      </c>
      <c r="I23" s="252">
        <f>'2024 Legal Max'!CR23-'2024 Legal Max'!T23-'2024 Legal Max'!AQ23</f>
        <v>1006.9</v>
      </c>
      <c r="J23" s="136">
        <f>'2024 Legal Max'!AF23</f>
        <v>87.6</v>
      </c>
      <c r="K23" s="138">
        <f t="shared" si="1"/>
        <v>8.6999999999999993</v>
      </c>
      <c r="L23" s="243">
        <f>(K23/100)*'2024 Legal Max'!BO23</f>
        <v>151637</v>
      </c>
      <c r="M23" s="129">
        <f>'2024 Legal Max'!AA23</f>
        <v>0.7</v>
      </c>
      <c r="N23" s="140">
        <f>IF('2024 Legal Max'!AA23=0,0,ROUND((M23/I23)*100,2))</f>
        <v>7.0000000000000007E-2</v>
      </c>
      <c r="O23" s="243">
        <f>(N23/100)*'2024 Legal Max'!BO23</f>
        <v>1220</v>
      </c>
    </row>
    <row r="24" spans="1:15">
      <c r="A24" s="134">
        <v>206</v>
      </c>
      <c r="B24" s="129" t="s">
        <v>10</v>
      </c>
      <c r="C24" s="129" t="s">
        <v>529</v>
      </c>
      <c r="D24" s="129" t="str">
        <f>'2024 Legal Max'!AZ24</f>
        <v>A</v>
      </c>
      <c r="E24" s="241">
        <f>'2024 Legal Max'!AO24</f>
        <v>510538</v>
      </c>
      <c r="F24" s="136">
        <f>'2024 Legal Max'!AF24</f>
        <v>84.7</v>
      </c>
      <c r="G24" s="136">
        <f>'2024 Legal Max'!AI24</f>
        <v>3.3</v>
      </c>
      <c r="H24" s="243">
        <f>SUM(F24+G24)*'Weighting Factors'!$O$5</f>
        <v>447744</v>
      </c>
      <c r="I24" s="252">
        <f>'2024 Legal Max'!CR24-'2024 Legal Max'!T24-'2024 Legal Max'!AQ24</f>
        <v>930.8</v>
      </c>
      <c r="J24" s="136">
        <f>'2024 Legal Max'!AF24</f>
        <v>84.7</v>
      </c>
      <c r="K24" s="138">
        <f t="shared" si="1"/>
        <v>9.1</v>
      </c>
      <c r="L24" s="243">
        <f>(K24/100)*'2024 Legal Max'!BO24</f>
        <v>145459</v>
      </c>
      <c r="M24" s="129">
        <f>'2024 Legal Max'!AA24</f>
        <v>1.9</v>
      </c>
      <c r="N24" s="140">
        <f>IF('2024 Legal Max'!AA24=0,0,ROUND((M24/I24)*100,2))</f>
        <v>0.2</v>
      </c>
      <c r="O24" s="243">
        <f>(N24/100)*'2024 Legal Max'!BO24</f>
        <v>3197</v>
      </c>
    </row>
    <row r="25" spans="1:15">
      <c r="A25" s="134">
        <v>207</v>
      </c>
      <c r="B25" s="129" t="s">
        <v>11</v>
      </c>
      <c r="C25" s="129" t="s">
        <v>530</v>
      </c>
      <c r="D25" s="129" t="str">
        <f>'2024 Legal Max'!AZ25</f>
        <v>A</v>
      </c>
      <c r="E25" s="241">
        <f>'2024 Legal Max'!AO25</f>
        <v>1247083</v>
      </c>
      <c r="F25" s="136">
        <f>'2024 Legal Max'!AF25</f>
        <v>29</v>
      </c>
      <c r="G25" s="136">
        <f>'2024 Legal Max'!AI25</f>
        <v>0</v>
      </c>
      <c r="H25" s="243">
        <f>SUM(F25+G25)*'Weighting Factors'!$O$5</f>
        <v>147552</v>
      </c>
      <c r="I25" s="252">
        <f>'2024 Legal Max'!CR25-'2024 Legal Max'!T25-'2024 Legal Max'!AQ25</f>
        <v>1970.4</v>
      </c>
      <c r="J25" s="136">
        <f>'2024 Legal Max'!AF25</f>
        <v>29</v>
      </c>
      <c r="K25" s="138">
        <f t="shared" si="1"/>
        <v>1.47</v>
      </c>
      <c r="L25" s="243">
        <f>(K25/100)*'2024 Legal Max'!BO25</f>
        <v>49219</v>
      </c>
      <c r="M25" s="129">
        <f>'2024 Legal Max'!AA25</f>
        <v>16.3</v>
      </c>
      <c r="N25" s="140">
        <f>IF('2024 Legal Max'!AA25=0,0,ROUND((M25/I25)*100,2))</f>
        <v>0.83</v>
      </c>
      <c r="O25" s="243">
        <f>(N25/100)*'2024 Legal Max'!BO25</f>
        <v>27790</v>
      </c>
    </row>
    <row r="26" spans="1:15">
      <c r="A26" s="134">
        <v>208</v>
      </c>
      <c r="B26" s="129" t="s">
        <v>12</v>
      </c>
      <c r="C26" s="129" t="s">
        <v>531</v>
      </c>
      <c r="D26" s="129" t="str">
        <f>'2024 Legal Max'!AZ26</f>
        <v>A</v>
      </c>
      <c r="E26" s="241">
        <f>'2024 Legal Max'!AO26</f>
        <v>422850</v>
      </c>
      <c r="F26" s="136">
        <f>'2024 Legal Max'!AF26</f>
        <v>67.8</v>
      </c>
      <c r="G26" s="136">
        <f>'2024 Legal Max'!AI26</f>
        <v>2</v>
      </c>
      <c r="H26" s="243">
        <f>SUM(F26+G26)*'Weighting Factors'!$O$5</f>
        <v>355142</v>
      </c>
      <c r="I26" s="252">
        <f>'2024 Legal Max'!CR26-'2024 Legal Max'!T26-'2024 Legal Max'!AQ26</f>
        <v>730.2</v>
      </c>
      <c r="J26" s="136">
        <f>'2024 Legal Max'!AF26</f>
        <v>67.8</v>
      </c>
      <c r="K26" s="138">
        <f t="shared" si="1"/>
        <v>9.2899999999999991</v>
      </c>
      <c r="L26" s="243">
        <f>(K26/100)*'2024 Legal Max'!BO26</f>
        <v>118356</v>
      </c>
      <c r="M26" s="129">
        <f>'2024 Legal Max'!AA26</f>
        <v>0</v>
      </c>
      <c r="N26" s="140">
        <f>IF('2024 Legal Max'!AA26=0,0,ROUND((M26/I26)*100,2))</f>
        <v>0</v>
      </c>
      <c r="O26" s="243">
        <f>(N26/100)*'2024 Legal Max'!BO26</f>
        <v>0</v>
      </c>
    </row>
    <row r="27" spans="1:15">
      <c r="A27" s="134">
        <v>209</v>
      </c>
      <c r="B27" s="129" t="s">
        <v>13</v>
      </c>
      <c r="C27" s="129" t="s">
        <v>532</v>
      </c>
      <c r="D27" s="129" t="str">
        <f>'2024 Legal Max'!AZ27</f>
        <v>A</v>
      </c>
      <c r="E27" s="241">
        <f>'2024 Legal Max'!AO27</f>
        <v>90811</v>
      </c>
      <c r="F27" s="136">
        <f>'2024 Legal Max'!AF27</f>
        <v>31.5</v>
      </c>
      <c r="G27" s="136">
        <f>'2024 Legal Max'!AI27</f>
        <v>5.2</v>
      </c>
      <c r="H27" s="243">
        <f>SUM(F27+G27)*'Weighting Factors'!$O$5</f>
        <v>186730</v>
      </c>
      <c r="I27" s="252">
        <f>'2024 Legal Max'!CR27-'2024 Legal Max'!T27-'2024 Legal Max'!AQ27</f>
        <v>325.7</v>
      </c>
      <c r="J27" s="136">
        <f>'2024 Legal Max'!AF27</f>
        <v>31.5</v>
      </c>
      <c r="K27" s="138">
        <f t="shared" si="1"/>
        <v>9.67</v>
      </c>
      <c r="L27" s="243">
        <f>(K27/100)*'2024 Legal Max'!BO27</f>
        <v>55582</v>
      </c>
      <c r="M27" s="129">
        <f>'2024 Legal Max'!AA27</f>
        <v>8.6</v>
      </c>
      <c r="N27" s="140">
        <f>IF('2024 Legal Max'!AA27=0,0,ROUND((M27/I27)*100,2))</f>
        <v>2.64</v>
      </c>
      <c r="O27" s="243">
        <f>(N27/100)*'2024 Legal Max'!BO27</f>
        <v>15174</v>
      </c>
    </row>
    <row r="28" spans="1:15">
      <c r="A28" s="134">
        <v>210</v>
      </c>
      <c r="B28" s="129" t="s">
        <v>13</v>
      </c>
      <c r="C28" s="129" t="s">
        <v>533</v>
      </c>
      <c r="D28" s="129" t="str">
        <f>'2024 Legal Max'!AZ28</f>
        <v>A</v>
      </c>
      <c r="E28" s="241">
        <f>'2024 Legal Max'!AO28</f>
        <v>622684</v>
      </c>
      <c r="F28" s="136">
        <f>'2024 Legal Max'!AF28</f>
        <v>220.2</v>
      </c>
      <c r="G28" s="136">
        <f>'2024 Legal Max'!AI28</f>
        <v>36.700000000000003</v>
      </c>
      <c r="H28" s="243">
        <f>SUM(F28+G28)*'Weighting Factors'!$O$5</f>
        <v>1307107</v>
      </c>
      <c r="I28" s="252">
        <f>'2024 Legal Max'!CR28-'2024 Legal Max'!T28-'2024 Legal Max'!AQ28</f>
        <v>1721.3</v>
      </c>
      <c r="J28" s="136">
        <f>'2024 Legal Max'!AF28</f>
        <v>220.2</v>
      </c>
      <c r="K28" s="138">
        <f t="shared" si="1"/>
        <v>12.79</v>
      </c>
      <c r="L28" s="243">
        <f>(K28/100)*'2024 Legal Max'!BO28</f>
        <v>361929</v>
      </c>
      <c r="M28" s="129">
        <f>'2024 Legal Max'!AA28</f>
        <v>43.5</v>
      </c>
      <c r="N28" s="140">
        <f>IF('2024 Legal Max'!AA28=0,0,ROUND((M28/I28)*100,2))</f>
        <v>2.5299999999999998</v>
      </c>
      <c r="O28" s="243">
        <f>(N28/100)*'2024 Legal Max'!BO28</f>
        <v>71594</v>
      </c>
    </row>
    <row r="29" spans="1:15">
      <c r="A29" s="134">
        <v>211</v>
      </c>
      <c r="B29" s="129" t="s">
        <v>14</v>
      </c>
      <c r="C29" s="129" t="s">
        <v>534</v>
      </c>
      <c r="D29" s="129" t="str">
        <f>'2024 Legal Max'!AZ29</f>
        <v>A</v>
      </c>
      <c r="E29" s="241">
        <f>'2024 Legal Max'!AO29</f>
        <v>800928</v>
      </c>
      <c r="F29" s="136">
        <f>'2024 Legal Max'!AF29</f>
        <v>143.30000000000001</v>
      </c>
      <c r="G29" s="136">
        <f>'2024 Legal Max'!AI29</f>
        <v>20</v>
      </c>
      <c r="H29" s="243">
        <f>SUM(F29+G29)*'Weighting Factors'!$O$5</f>
        <v>830870</v>
      </c>
      <c r="I29" s="252">
        <f>'2024 Legal Max'!CR29-'2024 Legal Max'!T29-'2024 Legal Max'!AQ29</f>
        <v>1254.7</v>
      </c>
      <c r="J29" s="136">
        <f>'2024 Legal Max'!AF29</f>
        <v>143.30000000000001</v>
      </c>
      <c r="K29" s="138">
        <f t="shared" si="1"/>
        <v>11.42</v>
      </c>
      <c r="L29" s="243">
        <f>(K29/100)*'2024 Legal Max'!BO29</f>
        <v>237381</v>
      </c>
      <c r="M29" s="129">
        <f>'2024 Legal Max'!AA29</f>
        <v>1.9</v>
      </c>
      <c r="N29" s="140">
        <f>IF('2024 Legal Max'!AA29=0,0,ROUND((M29/I29)*100,2))</f>
        <v>0.15</v>
      </c>
      <c r="O29" s="243">
        <f>(N29/100)*'2024 Legal Max'!BO29</f>
        <v>3118</v>
      </c>
    </row>
    <row r="30" spans="1:15">
      <c r="A30" s="134">
        <v>212</v>
      </c>
      <c r="B30" s="129" t="s">
        <v>14</v>
      </c>
      <c r="C30" s="129" t="s">
        <v>535</v>
      </c>
      <c r="D30" s="129" t="str">
        <f>'2024 Legal Max'!AZ30</f>
        <v>A</v>
      </c>
      <c r="E30" s="241">
        <f>'2024 Legal Max'!AO30</f>
        <v>168992</v>
      </c>
      <c r="F30" s="136">
        <f>'2024 Legal Max'!AF30</f>
        <v>38.200000000000003</v>
      </c>
      <c r="G30" s="136">
        <f>'2024 Legal Max'!AI30</f>
        <v>8.3000000000000007</v>
      </c>
      <c r="H30" s="243">
        <f>SUM(F30+G30)*'Weighting Factors'!$O$5</f>
        <v>236592</v>
      </c>
      <c r="I30" s="252">
        <f>'2024 Legal Max'!CR30-'2024 Legal Max'!T30-'2024 Legal Max'!AQ30</f>
        <v>373.6</v>
      </c>
      <c r="J30" s="136">
        <f>'2024 Legal Max'!AF30</f>
        <v>38.200000000000003</v>
      </c>
      <c r="K30" s="138">
        <f t="shared" si="1"/>
        <v>10.220000000000001</v>
      </c>
      <c r="L30" s="243">
        <f>(K30/100)*'2024 Legal Max'!BO30</f>
        <v>66123</v>
      </c>
      <c r="M30" s="129">
        <f>'2024 Legal Max'!AA30</f>
        <v>0.2</v>
      </c>
      <c r="N30" s="140">
        <f>IF('2024 Legal Max'!AA30=0,0,ROUND((M30/I30)*100,2))</f>
        <v>0.05</v>
      </c>
      <c r="O30" s="243">
        <f>(N30/100)*'2024 Legal Max'!BO30</f>
        <v>323</v>
      </c>
    </row>
    <row r="31" spans="1:15">
      <c r="A31" s="134">
        <v>214</v>
      </c>
      <c r="B31" s="129" t="s">
        <v>15</v>
      </c>
      <c r="C31" s="129" t="s">
        <v>536</v>
      </c>
      <c r="D31" s="129" t="str">
        <f>'2024 Legal Max'!AZ31</f>
        <v>A</v>
      </c>
      <c r="E31" s="241">
        <f>'2024 Legal Max'!AO31</f>
        <v>920013</v>
      </c>
      <c r="F31" s="136">
        <f>'2024 Legal Max'!AF31</f>
        <v>409.5</v>
      </c>
      <c r="G31" s="136">
        <f>'2024 Legal Max'!AI31</f>
        <v>88.8</v>
      </c>
      <c r="H31" s="243">
        <f>SUM(F31+G31)*'Weighting Factors'!$O$5</f>
        <v>2535350</v>
      </c>
      <c r="I31" s="252">
        <f>'2024 Legal Max'!CR31-'2024 Legal Max'!T31-'2024 Legal Max'!AQ31</f>
        <v>2444.4</v>
      </c>
      <c r="J31" s="136">
        <f>'2024 Legal Max'!AF31</f>
        <v>409.5</v>
      </c>
      <c r="K31" s="138">
        <f t="shared" si="1"/>
        <v>16.75</v>
      </c>
      <c r="L31" s="243">
        <f>(K31/100)*'2024 Legal Max'!BO31</f>
        <v>675940</v>
      </c>
      <c r="M31" s="129">
        <f>'2024 Legal Max'!AA31</f>
        <v>96.9</v>
      </c>
      <c r="N31" s="140">
        <f>IF('2024 Legal Max'!AA31=0,0,ROUND((M31/I31)*100,2))</f>
        <v>3.96</v>
      </c>
      <c r="O31" s="243">
        <f>(N31/100)*'2024 Legal Max'!BO31</f>
        <v>159804</v>
      </c>
    </row>
    <row r="32" spans="1:15">
      <c r="A32" s="134">
        <v>215</v>
      </c>
      <c r="B32" s="129" t="s">
        <v>16</v>
      </c>
      <c r="C32" s="129" t="s">
        <v>537</v>
      </c>
      <c r="D32" s="129" t="str">
        <f>'2024 Legal Max'!AZ32</f>
        <v>A</v>
      </c>
      <c r="E32" s="241">
        <f>'2024 Legal Max'!AO32</f>
        <v>381510</v>
      </c>
      <c r="F32" s="136">
        <f>'2024 Legal Max'!AF32</f>
        <v>151.5</v>
      </c>
      <c r="G32" s="136">
        <f>'2024 Legal Max'!AI32</f>
        <v>32.9</v>
      </c>
      <c r="H32" s="243">
        <f>SUM(F32+G32)*'Weighting Factors'!$O$5</f>
        <v>938227</v>
      </c>
      <c r="I32" s="252">
        <f>'2024 Legal Max'!CR32-'2024 Legal Max'!T32-'2024 Legal Max'!AQ32</f>
        <v>1173</v>
      </c>
      <c r="J32" s="136">
        <f>'2024 Legal Max'!AF32</f>
        <v>151.5</v>
      </c>
      <c r="K32" s="138">
        <f t="shared" si="1"/>
        <v>12.92</v>
      </c>
      <c r="L32" s="243">
        <f>(K32/100)*'2024 Legal Max'!BO32</f>
        <v>247533</v>
      </c>
      <c r="M32" s="129">
        <f>'2024 Legal Max'!AA32</f>
        <v>21.9</v>
      </c>
      <c r="N32" s="140">
        <f>IF('2024 Legal Max'!AA32=0,0,ROUND((M32/I32)*100,2))</f>
        <v>1.87</v>
      </c>
      <c r="O32" s="243">
        <f>(N32/100)*'2024 Legal Max'!BO32</f>
        <v>35827</v>
      </c>
    </row>
    <row r="33" spans="1:15">
      <c r="A33" s="134">
        <v>216</v>
      </c>
      <c r="B33" s="129" t="s">
        <v>16</v>
      </c>
      <c r="C33" s="129" t="s">
        <v>538</v>
      </c>
      <c r="D33" s="129" t="str">
        <f>'2024 Legal Max'!AZ33</f>
        <v>A</v>
      </c>
      <c r="E33" s="241">
        <f>'2024 Legal Max'!AO33</f>
        <v>148924</v>
      </c>
      <c r="F33" s="136">
        <f>'2024 Legal Max'!AF33</f>
        <v>70.2</v>
      </c>
      <c r="G33" s="136">
        <f>'2024 Legal Max'!AI33</f>
        <v>15.3</v>
      </c>
      <c r="H33" s="243">
        <f>SUM(F33+G33)*'Weighting Factors'!$O$5</f>
        <v>435024</v>
      </c>
      <c r="I33" s="252">
        <f>'2024 Legal Max'!CR33-'2024 Legal Max'!T33-'2024 Legal Max'!AQ33</f>
        <v>516.4</v>
      </c>
      <c r="J33" s="136">
        <f>'2024 Legal Max'!AF33</f>
        <v>70.2</v>
      </c>
      <c r="K33" s="138">
        <f t="shared" si="1"/>
        <v>13.59</v>
      </c>
      <c r="L33" s="243">
        <f>(K33/100)*'2024 Legal Max'!BO33</f>
        <v>123645</v>
      </c>
      <c r="M33" s="129">
        <f>'2024 Legal Max'!AA33</f>
        <v>22.3</v>
      </c>
      <c r="N33" s="140">
        <f>IF('2024 Legal Max'!AA33=0,0,ROUND((M33/I33)*100,2))</f>
        <v>4.32</v>
      </c>
      <c r="O33" s="243">
        <f>(N33/100)*'2024 Legal Max'!BO33</f>
        <v>39304</v>
      </c>
    </row>
    <row r="34" spans="1:15">
      <c r="A34" s="134">
        <v>217</v>
      </c>
      <c r="B34" s="129" t="s">
        <v>17</v>
      </c>
      <c r="C34" s="129" t="s">
        <v>539</v>
      </c>
      <c r="D34" s="129" t="str">
        <f>'2024 Legal Max'!AZ34</f>
        <v>A</v>
      </c>
      <c r="E34" s="241">
        <f>'2024 Legal Max'!AO34</f>
        <v>72766</v>
      </c>
      <c r="F34" s="136">
        <f>'2024 Legal Max'!AF34</f>
        <v>27.6</v>
      </c>
      <c r="G34" s="136">
        <f>'2024 Legal Max'!AI34</f>
        <v>6</v>
      </c>
      <c r="H34" s="243">
        <f>SUM(F34+G34)*'Weighting Factors'!$O$5</f>
        <v>170957</v>
      </c>
      <c r="I34" s="252">
        <f>'2024 Legal Max'!CR34-'2024 Legal Max'!T34-'2024 Legal Max'!AQ34</f>
        <v>257.7</v>
      </c>
      <c r="J34" s="136">
        <f>'2024 Legal Max'!AF34</f>
        <v>27.6</v>
      </c>
      <c r="K34" s="138">
        <f t="shared" si="1"/>
        <v>10.71</v>
      </c>
      <c r="L34" s="243">
        <f>(K34/100)*'2024 Legal Max'!BO34</f>
        <v>49544</v>
      </c>
      <c r="M34" s="129">
        <f>'2024 Legal Max'!AA34</f>
        <v>4.9000000000000004</v>
      </c>
      <c r="N34" s="140">
        <f>IF('2024 Legal Max'!AA34=0,0,ROUND((M34/I34)*100,2))</f>
        <v>1.9</v>
      </c>
      <c r="O34" s="243">
        <f>(N34/100)*'2024 Legal Max'!BO34</f>
        <v>8789</v>
      </c>
    </row>
    <row r="35" spans="1:15">
      <c r="A35" s="134">
        <v>218</v>
      </c>
      <c r="B35" s="129" t="s">
        <v>17</v>
      </c>
      <c r="C35" s="129" t="s">
        <v>540</v>
      </c>
      <c r="D35" s="129" t="str">
        <f>'2024 Legal Max'!AZ35</f>
        <v>A</v>
      </c>
      <c r="E35" s="241">
        <f>'2024 Legal Max'!AO35</f>
        <v>258059</v>
      </c>
      <c r="F35" s="136">
        <f>'2024 Legal Max'!AF35</f>
        <v>92.9</v>
      </c>
      <c r="G35" s="136">
        <f>'2024 Legal Max'!AI35</f>
        <v>18.5</v>
      </c>
      <c r="H35" s="243">
        <f>SUM(F35+G35)*'Weighting Factors'!$O$5</f>
        <v>566803</v>
      </c>
      <c r="I35" s="252">
        <f>'2024 Legal Max'!CR35-'2024 Legal Max'!T35-'2024 Legal Max'!AQ35</f>
        <v>773.8</v>
      </c>
      <c r="J35" s="136">
        <f>'2024 Legal Max'!AF35</f>
        <v>92.9</v>
      </c>
      <c r="K35" s="138">
        <f t="shared" si="1"/>
        <v>12.01</v>
      </c>
      <c r="L35" s="243">
        <f>(K35/100)*'2024 Legal Max'!BO35</f>
        <v>162860</v>
      </c>
      <c r="M35" s="129">
        <f>'2024 Legal Max'!AA35</f>
        <v>16</v>
      </c>
      <c r="N35" s="140">
        <f>IF('2024 Legal Max'!AA35=0,0,ROUND((M35/I35)*100,2))</f>
        <v>2.0699999999999998</v>
      </c>
      <c r="O35" s="243">
        <f>(N35/100)*'2024 Legal Max'!BO35</f>
        <v>28070</v>
      </c>
    </row>
    <row r="36" spans="1:15">
      <c r="A36" s="134">
        <v>219</v>
      </c>
      <c r="B36" s="129" t="s">
        <v>18</v>
      </c>
      <c r="C36" s="129" t="s">
        <v>541</v>
      </c>
      <c r="D36" s="129" t="str">
        <f>'2024 Legal Max'!AZ36</f>
        <v>A</v>
      </c>
      <c r="E36" s="241">
        <f>'2024 Legal Max'!AO36</f>
        <v>196872</v>
      </c>
      <c r="F36" s="136">
        <f>'2024 Legal Max'!AF36</f>
        <v>55.2</v>
      </c>
      <c r="G36" s="136">
        <f>'2024 Legal Max'!AI36</f>
        <v>10.1</v>
      </c>
      <c r="H36" s="243">
        <f>SUM(F36+G36)*'Weighting Factors'!$O$5</f>
        <v>332246</v>
      </c>
      <c r="I36" s="252">
        <f>'2024 Legal Max'!CR36-'2024 Legal Max'!T36-'2024 Legal Max'!AQ36</f>
        <v>520.1</v>
      </c>
      <c r="J36" s="136">
        <f>'2024 Legal Max'!AF36</f>
        <v>55.2</v>
      </c>
      <c r="K36" s="138">
        <f t="shared" si="1"/>
        <v>10.61</v>
      </c>
      <c r="L36" s="243">
        <f>(K36/100)*'2024 Legal Max'!BO36</f>
        <v>91906</v>
      </c>
      <c r="M36" s="129">
        <f>'2024 Legal Max'!AA36</f>
        <v>0.9</v>
      </c>
      <c r="N36" s="140">
        <f>IF('2024 Legal Max'!AA36=0,0,ROUND((M36/I36)*100,2))</f>
        <v>0.17</v>
      </c>
      <c r="O36" s="243">
        <f>(N36/100)*'2024 Legal Max'!BO36</f>
        <v>1473</v>
      </c>
    </row>
    <row r="37" spans="1:15">
      <c r="A37" s="134">
        <v>220</v>
      </c>
      <c r="B37" s="129" t="s">
        <v>18</v>
      </c>
      <c r="C37" s="129" t="s">
        <v>542</v>
      </c>
      <c r="D37" s="129" t="str">
        <f>'2024 Legal Max'!AZ37</f>
        <v>A</v>
      </c>
      <c r="E37" s="241">
        <f>'2024 Legal Max'!AO37</f>
        <v>157078</v>
      </c>
      <c r="F37" s="136">
        <f>'2024 Legal Max'!AF37</f>
        <v>37.299999999999997</v>
      </c>
      <c r="G37" s="136">
        <f>'2024 Legal Max'!AI37</f>
        <v>3.3</v>
      </c>
      <c r="H37" s="243">
        <f>SUM(F37+G37)*'Weighting Factors'!$O$5</f>
        <v>206573</v>
      </c>
      <c r="I37" s="252">
        <f>'2024 Legal Max'!CR37-'2024 Legal Max'!T37-'2024 Legal Max'!AQ37</f>
        <v>435.7</v>
      </c>
      <c r="J37" s="136">
        <f>'2024 Legal Max'!AF37</f>
        <v>37.299999999999997</v>
      </c>
      <c r="K37" s="138">
        <f t="shared" si="1"/>
        <v>8.56</v>
      </c>
      <c r="L37" s="243">
        <f>(K37/100)*'2024 Legal Max'!BO37</f>
        <v>62132</v>
      </c>
      <c r="M37" s="129">
        <f>'2024 Legal Max'!AA37</f>
        <v>2.8</v>
      </c>
      <c r="N37" s="140">
        <f>IF('2024 Legal Max'!AA37=0,0,ROUND((M37/I37)*100,2))</f>
        <v>0.64</v>
      </c>
      <c r="O37" s="243">
        <f>(N37/100)*'2024 Legal Max'!BO37</f>
        <v>4645</v>
      </c>
    </row>
    <row r="38" spans="1:15">
      <c r="A38" s="134">
        <v>223</v>
      </c>
      <c r="B38" s="129" t="s">
        <v>19</v>
      </c>
      <c r="C38" s="129" t="s">
        <v>543</v>
      </c>
      <c r="D38" s="129" t="str">
        <f>'2024 Legal Max'!AZ38</f>
        <v>A</v>
      </c>
      <c r="E38" s="241">
        <f>'2024 Legal Max'!AO38</f>
        <v>420094</v>
      </c>
      <c r="F38" s="136">
        <f>'2024 Legal Max'!AF38</f>
        <v>53.2</v>
      </c>
      <c r="G38" s="136">
        <f>'2024 Legal Max'!AI38</f>
        <v>0</v>
      </c>
      <c r="H38" s="243">
        <f>SUM(F38+G38)*'Weighting Factors'!$O$5</f>
        <v>270682</v>
      </c>
      <c r="I38" s="252">
        <f>'2024 Legal Max'!CR38-'2024 Legal Max'!T38-'2024 Legal Max'!AQ38</f>
        <v>716</v>
      </c>
      <c r="J38" s="136">
        <f>'2024 Legal Max'!AF38</f>
        <v>53.2</v>
      </c>
      <c r="K38" s="138">
        <f t="shared" si="1"/>
        <v>7.43</v>
      </c>
      <c r="L38" s="243">
        <f>(K38/100)*'2024 Legal Max'!BO38</f>
        <v>92602</v>
      </c>
      <c r="M38" s="129">
        <f>'2024 Legal Max'!AA38</f>
        <v>4.8</v>
      </c>
      <c r="N38" s="140">
        <f>IF('2024 Legal Max'!AA38=0,0,ROUND((M38/I38)*100,2))</f>
        <v>0.67</v>
      </c>
      <c r="O38" s="243">
        <f>(N38/100)*'2024 Legal Max'!BO38</f>
        <v>8350</v>
      </c>
    </row>
    <row r="39" spans="1:15">
      <c r="A39" s="134">
        <v>224</v>
      </c>
      <c r="B39" s="129" t="s">
        <v>19</v>
      </c>
      <c r="C39" s="129" t="s">
        <v>544</v>
      </c>
      <c r="D39" s="129" t="str">
        <f>'2024 Legal Max'!AZ39</f>
        <v>A</v>
      </c>
      <c r="E39" s="241">
        <f>'2024 Legal Max'!AO39</f>
        <v>306632</v>
      </c>
      <c r="F39" s="136">
        <f>'2024 Legal Max'!AF39</f>
        <v>41.6</v>
      </c>
      <c r="G39" s="136">
        <f>'2024 Legal Max'!AI39</f>
        <v>0</v>
      </c>
      <c r="H39" s="243">
        <f>SUM(F39+G39)*'Weighting Factors'!$O$5</f>
        <v>211661</v>
      </c>
      <c r="I39" s="252">
        <f>'2024 Legal Max'!CR39-'2024 Legal Max'!T39-'2024 Legal Max'!AQ39</f>
        <v>594.1</v>
      </c>
      <c r="J39" s="136">
        <f>'2024 Legal Max'!AF39</f>
        <v>41.6</v>
      </c>
      <c r="K39" s="138">
        <f t="shared" si="1"/>
        <v>7</v>
      </c>
      <c r="L39" s="243">
        <f>(K39/100)*'2024 Legal Max'!BO39</f>
        <v>68530</v>
      </c>
      <c r="M39" s="129">
        <f>'2024 Legal Max'!AA39</f>
        <v>0.9</v>
      </c>
      <c r="N39" s="140">
        <f>IF('2024 Legal Max'!AA39=0,0,ROUND((M39/I39)*100,2))</f>
        <v>0.15</v>
      </c>
      <c r="O39" s="243">
        <f>(N39/100)*'2024 Legal Max'!BO39</f>
        <v>1469</v>
      </c>
    </row>
    <row r="40" spans="1:15">
      <c r="A40" s="134">
        <v>225</v>
      </c>
      <c r="B40" s="129" t="s">
        <v>20</v>
      </c>
      <c r="C40" s="129" t="s">
        <v>545</v>
      </c>
      <c r="D40" s="129" t="str">
        <f>'2024 Legal Max'!AZ40</f>
        <v>A</v>
      </c>
      <c r="E40" s="241">
        <f>'2024 Legal Max'!AO40</f>
        <v>94889</v>
      </c>
      <c r="F40" s="136">
        <f>'2024 Legal Max'!AF40</f>
        <v>16.899999999999999</v>
      </c>
      <c r="G40" s="136">
        <f>'2024 Legal Max'!AI40</f>
        <v>3.3</v>
      </c>
      <c r="H40" s="243">
        <f>SUM(F40+G40)*'Weighting Factors'!$O$5</f>
        <v>102778</v>
      </c>
      <c r="I40" s="252">
        <f>'2024 Legal Max'!CR40-'2024 Legal Max'!T40-'2024 Legal Max'!AQ40</f>
        <v>235.3</v>
      </c>
      <c r="J40" s="136">
        <f>'2024 Legal Max'!AF40</f>
        <v>16.899999999999999</v>
      </c>
      <c r="K40" s="138">
        <f t="shared" si="1"/>
        <v>7.18</v>
      </c>
      <c r="L40" s="243">
        <f>(K40/100)*'2024 Legal Max'!BO40</f>
        <v>30226</v>
      </c>
      <c r="M40" s="129">
        <f>'2024 Legal Max'!AA40</f>
        <v>1</v>
      </c>
      <c r="N40" s="140">
        <f>IF('2024 Legal Max'!AA40=0,0,ROUND((M40/I40)*100,2))</f>
        <v>0.42</v>
      </c>
      <c r="O40" s="243">
        <f>(N40/100)*'2024 Legal Max'!BO40</f>
        <v>1768</v>
      </c>
    </row>
    <row r="41" spans="1:15">
      <c r="A41" s="134">
        <v>226</v>
      </c>
      <c r="B41" s="129" t="s">
        <v>20</v>
      </c>
      <c r="C41" s="129" t="s">
        <v>546</v>
      </c>
      <c r="D41" s="129" t="str">
        <f>'2024 Legal Max'!AZ41</f>
        <v>A</v>
      </c>
      <c r="E41" s="241">
        <f>'2024 Legal Max'!AO41</f>
        <v>295683</v>
      </c>
      <c r="F41" s="136">
        <f>'2024 Legal Max'!AF41</f>
        <v>60</v>
      </c>
      <c r="G41" s="136">
        <f>'2024 Legal Max'!AI41</f>
        <v>1.9</v>
      </c>
      <c r="H41" s="243">
        <f>SUM(F41+G41)*'Weighting Factors'!$O$5</f>
        <v>314947</v>
      </c>
      <c r="I41" s="252">
        <f>'2024 Legal Max'!CR41-'2024 Legal Max'!T41-'2024 Legal Max'!AQ41</f>
        <v>671.3</v>
      </c>
      <c r="J41" s="136">
        <f>'2024 Legal Max'!AF41</f>
        <v>60</v>
      </c>
      <c r="K41" s="138">
        <f t="shared" si="1"/>
        <v>8.94</v>
      </c>
      <c r="L41" s="243">
        <f>(K41/100)*'2024 Legal Max'!BO41</f>
        <v>98196</v>
      </c>
      <c r="M41" s="129">
        <f>'2024 Legal Max'!AA41</f>
        <v>0.9</v>
      </c>
      <c r="N41" s="140">
        <f>IF('2024 Legal Max'!AA41=0,0,ROUND((M41/I41)*100,2))</f>
        <v>0.13</v>
      </c>
      <c r="O41" s="243">
        <f>(N41/100)*'2024 Legal Max'!BO41</f>
        <v>1428</v>
      </c>
    </row>
    <row r="42" spans="1:15">
      <c r="A42" s="134">
        <v>227</v>
      </c>
      <c r="B42" s="129" t="s">
        <v>21</v>
      </c>
      <c r="C42" s="129" t="s">
        <v>547</v>
      </c>
      <c r="D42" s="129" t="str">
        <f>'2024 Legal Max'!AZ42</f>
        <v>A</v>
      </c>
      <c r="E42" s="241">
        <f>'2024 Legal Max'!AO42</f>
        <v>232228</v>
      </c>
      <c r="F42" s="136">
        <f>'2024 Legal Max'!AF42</f>
        <v>36.799999999999997</v>
      </c>
      <c r="G42" s="136">
        <f>'2024 Legal Max'!AI42</f>
        <v>0</v>
      </c>
      <c r="H42" s="243">
        <f>SUM(F42+G42)*'Weighting Factors'!$O$5</f>
        <v>187238</v>
      </c>
      <c r="I42" s="252">
        <f>'2024 Legal Max'!CR42-'2024 Legal Max'!T42-'2024 Legal Max'!AQ42</f>
        <v>563</v>
      </c>
      <c r="J42" s="136">
        <f>'2024 Legal Max'!AF42</f>
        <v>36.799999999999997</v>
      </c>
      <c r="K42" s="138">
        <f t="shared" si="1"/>
        <v>6.54</v>
      </c>
      <c r="L42" s="243">
        <f>(K42/100)*'2024 Legal Max'!BO42</f>
        <v>61780</v>
      </c>
      <c r="M42" s="129">
        <f>'2024 Legal Max'!AA42</f>
        <v>0.6</v>
      </c>
      <c r="N42" s="140">
        <f>IF('2024 Legal Max'!AA42=0,0,ROUND((M42/I42)*100,2))</f>
        <v>0.11</v>
      </c>
      <c r="O42" s="243">
        <f>(N42/100)*'2024 Legal Max'!BO42</f>
        <v>1039</v>
      </c>
    </row>
    <row r="43" spans="1:15">
      <c r="A43" s="134">
        <v>229</v>
      </c>
      <c r="B43" s="129" t="s">
        <v>22</v>
      </c>
      <c r="C43" s="129" t="s">
        <v>548</v>
      </c>
      <c r="D43" s="129" t="str">
        <f>'2024 Legal Max'!AZ43</f>
        <v>A</v>
      </c>
      <c r="E43" s="241">
        <f>'2024 Legal Max'!AO43</f>
        <v>28149347</v>
      </c>
      <c r="F43" s="136">
        <f>'2024 Legal Max'!AF43</f>
        <v>955.9</v>
      </c>
      <c r="G43" s="136">
        <f>'2024 Legal Max'!AI43</f>
        <v>0</v>
      </c>
      <c r="H43" s="243">
        <f>SUM(F43+G43)*'Weighting Factors'!$O$5</f>
        <v>4863619</v>
      </c>
      <c r="I43" s="252">
        <f>'2024 Legal Max'!CR43-'2024 Legal Max'!T43-'2024 Legal Max'!AQ43</f>
        <v>33170.1</v>
      </c>
      <c r="J43" s="136">
        <f>'2024 Legal Max'!AF43</f>
        <v>955.9</v>
      </c>
      <c r="K43" s="138">
        <f t="shared" si="1"/>
        <v>2.88</v>
      </c>
      <c r="L43" s="243">
        <f>(K43/100)*'2024 Legal Max'!BO43</f>
        <v>1618942</v>
      </c>
      <c r="M43" s="129">
        <f>'2024 Legal Max'!AA43</f>
        <v>126.7</v>
      </c>
      <c r="N43" s="140">
        <f>IF('2024 Legal Max'!AA43=0,0,ROUND((M43/I43)*100,2))</f>
        <v>0.38</v>
      </c>
      <c r="O43" s="243">
        <f>(N43/100)*'2024 Legal Max'!BO43</f>
        <v>213610</v>
      </c>
    </row>
    <row r="44" spans="1:15">
      <c r="A44" s="134">
        <v>230</v>
      </c>
      <c r="B44" s="129" t="s">
        <v>22</v>
      </c>
      <c r="C44" s="129" t="s">
        <v>549</v>
      </c>
      <c r="D44" s="129" t="str">
        <f>'2024 Legal Max'!AZ44</f>
        <v>A</v>
      </c>
      <c r="E44" s="241">
        <f>'2024 Legal Max'!AO44</f>
        <v>4138323</v>
      </c>
      <c r="F44" s="136">
        <f>'2024 Legal Max'!AF44</f>
        <v>260.89999999999998</v>
      </c>
      <c r="G44" s="136">
        <f>'2024 Legal Max'!AI44</f>
        <v>0</v>
      </c>
      <c r="H44" s="243">
        <f>SUM(F44+G44)*'Weighting Factors'!$O$5</f>
        <v>1327459</v>
      </c>
      <c r="I44" s="252">
        <f>'2024 Legal Max'!CR44-'2024 Legal Max'!T44-'2024 Legal Max'!AQ44</f>
        <v>6068.5</v>
      </c>
      <c r="J44" s="136">
        <f>'2024 Legal Max'!AF44</f>
        <v>260.89999999999998</v>
      </c>
      <c r="K44" s="138">
        <f t="shared" si="1"/>
        <v>4.3</v>
      </c>
      <c r="L44" s="243">
        <f>(K44/100)*'2024 Legal Max'!BO44</f>
        <v>444716</v>
      </c>
      <c r="M44" s="129">
        <f>'2024 Legal Max'!AA44</f>
        <v>13.3</v>
      </c>
      <c r="N44" s="140">
        <f>IF('2024 Legal Max'!AA44=0,0,ROUND((M44/I44)*100,2))</f>
        <v>0.22</v>
      </c>
      <c r="O44" s="243">
        <f>(N44/100)*'2024 Legal Max'!BO44</f>
        <v>22753</v>
      </c>
    </row>
    <row r="45" spans="1:15">
      <c r="A45" s="134">
        <v>231</v>
      </c>
      <c r="B45" s="129" t="s">
        <v>22</v>
      </c>
      <c r="C45" s="129" t="s">
        <v>550</v>
      </c>
      <c r="D45" s="129" t="str">
        <f>'2024 Legal Max'!AZ45</f>
        <v>A</v>
      </c>
      <c r="E45" s="241">
        <f>'2024 Legal Max'!AO45</f>
        <v>8972779</v>
      </c>
      <c r="F45" s="136">
        <f>'2024 Legal Max'!AF45</f>
        <v>904.6</v>
      </c>
      <c r="G45" s="136">
        <f>'2024 Legal Max'!AI45</f>
        <v>34.799999999999997</v>
      </c>
      <c r="H45" s="243">
        <f>SUM(F45+G45)*'Weighting Factors'!$O$5</f>
        <v>4779667</v>
      </c>
      <c r="I45" s="252">
        <f>'2024 Legal Max'!CR45-'2024 Legal Max'!T45-'2024 Legal Max'!AQ45</f>
        <v>9301.2999999999993</v>
      </c>
      <c r="J45" s="136">
        <f>'2024 Legal Max'!AF45</f>
        <v>904.6</v>
      </c>
      <c r="K45" s="138">
        <f t="shared" si="1"/>
        <v>9.73</v>
      </c>
      <c r="L45" s="243">
        <f>(K45/100)*'2024 Legal Max'!BO45</f>
        <v>1539899</v>
      </c>
      <c r="M45" s="129">
        <f>'2024 Legal Max'!AA45</f>
        <v>30.7</v>
      </c>
      <c r="N45" s="140">
        <f>IF('2024 Legal Max'!AA45=0,0,ROUND((M45/I45)*100,2))</f>
        <v>0.33</v>
      </c>
      <c r="O45" s="243">
        <f>(N45/100)*'2024 Legal Max'!BO45</f>
        <v>52227</v>
      </c>
    </row>
    <row r="46" spans="1:15">
      <c r="A46" s="134">
        <v>232</v>
      </c>
      <c r="B46" s="129" t="s">
        <v>22</v>
      </c>
      <c r="C46" s="129" t="s">
        <v>551</v>
      </c>
      <c r="D46" s="129" t="str">
        <f>'2024 Legal Max'!AZ46</f>
        <v>A</v>
      </c>
      <c r="E46" s="241">
        <f>'2024 Legal Max'!AO46</f>
        <v>6810872</v>
      </c>
      <c r="F46" s="136">
        <f>'2024 Legal Max'!AF46</f>
        <v>445.3</v>
      </c>
      <c r="G46" s="136">
        <f>'2024 Legal Max'!AI46</f>
        <v>5.7</v>
      </c>
      <c r="H46" s="243">
        <f>SUM(F46+G46)*'Weighting Factors'!$O$5</f>
        <v>2294688</v>
      </c>
      <c r="I46" s="252">
        <f>'2024 Legal Max'!CR46-'2024 Legal Max'!T46-'2024 Legal Max'!AQ46</f>
        <v>10368.799999999999</v>
      </c>
      <c r="J46" s="136">
        <f>'2024 Legal Max'!AF46</f>
        <v>445.3</v>
      </c>
      <c r="K46" s="138">
        <f t="shared" si="1"/>
        <v>4.29</v>
      </c>
      <c r="L46" s="243">
        <f>(K46/100)*'2024 Legal Max'!BO46</f>
        <v>758160</v>
      </c>
      <c r="M46" s="129">
        <f>'2024 Legal Max'!AA46</f>
        <v>64.3</v>
      </c>
      <c r="N46" s="140">
        <f>IF('2024 Legal Max'!AA46=0,0,ROUND((M46/I46)*100,2))</f>
        <v>0.62</v>
      </c>
      <c r="O46" s="243">
        <f>(N46/100)*'2024 Legal Max'!BO46</f>
        <v>109571</v>
      </c>
    </row>
    <row r="47" spans="1:15">
      <c r="A47" s="134">
        <v>233</v>
      </c>
      <c r="B47" s="129" t="s">
        <v>22</v>
      </c>
      <c r="C47" s="129" t="s">
        <v>552</v>
      </c>
      <c r="D47" s="129" t="str">
        <f>'2024 Legal Max'!AZ47</f>
        <v>A</v>
      </c>
      <c r="E47" s="241">
        <f>'2024 Legal Max'!AO47</f>
        <v>35574214</v>
      </c>
      <c r="F47" s="136">
        <f>'2024 Legal Max'!AF47</f>
        <v>3427.2</v>
      </c>
      <c r="G47" s="136">
        <f>'2024 Legal Max'!AI47</f>
        <v>259.10000000000002</v>
      </c>
      <c r="H47" s="243">
        <f>SUM(F47+G47)*'Weighting Factors'!$O$5</f>
        <v>18755894</v>
      </c>
      <c r="I47" s="252">
        <f>'2024 Legal Max'!CR47-'2024 Legal Max'!T47-'2024 Legal Max'!AQ47</f>
        <v>45772.800000000003</v>
      </c>
      <c r="J47" s="136">
        <f>'2024 Legal Max'!AF47</f>
        <v>3427.2</v>
      </c>
      <c r="K47" s="138">
        <f t="shared" si="1"/>
        <v>7.49</v>
      </c>
      <c r="L47" s="243">
        <f>(K47/100)*'2024 Legal Max'!BO47</f>
        <v>5830628</v>
      </c>
      <c r="M47" s="129">
        <f>'2024 Legal Max'!AA47</f>
        <v>535.20000000000005</v>
      </c>
      <c r="N47" s="140">
        <f>IF('2024 Legal Max'!AA47=0,0,ROUND((M47/I47)*100,2))</f>
        <v>1.17</v>
      </c>
      <c r="O47" s="243">
        <f>(N47/100)*'2024 Legal Max'!BO47</f>
        <v>910792</v>
      </c>
    </row>
    <row r="48" spans="1:15">
      <c r="A48" s="134">
        <v>234</v>
      </c>
      <c r="B48" s="129" t="s">
        <v>23</v>
      </c>
      <c r="C48" s="129" t="s">
        <v>553</v>
      </c>
      <c r="D48" s="129" t="str">
        <f>'2024 Legal Max'!AZ48</f>
        <v>A</v>
      </c>
      <c r="E48" s="241">
        <f>'2024 Legal Max'!AO48</f>
        <v>2272832</v>
      </c>
      <c r="F48" s="136">
        <f>'2024 Legal Max'!AF48</f>
        <v>464.6</v>
      </c>
      <c r="G48" s="136">
        <f>'2024 Legal Max'!AI48</f>
        <v>100.8</v>
      </c>
      <c r="H48" s="243">
        <f>SUM(F48+G48)*'Weighting Factors'!$O$5</f>
        <v>2876755</v>
      </c>
      <c r="I48" s="252">
        <f>'2024 Legal Max'!CR48-'2024 Legal Max'!T48-'2024 Legal Max'!AQ48</f>
        <v>2968.1</v>
      </c>
      <c r="J48" s="136">
        <f>'2024 Legal Max'!AF48</f>
        <v>464.6</v>
      </c>
      <c r="K48" s="138">
        <f t="shared" si="1"/>
        <v>15.65</v>
      </c>
      <c r="L48" s="243">
        <f>(K48/100)*'2024 Legal Max'!BO48</f>
        <v>761181</v>
      </c>
      <c r="M48" s="129">
        <f>'2024 Legal Max'!AA48</f>
        <v>4.0999999999999996</v>
      </c>
      <c r="N48" s="140">
        <f>IF('2024 Legal Max'!AA48=0,0,ROUND((M48/I48)*100,2))</f>
        <v>0.14000000000000001</v>
      </c>
      <c r="O48" s="243">
        <f>(N48/100)*'2024 Legal Max'!BO48</f>
        <v>6809</v>
      </c>
    </row>
    <row r="49" spans="1:15">
      <c r="A49" s="134">
        <v>235</v>
      </c>
      <c r="B49" s="129" t="s">
        <v>23</v>
      </c>
      <c r="C49" s="129" t="s">
        <v>554</v>
      </c>
      <c r="D49" s="129" t="str">
        <f>'2024 Legal Max'!AZ49</f>
        <v>A</v>
      </c>
      <c r="E49" s="241">
        <f>'2024 Legal Max'!AO49</f>
        <v>517998</v>
      </c>
      <c r="F49" s="136">
        <f>'2024 Legal Max'!AF49</f>
        <v>128.69999999999999</v>
      </c>
      <c r="G49" s="136">
        <f>'2024 Legal Max'!AI49</f>
        <v>27.9</v>
      </c>
      <c r="H49" s="243">
        <f>SUM(F49+G49)*'Weighting Factors'!$O$5</f>
        <v>796781</v>
      </c>
      <c r="I49" s="252">
        <f>'2024 Legal Max'!CR49-'2024 Legal Max'!T49-'2024 Legal Max'!AQ49</f>
        <v>975.5</v>
      </c>
      <c r="J49" s="136">
        <f>'2024 Legal Max'!AF49</f>
        <v>128.69999999999999</v>
      </c>
      <c r="K49" s="138">
        <f t="shared" si="1"/>
        <v>13.19</v>
      </c>
      <c r="L49" s="243">
        <f>(K49/100)*'2024 Legal Max'!BO49</f>
        <v>210500</v>
      </c>
      <c r="M49" s="129">
        <f>'2024 Legal Max'!AA49</f>
        <v>0</v>
      </c>
      <c r="N49" s="140">
        <f>IF('2024 Legal Max'!AA49=0,0,ROUND((M49/I49)*100,2))</f>
        <v>0</v>
      </c>
      <c r="O49" s="243">
        <f>(N49/100)*'2024 Legal Max'!BO49</f>
        <v>0</v>
      </c>
    </row>
    <row r="50" spans="1:15">
      <c r="A50" s="134">
        <v>237</v>
      </c>
      <c r="B50" s="129" t="s">
        <v>24</v>
      </c>
      <c r="C50" s="129" t="s">
        <v>555</v>
      </c>
      <c r="D50" s="129" t="str">
        <f>'2024 Legal Max'!AZ50</f>
        <v>A</v>
      </c>
      <c r="E50" s="241">
        <f>'2024 Legal Max'!AO50</f>
        <v>553260</v>
      </c>
      <c r="F50" s="136">
        <f>'2024 Legal Max'!AF50</f>
        <v>85.2</v>
      </c>
      <c r="G50" s="136">
        <f>'2024 Legal Max'!AI50</f>
        <v>5.0999999999999996</v>
      </c>
      <c r="H50" s="243">
        <f>SUM(F50+G50)*'Weighting Factors'!$O$5</f>
        <v>459446</v>
      </c>
      <c r="I50" s="252">
        <f>'2024 Legal Max'!CR50-'2024 Legal Max'!T50-'2024 Legal Max'!AQ50</f>
        <v>880.2</v>
      </c>
      <c r="J50" s="136">
        <f>'2024 Legal Max'!AF50</f>
        <v>85.2</v>
      </c>
      <c r="K50" s="138">
        <f t="shared" si="1"/>
        <v>9.68</v>
      </c>
      <c r="L50" s="243">
        <f>(K50/100)*'2024 Legal Max'!BO50</f>
        <v>147651</v>
      </c>
      <c r="M50" s="129">
        <f>'2024 Legal Max'!AA50</f>
        <v>0.7</v>
      </c>
      <c r="N50" s="140">
        <f>IF('2024 Legal Max'!AA50=0,0,ROUND((M50/I50)*100,2))</f>
        <v>0.08</v>
      </c>
      <c r="O50" s="243">
        <f>(N50/100)*'2024 Legal Max'!BO50</f>
        <v>1220</v>
      </c>
    </row>
    <row r="51" spans="1:15">
      <c r="A51" s="134">
        <v>239</v>
      </c>
      <c r="B51" s="129" t="s">
        <v>25</v>
      </c>
      <c r="C51" s="129" t="s">
        <v>556</v>
      </c>
      <c r="D51" s="129" t="str">
        <f>'2024 Legal Max'!AZ51</f>
        <v>A</v>
      </c>
      <c r="E51" s="241">
        <f>'2024 Legal Max'!AO51</f>
        <v>733173</v>
      </c>
      <c r="F51" s="136">
        <f>'2024 Legal Max'!AF51</f>
        <v>128.69999999999999</v>
      </c>
      <c r="G51" s="136">
        <f>'2024 Legal Max'!AI51</f>
        <v>14.9</v>
      </c>
      <c r="H51" s="243">
        <f>SUM(F51+G51)*'Weighting Factors'!$O$5</f>
        <v>730637</v>
      </c>
      <c r="I51" s="252">
        <f>'2024 Legal Max'!CR51-'2024 Legal Max'!T51-'2024 Legal Max'!AQ51</f>
        <v>1213.4000000000001</v>
      </c>
      <c r="J51" s="136">
        <f>'2024 Legal Max'!AF51</f>
        <v>128.69999999999999</v>
      </c>
      <c r="K51" s="138">
        <f t="shared" si="1"/>
        <v>10.61</v>
      </c>
      <c r="L51" s="243">
        <f>(K51/100)*'2024 Legal Max'!BO51</f>
        <v>218783</v>
      </c>
      <c r="M51" s="129">
        <f>'2024 Legal Max'!AA51</f>
        <v>0</v>
      </c>
      <c r="N51" s="140">
        <f>IF('2024 Legal Max'!AA51=0,0,ROUND((M51/I51)*100,2))</f>
        <v>0</v>
      </c>
      <c r="O51" s="243">
        <f>(N51/100)*'2024 Legal Max'!BO51</f>
        <v>0</v>
      </c>
    </row>
    <row r="52" spans="1:15">
      <c r="A52" s="134">
        <v>240</v>
      </c>
      <c r="B52" s="129" t="s">
        <v>25</v>
      </c>
      <c r="C52" s="129" t="s">
        <v>557</v>
      </c>
      <c r="D52" s="129" t="str">
        <f>'2024 Legal Max'!AZ52</f>
        <v>A</v>
      </c>
      <c r="E52" s="241">
        <f>'2024 Legal Max'!AO52</f>
        <v>601453</v>
      </c>
      <c r="F52" s="136">
        <f>'2024 Legal Max'!AF52</f>
        <v>125.8</v>
      </c>
      <c r="G52" s="136">
        <f>'2024 Legal Max'!AI52</f>
        <v>13.5</v>
      </c>
      <c r="H52" s="243">
        <f>SUM(F52+G52)*'Weighting Factors'!$O$5</f>
        <v>708758</v>
      </c>
      <c r="I52" s="252">
        <f>'2024 Legal Max'!CR52-'2024 Legal Max'!T52-'2024 Legal Max'!AQ52</f>
        <v>1116.3</v>
      </c>
      <c r="J52" s="136">
        <f>'2024 Legal Max'!AF52</f>
        <v>125.8</v>
      </c>
      <c r="K52" s="138">
        <f t="shared" si="1"/>
        <v>11.27</v>
      </c>
      <c r="L52" s="243">
        <f>(K52/100)*'2024 Legal Max'!BO52</f>
        <v>217864</v>
      </c>
      <c r="M52" s="129">
        <f>'2024 Legal Max'!AA52</f>
        <v>0.2</v>
      </c>
      <c r="N52" s="140">
        <f>IF('2024 Legal Max'!AA52=0,0,ROUND((M52/I52)*100,2))</f>
        <v>0.02</v>
      </c>
      <c r="O52" s="243">
        <f>(N52/100)*'2024 Legal Max'!BO52</f>
        <v>387</v>
      </c>
    </row>
    <row r="53" spans="1:15">
      <c r="A53" s="134">
        <v>241</v>
      </c>
      <c r="B53" s="129" t="s">
        <v>26</v>
      </c>
      <c r="C53" s="129" t="s">
        <v>558</v>
      </c>
      <c r="D53" s="129" t="str">
        <f>'2024 Legal Max'!AZ53</f>
        <v>A</v>
      </c>
      <c r="E53" s="241">
        <f>'2024 Legal Max'!AO53</f>
        <v>110049</v>
      </c>
      <c r="F53" s="136">
        <f>'2024 Legal Max'!AF53</f>
        <v>25.7</v>
      </c>
      <c r="G53" s="136">
        <f>'2024 Legal Max'!AI53</f>
        <v>0.1</v>
      </c>
      <c r="H53" s="243">
        <f>SUM(F53+G53)*'Weighting Factors'!$O$5</f>
        <v>131270</v>
      </c>
      <c r="I53" s="252">
        <f>'2024 Legal Max'!CR53-'2024 Legal Max'!T53-'2024 Legal Max'!AQ53</f>
        <v>400.3</v>
      </c>
      <c r="J53" s="136">
        <f>'2024 Legal Max'!AF53</f>
        <v>25.7</v>
      </c>
      <c r="K53" s="138">
        <f t="shared" si="1"/>
        <v>6.42</v>
      </c>
      <c r="L53" s="243">
        <f>(K53/100)*'2024 Legal Max'!BO53</f>
        <v>39387</v>
      </c>
      <c r="M53" s="129">
        <f>'2024 Legal Max'!AA53</f>
        <v>0.7</v>
      </c>
      <c r="N53" s="140">
        <f>IF('2024 Legal Max'!AA53=0,0,ROUND((M53/I53)*100,2))</f>
        <v>0.17</v>
      </c>
      <c r="O53" s="243">
        <f>(N53/100)*'2024 Legal Max'!BO53</f>
        <v>1043</v>
      </c>
    </row>
    <row r="54" spans="1:15">
      <c r="A54" s="134">
        <v>242</v>
      </c>
      <c r="B54" s="129" t="s">
        <v>26</v>
      </c>
      <c r="C54" s="129" t="s">
        <v>559</v>
      </c>
      <c r="D54" s="129" t="str">
        <f>'2024 Legal Max'!AZ54</f>
        <v>A</v>
      </c>
      <c r="E54" s="241">
        <f>'2024 Legal Max'!AO54</f>
        <v>98037</v>
      </c>
      <c r="F54" s="136">
        <f>'2024 Legal Max'!AF54</f>
        <v>15</v>
      </c>
      <c r="G54" s="136">
        <f>'2024 Legal Max'!AI54</f>
        <v>0</v>
      </c>
      <c r="H54" s="243">
        <f>SUM(F54+G54)*'Weighting Factors'!$O$5</f>
        <v>76320</v>
      </c>
      <c r="I54" s="252">
        <f>'2024 Legal Max'!CR54-'2024 Legal Max'!T54-'2024 Legal Max'!AQ54</f>
        <v>258.60000000000002</v>
      </c>
      <c r="J54" s="136">
        <f>'2024 Legal Max'!AF54</f>
        <v>15</v>
      </c>
      <c r="K54" s="138">
        <f t="shared" si="1"/>
        <v>5.8</v>
      </c>
      <c r="L54" s="243">
        <f>(K54/100)*'2024 Legal Max'!BO54</f>
        <v>25505</v>
      </c>
      <c r="M54" s="129">
        <f>'2024 Legal Max'!AA54</f>
        <v>1.3</v>
      </c>
      <c r="N54" s="140">
        <f>IF('2024 Legal Max'!AA54=0,0,ROUND((M54/I54)*100,2))</f>
        <v>0.5</v>
      </c>
      <c r="O54" s="243">
        <f>(N54/100)*'2024 Legal Max'!BO54</f>
        <v>2199</v>
      </c>
    </row>
    <row r="55" spans="1:15">
      <c r="A55" s="134">
        <v>243</v>
      </c>
      <c r="B55" s="129" t="s">
        <v>27</v>
      </c>
      <c r="C55" s="129" t="s">
        <v>560</v>
      </c>
      <c r="D55" s="129" t="str">
        <f>'2024 Legal Max'!AZ55</f>
        <v>A</v>
      </c>
      <c r="E55" s="241">
        <f>'2024 Legal Max'!AO55</f>
        <v>698205</v>
      </c>
      <c r="F55" s="136">
        <f>'2024 Legal Max'!AF55</f>
        <v>85.2</v>
      </c>
      <c r="G55" s="136">
        <f>'2024 Legal Max'!AI55</f>
        <v>4.4000000000000004</v>
      </c>
      <c r="H55" s="243">
        <f>SUM(F55+G55)*'Weighting Factors'!$O$5</f>
        <v>455885</v>
      </c>
      <c r="I55" s="252">
        <f>'2024 Legal Max'!CR55-'2024 Legal Max'!T55-'2024 Legal Max'!AQ55</f>
        <v>899.5</v>
      </c>
      <c r="J55" s="136">
        <f>'2024 Legal Max'!AF55</f>
        <v>85.2</v>
      </c>
      <c r="K55" s="138">
        <f t="shared" si="1"/>
        <v>9.4700000000000006</v>
      </c>
      <c r="L55" s="243">
        <f>(K55/100)*'2024 Legal Max'!BO55</f>
        <v>140179</v>
      </c>
      <c r="M55" s="129">
        <f>'2024 Legal Max'!AA55</f>
        <v>0</v>
      </c>
      <c r="N55" s="140">
        <f>IF('2024 Legal Max'!AA55=0,0,ROUND((M55/I55)*100,2))</f>
        <v>0</v>
      </c>
      <c r="O55" s="243">
        <f>(N55/100)*'2024 Legal Max'!BO55</f>
        <v>0</v>
      </c>
    </row>
    <row r="56" spans="1:15">
      <c r="A56" s="134">
        <v>244</v>
      </c>
      <c r="B56" s="129" t="s">
        <v>27</v>
      </c>
      <c r="C56" s="129" t="s">
        <v>561</v>
      </c>
      <c r="D56" s="129" t="str">
        <f>'2024 Legal Max'!AZ56</f>
        <v>A</v>
      </c>
      <c r="E56" s="241">
        <f>'2024 Legal Max'!AO56</f>
        <v>1160730</v>
      </c>
      <c r="F56" s="136">
        <f>'2024 Legal Max'!AF56</f>
        <v>140.80000000000001</v>
      </c>
      <c r="G56" s="136">
        <f>'2024 Legal Max'!AI56</f>
        <v>5.8</v>
      </c>
      <c r="H56" s="243">
        <f>SUM(F56+G56)*'Weighting Factors'!$O$5</f>
        <v>745901</v>
      </c>
      <c r="I56" s="252">
        <f>'2024 Legal Max'!CR56-'2024 Legal Max'!T56-'2024 Legal Max'!AQ56</f>
        <v>1486.8</v>
      </c>
      <c r="J56" s="136">
        <f>'2024 Legal Max'!AF56</f>
        <v>140.80000000000001</v>
      </c>
      <c r="K56" s="138">
        <f t="shared" si="1"/>
        <v>9.4700000000000006</v>
      </c>
      <c r="L56" s="243">
        <f>(K56/100)*'2024 Legal Max'!BO56</f>
        <v>234511</v>
      </c>
      <c r="M56" s="129">
        <f>'2024 Legal Max'!AA56</f>
        <v>1.1000000000000001</v>
      </c>
      <c r="N56" s="140">
        <f>IF('2024 Legal Max'!AA56=0,0,ROUND((M56/I56)*100,2))</f>
        <v>7.0000000000000007E-2</v>
      </c>
      <c r="O56" s="243">
        <f>(N56/100)*'2024 Legal Max'!BO56</f>
        <v>1733</v>
      </c>
    </row>
    <row r="57" spans="1:15">
      <c r="A57" s="134">
        <v>245</v>
      </c>
      <c r="B57" s="129" t="s">
        <v>27</v>
      </c>
      <c r="C57" s="129" t="s">
        <v>562</v>
      </c>
      <c r="D57" s="129" t="str">
        <f>'2024 Legal Max'!AZ57</f>
        <v>A</v>
      </c>
      <c r="E57" s="241">
        <f>'2024 Legal Max'!AO57</f>
        <v>194358</v>
      </c>
      <c r="F57" s="136">
        <f>'2024 Legal Max'!AF57</f>
        <v>40.200000000000003</v>
      </c>
      <c r="G57" s="136">
        <f>'2024 Legal Max'!AI57</f>
        <v>8.6999999999999993</v>
      </c>
      <c r="H57" s="243">
        <f>SUM(F57+G57)*'Weighting Factors'!$O$5</f>
        <v>248803</v>
      </c>
      <c r="I57" s="252">
        <f>'2024 Legal Max'!CR57-'2024 Legal Max'!T57-'2024 Legal Max'!AQ57</f>
        <v>407.9</v>
      </c>
      <c r="J57" s="136">
        <f>'2024 Legal Max'!AF57</f>
        <v>40.200000000000003</v>
      </c>
      <c r="K57" s="138">
        <f t="shared" si="1"/>
        <v>9.86</v>
      </c>
      <c r="L57" s="243">
        <f>(K57/100)*'2024 Legal Max'!BO57</f>
        <v>69583</v>
      </c>
      <c r="M57" s="129">
        <f>'2024 Legal Max'!AA57</f>
        <v>0</v>
      </c>
      <c r="N57" s="140">
        <f>IF('2024 Legal Max'!AA57=0,0,ROUND((M57/I57)*100,2))</f>
        <v>0</v>
      </c>
      <c r="O57" s="243">
        <f>(N57/100)*'2024 Legal Max'!BO57</f>
        <v>0</v>
      </c>
    </row>
    <row r="58" spans="1:15">
      <c r="A58" s="134">
        <v>246</v>
      </c>
      <c r="B58" s="129" t="s">
        <v>28</v>
      </c>
      <c r="C58" s="129" t="s">
        <v>563</v>
      </c>
      <c r="D58" s="129" t="str">
        <f>'2024 Legal Max'!AZ58</f>
        <v>A</v>
      </c>
      <c r="E58" s="241">
        <f>'2024 Legal Max'!AO58</f>
        <v>556437</v>
      </c>
      <c r="F58" s="136">
        <f>'2024 Legal Max'!AF58</f>
        <v>143.69999999999999</v>
      </c>
      <c r="G58" s="136">
        <f>'2024 Legal Max'!AI58</f>
        <v>31.2</v>
      </c>
      <c r="H58" s="243">
        <f>SUM(F58+G58)*'Weighting Factors'!$O$5</f>
        <v>889891</v>
      </c>
      <c r="I58" s="252">
        <f>'2024 Legal Max'!CR58-'2024 Legal Max'!T58-'2024 Legal Max'!AQ58</f>
        <v>964.7</v>
      </c>
      <c r="J58" s="136">
        <f>'2024 Legal Max'!AF58</f>
        <v>143.69999999999999</v>
      </c>
      <c r="K58" s="138">
        <f t="shared" si="1"/>
        <v>14.9</v>
      </c>
      <c r="L58" s="243">
        <f>(K58/100)*'2024 Legal Max'!BO58</f>
        <v>231404</v>
      </c>
      <c r="M58" s="129">
        <f>'2024 Legal Max'!AA58</f>
        <v>0.2</v>
      </c>
      <c r="N58" s="140">
        <f>IF('2024 Legal Max'!AA58=0,0,ROUND((M58/I58)*100,2))</f>
        <v>0.02</v>
      </c>
      <c r="O58" s="243">
        <f>(N58/100)*'2024 Legal Max'!BO58</f>
        <v>311</v>
      </c>
    </row>
    <row r="59" spans="1:15">
      <c r="A59" s="134">
        <v>247</v>
      </c>
      <c r="B59" s="129" t="s">
        <v>28</v>
      </c>
      <c r="C59" s="129" t="s">
        <v>564</v>
      </c>
      <c r="D59" s="129" t="str">
        <f>'2024 Legal Max'!AZ59</f>
        <v>A</v>
      </c>
      <c r="E59" s="241">
        <f>'2024 Legal Max'!AO59</f>
        <v>467182</v>
      </c>
      <c r="F59" s="136">
        <f>'2024 Legal Max'!AF59</f>
        <v>145.69999999999999</v>
      </c>
      <c r="G59" s="136">
        <f>'2024 Legal Max'!AI59</f>
        <v>31.6</v>
      </c>
      <c r="H59" s="243">
        <f>SUM(F59+G59)*'Weighting Factors'!$O$5</f>
        <v>902102</v>
      </c>
      <c r="I59" s="252">
        <f>'2024 Legal Max'!CR59-'2024 Legal Max'!T59-'2024 Legal Max'!AQ59</f>
        <v>976.1</v>
      </c>
      <c r="J59" s="136">
        <f>'2024 Legal Max'!AF59</f>
        <v>145.69999999999999</v>
      </c>
      <c r="K59" s="138">
        <f t="shared" si="1"/>
        <v>14.93</v>
      </c>
      <c r="L59" s="243">
        <f>(K59/100)*'2024 Legal Max'!BO59</f>
        <v>258476</v>
      </c>
      <c r="M59" s="129">
        <f>'2024 Legal Max'!AA59</f>
        <v>0</v>
      </c>
      <c r="N59" s="140">
        <f>IF('2024 Legal Max'!AA59=0,0,ROUND((M59/I59)*100,2))</f>
        <v>0</v>
      </c>
      <c r="O59" s="243">
        <f>(N59/100)*'2024 Legal Max'!BO59</f>
        <v>0</v>
      </c>
    </row>
    <row r="60" spans="1:15">
      <c r="A60" s="134">
        <v>248</v>
      </c>
      <c r="B60" s="129" t="s">
        <v>28</v>
      </c>
      <c r="C60" s="129" t="s">
        <v>565</v>
      </c>
      <c r="D60" s="129" t="str">
        <f>'2024 Legal Max'!AZ60</f>
        <v>A</v>
      </c>
      <c r="E60" s="241">
        <f>'2024 Legal Max'!AO60</f>
        <v>1045744</v>
      </c>
      <c r="F60" s="136">
        <f>'2024 Legal Max'!AF60</f>
        <v>198.9</v>
      </c>
      <c r="G60" s="136">
        <f>'2024 Legal Max'!AI60</f>
        <v>22.1</v>
      </c>
      <c r="H60" s="243">
        <f>SUM(F60+G60)*'Weighting Factors'!$O$5</f>
        <v>1124448</v>
      </c>
      <c r="I60" s="252">
        <f>'2024 Legal Max'!CR60-'2024 Legal Max'!T60-'2024 Legal Max'!AQ60</f>
        <v>1736.9</v>
      </c>
      <c r="J60" s="136">
        <f>'2024 Legal Max'!AF60</f>
        <v>198.9</v>
      </c>
      <c r="K60" s="138">
        <f t="shared" si="1"/>
        <v>11.45</v>
      </c>
      <c r="L60" s="243">
        <f>(K60/100)*'2024 Legal Max'!BO60</f>
        <v>325877</v>
      </c>
      <c r="M60" s="129">
        <f>'2024 Legal Max'!AA60</f>
        <v>1.9</v>
      </c>
      <c r="N60" s="140">
        <f>IF('2024 Legal Max'!AA60=0,0,ROUND((M60/I60)*100,2))</f>
        <v>0.11</v>
      </c>
      <c r="O60" s="243">
        <f>(N60/100)*'2024 Legal Max'!BO60</f>
        <v>3131</v>
      </c>
    </row>
    <row r="61" spans="1:15">
      <c r="A61" s="134">
        <v>249</v>
      </c>
      <c r="B61" s="129" t="s">
        <v>28</v>
      </c>
      <c r="C61" s="129" t="s">
        <v>566</v>
      </c>
      <c r="D61" s="129" t="str">
        <f>'2024 Legal Max'!AZ61</f>
        <v>A</v>
      </c>
      <c r="E61" s="241">
        <f>'2024 Legal Max'!AO61</f>
        <v>928806</v>
      </c>
      <c r="F61" s="136">
        <f>'2024 Legal Max'!AF61</f>
        <v>160.19999999999999</v>
      </c>
      <c r="G61" s="136">
        <f>'2024 Legal Max'!AI61</f>
        <v>10.9</v>
      </c>
      <c r="H61" s="243">
        <f>SUM(F61+G61)*'Weighting Factors'!$O$5</f>
        <v>870557</v>
      </c>
      <c r="I61" s="252">
        <f>'2024 Legal Max'!CR61-'2024 Legal Max'!T61-'2024 Legal Max'!AQ61</f>
        <v>1568.8</v>
      </c>
      <c r="J61" s="136">
        <f>'2024 Legal Max'!AF61</f>
        <v>160.19999999999999</v>
      </c>
      <c r="K61" s="138">
        <f t="shared" si="1"/>
        <v>10.210000000000001</v>
      </c>
      <c r="L61" s="243">
        <f>(K61/100)*'2024 Legal Max'!BO61</f>
        <v>272739</v>
      </c>
      <c r="M61" s="129">
        <f>'2024 Legal Max'!AA61</f>
        <v>4.8</v>
      </c>
      <c r="N61" s="140">
        <f>IF('2024 Legal Max'!AA61=0,0,ROUND((M61/I61)*100,2))</f>
        <v>0.31</v>
      </c>
      <c r="O61" s="243">
        <f>(N61/100)*'2024 Legal Max'!BO61</f>
        <v>8281</v>
      </c>
    </row>
    <row r="62" spans="1:15">
      <c r="A62" s="134">
        <v>250</v>
      </c>
      <c r="B62" s="129" t="s">
        <v>28</v>
      </c>
      <c r="C62" s="129" t="s">
        <v>567</v>
      </c>
      <c r="D62" s="129" t="str">
        <f>'2024 Legal Max'!AZ62</f>
        <v>A</v>
      </c>
      <c r="E62" s="241">
        <f>'2024 Legal Max'!AO62</f>
        <v>3567903</v>
      </c>
      <c r="F62" s="136">
        <f>'2024 Legal Max'!AF62</f>
        <v>999</v>
      </c>
      <c r="G62" s="136">
        <f>'2024 Legal Max'!AI62</f>
        <v>216.7</v>
      </c>
      <c r="H62" s="243">
        <f>SUM(F62+G62)*'Weighting Factors'!$O$5</f>
        <v>6185482</v>
      </c>
      <c r="I62" s="252">
        <f>'2024 Legal Max'!CR62-'2024 Legal Max'!T62-'2024 Legal Max'!AQ62</f>
        <v>5396.3</v>
      </c>
      <c r="J62" s="136">
        <f>'2024 Legal Max'!AF62</f>
        <v>999</v>
      </c>
      <c r="K62" s="138">
        <f t="shared" si="1"/>
        <v>18.510000000000002</v>
      </c>
      <c r="L62" s="243">
        <f>(K62/100)*'2024 Legal Max'!BO62</f>
        <v>1642508</v>
      </c>
      <c r="M62" s="129">
        <f>'2024 Legal Max'!AA62</f>
        <v>90.9</v>
      </c>
      <c r="N62" s="140">
        <f>IF('2024 Legal Max'!AA62=0,0,ROUND((M62/I62)*100,2))</f>
        <v>1.68</v>
      </c>
      <c r="O62" s="243">
        <f>(N62/100)*'2024 Legal Max'!BO62</f>
        <v>149077</v>
      </c>
    </row>
    <row r="63" spans="1:15">
      <c r="A63" s="134">
        <v>251</v>
      </c>
      <c r="B63" s="129" t="s">
        <v>30</v>
      </c>
      <c r="C63" s="129" t="s">
        <v>568</v>
      </c>
      <c r="D63" s="129" t="str">
        <f>'2024 Legal Max'!AZ63</f>
        <v>A</v>
      </c>
      <c r="E63" s="241">
        <f>'2024 Legal Max'!AO63</f>
        <v>509068</v>
      </c>
      <c r="F63" s="136">
        <f>'2024 Legal Max'!AF63</f>
        <v>51.3</v>
      </c>
      <c r="G63" s="136">
        <f>'2024 Legal Max'!AI63</f>
        <v>0</v>
      </c>
      <c r="H63" s="243">
        <f>SUM(F63+G63)*'Weighting Factors'!$O$5</f>
        <v>261014</v>
      </c>
      <c r="I63" s="252">
        <f>'2024 Legal Max'!CR63-'2024 Legal Max'!T63-'2024 Legal Max'!AQ63</f>
        <v>691.7</v>
      </c>
      <c r="J63" s="136">
        <f>'2024 Legal Max'!AF63</f>
        <v>51.3</v>
      </c>
      <c r="K63" s="138">
        <f t="shared" si="1"/>
        <v>7.42</v>
      </c>
      <c r="L63" s="243">
        <f>(K63/100)*'2024 Legal Max'!BO63</f>
        <v>88004</v>
      </c>
      <c r="M63" s="129">
        <f>'2024 Legal Max'!AA63</f>
        <v>0.6</v>
      </c>
      <c r="N63" s="140">
        <f>IF('2024 Legal Max'!AA63=0,0,ROUND((M63/I63)*100,2))</f>
        <v>0.09</v>
      </c>
      <c r="O63" s="243">
        <f>(N63/100)*'2024 Legal Max'!BO63</f>
        <v>1067</v>
      </c>
    </row>
    <row r="64" spans="1:15">
      <c r="A64" s="134">
        <v>252</v>
      </c>
      <c r="B64" s="129" t="s">
        <v>30</v>
      </c>
      <c r="C64" s="129" t="s">
        <v>569</v>
      </c>
      <c r="D64" s="129" t="str">
        <f>'2024 Legal Max'!AZ64</f>
        <v>A</v>
      </c>
      <c r="E64" s="241">
        <f>'2024 Legal Max'!AO64</f>
        <v>559453</v>
      </c>
      <c r="F64" s="136">
        <f>'2024 Legal Max'!AF64</f>
        <v>80.8</v>
      </c>
      <c r="G64" s="136">
        <f>'2024 Legal Max'!AI64</f>
        <v>7.9</v>
      </c>
      <c r="H64" s="243">
        <f>SUM(F64+G64)*'Weighting Factors'!$O$5</f>
        <v>451306</v>
      </c>
      <c r="I64" s="252">
        <f>'2024 Legal Max'!CR64-'2024 Legal Max'!T64-'2024 Legal Max'!AQ64</f>
        <v>963.6</v>
      </c>
      <c r="J64" s="136">
        <f>'2024 Legal Max'!AF64</f>
        <v>80.8</v>
      </c>
      <c r="K64" s="138">
        <f t="shared" si="1"/>
        <v>8.39</v>
      </c>
      <c r="L64" s="243">
        <f>(K64/100)*'2024 Legal Max'!BO64</f>
        <v>139034</v>
      </c>
      <c r="M64" s="129">
        <f>'2024 Legal Max'!AA64</f>
        <v>0</v>
      </c>
      <c r="N64" s="140">
        <f>IF('2024 Legal Max'!AA64=0,0,ROUND((M64/I64)*100,2))</f>
        <v>0</v>
      </c>
      <c r="O64" s="243">
        <f>(N64/100)*'2024 Legal Max'!BO64</f>
        <v>0</v>
      </c>
    </row>
    <row r="65" spans="1:15">
      <c r="A65" s="134">
        <v>253</v>
      </c>
      <c r="B65" s="129" t="s">
        <v>30</v>
      </c>
      <c r="C65" s="129" t="s">
        <v>570</v>
      </c>
      <c r="D65" s="129" t="str">
        <f>'2024 Legal Max'!AZ65</f>
        <v>A</v>
      </c>
      <c r="E65" s="241">
        <f>'2024 Legal Max'!AO65</f>
        <v>4301221</v>
      </c>
      <c r="F65" s="136">
        <f>'2024 Legal Max'!AF65</f>
        <v>1042.0999999999999</v>
      </c>
      <c r="G65" s="136">
        <f>'2024 Legal Max'!AI65</f>
        <v>211.4</v>
      </c>
      <c r="H65" s="243">
        <f>SUM(F65+G65)*'Weighting Factors'!$O$5</f>
        <v>6377808</v>
      </c>
      <c r="I65" s="252">
        <f>'2024 Legal Max'!CR65-'2024 Legal Max'!T65-'2024 Legal Max'!AQ65</f>
        <v>6927.9</v>
      </c>
      <c r="J65" s="136">
        <f>'2024 Legal Max'!AF65</f>
        <v>1042.0999999999999</v>
      </c>
      <c r="K65" s="138">
        <f t="shared" si="1"/>
        <v>15.04</v>
      </c>
      <c r="L65" s="243">
        <f>(K65/100)*'2024 Legal Max'!BO65</f>
        <v>1704398</v>
      </c>
      <c r="M65" s="129">
        <f>'2024 Legal Max'!AA65</f>
        <v>206.1</v>
      </c>
      <c r="N65" s="140">
        <f>IF('2024 Legal Max'!AA65=0,0,ROUND((M65/I65)*100,2))</f>
        <v>2.97</v>
      </c>
      <c r="O65" s="243">
        <f>(N65/100)*'2024 Legal Max'!BO65</f>
        <v>336573</v>
      </c>
    </row>
    <row r="66" spans="1:15">
      <c r="A66" s="134">
        <v>254</v>
      </c>
      <c r="B66" s="129" t="s">
        <v>31</v>
      </c>
      <c r="C66" s="129" t="s">
        <v>571</v>
      </c>
      <c r="D66" s="129" t="str">
        <f>'2024 Legal Max'!AZ66</f>
        <v>A</v>
      </c>
      <c r="E66" s="241">
        <f>'2024 Legal Max'!AO66</f>
        <v>632953</v>
      </c>
      <c r="F66" s="136">
        <f>'2024 Legal Max'!AF66</f>
        <v>99.2</v>
      </c>
      <c r="G66" s="136">
        <f>'2024 Legal Max'!AI66</f>
        <v>14.3</v>
      </c>
      <c r="H66" s="243">
        <f>SUM(F66+G66)*'Weighting Factors'!$O$5</f>
        <v>577488</v>
      </c>
      <c r="I66" s="252">
        <f>'2024 Legal Max'!CR66-'2024 Legal Max'!T66-'2024 Legal Max'!AQ66</f>
        <v>933.6</v>
      </c>
      <c r="J66" s="136">
        <f>'2024 Legal Max'!AF66</f>
        <v>99.2</v>
      </c>
      <c r="K66" s="138">
        <f t="shared" si="1"/>
        <v>10.63</v>
      </c>
      <c r="L66" s="243">
        <f>(K66/100)*'2024 Legal Max'!BO66</f>
        <v>169975</v>
      </c>
      <c r="M66" s="129">
        <f>'2024 Legal Max'!AA66</f>
        <v>0.9</v>
      </c>
      <c r="N66" s="140">
        <f>IF('2024 Legal Max'!AA66=0,0,ROUND((M66/I66)*100,2))</f>
        <v>0.1</v>
      </c>
      <c r="O66" s="243">
        <f>(N66/100)*'2024 Legal Max'!BO66</f>
        <v>1599</v>
      </c>
    </row>
    <row r="67" spans="1:15">
      <c r="A67" s="134">
        <v>255</v>
      </c>
      <c r="B67" s="129" t="s">
        <v>31</v>
      </c>
      <c r="C67" s="129" t="s">
        <v>572</v>
      </c>
      <c r="D67" s="129" t="str">
        <f>'2024 Legal Max'!AZ67</f>
        <v>A</v>
      </c>
      <c r="E67" s="241">
        <f>'2024 Legal Max'!AO67</f>
        <v>269747</v>
      </c>
      <c r="F67" s="136">
        <f>'2024 Legal Max'!AF67</f>
        <v>54.7</v>
      </c>
      <c r="G67" s="136">
        <f>'2024 Legal Max'!AI67</f>
        <v>11.9</v>
      </c>
      <c r="H67" s="243">
        <f>SUM(F67+G67)*'Weighting Factors'!$O$5</f>
        <v>338861</v>
      </c>
      <c r="I67" s="252">
        <f>'2024 Legal Max'!CR67-'2024 Legal Max'!T67-'2024 Legal Max'!AQ67</f>
        <v>505.5</v>
      </c>
      <c r="J67" s="136">
        <f>'2024 Legal Max'!AF67</f>
        <v>54.7</v>
      </c>
      <c r="K67" s="138">
        <f t="shared" si="1"/>
        <v>10.82</v>
      </c>
      <c r="L67" s="243">
        <f>(K67/100)*'2024 Legal Max'!BO67</f>
        <v>89819</v>
      </c>
      <c r="M67" s="129">
        <f>'2024 Legal Max'!AA67</f>
        <v>0</v>
      </c>
      <c r="N67" s="140">
        <f>IF('2024 Legal Max'!AA67=0,0,ROUND((M67/I67)*100,2))</f>
        <v>0</v>
      </c>
      <c r="O67" s="243">
        <f>(N67/100)*'2024 Legal Max'!BO67</f>
        <v>0</v>
      </c>
    </row>
    <row r="68" spans="1:15">
      <c r="A68" s="134">
        <v>256</v>
      </c>
      <c r="B68" s="129" t="s">
        <v>32</v>
      </c>
      <c r="C68" s="129" t="s">
        <v>573</v>
      </c>
      <c r="D68" s="129" t="str">
        <f>'2024 Legal Max'!AZ68</f>
        <v>A</v>
      </c>
      <c r="E68" s="241">
        <f>'2024 Legal Max'!AO68</f>
        <v>274616</v>
      </c>
      <c r="F68" s="136">
        <f>'2024 Legal Max'!AF68</f>
        <v>60</v>
      </c>
      <c r="G68" s="136">
        <f>'2024 Legal Max'!AI68</f>
        <v>11.1</v>
      </c>
      <c r="H68" s="243">
        <f>SUM(F68+G68)*'Weighting Factors'!$O$5</f>
        <v>361757</v>
      </c>
      <c r="I68" s="252">
        <f>'2024 Legal Max'!CR68-'2024 Legal Max'!T68-'2024 Legal Max'!AQ68</f>
        <v>562.6</v>
      </c>
      <c r="J68" s="136">
        <f>'2024 Legal Max'!AF68</f>
        <v>60</v>
      </c>
      <c r="K68" s="138">
        <f t="shared" si="1"/>
        <v>10.66</v>
      </c>
      <c r="L68" s="243">
        <f>(K68/100)*'2024 Legal Max'!BO68</f>
        <v>98285</v>
      </c>
      <c r="M68" s="129">
        <f>'2024 Legal Max'!AA68</f>
        <v>0</v>
      </c>
      <c r="N68" s="140">
        <f>IF('2024 Legal Max'!AA68=0,0,ROUND((M68/I68)*100,2))</f>
        <v>0</v>
      </c>
      <c r="O68" s="243">
        <f>(N68/100)*'2024 Legal Max'!BO68</f>
        <v>0</v>
      </c>
    </row>
    <row r="69" spans="1:15">
      <c r="A69" s="134">
        <v>257</v>
      </c>
      <c r="B69" s="129" t="s">
        <v>32</v>
      </c>
      <c r="C69" s="129" t="s">
        <v>574</v>
      </c>
      <c r="D69" s="129" t="str">
        <f>'2024 Legal Max'!AZ69</f>
        <v>A</v>
      </c>
      <c r="E69" s="241">
        <f>'2024 Legal Max'!AO69</f>
        <v>1199478</v>
      </c>
      <c r="F69" s="136">
        <f>'2024 Legal Max'!AF69</f>
        <v>297.7</v>
      </c>
      <c r="G69" s="136">
        <f>'2024 Legal Max'!AI69</f>
        <v>64.599999999999994</v>
      </c>
      <c r="H69" s="243">
        <f>SUM(F69+G69)*'Weighting Factors'!$O$5</f>
        <v>1843382</v>
      </c>
      <c r="I69" s="252">
        <f>'2024 Legal Max'!CR69-'2024 Legal Max'!T69-'2024 Legal Max'!AQ69</f>
        <v>1973.9</v>
      </c>
      <c r="J69" s="136">
        <f>'2024 Legal Max'!AF69</f>
        <v>297.7</v>
      </c>
      <c r="K69" s="138">
        <f t="shared" si="1"/>
        <v>15.08</v>
      </c>
      <c r="L69" s="243">
        <f>(K69/100)*'2024 Legal Max'!BO69</f>
        <v>539561</v>
      </c>
      <c r="M69" s="129">
        <f>'2024 Legal Max'!AA69</f>
        <v>1.9</v>
      </c>
      <c r="N69" s="140">
        <f>IF('2024 Legal Max'!AA69=0,0,ROUND((M69/I69)*100,2))</f>
        <v>0.1</v>
      </c>
      <c r="O69" s="243">
        <f>(N69/100)*'2024 Legal Max'!BO69</f>
        <v>3578</v>
      </c>
    </row>
    <row r="70" spans="1:15">
      <c r="A70" s="134">
        <v>258</v>
      </c>
      <c r="B70" s="129" t="s">
        <v>32</v>
      </c>
      <c r="C70" s="129" t="s">
        <v>575</v>
      </c>
      <c r="D70" s="129" t="str">
        <f>'2024 Legal Max'!AZ70</f>
        <v>A</v>
      </c>
      <c r="E70" s="241">
        <f>'2024 Legal Max'!AO70</f>
        <v>912590</v>
      </c>
      <c r="F70" s="136">
        <f>'2024 Legal Max'!AF70</f>
        <v>130.69999999999999</v>
      </c>
      <c r="G70" s="136">
        <f>'2024 Legal Max'!AI70</f>
        <v>18.8</v>
      </c>
      <c r="H70" s="243">
        <f>SUM(F70+G70)*'Weighting Factors'!$O$5</f>
        <v>760656</v>
      </c>
      <c r="I70" s="252">
        <f>'2024 Legal Max'!CR70-'2024 Legal Max'!T70-'2024 Legal Max'!AQ70</f>
        <v>1239.7</v>
      </c>
      <c r="J70" s="136">
        <f>'2024 Legal Max'!AF70</f>
        <v>130.69999999999999</v>
      </c>
      <c r="K70" s="138">
        <f t="shared" ref="K70:K133" si="2">IF(J70=0,0,ROUND((J70/I70)*100,2))</f>
        <v>10.54</v>
      </c>
      <c r="L70" s="243">
        <f>(K70/100)*'2024 Legal Max'!BO70</f>
        <v>223311</v>
      </c>
      <c r="M70" s="129">
        <f>'2024 Legal Max'!AA70</f>
        <v>0</v>
      </c>
      <c r="N70" s="140">
        <f>IF('2024 Legal Max'!AA70=0,0,ROUND((M70/I70)*100,2))</f>
        <v>0</v>
      </c>
      <c r="O70" s="243">
        <f>(N70/100)*'2024 Legal Max'!BO70</f>
        <v>0</v>
      </c>
    </row>
    <row r="71" spans="1:15">
      <c r="A71" s="134">
        <v>259</v>
      </c>
      <c r="B71" s="129" t="s">
        <v>33</v>
      </c>
      <c r="C71" s="129" t="s">
        <v>576</v>
      </c>
      <c r="D71" s="129" t="str">
        <f>'2024 Legal Max'!AZ71</f>
        <v>A</v>
      </c>
      <c r="E71" s="241">
        <f>'2024 Legal Max'!AO71</f>
        <v>57478918</v>
      </c>
      <c r="F71" s="136">
        <f>'2024 Legal Max'!AF71</f>
        <v>15819.5</v>
      </c>
      <c r="G71" s="136">
        <f>'2024 Legal Max'!AI71</f>
        <v>3431.9</v>
      </c>
      <c r="H71" s="243">
        <f>SUM(F71+G71)*'Weighting Factors'!$O$5</f>
        <v>97951123</v>
      </c>
      <c r="I71" s="252">
        <f>'2024 Legal Max'!CR71-'2024 Legal Max'!T71-'2024 Legal Max'!AQ71</f>
        <v>80185.8</v>
      </c>
      <c r="J71" s="136">
        <f>'2024 Legal Max'!AF71</f>
        <v>15819.5</v>
      </c>
      <c r="K71" s="138">
        <f t="shared" si="2"/>
        <v>19.73</v>
      </c>
      <c r="L71" s="243">
        <f>(K71/100)*'2024 Legal Max'!BO71</f>
        <v>27163099</v>
      </c>
      <c r="M71" s="129">
        <f>'2024 Legal Max'!AA71</f>
        <v>1868.3</v>
      </c>
      <c r="N71" s="140">
        <f>IF('2024 Legal Max'!AA71=0,0,ROUND((M71/I71)*100,2))</f>
        <v>2.33</v>
      </c>
      <c r="O71" s="243">
        <f>(N71/100)*'2024 Legal Max'!BO71</f>
        <v>3207806</v>
      </c>
    </row>
    <row r="72" spans="1:15">
      <c r="A72" s="134">
        <v>260</v>
      </c>
      <c r="B72" s="129" t="s">
        <v>33</v>
      </c>
      <c r="C72" s="129" t="s">
        <v>577</v>
      </c>
      <c r="D72" s="129" t="str">
        <f>'2024 Legal Max'!AZ72</f>
        <v>A</v>
      </c>
      <c r="E72" s="241">
        <f>'2024 Legal Max'!AO72</f>
        <v>6780577</v>
      </c>
      <c r="F72" s="136">
        <f>'2024 Legal Max'!AF72</f>
        <v>1360</v>
      </c>
      <c r="G72" s="136">
        <f>'2024 Legal Max'!AI72</f>
        <v>107.6</v>
      </c>
      <c r="H72" s="243">
        <f>SUM(F72+G72)*'Weighting Factors'!$O$5</f>
        <v>7467149</v>
      </c>
      <c r="I72" s="252">
        <f>'2024 Legal Max'!CR72-'2024 Legal Max'!T72-'2024 Legal Max'!AQ72</f>
        <v>10295</v>
      </c>
      <c r="J72" s="136">
        <f>'2024 Legal Max'!AF72</f>
        <v>1360</v>
      </c>
      <c r="K72" s="138">
        <f t="shared" si="2"/>
        <v>13.21</v>
      </c>
      <c r="L72" s="243">
        <f>(K72/100)*'2024 Legal Max'!BO72</f>
        <v>2191931</v>
      </c>
      <c r="M72" s="129">
        <f>'2024 Legal Max'!AA72</f>
        <v>94.4</v>
      </c>
      <c r="N72" s="140">
        <f>IF('2024 Legal Max'!AA72=0,0,ROUND((M72/I72)*100,2))</f>
        <v>0.92</v>
      </c>
      <c r="O72" s="243">
        <f>(N72/100)*'2024 Legal Max'!BO72</f>
        <v>152655</v>
      </c>
    </row>
    <row r="73" spans="1:15">
      <c r="A73" s="134">
        <v>261</v>
      </c>
      <c r="B73" s="129" t="s">
        <v>33</v>
      </c>
      <c r="C73" s="129" t="s">
        <v>578</v>
      </c>
      <c r="D73" s="129" t="str">
        <f>'2024 Legal Max'!AZ73</f>
        <v>A</v>
      </c>
      <c r="E73" s="241">
        <f>'2024 Legal Max'!AO73</f>
        <v>6224015</v>
      </c>
      <c r="F73" s="136">
        <f>'2024 Legal Max'!AF73</f>
        <v>1345.5</v>
      </c>
      <c r="G73" s="136">
        <f>'2024 Legal Max'!AI73</f>
        <v>291.89999999999998</v>
      </c>
      <c r="H73" s="243">
        <f>SUM(F73+G73)*'Weighting Factors'!$O$5</f>
        <v>8331091</v>
      </c>
      <c r="I73" s="252">
        <f>'2024 Legal Max'!CR73-'2024 Legal Max'!T73-'2024 Legal Max'!AQ73</f>
        <v>8978.5</v>
      </c>
      <c r="J73" s="136">
        <f>'2024 Legal Max'!AF73</f>
        <v>1345.5</v>
      </c>
      <c r="K73" s="138">
        <f t="shared" si="2"/>
        <v>14.99</v>
      </c>
      <c r="L73" s="243">
        <f>(K73/100)*'2024 Legal Max'!BO73</f>
        <v>2309082</v>
      </c>
      <c r="M73" s="129">
        <f>'2024 Legal Max'!AA73</f>
        <v>51.6</v>
      </c>
      <c r="N73" s="140">
        <f>IF('2024 Legal Max'!AA73=0,0,ROUND((M73/I73)*100,2))</f>
        <v>0.56999999999999995</v>
      </c>
      <c r="O73" s="243">
        <f>(N73/100)*'2024 Legal Max'!BO73</f>
        <v>87804</v>
      </c>
    </row>
    <row r="74" spans="1:15">
      <c r="A74" s="134">
        <v>262</v>
      </c>
      <c r="B74" s="129" t="s">
        <v>33</v>
      </c>
      <c r="C74" s="129" t="s">
        <v>579</v>
      </c>
      <c r="D74" s="129" t="str">
        <f>'2024 Legal Max'!AZ74</f>
        <v>A</v>
      </c>
      <c r="E74" s="241">
        <f>'2024 Legal Max'!AO74</f>
        <v>3585665</v>
      </c>
      <c r="F74" s="136">
        <f>'2024 Legal Max'!AF74</f>
        <v>532.9</v>
      </c>
      <c r="G74" s="136">
        <f>'2024 Legal Max'!AI74</f>
        <v>15</v>
      </c>
      <c r="H74" s="243">
        <f>SUM(F74+G74)*'Weighting Factors'!$O$5</f>
        <v>2787715</v>
      </c>
      <c r="I74" s="252">
        <f>'2024 Legal Max'!CR74-'2024 Legal Max'!T74-'2024 Legal Max'!AQ74</f>
        <v>4714.1000000000004</v>
      </c>
      <c r="J74" s="136">
        <f>'2024 Legal Max'!AF74</f>
        <v>532.9</v>
      </c>
      <c r="K74" s="138">
        <f t="shared" si="2"/>
        <v>11.3</v>
      </c>
      <c r="L74" s="243">
        <f>(K74/100)*'2024 Legal Max'!BO74</f>
        <v>858088</v>
      </c>
      <c r="M74" s="129">
        <f>'2024 Legal Max'!AA74</f>
        <v>22.4</v>
      </c>
      <c r="N74" s="140">
        <f>IF('2024 Legal Max'!AA74=0,0,ROUND((M74/I74)*100,2))</f>
        <v>0.48</v>
      </c>
      <c r="O74" s="243">
        <f>(N74/100)*'2024 Legal Max'!BO74</f>
        <v>36450</v>
      </c>
    </row>
    <row r="75" spans="1:15">
      <c r="A75" s="134">
        <v>263</v>
      </c>
      <c r="B75" s="129" t="s">
        <v>33</v>
      </c>
      <c r="C75" s="129" t="s">
        <v>580</v>
      </c>
      <c r="D75" s="129" t="str">
        <f>'2024 Legal Max'!AZ75</f>
        <v>A</v>
      </c>
      <c r="E75" s="241">
        <f>'2024 Legal Max'!AO75</f>
        <v>1897303</v>
      </c>
      <c r="F75" s="136">
        <f>'2024 Legal Max'!AF75</f>
        <v>301.5</v>
      </c>
      <c r="G75" s="136">
        <f>'2024 Legal Max'!AI75</f>
        <v>6.1</v>
      </c>
      <c r="H75" s="243">
        <f>SUM(F75+G75)*'Weighting Factors'!$O$5</f>
        <v>1565069</v>
      </c>
      <c r="I75" s="252">
        <f>'2024 Legal Max'!CR75-'2024 Legal Max'!T75-'2024 Legal Max'!AQ75</f>
        <v>2599.1</v>
      </c>
      <c r="J75" s="136">
        <f>'2024 Legal Max'!AF75</f>
        <v>301.5</v>
      </c>
      <c r="K75" s="138">
        <f t="shared" si="2"/>
        <v>11.6</v>
      </c>
      <c r="L75" s="243">
        <f>(K75/100)*'2024 Legal Max'!BO75</f>
        <v>517223</v>
      </c>
      <c r="M75" s="129">
        <f>'2024 Legal Max'!AA75</f>
        <v>2.4</v>
      </c>
      <c r="N75" s="140">
        <f>IF('2024 Legal Max'!AA75=0,0,ROUND((M75/I75)*100,2))</f>
        <v>0.09</v>
      </c>
      <c r="O75" s="243">
        <f>(N75/100)*'2024 Legal Max'!BO75</f>
        <v>4013</v>
      </c>
    </row>
    <row r="76" spans="1:15">
      <c r="A76" s="134">
        <v>264</v>
      </c>
      <c r="B76" s="129" t="s">
        <v>33</v>
      </c>
      <c r="C76" s="129" t="s">
        <v>581</v>
      </c>
      <c r="D76" s="129" t="str">
        <f>'2024 Legal Max'!AZ76</f>
        <v>A</v>
      </c>
      <c r="E76" s="241">
        <f>'2024 Legal Max'!AO76</f>
        <v>1461919</v>
      </c>
      <c r="F76" s="136">
        <f>'2024 Legal Max'!AF76</f>
        <v>148.6</v>
      </c>
      <c r="G76" s="136">
        <f>'2024 Legal Max'!AI76</f>
        <v>0</v>
      </c>
      <c r="H76" s="243">
        <f>SUM(F76+G76)*'Weighting Factors'!$O$5</f>
        <v>756077</v>
      </c>
      <c r="I76" s="252">
        <f>'2024 Legal Max'!CR76-'2024 Legal Max'!T76-'2024 Legal Max'!AQ76</f>
        <v>1869.1</v>
      </c>
      <c r="J76" s="136">
        <f>'2024 Legal Max'!AF76</f>
        <v>148.6</v>
      </c>
      <c r="K76" s="138">
        <f t="shared" si="2"/>
        <v>7.95</v>
      </c>
      <c r="L76" s="243">
        <f>(K76/100)*'2024 Legal Max'!BO76</f>
        <v>242292</v>
      </c>
      <c r="M76" s="129">
        <f>'2024 Legal Max'!AA76</f>
        <v>0.9</v>
      </c>
      <c r="N76" s="140">
        <f>IF('2024 Legal Max'!AA76=0,0,ROUND((M76/I76)*100,2))</f>
        <v>0.05</v>
      </c>
      <c r="O76" s="243">
        <f>(N76/100)*'2024 Legal Max'!BO76</f>
        <v>1524</v>
      </c>
    </row>
    <row r="77" spans="1:15">
      <c r="A77" s="134">
        <v>265</v>
      </c>
      <c r="B77" s="129" t="s">
        <v>33</v>
      </c>
      <c r="C77" s="129" t="s">
        <v>582</v>
      </c>
      <c r="D77" s="129" t="str">
        <f>'2024 Legal Max'!AZ77</f>
        <v>A</v>
      </c>
      <c r="E77" s="241">
        <f>'2024 Legal Max'!AO77</f>
        <v>7386238</v>
      </c>
      <c r="F77" s="136">
        <f>'2024 Legal Max'!AF77</f>
        <v>723.1</v>
      </c>
      <c r="G77" s="136">
        <f>'2024 Legal Max'!AI77</f>
        <v>0</v>
      </c>
      <c r="H77" s="243">
        <f>SUM(F77+G77)*'Weighting Factors'!$O$5</f>
        <v>3679133</v>
      </c>
      <c r="I77" s="252">
        <f>'2024 Legal Max'!CR77-'2024 Legal Max'!T77-'2024 Legal Max'!AQ77</f>
        <v>9097.2000000000007</v>
      </c>
      <c r="J77" s="136">
        <f>'2024 Legal Max'!AF77</f>
        <v>723.1</v>
      </c>
      <c r="K77" s="138">
        <f t="shared" si="2"/>
        <v>7.95</v>
      </c>
      <c r="L77" s="243">
        <f>(K77/100)*'2024 Legal Max'!BO77</f>
        <v>1232360</v>
      </c>
      <c r="M77" s="129">
        <f>'2024 Legal Max'!AA77</f>
        <v>27.4</v>
      </c>
      <c r="N77" s="140">
        <f>IF('2024 Legal Max'!AA77=0,0,ROUND((M77/I77)*100,2))</f>
        <v>0.3</v>
      </c>
      <c r="O77" s="243">
        <f>(N77/100)*'2024 Legal Max'!BO77</f>
        <v>46504</v>
      </c>
    </row>
    <row r="78" spans="1:15">
      <c r="A78" s="134">
        <v>266</v>
      </c>
      <c r="B78" s="129" t="s">
        <v>33</v>
      </c>
      <c r="C78" s="129" t="s">
        <v>583</v>
      </c>
      <c r="D78" s="129" t="str">
        <f>'2024 Legal Max'!AZ78</f>
        <v>A</v>
      </c>
      <c r="E78" s="241">
        <f>'2024 Legal Max'!AO78</f>
        <v>9830382</v>
      </c>
      <c r="F78" s="136">
        <f>'2024 Legal Max'!AF78</f>
        <v>874.1</v>
      </c>
      <c r="G78" s="136">
        <f>'2024 Legal Max'!AI78</f>
        <v>0</v>
      </c>
      <c r="H78" s="243">
        <f>SUM(F78+G78)*'Weighting Factors'!$O$5</f>
        <v>4447421</v>
      </c>
      <c r="I78" s="252">
        <f>'2024 Legal Max'!CR78-'2024 Legal Max'!T78-'2024 Legal Max'!AQ78</f>
        <v>11401</v>
      </c>
      <c r="J78" s="136">
        <f>'2024 Legal Max'!AF78</f>
        <v>874.1</v>
      </c>
      <c r="K78" s="138">
        <f t="shared" si="2"/>
        <v>7.67</v>
      </c>
      <c r="L78" s="243">
        <f>(K78/100)*'2024 Legal Max'!BO78</f>
        <v>1491287</v>
      </c>
      <c r="M78" s="129">
        <f>'2024 Legal Max'!AA78</f>
        <v>43.3</v>
      </c>
      <c r="N78" s="140">
        <f>IF('2024 Legal Max'!AA78=0,0,ROUND((M78/I78)*100,2))</f>
        <v>0.38</v>
      </c>
      <c r="O78" s="243">
        <f>(N78/100)*'2024 Legal Max'!BO78</f>
        <v>73884</v>
      </c>
    </row>
    <row r="79" spans="1:15">
      <c r="A79" s="134">
        <v>267</v>
      </c>
      <c r="B79" s="129" t="s">
        <v>33</v>
      </c>
      <c r="C79" s="129" t="s">
        <v>584</v>
      </c>
      <c r="D79" s="129" t="str">
        <f>'2024 Legal Max'!AZ79</f>
        <v>A</v>
      </c>
      <c r="E79" s="241">
        <f>'2024 Legal Max'!AO79</f>
        <v>2389884</v>
      </c>
      <c r="F79" s="136">
        <f>'2024 Legal Max'!AF79</f>
        <v>116.6</v>
      </c>
      <c r="G79" s="136">
        <f>'2024 Legal Max'!AI79</f>
        <v>0</v>
      </c>
      <c r="H79" s="243">
        <f>SUM(F79+G79)*'Weighting Factors'!$O$5</f>
        <v>593261</v>
      </c>
      <c r="I79" s="252">
        <f>'2024 Legal Max'!CR79-'2024 Legal Max'!T79-'2024 Legal Max'!AQ79</f>
        <v>2697.6</v>
      </c>
      <c r="J79" s="136">
        <f>'2024 Legal Max'!AF79</f>
        <v>116.6</v>
      </c>
      <c r="K79" s="138">
        <f t="shared" si="2"/>
        <v>4.32</v>
      </c>
      <c r="L79" s="243">
        <f>(K79/100)*'2024 Legal Max'!BO79</f>
        <v>201312</v>
      </c>
      <c r="M79" s="129">
        <f>'2024 Legal Max'!AA79</f>
        <v>0</v>
      </c>
      <c r="N79" s="140">
        <f>IF('2024 Legal Max'!AA79=0,0,ROUND((M79/I79)*100,2))</f>
        <v>0</v>
      </c>
      <c r="O79" s="243">
        <f>(N79/100)*'2024 Legal Max'!BO79</f>
        <v>0</v>
      </c>
    </row>
    <row r="80" spans="1:15">
      <c r="A80" s="134">
        <v>268</v>
      </c>
      <c r="B80" s="129" t="s">
        <v>33</v>
      </c>
      <c r="C80" s="129" t="s">
        <v>585</v>
      </c>
      <c r="D80" s="129" t="str">
        <f>'2024 Legal Max'!AZ80</f>
        <v>A</v>
      </c>
      <c r="E80" s="241">
        <f>'2024 Legal Max'!AO80</f>
        <v>935085</v>
      </c>
      <c r="F80" s="136">
        <f>'2024 Legal Max'!AF80</f>
        <v>98.3</v>
      </c>
      <c r="G80" s="136">
        <f>'2024 Legal Max'!AI80</f>
        <v>0</v>
      </c>
      <c r="H80" s="243">
        <f>SUM(F80+G80)*'Weighting Factors'!$O$5</f>
        <v>500150</v>
      </c>
      <c r="I80" s="252">
        <f>'2024 Legal Max'!CR80-'2024 Legal Max'!T80-'2024 Legal Max'!AQ80</f>
        <v>1384</v>
      </c>
      <c r="J80" s="136">
        <f>'2024 Legal Max'!AF80</f>
        <v>98.3</v>
      </c>
      <c r="K80" s="138">
        <f t="shared" si="2"/>
        <v>7.1</v>
      </c>
      <c r="L80" s="243">
        <f>(K80/100)*'2024 Legal Max'!BO80</f>
        <v>168708</v>
      </c>
      <c r="M80" s="129">
        <f>'2024 Legal Max'!AA80</f>
        <v>0</v>
      </c>
      <c r="N80" s="140">
        <f>IF('2024 Legal Max'!AA80=0,0,ROUND((M80/I80)*100,2))</f>
        <v>0</v>
      </c>
      <c r="O80" s="243">
        <f>(N80/100)*'2024 Legal Max'!BO80</f>
        <v>0</v>
      </c>
    </row>
    <row r="81" spans="1:15">
      <c r="A81" s="134">
        <v>269</v>
      </c>
      <c r="B81" s="129" t="s">
        <v>35</v>
      </c>
      <c r="C81" s="129" t="s">
        <v>586</v>
      </c>
      <c r="D81" s="129" t="str">
        <f>'2024 Legal Max'!AZ81</f>
        <v>A</v>
      </c>
      <c r="E81" s="241">
        <f>'2024 Legal Max'!AO81</f>
        <v>105849</v>
      </c>
      <c r="F81" s="136">
        <f>'2024 Legal Max'!AF81</f>
        <v>14.5</v>
      </c>
      <c r="G81" s="136">
        <f>'2024 Legal Max'!AI81</f>
        <v>2.2999999999999998</v>
      </c>
      <c r="H81" s="243">
        <f>SUM(F81+G81)*'Weighting Factors'!$O$5</f>
        <v>85478</v>
      </c>
      <c r="I81" s="252">
        <f>'2024 Legal Max'!CR81-'2024 Legal Max'!T81-'2024 Legal Max'!AQ81</f>
        <v>224.9</v>
      </c>
      <c r="J81" s="136">
        <f>'2024 Legal Max'!AF81</f>
        <v>14.5</v>
      </c>
      <c r="K81" s="138">
        <f t="shared" si="2"/>
        <v>6.45</v>
      </c>
      <c r="L81" s="243">
        <f>(K81/100)*'2024 Legal Max'!BO81</f>
        <v>27335</v>
      </c>
      <c r="M81" s="129">
        <f>'2024 Legal Max'!AA81</f>
        <v>0</v>
      </c>
      <c r="N81" s="140">
        <f>IF('2024 Legal Max'!AA81=0,0,ROUND((M81/I81)*100,2))</f>
        <v>0</v>
      </c>
      <c r="O81" s="243">
        <f>(N81/100)*'2024 Legal Max'!BO81</f>
        <v>0</v>
      </c>
    </row>
    <row r="82" spans="1:15">
      <c r="A82" s="134">
        <v>270</v>
      </c>
      <c r="B82" s="129" t="s">
        <v>35</v>
      </c>
      <c r="C82" s="129" t="s">
        <v>587</v>
      </c>
      <c r="D82" s="129" t="str">
        <f>'2024 Legal Max'!AZ82</f>
        <v>A</v>
      </c>
      <c r="E82" s="241">
        <f>'2024 Legal Max'!AO82</f>
        <v>479881</v>
      </c>
      <c r="F82" s="136">
        <f>'2024 Legal Max'!AF82</f>
        <v>72.599999999999994</v>
      </c>
      <c r="G82" s="136">
        <f>'2024 Legal Max'!AI82</f>
        <v>3.5</v>
      </c>
      <c r="H82" s="243">
        <f>SUM(F82+G82)*'Weighting Factors'!$O$5</f>
        <v>387197</v>
      </c>
      <c r="I82" s="252">
        <f>'2024 Legal Max'!CR82-'2024 Legal Max'!T82-'2024 Legal Max'!AQ82</f>
        <v>750.9</v>
      </c>
      <c r="J82" s="136">
        <f>'2024 Legal Max'!AF82</f>
        <v>72.599999999999994</v>
      </c>
      <c r="K82" s="138">
        <f t="shared" si="2"/>
        <v>9.67</v>
      </c>
      <c r="L82" s="243">
        <f>(K82/100)*'2024 Legal Max'!BO82</f>
        <v>123911</v>
      </c>
      <c r="M82" s="129">
        <f>'2024 Legal Max'!AA82</f>
        <v>0</v>
      </c>
      <c r="N82" s="140">
        <f>IF('2024 Legal Max'!AA82=0,0,ROUND((M82/I82)*100,2))</f>
        <v>0</v>
      </c>
      <c r="O82" s="243">
        <f>(N82/100)*'2024 Legal Max'!BO82</f>
        <v>0</v>
      </c>
    </row>
    <row r="83" spans="1:15">
      <c r="A83" s="134">
        <v>271</v>
      </c>
      <c r="B83" s="129" t="s">
        <v>35</v>
      </c>
      <c r="C83" s="129" t="s">
        <v>588</v>
      </c>
      <c r="D83" s="129" t="str">
        <f>'2024 Legal Max'!AZ83</f>
        <v>A</v>
      </c>
      <c r="E83" s="241">
        <f>'2024 Legal Max'!AO83</f>
        <v>312027</v>
      </c>
      <c r="F83" s="136">
        <f>'2024 Legal Max'!AF83</f>
        <v>68.7</v>
      </c>
      <c r="G83" s="136">
        <f>'2024 Legal Max'!AI83</f>
        <v>14.2</v>
      </c>
      <c r="H83" s="243">
        <f>SUM(F83+G83)*'Weighting Factors'!$O$5</f>
        <v>421795</v>
      </c>
      <c r="I83" s="252">
        <f>'2024 Legal Max'!CR83-'2024 Legal Max'!T83-'2024 Legal Max'!AQ83</f>
        <v>623</v>
      </c>
      <c r="J83" s="136">
        <f>'2024 Legal Max'!AF83</f>
        <v>68.7</v>
      </c>
      <c r="K83" s="138">
        <f t="shared" si="2"/>
        <v>11.03</v>
      </c>
      <c r="L83" s="243">
        <f>(K83/100)*'2024 Legal Max'!BO83</f>
        <v>120515</v>
      </c>
      <c r="M83" s="129">
        <f>'2024 Legal Max'!AA83</f>
        <v>0.4</v>
      </c>
      <c r="N83" s="140">
        <f>IF('2024 Legal Max'!AA83=0,0,ROUND((M83/I83)*100,2))</f>
        <v>0.06</v>
      </c>
      <c r="O83" s="243">
        <f>(N83/100)*'2024 Legal Max'!BO83</f>
        <v>656</v>
      </c>
    </row>
    <row r="84" spans="1:15">
      <c r="A84" s="134">
        <v>272</v>
      </c>
      <c r="B84" s="129" t="s">
        <v>36</v>
      </c>
      <c r="C84" s="129" t="s">
        <v>589</v>
      </c>
      <c r="D84" s="129" t="str">
        <f>'2024 Legal Max'!AZ84</f>
        <v>A</v>
      </c>
      <c r="E84" s="241">
        <f>'2024 Legal Max'!AO84</f>
        <v>314812</v>
      </c>
      <c r="F84" s="136">
        <f>'2024 Legal Max'!AF84</f>
        <v>65.8</v>
      </c>
      <c r="G84" s="136">
        <f>'2024 Legal Max'!AI84</f>
        <v>11.7</v>
      </c>
      <c r="H84" s="243">
        <f>SUM(F84+G84)*'Weighting Factors'!$O$5</f>
        <v>394320</v>
      </c>
      <c r="I84" s="252">
        <f>'2024 Legal Max'!CR84-'2024 Legal Max'!T84-'2024 Legal Max'!AQ84</f>
        <v>633.4</v>
      </c>
      <c r="J84" s="136">
        <f>'2024 Legal Max'!AF84</f>
        <v>65.8</v>
      </c>
      <c r="K84" s="138">
        <f t="shared" si="2"/>
        <v>10.39</v>
      </c>
      <c r="L84" s="243">
        <f>(K84/100)*'2024 Legal Max'!BO84</f>
        <v>115734</v>
      </c>
      <c r="M84" s="129">
        <f>'2024 Legal Max'!AA84</f>
        <v>0</v>
      </c>
      <c r="N84" s="140">
        <f>IF('2024 Legal Max'!AA84=0,0,ROUND((M84/I84)*100,2))</f>
        <v>0</v>
      </c>
      <c r="O84" s="243">
        <f>(N84/100)*'2024 Legal Max'!BO84</f>
        <v>0</v>
      </c>
    </row>
    <row r="85" spans="1:15">
      <c r="A85" s="134">
        <v>273</v>
      </c>
      <c r="B85" s="129" t="s">
        <v>36</v>
      </c>
      <c r="C85" s="129" t="s">
        <v>590</v>
      </c>
      <c r="D85" s="129" t="str">
        <f>'2024 Legal Max'!AZ85</f>
        <v>A</v>
      </c>
      <c r="E85" s="241">
        <f>'2024 Legal Max'!AO85</f>
        <v>930232</v>
      </c>
      <c r="F85" s="136">
        <f>'2024 Legal Max'!AF85</f>
        <v>145.19999999999999</v>
      </c>
      <c r="G85" s="136">
        <f>'2024 Legal Max'!AI85</f>
        <v>0.7</v>
      </c>
      <c r="H85" s="243">
        <f>SUM(F85+G85)*'Weighting Factors'!$O$5</f>
        <v>742339</v>
      </c>
      <c r="I85" s="252">
        <f>'2024 Legal Max'!CR85-'2024 Legal Max'!T85-'2024 Legal Max'!AQ85</f>
        <v>1418.3</v>
      </c>
      <c r="J85" s="136">
        <f>'2024 Legal Max'!AF85</f>
        <v>145.19999999999999</v>
      </c>
      <c r="K85" s="138">
        <f t="shared" si="2"/>
        <v>10.24</v>
      </c>
      <c r="L85" s="243">
        <f>(K85/100)*'2024 Legal Max'!BO85</f>
        <v>252010</v>
      </c>
      <c r="M85" s="129">
        <f>'2024 Legal Max'!AA85</f>
        <v>2.4</v>
      </c>
      <c r="N85" s="140">
        <f>IF('2024 Legal Max'!AA85=0,0,ROUND((M85/I85)*100,2))</f>
        <v>0.17</v>
      </c>
      <c r="O85" s="243">
        <f>(N85/100)*'2024 Legal Max'!BO85</f>
        <v>4184</v>
      </c>
    </row>
    <row r="86" spans="1:15">
      <c r="A86" s="134">
        <v>274</v>
      </c>
      <c r="B86" s="129" t="s">
        <v>37</v>
      </c>
      <c r="C86" s="129" t="s">
        <v>591</v>
      </c>
      <c r="D86" s="129" t="str">
        <f>'2024 Legal Max'!AZ86</f>
        <v>A</v>
      </c>
      <c r="E86" s="241">
        <f>'2024 Legal Max'!AO86</f>
        <v>398364</v>
      </c>
      <c r="F86" s="136">
        <f>'2024 Legal Max'!AF86</f>
        <v>66.3</v>
      </c>
      <c r="G86" s="136">
        <f>'2024 Legal Max'!AI86</f>
        <v>0</v>
      </c>
      <c r="H86" s="243">
        <f>SUM(F86+G86)*'Weighting Factors'!$O$5</f>
        <v>337334</v>
      </c>
      <c r="I86" s="252">
        <f>'2024 Legal Max'!CR86-'2024 Legal Max'!T86-'2024 Legal Max'!AQ86</f>
        <v>794.9</v>
      </c>
      <c r="J86" s="136">
        <f>'2024 Legal Max'!AF86</f>
        <v>66.3</v>
      </c>
      <c r="K86" s="138">
        <f t="shared" si="2"/>
        <v>8.34</v>
      </c>
      <c r="L86" s="243">
        <f>(K86/100)*'2024 Legal Max'!BO86</f>
        <v>115713</v>
      </c>
      <c r="M86" s="129">
        <f>'2024 Legal Max'!AA86</f>
        <v>3.7</v>
      </c>
      <c r="N86" s="140">
        <f>IF('2024 Legal Max'!AA86=0,0,ROUND((M86/I86)*100,2))</f>
        <v>0.47</v>
      </c>
      <c r="O86" s="243">
        <f>(N86/100)*'2024 Legal Max'!BO86</f>
        <v>6521</v>
      </c>
    </row>
    <row r="87" spans="1:15">
      <c r="A87" s="134">
        <v>275</v>
      </c>
      <c r="B87" s="129" t="s">
        <v>37</v>
      </c>
      <c r="C87" s="129" t="s">
        <v>592</v>
      </c>
      <c r="D87" s="129" t="str">
        <f>'2024 Legal Max'!AZ87</f>
        <v>A</v>
      </c>
      <c r="E87" s="241">
        <f>'2024 Legal Max'!AO87</f>
        <v>89619</v>
      </c>
      <c r="F87" s="136">
        <f>'2024 Legal Max'!AF87</f>
        <v>15.5</v>
      </c>
      <c r="G87" s="136">
        <f>'2024 Legal Max'!AI87</f>
        <v>2.1</v>
      </c>
      <c r="H87" s="243">
        <f>SUM(F87+G87)*'Weighting Factors'!$O$5</f>
        <v>89549</v>
      </c>
      <c r="I87" s="252">
        <f>'2024 Legal Max'!CR87-'2024 Legal Max'!T87-'2024 Legal Max'!AQ87</f>
        <v>194.6</v>
      </c>
      <c r="J87" s="136">
        <f>'2024 Legal Max'!AF87</f>
        <v>15.5</v>
      </c>
      <c r="K87" s="138">
        <f t="shared" si="2"/>
        <v>7.97</v>
      </c>
      <c r="L87" s="243">
        <f>(K87/100)*'2024 Legal Max'!BO87</f>
        <v>27219</v>
      </c>
      <c r="M87" s="129">
        <f>'2024 Legal Max'!AA87</f>
        <v>0</v>
      </c>
      <c r="N87" s="140">
        <f>IF('2024 Legal Max'!AA87=0,0,ROUND((M87/I87)*100,2))</f>
        <v>0</v>
      </c>
      <c r="O87" s="243">
        <f>(N87/100)*'2024 Legal Max'!BO87</f>
        <v>0</v>
      </c>
    </row>
    <row r="88" spans="1:15">
      <c r="A88" s="134">
        <v>281</v>
      </c>
      <c r="B88" s="129" t="s">
        <v>38</v>
      </c>
      <c r="C88" s="129" t="s">
        <v>593</v>
      </c>
      <c r="D88" s="129" t="str">
        <f>'2024 Legal Max'!AZ88</f>
        <v>A</v>
      </c>
      <c r="E88" s="241">
        <f>'2024 Legal Max'!AO88</f>
        <v>451114</v>
      </c>
      <c r="F88" s="136">
        <f>'2024 Legal Max'!AF88</f>
        <v>70.7</v>
      </c>
      <c r="G88" s="136">
        <f>'2024 Legal Max'!AI88</f>
        <v>7.3</v>
      </c>
      <c r="H88" s="243">
        <f>SUM(F88+G88)*'Weighting Factors'!$O$5</f>
        <v>396864</v>
      </c>
      <c r="I88" s="252">
        <f>'2024 Legal Max'!CR88-'2024 Legal Max'!T88-'2024 Legal Max'!AQ88</f>
        <v>772.4</v>
      </c>
      <c r="J88" s="136">
        <f>'2024 Legal Max'!AF88</f>
        <v>70.7</v>
      </c>
      <c r="K88" s="138">
        <f t="shared" si="2"/>
        <v>9.15</v>
      </c>
      <c r="L88" s="243">
        <f>(K88/100)*'2024 Legal Max'!BO88</f>
        <v>113604</v>
      </c>
      <c r="M88" s="129">
        <f>'2024 Legal Max'!AA88</f>
        <v>0</v>
      </c>
      <c r="N88" s="140">
        <f>IF('2024 Legal Max'!AA88=0,0,ROUND((M88/I88)*100,2))</f>
        <v>0</v>
      </c>
      <c r="O88" s="243">
        <f>(N88/100)*'2024 Legal Max'!BO88</f>
        <v>0</v>
      </c>
    </row>
    <row r="89" spans="1:15">
      <c r="A89" s="134">
        <v>282</v>
      </c>
      <c r="B89" s="129" t="s">
        <v>39</v>
      </c>
      <c r="C89" s="129" t="s">
        <v>594</v>
      </c>
      <c r="D89" s="129" t="str">
        <f>'2024 Legal Max'!AZ89</f>
        <v>A</v>
      </c>
      <c r="E89" s="241">
        <f>'2024 Legal Max'!AO89</f>
        <v>733408</v>
      </c>
      <c r="F89" s="136">
        <f>'2024 Legal Max'!AF89</f>
        <v>86.2</v>
      </c>
      <c r="G89" s="136">
        <f>'2024 Legal Max'!AI89</f>
        <v>16.5</v>
      </c>
      <c r="H89" s="243">
        <f>SUM(F89+G89)*'Weighting Factors'!$O$5</f>
        <v>522538</v>
      </c>
      <c r="I89" s="252">
        <f>'2024 Legal Max'!CR89-'2024 Legal Max'!T89-'2024 Legal Max'!AQ89</f>
        <v>853</v>
      </c>
      <c r="J89" s="136">
        <f>'2024 Legal Max'!AF89</f>
        <v>86.2</v>
      </c>
      <c r="K89" s="138">
        <f t="shared" si="2"/>
        <v>10.11</v>
      </c>
      <c r="L89" s="243">
        <f>(K89/100)*'2024 Legal Max'!BO89</f>
        <v>140577</v>
      </c>
      <c r="M89" s="129">
        <f>'2024 Legal Max'!AA89</f>
        <v>0.6</v>
      </c>
      <c r="N89" s="140">
        <f>IF('2024 Legal Max'!AA89=0,0,ROUND((M89/I89)*100,2))</f>
        <v>7.0000000000000007E-2</v>
      </c>
      <c r="O89" s="243">
        <f>(N89/100)*'2024 Legal Max'!BO89</f>
        <v>973</v>
      </c>
    </row>
    <row r="90" spans="1:15">
      <c r="A90" s="134">
        <v>283</v>
      </c>
      <c r="B90" s="129" t="s">
        <v>39</v>
      </c>
      <c r="C90" s="129" t="s">
        <v>595</v>
      </c>
      <c r="D90" s="129" t="str">
        <f>'2024 Legal Max'!AZ90</f>
        <v>A</v>
      </c>
      <c r="E90" s="241">
        <f>'2024 Legal Max'!AO90</f>
        <v>367957</v>
      </c>
      <c r="F90" s="136">
        <f>'2024 Legal Max'!AF90</f>
        <v>45</v>
      </c>
      <c r="G90" s="136">
        <f>'2024 Legal Max'!AI90</f>
        <v>9.8000000000000007</v>
      </c>
      <c r="H90" s="243">
        <f>SUM(F90+G90)*'Weighting Factors'!$O$5</f>
        <v>278822</v>
      </c>
      <c r="I90" s="252">
        <f>'2024 Legal Max'!CR90-'2024 Legal Max'!T90-'2024 Legal Max'!AQ90</f>
        <v>334.8</v>
      </c>
      <c r="J90" s="136">
        <f>'2024 Legal Max'!AF90</f>
        <v>45</v>
      </c>
      <c r="K90" s="138">
        <f t="shared" si="2"/>
        <v>13.44</v>
      </c>
      <c r="L90" s="243">
        <f>(K90/100)*'2024 Legal Max'!BO90</f>
        <v>73569</v>
      </c>
      <c r="M90" s="129">
        <f>'2024 Legal Max'!AA90</f>
        <v>0</v>
      </c>
      <c r="N90" s="140">
        <f>IF('2024 Legal Max'!AA90=0,0,ROUND((M90/I90)*100,2))</f>
        <v>0</v>
      </c>
      <c r="O90" s="243">
        <f>(N90/100)*'2024 Legal Max'!BO90</f>
        <v>0</v>
      </c>
    </row>
    <row r="91" spans="1:15">
      <c r="A91" s="134">
        <v>284</v>
      </c>
      <c r="B91" s="129" t="s">
        <v>40</v>
      </c>
      <c r="C91" s="129" t="s">
        <v>596</v>
      </c>
      <c r="D91" s="129" t="str">
        <f>'2024 Legal Max'!AZ91</f>
        <v>A</v>
      </c>
      <c r="E91" s="241">
        <f>'2024 Legal Max'!AO91</f>
        <v>478522</v>
      </c>
      <c r="F91" s="136">
        <f>'2024 Legal Max'!AF91</f>
        <v>59</v>
      </c>
      <c r="G91" s="136">
        <f>'2024 Legal Max'!AI91</f>
        <v>0.1</v>
      </c>
      <c r="H91" s="243">
        <f>SUM(F91+G91)*'Weighting Factors'!$O$5</f>
        <v>300701</v>
      </c>
      <c r="I91" s="252">
        <f>'2024 Legal Max'!CR91-'2024 Legal Max'!T91-'2024 Legal Max'!AQ91</f>
        <v>732.7</v>
      </c>
      <c r="J91" s="136">
        <f>'2024 Legal Max'!AF91</f>
        <v>59</v>
      </c>
      <c r="K91" s="138">
        <f t="shared" si="2"/>
        <v>8.0500000000000007</v>
      </c>
      <c r="L91" s="243">
        <f>(K91/100)*'2024 Legal Max'!BO91</f>
        <v>96566</v>
      </c>
      <c r="M91" s="129">
        <f>'2024 Legal Max'!AA91</f>
        <v>0.4</v>
      </c>
      <c r="N91" s="140">
        <f>IF('2024 Legal Max'!AA91=0,0,ROUND((M91/I91)*100,2))</f>
        <v>0.05</v>
      </c>
      <c r="O91" s="243">
        <f>(N91/100)*'2024 Legal Max'!BO91</f>
        <v>600</v>
      </c>
    </row>
    <row r="92" spans="1:15">
      <c r="A92" s="134">
        <v>285</v>
      </c>
      <c r="B92" s="129" t="s">
        <v>41</v>
      </c>
      <c r="C92" s="129" t="s">
        <v>597</v>
      </c>
      <c r="D92" s="129" t="str">
        <f>'2024 Legal Max'!AZ92</f>
        <v>A</v>
      </c>
      <c r="E92" s="241">
        <f>'2024 Legal Max'!AO92</f>
        <v>167636</v>
      </c>
      <c r="F92" s="136">
        <f>'2024 Legal Max'!AF92</f>
        <v>31.9</v>
      </c>
      <c r="G92" s="136">
        <f>'2024 Legal Max'!AI92</f>
        <v>6.9</v>
      </c>
      <c r="H92" s="243">
        <f>SUM(F92+G92)*'Weighting Factors'!$O$5</f>
        <v>197414</v>
      </c>
      <c r="I92" s="252">
        <f>'2024 Legal Max'!CR92-'2024 Legal Max'!T92-'2024 Legal Max'!AQ92</f>
        <v>339.1</v>
      </c>
      <c r="J92" s="136">
        <f>'2024 Legal Max'!AF92</f>
        <v>31.9</v>
      </c>
      <c r="K92" s="138">
        <f t="shared" si="2"/>
        <v>9.41</v>
      </c>
      <c r="L92" s="243">
        <f>(K92/100)*'2024 Legal Max'!BO92</f>
        <v>45639</v>
      </c>
      <c r="M92" s="129">
        <f>'2024 Legal Max'!AA92</f>
        <v>0</v>
      </c>
      <c r="N92" s="140">
        <f>IF('2024 Legal Max'!AA92=0,0,ROUND((M92/I92)*100,2))</f>
        <v>0</v>
      </c>
      <c r="O92" s="243">
        <f>(N92/100)*'2024 Legal Max'!BO92</f>
        <v>0</v>
      </c>
    </row>
    <row r="93" spans="1:15">
      <c r="A93" s="134">
        <v>286</v>
      </c>
      <c r="B93" s="129" t="s">
        <v>41</v>
      </c>
      <c r="C93" s="129" t="s">
        <v>598</v>
      </c>
      <c r="D93" s="129" t="str">
        <f>'2024 Legal Max'!AZ93</f>
        <v>A</v>
      </c>
      <c r="E93" s="241">
        <f>'2024 Legal Max'!AO93</f>
        <v>692291</v>
      </c>
      <c r="F93" s="136">
        <f>'2024 Legal Max'!AF93</f>
        <v>107</v>
      </c>
      <c r="G93" s="136">
        <f>'2024 Legal Max'!AI93</f>
        <v>23.3</v>
      </c>
      <c r="H93" s="243">
        <f>SUM(F93+G93)*'Weighting Factors'!$O$5</f>
        <v>662966</v>
      </c>
      <c r="I93" s="252">
        <f>'2024 Legal Max'!CR93-'2024 Legal Max'!T93-'2024 Legal Max'!AQ93</f>
        <v>843.7</v>
      </c>
      <c r="J93" s="136">
        <f>'2024 Legal Max'!AF93</f>
        <v>107</v>
      </c>
      <c r="K93" s="138">
        <f t="shared" si="2"/>
        <v>12.68</v>
      </c>
      <c r="L93" s="243">
        <f>(K93/100)*'2024 Legal Max'!BO93</f>
        <v>167376</v>
      </c>
      <c r="M93" s="129">
        <f>'2024 Legal Max'!AA93</f>
        <v>1.1000000000000001</v>
      </c>
      <c r="N93" s="140">
        <f>IF('2024 Legal Max'!AA93=0,0,ROUND((M93/I93)*100,2))</f>
        <v>0.13</v>
      </c>
      <c r="O93" s="243">
        <f>(N93/100)*'2024 Legal Max'!BO93</f>
        <v>1716</v>
      </c>
    </row>
    <row r="94" spans="1:15">
      <c r="A94" s="134">
        <v>287</v>
      </c>
      <c r="B94" s="129" t="s">
        <v>42</v>
      </c>
      <c r="C94" s="129" t="s">
        <v>599</v>
      </c>
      <c r="D94" s="129" t="str">
        <f>'2024 Legal Max'!AZ94</f>
        <v>A</v>
      </c>
      <c r="E94" s="241">
        <f>'2024 Legal Max'!AO94</f>
        <v>848073</v>
      </c>
      <c r="F94" s="136">
        <f>'2024 Legal Max'!AF94</f>
        <v>118.1</v>
      </c>
      <c r="G94" s="136">
        <f>'2024 Legal Max'!AI94</f>
        <v>10.4</v>
      </c>
      <c r="H94" s="243">
        <f>SUM(F94+G94)*'Weighting Factors'!$O$5</f>
        <v>653808</v>
      </c>
      <c r="I94" s="252">
        <f>'2024 Legal Max'!CR94-'2024 Legal Max'!T94-'2024 Legal Max'!AQ94</f>
        <v>1248.7</v>
      </c>
      <c r="J94" s="136">
        <f>'2024 Legal Max'!AF94</f>
        <v>118.1</v>
      </c>
      <c r="K94" s="138">
        <f t="shared" si="2"/>
        <v>9.4600000000000009</v>
      </c>
      <c r="L94" s="243">
        <f>(K94/100)*'2024 Legal Max'!BO94</f>
        <v>195042</v>
      </c>
      <c r="M94" s="129">
        <f>'2024 Legal Max'!AA94</f>
        <v>0</v>
      </c>
      <c r="N94" s="140">
        <f>IF('2024 Legal Max'!AA94=0,0,ROUND((M94/I94)*100,2))</f>
        <v>0</v>
      </c>
      <c r="O94" s="243">
        <f>(N94/100)*'2024 Legal Max'!BO94</f>
        <v>0</v>
      </c>
    </row>
    <row r="95" spans="1:15">
      <c r="A95" s="134">
        <v>288</v>
      </c>
      <c r="B95" s="129" t="s">
        <v>42</v>
      </c>
      <c r="C95" s="129" t="s">
        <v>600</v>
      </c>
      <c r="D95" s="129" t="str">
        <f>'2024 Legal Max'!AZ95</f>
        <v>A</v>
      </c>
      <c r="E95" s="241">
        <f>'2024 Legal Max'!AO95</f>
        <v>518204</v>
      </c>
      <c r="F95" s="136">
        <f>'2024 Legal Max'!AF95</f>
        <v>124.4</v>
      </c>
      <c r="G95" s="136">
        <f>'2024 Legal Max'!AI95</f>
        <v>20.7</v>
      </c>
      <c r="H95" s="243">
        <f>SUM(F95+G95)*'Weighting Factors'!$O$5</f>
        <v>738269</v>
      </c>
      <c r="I95" s="252">
        <f>'2024 Legal Max'!CR95-'2024 Legal Max'!T95-'2024 Legal Max'!AQ95</f>
        <v>1068.9000000000001</v>
      </c>
      <c r="J95" s="136">
        <f>'2024 Legal Max'!AF95</f>
        <v>124.4</v>
      </c>
      <c r="K95" s="138">
        <f t="shared" si="2"/>
        <v>11.64</v>
      </c>
      <c r="L95" s="243">
        <f>(K95/100)*'2024 Legal Max'!BO95</f>
        <v>210358</v>
      </c>
      <c r="M95" s="129">
        <f>'2024 Legal Max'!AA95</f>
        <v>0.6</v>
      </c>
      <c r="N95" s="140">
        <f>IF('2024 Legal Max'!AA95=0,0,ROUND((M95/I95)*100,2))</f>
        <v>0.06</v>
      </c>
      <c r="O95" s="243">
        <f>(N95/100)*'2024 Legal Max'!BO95</f>
        <v>1084</v>
      </c>
    </row>
    <row r="96" spans="1:15">
      <c r="A96" s="134">
        <v>289</v>
      </c>
      <c r="B96" s="129" t="s">
        <v>42</v>
      </c>
      <c r="C96" s="129" t="s">
        <v>601</v>
      </c>
      <c r="D96" s="129" t="str">
        <f>'2024 Legal Max'!AZ96</f>
        <v>A</v>
      </c>
      <c r="E96" s="241">
        <f>'2024 Legal Max'!AO96</f>
        <v>1070491</v>
      </c>
      <c r="F96" s="136">
        <f>'2024 Legal Max'!AF96</f>
        <v>100.2</v>
      </c>
      <c r="G96" s="136">
        <f>'2024 Legal Max'!AI96</f>
        <v>0</v>
      </c>
      <c r="H96" s="243">
        <f>SUM(F96+G96)*'Weighting Factors'!$O$5</f>
        <v>509818</v>
      </c>
      <c r="I96" s="252">
        <f>'2024 Legal Max'!CR96-'2024 Legal Max'!T96-'2024 Legal Max'!AQ96</f>
        <v>1400.7</v>
      </c>
      <c r="J96" s="136">
        <f>'2024 Legal Max'!AF96</f>
        <v>100.2</v>
      </c>
      <c r="K96" s="138">
        <f t="shared" si="2"/>
        <v>7.15</v>
      </c>
      <c r="L96" s="243">
        <f>(K96/100)*'2024 Legal Max'!BO96</f>
        <v>164419</v>
      </c>
      <c r="M96" s="129">
        <f>'2024 Legal Max'!AA96</f>
        <v>0</v>
      </c>
      <c r="N96" s="140">
        <f>IF('2024 Legal Max'!AA96=0,0,ROUND((M96/I96)*100,2))</f>
        <v>0</v>
      </c>
      <c r="O96" s="243">
        <f>(N96/100)*'2024 Legal Max'!BO96</f>
        <v>0</v>
      </c>
    </row>
    <row r="97" spans="1:15">
      <c r="A97" s="134">
        <v>290</v>
      </c>
      <c r="B97" s="129" t="s">
        <v>42</v>
      </c>
      <c r="C97" s="129" t="s">
        <v>602</v>
      </c>
      <c r="D97" s="129" t="str">
        <f>'2024 Legal Max'!AZ97</f>
        <v>A</v>
      </c>
      <c r="E97" s="241">
        <f>'2024 Legal Max'!AO97</f>
        <v>2851003</v>
      </c>
      <c r="F97" s="136">
        <f>'2024 Legal Max'!AF97</f>
        <v>527.1</v>
      </c>
      <c r="G97" s="136">
        <f>'2024 Legal Max'!AI97</f>
        <v>108.2</v>
      </c>
      <c r="H97" s="243">
        <f>SUM(F97+G97)*'Weighting Factors'!$O$5</f>
        <v>3232406</v>
      </c>
      <c r="I97" s="252">
        <f>'2024 Legal Max'!CR97-'2024 Legal Max'!T97-'2024 Legal Max'!AQ97</f>
        <v>3623.1</v>
      </c>
      <c r="J97" s="136">
        <f>'2024 Legal Max'!AF97</f>
        <v>527.1</v>
      </c>
      <c r="K97" s="138">
        <f t="shared" si="2"/>
        <v>14.55</v>
      </c>
      <c r="L97" s="243">
        <f>(K97/100)*'2024 Legal Max'!BO97</f>
        <v>905087</v>
      </c>
      <c r="M97" s="129">
        <f>'2024 Legal Max'!AA97</f>
        <v>6.8</v>
      </c>
      <c r="N97" s="140">
        <f>IF('2024 Legal Max'!AA97=0,0,ROUND((M97/I97)*100,2))</f>
        <v>0.19</v>
      </c>
      <c r="O97" s="243">
        <f>(N97/100)*'2024 Legal Max'!BO97</f>
        <v>11819</v>
      </c>
    </row>
    <row r="98" spans="1:15">
      <c r="A98" s="134">
        <v>291</v>
      </c>
      <c r="B98" s="129" t="s">
        <v>43</v>
      </c>
      <c r="C98" s="129" t="s">
        <v>603</v>
      </c>
      <c r="D98" s="129" t="str">
        <f>'2024 Legal Max'!AZ98</f>
        <v>A</v>
      </c>
      <c r="E98" s="241">
        <f>'2024 Legal Max'!AO98</f>
        <v>74527</v>
      </c>
      <c r="F98" s="136">
        <f>'2024 Legal Max'!AF98</f>
        <v>13.1</v>
      </c>
      <c r="G98" s="136">
        <f>'2024 Legal Max'!AI98</f>
        <v>0.7</v>
      </c>
      <c r="H98" s="243">
        <f>SUM(F98+G98)*'Weighting Factors'!$O$5</f>
        <v>70214</v>
      </c>
      <c r="I98" s="252">
        <f>'2024 Legal Max'!CR98-'2024 Legal Max'!T98-'2024 Legal Max'!AQ98</f>
        <v>165.7</v>
      </c>
      <c r="J98" s="136">
        <f>'2024 Legal Max'!AF98</f>
        <v>13.1</v>
      </c>
      <c r="K98" s="138">
        <f t="shared" si="2"/>
        <v>7.91</v>
      </c>
      <c r="L98" s="243">
        <f>(K98/100)*'2024 Legal Max'!BO98</f>
        <v>21328</v>
      </c>
      <c r="M98" s="129">
        <f>'2024 Legal Max'!AA98</f>
        <v>0</v>
      </c>
      <c r="N98" s="140">
        <f>IF('2024 Legal Max'!AA98=0,0,ROUND((M98/I98)*100,2))</f>
        <v>0</v>
      </c>
      <c r="O98" s="243">
        <f>(N98/100)*'2024 Legal Max'!BO98</f>
        <v>0</v>
      </c>
    </row>
    <row r="99" spans="1:15">
      <c r="A99" s="134">
        <v>292</v>
      </c>
      <c r="B99" s="129" t="s">
        <v>43</v>
      </c>
      <c r="C99" s="129" t="s">
        <v>604</v>
      </c>
      <c r="D99" s="129" t="str">
        <f>'2024 Legal Max'!AZ99</f>
        <v>A</v>
      </c>
      <c r="E99" s="241">
        <f>'2024 Legal Max'!AO99</f>
        <v>93981</v>
      </c>
      <c r="F99" s="136">
        <f>'2024 Legal Max'!AF99</f>
        <v>26.6</v>
      </c>
      <c r="G99" s="136">
        <f>'2024 Legal Max'!AI99</f>
        <v>4.5999999999999996</v>
      </c>
      <c r="H99" s="243">
        <f>SUM(F99+G99)*'Weighting Factors'!$O$5</f>
        <v>158746</v>
      </c>
      <c r="I99" s="252">
        <f>'2024 Legal Max'!CR99-'2024 Legal Max'!T99-'2024 Legal Max'!AQ99</f>
        <v>290.7</v>
      </c>
      <c r="J99" s="136">
        <f>'2024 Legal Max'!AF99</f>
        <v>26.6</v>
      </c>
      <c r="K99" s="138">
        <f t="shared" si="2"/>
        <v>9.15</v>
      </c>
      <c r="L99" s="243">
        <f>(K99/100)*'2024 Legal Max'!BO99</f>
        <v>46223</v>
      </c>
      <c r="M99" s="129">
        <f>'2024 Legal Max'!AA99</f>
        <v>0.2</v>
      </c>
      <c r="N99" s="140">
        <f>IF('2024 Legal Max'!AA99=0,0,ROUND((M99/I99)*100,2))</f>
        <v>7.0000000000000007E-2</v>
      </c>
      <c r="O99" s="243">
        <f>(N99/100)*'2024 Legal Max'!BO99</f>
        <v>354</v>
      </c>
    </row>
    <row r="100" spans="1:15">
      <c r="A100" s="134">
        <v>293</v>
      </c>
      <c r="B100" s="129" t="s">
        <v>43</v>
      </c>
      <c r="C100" s="129" t="s">
        <v>605</v>
      </c>
      <c r="D100" s="129" t="str">
        <f>'2024 Legal Max'!AZ100</f>
        <v>A</v>
      </c>
      <c r="E100" s="241">
        <f>'2024 Legal Max'!AO100</f>
        <v>460656</v>
      </c>
      <c r="F100" s="136">
        <f>'2024 Legal Max'!AF100</f>
        <v>36.799999999999997</v>
      </c>
      <c r="G100" s="136">
        <f>'2024 Legal Max'!AI100</f>
        <v>0</v>
      </c>
      <c r="H100" s="243">
        <f>SUM(F100+G100)*'Weighting Factors'!$O$5</f>
        <v>187238</v>
      </c>
      <c r="I100" s="252">
        <f>'2024 Legal Max'!CR100-'2024 Legal Max'!T100-'2024 Legal Max'!AQ100</f>
        <v>621.79999999999995</v>
      </c>
      <c r="J100" s="136">
        <f>'2024 Legal Max'!AF100</f>
        <v>36.799999999999997</v>
      </c>
      <c r="K100" s="138">
        <f t="shared" si="2"/>
        <v>5.92</v>
      </c>
      <c r="L100" s="243">
        <f>(K100/100)*'2024 Legal Max'!BO100</f>
        <v>62940</v>
      </c>
      <c r="M100" s="129">
        <f>'2024 Legal Max'!AA100</f>
        <v>0.9</v>
      </c>
      <c r="N100" s="140">
        <f>IF('2024 Legal Max'!AA100=0,0,ROUND((M100/I100)*100,2))</f>
        <v>0.14000000000000001</v>
      </c>
      <c r="O100" s="243">
        <f>(N100/100)*'2024 Legal Max'!BO100</f>
        <v>1488</v>
      </c>
    </row>
    <row r="101" spans="1:15">
      <c r="A101" s="134">
        <v>294</v>
      </c>
      <c r="B101" s="129" t="s">
        <v>44</v>
      </c>
      <c r="C101" s="129" t="s">
        <v>606</v>
      </c>
      <c r="D101" s="129" t="str">
        <f>'2024 Legal Max'!AZ101</f>
        <v>A</v>
      </c>
      <c r="E101" s="241">
        <f>'2024 Legal Max'!AO101</f>
        <v>384404</v>
      </c>
      <c r="F101" s="136">
        <f>'2024 Legal Max'!AF101</f>
        <v>92.4</v>
      </c>
      <c r="G101" s="136">
        <f>'2024 Legal Max'!AI101</f>
        <v>18.5</v>
      </c>
      <c r="H101" s="243">
        <f>SUM(F101+G101)*'Weighting Factors'!$O$5</f>
        <v>564259</v>
      </c>
      <c r="I101" s="252">
        <f>'2024 Legal Max'!CR101-'2024 Legal Max'!T101-'2024 Legal Max'!AQ101</f>
        <v>772.5</v>
      </c>
      <c r="J101" s="136">
        <f>'2024 Legal Max'!AF101</f>
        <v>92.4</v>
      </c>
      <c r="K101" s="138">
        <f t="shared" si="2"/>
        <v>11.96</v>
      </c>
      <c r="L101" s="243">
        <f>(K101/100)*'2024 Legal Max'!BO101</f>
        <v>152038</v>
      </c>
      <c r="M101" s="129">
        <f>'2024 Legal Max'!AA101</f>
        <v>0</v>
      </c>
      <c r="N101" s="140">
        <f>IF('2024 Legal Max'!AA101=0,0,ROUND((M101/I101)*100,2))</f>
        <v>0</v>
      </c>
      <c r="O101" s="243">
        <f>(N101/100)*'2024 Legal Max'!BO101</f>
        <v>0</v>
      </c>
    </row>
    <row r="102" spans="1:15">
      <c r="A102" s="134">
        <v>297</v>
      </c>
      <c r="B102" s="129" t="s">
        <v>6</v>
      </c>
      <c r="C102" s="129" t="s">
        <v>607</v>
      </c>
      <c r="D102" s="129" t="str">
        <f>'2024 Legal Max'!AZ102</f>
        <v>A</v>
      </c>
      <c r="E102" s="241">
        <f>'2024 Legal Max'!AO102</f>
        <v>198450</v>
      </c>
      <c r="F102" s="136">
        <f>'2024 Legal Max'!AF102</f>
        <v>46</v>
      </c>
      <c r="G102" s="136">
        <f>'2024 Legal Max'!AI102</f>
        <v>0</v>
      </c>
      <c r="H102" s="243">
        <f>SUM(F102+G102)*'Weighting Factors'!$O$5</f>
        <v>234048</v>
      </c>
      <c r="I102" s="252">
        <f>'2024 Legal Max'!CR102-'2024 Legal Max'!T102-'2024 Legal Max'!AQ102</f>
        <v>563.9</v>
      </c>
      <c r="J102" s="136">
        <f>'2024 Legal Max'!AF102</f>
        <v>46</v>
      </c>
      <c r="K102" s="138">
        <f t="shared" si="2"/>
        <v>8.16</v>
      </c>
      <c r="L102" s="243">
        <f>(K102/100)*'2024 Legal Max'!BO102</f>
        <v>73825</v>
      </c>
      <c r="M102" s="129">
        <f>'2024 Legal Max'!AA102</f>
        <v>3.1</v>
      </c>
      <c r="N102" s="140">
        <f>IF('2024 Legal Max'!AA102=0,0,ROUND((M102/I102)*100,2))</f>
        <v>0.55000000000000004</v>
      </c>
      <c r="O102" s="243">
        <f>(N102/100)*'2024 Legal Max'!BO102</f>
        <v>4976</v>
      </c>
    </row>
    <row r="103" spans="1:15">
      <c r="A103" s="134">
        <v>298</v>
      </c>
      <c r="B103" s="129" t="s">
        <v>45</v>
      </c>
      <c r="C103" s="129" t="s">
        <v>608</v>
      </c>
      <c r="D103" s="129" t="str">
        <f>'2024 Legal Max'!AZ103</f>
        <v>A</v>
      </c>
      <c r="E103" s="241">
        <f>'2024 Legal Max'!AO103</f>
        <v>334181</v>
      </c>
      <c r="F103" s="136">
        <f>'2024 Legal Max'!AF103</f>
        <v>75</v>
      </c>
      <c r="G103" s="136">
        <f>'2024 Legal Max'!AI103</f>
        <v>11.8</v>
      </c>
      <c r="H103" s="243">
        <f>SUM(F103+G103)*'Weighting Factors'!$O$5</f>
        <v>441638</v>
      </c>
      <c r="I103" s="252">
        <f>'2024 Legal Max'!CR103-'2024 Legal Max'!T103-'2024 Legal Max'!AQ103</f>
        <v>658.2</v>
      </c>
      <c r="J103" s="136">
        <f>'2024 Legal Max'!AF103</f>
        <v>75</v>
      </c>
      <c r="K103" s="138">
        <f t="shared" si="2"/>
        <v>11.39</v>
      </c>
      <c r="L103" s="243">
        <f>(K103/100)*'2024 Legal Max'!BO103</f>
        <v>125646</v>
      </c>
      <c r="M103" s="129">
        <f>'2024 Legal Max'!AA103</f>
        <v>0.7</v>
      </c>
      <c r="N103" s="140">
        <f>IF('2024 Legal Max'!AA103=0,0,ROUND((M103/I103)*100,2))</f>
        <v>0.11</v>
      </c>
      <c r="O103" s="243">
        <f>(N103/100)*'2024 Legal Max'!BO103</f>
        <v>1213</v>
      </c>
    </row>
    <row r="104" spans="1:15">
      <c r="A104" s="134">
        <v>299</v>
      </c>
      <c r="B104" s="129" t="s">
        <v>45</v>
      </c>
      <c r="C104" s="129" t="s">
        <v>609</v>
      </c>
      <c r="D104" s="129" t="str">
        <f>'2024 Legal Max'!AZ104</f>
        <v>A</v>
      </c>
      <c r="E104" s="241">
        <f>'2024 Legal Max'!AO104</f>
        <v>253201</v>
      </c>
      <c r="F104" s="136">
        <f>'2024 Legal Max'!AF104</f>
        <v>55.2</v>
      </c>
      <c r="G104" s="136">
        <f>'2024 Legal Max'!AI104</f>
        <v>3.9</v>
      </c>
      <c r="H104" s="243">
        <f>SUM(F104+G104)*'Weighting Factors'!$O$5</f>
        <v>300701</v>
      </c>
      <c r="I104" s="252">
        <f>'2024 Legal Max'!CR104-'2024 Legal Max'!T104-'2024 Legal Max'!AQ104</f>
        <v>558.20000000000005</v>
      </c>
      <c r="J104" s="136">
        <f>'2024 Legal Max'!AF104</f>
        <v>55.2</v>
      </c>
      <c r="K104" s="138">
        <f t="shared" si="2"/>
        <v>9.89</v>
      </c>
      <c r="L104" s="243">
        <f>(K104/100)*'2024 Legal Max'!BO104</f>
        <v>68142</v>
      </c>
      <c r="M104" s="129">
        <f>'2024 Legal Max'!AA104</f>
        <v>0.6</v>
      </c>
      <c r="N104" s="140">
        <f>IF('2024 Legal Max'!AA104=0,0,ROUND((M104/I104)*100,2))</f>
        <v>0.11</v>
      </c>
      <c r="O104" s="243">
        <f>(N104/100)*'2024 Legal Max'!BO104</f>
        <v>758</v>
      </c>
    </row>
    <row r="105" spans="1:15">
      <c r="A105" s="134">
        <v>300</v>
      </c>
      <c r="B105" s="129" t="s">
        <v>46</v>
      </c>
      <c r="C105" s="129" t="s">
        <v>610</v>
      </c>
      <c r="D105" s="129" t="str">
        <f>'2024 Legal Max'!AZ105</f>
        <v>A</v>
      </c>
      <c r="E105" s="241">
        <f>'2024 Legal Max'!AO105</f>
        <v>421374</v>
      </c>
      <c r="F105" s="136">
        <f>'2024 Legal Max'!AF105</f>
        <v>60.5</v>
      </c>
      <c r="G105" s="136">
        <f>'2024 Legal Max'!AI105</f>
        <v>6.9</v>
      </c>
      <c r="H105" s="243">
        <f>SUM(F105+G105)*'Weighting Factors'!$O$5</f>
        <v>342931</v>
      </c>
      <c r="I105" s="252">
        <f>'2024 Legal Max'!CR105-'2024 Legal Max'!T105-'2024 Legal Max'!AQ105</f>
        <v>672.3</v>
      </c>
      <c r="J105" s="136">
        <f>'2024 Legal Max'!AF105</f>
        <v>60.5</v>
      </c>
      <c r="K105" s="138">
        <f t="shared" si="2"/>
        <v>9</v>
      </c>
      <c r="L105" s="243">
        <f>(K105/100)*'2024 Legal Max'!BO105</f>
        <v>96950</v>
      </c>
      <c r="M105" s="129">
        <f>'2024 Legal Max'!AA105</f>
        <v>0</v>
      </c>
      <c r="N105" s="140">
        <f>IF('2024 Legal Max'!AA105=0,0,ROUND((M105/I105)*100,2))</f>
        <v>0</v>
      </c>
      <c r="O105" s="243">
        <f>(N105/100)*'2024 Legal Max'!BO105</f>
        <v>0</v>
      </c>
    </row>
    <row r="106" spans="1:15">
      <c r="A106" s="134">
        <v>303</v>
      </c>
      <c r="B106" s="129" t="s">
        <v>47</v>
      </c>
      <c r="C106" s="129" t="s">
        <v>611</v>
      </c>
      <c r="D106" s="129" t="str">
        <f>'2024 Legal Max'!AZ106</f>
        <v>A</v>
      </c>
      <c r="E106" s="241">
        <f>'2024 Legal Max'!AO106</f>
        <v>221166</v>
      </c>
      <c r="F106" s="136">
        <f>'2024 Legal Max'!AF106</f>
        <v>41.6</v>
      </c>
      <c r="G106" s="136">
        <f>'2024 Legal Max'!AI106</f>
        <v>1.1000000000000001</v>
      </c>
      <c r="H106" s="243">
        <f>SUM(F106+G106)*'Weighting Factors'!$O$5</f>
        <v>217258</v>
      </c>
      <c r="I106" s="252">
        <f>'2024 Legal Max'!CR106-'2024 Legal Max'!T106-'2024 Legal Max'!AQ106</f>
        <v>526.5</v>
      </c>
      <c r="J106" s="136">
        <f>'2024 Legal Max'!AF106</f>
        <v>41.6</v>
      </c>
      <c r="K106" s="138">
        <f t="shared" si="2"/>
        <v>7.9</v>
      </c>
      <c r="L106" s="243">
        <f>(K106/100)*'2024 Legal Max'!BO106</f>
        <v>69667</v>
      </c>
      <c r="M106" s="129">
        <f>'2024 Legal Max'!AA106</f>
        <v>5.4</v>
      </c>
      <c r="N106" s="140">
        <f>IF('2024 Legal Max'!AA106=0,0,ROUND((M106/I106)*100,2))</f>
        <v>1.03</v>
      </c>
      <c r="O106" s="243">
        <f>(N106/100)*'2024 Legal Max'!BO106</f>
        <v>9083</v>
      </c>
    </row>
    <row r="107" spans="1:15">
      <c r="A107" s="134">
        <v>305</v>
      </c>
      <c r="B107" s="129" t="s">
        <v>48</v>
      </c>
      <c r="C107" s="129" t="s">
        <v>612</v>
      </c>
      <c r="D107" s="129" t="str">
        <f>'2024 Legal Max'!AZ107</f>
        <v>A</v>
      </c>
      <c r="E107" s="241">
        <f>'2024 Legal Max'!AO107</f>
        <v>8046984</v>
      </c>
      <c r="F107" s="136">
        <f>'2024 Legal Max'!AF107</f>
        <v>1672.7</v>
      </c>
      <c r="G107" s="136">
        <f>'2024 Legal Max'!AI107</f>
        <v>362.9</v>
      </c>
      <c r="H107" s="243">
        <f>SUM(F107+G107)*'Weighting Factors'!$O$5</f>
        <v>10357133</v>
      </c>
      <c r="I107" s="252">
        <f>'2024 Legal Max'!CR107-'2024 Legal Max'!T107-'2024 Legal Max'!AQ107</f>
        <v>10784.8</v>
      </c>
      <c r="J107" s="136">
        <f>'2024 Legal Max'!AF107</f>
        <v>1672.7</v>
      </c>
      <c r="K107" s="138">
        <f t="shared" si="2"/>
        <v>15.51</v>
      </c>
      <c r="L107" s="243">
        <f>(K107/100)*'2024 Legal Max'!BO107</f>
        <v>2859879</v>
      </c>
      <c r="M107" s="129">
        <f>'2024 Legal Max'!AA107</f>
        <v>103.4</v>
      </c>
      <c r="N107" s="140">
        <f>IF('2024 Legal Max'!AA107=0,0,ROUND((M107/I107)*100,2))</f>
        <v>0.96</v>
      </c>
      <c r="O107" s="243">
        <f>(N107/100)*'2024 Legal Max'!BO107</f>
        <v>177014</v>
      </c>
    </row>
    <row r="108" spans="1:15">
      <c r="A108" s="134">
        <v>306</v>
      </c>
      <c r="B108" s="129" t="s">
        <v>48</v>
      </c>
      <c r="C108" s="129" t="s">
        <v>613</v>
      </c>
      <c r="D108" s="129" t="str">
        <f>'2024 Legal Max'!AZ108</f>
        <v>A</v>
      </c>
      <c r="E108" s="241">
        <f>'2024 Legal Max'!AO108</f>
        <v>700554</v>
      </c>
      <c r="F108" s="136">
        <f>'2024 Legal Max'!AF108</f>
        <v>74.099999999999994</v>
      </c>
      <c r="G108" s="136">
        <f>'2024 Legal Max'!AI108</f>
        <v>0</v>
      </c>
      <c r="H108" s="243">
        <f>SUM(F108+G108)*'Weighting Factors'!$O$5</f>
        <v>377021</v>
      </c>
      <c r="I108" s="252">
        <f>'2024 Legal Max'!CR108-'2024 Legal Max'!T108-'2024 Legal Max'!AQ108</f>
        <v>1238.4000000000001</v>
      </c>
      <c r="J108" s="136">
        <f>'2024 Legal Max'!AF108</f>
        <v>74.099999999999994</v>
      </c>
      <c r="K108" s="138">
        <f t="shared" si="2"/>
        <v>5.98</v>
      </c>
      <c r="L108" s="243">
        <f>(K108/100)*'2024 Legal Max'!BO108</f>
        <v>116204</v>
      </c>
      <c r="M108" s="129">
        <f>'2024 Legal Max'!AA108</f>
        <v>0</v>
      </c>
      <c r="N108" s="140">
        <f>IF('2024 Legal Max'!AA108=0,0,ROUND((M108/I108)*100,2))</f>
        <v>0</v>
      </c>
      <c r="O108" s="243">
        <f>(N108/100)*'2024 Legal Max'!BO108</f>
        <v>0</v>
      </c>
    </row>
    <row r="109" spans="1:15">
      <c r="A109" s="134">
        <v>307</v>
      </c>
      <c r="B109" s="129" t="s">
        <v>48</v>
      </c>
      <c r="C109" s="129" t="s">
        <v>614</v>
      </c>
      <c r="D109" s="129" t="str">
        <f>'2024 Legal Max'!AZ109</f>
        <v>A</v>
      </c>
      <c r="E109" s="241">
        <f>'2024 Legal Max'!AO109</f>
        <v>414800</v>
      </c>
      <c r="F109" s="136">
        <f>'2024 Legal Max'!AF109</f>
        <v>63.4</v>
      </c>
      <c r="G109" s="136">
        <f>'2024 Legal Max'!AI109</f>
        <v>0.5</v>
      </c>
      <c r="H109" s="243">
        <f>SUM(F109+G109)*'Weighting Factors'!$O$5</f>
        <v>325123</v>
      </c>
      <c r="I109" s="252">
        <f>'2024 Legal Max'!CR109-'2024 Legal Max'!T109-'2024 Legal Max'!AQ109</f>
        <v>803.4</v>
      </c>
      <c r="J109" s="136">
        <f>'2024 Legal Max'!AF109</f>
        <v>63.4</v>
      </c>
      <c r="K109" s="138">
        <f t="shared" si="2"/>
        <v>7.89</v>
      </c>
      <c r="L109" s="243">
        <f>(K109/100)*'2024 Legal Max'!BO109</f>
        <v>108019</v>
      </c>
      <c r="M109" s="129">
        <f>'2024 Legal Max'!AA109</f>
        <v>2.2000000000000002</v>
      </c>
      <c r="N109" s="140">
        <f>IF('2024 Legal Max'!AA109=0,0,ROUND((M109/I109)*100,2))</f>
        <v>0.27</v>
      </c>
      <c r="O109" s="243">
        <f>(N109/100)*'2024 Legal Max'!BO109</f>
        <v>3696</v>
      </c>
    </row>
    <row r="110" spans="1:15">
      <c r="A110" s="134">
        <v>308</v>
      </c>
      <c r="B110" s="129" t="s">
        <v>49</v>
      </c>
      <c r="C110" s="129" t="s">
        <v>615</v>
      </c>
      <c r="D110" s="129" t="str">
        <f>'2024 Legal Max'!AZ110</f>
        <v>A</v>
      </c>
      <c r="E110" s="241">
        <f>'2024 Legal Max'!AO110</f>
        <v>5470473</v>
      </c>
      <c r="F110" s="136">
        <f>'2024 Legal Max'!AF110</f>
        <v>1129.2</v>
      </c>
      <c r="G110" s="136">
        <f>'2024 Legal Max'!AI110</f>
        <v>245</v>
      </c>
      <c r="H110" s="243">
        <f>SUM(F110+G110)*'Weighting Factors'!$O$5</f>
        <v>6991930</v>
      </c>
      <c r="I110" s="252">
        <f>'2024 Legal Max'!CR110-'2024 Legal Max'!T110-'2024 Legal Max'!AQ110</f>
        <v>6574.2</v>
      </c>
      <c r="J110" s="136">
        <f>'2024 Legal Max'!AF110</f>
        <v>1129.2</v>
      </c>
      <c r="K110" s="138">
        <f t="shared" si="2"/>
        <v>17.18</v>
      </c>
      <c r="L110" s="243">
        <f>(K110/100)*'2024 Legal Max'!BO110</f>
        <v>1864686</v>
      </c>
      <c r="M110" s="129">
        <f>'2024 Legal Max'!AA110</f>
        <v>27.4</v>
      </c>
      <c r="N110" s="140">
        <f>IF('2024 Legal Max'!AA110=0,0,ROUND((M110/I110)*100,2))</f>
        <v>0.42</v>
      </c>
      <c r="O110" s="243">
        <f>(N110/100)*'2024 Legal Max'!BO110</f>
        <v>45586</v>
      </c>
    </row>
    <row r="111" spans="1:15">
      <c r="A111" s="134">
        <v>309</v>
      </c>
      <c r="B111" s="129" t="s">
        <v>49</v>
      </c>
      <c r="C111" s="129" t="s">
        <v>616</v>
      </c>
      <c r="D111" s="129" t="str">
        <f>'2024 Legal Max'!AZ111</f>
        <v>A</v>
      </c>
      <c r="E111" s="241">
        <f>'2024 Legal Max'!AO111</f>
        <v>1258979</v>
      </c>
      <c r="F111" s="136">
        <f>'2024 Legal Max'!AF111</f>
        <v>194.6</v>
      </c>
      <c r="G111" s="136">
        <f>'2024 Legal Max'!AI111</f>
        <v>26.2</v>
      </c>
      <c r="H111" s="243">
        <f>SUM(F111+G111)*'Weighting Factors'!$O$5</f>
        <v>1123430</v>
      </c>
      <c r="I111" s="252">
        <f>'2024 Legal Max'!CR111-'2024 Legal Max'!T111-'2024 Legal Max'!AQ111</f>
        <v>1758.4</v>
      </c>
      <c r="J111" s="136">
        <f>'2024 Legal Max'!AF111</f>
        <v>194.6</v>
      </c>
      <c r="K111" s="138">
        <f t="shared" si="2"/>
        <v>11.07</v>
      </c>
      <c r="L111" s="243">
        <f>(K111/100)*'2024 Legal Max'!BO111</f>
        <v>318750</v>
      </c>
      <c r="M111" s="129">
        <f>'2024 Legal Max'!AA111</f>
        <v>3.6</v>
      </c>
      <c r="N111" s="140">
        <f>IF('2024 Legal Max'!AA111=0,0,ROUND((M111/I111)*100,2))</f>
        <v>0.2</v>
      </c>
      <c r="O111" s="243">
        <f>(N111/100)*'2024 Legal Max'!BO111</f>
        <v>5759</v>
      </c>
    </row>
    <row r="112" spans="1:15">
      <c r="A112" s="134">
        <v>310</v>
      </c>
      <c r="B112" s="129" t="s">
        <v>49</v>
      </c>
      <c r="C112" s="129" t="s">
        <v>617</v>
      </c>
      <c r="D112" s="129" t="str">
        <f>'2024 Legal Max'!AZ112</f>
        <v>A</v>
      </c>
      <c r="E112" s="241">
        <f>'2024 Legal Max'!AO112</f>
        <v>347261</v>
      </c>
      <c r="F112" s="136">
        <f>'2024 Legal Max'!AF112</f>
        <v>59.5</v>
      </c>
      <c r="G112" s="136">
        <f>'2024 Legal Max'!AI112</f>
        <v>8.8000000000000007</v>
      </c>
      <c r="H112" s="243">
        <f>SUM(F112+G112)*'Weighting Factors'!$O$5</f>
        <v>347510</v>
      </c>
      <c r="I112" s="252">
        <f>'2024 Legal Max'!CR112-'2024 Legal Max'!T112-'2024 Legal Max'!AQ112</f>
        <v>613.9</v>
      </c>
      <c r="J112" s="136">
        <f>'2024 Legal Max'!AF112</f>
        <v>59.5</v>
      </c>
      <c r="K112" s="138">
        <f t="shared" si="2"/>
        <v>9.69</v>
      </c>
      <c r="L112" s="243">
        <f>(K112/100)*'2024 Legal Max'!BO112</f>
        <v>100094</v>
      </c>
      <c r="M112" s="129">
        <f>'2024 Legal Max'!AA112</f>
        <v>0.6</v>
      </c>
      <c r="N112" s="140">
        <f>IF('2024 Legal Max'!AA112=0,0,ROUND((M112/I112)*100,2))</f>
        <v>0.1</v>
      </c>
      <c r="O112" s="243">
        <f>(N112/100)*'2024 Legal Max'!BO112</f>
        <v>1033</v>
      </c>
    </row>
    <row r="113" spans="1:15">
      <c r="A113" s="134">
        <v>311</v>
      </c>
      <c r="B113" s="129" t="s">
        <v>49</v>
      </c>
      <c r="C113" s="129" t="s">
        <v>618</v>
      </c>
      <c r="D113" s="129" t="str">
        <f>'2024 Legal Max'!AZ113</f>
        <v>A</v>
      </c>
      <c r="E113" s="241">
        <f>'2024 Legal Max'!AO113</f>
        <v>328056</v>
      </c>
      <c r="F113" s="136">
        <f>'2024 Legal Max'!AF113</f>
        <v>57.6</v>
      </c>
      <c r="G113" s="136">
        <f>'2024 Legal Max'!AI113</f>
        <v>5.0999999999999996</v>
      </c>
      <c r="H113" s="243">
        <f>SUM(F113+G113)*'Weighting Factors'!$O$5</f>
        <v>319018</v>
      </c>
      <c r="I113" s="252">
        <f>'2024 Legal Max'!CR113-'2024 Legal Max'!T113-'2024 Legal Max'!AQ113</f>
        <v>609.5</v>
      </c>
      <c r="J113" s="136">
        <f>'2024 Legal Max'!AF113</f>
        <v>57.6</v>
      </c>
      <c r="K113" s="138">
        <f t="shared" si="2"/>
        <v>9.4499999999999993</v>
      </c>
      <c r="L113" s="243">
        <f>(K113/100)*'2024 Legal Max'!BO113</f>
        <v>95744</v>
      </c>
      <c r="M113" s="129">
        <f>'2024 Legal Max'!AA113</f>
        <v>0</v>
      </c>
      <c r="N113" s="140">
        <f>IF('2024 Legal Max'!AA113=0,0,ROUND((M113/I113)*100,2))</f>
        <v>0</v>
      </c>
      <c r="O113" s="243">
        <f>(N113/100)*'2024 Legal Max'!BO113</f>
        <v>0</v>
      </c>
    </row>
    <row r="114" spans="1:15">
      <c r="A114" s="134">
        <v>312</v>
      </c>
      <c r="B114" s="129" t="s">
        <v>49</v>
      </c>
      <c r="C114" s="129" t="s">
        <v>619</v>
      </c>
      <c r="D114" s="129" t="str">
        <f>'2024 Legal Max'!AZ114</f>
        <v>A</v>
      </c>
      <c r="E114" s="241">
        <f>'2024 Legal Max'!AO114</f>
        <v>941876</v>
      </c>
      <c r="F114" s="136">
        <f>'2024 Legal Max'!AF114</f>
        <v>139.9</v>
      </c>
      <c r="G114" s="136">
        <f>'2024 Legal Max'!AI114</f>
        <v>9.9</v>
      </c>
      <c r="H114" s="243">
        <f>SUM(F114+G114)*'Weighting Factors'!$O$5</f>
        <v>762182</v>
      </c>
      <c r="I114" s="252">
        <f>'2024 Legal Max'!CR114-'2024 Legal Max'!T114-'2024 Legal Max'!AQ114</f>
        <v>1432.8</v>
      </c>
      <c r="J114" s="136">
        <f>'2024 Legal Max'!AF114</f>
        <v>139.9</v>
      </c>
      <c r="K114" s="138">
        <f t="shared" si="2"/>
        <v>9.76</v>
      </c>
      <c r="L114" s="243">
        <f>(K114/100)*'2024 Legal Max'!BO114</f>
        <v>231626</v>
      </c>
      <c r="M114" s="129">
        <f>'2024 Legal Max'!AA114</f>
        <v>2.8</v>
      </c>
      <c r="N114" s="140">
        <f>IF('2024 Legal Max'!AA114=0,0,ROUND((M114/I114)*100,2))</f>
        <v>0.2</v>
      </c>
      <c r="O114" s="243">
        <f>(N114/100)*'2024 Legal Max'!BO114</f>
        <v>4746</v>
      </c>
    </row>
    <row r="115" spans="1:15">
      <c r="A115" s="134">
        <v>313</v>
      </c>
      <c r="B115" s="129" t="s">
        <v>49</v>
      </c>
      <c r="C115" s="129" t="s">
        <v>620</v>
      </c>
      <c r="D115" s="129" t="str">
        <f>'2024 Legal Max'!AZ115</f>
        <v>A</v>
      </c>
      <c r="E115" s="241">
        <f>'2024 Legal Max'!AO115</f>
        <v>2720262</v>
      </c>
      <c r="F115" s="136">
        <f>'2024 Legal Max'!AF115</f>
        <v>328.2</v>
      </c>
      <c r="G115" s="136">
        <f>'2024 Legal Max'!AI115</f>
        <v>4</v>
      </c>
      <c r="H115" s="243">
        <f>SUM(F115+G115)*'Weighting Factors'!$O$5</f>
        <v>1690234</v>
      </c>
      <c r="I115" s="252">
        <f>'2024 Legal Max'!CR115-'2024 Legal Max'!T115-'2024 Legal Max'!AQ115</f>
        <v>3383.4</v>
      </c>
      <c r="J115" s="136">
        <f>'2024 Legal Max'!AF115</f>
        <v>328.2</v>
      </c>
      <c r="K115" s="138">
        <f t="shared" si="2"/>
        <v>9.6999999999999993</v>
      </c>
      <c r="L115" s="243">
        <f>(K115/100)*'2024 Legal Max'!BO115</f>
        <v>562140</v>
      </c>
      <c r="M115" s="129">
        <f>'2024 Legal Max'!AA115</f>
        <v>2.2000000000000002</v>
      </c>
      <c r="N115" s="140">
        <f>IF('2024 Legal Max'!AA115=0,0,ROUND((M115/I115)*100,2))</f>
        <v>7.0000000000000007E-2</v>
      </c>
      <c r="O115" s="243">
        <f>(N115/100)*'2024 Legal Max'!BO115</f>
        <v>4057</v>
      </c>
    </row>
    <row r="116" spans="1:15">
      <c r="A116" s="134">
        <v>314</v>
      </c>
      <c r="B116" s="129" t="s">
        <v>50</v>
      </c>
      <c r="C116" s="129" t="s">
        <v>621</v>
      </c>
      <c r="D116" s="129" t="str">
        <f>'2024 Legal Max'!AZ116</f>
        <v>A</v>
      </c>
      <c r="E116" s="241">
        <f>'2024 Legal Max'!AO116</f>
        <v>113465</v>
      </c>
      <c r="F116" s="136">
        <f>'2024 Legal Max'!AF116</f>
        <v>15.5</v>
      </c>
      <c r="G116" s="136">
        <f>'2024 Legal Max'!AI116</f>
        <v>0</v>
      </c>
      <c r="H116" s="243">
        <f>SUM(F116+G116)*'Weighting Factors'!$O$5</f>
        <v>78864</v>
      </c>
      <c r="I116" s="252">
        <f>'2024 Legal Max'!CR116-'2024 Legal Max'!T116-'2024 Legal Max'!AQ116</f>
        <v>277</v>
      </c>
      <c r="J116" s="136">
        <f>'2024 Legal Max'!AF116</f>
        <v>15.5</v>
      </c>
      <c r="K116" s="138">
        <f t="shared" si="2"/>
        <v>5.6</v>
      </c>
      <c r="L116" s="243">
        <f>(K116/100)*'2024 Legal Max'!BO116</f>
        <v>26538</v>
      </c>
      <c r="M116" s="129">
        <f>'2024 Legal Max'!AA116</f>
        <v>0</v>
      </c>
      <c r="N116" s="140">
        <f>IF('2024 Legal Max'!AA116=0,0,ROUND((M116/I116)*100,2))</f>
        <v>0</v>
      </c>
      <c r="O116" s="243">
        <f>(N116/100)*'2024 Legal Max'!BO116</f>
        <v>0</v>
      </c>
    </row>
    <row r="117" spans="1:15">
      <c r="A117" s="134">
        <v>315</v>
      </c>
      <c r="B117" s="129" t="s">
        <v>50</v>
      </c>
      <c r="C117" s="129" t="s">
        <v>622</v>
      </c>
      <c r="D117" s="129" t="str">
        <f>'2024 Legal Max'!AZ117</f>
        <v>A</v>
      </c>
      <c r="E117" s="241">
        <f>'2024 Legal Max'!AO117</f>
        <v>656710</v>
      </c>
      <c r="F117" s="136">
        <f>'2024 Legal Max'!AF117</f>
        <v>132.6</v>
      </c>
      <c r="G117" s="136">
        <f>'2024 Legal Max'!AI117</f>
        <v>0</v>
      </c>
      <c r="H117" s="243">
        <f>SUM(F117+G117)*'Weighting Factors'!$O$5</f>
        <v>674669</v>
      </c>
      <c r="I117" s="252">
        <f>'2024 Legal Max'!CR117-'2024 Legal Max'!T117-'2024 Legal Max'!AQ117</f>
        <v>1534.6</v>
      </c>
      <c r="J117" s="136">
        <f>'2024 Legal Max'!AF117</f>
        <v>132.6</v>
      </c>
      <c r="K117" s="138">
        <f t="shared" si="2"/>
        <v>8.64</v>
      </c>
      <c r="L117" s="243">
        <f>(K117/100)*'2024 Legal Max'!BO117</f>
        <v>237854</v>
      </c>
      <c r="M117" s="129">
        <f>'2024 Legal Max'!AA117</f>
        <v>11.8</v>
      </c>
      <c r="N117" s="140">
        <f>IF('2024 Legal Max'!AA117=0,0,ROUND((M117/I117)*100,2))</f>
        <v>0.77</v>
      </c>
      <c r="O117" s="243">
        <f>(N117/100)*'2024 Legal Max'!BO117</f>
        <v>21198</v>
      </c>
    </row>
    <row r="118" spans="1:15">
      <c r="A118" s="134">
        <v>316</v>
      </c>
      <c r="B118" s="129" t="s">
        <v>50</v>
      </c>
      <c r="C118" s="129" t="s">
        <v>623</v>
      </c>
      <c r="D118" s="129" t="str">
        <f>'2024 Legal Max'!AZ118</f>
        <v>A</v>
      </c>
      <c r="E118" s="241">
        <f>'2024 Legal Max'!AO118</f>
        <v>166968</v>
      </c>
      <c r="F118" s="136">
        <f>'2024 Legal Max'!AF118</f>
        <v>44.5</v>
      </c>
      <c r="G118" s="136">
        <f>'2024 Legal Max'!AI118</f>
        <v>9.6999999999999993</v>
      </c>
      <c r="H118" s="243">
        <f>SUM(F118+G118)*'Weighting Factors'!$O$5</f>
        <v>275770</v>
      </c>
      <c r="I118" s="252">
        <f>'2024 Legal Max'!CR118-'2024 Legal Max'!T118-'2024 Legal Max'!AQ118</f>
        <v>413.3</v>
      </c>
      <c r="J118" s="136">
        <f>'2024 Legal Max'!AF118</f>
        <v>44.5</v>
      </c>
      <c r="K118" s="138">
        <f t="shared" si="2"/>
        <v>10.77</v>
      </c>
      <c r="L118" s="243">
        <f>(K118/100)*'2024 Legal Max'!BO118</f>
        <v>74707</v>
      </c>
      <c r="M118" s="129">
        <f>'2024 Legal Max'!AA118</f>
        <v>3.5</v>
      </c>
      <c r="N118" s="140">
        <f>IF('2024 Legal Max'!AA118=0,0,ROUND((M118/I118)*100,2))</f>
        <v>0.85</v>
      </c>
      <c r="O118" s="243">
        <f>(N118/100)*'2024 Legal Max'!BO118</f>
        <v>5896</v>
      </c>
    </row>
    <row r="119" spans="1:15">
      <c r="A119" s="134">
        <v>320</v>
      </c>
      <c r="B119" s="129" t="s">
        <v>52</v>
      </c>
      <c r="C119" s="129" t="s">
        <v>624</v>
      </c>
      <c r="D119" s="129" t="str">
        <f>'2024 Legal Max'!AZ119</f>
        <v>A</v>
      </c>
      <c r="E119" s="241">
        <f>'2024 Legal Max'!AO119</f>
        <v>1531065</v>
      </c>
      <c r="F119" s="136">
        <f>'2024 Legal Max'!AF119</f>
        <v>194.6</v>
      </c>
      <c r="G119" s="136">
        <f>'2024 Legal Max'!AI119</f>
        <v>0</v>
      </c>
      <c r="H119" s="243">
        <f>SUM(F119+G119)*'Weighting Factors'!$O$5</f>
        <v>990125</v>
      </c>
      <c r="I119" s="252">
        <f>'2024 Legal Max'!CR119-'2024 Legal Max'!T119-'2024 Legal Max'!AQ119</f>
        <v>2287.3000000000002</v>
      </c>
      <c r="J119" s="136">
        <f>'2024 Legal Max'!AF119</f>
        <v>194.6</v>
      </c>
      <c r="K119" s="138">
        <f t="shared" si="2"/>
        <v>8.51</v>
      </c>
      <c r="L119" s="243">
        <f>(K119/100)*'2024 Legal Max'!BO119</f>
        <v>316700</v>
      </c>
      <c r="M119" s="129">
        <f>'2024 Legal Max'!AA119</f>
        <v>1.3</v>
      </c>
      <c r="N119" s="140">
        <f>IF('2024 Legal Max'!AA119=0,0,ROUND((M119/I119)*100,2))</f>
        <v>0.06</v>
      </c>
      <c r="O119" s="243">
        <f>(N119/100)*'2024 Legal Max'!BO119</f>
        <v>2233</v>
      </c>
    </row>
    <row r="120" spans="1:15">
      <c r="A120" s="134">
        <v>321</v>
      </c>
      <c r="B120" s="129" t="s">
        <v>52</v>
      </c>
      <c r="C120" s="129" t="s">
        <v>625</v>
      </c>
      <c r="D120" s="129" t="str">
        <f>'2024 Legal Max'!AZ120</f>
        <v>A</v>
      </c>
      <c r="E120" s="241">
        <f>'2024 Legal Max'!AO120</f>
        <v>1697225</v>
      </c>
      <c r="F120" s="136">
        <f>'2024 Legal Max'!AF120</f>
        <v>160.19999999999999</v>
      </c>
      <c r="G120" s="136">
        <f>'2024 Legal Max'!AI120</f>
        <v>1.3</v>
      </c>
      <c r="H120" s="243">
        <f>SUM(F120+G120)*'Weighting Factors'!$O$5</f>
        <v>821712</v>
      </c>
      <c r="I120" s="252">
        <f>'2024 Legal Max'!CR120-'2024 Legal Max'!T120-'2024 Legal Max'!AQ120</f>
        <v>1875.9</v>
      </c>
      <c r="J120" s="136">
        <f>'2024 Legal Max'!AF120</f>
        <v>160.19999999999999</v>
      </c>
      <c r="K120" s="138">
        <f t="shared" si="2"/>
        <v>8.5399999999999991</v>
      </c>
      <c r="L120" s="243">
        <f>(K120/100)*'2024 Legal Max'!BO120</f>
        <v>273914</v>
      </c>
      <c r="M120" s="129">
        <f>'2024 Legal Max'!AA120</f>
        <v>0.7</v>
      </c>
      <c r="N120" s="140">
        <f>IF('2024 Legal Max'!AA120=0,0,ROUND((M120/I120)*100,2))</f>
        <v>0.04</v>
      </c>
      <c r="O120" s="243">
        <f>(N120/100)*'2024 Legal Max'!BO120</f>
        <v>1283</v>
      </c>
    </row>
    <row r="121" spans="1:15">
      <c r="A121" s="134">
        <v>322</v>
      </c>
      <c r="B121" s="129" t="s">
        <v>52</v>
      </c>
      <c r="C121" s="129" t="s">
        <v>626</v>
      </c>
      <c r="D121" s="129" t="str">
        <f>'2024 Legal Max'!AZ121</f>
        <v>A</v>
      </c>
      <c r="E121" s="241">
        <f>'2024 Legal Max'!AO121</f>
        <v>191629</v>
      </c>
      <c r="F121" s="136">
        <f>'2024 Legal Max'!AF121</f>
        <v>56.1</v>
      </c>
      <c r="G121" s="136">
        <f>'2024 Legal Max'!AI121</f>
        <v>3.3</v>
      </c>
      <c r="H121" s="243">
        <f>SUM(F121+G121)*'Weighting Factors'!$O$5</f>
        <v>302227</v>
      </c>
      <c r="I121" s="252">
        <f>'2024 Legal Max'!CR121-'2024 Legal Max'!T121-'2024 Legal Max'!AQ121</f>
        <v>596</v>
      </c>
      <c r="J121" s="136">
        <f>'2024 Legal Max'!AF121</f>
        <v>56.1</v>
      </c>
      <c r="K121" s="138">
        <f t="shared" si="2"/>
        <v>9.41</v>
      </c>
      <c r="L121" s="243">
        <f>(K121/100)*'2024 Legal Max'!BO121</f>
        <v>94649</v>
      </c>
      <c r="M121" s="129">
        <f>'2024 Legal Max'!AA121</f>
        <v>0.6</v>
      </c>
      <c r="N121" s="140">
        <f>IF('2024 Legal Max'!AA121=0,0,ROUND((M121/I121)*100,2))</f>
        <v>0.1</v>
      </c>
      <c r="O121" s="243">
        <f>(N121/100)*'2024 Legal Max'!BO121</f>
        <v>1006</v>
      </c>
    </row>
    <row r="122" spans="1:15">
      <c r="A122" s="134">
        <v>323</v>
      </c>
      <c r="B122" s="129" t="s">
        <v>52</v>
      </c>
      <c r="C122" s="129" t="s">
        <v>627</v>
      </c>
      <c r="D122" s="129" t="str">
        <f>'2024 Legal Max'!AZ122</f>
        <v>A</v>
      </c>
      <c r="E122" s="241">
        <f>'2024 Legal Max'!AO122</f>
        <v>1237186</v>
      </c>
      <c r="F122" s="136">
        <f>'2024 Legal Max'!AF122</f>
        <v>133.6</v>
      </c>
      <c r="G122" s="136">
        <f>'2024 Legal Max'!AI122</f>
        <v>0</v>
      </c>
      <c r="H122" s="243">
        <f>SUM(F122+G122)*'Weighting Factors'!$O$5</f>
        <v>679757</v>
      </c>
      <c r="I122" s="252">
        <f>'2024 Legal Max'!CR122-'2024 Legal Max'!T122-'2024 Legal Max'!AQ122</f>
        <v>2036.6</v>
      </c>
      <c r="J122" s="136">
        <f>'2024 Legal Max'!AF122</f>
        <v>133.6</v>
      </c>
      <c r="K122" s="138">
        <f t="shared" si="2"/>
        <v>6.56</v>
      </c>
      <c r="L122" s="243">
        <f>(K122/100)*'2024 Legal Max'!BO122</f>
        <v>218579</v>
      </c>
      <c r="M122" s="129">
        <f>'2024 Legal Max'!AA122</f>
        <v>1.1000000000000001</v>
      </c>
      <c r="N122" s="140">
        <f>IF('2024 Legal Max'!AA122=0,0,ROUND((M122/I122)*100,2))</f>
        <v>0.05</v>
      </c>
      <c r="O122" s="243">
        <f>(N122/100)*'2024 Legal Max'!BO122</f>
        <v>1666</v>
      </c>
    </row>
    <row r="123" spans="1:15">
      <c r="A123" s="134">
        <v>325</v>
      </c>
      <c r="B123" s="129" t="s">
        <v>53</v>
      </c>
      <c r="C123" s="129" t="s">
        <v>628</v>
      </c>
      <c r="D123" s="129" t="str">
        <f>'2024 Legal Max'!AZ123</f>
        <v>A</v>
      </c>
      <c r="E123" s="241">
        <f>'2024 Legal Max'!AO123</f>
        <v>705426</v>
      </c>
      <c r="F123" s="136">
        <f>'2024 Legal Max'!AF123</f>
        <v>108.4</v>
      </c>
      <c r="G123" s="136">
        <f>'2024 Legal Max'!AI123</f>
        <v>8.1999999999999993</v>
      </c>
      <c r="H123" s="243">
        <f>SUM(F123+G123)*'Weighting Factors'!$O$5</f>
        <v>593261</v>
      </c>
      <c r="I123" s="252">
        <f>'2024 Legal Max'!CR123-'2024 Legal Max'!T123-'2024 Legal Max'!AQ123</f>
        <v>1092</v>
      </c>
      <c r="J123" s="136">
        <f>'2024 Legal Max'!AF123</f>
        <v>108.4</v>
      </c>
      <c r="K123" s="138">
        <f t="shared" si="2"/>
        <v>9.93</v>
      </c>
      <c r="L123" s="243">
        <f>(K123/100)*'2024 Legal Max'!BO123</f>
        <v>176737</v>
      </c>
      <c r="M123" s="129">
        <f>'2024 Legal Max'!AA123</f>
        <v>0.4</v>
      </c>
      <c r="N123" s="140">
        <f>IF('2024 Legal Max'!AA123=0,0,ROUND((M123/I123)*100,2))</f>
        <v>0.04</v>
      </c>
      <c r="O123" s="243">
        <f>(N123/100)*'2024 Legal Max'!BO123</f>
        <v>712</v>
      </c>
    </row>
    <row r="124" spans="1:15">
      <c r="A124" s="134">
        <v>326</v>
      </c>
      <c r="B124" s="129" t="s">
        <v>53</v>
      </c>
      <c r="C124" s="129" t="s">
        <v>629</v>
      </c>
      <c r="D124" s="129" t="str">
        <f>'2024 Legal Max'!AZ124</f>
        <v>A</v>
      </c>
      <c r="E124" s="241">
        <f>'2024 Legal Max'!AO124</f>
        <v>143948</v>
      </c>
      <c r="F124" s="136">
        <f>'2024 Legal Max'!AF124</f>
        <v>26.6</v>
      </c>
      <c r="G124" s="136">
        <f>'2024 Legal Max'!AI124</f>
        <v>5.0999999999999996</v>
      </c>
      <c r="H124" s="243">
        <f>SUM(F124+G124)*'Weighting Factors'!$O$5</f>
        <v>161290</v>
      </c>
      <c r="I124" s="252">
        <f>'2024 Legal Max'!CR124-'2024 Legal Max'!T124-'2024 Legal Max'!AQ124</f>
        <v>325.10000000000002</v>
      </c>
      <c r="J124" s="136">
        <f>'2024 Legal Max'!AF124</f>
        <v>26.6</v>
      </c>
      <c r="K124" s="138">
        <f t="shared" si="2"/>
        <v>8.18</v>
      </c>
      <c r="L124" s="243">
        <f>(K124/100)*'2024 Legal Max'!BO124</f>
        <v>45369</v>
      </c>
      <c r="M124" s="129">
        <f>'2024 Legal Max'!AA124</f>
        <v>0</v>
      </c>
      <c r="N124" s="140">
        <f>IF('2024 Legal Max'!AA124=0,0,ROUND((M124/I124)*100,2))</f>
        <v>0</v>
      </c>
      <c r="O124" s="243">
        <f>(N124/100)*'2024 Legal Max'!BO124</f>
        <v>0</v>
      </c>
    </row>
    <row r="125" spans="1:15">
      <c r="A125" s="134">
        <v>327</v>
      </c>
      <c r="B125" s="129" t="s">
        <v>54</v>
      </c>
      <c r="C125" s="129" t="s">
        <v>630</v>
      </c>
      <c r="D125" s="129" t="str">
        <f>'2024 Legal Max'!AZ125</f>
        <v>A</v>
      </c>
      <c r="E125" s="241">
        <f>'2024 Legal Max'!AO125</f>
        <v>653300</v>
      </c>
      <c r="F125" s="136">
        <f>'2024 Legal Max'!AF125</f>
        <v>82.8</v>
      </c>
      <c r="G125" s="136">
        <f>'2024 Legal Max'!AI125</f>
        <v>0</v>
      </c>
      <c r="H125" s="243">
        <f>SUM(F125+G125)*'Weighting Factors'!$O$5</f>
        <v>421286</v>
      </c>
      <c r="I125" s="252">
        <f>'2024 Legal Max'!CR125-'2024 Legal Max'!T125-'2024 Legal Max'!AQ125</f>
        <v>1166.4000000000001</v>
      </c>
      <c r="J125" s="136">
        <f>'2024 Legal Max'!AF125</f>
        <v>82.8</v>
      </c>
      <c r="K125" s="138">
        <f t="shared" si="2"/>
        <v>7.1</v>
      </c>
      <c r="L125" s="243">
        <f>(K125/100)*'2024 Legal Max'!BO125</f>
        <v>140751</v>
      </c>
      <c r="M125" s="129">
        <f>'2024 Legal Max'!AA125</f>
        <v>0.2</v>
      </c>
      <c r="N125" s="140">
        <f>IF('2024 Legal Max'!AA125=0,0,ROUND((M125/I125)*100,2))</f>
        <v>0.02</v>
      </c>
      <c r="O125" s="243">
        <f>(N125/100)*'2024 Legal Max'!BO125</f>
        <v>396</v>
      </c>
    </row>
    <row r="126" spans="1:15">
      <c r="A126" s="134">
        <v>329</v>
      </c>
      <c r="B126" s="129" t="s">
        <v>55</v>
      </c>
      <c r="C126" s="129" t="s">
        <v>631</v>
      </c>
      <c r="D126" s="129" t="str">
        <f>'2024 Legal Max'!AZ126</f>
        <v>A</v>
      </c>
      <c r="E126" s="241">
        <f>'2024 Legal Max'!AO126</f>
        <v>376027</v>
      </c>
      <c r="F126" s="136">
        <f>'2024 Legal Max'!AF126</f>
        <v>51.3</v>
      </c>
      <c r="G126" s="136">
        <f>'2024 Legal Max'!AI126</f>
        <v>0</v>
      </c>
      <c r="H126" s="243">
        <f>SUM(F126+G126)*'Weighting Factors'!$O$5</f>
        <v>261014</v>
      </c>
      <c r="I126" s="252">
        <f>'2024 Legal Max'!CR126-'2024 Legal Max'!T126-'2024 Legal Max'!AQ126</f>
        <v>759.4</v>
      </c>
      <c r="J126" s="136">
        <f>'2024 Legal Max'!AF126</f>
        <v>51.3</v>
      </c>
      <c r="K126" s="138">
        <f t="shared" si="2"/>
        <v>6.76</v>
      </c>
      <c r="L126" s="243">
        <f>(K126/100)*'2024 Legal Max'!BO126</f>
        <v>91776</v>
      </c>
      <c r="M126" s="129">
        <f>'2024 Legal Max'!AA126</f>
        <v>0.6</v>
      </c>
      <c r="N126" s="140">
        <f>IF('2024 Legal Max'!AA126=0,0,ROUND((M126/I126)*100,2))</f>
        <v>0.08</v>
      </c>
      <c r="O126" s="243">
        <f>(N126/100)*'2024 Legal Max'!BO126</f>
        <v>1086</v>
      </c>
    </row>
    <row r="127" spans="1:15">
      <c r="A127" s="134">
        <v>330</v>
      </c>
      <c r="B127" s="129" t="s">
        <v>55</v>
      </c>
      <c r="C127" s="129" t="s">
        <v>632</v>
      </c>
      <c r="D127" s="129" t="str">
        <f>'2024 Legal Max'!AZ127</f>
        <v>A</v>
      </c>
      <c r="E127" s="241">
        <f>'2024 Legal Max'!AO127</f>
        <v>691338</v>
      </c>
      <c r="F127" s="136">
        <f>'2024 Legal Max'!AF127</f>
        <v>62.9</v>
      </c>
      <c r="G127" s="136">
        <f>'2024 Legal Max'!AI127</f>
        <v>0</v>
      </c>
      <c r="H127" s="243">
        <f>SUM(F127+G127)*'Weighting Factors'!$O$5</f>
        <v>320035</v>
      </c>
      <c r="I127" s="252">
        <f>'2024 Legal Max'!CR127-'2024 Legal Max'!T127-'2024 Legal Max'!AQ127</f>
        <v>923.9</v>
      </c>
      <c r="J127" s="136">
        <f>'2024 Legal Max'!AF127</f>
        <v>62.9</v>
      </c>
      <c r="K127" s="138">
        <f t="shared" si="2"/>
        <v>6.81</v>
      </c>
      <c r="L127" s="243">
        <f>(K127/100)*'2024 Legal Max'!BO127</f>
        <v>103232</v>
      </c>
      <c r="M127" s="129">
        <f>'2024 Legal Max'!AA127</f>
        <v>0</v>
      </c>
      <c r="N127" s="140">
        <f>IF('2024 Legal Max'!AA127=0,0,ROUND((M127/I127)*100,2))</f>
        <v>0</v>
      </c>
      <c r="O127" s="243">
        <f>(N127/100)*'2024 Legal Max'!BO127</f>
        <v>0</v>
      </c>
    </row>
    <row r="128" spans="1:15">
      <c r="A128" s="134">
        <v>331</v>
      </c>
      <c r="B128" s="129" t="s">
        <v>56</v>
      </c>
      <c r="C128" s="129" t="s">
        <v>633</v>
      </c>
      <c r="D128" s="129" t="str">
        <f>'2024 Legal Max'!AZ128</f>
        <v>A</v>
      </c>
      <c r="E128" s="241">
        <f>'2024 Legal Max'!AO128</f>
        <v>1134066</v>
      </c>
      <c r="F128" s="136">
        <f>'2024 Legal Max'!AF128</f>
        <v>181.5</v>
      </c>
      <c r="G128" s="136">
        <f>'2024 Legal Max'!AI128</f>
        <v>25.2</v>
      </c>
      <c r="H128" s="243">
        <f>SUM(F128+G128)*'Weighting Factors'!$O$5</f>
        <v>1051690</v>
      </c>
      <c r="I128" s="252">
        <f>'2024 Legal Max'!CR128-'2024 Legal Max'!T128-'2024 Legal Max'!AQ128</f>
        <v>1614</v>
      </c>
      <c r="J128" s="136">
        <f>'2024 Legal Max'!AF128</f>
        <v>181.5</v>
      </c>
      <c r="K128" s="138">
        <f t="shared" si="2"/>
        <v>11.25</v>
      </c>
      <c r="L128" s="243">
        <f>(K128/100)*'2024 Legal Max'!BO128</f>
        <v>313243</v>
      </c>
      <c r="M128" s="129">
        <f>'2024 Legal Max'!AA128</f>
        <v>2</v>
      </c>
      <c r="N128" s="140">
        <f>IF('2024 Legal Max'!AA128=0,0,ROUND((M128/I128)*100,2))</f>
        <v>0.12</v>
      </c>
      <c r="O128" s="243">
        <f>(N128/100)*'2024 Legal Max'!BO128</f>
        <v>3341</v>
      </c>
    </row>
    <row r="129" spans="1:15">
      <c r="A129" s="134">
        <v>332</v>
      </c>
      <c r="B129" s="129" t="s">
        <v>56</v>
      </c>
      <c r="C129" s="129" t="s">
        <v>634</v>
      </c>
      <c r="D129" s="129" t="str">
        <f>'2024 Legal Max'!AZ129</f>
        <v>A</v>
      </c>
      <c r="E129" s="241">
        <f>'2024 Legal Max'!AO129</f>
        <v>272499</v>
      </c>
      <c r="F129" s="136">
        <f>'2024 Legal Max'!AF129</f>
        <v>26.6</v>
      </c>
      <c r="G129" s="136">
        <f>'2024 Legal Max'!AI129</f>
        <v>0</v>
      </c>
      <c r="H129" s="243">
        <f>SUM(F129+G129)*'Weighting Factors'!$O$5</f>
        <v>135341</v>
      </c>
      <c r="I129" s="252">
        <f>'2024 Legal Max'!CR129-'2024 Legal Max'!T129-'2024 Legal Max'!AQ129</f>
        <v>473</v>
      </c>
      <c r="J129" s="136">
        <f>'2024 Legal Max'!AF129</f>
        <v>26.6</v>
      </c>
      <c r="K129" s="138">
        <f t="shared" si="2"/>
        <v>5.62</v>
      </c>
      <c r="L129" s="243">
        <f>(K129/100)*'2024 Legal Max'!BO129</f>
        <v>43898</v>
      </c>
      <c r="M129" s="129">
        <f>'2024 Legal Max'!AA129</f>
        <v>0</v>
      </c>
      <c r="N129" s="140">
        <f>IF('2024 Legal Max'!AA129=0,0,ROUND((M129/I129)*100,2))</f>
        <v>0</v>
      </c>
      <c r="O129" s="243">
        <f>(N129/100)*'2024 Legal Max'!BO129</f>
        <v>0</v>
      </c>
    </row>
    <row r="130" spans="1:15">
      <c r="A130" s="134">
        <v>333</v>
      </c>
      <c r="B130" s="129" t="s">
        <v>57</v>
      </c>
      <c r="C130" s="129" t="s">
        <v>635</v>
      </c>
      <c r="D130" s="129" t="str">
        <f>'2024 Legal Max'!AZ130</f>
        <v>A</v>
      </c>
      <c r="E130" s="241">
        <f>'2024 Legal Max'!AO130</f>
        <v>1080222</v>
      </c>
      <c r="F130" s="136">
        <f>'2024 Legal Max'!AF130</f>
        <v>243.9</v>
      </c>
      <c r="G130" s="136">
        <f>'2024 Legal Max'!AI130</f>
        <v>37.4</v>
      </c>
      <c r="H130" s="243">
        <f>SUM(F130+G130)*'Weighting Factors'!$O$5</f>
        <v>1431254</v>
      </c>
      <c r="I130" s="252">
        <f>'2024 Legal Max'!CR130-'2024 Legal Max'!T130-'2024 Legal Max'!AQ130</f>
        <v>1897.8</v>
      </c>
      <c r="J130" s="136">
        <f>'2024 Legal Max'!AF130</f>
        <v>243.9</v>
      </c>
      <c r="K130" s="138">
        <f t="shared" si="2"/>
        <v>12.85</v>
      </c>
      <c r="L130" s="243">
        <f>(K130/100)*'2024 Legal Max'!BO130</f>
        <v>421868</v>
      </c>
      <c r="M130" s="129">
        <f>'2024 Legal Max'!AA130</f>
        <v>2.8</v>
      </c>
      <c r="N130" s="140">
        <f>IF('2024 Legal Max'!AA130=0,0,ROUND((M130/I130)*100,2))</f>
        <v>0.15</v>
      </c>
      <c r="O130" s="243">
        <f>(N130/100)*'2024 Legal Max'!BO130</f>
        <v>4925</v>
      </c>
    </row>
    <row r="131" spans="1:15">
      <c r="A131" s="134">
        <v>334</v>
      </c>
      <c r="B131" s="129" t="s">
        <v>57</v>
      </c>
      <c r="C131" s="129" t="s">
        <v>636</v>
      </c>
      <c r="D131" s="129" t="str">
        <f>'2024 Legal Max'!AZ131</f>
        <v>A</v>
      </c>
      <c r="E131" s="241">
        <f>'2024 Legal Max'!AO131</f>
        <v>227174</v>
      </c>
      <c r="F131" s="136">
        <f>'2024 Legal Max'!AF131</f>
        <v>39.200000000000003</v>
      </c>
      <c r="G131" s="136">
        <f>'2024 Legal Max'!AI131</f>
        <v>8.5</v>
      </c>
      <c r="H131" s="243">
        <f>SUM(F131+G131)*'Weighting Factors'!$O$5</f>
        <v>242698</v>
      </c>
      <c r="I131" s="252">
        <f>'2024 Legal Max'!CR131-'2024 Legal Max'!T131-'2024 Legal Max'!AQ131</f>
        <v>390.3</v>
      </c>
      <c r="J131" s="136">
        <f>'2024 Legal Max'!AF131</f>
        <v>39.200000000000003</v>
      </c>
      <c r="K131" s="138">
        <f t="shared" si="2"/>
        <v>10.039999999999999</v>
      </c>
      <c r="L131" s="243">
        <f>(K131/100)*'2024 Legal Max'!BO131</f>
        <v>69757</v>
      </c>
      <c r="M131" s="129">
        <f>'2024 Legal Max'!AA131</f>
        <v>0</v>
      </c>
      <c r="N131" s="140">
        <f>IF('2024 Legal Max'!AA131=0,0,ROUND((M131/I131)*100,2))</f>
        <v>0</v>
      </c>
      <c r="O131" s="243">
        <f>(N131/100)*'2024 Legal Max'!BO131</f>
        <v>0</v>
      </c>
    </row>
    <row r="132" spans="1:15">
      <c r="A132" s="134">
        <v>335</v>
      </c>
      <c r="B132" s="129" t="s">
        <v>58</v>
      </c>
      <c r="C132" s="129" t="s">
        <v>637</v>
      </c>
      <c r="D132" s="129" t="str">
        <f>'2024 Legal Max'!AZ132</f>
        <v>A</v>
      </c>
      <c r="E132" s="241">
        <f>'2024 Legal Max'!AO132</f>
        <v>263642</v>
      </c>
      <c r="F132" s="136">
        <f>'2024 Legal Max'!AF132</f>
        <v>94.9</v>
      </c>
      <c r="G132" s="136">
        <f>'2024 Legal Max'!AI132</f>
        <v>6.5</v>
      </c>
      <c r="H132" s="243">
        <f>SUM(F132+G132)*'Weighting Factors'!$O$5</f>
        <v>515923</v>
      </c>
      <c r="I132" s="252">
        <f>'2024 Legal Max'!CR132-'2024 Legal Max'!T132-'2024 Legal Max'!AQ132</f>
        <v>761.4</v>
      </c>
      <c r="J132" s="136">
        <f>'2024 Legal Max'!AF132</f>
        <v>94.9</v>
      </c>
      <c r="K132" s="138">
        <f t="shared" si="2"/>
        <v>12.46</v>
      </c>
      <c r="L132" s="243">
        <f>(K132/100)*'2024 Legal Max'!BO132</f>
        <v>159505</v>
      </c>
      <c r="M132" s="129">
        <f>'2024 Legal Max'!AA132</f>
        <v>0</v>
      </c>
      <c r="N132" s="140">
        <f>IF('2024 Legal Max'!AA132=0,0,ROUND((M132/I132)*100,2))</f>
        <v>0</v>
      </c>
      <c r="O132" s="243">
        <f>(N132/100)*'2024 Legal Max'!BO132</f>
        <v>0</v>
      </c>
    </row>
    <row r="133" spans="1:15">
      <c r="A133" s="134">
        <v>336</v>
      </c>
      <c r="B133" s="129" t="s">
        <v>58</v>
      </c>
      <c r="C133" s="129" t="s">
        <v>638</v>
      </c>
      <c r="D133" s="129" t="str">
        <f>'2024 Legal Max'!AZ133</f>
        <v>A</v>
      </c>
      <c r="E133" s="241">
        <f>'2024 Legal Max'!AO133</f>
        <v>654945</v>
      </c>
      <c r="F133" s="136">
        <f>'2024 Legal Max'!AF133</f>
        <v>207.6</v>
      </c>
      <c r="G133" s="136">
        <f>'2024 Legal Max'!AI133</f>
        <v>26.3</v>
      </c>
      <c r="H133" s="243">
        <f>SUM(F133+G133)*'Weighting Factors'!$O$5</f>
        <v>1190083</v>
      </c>
      <c r="I133" s="252">
        <f>'2024 Legal Max'!CR133-'2024 Legal Max'!T133-'2024 Legal Max'!AQ133</f>
        <v>1713.5</v>
      </c>
      <c r="J133" s="136">
        <f>'2024 Legal Max'!AF133</f>
        <v>207.6</v>
      </c>
      <c r="K133" s="138">
        <f t="shared" si="2"/>
        <v>12.12</v>
      </c>
      <c r="L133" s="243">
        <f>(K133/100)*'2024 Legal Max'!BO133</f>
        <v>321250</v>
      </c>
      <c r="M133" s="129">
        <f>'2024 Legal Max'!AA133</f>
        <v>11.5</v>
      </c>
      <c r="N133" s="140">
        <f>IF('2024 Legal Max'!AA133=0,0,ROUND((M133/I133)*100,2))</f>
        <v>0.67</v>
      </c>
      <c r="O133" s="243">
        <f>(N133/100)*'2024 Legal Max'!BO133</f>
        <v>17759</v>
      </c>
    </row>
    <row r="134" spans="1:15">
      <c r="A134" s="134">
        <v>337</v>
      </c>
      <c r="B134" s="129" t="s">
        <v>58</v>
      </c>
      <c r="C134" s="129" t="s">
        <v>639</v>
      </c>
      <c r="D134" s="129" t="str">
        <f>'2024 Legal Max'!AZ134</f>
        <v>A</v>
      </c>
      <c r="E134" s="241">
        <f>'2024 Legal Max'!AO134</f>
        <v>678883</v>
      </c>
      <c r="F134" s="136">
        <f>'2024 Legal Max'!AF134</f>
        <v>174.7</v>
      </c>
      <c r="G134" s="136">
        <f>'2024 Legal Max'!AI134</f>
        <v>25.3</v>
      </c>
      <c r="H134" s="243">
        <f>SUM(F134+G134)*'Weighting Factors'!$O$5</f>
        <v>1017600</v>
      </c>
      <c r="I134" s="252">
        <f>'2024 Legal Max'!CR134-'2024 Legal Max'!T134-'2024 Legal Max'!AQ134</f>
        <v>1529.8</v>
      </c>
      <c r="J134" s="136">
        <f>'2024 Legal Max'!AF134</f>
        <v>174.7</v>
      </c>
      <c r="K134" s="138">
        <f t="shared" ref="K134:K197" si="3">IF(J134=0,0,ROUND((J134/I134)*100,2))</f>
        <v>11.42</v>
      </c>
      <c r="L134" s="243">
        <f>(K134/100)*'2024 Legal Max'!BO134</f>
        <v>294073</v>
      </c>
      <c r="M134" s="129">
        <f>'2024 Legal Max'!AA134</f>
        <v>0.4</v>
      </c>
      <c r="N134" s="140">
        <f>IF('2024 Legal Max'!AA134=0,0,ROUND((M134/I134)*100,2))</f>
        <v>0.03</v>
      </c>
      <c r="O134" s="243">
        <f>(N134/100)*'2024 Legal Max'!BO134</f>
        <v>773</v>
      </c>
    </row>
    <row r="135" spans="1:15">
      <c r="A135" s="134">
        <v>338</v>
      </c>
      <c r="B135" s="129" t="s">
        <v>59</v>
      </c>
      <c r="C135" s="129" t="s">
        <v>640</v>
      </c>
      <c r="D135" s="129" t="str">
        <f>'2024 Legal Max'!AZ135</f>
        <v>A</v>
      </c>
      <c r="E135" s="241">
        <f>'2024 Legal Max'!AO135</f>
        <v>513547</v>
      </c>
      <c r="F135" s="136">
        <f>'2024 Legal Max'!AF135</f>
        <v>52.3</v>
      </c>
      <c r="G135" s="136">
        <f>'2024 Legal Max'!AI135</f>
        <v>0</v>
      </c>
      <c r="H135" s="243">
        <f>SUM(F135+G135)*'Weighting Factors'!$O$5</f>
        <v>266102</v>
      </c>
      <c r="I135" s="252">
        <f>'2024 Legal Max'!CR135-'2024 Legal Max'!T135-'2024 Legal Max'!AQ135</f>
        <v>750.7</v>
      </c>
      <c r="J135" s="136">
        <f>'2024 Legal Max'!AF135</f>
        <v>52.3</v>
      </c>
      <c r="K135" s="138">
        <f t="shared" si="3"/>
        <v>6.97</v>
      </c>
      <c r="L135" s="243">
        <f>(K135/100)*'2024 Legal Max'!BO135</f>
        <v>89260</v>
      </c>
      <c r="M135" s="129">
        <f>'2024 Legal Max'!AA135</f>
        <v>0</v>
      </c>
      <c r="N135" s="140">
        <f>IF('2024 Legal Max'!AA135=0,0,ROUND((M135/I135)*100,2))</f>
        <v>0</v>
      </c>
      <c r="O135" s="243">
        <f>(N135/100)*'2024 Legal Max'!BO135</f>
        <v>0</v>
      </c>
    </row>
    <row r="136" spans="1:15">
      <c r="A136" s="134">
        <v>339</v>
      </c>
      <c r="B136" s="129" t="s">
        <v>59</v>
      </c>
      <c r="C136" s="129" t="s">
        <v>641</v>
      </c>
      <c r="D136" s="129" t="str">
        <f>'2024 Legal Max'!AZ136</f>
        <v>A</v>
      </c>
      <c r="E136" s="241">
        <f>'2024 Legal Max'!AO136</f>
        <v>674693</v>
      </c>
      <c r="F136" s="136">
        <f>'2024 Legal Max'!AF136</f>
        <v>64.400000000000006</v>
      </c>
      <c r="G136" s="136">
        <f>'2024 Legal Max'!AI136</f>
        <v>0</v>
      </c>
      <c r="H136" s="243">
        <f>SUM(F136+G136)*'Weighting Factors'!$O$5</f>
        <v>327667</v>
      </c>
      <c r="I136" s="252">
        <f>'2024 Legal Max'!CR136-'2024 Legal Max'!T136-'2024 Legal Max'!AQ136</f>
        <v>869.7</v>
      </c>
      <c r="J136" s="136">
        <f>'2024 Legal Max'!AF136</f>
        <v>64.400000000000006</v>
      </c>
      <c r="K136" s="138">
        <f t="shared" si="3"/>
        <v>7.4</v>
      </c>
      <c r="L136" s="243">
        <f>(K136/100)*'2024 Legal Max'!BO136</f>
        <v>110013</v>
      </c>
      <c r="M136" s="129">
        <f>'2024 Legal Max'!AA136</f>
        <v>0</v>
      </c>
      <c r="N136" s="140">
        <f>IF('2024 Legal Max'!AA136=0,0,ROUND((M136/I136)*100,2))</f>
        <v>0</v>
      </c>
      <c r="O136" s="243">
        <f>(N136/100)*'2024 Legal Max'!BO136</f>
        <v>0</v>
      </c>
    </row>
    <row r="137" spans="1:15">
      <c r="A137" s="134">
        <v>340</v>
      </c>
      <c r="B137" s="129" t="s">
        <v>59</v>
      </c>
      <c r="C137" s="129" t="s">
        <v>642</v>
      </c>
      <c r="D137" s="129" t="str">
        <f>'2024 Legal Max'!AZ137</f>
        <v>A</v>
      </c>
      <c r="E137" s="241">
        <f>'2024 Legal Max'!AO137</f>
        <v>1079448</v>
      </c>
      <c r="F137" s="136">
        <f>'2024 Legal Max'!AF137</f>
        <v>102.6</v>
      </c>
      <c r="G137" s="136">
        <f>'2024 Legal Max'!AI137</f>
        <v>0</v>
      </c>
      <c r="H137" s="243">
        <f>SUM(F137+G137)*'Weighting Factors'!$O$5</f>
        <v>522029</v>
      </c>
      <c r="I137" s="252">
        <f>'2024 Legal Max'!CR137-'2024 Legal Max'!T137-'2024 Legal Max'!AQ137</f>
        <v>1473.6</v>
      </c>
      <c r="J137" s="136">
        <f>'2024 Legal Max'!AF137</f>
        <v>102.6</v>
      </c>
      <c r="K137" s="138">
        <f t="shared" si="3"/>
        <v>6.96</v>
      </c>
      <c r="L137" s="243">
        <f>(K137/100)*'2024 Legal Max'!BO137</f>
        <v>174229</v>
      </c>
      <c r="M137" s="129">
        <f>'2024 Legal Max'!AA137</f>
        <v>0.2</v>
      </c>
      <c r="N137" s="140">
        <f>IF('2024 Legal Max'!AA137=0,0,ROUND((M137/I137)*100,2))</f>
        <v>0.01</v>
      </c>
      <c r="O137" s="243">
        <f>(N137/100)*'2024 Legal Max'!BO137</f>
        <v>250</v>
      </c>
    </row>
    <row r="138" spans="1:15">
      <c r="A138" s="134">
        <v>341</v>
      </c>
      <c r="B138" s="129" t="s">
        <v>59</v>
      </c>
      <c r="C138" s="129" t="s">
        <v>643</v>
      </c>
      <c r="D138" s="129" t="str">
        <f>'2024 Legal Max'!AZ138</f>
        <v>A</v>
      </c>
      <c r="E138" s="241">
        <f>'2024 Legal Max'!AO138</f>
        <v>903268</v>
      </c>
      <c r="F138" s="136">
        <f>'2024 Legal Max'!AF138</f>
        <v>94.9</v>
      </c>
      <c r="G138" s="136">
        <f>'2024 Legal Max'!AI138</f>
        <v>2.6</v>
      </c>
      <c r="H138" s="243">
        <f>SUM(F138+G138)*'Weighting Factors'!$O$5</f>
        <v>496080</v>
      </c>
      <c r="I138" s="252">
        <f>'2024 Legal Max'!CR138-'2024 Legal Max'!T138-'2024 Legal Max'!AQ138</f>
        <v>1116.8</v>
      </c>
      <c r="J138" s="136">
        <f>'2024 Legal Max'!AF138</f>
        <v>94.9</v>
      </c>
      <c r="K138" s="138">
        <f t="shared" si="3"/>
        <v>8.5</v>
      </c>
      <c r="L138" s="243">
        <f>(K138/100)*'2024 Legal Max'!BO138</f>
        <v>162973</v>
      </c>
      <c r="M138" s="129">
        <f>'2024 Legal Max'!AA138</f>
        <v>0</v>
      </c>
      <c r="N138" s="140">
        <f>IF('2024 Legal Max'!AA138=0,0,ROUND((M138/I138)*100,2))</f>
        <v>0</v>
      </c>
      <c r="O138" s="243">
        <f>(N138/100)*'2024 Legal Max'!BO138</f>
        <v>0</v>
      </c>
    </row>
    <row r="139" spans="1:15">
      <c r="A139" s="134">
        <v>342</v>
      </c>
      <c r="B139" s="129" t="s">
        <v>59</v>
      </c>
      <c r="C139" s="129" t="s">
        <v>644</v>
      </c>
      <c r="D139" s="129" t="str">
        <f>'2024 Legal Max'!AZ139</f>
        <v>A</v>
      </c>
      <c r="E139" s="241">
        <f>'2024 Legal Max'!AO139</f>
        <v>679323</v>
      </c>
      <c r="F139" s="136">
        <f>'2024 Legal Max'!AF139</f>
        <v>83.2</v>
      </c>
      <c r="G139" s="136">
        <f>'2024 Legal Max'!AI139</f>
        <v>6.3</v>
      </c>
      <c r="H139" s="243">
        <f>SUM(F139+G139)*'Weighting Factors'!$O$5</f>
        <v>455376</v>
      </c>
      <c r="I139" s="252">
        <f>'2024 Legal Max'!CR139-'2024 Legal Max'!T139-'2024 Legal Max'!AQ139</f>
        <v>898.9</v>
      </c>
      <c r="J139" s="136">
        <f>'2024 Legal Max'!AF139</f>
        <v>83.2</v>
      </c>
      <c r="K139" s="138">
        <f t="shared" si="3"/>
        <v>9.26</v>
      </c>
      <c r="L139" s="243">
        <f>(K139/100)*'2024 Legal Max'!BO139</f>
        <v>137212</v>
      </c>
      <c r="M139" s="129">
        <f>'2024 Legal Max'!AA139</f>
        <v>0</v>
      </c>
      <c r="N139" s="140">
        <f>IF('2024 Legal Max'!AA139=0,0,ROUND((M139/I139)*100,2))</f>
        <v>0</v>
      </c>
      <c r="O139" s="243">
        <f>(N139/100)*'2024 Legal Max'!BO139</f>
        <v>0</v>
      </c>
    </row>
    <row r="140" spans="1:15">
      <c r="A140" s="134">
        <v>343</v>
      </c>
      <c r="B140" s="129" t="s">
        <v>59</v>
      </c>
      <c r="C140" s="129" t="s">
        <v>645</v>
      </c>
      <c r="D140" s="129" t="str">
        <f>'2024 Legal Max'!AZ140</f>
        <v>A</v>
      </c>
      <c r="E140" s="241">
        <f>'2024 Legal Max'!AO140</f>
        <v>909607</v>
      </c>
      <c r="F140" s="136">
        <f>'2024 Legal Max'!AF140</f>
        <v>123.9</v>
      </c>
      <c r="G140" s="136">
        <f>'2024 Legal Max'!AI140</f>
        <v>1.3</v>
      </c>
      <c r="H140" s="243">
        <f>SUM(F140+G140)*'Weighting Factors'!$O$5</f>
        <v>637018</v>
      </c>
      <c r="I140" s="252">
        <f>'2024 Legal Max'!CR140-'2024 Legal Max'!T140-'2024 Legal Max'!AQ140</f>
        <v>1377</v>
      </c>
      <c r="J140" s="136">
        <f>'2024 Legal Max'!AF140</f>
        <v>123.9</v>
      </c>
      <c r="K140" s="138">
        <f t="shared" si="3"/>
        <v>9</v>
      </c>
      <c r="L140" s="243">
        <f>(K140/100)*'2024 Legal Max'!BO140</f>
        <v>212884</v>
      </c>
      <c r="M140" s="129">
        <f>'2024 Legal Max'!AA140</f>
        <v>0.2</v>
      </c>
      <c r="N140" s="140">
        <f>IF('2024 Legal Max'!AA140=0,0,ROUND((M140/I140)*100,2))</f>
        <v>0.01</v>
      </c>
      <c r="O140" s="243">
        <f>(N140/100)*'2024 Legal Max'!BO140</f>
        <v>237</v>
      </c>
    </row>
    <row r="141" spans="1:15">
      <c r="A141" s="134">
        <v>344</v>
      </c>
      <c r="B141" s="129" t="s">
        <v>60</v>
      </c>
      <c r="C141" s="129" t="s">
        <v>646</v>
      </c>
      <c r="D141" s="129" t="str">
        <f>'2024 Legal Max'!AZ141</f>
        <v>A</v>
      </c>
      <c r="E141" s="241">
        <f>'2024 Legal Max'!AO141</f>
        <v>422452</v>
      </c>
      <c r="F141" s="136">
        <f>'2024 Legal Max'!AF141</f>
        <v>77.900000000000006</v>
      </c>
      <c r="G141" s="136">
        <f>'2024 Legal Max'!AI141</f>
        <v>12.5</v>
      </c>
      <c r="H141" s="243">
        <f>SUM(F141+G141)*'Weighting Factors'!$O$5</f>
        <v>459955</v>
      </c>
      <c r="I141" s="252">
        <f>'2024 Legal Max'!CR141-'2024 Legal Max'!T141-'2024 Legal Max'!AQ141</f>
        <v>700.9</v>
      </c>
      <c r="J141" s="136">
        <f>'2024 Legal Max'!AF141</f>
        <v>77.900000000000006</v>
      </c>
      <c r="K141" s="138">
        <f t="shared" si="3"/>
        <v>11.11</v>
      </c>
      <c r="L141" s="243">
        <f>(K141/100)*'2024 Legal Max'!BO141</f>
        <v>134229</v>
      </c>
      <c r="M141" s="129">
        <f>'2024 Legal Max'!AA141</f>
        <v>0</v>
      </c>
      <c r="N141" s="140">
        <f>IF('2024 Legal Max'!AA141=0,0,ROUND((M141/I141)*100,2))</f>
        <v>0</v>
      </c>
      <c r="O141" s="243">
        <f>(N141/100)*'2024 Legal Max'!BO141</f>
        <v>0</v>
      </c>
    </row>
    <row r="142" spans="1:15">
      <c r="A142" s="134">
        <v>345</v>
      </c>
      <c r="B142" s="129" t="s">
        <v>61</v>
      </c>
      <c r="C142" s="129" t="s">
        <v>647</v>
      </c>
      <c r="D142" s="129" t="str">
        <f>'2024 Legal Max'!AZ142</f>
        <v>A</v>
      </c>
      <c r="E142" s="241">
        <f>'2024 Legal Max'!AO142</f>
        <v>5501725</v>
      </c>
      <c r="F142" s="136">
        <f>'2024 Legal Max'!AF142</f>
        <v>595.79999999999995</v>
      </c>
      <c r="G142" s="136">
        <f>'2024 Legal Max'!AI142</f>
        <v>35.4</v>
      </c>
      <c r="H142" s="243">
        <f>SUM(F142+G142)*'Weighting Factors'!$O$5</f>
        <v>3211546</v>
      </c>
      <c r="I142" s="252">
        <f>'2024 Legal Max'!CR142-'2024 Legal Max'!T142-'2024 Legal Max'!AQ142</f>
        <v>5829.3</v>
      </c>
      <c r="J142" s="136">
        <f>'2024 Legal Max'!AF142</f>
        <v>595.79999999999995</v>
      </c>
      <c r="K142" s="138">
        <f t="shared" si="3"/>
        <v>10.220000000000001</v>
      </c>
      <c r="L142" s="243">
        <f>(K142/100)*'2024 Legal Max'!BO142</f>
        <v>1021858</v>
      </c>
      <c r="M142" s="129">
        <f>'2024 Legal Max'!AA142</f>
        <v>3.7</v>
      </c>
      <c r="N142" s="140">
        <f>IF('2024 Legal Max'!AA142=0,0,ROUND((M142/I142)*100,2))</f>
        <v>0.06</v>
      </c>
      <c r="O142" s="243">
        <f>(N142/100)*'2024 Legal Max'!BO142</f>
        <v>5999</v>
      </c>
    </row>
    <row r="143" spans="1:15">
      <c r="A143" s="134">
        <v>346</v>
      </c>
      <c r="B143" s="129" t="s">
        <v>60</v>
      </c>
      <c r="C143" s="129" t="s">
        <v>648</v>
      </c>
      <c r="D143" s="129" t="str">
        <f>'2024 Legal Max'!AZ143</f>
        <v>A</v>
      </c>
      <c r="E143" s="241">
        <f>'2024 Legal Max'!AO143</f>
        <v>838776</v>
      </c>
      <c r="F143" s="136">
        <f>'2024 Legal Max'!AF143</f>
        <v>143.30000000000001</v>
      </c>
      <c r="G143" s="136">
        <f>'2024 Legal Max'!AI143</f>
        <v>31.1</v>
      </c>
      <c r="H143" s="243">
        <f>SUM(F143+G143)*'Weighting Factors'!$O$5</f>
        <v>887347</v>
      </c>
      <c r="I143" s="252">
        <f>'2024 Legal Max'!CR143-'2024 Legal Max'!T143-'2024 Legal Max'!AQ143</f>
        <v>1189</v>
      </c>
      <c r="J143" s="136">
        <f>'2024 Legal Max'!AF143</f>
        <v>143.30000000000001</v>
      </c>
      <c r="K143" s="138">
        <f t="shared" si="3"/>
        <v>12.05</v>
      </c>
      <c r="L143" s="243">
        <f>(K143/100)*'2024 Legal Max'!BO143</f>
        <v>235239</v>
      </c>
      <c r="M143" s="129">
        <f>'2024 Legal Max'!AA143</f>
        <v>0.7</v>
      </c>
      <c r="N143" s="140">
        <f>IF('2024 Legal Max'!AA143=0,0,ROUND((M143/I143)*100,2))</f>
        <v>0.06</v>
      </c>
      <c r="O143" s="243">
        <f>(N143/100)*'2024 Legal Max'!BO143</f>
        <v>1171</v>
      </c>
    </row>
    <row r="144" spans="1:15">
      <c r="A144" s="134">
        <v>347</v>
      </c>
      <c r="B144" s="129" t="s">
        <v>62</v>
      </c>
      <c r="C144" s="129" t="s">
        <v>649</v>
      </c>
      <c r="D144" s="129" t="str">
        <f>'2024 Legal Max'!AZ144</f>
        <v>A</v>
      </c>
      <c r="E144" s="241">
        <f>'2024 Legal Max'!AO144</f>
        <v>321939</v>
      </c>
      <c r="F144" s="136">
        <f>'2024 Legal Max'!AF144</f>
        <v>62.4</v>
      </c>
      <c r="G144" s="136">
        <f>'2024 Legal Max'!AI144</f>
        <v>9.1</v>
      </c>
      <c r="H144" s="243">
        <f>SUM(F144+G144)*'Weighting Factors'!$O$5</f>
        <v>363792</v>
      </c>
      <c r="I144" s="252">
        <f>'2024 Legal Max'!CR144-'2024 Legal Max'!T144-'2024 Legal Max'!AQ144</f>
        <v>610.9</v>
      </c>
      <c r="J144" s="136">
        <f>'2024 Legal Max'!AF144</f>
        <v>62.4</v>
      </c>
      <c r="K144" s="138">
        <f t="shared" si="3"/>
        <v>10.210000000000001</v>
      </c>
      <c r="L144" s="243">
        <f>(K144/100)*'2024 Legal Max'!BO144</f>
        <v>109135</v>
      </c>
      <c r="M144" s="129">
        <f>'2024 Legal Max'!AA144</f>
        <v>4.3</v>
      </c>
      <c r="N144" s="140">
        <f>IF('2024 Legal Max'!AA144=0,0,ROUND((M144/I144)*100,2))</f>
        <v>0.7</v>
      </c>
      <c r="O144" s="243">
        <f>(N144/100)*'2024 Legal Max'!BO144</f>
        <v>7482</v>
      </c>
    </row>
    <row r="145" spans="1:15">
      <c r="A145" s="134">
        <v>348</v>
      </c>
      <c r="B145" s="129" t="s">
        <v>63</v>
      </c>
      <c r="C145" s="129" t="s">
        <v>650</v>
      </c>
      <c r="D145" s="129" t="str">
        <f>'2024 Legal Max'!AZ145</f>
        <v>A</v>
      </c>
      <c r="E145" s="241">
        <f>'2024 Legal Max'!AO145</f>
        <v>1465213</v>
      </c>
      <c r="F145" s="136">
        <f>'2024 Legal Max'!AF145</f>
        <v>158.30000000000001</v>
      </c>
      <c r="G145" s="136">
        <f>'2024 Legal Max'!AI145</f>
        <v>0</v>
      </c>
      <c r="H145" s="243">
        <f>SUM(F145+G145)*'Weighting Factors'!$O$5</f>
        <v>805430</v>
      </c>
      <c r="I145" s="252">
        <f>'2024 Legal Max'!CR145-'2024 Legal Max'!T145-'2024 Legal Max'!AQ145</f>
        <v>2032.9</v>
      </c>
      <c r="J145" s="136">
        <f>'2024 Legal Max'!AF145</f>
        <v>158.30000000000001</v>
      </c>
      <c r="K145" s="138">
        <f t="shared" si="3"/>
        <v>7.79</v>
      </c>
      <c r="L145" s="243">
        <f>(K145/100)*'2024 Legal Max'!BO145</f>
        <v>259485</v>
      </c>
      <c r="M145" s="129">
        <f>'2024 Legal Max'!AA145</f>
        <v>1.1000000000000001</v>
      </c>
      <c r="N145" s="140">
        <f>IF('2024 Legal Max'!AA145=0,0,ROUND((M145/I145)*100,2))</f>
        <v>0.05</v>
      </c>
      <c r="O145" s="243">
        <f>(N145/100)*'2024 Legal Max'!BO145</f>
        <v>1666</v>
      </c>
    </row>
    <row r="146" spans="1:15">
      <c r="A146" s="134">
        <v>349</v>
      </c>
      <c r="B146" s="129" t="s">
        <v>64</v>
      </c>
      <c r="C146" s="129" t="s">
        <v>651</v>
      </c>
      <c r="D146" s="129" t="str">
        <f>'2024 Legal Max'!AZ146</f>
        <v>A</v>
      </c>
      <c r="E146" s="241">
        <f>'2024 Legal Max'!AO146</f>
        <v>349725</v>
      </c>
      <c r="F146" s="136">
        <f>'2024 Legal Max'!AF146</f>
        <v>63.4</v>
      </c>
      <c r="G146" s="136">
        <f>'2024 Legal Max'!AI146</f>
        <v>13.8</v>
      </c>
      <c r="H146" s="243">
        <f>SUM(F146+G146)*'Weighting Factors'!$O$5</f>
        <v>392794</v>
      </c>
      <c r="I146" s="252">
        <f>'2024 Legal Max'!CR146-'2024 Legal Max'!T146-'2024 Legal Max'!AQ146</f>
        <v>573.29999999999995</v>
      </c>
      <c r="J146" s="136">
        <f>'2024 Legal Max'!AF146</f>
        <v>63.4</v>
      </c>
      <c r="K146" s="138">
        <f t="shared" si="3"/>
        <v>11.06</v>
      </c>
      <c r="L146" s="243">
        <f>(K146/100)*'2024 Legal Max'!BO146</f>
        <v>98757</v>
      </c>
      <c r="M146" s="129">
        <f>'2024 Legal Max'!AA146</f>
        <v>3.3</v>
      </c>
      <c r="N146" s="140">
        <f>IF('2024 Legal Max'!AA146=0,0,ROUND((M146/I146)*100,2))</f>
        <v>0.57999999999999996</v>
      </c>
      <c r="O146" s="243">
        <f>(N146/100)*'2024 Legal Max'!BO146</f>
        <v>5179</v>
      </c>
    </row>
    <row r="147" spans="1:15">
      <c r="A147" s="134">
        <v>350</v>
      </c>
      <c r="B147" s="129" t="s">
        <v>64</v>
      </c>
      <c r="C147" s="129" t="s">
        <v>652</v>
      </c>
      <c r="D147" s="129" t="str">
        <f>'2024 Legal Max'!AZ147</f>
        <v>A</v>
      </c>
      <c r="E147" s="241">
        <f>'2024 Legal Max'!AO147</f>
        <v>431383</v>
      </c>
      <c r="F147" s="136">
        <f>'2024 Legal Max'!AF147</f>
        <v>62.4</v>
      </c>
      <c r="G147" s="136">
        <f>'2024 Legal Max'!AI147</f>
        <v>4.2</v>
      </c>
      <c r="H147" s="243">
        <f>SUM(F147+G147)*'Weighting Factors'!$O$5</f>
        <v>338861</v>
      </c>
      <c r="I147" s="252">
        <f>'2024 Legal Max'!CR147-'2024 Legal Max'!T147-'2024 Legal Max'!AQ147</f>
        <v>636.20000000000005</v>
      </c>
      <c r="J147" s="136">
        <f>'2024 Legal Max'!AF147</f>
        <v>62.4</v>
      </c>
      <c r="K147" s="138">
        <f t="shared" si="3"/>
        <v>9.81</v>
      </c>
      <c r="L147" s="243">
        <f>(K147/100)*'2024 Legal Max'!BO147</f>
        <v>106873</v>
      </c>
      <c r="M147" s="129">
        <f>'2024 Legal Max'!AA147</f>
        <v>5.5</v>
      </c>
      <c r="N147" s="140">
        <f>IF('2024 Legal Max'!AA147=0,0,ROUND((M147/I147)*100,2))</f>
        <v>0.86</v>
      </c>
      <c r="O147" s="243">
        <f>(N147/100)*'2024 Legal Max'!BO147</f>
        <v>9369</v>
      </c>
    </row>
    <row r="148" spans="1:15">
      <c r="A148" s="134">
        <v>351</v>
      </c>
      <c r="B148" s="129" t="s">
        <v>64</v>
      </c>
      <c r="C148" s="129" t="s">
        <v>653</v>
      </c>
      <c r="D148" s="129" t="str">
        <f>'2024 Legal Max'!AZ148</f>
        <v>A</v>
      </c>
      <c r="E148" s="241">
        <f>'2024 Legal Max'!AO148</f>
        <v>262159</v>
      </c>
      <c r="F148" s="136">
        <f>'2024 Legal Max'!AF148</f>
        <v>47.4</v>
      </c>
      <c r="G148" s="136">
        <f>'2024 Legal Max'!AI148</f>
        <v>10.3</v>
      </c>
      <c r="H148" s="243">
        <f>SUM(F148+G148)*'Weighting Factors'!$O$5</f>
        <v>293578</v>
      </c>
      <c r="I148" s="252">
        <f>'2024 Legal Max'!CR148-'2024 Legal Max'!T148-'2024 Legal Max'!AQ148</f>
        <v>465.1</v>
      </c>
      <c r="J148" s="136">
        <f>'2024 Legal Max'!AF148</f>
        <v>47.4</v>
      </c>
      <c r="K148" s="138">
        <f t="shared" si="3"/>
        <v>10.19</v>
      </c>
      <c r="L148" s="243">
        <f>(K148/100)*'2024 Legal Max'!BO148</f>
        <v>83060</v>
      </c>
      <c r="M148" s="129">
        <f>'2024 Legal Max'!AA148</f>
        <v>5.2</v>
      </c>
      <c r="N148" s="140">
        <f>IF('2024 Legal Max'!AA148=0,0,ROUND((M148/I148)*100,2))</f>
        <v>1.1200000000000001</v>
      </c>
      <c r="O148" s="243">
        <f>(N148/100)*'2024 Legal Max'!BO148</f>
        <v>9129</v>
      </c>
    </row>
    <row r="149" spans="1:15">
      <c r="A149" s="134">
        <v>352</v>
      </c>
      <c r="B149" s="129" t="s">
        <v>65</v>
      </c>
      <c r="C149" s="129" t="s">
        <v>654</v>
      </c>
      <c r="D149" s="129" t="str">
        <f>'2024 Legal Max'!AZ149</f>
        <v>A</v>
      </c>
      <c r="E149" s="241">
        <f>'2024 Legal Max'!AO149</f>
        <v>853748</v>
      </c>
      <c r="F149" s="136">
        <f>'2024 Legal Max'!AF149</f>
        <v>194.6</v>
      </c>
      <c r="G149" s="136">
        <f>'2024 Legal Max'!AI149</f>
        <v>31.3</v>
      </c>
      <c r="H149" s="243">
        <f>SUM(F149+G149)*'Weighting Factors'!$O$5</f>
        <v>1149379</v>
      </c>
      <c r="I149" s="252">
        <f>'2024 Legal Max'!CR149-'2024 Legal Max'!T149-'2024 Legal Max'!AQ149</f>
        <v>1595.3</v>
      </c>
      <c r="J149" s="136">
        <f>'2024 Legal Max'!AF149</f>
        <v>194.6</v>
      </c>
      <c r="K149" s="138">
        <f t="shared" si="3"/>
        <v>12.2</v>
      </c>
      <c r="L149" s="243">
        <f>(K149/100)*'2024 Legal Max'!BO149</f>
        <v>319359</v>
      </c>
      <c r="M149" s="129">
        <f>'2024 Legal Max'!AA149</f>
        <v>7.5</v>
      </c>
      <c r="N149" s="140">
        <f>IF('2024 Legal Max'!AA149=0,0,ROUND((M149/I149)*100,2))</f>
        <v>0.47</v>
      </c>
      <c r="O149" s="243">
        <f>(N149/100)*'2024 Legal Max'!BO149</f>
        <v>12303</v>
      </c>
    </row>
    <row r="150" spans="1:15">
      <c r="A150" s="134">
        <v>353</v>
      </c>
      <c r="B150" s="129" t="s">
        <v>66</v>
      </c>
      <c r="C150" s="129" t="s">
        <v>655</v>
      </c>
      <c r="D150" s="129" t="str">
        <f>'2024 Legal Max'!AZ150</f>
        <v>A</v>
      </c>
      <c r="E150" s="241">
        <f>'2024 Legal Max'!AO150</f>
        <v>2067109</v>
      </c>
      <c r="F150" s="136">
        <f>'2024 Legal Max'!AF150</f>
        <v>390.1</v>
      </c>
      <c r="G150" s="136">
        <f>'2024 Legal Max'!AI150</f>
        <v>84.6</v>
      </c>
      <c r="H150" s="243">
        <f>SUM(F150+G150)*'Weighting Factors'!$O$5</f>
        <v>2415274</v>
      </c>
      <c r="I150" s="252">
        <f>'2024 Legal Max'!CR150-'2024 Legal Max'!T150-'2024 Legal Max'!AQ150</f>
        <v>2550.8000000000002</v>
      </c>
      <c r="J150" s="136">
        <f>'2024 Legal Max'!AF150</f>
        <v>390.1</v>
      </c>
      <c r="K150" s="138">
        <f t="shared" si="3"/>
        <v>15.29</v>
      </c>
      <c r="L150" s="243">
        <f>(K150/100)*'2024 Legal Max'!BO150</f>
        <v>636811</v>
      </c>
      <c r="M150" s="129">
        <f>'2024 Legal Max'!AA150</f>
        <v>4.8</v>
      </c>
      <c r="N150" s="140">
        <f>IF('2024 Legal Max'!AA150=0,0,ROUND((M150/I150)*100,2))</f>
        <v>0.19</v>
      </c>
      <c r="O150" s="243">
        <f>(N150/100)*'2024 Legal Max'!BO150</f>
        <v>7913</v>
      </c>
    </row>
    <row r="151" spans="1:15">
      <c r="A151" s="134">
        <v>355</v>
      </c>
      <c r="B151" s="129" t="s">
        <v>67</v>
      </c>
      <c r="C151" s="129" t="s">
        <v>656</v>
      </c>
      <c r="D151" s="129" t="str">
        <f>'2024 Legal Max'!AZ151</f>
        <v>A</v>
      </c>
      <c r="E151" s="241">
        <f>'2024 Legal Max'!AO151</f>
        <v>554692</v>
      </c>
      <c r="F151" s="136">
        <f>'2024 Legal Max'!AF151</f>
        <v>77.400000000000006</v>
      </c>
      <c r="G151" s="136">
        <f>'2024 Legal Max'!AI151</f>
        <v>1</v>
      </c>
      <c r="H151" s="243">
        <f>SUM(F151+G151)*'Weighting Factors'!$O$5</f>
        <v>398899</v>
      </c>
      <c r="I151" s="252">
        <f>'2024 Legal Max'!CR151-'2024 Legal Max'!T151-'2024 Legal Max'!AQ151</f>
        <v>836.7</v>
      </c>
      <c r="J151" s="136">
        <f>'2024 Legal Max'!AF151</f>
        <v>77.400000000000006</v>
      </c>
      <c r="K151" s="138">
        <f t="shared" si="3"/>
        <v>9.25</v>
      </c>
      <c r="L151" s="243">
        <f>(K151/100)*'2024 Legal Max'!BO151</f>
        <v>131586</v>
      </c>
      <c r="M151" s="129">
        <f>'2024 Legal Max'!AA151</f>
        <v>0</v>
      </c>
      <c r="N151" s="140">
        <f>IF('2024 Legal Max'!AA151=0,0,ROUND((M151/I151)*100,2))</f>
        <v>0</v>
      </c>
      <c r="O151" s="243">
        <f>(N151/100)*'2024 Legal Max'!BO151</f>
        <v>0</v>
      </c>
    </row>
    <row r="152" spans="1:15">
      <c r="A152" s="134">
        <v>356</v>
      </c>
      <c r="B152" s="129" t="s">
        <v>66</v>
      </c>
      <c r="C152" s="129" t="s">
        <v>657</v>
      </c>
      <c r="D152" s="129" t="str">
        <f>'2024 Legal Max'!AZ152</f>
        <v>A</v>
      </c>
      <c r="E152" s="241">
        <f>'2024 Legal Max'!AO152</f>
        <v>472649</v>
      </c>
      <c r="F152" s="136">
        <f>'2024 Legal Max'!AF152</f>
        <v>55.7</v>
      </c>
      <c r="G152" s="136">
        <f>'2024 Legal Max'!AI152</f>
        <v>0</v>
      </c>
      <c r="H152" s="243">
        <f>SUM(F152+G152)*'Weighting Factors'!$O$5</f>
        <v>283402</v>
      </c>
      <c r="I152" s="252">
        <f>'2024 Legal Max'!CR152-'2024 Legal Max'!T152-'2024 Legal Max'!AQ152</f>
        <v>755.1</v>
      </c>
      <c r="J152" s="136">
        <f>'2024 Legal Max'!AF152</f>
        <v>55.7</v>
      </c>
      <c r="K152" s="138">
        <f t="shared" si="3"/>
        <v>7.38</v>
      </c>
      <c r="L152" s="243">
        <f>(K152/100)*'2024 Legal Max'!BO152</f>
        <v>92060</v>
      </c>
      <c r="M152" s="129">
        <f>'2024 Legal Max'!AA152</f>
        <v>0</v>
      </c>
      <c r="N152" s="140">
        <f>IF('2024 Legal Max'!AA152=0,0,ROUND((M152/I152)*100,2))</f>
        <v>0</v>
      </c>
      <c r="O152" s="243">
        <f>(N152/100)*'2024 Legal Max'!BO152</f>
        <v>0</v>
      </c>
    </row>
    <row r="153" spans="1:15">
      <c r="A153" s="134">
        <v>357</v>
      </c>
      <c r="B153" s="129" t="s">
        <v>66</v>
      </c>
      <c r="C153" s="129" t="s">
        <v>658</v>
      </c>
      <c r="D153" s="129" t="str">
        <f>'2024 Legal Max'!AZ153</f>
        <v>A</v>
      </c>
      <c r="E153" s="241">
        <f>'2024 Legal Max'!AO153</f>
        <v>905585</v>
      </c>
      <c r="F153" s="136">
        <f>'2024 Legal Max'!AF153</f>
        <v>107.4</v>
      </c>
      <c r="G153" s="136">
        <f>'2024 Legal Max'!AI153</f>
        <v>10.3</v>
      </c>
      <c r="H153" s="243">
        <f>SUM(F153+G153)*'Weighting Factors'!$O$5</f>
        <v>598858</v>
      </c>
      <c r="I153" s="252">
        <f>'2024 Legal Max'!CR153-'2024 Legal Max'!T153-'2024 Legal Max'!AQ153</f>
        <v>1131.8</v>
      </c>
      <c r="J153" s="136">
        <f>'2024 Legal Max'!AF153</f>
        <v>107.4</v>
      </c>
      <c r="K153" s="138">
        <f t="shared" si="3"/>
        <v>9.49</v>
      </c>
      <c r="L153" s="243">
        <f>(K153/100)*'2024 Legal Max'!BO153</f>
        <v>185381</v>
      </c>
      <c r="M153" s="129">
        <f>'2024 Legal Max'!AA153</f>
        <v>0.6</v>
      </c>
      <c r="N153" s="140">
        <f>IF('2024 Legal Max'!AA153=0,0,ROUND((M153/I153)*100,2))</f>
        <v>0.05</v>
      </c>
      <c r="O153" s="243">
        <f>(N153/100)*'2024 Legal Max'!BO153</f>
        <v>977</v>
      </c>
    </row>
    <row r="154" spans="1:15">
      <c r="A154" s="134">
        <v>358</v>
      </c>
      <c r="B154" s="129" t="s">
        <v>66</v>
      </c>
      <c r="C154" s="129" t="s">
        <v>659</v>
      </c>
      <c r="D154" s="129" t="str">
        <f>'2024 Legal Max'!AZ154</f>
        <v>A</v>
      </c>
      <c r="E154" s="241">
        <f>'2024 Legal Max'!AO154</f>
        <v>597116</v>
      </c>
      <c r="F154" s="136">
        <f>'2024 Legal Max'!AF154</f>
        <v>64.900000000000006</v>
      </c>
      <c r="G154" s="136">
        <f>'2024 Legal Max'!AI154</f>
        <v>1.4</v>
      </c>
      <c r="H154" s="243">
        <f>SUM(F154+G154)*'Weighting Factors'!$O$5</f>
        <v>337334</v>
      </c>
      <c r="I154" s="252">
        <f>'2024 Legal Max'!CR154-'2024 Legal Max'!T154-'2024 Legal Max'!AQ154</f>
        <v>767.5</v>
      </c>
      <c r="J154" s="136">
        <f>'2024 Legal Max'!AF154</f>
        <v>64.900000000000006</v>
      </c>
      <c r="K154" s="138">
        <f t="shared" si="3"/>
        <v>8.4600000000000009</v>
      </c>
      <c r="L154" s="243">
        <f>(K154/100)*'2024 Legal Max'!BO154</f>
        <v>106227</v>
      </c>
      <c r="M154" s="129">
        <f>'2024 Legal Max'!AA154</f>
        <v>0.6</v>
      </c>
      <c r="N154" s="140">
        <f>IF('2024 Legal Max'!AA154=0,0,ROUND((M154/I154)*100,2))</f>
        <v>0.08</v>
      </c>
      <c r="O154" s="243">
        <f>(N154/100)*'2024 Legal Max'!BO154</f>
        <v>1005</v>
      </c>
    </row>
    <row r="155" spans="1:15">
      <c r="A155" s="134">
        <v>359</v>
      </c>
      <c r="B155" s="129" t="s">
        <v>66</v>
      </c>
      <c r="C155" s="129" t="s">
        <v>660</v>
      </c>
      <c r="D155" s="129" t="str">
        <f>'2024 Legal Max'!AZ155</f>
        <v>A</v>
      </c>
      <c r="E155" s="241">
        <f>'2024 Legal Max'!AO155</f>
        <v>294165</v>
      </c>
      <c r="F155" s="136">
        <f>'2024 Legal Max'!AF155</f>
        <v>25.2</v>
      </c>
      <c r="G155" s="136">
        <f>'2024 Legal Max'!AI155</f>
        <v>2.7</v>
      </c>
      <c r="H155" s="243">
        <f>SUM(F155+G155)*'Weighting Factors'!$O$5</f>
        <v>141955</v>
      </c>
      <c r="I155" s="252">
        <f>'2024 Legal Max'!CR155-'2024 Legal Max'!T155-'2024 Legal Max'!AQ155</f>
        <v>398.3</v>
      </c>
      <c r="J155" s="136">
        <f>'2024 Legal Max'!AF155</f>
        <v>25.2</v>
      </c>
      <c r="K155" s="138">
        <f t="shared" si="3"/>
        <v>6.33</v>
      </c>
      <c r="L155" s="243">
        <f>(K155/100)*'2024 Legal Max'!BO155</f>
        <v>41273</v>
      </c>
      <c r="M155" s="129">
        <f>'2024 Legal Max'!AA155</f>
        <v>0</v>
      </c>
      <c r="N155" s="140">
        <f>IF('2024 Legal Max'!AA155=0,0,ROUND((M155/I155)*100,2))</f>
        <v>0</v>
      </c>
      <c r="O155" s="243">
        <f>(N155/100)*'2024 Legal Max'!BO155</f>
        <v>0</v>
      </c>
    </row>
    <row r="156" spans="1:15">
      <c r="A156" s="134">
        <v>360</v>
      </c>
      <c r="B156" s="129" t="s">
        <v>66</v>
      </c>
      <c r="C156" s="129" t="s">
        <v>661</v>
      </c>
      <c r="D156" s="129" t="str">
        <f>'2024 Legal Max'!AZ156</f>
        <v>A</v>
      </c>
      <c r="E156" s="241">
        <f>'2024 Legal Max'!AO156</f>
        <v>395821</v>
      </c>
      <c r="F156" s="136">
        <f>'2024 Legal Max'!AF156</f>
        <v>67.8</v>
      </c>
      <c r="G156" s="136">
        <f>'2024 Legal Max'!AI156</f>
        <v>14.7</v>
      </c>
      <c r="H156" s="243">
        <f>SUM(F156+G156)*'Weighting Factors'!$O$5</f>
        <v>419760</v>
      </c>
      <c r="I156" s="252">
        <f>'2024 Legal Max'!CR156-'2024 Legal Max'!T156-'2024 Legal Max'!AQ156</f>
        <v>555.5</v>
      </c>
      <c r="J156" s="136">
        <f>'2024 Legal Max'!AF156</f>
        <v>67.8</v>
      </c>
      <c r="K156" s="138">
        <f t="shared" si="3"/>
        <v>12.21</v>
      </c>
      <c r="L156" s="243">
        <f>(K156/100)*'2024 Legal Max'!BO156</f>
        <v>115957</v>
      </c>
      <c r="M156" s="129">
        <f>'2024 Legal Max'!AA156</f>
        <v>0</v>
      </c>
      <c r="N156" s="140">
        <f>IF('2024 Legal Max'!AA156=0,0,ROUND((M156/I156)*100,2))</f>
        <v>0</v>
      </c>
      <c r="O156" s="243">
        <f>(N156/100)*'2024 Legal Max'!BO156</f>
        <v>0</v>
      </c>
    </row>
    <row r="157" spans="1:15">
      <c r="A157" s="134">
        <v>361</v>
      </c>
      <c r="B157" s="129" t="s">
        <v>68</v>
      </c>
      <c r="C157" s="129" t="s">
        <v>662</v>
      </c>
      <c r="D157" s="129" t="str">
        <f>'2024 Legal Max'!AZ157</f>
        <v>A</v>
      </c>
      <c r="E157" s="241">
        <f>'2024 Legal Max'!AO157</f>
        <v>1142986</v>
      </c>
      <c r="F157" s="136">
        <f>'2024 Legal Max'!AF157</f>
        <v>213</v>
      </c>
      <c r="G157" s="136">
        <f>'2024 Legal Max'!AI157</f>
        <v>46.2</v>
      </c>
      <c r="H157" s="243">
        <f>SUM(F157+G157)*'Weighting Factors'!$O$5</f>
        <v>1318810</v>
      </c>
      <c r="I157" s="252">
        <f>'2024 Legal Max'!CR157-'2024 Legal Max'!T157-'2024 Legal Max'!AQ157</f>
        <v>1629.7</v>
      </c>
      <c r="J157" s="136">
        <f>'2024 Legal Max'!AF157</f>
        <v>213</v>
      </c>
      <c r="K157" s="138">
        <f t="shared" si="3"/>
        <v>13.07</v>
      </c>
      <c r="L157" s="243">
        <f>(K157/100)*'2024 Legal Max'!BO157</f>
        <v>364782</v>
      </c>
      <c r="M157" s="129">
        <f>'2024 Legal Max'!AA157</f>
        <v>12.8</v>
      </c>
      <c r="N157" s="140">
        <f>IF('2024 Legal Max'!AA157=0,0,ROUND((M157/I157)*100,2))</f>
        <v>0.79</v>
      </c>
      <c r="O157" s="243">
        <f>(N157/100)*'2024 Legal Max'!BO157</f>
        <v>22049</v>
      </c>
    </row>
    <row r="158" spans="1:15">
      <c r="A158" s="134">
        <v>362</v>
      </c>
      <c r="B158" s="129" t="s">
        <v>60</v>
      </c>
      <c r="C158" s="129" t="s">
        <v>663</v>
      </c>
      <c r="D158" s="129" t="str">
        <f>'2024 Legal Max'!AZ158</f>
        <v>A</v>
      </c>
      <c r="E158" s="241">
        <f>'2024 Legal Max'!AO158</f>
        <v>1589178</v>
      </c>
      <c r="F158" s="136">
        <f>'2024 Legal Max'!AF158</f>
        <v>158.30000000000001</v>
      </c>
      <c r="G158" s="136">
        <f>'2024 Legal Max'!AI158</f>
        <v>8.4</v>
      </c>
      <c r="H158" s="243">
        <f>SUM(F158+G158)*'Weighting Factors'!$O$5</f>
        <v>848170</v>
      </c>
      <c r="I158" s="252">
        <f>'2024 Legal Max'!CR158-'2024 Legal Max'!T158-'2024 Legal Max'!AQ158</f>
        <v>1719.4</v>
      </c>
      <c r="J158" s="136">
        <f>'2024 Legal Max'!AF158</f>
        <v>158.30000000000001</v>
      </c>
      <c r="K158" s="138">
        <f t="shared" si="3"/>
        <v>9.2100000000000009</v>
      </c>
      <c r="L158" s="243">
        <f>(K158/100)*'2024 Legal Max'!BO158</f>
        <v>271709</v>
      </c>
      <c r="M158" s="129">
        <f>'2024 Legal Max'!AA158</f>
        <v>0.2</v>
      </c>
      <c r="N158" s="140">
        <f>IF('2024 Legal Max'!AA158=0,0,ROUND((M158/I158)*100,2))</f>
        <v>0.01</v>
      </c>
      <c r="O158" s="243">
        <f>(N158/100)*'2024 Legal Max'!BO158</f>
        <v>295</v>
      </c>
    </row>
    <row r="159" spans="1:15">
      <c r="A159" s="134">
        <v>363</v>
      </c>
      <c r="B159" s="129" t="s">
        <v>69</v>
      </c>
      <c r="C159" s="129" t="s">
        <v>664</v>
      </c>
      <c r="D159" s="129" t="str">
        <f>'2024 Legal Max'!AZ159</f>
        <v>A</v>
      </c>
      <c r="E159" s="241">
        <f>'2024 Legal Max'!AO159</f>
        <v>586327</v>
      </c>
      <c r="F159" s="136">
        <f>'2024 Legal Max'!AF159</f>
        <v>220.7</v>
      </c>
      <c r="G159" s="136">
        <f>'2024 Legal Max'!AI159</f>
        <v>39.299999999999997</v>
      </c>
      <c r="H159" s="243">
        <f>SUM(F159+G159)*'Weighting Factors'!$O$5</f>
        <v>1322880</v>
      </c>
      <c r="I159" s="252">
        <f>'2024 Legal Max'!CR159-'2024 Legal Max'!T159-'2024 Legal Max'!AQ159</f>
        <v>1621.9</v>
      </c>
      <c r="J159" s="136">
        <f>'2024 Legal Max'!AF159</f>
        <v>220.7</v>
      </c>
      <c r="K159" s="138">
        <f t="shared" si="3"/>
        <v>13.61</v>
      </c>
      <c r="L159" s="243">
        <f>(K159/100)*'2024 Legal Max'!BO159</f>
        <v>380127</v>
      </c>
      <c r="M159" s="129">
        <f>'2024 Legal Max'!AA159</f>
        <v>24</v>
      </c>
      <c r="N159" s="140">
        <f>IF('2024 Legal Max'!AA159=0,0,ROUND((M159/I159)*100,2))</f>
        <v>1.48</v>
      </c>
      <c r="O159" s="243">
        <f>(N159/100)*'2024 Legal Max'!BO159</f>
        <v>41336</v>
      </c>
    </row>
    <row r="160" spans="1:15">
      <c r="A160" s="134">
        <v>364</v>
      </c>
      <c r="B160" s="129" t="s">
        <v>70</v>
      </c>
      <c r="C160" s="129" t="s">
        <v>665</v>
      </c>
      <c r="D160" s="129" t="str">
        <f>'2024 Legal Max'!AZ160</f>
        <v>A</v>
      </c>
      <c r="E160" s="241">
        <f>'2024 Legal Max'!AO160</f>
        <v>722820</v>
      </c>
      <c r="F160" s="136">
        <f>'2024 Legal Max'!AF160</f>
        <v>163.1</v>
      </c>
      <c r="G160" s="136">
        <f>'2024 Legal Max'!AI160</f>
        <v>22.5</v>
      </c>
      <c r="H160" s="243">
        <f>SUM(F160+G160)*'Weighting Factors'!$O$5</f>
        <v>944333</v>
      </c>
      <c r="I160" s="252">
        <f>'2024 Legal Max'!CR160-'2024 Legal Max'!T160-'2024 Legal Max'!AQ160</f>
        <v>1412.6</v>
      </c>
      <c r="J160" s="136">
        <f>'2024 Legal Max'!AF160</f>
        <v>163.1</v>
      </c>
      <c r="K160" s="138">
        <f t="shared" si="3"/>
        <v>11.55</v>
      </c>
      <c r="L160" s="243">
        <f>(K160/100)*'2024 Legal Max'!BO160</f>
        <v>273992</v>
      </c>
      <c r="M160" s="129">
        <f>'2024 Legal Max'!AA160</f>
        <v>0.4</v>
      </c>
      <c r="N160" s="140">
        <f>IF('2024 Legal Max'!AA160=0,0,ROUND((M160/I160)*100,2))</f>
        <v>0.03</v>
      </c>
      <c r="O160" s="243">
        <f>(N160/100)*'2024 Legal Max'!BO160</f>
        <v>712</v>
      </c>
    </row>
    <row r="161" spans="1:15">
      <c r="A161" s="134">
        <v>365</v>
      </c>
      <c r="B161" s="129" t="s">
        <v>71</v>
      </c>
      <c r="C161" s="129" t="s">
        <v>666</v>
      </c>
      <c r="D161" s="129" t="str">
        <f>'2024 Legal Max'!AZ161</f>
        <v>A</v>
      </c>
      <c r="E161" s="241">
        <f>'2024 Legal Max'!AO161</f>
        <v>1085205</v>
      </c>
      <c r="F161" s="136">
        <f>'2024 Legal Max'!AF161</f>
        <v>192.6</v>
      </c>
      <c r="G161" s="136">
        <f>'2024 Legal Max'!AI161</f>
        <v>24.6</v>
      </c>
      <c r="H161" s="243">
        <f>SUM(F161+G161)*'Weighting Factors'!$O$5</f>
        <v>1105114</v>
      </c>
      <c r="I161" s="252">
        <f>'2024 Legal Max'!CR161-'2024 Legal Max'!T161-'2024 Legal Max'!AQ161</f>
        <v>1690.9</v>
      </c>
      <c r="J161" s="136">
        <f>'2024 Legal Max'!AF161</f>
        <v>192.6</v>
      </c>
      <c r="K161" s="138">
        <f t="shared" si="3"/>
        <v>11.39</v>
      </c>
      <c r="L161" s="243">
        <f>(K161/100)*'2024 Legal Max'!BO161</f>
        <v>316642</v>
      </c>
      <c r="M161" s="129">
        <f>'2024 Legal Max'!AA161</f>
        <v>0.2</v>
      </c>
      <c r="N161" s="140">
        <f>IF('2024 Legal Max'!AA161=0,0,ROUND((M161/I161)*100,2))</f>
        <v>0.01</v>
      </c>
      <c r="O161" s="243">
        <f>(N161/100)*'2024 Legal Max'!BO161</f>
        <v>278</v>
      </c>
    </row>
    <row r="162" spans="1:15">
      <c r="A162" s="134">
        <v>366</v>
      </c>
      <c r="B162" s="129" t="s">
        <v>72</v>
      </c>
      <c r="C162" s="129" t="s">
        <v>667</v>
      </c>
      <c r="D162" s="129" t="str">
        <f>'2024 Legal Max'!AZ162</f>
        <v>A</v>
      </c>
      <c r="E162" s="241">
        <f>'2024 Legal Max'!AO162</f>
        <v>488001</v>
      </c>
      <c r="F162" s="136">
        <f>'2024 Legal Max'!AF162</f>
        <v>93.4</v>
      </c>
      <c r="G162" s="136">
        <f>'2024 Legal Max'!AI162</f>
        <v>14.4</v>
      </c>
      <c r="H162" s="243">
        <f>SUM(F162+G162)*'Weighting Factors'!$O$5</f>
        <v>548486</v>
      </c>
      <c r="I162" s="252">
        <f>'2024 Legal Max'!CR162-'2024 Legal Max'!T162-'2024 Legal Max'!AQ162</f>
        <v>810.6</v>
      </c>
      <c r="J162" s="136">
        <f>'2024 Legal Max'!AF162</f>
        <v>93.4</v>
      </c>
      <c r="K162" s="138">
        <f t="shared" si="3"/>
        <v>11.52</v>
      </c>
      <c r="L162" s="243">
        <f>(K162/100)*'2024 Legal Max'!BO162</f>
        <v>162793</v>
      </c>
      <c r="M162" s="129">
        <f>'2024 Legal Max'!AA162</f>
        <v>0</v>
      </c>
      <c r="N162" s="140">
        <f>IF('2024 Legal Max'!AA162=0,0,ROUND((M162/I162)*100,2))</f>
        <v>0</v>
      </c>
      <c r="O162" s="243">
        <f>(N162/100)*'2024 Legal Max'!BO162</f>
        <v>0</v>
      </c>
    </row>
    <row r="163" spans="1:15">
      <c r="A163" s="134">
        <v>367</v>
      </c>
      <c r="B163" s="129" t="s">
        <v>73</v>
      </c>
      <c r="C163" s="129" t="s">
        <v>668</v>
      </c>
      <c r="D163" s="129" t="str">
        <f>'2024 Legal Max'!AZ163</f>
        <v>A</v>
      </c>
      <c r="E163" s="241">
        <f>'2024 Legal Max'!AO163</f>
        <v>1785873</v>
      </c>
      <c r="F163" s="136">
        <f>'2024 Legal Max'!AF163</f>
        <v>263.8</v>
      </c>
      <c r="G163" s="136">
        <f>'2024 Legal Max'!AI163</f>
        <v>57.2</v>
      </c>
      <c r="H163" s="243">
        <f>SUM(F163+G163)*'Weighting Factors'!$O$5</f>
        <v>1633248</v>
      </c>
      <c r="I163" s="252">
        <f>'2024 Legal Max'!CR163-'2024 Legal Max'!T163-'2024 Legal Max'!AQ163</f>
        <v>1974.1</v>
      </c>
      <c r="J163" s="136">
        <f>'2024 Legal Max'!AF163</f>
        <v>263.8</v>
      </c>
      <c r="K163" s="138">
        <f t="shared" si="3"/>
        <v>13.36</v>
      </c>
      <c r="L163" s="243">
        <f>(K163/100)*'2024 Legal Max'!BO163</f>
        <v>452386</v>
      </c>
      <c r="M163" s="129">
        <f>'2024 Legal Max'!AA163</f>
        <v>2.2000000000000002</v>
      </c>
      <c r="N163" s="140">
        <f>IF('2024 Legal Max'!AA163=0,0,ROUND((M163/I163)*100,2))</f>
        <v>0.11</v>
      </c>
      <c r="O163" s="243">
        <f>(N163/100)*'2024 Legal Max'!BO163</f>
        <v>3725</v>
      </c>
    </row>
    <row r="164" spans="1:15">
      <c r="A164" s="134">
        <v>368</v>
      </c>
      <c r="B164" s="129" t="s">
        <v>73</v>
      </c>
      <c r="C164" s="129" t="s">
        <v>669</v>
      </c>
      <c r="D164" s="129" t="str">
        <f>'2024 Legal Max'!AZ164</f>
        <v>A</v>
      </c>
      <c r="E164" s="241">
        <f>'2024 Legal Max'!AO164</f>
        <v>1880664</v>
      </c>
      <c r="F164" s="136">
        <f>'2024 Legal Max'!AF164</f>
        <v>290.89999999999998</v>
      </c>
      <c r="G164" s="136">
        <f>'2024 Legal Max'!AI164</f>
        <v>1.5</v>
      </c>
      <c r="H164" s="243">
        <f>SUM(F164+G164)*'Weighting Factors'!$O$5</f>
        <v>1487731</v>
      </c>
      <c r="I164" s="252">
        <f>'2024 Legal Max'!CR164-'2024 Legal Max'!T164-'2024 Legal Max'!AQ164</f>
        <v>2675.6</v>
      </c>
      <c r="J164" s="136">
        <f>'2024 Legal Max'!AF164</f>
        <v>290.89999999999998</v>
      </c>
      <c r="K164" s="138">
        <f t="shared" si="3"/>
        <v>10.87</v>
      </c>
      <c r="L164" s="243">
        <f>(K164/100)*'2024 Legal Max'!BO164</f>
        <v>494123</v>
      </c>
      <c r="M164" s="129">
        <f>'2024 Legal Max'!AA164</f>
        <v>2.6</v>
      </c>
      <c r="N164" s="140">
        <f>IF('2024 Legal Max'!AA164=0,0,ROUND((M164/I164)*100,2))</f>
        <v>0.1</v>
      </c>
      <c r="O164" s="243">
        <f>(N164/100)*'2024 Legal Max'!BO164</f>
        <v>4546</v>
      </c>
    </row>
    <row r="165" spans="1:15">
      <c r="A165" s="134">
        <v>369</v>
      </c>
      <c r="B165" s="129" t="s">
        <v>74</v>
      </c>
      <c r="C165" s="129" t="s">
        <v>670</v>
      </c>
      <c r="D165" s="129" t="str">
        <f>'2024 Legal Max'!AZ165</f>
        <v>A</v>
      </c>
      <c r="E165" s="241">
        <f>'2024 Legal Max'!AO165</f>
        <v>229458</v>
      </c>
      <c r="F165" s="136">
        <f>'2024 Legal Max'!AF165</f>
        <v>29</v>
      </c>
      <c r="G165" s="136">
        <f>'2024 Legal Max'!AI165</f>
        <v>3.9</v>
      </c>
      <c r="H165" s="243">
        <f>SUM(F165+G165)*'Weighting Factors'!$O$5</f>
        <v>167395</v>
      </c>
      <c r="I165" s="252">
        <f>'2024 Legal Max'!CR165-'2024 Legal Max'!T165-'2024 Legal Max'!AQ165</f>
        <v>411.4</v>
      </c>
      <c r="J165" s="136">
        <f>'2024 Legal Max'!AF165</f>
        <v>29</v>
      </c>
      <c r="K165" s="138">
        <f t="shared" si="3"/>
        <v>7.05</v>
      </c>
      <c r="L165" s="243">
        <f>(K165/100)*'2024 Legal Max'!BO165</f>
        <v>47491</v>
      </c>
      <c r="M165" s="129">
        <f>'2024 Legal Max'!AA165</f>
        <v>0</v>
      </c>
      <c r="N165" s="140">
        <f>IF('2024 Legal Max'!AA165=0,0,ROUND((M165/I165)*100,2))</f>
        <v>0</v>
      </c>
      <c r="O165" s="243">
        <f>(N165/100)*'2024 Legal Max'!BO165</f>
        <v>0</v>
      </c>
    </row>
    <row r="166" spans="1:15">
      <c r="A166" s="134">
        <v>371</v>
      </c>
      <c r="B166" s="129" t="s">
        <v>5</v>
      </c>
      <c r="C166" s="129" t="s">
        <v>671</v>
      </c>
      <c r="D166" s="129" t="str">
        <f>'2024 Legal Max'!AZ166</f>
        <v>A</v>
      </c>
      <c r="E166" s="241">
        <f>'2024 Legal Max'!AO166</f>
        <v>126458</v>
      </c>
      <c r="F166" s="136">
        <f>'2024 Legal Max'!AF166</f>
        <v>21.3</v>
      </c>
      <c r="G166" s="136">
        <f>'2024 Legal Max'!AI166</f>
        <v>0</v>
      </c>
      <c r="H166" s="243">
        <f>SUM(F166+G166)*'Weighting Factors'!$O$5</f>
        <v>108374</v>
      </c>
      <c r="I166" s="252">
        <f>'2024 Legal Max'!CR166-'2024 Legal Max'!T166-'2024 Legal Max'!AQ166</f>
        <v>411.2</v>
      </c>
      <c r="J166" s="136">
        <f>'2024 Legal Max'!AF166</f>
        <v>21.3</v>
      </c>
      <c r="K166" s="138">
        <f t="shared" si="3"/>
        <v>5.18</v>
      </c>
      <c r="L166" s="243">
        <f>(K166/100)*'2024 Legal Max'!BO166</f>
        <v>35359</v>
      </c>
      <c r="M166" s="129">
        <f>'2024 Legal Max'!AA166</f>
        <v>4.7</v>
      </c>
      <c r="N166" s="140">
        <f>IF('2024 Legal Max'!AA166=0,0,ROUND((M166/I166)*100,2))</f>
        <v>1.1399999999999999</v>
      </c>
      <c r="O166" s="243">
        <f>(N166/100)*'2024 Legal Max'!BO166</f>
        <v>7782</v>
      </c>
    </row>
    <row r="167" spans="1:15">
      <c r="A167" s="134">
        <v>372</v>
      </c>
      <c r="B167" s="129" t="s">
        <v>61</v>
      </c>
      <c r="C167" s="129" t="s">
        <v>672</v>
      </c>
      <c r="D167" s="129" t="str">
        <f>'2024 Legal Max'!AZ167</f>
        <v>A</v>
      </c>
      <c r="E167" s="241">
        <f>'2024 Legal Max'!AO167</f>
        <v>612358</v>
      </c>
      <c r="F167" s="136">
        <f>'2024 Legal Max'!AF167</f>
        <v>60</v>
      </c>
      <c r="G167" s="136">
        <f>'2024 Legal Max'!AI167</f>
        <v>0</v>
      </c>
      <c r="H167" s="243">
        <f>SUM(F167+G167)*'Weighting Factors'!$O$5</f>
        <v>305280</v>
      </c>
      <c r="I167" s="252">
        <f>'2024 Legal Max'!CR167-'2024 Legal Max'!T167-'2024 Legal Max'!AQ167</f>
        <v>1172.3</v>
      </c>
      <c r="J167" s="136">
        <f>'2024 Legal Max'!AF167</f>
        <v>60</v>
      </c>
      <c r="K167" s="138">
        <f t="shared" si="3"/>
        <v>5.12</v>
      </c>
      <c r="L167" s="243">
        <f>(K167/100)*'2024 Legal Max'!BO167</f>
        <v>102893</v>
      </c>
      <c r="M167" s="129">
        <f>'2024 Legal Max'!AA167</f>
        <v>0</v>
      </c>
      <c r="N167" s="140">
        <f>IF('2024 Legal Max'!AA167=0,0,ROUND((M167/I167)*100,2))</f>
        <v>0</v>
      </c>
      <c r="O167" s="243">
        <f>(N167/100)*'2024 Legal Max'!BO167</f>
        <v>0</v>
      </c>
    </row>
    <row r="168" spans="1:15">
      <c r="A168" s="134">
        <v>373</v>
      </c>
      <c r="B168" s="129" t="s">
        <v>74</v>
      </c>
      <c r="C168" s="129" t="s">
        <v>673</v>
      </c>
      <c r="D168" s="129" t="str">
        <f>'2024 Legal Max'!AZ168</f>
        <v>A</v>
      </c>
      <c r="E168" s="241">
        <f>'2024 Legal Max'!AO168</f>
        <v>3346842</v>
      </c>
      <c r="F168" s="136">
        <f>'2024 Legal Max'!AF168</f>
        <v>745.4</v>
      </c>
      <c r="G168" s="136">
        <f>'2024 Legal Max'!AI168</f>
        <v>153</v>
      </c>
      <c r="H168" s="243">
        <f>SUM(F168+G168)*'Weighting Factors'!$O$5</f>
        <v>4571059</v>
      </c>
      <c r="I168" s="252">
        <f>'2024 Legal Max'!CR168-'2024 Legal Max'!T168-'2024 Legal Max'!AQ168</f>
        <v>4887.8</v>
      </c>
      <c r="J168" s="136">
        <f>'2024 Legal Max'!AF168</f>
        <v>745.4</v>
      </c>
      <c r="K168" s="138">
        <f t="shared" si="3"/>
        <v>15.25</v>
      </c>
      <c r="L168" s="243">
        <f>(K168/100)*'2024 Legal Max'!BO168</f>
        <v>1227873</v>
      </c>
      <c r="M168" s="129">
        <f>'2024 Legal Max'!AA168</f>
        <v>22</v>
      </c>
      <c r="N168" s="140">
        <f>IF('2024 Legal Max'!AA168=0,0,ROUND((M168/I168)*100,2))</f>
        <v>0.45</v>
      </c>
      <c r="O168" s="243">
        <f>(N168/100)*'2024 Legal Max'!BO168</f>
        <v>36232</v>
      </c>
    </row>
    <row r="169" spans="1:15">
      <c r="A169" s="134">
        <v>374</v>
      </c>
      <c r="B169" s="129" t="s">
        <v>75</v>
      </c>
      <c r="C169" s="129" t="s">
        <v>674</v>
      </c>
      <c r="D169" s="129" t="str">
        <f>'2024 Legal Max'!AZ169</f>
        <v>A</v>
      </c>
      <c r="E169" s="241">
        <f>'2024 Legal Max'!AO169</f>
        <v>230747</v>
      </c>
      <c r="F169" s="136">
        <f>'2024 Legal Max'!AF169</f>
        <v>111.8</v>
      </c>
      <c r="G169" s="136">
        <f>'2024 Legal Max'!AI169</f>
        <v>24.3</v>
      </c>
      <c r="H169" s="243">
        <f>SUM(F169+G169)*'Weighting Factors'!$O$5</f>
        <v>692477</v>
      </c>
      <c r="I169" s="252">
        <f>'2024 Legal Max'!CR169-'2024 Legal Max'!T169-'2024 Legal Max'!AQ169</f>
        <v>792.5</v>
      </c>
      <c r="J169" s="136">
        <f>'2024 Legal Max'!AF169</f>
        <v>111.8</v>
      </c>
      <c r="K169" s="138">
        <f t="shared" si="3"/>
        <v>14.11</v>
      </c>
      <c r="L169" s="243">
        <f>(K169/100)*'2024 Legal Max'!BO169</f>
        <v>196437</v>
      </c>
      <c r="M169" s="129">
        <f>'2024 Legal Max'!AA169</f>
        <v>38.200000000000003</v>
      </c>
      <c r="N169" s="140">
        <f>IF('2024 Legal Max'!AA169=0,0,ROUND((M169/I169)*100,2))</f>
        <v>4.82</v>
      </c>
      <c r="O169" s="243">
        <f>(N169/100)*'2024 Legal Max'!BO169</f>
        <v>67103</v>
      </c>
    </row>
    <row r="170" spans="1:15">
      <c r="A170" s="134">
        <v>375</v>
      </c>
      <c r="B170" s="129" t="s">
        <v>10</v>
      </c>
      <c r="C170" s="129" t="s">
        <v>675</v>
      </c>
      <c r="D170" s="129" t="str">
        <f>'2024 Legal Max'!AZ170</f>
        <v>A</v>
      </c>
      <c r="E170" s="241">
        <f>'2024 Legal Max'!AO170</f>
        <v>1739939</v>
      </c>
      <c r="F170" s="136">
        <f>'2024 Legal Max'!AF170</f>
        <v>301</v>
      </c>
      <c r="G170" s="136">
        <f>'2024 Legal Max'!AI170</f>
        <v>11.4</v>
      </c>
      <c r="H170" s="243">
        <f>SUM(F170+G170)*'Weighting Factors'!$O$5</f>
        <v>1589491</v>
      </c>
      <c r="I170" s="252">
        <f>'2024 Legal Max'!CR170-'2024 Legal Max'!T170-'2024 Legal Max'!AQ170</f>
        <v>2839.8</v>
      </c>
      <c r="J170" s="136">
        <f>'2024 Legal Max'!AF170</f>
        <v>301</v>
      </c>
      <c r="K170" s="138">
        <f t="shared" si="3"/>
        <v>10.6</v>
      </c>
      <c r="L170" s="243">
        <f>(K170/100)*'2024 Legal Max'!BO170</f>
        <v>509108</v>
      </c>
      <c r="M170" s="129">
        <f>'2024 Legal Max'!AA170</f>
        <v>7.4</v>
      </c>
      <c r="N170" s="140">
        <f>IF('2024 Legal Max'!AA170=0,0,ROUND((M170/I170)*100,2))</f>
        <v>0.26</v>
      </c>
      <c r="O170" s="243">
        <f>(N170/100)*'2024 Legal Max'!BO170</f>
        <v>12488</v>
      </c>
    </row>
    <row r="171" spans="1:15">
      <c r="A171" s="134">
        <v>376</v>
      </c>
      <c r="B171" s="129" t="s">
        <v>76</v>
      </c>
      <c r="C171" s="129" t="s">
        <v>676</v>
      </c>
      <c r="D171" s="129" t="str">
        <f>'2024 Legal Max'!AZ171</f>
        <v>A</v>
      </c>
      <c r="E171" s="241">
        <f>'2024 Legal Max'!AO171</f>
        <v>566251</v>
      </c>
      <c r="F171" s="136">
        <f>'2024 Legal Max'!AF171</f>
        <v>72.099999999999994</v>
      </c>
      <c r="G171" s="136">
        <f>'2024 Legal Max'!AI171</f>
        <v>0</v>
      </c>
      <c r="H171" s="243">
        <f>SUM(F171+G171)*'Weighting Factors'!$O$5</f>
        <v>366845</v>
      </c>
      <c r="I171" s="252">
        <f>'2024 Legal Max'!CR171-'2024 Legal Max'!T171-'2024 Legal Max'!AQ171</f>
        <v>878.7</v>
      </c>
      <c r="J171" s="136">
        <f>'2024 Legal Max'!AF171</f>
        <v>72.099999999999994</v>
      </c>
      <c r="K171" s="138">
        <f t="shared" si="3"/>
        <v>8.2100000000000009</v>
      </c>
      <c r="L171" s="243">
        <f>(K171/100)*'2024 Legal Max'!BO171</f>
        <v>122986</v>
      </c>
      <c r="M171" s="129">
        <f>'2024 Legal Max'!AA171</f>
        <v>0</v>
      </c>
      <c r="N171" s="140">
        <f>IF('2024 Legal Max'!AA171=0,0,ROUND((M171/I171)*100,2))</f>
        <v>0</v>
      </c>
      <c r="O171" s="243">
        <f>(N171/100)*'2024 Legal Max'!BO171</f>
        <v>0</v>
      </c>
    </row>
    <row r="172" spans="1:15">
      <c r="A172" s="134">
        <v>377</v>
      </c>
      <c r="B172" s="129" t="s">
        <v>77</v>
      </c>
      <c r="C172" s="129" t="s">
        <v>677</v>
      </c>
      <c r="D172" s="129" t="str">
        <f>'2024 Legal Max'!AZ172</f>
        <v>A</v>
      </c>
      <c r="E172" s="241">
        <f>'2024 Legal Max'!AO172</f>
        <v>668571</v>
      </c>
      <c r="F172" s="136">
        <f>'2024 Legal Max'!AF172</f>
        <v>100.7</v>
      </c>
      <c r="G172" s="136">
        <f>'2024 Legal Max'!AI172</f>
        <v>9.8000000000000007</v>
      </c>
      <c r="H172" s="243">
        <f>SUM(F172+G172)*'Weighting Factors'!$O$5</f>
        <v>562224</v>
      </c>
      <c r="I172" s="252">
        <f>'2024 Legal Max'!CR172-'2024 Legal Max'!T172-'2024 Legal Max'!AQ172</f>
        <v>1019.9</v>
      </c>
      <c r="J172" s="136">
        <f>'2024 Legal Max'!AF172</f>
        <v>100.7</v>
      </c>
      <c r="K172" s="138">
        <f t="shared" si="3"/>
        <v>9.8699999999999992</v>
      </c>
      <c r="L172" s="243">
        <f>(K172/100)*'2024 Legal Max'!BO172</f>
        <v>178047</v>
      </c>
      <c r="M172" s="129">
        <f>'2024 Legal Max'!AA172</f>
        <v>0.2</v>
      </c>
      <c r="N172" s="140">
        <f>IF('2024 Legal Max'!AA172=0,0,ROUND((M172/I172)*100,2))</f>
        <v>0.02</v>
      </c>
      <c r="O172" s="243">
        <f>(N172/100)*'2024 Legal Max'!BO172</f>
        <v>361</v>
      </c>
    </row>
    <row r="173" spans="1:15">
      <c r="A173" s="134">
        <v>378</v>
      </c>
      <c r="B173" s="129" t="s">
        <v>78</v>
      </c>
      <c r="C173" s="129" t="s">
        <v>678</v>
      </c>
      <c r="D173" s="129" t="str">
        <f>'2024 Legal Max'!AZ173</f>
        <v>A</v>
      </c>
      <c r="E173" s="241">
        <f>'2024 Legal Max'!AO173</f>
        <v>615378</v>
      </c>
      <c r="F173" s="136">
        <f>'2024 Legal Max'!AF173</f>
        <v>67.3</v>
      </c>
      <c r="G173" s="136">
        <f>'2024 Legal Max'!AI173</f>
        <v>0</v>
      </c>
      <c r="H173" s="243">
        <f>SUM(F173+G173)*'Weighting Factors'!$O$5</f>
        <v>342422</v>
      </c>
      <c r="I173" s="252">
        <f>'2024 Legal Max'!CR173-'2024 Legal Max'!T173-'2024 Legal Max'!AQ173</f>
        <v>1190.2</v>
      </c>
      <c r="J173" s="136">
        <f>'2024 Legal Max'!AF173</f>
        <v>67.3</v>
      </c>
      <c r="K173" s="138">
        <f t="shared" si="3"/>
        <v>5.65</v>
      </c>
      <c r="L173" s="243">
        <f>(K173/100)*'2024 Legal Max'!BO173</f>
        <v>110935</v>
      </c>
      <c r="M173" s="129">
        <f>'2024 Legal Max'!AA173</f>
        <v>0</v>
      </c>
      <c r="N173" s="140">
        <f>IF('2024 Legal Max'!AA173=0,0,ROUND((M173/I173)*100,2))</f>
        <v>0</v>
      </c>
      <c r="O173" s="243">
        <f>(N173/100)*'2024 Legal Max'!BO173</f>
        <v>0</v>
      </c>
    </row>
    <row r="174" spans="1:15">
      <c r="A174" s="134">
        <v>379</v>
      </c>
      <c r="B174" s="129" t="s">
        <v>79</v>
      </c>
      <c r="C174" s="129" t="s">
        <v>679</v>
      </c>
      <c r="D174" s="129" t="str">
        <f>'2024 Legal Max'!AZ174</f>
        <v>A</v>
      </c>
      <c r="E174" s="241">
        <f>'2024 Legal Max'!AO174</f>
        <v>1095598</v>
      </c>
      <c r="F174" s="136">
        <f>'2024 Legal Max'!AF174</f>
        <v>238.1</v>
      </c>
      <c r="G174" s="136">
        <f>'2024 Legal Max'!AI174</f>
        <v>15.9</v>
      </c>
      <c r="H174" s="243">
        <f>SUM(F174+G174)*'Weighting Factors'!$O$5</f>
        <v>1292352</v>
      </c>
      <c r="I174" s="252">
        <f>'2024 Legal Max'!CR174-'2024 Legal Max'!T174-'2024 Legal Max'!AQ174</f>
        <v>2070.8000000000002</v>
      </c>
      <c r="J174" s="136">
        <f>'2024 Legal Max'!AF174</f>
        <v>238.1</v>
      </c>
      <c r="K174" s="138">
        <f t="shared" si="3"/>
        <v>11.5</v>
      </c>
      <c r="L174" s="243">
        <f>(K174/100)*'2024 Legal Max'!BO174</f>
        <v>380689</v>
      </c>
      <c r="M174" s="129">
        <f>'2024 Legal Max'!AA174</f>
        <v>0.9</v>
      </c>
      <c r="N174" s="140">
        <f>IF('2024 Legal Max'!AA174=0,0,ROUND((M174/I174)*100,2))</f>
        <v>0.04</v>
      </c>
      <c r="O174" s="243">
        <f>(N174/100)*'2024 Legal Max'!BO174</f>
        <v>1324</v>
      </c>
    </row>
    <row r="175" spans="1:15">
      <c r="A175" s="134">
        <v>380</v>
      </c>
      <c r="B175" s="129" t="s">
        <v>70</v>
      </c>
      <c r="C175" s="129" t="s">
        <v>680</v>
      </c>
      <c r="D175" s="129" t="str">
        <f>'2024 Legal Max'!AZ175</f>
        <v>A</v>
      </c>
      <c r="E175" s="241">
        <f>'2024 Legal Max'!AO175</f>
        <v>426798</v>
      </c>
      <c r="F175" s="136">
        <f>'2024 Legal Max'!AF175</f>
        <v>66.8</v>
      </c>
      <c r="G175" s="136">
        <f>'2024 Legal Max'!AI175</f>
        <v>0</v>
      </c>
      <c r="H175" s="243">
        <f>SUM(F175+G175)*'Weighting Factors'!$O$5</f>
        <v>339878</v>
      </c>
      <c r="I175" s="252">
        <f>'2024 Legal Max'!CR175-'2024 Legal Max'!T175-'2024 Legal Max'!AQ175</f>
        <v>1055.9000000000001</v>
      </c>
      <c r="J175" s="136">
        <f>'2024 Legal Max'!AF175</f>
        <v>66.8</v>
      </c>
      <c r="K175" s="138">
        <f t="shared" si="3"/>
        <v>6.33</v>
      </c>
      <c r="L175" s="243">
        <f>(K175/100)*'2024 Legal Max'!BO175</f>
        <v>110835</v>
      </c>
      <c r="M175" s="129">
        <f>'2024 Legal Max'!AA175</f>
        <v>0.4</v>
      </c>
      <c r="N175" s="140">
        <f>IF('2024 Legal Max'!AA175=0,0,ROUND((M175/I175)*100,2))</f>
        <v>0.04</v>
      </c>
      <c r="O175" s="243">
        <f>(N175/100)*'2024 Legal Max'!BO175</f>
        <v>700</v>
      </c>
    </row>
    <row r="176" spans="1:15">
      <c r="A176" s="134">
        <v>381</v>
      </c>
      <c r="B176" s="129" t="s">
        <v>80</v>
      </c>
      <c r="C176" s="129" t="s">
        <v>681</v>
      </c>
      <c r="D176" s="129" t="str">
        <f>'2024 Legal Max'!AZ176</f>
        <v>A</v>
      </c>
      <c r="E176" s="241">
        <f>'2024 Legal Max'!AO176</f>
        <v>255640</v>
      </c>
      <c r="F176" s="136">
        <f>'2024 Legal Max'!AF176</f>
        <v>46</v>
      </c>
      <c r="G176" s="136">
        <f>'2024 Legal Max'!AI176</f>
        <v>0</v>
      </c>
      <c r="H176" s="243">
        <f>SUM(F176+G176)*'Weighting Factors'!$O$5</f>
        <v>234048</v>
      </c>
      <c r="I176" s="252">
        <f>'2024 Legal Max'!CR176-'2024 Legal Max'!T176-'2024 Legal Max'!AQ176</f>
        <v>602.5</v>
      </c>
      <c r="J176" s="136">
        <f>'2024 Legal Max'!AF176</f>
        <v>46</v>
      </c>
      <c r="K176" s="138">
        <f t="shared" si="3"/>
        <v>7.63</v>
      </c>
      <c r="L176" s="243">
        <f>(K176/100)*'2024 Legal Max'!BO176</f>
        <v>75703</v>
      </c>
      <c r="M176" s="129">
        <f>'2024 Legal Max'!AA176</f>
        <v>2.2000000000000002</v>
      </c>
      <c r="N176" s="140">
        <f>IF('2024 Legal Max'!AA176=0,0,ROUND((M176/I176)*100,2))</f>
        <v>0.37</v>
      </c>
      <c r="O176" s="243">
        <f>(N176/100)*'2024 Legal Max'!BO176</f>
        <v>3671</v>
      </c>
    </row>
    <row r="177" spans="1:15">
      <c r="A177" s="134">
        <v>382</v>
      </c>
      <c r="B177" s="129" t="s">
        <v>81</v>
      </c>
      <c r="C177" s="129" t="s">
        <v>682</v>
      </c>
      <c r="D177" s="129" t="str">
        <f>'2024 Legal Max'!AZ177</f>
        <v>A</v>
      </c>
      <c r="E177" s="241">
        <f>'2024 Legal Max'!AO177</f>
        <v>1398499</v>
      </c>
      <c r="F177" s="136">
        <f>'2024 Legal Max'!AF177</f>
        <v>249.7</v>
      </c>
      <c r="G177" s="136">
        <f>'2024 Legal Max'!AI177</f>
        <v>30.3</v>
      </c>
      <c r="H177" s="243">
        <f>SUM(F177+G177)*'Weighting Factors'!$O$5</f>
        <v>1424640</v>
      </c>
      <c r="I177" s="252">
        <f>'2024 Legal Max'!CR177-'2024 Legal Max'!T177-'2024 Legal Max'!AQ177</f>
        <v>1957.3</v>
      </c>
      <c r="J177" s="136">
        <f>'2024 Legal Max'!AF177</f>
        <v>249.7</v>
      </c>
      <c r="K177" s="138">
        <f t="shared" si="3"/>
        <v>12.76</v>
      </c>
      <c r="L177" s="243">
        <f>(K177/100)*'2024 Legal Max'!BO177</f>
        <v>409517</v>
      </c>
      <c r="M177" s="129">
        <f>'2024 Legal Max'!AA177</f>
        <v>15.9</v>
      </c>
      <c r="N177" s="140">
        <f>IF('2024 Legal Max'!AA177=0,0,ROUND((M177/I177)*100,2))</f>
        <v>0.81</v>
      </c>
      <c r="O177" s="243">
        <f>(N177/100)*'2024 Legal Max'!BO177</f>
        <v>25996</v>
      </c>
    </row>
    <row r="178" spans="1:15">
      <c r="A178" s="134">
        <v>383</v>
      </c>
      <c r="B178" s="129" t="s">
        <v>78</v>
      </c>
      <c r="C178" s="129" t="s">
        <v>683</v>
      </c>
      <c r="D178" s="129" t="str">
        <f>'2024 Legal Max'!AZ178</f>
        <v>A</v>
      </c>
      <c r="E178" s="241">
        <f>'2024 Legal Max'!AO178</f>
        <v>9029854</v>
      </c>
      <c r="F178" s="136">
        <f>'2024 Legal Max'!AF178</f>
        <v>1253.5999999999999</v>
      </c>
      <c r="G178" s="136">
        <f>'2024 Legal Max'!AI178</f>
        <v>125.6</v>
      </c>
      <c r="H178" s="243">
        <f>SUM(F178+G178)*'Weighting Factors'!$O$5</f>
        <v>7017370</v>
      </c>
      <c r="I178" s="252">
        <f>'2024 Legal Max'!CR178-'2024 Legal Max'!T178-'2024 Legal Max'!AQ178</f>
        <v>10482.1</v>
      </c>
      <c r="J178" s="136">
        <f>'2024 Legal Max'!AF178</f>
        <v>1253.5999999999999</v>
      </c>
      <c r="K178" s="138">
        <f t="shared" si="3"/>
        <v>11.96</v>
      </c>
      <c r="L178" s="243">
        <f>(K178/100)*'2024 Legal Max'!BO178</f>
        <v>2106919</v>
      </c>
      <c r="M178" s="129">
        <f>'2024 Legal Max'!AA178</f>
        <v>79.900000000000006</v>
      </c>
      <c r="N178" s="140">
        <f>IF('2024 Legal Max'!AA178=0,0,ROUND((M178/I178)*100,2))</f>
        <v>0.76</v>
      </c>
      <c r="O178" s="243">
        <f>(N178/100)*'2024 Legal Max'!BO178</f>
        <v>133885</v>
      </c>
    </row>
    <row r="179" spans="1:15">
      <c r="A179" s="134">
        <v>384</v>
      </c>
      <c r="B179" s="129" t="s">
        <v>78</v>
      </c>
      <c r="C179" s="129" t="s">
        <v>548</v>
      </c>
      <c r="D179" s="129" t="str">
        <f>'2024 Legal Max'!AZ179</f>
        <v>A</v>
      </c>
      <c r="E179" s="241">
        <f>'2024 Legal Max'!AO179</f>
        <v>285342</v>
      </c>
      <c r="F179" s="136">
        <f>'2024 Legal Max'!AF179</f>
        <v>19.8</v>
      </c>
      <c r="G179" s="136">
        <f>'2024 Legal Max'!AI179</f>
        <v>0</v>
      </c>
      <c r="H179" s="243">
        <f>SUM(F179+G179)*'Weighting Factors'!$O$5</f>
        <v>100742</v>
      </c>
      <c r="I179" s="252">
        <f>'2024 Legal Max'!CR179-'2024 Legal Max'!T179-'2024 Legal Max'!AQ179</f>
        <v>529.1</v>
      </c>
      <c r="J179" s="136">
        <f>'2024 Legal Max'!AF179</f>
        <v>19.8</v>
      </c>
      <c r="K179" s="138">
        <f t="shared" si="3"/>
        <v>3.74</v>
      </c>
      <c r="L179" s="243">
        <f>(K179/100)*'2024 Legal Max'!BO179</f>
        <v>33700</v>
      </c>
      <c r="M179" s="129">
        <f>'2024 Legal Max'!AA179</f>
        <v>0</v>
      </c>
      <c r="N179" s="140">
        <f>IF('2024 Legal Max'!AA179=0,0,ROUND((M179/I179)*100,2))</f>
        <v>0</v>
      </c>
      <c r="O179" s="243">
        <f>(N179/100)*'2024 Legal Max'!BO179</f>
        <v>0</v>
      </c>
    </row>
    <row r="180" spans="1:15">
      <c r="A180" s="134">
        <v>385</v>
      </c>
      <c r="B180" s="129" t="s">
        <v>10</v>
      </c>
      <c r="C180" s="129" t="s">
        <v>684</v>
      </c>
      <c r="D180" s="129" t="str">
        <f>'2024 Legal Max'!AZ180</f>
        <v>A</v>
      </c>
      <c r="E180" s="241">
        <f>'2024 Legal Max'!AO180</f>
        <v>5207432</v>
      </c>
      <c r="F180" s="136">
        <f>'2024 Legal Max'!AF180</f>
        <v>496.6</v>
      </c>
      <c r="G180" s="136">
        <f>'2024 Legal Max'!AI180</f>
        <v>0</v>
      </c>
      <c r="H180" s="243">
        <f>SUM(F180+G180)*'Weighting Factors'!$O$5</f>
        <v>2526701</v>
      </c>
      <c r="I180" s="252">
        <f>'2024 Legal Max'!CR180-'2024 Legal Max'!T180-'2024 Legal Max'!AQ180</f>
        <v>7654.3</v>
      </c>
      <c r="J180" s="136">
        <f>'2024 Legal Max'!AF180</f>
        <v>496.6</v>
      </c>
      <c r="K180" s="138">
        <f t="shared" si="3"/>
        <v>6.49</v>
      </c>
      <c r="L180" s="243">
        <f>(K180/100)*'2024 Legal Max'!BO180</f>
        <v>848222</v>
      </c>
      <c r="M180" s="129">
        <f>'2024 Legal Max'!AA180</f>
        <v>22.6</v>
      </c>
      <c r="N180" s="140">
        <f>IF('2024 Legal Max'!AA180=0,0,ROUND((M180/I180)*100,2))</f>
        <v>0.3</v>
      </c>
      <c r="O180" s="243">
        <f>(N180/100)*'2024 Legal Max'!BO180</f>
        <v>39209</v>
      </c>
    </row>
    <row r="181" spans="1:15">
      <c r="A181" s="134">
        <v>386</v>
      </c>
      <c r="B181" s="129" t="s">
        <v>82</v>
      </c>
      <c r="C181" s="129" t="s">
        <v>685</v>
      </c>
      <c r="D181" s="129" t="str">
        <f>'2024 Legal Max'!AZ181</f>
        <v>A</v>
      </c>
      <c r="E181" s="241">
        <f>'2024 Legal Max'!AO181</f>
        <v>436199</v>
      </c>
      <c r="F181" s="136">
        <f>'2024 Legal Max'!AF181</f>
        <v>42.1</v>
      </c>
      <c r="G181" s="136">
        <f>'2024 Legal Max'!AI181</f>
        <v>2.5</v>
      </c>
      <c r="H181" s="243">
        <f>SUM(F181+G181)*'Weighting Factors'!$O$5</f>
        <v>226925</v>
      </c>
      <c r="I181" s="252">
        <f>'2024 Legal Max'!CR181-'2024 Legal Max'!T181-'2024 Legal Max'!AQ181</f>
        <v>528.9</v>
      </c>
      <c r="J181" s="136">
        <f>'2024 Legal Max'!AF181</f>
        <v>42.1</v>
      </c>
      <c r="K181" s="138">
        <f t="shared" si="3"/>
        <v>7.96</v>
      </c>
      <c r="L181" s="243">
        <f>(K181/100)*'2024 Legal Max'!BO181</f>
        <v>72185</v>
      </c>
      <c r="M181" s="129">
        <f>'2024 Legal Max'!AA181</f>
        <v>0.2</v>
      </c>
      <c r="N181" s="140">
        <f>IF('2024 Legal Max'!AA181=0,0,ROUND((M181/I181)*100,2))</f>
        <v>0.04</v>
      </c>
      <c r="O181" s="243">
        <f>(N181/100)*'2024 Legal Max'!BO181</f>
        <v>363</v>
      </c>
    </row>
    <row r="182" spans="1:15">
      <c r="A182" s="134">
        <v>387</v>
      </c>
      <c r="B182" s="129" t="s">
        <v>83</v>
      </c>
      <c r="C182" s="129" t="s">
        <v>686</v>
      </c>
      <c r="D182" s="129" t="str">
        <f>'2024 Legal Max'!AZ182</f>
        <v>A</v>
      </c>
      <c r="E182" s="241">
        <f>'2024 Legal Max'!AO182</f>
        <v>154997</v>
      </c>
      <c r="F182" s="136">
        <f>'2024 Legal Max'!AF182</f>
        <v>46</v>
      </c>
      <c r="G182" s="136">
        <f>'2024 Legal Max'!AI182</f>
        <v>10</v>
      </c>
      <c r="H182" s="243">
        <f>SUM(F182+G182)*'Weighting Factors'!$O$5</f>
        <v>284928</v>
      </c>
      <c r="I182" s="252">
        <f>'2024 Legal Max'!CR182-'2024 Legal Max'!T182-'2024 Legal Max'!AQ182</f>
        <v>400.1</v>
      </c>
      <c r="J182" s="136">
        <f>'2024 Legal Max'!AF182</f>
        <v>46</v>
      </c>
      <c r="K182" s="138">
        <f t="shared" si="3"/>
        <v>11.5</v>
      </c>
      <c r="L182" s="243">
        <f>(K182/100)*'2024 Legal Max'!BO182</f>
        <v>83330</v>
      </c>
      <c r="M182" s="129">
        <f>'2024 Legal Max'!AA182</f>
        <v>0</v>
      </c>
      <c r="N182" s="140">
        <f>IF('2024 Legal Max'!AA182=0,0,ROUND((M182/I182)*100,2))</f>
        <v>0</v>
      </c>
      <c r="O182" s="243">
        <f>(N182/100)*'2024 Legal Max'!BO182</f>
        <v>0</v>
      </c>
    </row>
    <row r="183" spans="1:15">
      <c r="A183" s="134">
        <v>388</v>
      </c>
      <c r="B183" s="129" t="s">
        <v>84</v>
      </c>
      <c r="C183" s="129" t="s">
        <v>687</v>
      </c>
      <c r="D183" s="129" t="str">
        <f>'2024 Legal Max'!AZ183</f>
        <v>A</v>
      </c>
      <c r="E183" s="241">
        <f>'2024 Legal Max'!AO183</f>
        <v>388249</v>
      </c>
      <c r="F183" s="136">
        <f>'2024 Legal Max'!AF183</f>
        <v>44.5</v>
      </c>
      <c r="G183" s="136">
        <f>'2024 Legal Max'!AI183</f>
        <v>0</v>
      </c>
      <c r="H183" s="243">
        <f>SUM(F183+G183)*'Weighting Factors'!$O$5</f>
        <v>226416</v>
      </c>
      <c r="I183" s="252">
        <f>'2024 Legal Max'!CR183-'2024 Legal Max'!T183-'2024 Legal Max'!AQ183</f>
        <v>637</v>
      </c>
      <c r="J183" s="136">
        <f>'2024 Legal Max'!AF183</f>
        <v>44.5</v>
      </c>
      <c r="K183" s="138">
        <f t="shared" si="3"/>
        <v>6.99</v>
      </c>
      <c r="L183" s="243">
        <f>(K183/100)*'2024 Legal Max'!BO183</f>
        <v>72799</v>
      </c>
      <c r="M183" s="129">
        <f>'2024 Legal Max'!AA183</f>
        <v>0</v>
      </c>
      <c r="N183" s="140">
        <f>IF('2024 Legal Max'!AA183=0,0,ROUND((M183/I183)*100,2))</f>
        <v>0</v>
      </c>
      <c r="O183" s="243">
        <f>(N183/100)*'2024 Legal Max'!BO183</f>
        <v>0</v>
      </c>
    </row>
    <row r="184" spans="1:15">
      <c r="A184" s="134">
        <v>389</v>
      </c>
      <c r="B184" s="129" t="s">
        <v>82</v>
      </c>
      <c r="C184" s="129" t="s">
        <v>688</v>
      </c>
      <c r="D184" s="129" t="str">
        <f>'2024 Legal Max'!AZ184</f>
        <v>A</v>
      </c>
      <c r="E184" s="241">
        <f>'2024 Legal Max'!AO184</f>
        <v>589855</v>
      </c>
      <c r="F184" s="136">
        <f>'2024 Legal Max'!AF184</f>
        <v>160.69999999999999</v>
      </c>
      <c r="G184" s="136">
        <f>'2024 Legal Max'!AI184</f>
        <v>34.9</v>
      </c>
      <c r="H184" s="243">
        <f>SUM(F184+G184)*'Weighting Factors'!$O$5</f>
        <v>995213</v>
      </c>
      <c r="I184" s="252">
        <f>'2024 Legal Max'!CR184-'2024 Legal Max'!T184-'2024 Legal Max'!AQ184</f>
        <v>1151.8</v>
      </c>
      <c r="J184" s="136">
        <f>'2024 Legal Max'!AF184</f>
        <v>160.69999999999999</v>
      </c>
      <c r="K184" s="138">
        <f t="shared" si="3"/>
        <v>13.95</v>
      </c>
      <c r="L184" s="243">
        <f>(K184/100)*'2024 Legal Max'!BO184</f>
        <v>262904</v>
      </c>
      <c r="M184" s="129">
        <f>'2024 Legal Max'!AA184</f>
        <v>0</v>
      </c>
      <c r="N184" s="140">
        <f>IF('2024 Legal Max'!AA184=0,0,ROUND((M184/I184)*100,2))</f>
        <v>0</v>
      </c>
      <c r="O184" s="243">
        <f>(N184/100)*'2024 Legal Max'!BO184</f>
        <v>0</v>
      </c>
    </row>
    <row r="185" spans="1:15">
      <c r="A185" s="134">
        <v>390</v>
      </c>
      <c r="B185" s="129" t="s">
        <v>82</v>
      </c>
      <c r="C185" s="129" t="s">
        <v>689</v>
      </c>
      <c r="D185" s="129" t="str">
        <f>'2024 Legal Max'!AZ185</f>
        <v>A</v>
      </c>
      <c r="E185" s="241">
        <f>'2024 Legal Max'!AO185</f>
        <v>146616</v>
      </c>
      <c r="F185" s="136">
        <f>'2024 Legal Max'!AF185</f>
        <v>24.2</v>
      </c>
      <c r="G185" s="136">
        <f>'2024 Legal Max'!AI185</f>
        <v>5.3</v>
      </c>
      <c r="H185" s="243">
        <f>SUM(F185+G185)*'Weighting Factors'!$O$5</f>
        <v>150096</v>
      </c>
      <c r="I185" s="252">
        <f>'2024 Legal Max'!CR185-'2024 Legal Max'!T185-'2024 Legal Max'!AQ185</f>
        <v>262.10000000000002</v>
      </c>
      <c r="J185" s="136">
        <f>'2024 Legal Max'!AF185</f>
        <v>24.2</v>
      </c>
      <c r="K185" s="138">
        <f t="shared" si="3"/>
        <v>9.23</v>
      </c>
      <c r="L185" s="243">
        <f>(K185/100)*'2024 Legal Max'!BO185</f>
        <v>37843</v>
      </c>
      <c r="M185" s="129">
        <f>'2024 Legal Max'!AA185</f>
        <v>0</v>
      </c>
      <c r="N185" s="140">
        <f>IF('2024 Legal Max'!AA185=0,0,ROUND((M185/I185)*100,2))</f>
        <v>0</v>
      </c>
      <c r="O185" s="243">
        <f>(N185/100)*'2024 Legal Max'!BO185</f>
        <v>0</v>
      </c>
    </row>
    <row r="186" spans="1:15">
      <c r="A186" s="134">
        <v>392</v>
      </c>
      <c r="B186" s="129" t="s">
        <v>86</v>
      </c>
      <c r="C186" s="129" t="s">
        <v>690</v>
      </c>
      <c r="D186" s="129" t="str">
        <f>'2024 Legal Max'!AZ186</f>
        <v>A</v>
      </c>
      <c r="E186" s="241">
        <f>'2024 Legal Max'!AO186</f>
        <v>440564</v>
      </c>
      <c r="F186" s="136">
        <f>'2024 Legal Max'!AF186</f>
        <v>63.9</v>
      </c>
      <c r="G186" s="136">
        <f>'2024 Legal Max'!AI186</f>
        <v>4.7</v>
      </c>
      <c r="H186" s="243">
        <f>SUM(F186+G186)*'Weighting Factors'!$O$5</f>
        <v>349037</v>
      </c>
      <c r="I186" s="252">
        <f>'2024 Legal Max'!CR186-'2024 Legal Max'!T186-'2024 Legal Max'!AQ186</f>
        <v>680.2</v>
      </c>
      <c r="J186" s="136">
        <f>'2024 Legal Max'!AF186</f>
        <v>63.9</v>
      </c>
      <c r="K186" s="138">
        <f t="shared" si="3"/>
        <v>9.39</v>
      </c>
      <c r="L186" s="243">
        <f>(K186/100)*'2024 Legal Max'!BO186</f>
        <v>104024</v>
      </c>
      <c r="M186" s="129">
        <f>'2024 Legal Max'!AA186</f>
        <v>0</v>
      </c>
      <c r="N186" s="140">
        <f>IF('2024 Legal Max'!AA186=0,0,ROUND((M186/I186)*100,2))</f>
        <v>0</v>
      </c>
      <c r="O186" s="243">
        <f>(N186/100)*'2024 Legal Max'!BO186</f>
        <v>0</v>
      </c>
    </row>
    <row r="187" spans="1:15">
      <c r="A187" s="134">
        <v>393</v>
      </c>
      <c r="B187" s="129" t="s">
        <v>87</v>
      </c>
      <c r="C187" s="129" t="s">
        <v>691</v>
      </c>
      <c r="D187" s="129" t="str">
        <f>'2024 Legal Max'!AZ187</f>
        <v>A</v>
      </c>
      <c r="E187" s="241">
        <f>'2024 Legal Max'!AO187</f>
        <v>400300</v>
      </c>
      <c r="F187" s="136">
        <f>'2024 Legal Max'!AF187</f>
        <v>86.6</v>
      </c>
      <c r="G187" s="136">
        <f>'2024 Legal Max'!AI187</f>
        <v>17.399999999999999</v>
      </c>
      <c r="H187" s="243">
        <f>SUM(F187+G187)*'Weighting Factors'!$O$5</f>
        <v>529152</v>
      </c>
      <c r="I187" s="252">
        <f>'2024 Legal Max'!CR187-'2024 Legal Max'!T187-'2024 Legal Max'!AQ187</f>
        <v>725.9</v>
      </c>
      <c r="J187" s="136">
        <f>'2024 Legal Max'!AF187</f>
        <v>86.6</v>
      </c>
      <c r="K187" s="138">
        <f t="shared" si="3"/>
        <v>11.93</v>
      </c>
      <c r="L187" s="243">
        <f>(K187/100)*'2024 Legal Max'!BO187</f>
        <v>147996</v>
      </c>
      <c r="M187" s="129">
        <f>'2024 Legal Max'!AA187</f>
        <v>0</v>
      </c>
      <c r="N187" s="140">
        <f>IF('2024 Legal Max'!AA187=0,0,ROUND((M187/I187)*100,2))</f>
        <v>0</v>
      </c>
      <c r="O187" s="243">
        <f>(N187/100)*'2024 Legal Max'!BO187</f>
        <v>0</v>
      </c>
    </row>
    <row r="188" spans="1:15">
      <c r="A188" s="134">
        <v>394</v>
      </c>
      <c r="B188" s="129" t="s">
        <v>10</v>
      </c>
      <c r="C188" s="129" t="s">
        <v>692</v>
      </c>
      <c r="D188" s="129" t="str">
        <f>'2024 Legal Max'!AZ188</f>
        <v>A</v>
      </c>
      <c r="E188" s="241">
        <f>'2024 Legal Max'!AO188</f>
        <v>1362804</v>
      </c>
      <c r="F188" s="136">
        <f>'2024 Legal Max'!AF188</f>
        <v>214.4</v>
      </c>
      <c r="G188" s="136">
        <f>'2024 Legal Max'!AI188</f>
        <v>0</v>
      </c>
      <c r="H188" s="243">
        <f>SUM(F188+G188)*'Weighting Factors'!$O$5</f>
        <v>1090867</v>
      </c>
      <c r="I188" s="252">
        <f>'2024 Legal Max'!CR188-'2024 Legal Max'!T188-'2024 Legal Max'!AQ188</f>
        <v>2241.6999999999998</v>
      </c>
      <c r="J188" s="136">
        <f>'2024 Legal Max'!AF188</f>
        <v>214.4</v>
      </c>
      <c r="K188" s="138">
        <f t="shared" si="3"/>
        <v>9.56</v>
      </c>
      <c r="L188" s="243">
        <f>(K188/100)*'2024 Legal Max'!BO188</f>
        <v>369484</v>
      </c>
      <c r="M188" s="129">
        <f>'2024 Legal Max'!AA188</f>
        <v>5</v>
      </c>
      <c r="N188" s="140">
        <f>IF('2024 Legal Max'!AA188=0,0,ROUND((M188/I188)*100,2))</f>
        <v>0.22</v>
      </c>
      <c r="O188" s="243">
        <f>(N188/100)*'2024 Legal Max'!BO188</f>
        <v>8503</v>
      </c>
    </row>
    <row r="189" spans="1:15">
      <c r="A189" s="134">
        <v>395</v>
      </c>
      <c r="B189" s="129" t="s">
        <v>88</v>
      </c>
      <c r="C189" s="129" t="s">
        <v>693</v>
      </c>
      <c r="D189" s="129" t="str">
        <f>'2024 Legal Max'!AZ189</f>
        <v>A</v>
      </c>
      <c r="E189" s="241">
        <f>'2024 Legal Max'!AO189</f>
        <v>388058</v>
      </c>
      <c r="F189" s="136">
        <f>'2024 Legal Max'!AF189</f>
        <v>56.1</v>
      </c>
      <c r="G189" s="136">
        <f>'2024 Legal Max'!AI189</f>
        <v>5</v>
      </c>
      <c r="H189" s="243">
        <f>SUM(F189+G189)*'Weighting Factors'!$O$5</f>
        <v>310877</v>
      </c>
      <c r="I189" s="252">
        <f>'2024 Legal Max'!CR189-'2024 Legal Max'!T189-'2024 Legal Max'!AQ189</f>
        <v>612.20000000000005</v>
      </c>
      <c r="J189" s="136">
        <f>'2024 Legal Max'!AF189</f>
        <v>56.1</v>
      </c>
      <c r="K189" s="138">
        <f t="shared" si="3"/>
        <v>9.16</v>
      </c>
      <c r="L189" s="243">
        <f>(K189/100)*'2024 Legal Max'!BO189</f>
        <v>91243</v>
      </c>
      <c r="M189" s="129">
        <f>'2024 Legal Max'!AA189</f>
        <v>0</v>
      </c>
      <c r="N189" s="140">
        <f>IF('2024 Legal Max'!AA189=0,0,ROUND((M189/I189)*100,2))</f>
        <v>0</v>
      </c>
      <c r="O189" s="243">
        <f>(N189/100)*'2024 Legal Max'!BO189</f>
        <v>0</v>
      </c>
    </row>
    <row r="190" spans="1:15">
      <c r="A190" s="134">
        <v>396</v>
      </c>
      <c r="B190" s="129" t="s">
        <v>10</v>
      </c>
      <c r="C190" s="129" t="s">
        <v>694</v>
      </c>
      <c r="D190" s="129" t="str">
        <f>'2024 Legal Max'!AZ190</f>
        <v>A</v>
      </c>
      <c r="E190" s="241">
        <f>'2024 Legal Max'!AO190</f>
        <v>619099</v>
      </c>
      <c r="F190" s="136">
        <f>'2024 Legal Max'!AF190</f>
        <v>107.9</v>
      </c>
      <c r="G190" s="136">
        <f>'2024 Legal Max'!AI190</f>
        <v>7</v>
      </c>
      <c r="H190" s="243">
        <f>SUM(F190+G190)*'Weighting Factors'!$O$5</f>
        <v>584611</v>
      </c>
      <c r="I190" s="252">
        <f>'2024 Legal Max'!CR190-'2024 Legal Max'!T190-'2024 Legal Max'!AQ190</f>
        <v>1141.9000000000001</v>
      </c>
      <c r="J190" s="136">
        <f>'2024 Legal Max'!AF190</f>
        <v>107.9</v>
      </c>
      <c r="K190" s="138">
        <f t="shared" si="3"/>
        <v>9.4499999999999993</v>
      </c>
      <c r="L190" s="243">
        <f>(K190/100)*'2024 Legal Max'!BO190</f>
        <v>188399</v>
      </c>
      <c r="M190" s="129">
        <f>'2024 Legal Max'!AA190</f>
        <v>0.2</v>
      </c>
      <c r="N190" s="140">
        <f>IF('2024 Legal Max'!AA190=0,0,ROUND((M190/I190)*100,2))</f>
        <v>0.02</v>
      </c>
      <c r="O190" s="243">
        <f>(N190/100)*'2024 Legal Max'!BO190</f>
        <v>399</v>
      </c>
    </row>
    <row r="191" spans="1:15">
      <c r="A191" s="134">
        <v>397</v>
      </c>
      <c r="B191" s="129" t="s">
        <v>89</v>
      </c>
      <c r="C191" s="129" t="s">
        <v>695</v>
      </c>
      <c r="D191" s="129" t="str">
        <f>'2024 Legal Max'!AZ191</f>
        <v>A</v>
      </c>
      <c r="E191" s="241">
        <f>'2024 Legal Max'!AO191</f>
        <v>451452</v>
      </c>
      <c r="F191" s="136">
        <f>'2024 Legal Max'!AF191</f>
        <v>35.799999999999997</v>
      </c>
      <c r="G191" s="136">
        <f>'2024 Legal Max'!AI191</f>
        <v>2.1</v>
      </c>
      <c r="H191" s="243">
        <f>SUM(F191+G191)*'Weighting Factors'!$O$5</f>
        <v>192835</v>
      </c>
      <c r="I191" s="252">
        <f>'2024 Legal Max'!CR191-'2024 Legal Max'!T191-'2024 Legal Max'!AQ191</f>
        <v>488.5</v>
      </c>
      <c r="J191" s="136">
        <f>'2024 Legal Max'!AF191</f>
        <v>35.799999999999997</v>
      </c>
      <c r="K191" s="138">
        <f t="shared" si="3"/>
        <v>7.33</v>
      </c>
      <c r="L191" s="243">
        <f>(K191/100)*'2024 Legal Max'!BO191</f>
        <v>58402</v>
      </c>
      <c r="M191" s="129">
        <f>'2024 Legal Max'!AA191</f>
        <v>0</v>
      </c>
      <c r="N191" s="140">
        <f>IF('2024 Legal Max'!AA191=0,0,ROUND((M191/I191)*100,2))</f>
        <v>0</v>
      </c>
      <c r="O191" s="243">
        <f>(N191/100)*'2024 Legal Max'!BO191</f>
        <v>0</v>
      </c>
    </row>
    <row r="192" spans="1:15">
      <c r="A192" s="134">
        <v>398</v>
      </c>
      <c r="B192" s="129" t="s">
        <v>89</v>
      </c>
      <c r="C192" s="129" t="s">
        <v>696</v>
      </c>
      <c r="D192" s="129" t="str">
        <f>'2024 Legal Max'!AZ192</f>
        <v>A</v>
      </c>
      <c r="E192" s="241">
        <f>'2024 Legal Max'!AO192</f>
        <v>300931</v>
      </c>
      <c r="F192" s="136">
        <f>'2024 Legal Max'!AF192</f>
        <v>51.3</v>
      </c>
      <c r="G192" s="136">
        <f>'2024 Legal Max'!AI192</f>
        <v>11.1</v>
      </c>
      <c r="H192" s="243">
        <f>SUM(F192+G192)*'Weighting Factors'!$O$5</f>
        <v>317491</v>
      </c>
      <c r="I192" s="252">
        <f>'2024 Legal Max'!CR192-'2024 Legal Max'!T192-'2024 Legal Max'!AQ192</f>
        <v>490.5</v>
      </c>
      <c r="J192" s="136">
        <f>'2024 Legal Max'!AF192</f>
        <v>51.3</v>
      </c>
      <c r="K192" s="138">
        <f t="shared" si="3"/>
        <v>10.46</v>
      </c>
      <c r="L192" s="243">
        <f>(K192/100)*'2024 Legal Max'!BO192</f>
        <v>92880</v>
      </c>
      <c r="M192" s="129">
        <f>'2024 Legal Max'!AA192</f>
        <v>0</v>
      </c>
      <c r="N192" s="140">
        <f>IF('2024 Legal Max'!AA192=0,0,ROUND((M192/I192)*100,2))</f>
        <v>0</v>
      </c>
      <c r="O192" s="243">
        <f>(N192/100)*'2024 Legal Max'!BO192</f>
        <v>0</v>
      </c>
    </row>
    <row r="193" spans="1:15">
      <c r="A193" s="134">
        <v>399</v>
      </c>
      <c r="B193" s="129" t="s">
        <v>90</v>
      </c>
      <c r="C193" s="129" t="s">
        <v>697</v>
      </c>
      <c r="D193" s="129" t="str">
        <f>'2024 Legal Max'!AZ193</f>
        <v>A</v>
      </c>
      <c r="E193" s="241">
        <f>'2024 Legal Max'!AO193</f>
        <v>138278</v>
      </c>
      <c r="F193" s="136">
        <f>'2024 Legal Max'!AF193</f>
        <v>18.899999999999999</v>
      </c>
      <c r="G193" s="136">
        <f>'2024 Legal Max'!AI193</f>
        <v>1.9</v>
      </c>
      <c r="H193" s="243">
        <f>SUM(F193+G193)*'Weighting Factors'!$O$5</f>
        <v>105830</v>
      </c>
      <c r="I193" s="252">
        <f>'2024 Legal Max'!CR193-'2024 Legal Max'!T193-'2024 Legal Max'!AQ193</f>
        <v>290.60000000000002</v>
      </c>
      <c r="J193" s="136">
        <f>'2024 Legal Max'!AF193</f>
        <v>18.899999999999999</v>
      </c>
      <c r="K193" s="138">
        <f t="shared" si="3"/>
        <v>6.5</v>
      </c>
      <c r="L193" s="243">
        <f>(K193/100)*'2024 Legal Max'!BO193</f>
        <v>32976</v>
      </c>
      <c r="M193" s="129">
        <f>'2024 Legal Max'!AA193</f>
        <v>0</v>
      </c>
      <c r="N193" s="140">
        <f>IF('2024 Legal Max'!AA193=0,0,ROUND((M193/I193)*100,2))</f>
        <v>0</v>
      </c>
      <c r="O193" s="243">
        <f>(N193/100)*'2024 Legal Max'!BO193</f>
        <v>0</v>
      </c>
    </row>
    <row r="194" spans="1:15">
      <c r="A194" s="134">
        <v>400</v>
      </c>
      <c r="B194" s="129" t="s">
        <v>91</v>
      </c>
      <c r="C194" s="129" t="s">
        <v>698</v>
      </c>
      <c r="D194" s="129" t="str">
        <f>'2024 Legal Max'!AZ194</f>
        <v>A</v>
      </c>
      <c r="E194" s="241">
        <f>'2024 Legal Max'!AO194</f>
        <v>967752</v>
      </c>
      <c r="F194" s="136">
        <f>'2024 Legal Max'!AF194</f>
        <v>111.8</v>
      </c>
      <c r="G194" s="136">
        <f>'2024 Legal Max'!AI194</f>
        <v>0</v>
      </c>
      <c r="H194" s="243">
        <f>SUM(F194+G194)*'Weighting Factors'!$O$5</f>
        <v>568838</v>
      </c>
      <c r="I194" s="252">
        <f>'2024 Legal Max'!CR194-'2024 Legal Max'!T194-'2024 Legal Max'!AQ194</f>
        <v>1422.1</v>
      </c>
      <c r="J194" s="136">
        <f>'2024 Legal Max'!AF194</f>
        <v>111.8</v>
      </c>
      <c r="K194" s="138">
        <f t="shared" si="3"/>
        <v>7.86</v>
      </c>
      <c r="L194" s="243">
        <f>(K194/100)*'2024 Legal Max'!BO194</f>
        <v>192390</v>
      </c>
      <c r="M194" s="129">
        <f>'2024 Legal Max'!AA194</f>
        <v>0.7</v>
      </c>
      <c r="N194" s="140">
        <f>IF('2024 Legal Max'!AA194=0,0,ROUND((M194/I194)*100,2))</f>
        <v>0.05</v>
      </c>
      <c r="O194" s="243">
        <f>(N194/100)*'2024 Legal Max'!BO194</f>
        <v>1224</v>
      </c>
    </row>
    <row r="195" spans="1:15">
      <c r="A195" s="134">
        <v>401</v>
      </c>
      <c r="B195" s="129" t="s">
        <v>76</v>
      </c>
      <c r="C195" s="129" t="s">
        <v>699</v>
      </c>
      <c r="D195" s="129" t="str">
        <f>'2024 Legal Max'!AZ195</f>
        <v>A</v>
      </c>
      <c r="E195" s="241">
        <f>'2024 Legal Max'!AO195</f>
        <v>179693</v>
      </c>
      <c r="F195" s="136">
        <f>'2024 Legal Max'!AF195</f>
        <v>46</v>
      </c>
      <c r="G195" s="136">
        <f>'2024 Legal Max'!AI195</f>
        <v>10</v>
      </c>
      <c r="H195" s="243">
        <f>SUM(F195+G195)*'Weighting Factors'!$O$5</f>
        <v>284928</v>
      </c>
      <c r="I195" s="252">
        <f>'2024 Legal Max'!CR195-'2024 Legal Max'!T195-'2024 Legal Max'!AQ195</f>
        <v>368.6</v>
      </c>
      <c r="J195" s="136">
        <f>'2024 Legal Max'!AF195</f>
        <v>46</v>
      </c>
      <c r="K195" s="138">
        <f t="shared" si="3"/>
        <v>12.48</v>
      </c>
      <c r="L195" s="243">
        <f>(K195/100)*'2024 Legal Max'!BO195</f>
        <v>79371</v>
      </c>
      <c r="M195" s="129">
        <f>'2024 Legal Max'!AA195</f>
        <v>1.9</v>
      </c>
      <c r="N195" s="140">
        <f>IF('2024 Legal Max'!AA195=0,0,ROUND((M195/I195)*100,2))</f>
        <v>0.52</v>
      </c>
      <c r="O195" s="243">
        <f>(N195/100)*'2024 Legal Max'!BO195</f>
        <v>3307</v>
      </c>
    </row>
    <row r="196" spans="1:15">
      <c r="A196" s="134">
        <v>402</v>
      </c>
      <c r="B196" s="129" t="s">
        <v>10</v>
      </c>
      <c r="C196" s="129" t="s">
        <v>700</v>
      </c>
      <c r="D196" s="129" t="str">
        <f>'2024 Legal Max'!AZ196</f>
        <v>A</v>
      </c>
      <c r="E196" s="241">
        <f>'2024 Legal Max'!AO196</f>
        <v>1635110</v>
      </c>
      <c r="F196" s="136">
        <f>'2024 Legal Max'!AF196</f>
        <v>352.4</v>
      </c>
      <c r="G196" s="136">
        <f>'2024 Legal Max'!AI196</f>
        <v>15.1</v>
      </c>
      <c r="H196" s="243">
        <f>SUM(F196+G196)*'Weighting Factors'!$O$5</f>
        <v>1869840</v>
      </c>
      <c r="I196" s="252">
        <f>'2024 Legal Max'!CR196-'2024 Legal Max'!T196-'2024 Legal Max'!AQ196</f>
        <v>2818.6</v>
      </c>
      <c r="J196" s="136">
        <f>'2024 Legal Max'!AF196</f>
        <v>352.4</v>
      </c>
      <c r="K196" s="138">
        <f t="shared" si="3"/>
        <v>12.5</v>
      </c>
      <c r="L196" s="243">
        <f>(K196/100)*'2024 Legal Max'!BO196</f>
        <v>605531</v>
      </c>
      <c r="M196" s="129">
        <f>'2024 Legal Max'!AA196</f>
        <v>3.1</v>
      </c>
      <c r="N196" s="140">
        <f>IF('2024 Legal Max'!AA196=0,0,ROUND((M196/I196)*100,2))</f>
        <v>0.11</v>
      </c>
      <c r="O196" s="243">
        <f>(N196/100)*'2024 Legal Max'!BO196</f>
        <v>5329</v>
      </c>
    </row>
    <row r="197" spans="1:15">
      <c r="A197" s="134">
        <v>403</v>
      </c>
      <c r="B197" s="129" t="s">
        <v>88</v>
      </c>
      <c r="C197" s="129" t="s">
        <v>701</v>
      </c>
      <c r="D197" s="129" t="str">
        <f>'2024 Legal Max'!AZ197</f>
        <v>A</v>
      </c>
      <c r="E197" s="241">
        <f>'2024 Legal Max'!AO197</f>
        <v>302819</v>
      </c>
      <c r="F197" s="136">
        <f>'2024 Legal Max'!AF197</f>
        <v>30.5</v>
      </c>
      <c r="G197" s="136">
        <f>'2024 Legal Max'!AI197</f>
        <v>1</v>
      </c>
      <c r="H197" s="243">
        <f>SUM(F197+G197)*'Weighting Factors'!$O$5</f>
        <v>160272</v>
      </c>
      <c r="I197" s="252">
        <f>'2024 Legal Max'!CR197-'2024 Legal Max'!T197-'2024 Legal Max'!AQ197</f>
        <v>472.9</v>
      </c>
      <c r="J197" s="136">
        <f>'2024 Legal Max'!AF197</f>
        <v>30.5</v>
      </c>
      <c r="K197" s="138">
        <f t="shared" si="3"/>
        <v>6.45</v>
      </c>
      <c r="L197" s="243">
        <f>(K197/100)*'2024 Legal Max'!BO197</f>
        <v>49948</v>
      </c>
      <c r="M197" s="129">
        <f>'2024 Legal Max'!AA197</f>
        <v>0.6</v>
      </c>
      <c r="N197" s="140">
        <f>IF('2024 Legal Max'!AA197=0,0,ROUND((M197/I197)*100,2))</f>
        <v>0.13</v>
      </c>
      <c r="O197" s="243">
        <f>(N197/100)*'2024 Legal Max'!BO197</f>
        <v>1007</v>
      </c>
    </row>
    <row r="198" spans="1:15">
      <c r="A198" s="134">
        <v>404</v>
      </c>
      <c r="B198" s="129" t="s">
        <v>29</v>
      </c>
      <c r="C198" s="129" t="s">
        <v>702</v>
      </c>
      <c r="D198" s="129" t="str">
        <f>'2024 Legal Max'!AZ198</f>
        <v>A</v>
      </c>
      <c r="E198" s="241">
        <f>'2024 Legal Max'!AO198</f>
        <v>689557</v>
      </c>
      <c r="F198" s="136">
        <f>'2024 Legal Max'!AF198</f>
        <v>157.30000000000001</v>
      </c>
      <c r="G198" s="136">
        <f>'2024 Legal Max'!AI198</f>
        <v>28</v>
      </c>
      <c r="H198" s="243">
        <f>SUM(F198+G198)*'Weighting Factors'!$O$5</f>
        <v>942806</v>
      </c>
      <c r="I198" s="252">
        <f>'2024 Legal Max'!CR198-'2024 Legal Max'!T198-'2024 Legal Max'!AQ198</f>
        <v>1292.5</v>
      </c>
      <c r="J198" s="136">
        <f>'2024 Legal Max'!AF198</f>
        <v>157.30000000000001</v>
      </c>
      <c r="K198" s="138">
        <f t="shared" ref="K198:K261" si="4">IF(J198=0,0,ROUND((J198/I198)*100,2))</f>
        <v>12.17</v>
      </c>
      <c r="L198" s="243">
        <f>(K198/100)*'2024 Legal Max'!BO198</f>
        <v>269127</v>
      </c>
      <c r="M198" s="129">
        <f>'2024 Legal Max'!AA198</f>
        <v>0.4</v>
      </c>
      <c r="N198" s="140">
        <f>IF('2024 Legal Max'!AA198=0,0,ROUND((M198/I198)*100,2))</f>
        <v>0.03</v>
      </c>
      <c r="O198" s="243">
        <f>(N198/100)*'2024 Legal Max'!BO198</f>
        <v>663</v>
      </c>
    </row>
    <row r="199" spans="1:15">
      <c r="A199" s="134">
        <v>405</v>
      </c>
      <c r="B199" s="129" t="s">
        <v>76</v>
      </c>
      <c r="C199" s="129" t="s">
        <v>703</v>
      </c>
      <c r="D199" s="129" t="str">
        <f>'2024 Legal Max'!AZ199</f>
        <v>A</v>
      </c>
      <c r="E199" s="241">
        <f>'2024 Legal Max'!AO199</f>
        <v>833121</v>
      </c>
      <c r="F199" s="136">
        <f>'2024 Legal Max'!AF199</f>
        <v>224.6</v>
      </c>
      <c r="G199" s="136">
        <f>'2024 Legal Max'!AI199</f>
        <v>48.7</v>
      </c>
      <c r="H199" s="243">
        <f>SUM(F199+G199)*'Weighting Factors'!$O$5</f>
        <v>1390550</v>
      </c>
      <c r="I199" s="252">
        <f>'2024 Legal Max'!CR199-'2024 Legal Max'!T199-'2024 Legal Max'!AQ199</f>
        <v>1487.4</v>
      </c>
      <c r="J199" s="136">
        <f>'2024 Legal Max'!AF199</f>
        <v>224.6</v>
      </c>
      <c r="K199" s="138">
        <f t="shared" si="4"/>
        <v>15.1</v>
      </c>
      <c r="L199" s="243">
        <f>(K199/100)*'2024 Legal Max'!BO199</f>
        <v>364256</v>
      </c>
      <c r="M199" s="129">
        <f>'2024 Legal Max'!AA199</f>
        <v>36.799999999999997</v>
      </c>
      <c r="N199" s="140">
        <f>IF('2024 Legal Max'!AA199=0,0,ROUND((M199/I199)*100,2))</f>
        <v>2.4700000000000002</v>
      </c>
      <c r="O199" s="243">
        <f>(N199/100)*'2024 Legal Max'!BO199</f>
        <v>59584</v>
      </c>
    </row>
    <row r="200" spans="1:15">
      <c r="A200" s="134">
        <v>407</v>
      </c>
      <c r="B200" s="129" t="s">
        <v>90</v>
      </c>
      <c r="C200" s="129" t="s">
        <v>704</v>
      </c>
      <c r="D200" s="129" t="str">
        <f>'2024 Legal Max'!AZ200</f>
        <v>A</v>
      </c>
      <c r="E200" s="241">
        <f>'2024 Legal Max'!AO200</f>
        <v>1013038</v>
      </c>
      <c r="F200" s="136">
        <f>'2024 Legal Max'!AF200</f>
        <v>168.4</v>
      </c>
      <c r="G200" s="136">
        <f>'2024 Legal Max'!AI200</f>
        <v>24.6</v>
      </c>
      <c r="H200" s="243">
        <f>SUM(F200+G200)*'Weighting Factors'!$O$5</f>
        <v>981984</v>
      </c>
      <c r="I200" s="252">
        <f>'2024 Legal Max'!CR200-'2024 Legal Max'!T200-'2024 Legal Max'!AQ200</f>
        <v>1488.3</v>
      </c>
      <c r="J200" s="136">
        <f>'2024 Legal Max'!AF200</f>
        <v>168.4</v>
      </c>
      <c r="K200" s="138">
        <f t="shared" si="4"/>
        <v>11.31</v>
      </c>
      <c r="L200" s="243">
        <f>(K200/100)*'2024 Legal Max'!BO200</f>
        <v>287825</v>
      </c>
      <c r="M200" s="129">
        <f>'2024 Legal Max'!AA200</f>
        <v>1.9</v>
      </c>
      <c r="N200" s="140">
        <f>IF('2024 Legal Max'!AA200=0,0,ROUND((M200/I200)*100,2))</f>
        <v>0.13</v>
      </c>
      <c r="O200" s="243">
        <f>(N200/100)*'2024 Legal Max'!BO200</f>
        <v>3308</v>
      </c>
    </row>
    <row r="201" spans="1:15">
      <c r="A201" s="134">
        <v>408</v>
      </c>
      <c r="B201" s="129" t="s">
        <v>89</v>
      </c>
      <c r="C201" s="129" t="s">
        <v>705</v>
      </c>
      <c r="D201" s="129" t="str">
        <f>'2024 Legal Max'!AZ201</f>
        <v>A</v>
      </c>
      <c r="E201" s="241">
        <f>'2024 Legal Max'!AO201</f>
        <v>747918</v>
      </c>
      <c r="F201" s="136">
        <f>'2024 Legal Max'!AF201</f>
        <v>101.6</v>
      </c>
      <c r="G201" s="136">
        <f>'2024 Legal Max'!AI201</f>
        <v>11.6</v>
      </c>
      <c r="H201" s="243">
        <f>SUM(F201+G201)*'Weighting Factors'!$O$5</f>
        <v>575962</v>
      </c>
      <c r="I201" s="252">
        <f>'2024 Legal Max'!CR201-'2024 Legal Max'!T201-'2024 Legal Max'!AQ201</f>
        <v>1023.6</v>
      </c>
      <c r="J201" s="136">
        <f>'2024 Legal Max'!AF201</f>
        <v>101.6</v>
      </c>
      <c r="K201" s="138">
        <f t="shared" si="4"/>
        <v>9.93</v>
      </c>
      <c r="L201" s="243">
        <f>(K201/100)*'2024 Legal Max'!BO201</f>
        <v>167209</v>
      </c>
      <c r="M201" s="129">
        <f>'2024 Legal Max'!AA201</f>
        <v>0</v>
      </c>
      <c r="N201" s="140">
        <f>IF('2024 Legal Max'!AA201=0,0,ROUND((M201/I201)*100,2))</f>
        <v>0</v>
      </c>
      <c r="O201" s="243">
        <f>(N201/100)*'2024 Legal Max'!BO201</f>
        <v>0</v>
      </c>
    </row>
    <row r="202" spans="1:15">
      <c r="A202" s="134">
        <v>409</v>
      </c>
      <c r="B202" s="129" t="s">
        <v>77</v>
      </c>
      <c r="C202" s="129" t="s">
        <v>706</v>
      </c>
      <c r="D202" s="129" t="str">
        <f>'2024 Legal Max'!AZ202</f>
        <v>A</v>
      </c>
      <c r="E202" s="241">
        <f>'2024 Legal Max'!AO202</f>
        <v>1596363</v>
      </c>
      <c r="F202" s="136">
        <f>'2024 Legal Max'!AF202</f>
        <v>406.6</v>
      </c>
      <c r="G202" s="136">
        <f>'2024 Legal Max'!AI202</f>
        <v>88.2</v>
      </c>
      <c r="H202" s="243">
        <f>SUM(F202+G202)*'Weighting Factors'!$O$5</f>
        <v>2517542</v>
      </c>
      <c r="I202" s="252">
        <f>'2024 Legal Max'!CR202-'2024 Legal Max'!T202-'2024 Legal Max'!AQ202</f>
        <v>2477.3000000000002</v>
      </c>
      <c r="J202" s="136">
        <f>'2024 Legal Max'!AF202</f>
        <v>406.6</v>
      </c>
      <c r="K202" s="138">
        <f t="shared" si="4"/>
        <v>16.41</v>
      </c>
      <c r="L202" s="243">
        <f>(K202/100)*'2024 Legal Max'!BO202</f>
        <v>673254</v>
      </c>
      <c r="M202" s="129">
        <f>'2024 Legal Max'!AA202</f>
        <v>0.9</v>
      </c>
      <c r="N202" s="140">
        <f>IF('2024 Legal Max'!AA202=0,0,ROUND((M202/I202)*100,2))</f>
        <v>0.04</v>
      </c>
      <c r="O202" s="243">
        <f>(N202/100)*'2024 Legal Max'!BO202</f>
        <v>1641</v>
      </c>
    </row>
    <row r="203" spans="1:15">
      <c r="A203" s="134">
        <v>410</v>
      </c>
      <c r="B203" s="129" t="s">
        <v>89</v>
      </c>
      <c r="C203" s="129" t="s">
        <v>707</v>
      </c>
      <c r="D203" s="129" t="str">
        <f>'2024 Legal Max'!AZ203</f>
        <v>A</v>
      </c>
      <c r="E203" s="241">
        <f>'2024 Legal Max'!AO203</f>
        <v>907127</v>
      </c>
      <c r="F203" s="136">
        <f>'2024 Legal Max'!AF203</f>
        <v>108.9</v>
      </c>
      <c r="G203" s="136">
        <f>'2024 Legal Max'!AI203</f>
        <v>8.6</v>
      </c>
      <c r="H203" s="243">
        <f>SUM(F203+G203)*'Weighting Factors'!$O$5</f>
        <v>597840</v>
      </c>
      <c r="I203" s="252">
        <f>'2024 Legal Max'!CR203-'2024 Legal Max'!T203-'2024 Legal Max'!AQ203</f>
        <v>1174.2</v>
      </c>
      <c r="J203" s="136">
        <f>'2024 Legal Max'!AF203</f>
        <v>108.9</v>
      </c>
      <c r="K203" s="138">
        <f t="shared" si="4"/>
        <v>9.27</v>
      </c>
      <c r="L203" s="243">
        <f>(K203/100)*'2024 Legal Max'!BO203</f>
        <v>186548</v>
      </c>
      <c r="M203" s="129">
        <f>'2024 Legal Max'!AA203</f>
        <v>1.3</v>
      </c>
      <c r="N203" s="140">
        <f>IF('2024 Legal Max'!AA203=0,0,ROUND((M203/I203)*100,2))</f>
        <v>0.11</v>
      </c>
      <c r="O203" s="243">
        <f>(N203/100)*'2024 Legal Max'!BO203</f>
        <v>2214</v>
      </c>
    </row>
    <row r="204" spans="1:15">
      <c r="A204" s="134">
        <v>411</v>
      </c>
      <c r="B204" s="129" t="s">
        <v>89</v>
      </c>
      <c r="C204" s="129" t="s">
        <v>708</v>
      </c>
      <c r="D204" s="129" t="str">
        <f>'2024 Legal Max'!AZ204</f>
        <v>A</v>
      </c>
      <c r="E204" s="241">
        <f>'2024 Legal Max'!AO204</f>
        <v>397031</v>
      </c>
      <c r="F204" s="136">
        <f>'2024 Legal Max'!AF204</f>
        <v>30</v>
      </c>
      <c r="G204" s="136">
        <f>'2024 Legal Max'!AI204</f>
        <v>0</v>
      </c>
      <c r="H204" s="243">
        <f>SUM(F204+G204)*'Weighting Factors'!$O$5</f>
        <v>152640</v>
      </c>
      <c r="I204" s="252">
        <f>'2024 Legal Max'!CR204-'2024 Legal Max'!T204-'2024 Legal Max'!AQ204</f>
        <v>568</v>
      </c>
      <c r="J204" s="136">
        <f>'2024 Legal Max'!AF204</f>
        <v>30</v>
      </c>
      <c r="K204" s="138">
        <f t="shared" si="4"/>
        <v>5.28</v>
      </c>
      <c r="L204" s="243">
        <f>(K204/100)*'2024 Legal Max'!BO204</f>
        <v>51630</v>
      </c>
      <c r="M204" s="129">
        <f>'2024 Legal Max'!AA204</f>
        <v>0.4</v>
      </c>
      <c r="N204" s="140">
        <f>IF('2024 Legal Max'!AA204=0,0,ROUND((M204/I204)*100,2))</f>
        <v>7.0000000000000007E-2</v>
      </c>
      <c r="O204" s="243">
        <f>(N204/100)*'2024 Legal Max'!BO204</f>
        <v>684</v>
      </c>
    </row>
    <row r="205" spans="1:15">
      <c r="A205" s="134">
        <v>412</v>
      </c>
      <c r="B205" s="129" t="s">
        <v>93</v>
      </c>
      <c r="C205" s="129" t="s">
        <v>709</v>
      </c>
      <c r="D205" s="129" t="str">
        <f>'2024 Legal Max'!AZ205</f>
        <v>A</v>
      </c>
      <c r="E205" s="241">
        <f>'2024 Legal Max'!AO205</f>
        <v>361550</v>
      </c>
      <c r="F205" s="136">
        <f>'2024 Legal Max'!AF205</f>
        <v>50.3</v>
      </c>
      <c r="G205" s="136">
        <f>'2024 Legal Max'!AI205</f>
        <v>0</v>
      </c>
      <c r="H205" s="243">
        <f>SUM(F205+G205)*'Weighting Factors'!$O$5</f>
        <v>255926</v>
      </c>
      <c r="I205" s="252">
        <f>'2024 Legal Max'!CR205-'2024 Legal Max'!T205-'2024 Legal Max'!AQ205</f>
        <v>763.4</v>
      </c>
      <c r="J205" s="136">
        <f>'2024 Legal Max'!AF205</f>
        <v>50.3</v>
      </c>
      <c r="K205" s="138">
        <f t="shared" si="4"/>
        <v>6.59</v>
      </c>
      <c r="L205" s="243">
        <f>(K205/100)*'2024 Legal Max'!BO205</f>
        <v>86456</v>
      </c>
      <c r="M205" s="129">
        <f>'2024 Legal Max'!AA205</f>
        <v>2.4</v>
      </c>
      <c r="N205" s="140">
        <f>IF('2024 Legal Max'!AA205=0,0,ROUND((M205/I205)*100,2))</f>
        <v>0.31</v>
      </c>
      <c r="O205" s="243">
        <f>(N205/100)*'2024 Legal Max'!BO205</f>
        <v>4067</v>
      </c>
    </row>
    <row r="206" spans="1:15">
      <c r="A206" s="134">
        <v>413</v>
      </c>
      <c r="B206" s="129" t="s">
        <v>4</v>
      </c>
      <c r="C206" s="129" t="s">
        <v>710</v>
      </c>
      <c r="D206" s="129" t="str">
        <f>'2024 Legal Max'!AZ206</f>
        <v>A</v>
      </c>
      <c r="E206" s="241">
        <f>'2024 Legal Max'!AO206</f>
        <v>2010455</v>
      </c>
      <c r="F206" s="136">
        <f>'2024 Legal Max'!AF206</f>
        <v>456.9</v>
      </c>
      <c r="G206" s="136">
        <f>'2024 Legal Max'!AI206</f>
        <v>99.1</v>
      </c>
      <c r="H206" s="243">
        <f>SUM(F206+G206)*'Weighting Factors'!$O$5</f>
        <v>2828928</v>
      </c>
      <c r="I206" s="252">
        <f>'2024 Legal Max'!CR206-'2024 Legal Max'!T206-'2024 Legal Max'!AQ206</f>
        <v>2861.3</v>
      </c>
      <c r="J206" s="136">
        <f>'2024 Legal Max'!AF206</f>
        <v>456.9</v>
      </c>
      <c r="K206" s="138">
        <f t="shared" si="4"/>
        <v>15.97</v>
      </c>
      <c r="L206" s="243">
        <f>(K206/100)*'2024 Legal Max'!BO206</f>
        <v>774496</v>
      </c>
      <c r="M206" s="129">
        <f>'2024 Legal Max'!AA206</f>
        <v>8.6999999999999993</v>
      </c>
      <c r="N206" s="140">
        <f>IF('2024 Legal Max'!AA206=0,0,ROUND((M206/I206)*100,2))</f>
        <v>0.3</v>
      </c>
      <c r="O206" s="243">
        <f>(N206/100)*'2024 Legal Max'!BO206</f>
        <v>14549</v>
      </c>
    </row>
    <row r="207" spans="1:15">
      <c r="A207" s="134">
        <v>415</v>
      </c>
      <c r="B207" s="129" t="s">
        <v>94</v>
      </c>
      <c r="C207" s="129" t="s">
        <v>711</v>
      </c>
      <c r="D207" s="129" t="str">
        <f>'2024 Legal Max'!AZ207</f>
        <v>A</v>
      </c>
      <c r="E207" s="241">
        <f>'2024 Legal Max'!AO207</f>
        <v>951088</v>
      </c>
      <c r="F207" s="136">
        <f>'2024 Legal Max'!AF207</f>
        <v>199.9</v>
      </c>
      <c r="G207" s="136">
        <f>'2024 Legal Max'!AI207</f>
        <v>35.700000000000003</v>
      </c>
      <c r="H207" s="243">
        <f>SUM(F207+G207)*'Weighting Factors'!$O$5</f>
        <v>1198733</v>
      </c>
      <c r="I207" s="252">
        <f>'2024 Legal Max'!CR207-'2024 Legal Max'!T207-'2024 Legal Max'!AQ207</f>
        <v>1651.4</v>
      </c>
      <c r="J207" s="136">
        <f>'2024 Legal Max'!AF207</f>
        <v>199.9</v>
      </c>
      <c r="K207" s="138">
        <f t="shared" si="4"/>
        <v>12.1</v>
      </c>
      <c r="L207" s="243">
        <f>(K207/100)*'2024 Legal Max'!BO207</f>
        <v>314874</v>
      </c>
      <c r="M207" s="129">
        <f>'2024 Legal Max'!AA207</f>
        <v>0.9</v>
      </c>
      <c r="N207" s="140">
        <f>IF('2024 Legal Max'!AA207=0,0,ROUND((M207/I207)*100,2))</f>
        <v>0.05</v>
      </c>
      <c r="O207" s="243">
        <f>(N207/100)*'2024 Legal Max'!BO207</f>
        <v>1301</v>
      </c>
    </row>
    <row r="208" spans="1:15">
      <c r="A208" s="134">
        <v>416</v>
      </c>
      <c r="B208" s="129" t="s">
        <v>73</v>
      </c>
      <c r="C208" s="129" t="s">
        <v>712</v>
      </c>
      <c r="D208" s="129" t="str">
        <f>'2024 Legal Max'!AZ208</f>
        <v>A</v>
      </c>
      <c r="E208" s="241">
        <f>'2024 Legal Max'!AO208</f>
        <v>1557094</v>
      </c>
      <c r="F208" s="136">
        <f>'2024 Legal Max'!AF208</f>
        <v>147.1</v>
      </c>
      <c r="G208" s="136">
        <f>'2024 Legal Max'!AI208</f>
        <v>0</v>
      </c>
      <c r="H208" s="243">
        <f>SUM(F208+G208)*'Weighting Factors'!$O$5</f>
        <v>748445</v>
      </c>
      <c r="I208" s="252">
        <f>'2024 Legal Max'!CR208-'2024 Legal Max'!T208-'2024 Legal Max'!AQ208</f>
        <v>2445.9</v>
      </c>
      <c r="J208" s="136">
        <f>'2024 Legal Max'!AF208</f>
        <v>147.1</v>
      </c>
      <c r="K208" s="138">
        <f t="shared" si="4"/>
        <v>6.01</v>
      </c>
      <c r="L208" s="243">
        <f>(K208/100)*'2024 Legal Max'!BO208</f>
        <v>250507</v>
      </c>
      <c r="M208" s="129">
        <f>'2024 Legal Max'!AA208</f>
        <v>5</v>
      </c>
      <c r="N208" s="140">
        <f>IF('2024 Legal Max'!AA208=0,0,ROUND((M208/I208)*100,2))</f>
        <v>0.2</v>
      </c>
      <c r="O208" s="243">
        <f>(N208/100)*'2024 Legal Max'!BO208</f>
        <v>8336</v>
      </c>
    </row>
    <row r="209" spans="1:15">
      <c r="A209" s="134">
        <v>417</v>
      </c>
      <c r="B209" s="129" t="s">
        <v>95</v>
      </c>
      <c r="C209" s="129" t="s">
        <v>713</v>
      </c>
      <c r="D209" s="129" t="str">
        <f>'2024 Legal Max'!AZ209</f>
        <v>A</v>
      </c>
      <c r="E209" s="241">
        <f>'2024 Legal Max'!AO209</f>
        <v>901019</v>
      </c>
      <c r="F209" s="136">
        <f>'2024 Legal Max'!AF209</f>
        <v>179.6</v>
      </c>
      <c r="G209" s="136">
        <f>'2024 Legal Max'!AI209</f>
        <v>35.4</v>
      </c>
      <c r="H209" s="243">
        <f>SUM(F209+G209)*'Weighting Factors'!$O$5</f>
        <v>1093920</v>
      </c>
      <c r="I209" s="252">
        <f>'2024 Legal Max'!CR209-'2024 Legal Max'!T209-'2024 Legal Max'!AQ209</f>
        <v>1474</v>
      </c>
      <c r="J209" s="136">
        <f>'2024 Legal Max'!AF209</f>
        <v>179.6</v>
      </c>
      <c r="K209" s="138">
        <f t="shared" si="4"/>
        <v>12.18</v>
      </c>
      <c r="L209" s="243">
        <f>(K209/100)*'2024 Legal Max'!BO209</f>
        <v>307578</v>
      </c>
      <c r="M209" s="129">
        <f>'2024 Legal Max'!AA209</f>
        <v>0.9</v>
      </c>
      <c r="N209" s="140">
        <f>IF('2024 Legal Max'!AA209=0,0,ROUND((M209/I209)*100,2))</f>
        <v>0.06</v>
      </c>
      <c r="O209" s="243">
        <f>(N209/100)*'2024 Legal Max'!BO209</f>
        <v>1515</v>
      </c>
    </row>
    <row r="210" spans="1:15">
      <c r="A210" s="134">
        <v>418</v>
      </c>
      <c r="B210" s="129" t="s">
        <v>91</v>
      </c>
      <c r="C210" s="129" t="s">
        <v>714</v>
      </c>
      <c r="D210" s="129" t="str">
        <f>'2024 Legal Max'!AZ210</f>
        <v>A</v>
      </c>
      <c r="E210" s="241">
        <f>'2024 Legal Max'!AO210</f>
        <v>2792118</v>
      </c>
      <c r="F210" s="136">
        <f>'2024 Legal Max'!AF210</f>
        <v>415.3</v>
      </c>
      <c r="G210" s="136">
        <f>'2024 Legal Max'!AI210</f>
        <v>35.6</v>
      </c>
      <c r="H210" s="243">
        <f>SUM(F210+G210)*'Weighting Factors'!$O$5</f>
        <v>2294179</v>
      </c>
      <c r="I210" s="252">
        <f>'2024 Legal Max'!CR210-'2024 Legal Max'!T210-'2024 Legal Max'!AQ210</f>
        <v>3391</v>
      </c>
      <c r="J210" s="136">
        <f>'2024 Legal Max'!AF210</f>
        <v>415.3</v>
      </c>
      <c r="K210" s="138">
        <f t="shared" si="4"/>
        <v>12.25</v>
      </c>
      <c r="L210" s="243">
        <f>(K210/100)*'2024 Legal Max'!BO210</f>
        <v>713324</v>
      </c>
      <c r="M210" s="129">
        <f>'2024 Legal Max'!AA210</f>
        <v>12.8</v>
      </c>
      <c r="N210" s="140">
        <f>IF('2024 Legal Max'!AA210=0,0,ROUND((M210/I210)*100,2))</f>
        <v>0.38</v>
      </c>
      <c r="O210" s="243">
        <f>(N210/100)*'2024 Legal Max'!BO210</f>
        <v>22128</v>
      </c>
    </row>
    <row r="211" spans="1:15">
      <c r="A211" s="134">
        <v>419</v>
      </c>
      <c r="B211" s="129" t="s">
        <v>91</v>
      </c>
      <c r="C211" s="129" t="s">
        <v>715</v>
      </c>
      <c r="D211" s="129" t="str">
        <f>'2024 Legal Max'!AZ211</f>
        <v>A</v>
      </c>
      <c r="E211" s="241">
        <f>'2024 Legal Max'!AO211</f>
        <v>368389</v>
      </c>
      <c r="F211" s="136">
        <f>'2024 Legal Max'!AF211</f>
        <v>51.3</v>
      </c>
      <c r="G211" s="136">
        <f>'2024 Legal Max'!AI211</f>
        <v>1</v>
      </c>
      <c r="H211" s="243">
        <f>SUM(F211+G211)*'Weighting Factors'!$O$5</f>
        <v>266102</v>
      </c>
      <c r="I211" s="252">
        <f>'2024 Legal Max'!CR211-'2024 Legal Max'!T211-'2024 Legal Max'!AQ211</f>
        <v>637.9</v>
      </c>
      <c r="J211" s="136">
        <f>'2024 Legal Max'!AF211</f>
        <v>51.3</v>
      </c>
      <c r="K211" s="138">
        <f t="shared" si="4"/>
        <v>8.0399999999999991</v>
      </c>
      <c r="L211" s="243">
        <f>(K211/100)*'2024 Legal Max'!BO211</f>
        <v>88757</v>
      </c>
      <c r="M211" s="129">
        <f>'2024 Legal Max'!AA211</f>
        <v>0.2</v>
      </c>
      <c r="N211" s="140">
        <f>IF('2024 Legal Max'!AA211=0,0,ROUND((M211/I211)*100,2))</f>
        <v>0.03</v>
      </c>
      <c r="O211" s="243">
        <f>(N211/100)*'2024 Legal Max'!BO211</f>
        <v>331</v>
      </c>
    </row>
    <row r="212" spans="1:15">
      <c r="A212" s="134">
        <v>420</v>
      </c>
      <c r="B212" s="129" t="s">
        <v>96</v>
      </c>
      <c r="C212" s="129" t="s">
        <v>716</v>
      </c>
      <c r="D212" s="129" t="str">
        <f>'2024 Legal Max'!AZ212</f>
        <v>A</v>
      </c>
      <c r="E212" s="241">
        <f>'2024 Legal Max'!AO212</f>
        <v>843531</v>
      </c>
      <c r="F212" s="136">
        <f>'2024 Legal Max'!AF212</f>
        <v>159.69999999999999</v>
      </c>
      <c r="G212" s="136">
        <f>'2024 Legal Max'!AI212</f>
        <v>30.3</v>
      </c>
      <c r="H212" s="243">
        <f>SUM(F212+G212)*'Weighting Factors'!$O$5</f>
        <v>966720</v>
      </c>
      <c r="I212" s="252">
        <f>'2024 Legal Max'!CR212-'2024 Legal Max'!T212-'2024 Legal Max'!AQ212</f>
        <v>1300.0999999999999</v>
      </c>
      <c r="J212" s="136">
        <f>'2024 Legal Max'!AF212</f>
        <v>159.69999999999999</v>
      </c>
      <c r="K212" s="138">
        <f t="shared" si="4"/>
        <v>12.28</v>
      </c>
      <c r="L212" s="243">
        <f>(K212/100)*'2024 Legal Max'!BO212</f>
        <v>259733</v>
      </c>
      <c r="M212" s="129">
        <f>'2024 Legal Max'!AA212</f>
        <v>0.4</v>
      </c>
      <c r="N212" s="140">
        <f>IF('2024 Legal Max'!AA212=0,0,ROUND((M212/I212)*100,2))</f>
        <v>0.03</v>
      </c>
      <c r="O212" s="243">
        <f>(N212/100)*'2024 Legal Max'!BO212</f>
        <v>635</v>
      </c>
    </row>
    <row r="213" spans="1:15">
      <c r="A213" s="134">
        <v>421</v>
      </c>
      <c r="B213" s="129" t="s">
        <v>96</v>
      </c>
      <c r="C213" s="129" t="s">
        <v>717</v>
      </c>
      <c r="D213" s="129" t="str">
        <f>'2024 Legal Max'!AZ213</f>
        <v>A</v>
      </c>
      <c r="E213" s="241">
        <f>'2024 Legal Max'!AO213</f>
        <v>525835</v>
      </c>
      <c r="F213" s="136">
        <f>'2024 Legal Max'!AF213</f>
        <v>60</v>
      </c>
      <c r="G213" s="136">
        <f>'2024 Legal Max'!AI213</f>
        <v>0</v>
      </c>
      <c r="H213" s="243">
        <f>SUM(F213+G213)*'Weighting Factors'!$O$5</f>
        <v>305280</v>
      </c>
      <c r="I213" s="252">
        <f>'2024 Legal Max'!CR213-'2024 Legal Max'!T213-'2024 Legal Max'!AQ213</f>
        <v>808.9</v>
      </c>
      <c r="J213" s="136">
        <f>'2024 Legal Max'!AF213</f>
        <v>60</v>
      </c>
      <c r="K213" s="138">
        <f t="shared" si="4"/>
        <v>7.42</v>
      </c>
      <c r="L213" s="243">
        <f>(K213/100)*'2024 Legal Max'!BO213</f>
        <v>98405</v>
      </c>
      <c r="M213" s="129">
        <f>'2024 Legal Max'!AA213</f>
        <v>0</v>
      </c>
      <c r="N213" s="140">
        <f>IF('2024 Legal Max'!AA213=0,0,ROUND((M213/I213)*100,2))</f>
        <v>0</v>
      </c>
      <c r="O213" s="243">
        <f>(N213/100)*'2024 Legal Max'!BO213</f>
        <v>0</v>
      </c>
    </row>
    <row r="214" spans="1:15">
      <c r="A214" s="134">
        <v>422</v>
      </c>
      <c r="B214" s="129" t="s">
        <v>97</v>
      </c>
      <c r="C214" s="129" t="s">
        <v>718</v>
      </c>
      <c r="D214" s="129" t="str">
        <f>'2024 Legal Max'!AZ214</f>
        <v>A</v>
      </c>
      <c r="E214" s="241">
        <f>'2024 Legal Max'!AO214</f>
        <v>369018</v>
      </c>
      <c r="F214" s="136">
        <f>'2024 Legal Max'!AF214</f>
        <v>48.4</v>
      </c>
      <c r="G214" s="136">
        <f>'2024 Legal Max'!AI214</f>
        <v>3.4</v>
      </c>
      <c r="H214" s="243">
        <f>SUM(F214+G214)*'Weighting Factors'!$O$5</f>
        <v>263558</v>
      </c>
      <c r="I214" s="252">
        <f>'2024 Legal Max'!CR214-'2024 Legal Max'!T214-'2024 Legal Max'!AQ214</f>
        <v>598.6</v>
      </c>
      <c r="J214" s="136">
        <f>'2024 Legal Max'!AF214</f>
        <v>48.4</v>
      </c>
      <c r="K214" s="138">
        <f t="shared" si="4"/>
        <v>8.09</v>
      </c>
      <c r="L214" s="243">
        <f>(K214/100)*'2024 Legal Max'!BO214</f>
        <v>79465</v>
      </c>
      <c r="M214" s="129">
        <f>'2024 Legal Max'!AA214</f>
        <v>3.9</v>
      </c>
      <c r="N214" s="140">
        <f>IF('2024 Legal Max'!AA214=0,0,ROUND((M214/I214)*100,2))</f>
        <v>0.65</v>
      </c>
      <c r="O214" s="243">
        <f>(N214/100)*'2024 Legal Max'!BO214</f>
        <v>6385</v>
      </c>
    </row>
    <row r="215" spans="1:15">
      <c r="A215" s="134">
        <v>423</v>
      </c>
      <c r="B215" s="129" t="s">
        <v>91</v>
      </c>
      <c r="C215" s="129" t="s">
        <v>719</v>
      </c>
      <c r="D215" s="129" t="str">
        <f>'2024 Legal Max'!AZ215</f>
        <v>A</v>
      </c>
      <c r="E215" s="241">
        <f>'2024 Legal Max'!AO215</f>
        <v>553299</v>
      </c>
      <c r="F215" s="136">
        <f>'2024 Legal Max'!AF215</f>
        <v>78.900000000000006</v>
      </c>
      <c r="G215" s="136">
        <f>'2024 Legal Max'!AI215</f>
        <v>1</v>
      </c>
      <c r="H215" s="243">
        <f>SUM(F215+G215)*'Weighting Factors'!$O$5</f>
        <v>406531</v>
      </c>
      <c r="I215" s="252">
        <f>'2024 Legal Max'!CR215-'2024 Legal Max'!T215-'2024 Legal Max'!AQ215</f>
        <v>885.4</v>
      </c>
      <c r="J215" s="136">
        <f>'2024 Legal Max'!AF215</f>
        <v>78.900000000000006</v>
      </c>
      <c r="K215" s="138">
        <f t="shared" si="4"/>
        <v>8.91</v>
      </c>
      <c r="L215" s="243">
        <f>(K215/100)*'2024 Legal Max'!BO215</f>
        <v>127361</v>
      </c>
      <c r="M215" s="129">
        <f>'2024 Legal Max'!AA215</f>
        <v>1.5</v>
      </c>
      <c r="N215" s="140">
        <f>IF('2024 Legal Max'!AA215=0,0,ROUND((M215/I215)*100,2))</f>
        <v>0.17</v>
      </c>
      <c r="O215" s="243">
        <f>(N215/100)*'2024 Legal Max'!BO215</f>
        <v>2430</v>
      </c>
    </row>
    <row r="216" spans="1:15">
      <c r="A216" s="134">
        <v>426</v>
      </c>
      <c r="B216" s="129" t="s">
        <v>98</v>
      </c>
      <c r="C216" s="129" t="s">
        <v>720</v>
      </c>
      <c r="D216" s="129" t="str">
        <f>'2024 Legal Max'!AZ216</f>
        <v>A</v>
      </c>
      <c r="E216" s="241">
        <f>'2024 Legal Max'!AO216</f>
        <v>205115</v>
      </c>
      <c r="F216" s="136">
        <f>'2024 Legal Max'!AF216</f>
        <v>28.1</v>
      </c>
      <c r="G216" s="136">
        <f>'2024 Legal Max'!AI216</f>
        <v>0</v>
      </c>
      <c r="H216" s="243">
        <f>SUM(F216+G216)*'Weighting Factors'!$O$5</f>
        <v>142973</v>
      </c>
      <c r="I216" s="252">
        <f>'2024 Legal Max'!CR216-'2024 Legal Max'!T216-'2024 Legal Max'!AQ216</f>
        <v>454.6</v>
      </c>
      <c r="J216" s="136">
        <f>'2024 Legal Max'!AF216</f>
        <v>28.1</v>
      </c>
      <c r="K216" s="138">
        <f t="shared" si="4"/>
        <v>6.18</v>
      </c>
      <c r="L216" s="243">
        <f>(K216/100)*'2024 Legal Max'!BO216</f>
        <v>40788</v>
      </c>
      <c r="M216" s="129">
        <f>'2024 Legal Max'!AA216</f>
        <v>0</v>
      </c>
      <c r="N216" s="140">
        <f>IF('2024 Legal Max'!AA216=0,0,ROUND((M216/I216)*100,2))</f>
        <v>0</v>
      </c>
      <c r="O216" s="243">
        <f>(N216/100)*'2024 Legal Max'!BO216</f>
        <v>0</v>
      </c>
    </row>
    <row r="217" spans="1:15">
      <c r="A217" s="134">
        <v>428</v>
      </c>
      <c r="B217" s="129" t="s">
        <v>67</v>
      </c>
      <c r="C217" s="129" t="s">
        <v>721</v>
      </c>
      <c r="D217" s="129" t="str">
        <f>'2024 Legal Max'!AZ217</f>
        <v>A</v>
      </c>
      <c r="E217" s="241">
        <f>'2024 Legal Max'!AO217</f>
        <v>2419850</v>
      </c>
      <c r="F217" s="136">
        <f>'2024 Legal Max'!AF217</f>
        <v>834.9</v>
      </c>
      <c r="G217" s="136">
        <f>'2024 Legal Max'!AI217</f>
        <v>181.1</v>
      </c>
      <c r="H217" s="243">
        <f>SUM(F217+G217)*'Weighting Factors'!$O$5</f>
        <v>5169408</v>
      </c>
      <c r="I217" s="252">
        <f>'2024 Legal Max'!CR217-'2024 Legal Max'!T217-'2024 Legal Max'!AQ217</f>
        <v>4548.1000000000004</v>
      </c>
      <c r="J217" s="136">
        <f>'2024 Legal Max'!AF217</f>
        <v>834.9</v>
      </c>
      <c r="K217" s="138">
        <f t="shared" si="4"/>
        <v>18.36</v>
      </c>
      <c r="L217" s="243">
        <f>(K217/100)*'2024 Legal Max'!BO217</f>
        <v>1373922</v>
      </c>
      <c r="M217" s="129">
        <f>'2024 Legal Max'!AA217</f>
        <v>98.7</v>
      </c>
      <c r="N217" s="140">
        <f>IF('2024 Legal Max'!AA217=0,0,ROUND((M217/I217)*100,2))</f>
        <v>2.17</v>
      </c>
      <c r="O217" s="243">
        <f>(N217/100)*'2024 Legal Max'!BO217</f>
        <v>162386</v>
      </c>
    </row>
    <row r="218" spans="1:15">
      <c r="A218" s="134">
        <v>429</v>
      </c>
      <c r="B218" s="129" t="s">
        <v>92</v>
      </c>
      <c r="C218" s="129" t="s">
        <v>722</v>
      </c>
      <c r="D218" s="129" t="str">
        <f>'2024 Legal Max'!AZ218</f>
        <v>A</v>
      </c>
      <c r="E218" s="241">
        <f>'2024 Legal Max'!AO218</f>
        <v>369467</v>
      </c>
      <c r="F218" s="136">
        <f>'2024 Legal Max'!AF218</f>
        <v>34.4</v>
      </c>
      <c r="G218" s="136">
        <f>'2024 Legal Max'!AI218</f>
        <v>0</v>
      </c>
      <c r="H218" s="243">
        <f>SUM(F218+G218)*'Weighting Factors'!$O$5</f>
        <v>175027</v>
      </c>
      <c r="I218" s="252">
        <f>'2024 Legal Max'!CR218-'2024 Legal Max'!T218-'2024 Legal Max'!AQ218</f>
        <v>599.4</v>
      </c>
      <c r="J218" s="136">
        <f>'2024 Legal Max'!AF218</f>
        <v>34.4</v>
      </c>
      <c r="K218" s="138">
        <f t="shared" si="4"/>
        <v>5.74</v>
      </c>
      <c r="L218" s="243">
        <f>(K218/100)*'2024 Legal Max'!BO218</f>
        <v>56128</v>
      </c>
      <c r="M218" s="129">
        <f>'2024 Legal Max'!AA218</f>
        <v>0</v>
      </c>
      <c r="N218" s="140">
        <f>IF('2024 Legal Max'!AA218=0,0,ROUND((M218/I218)*100,2))</f>
        <v>0</v>
      </c>
      <c r="O218" s="243">
        <f>(N218/100)*'2024 Legal Max'!BO218</f>
        <v>0</v>
      </c>
    </row>
    <row r="219" spans="1:15">
      <c r="A219" s="134">
        <v>430</v>
      </c>
      <c r="B219" s="129" t="s">
        <v>94</v>
      </c>
      <c r="C219" s="129" t="s">
        <v>723</v>
      </c>
      <c r="D219" s="129" t="str">
        <f>'2024 Legal Max'!AZ219</f>
        <v>A</v>
      </c>
      <c r="E219" s="241">
        <f>'2024 Legal Max'!AO219</f>
        <v>554196</v>
      </c>
      <c r="F219" s="136">
        <f>'2024 Legal Max'!AF219</f>
        <v>132.6</v>
      </c>
      <c r="G219" s="136">
        <f>'2024 Legal Max'!AI219</f>
        <v>28.8</v>
      </c>
      <c r="H219" s="243">
        <f>SUM(F219+G219)*'Weighting Factors'!$O$5</f>
        <v>821203</v>
      </c>
      <c r="I219" s="252">
        <f>'2024 Legal Max'!CR219-'2024 Legal Max'!T219-'2024 Legal Max'!AQ219</f>
        <v>1050.9000000000001</v>
      </c>
      <c r="J219" s="136">
        <f>'2024 Legal Max'!AF219</f>
        <v>132.6</v>
      </c>
      <c r="K219" s="138">
        <f t="shared" si="4"/>
        <v>12.62</v>
      </c>
      <c r="L219" s="243">
        <f>(K219/100)*'2024 Legal Max'!BO219</f>
        <v>227910</v>
      </c>
      <c r="M219" s="129">
        <f>'2024 Legal Max'!AA219</f>
        <v>0.7</v>
      </c>
      <c r="N219" s="140">
        <f>IF('2024 Legal Max'!AA219=0,0,ROUND((M219/I219)*100,2))</f>
        <v>7.0000000000000007E-2</v>
      </c>
      <c r="O219" s="243">
        <f>(N219/100)*'2024 Legal Max'!BO219</f>
        <v>1264</v>
      </c>
    </row>
    <row r="220" spans="1:15">
      <c r="A220" s="134">
        <v>431</v>
      </c>
      <c r="B220" s="129" t="s">
        <v>67</v>
      </c>
      <c r="C220" s="129" t="s">
        <v>724</v>
      </c>
      <c r="D220" s="129" t="str">
        <f>'2024 Legal Max'!AZ220</f>
        <v>A</v>
      </c>
      <c r="E220" s="241">
        <f>'2024 Legal Max'!AO220</f>
        <v>861350</v>
      </c>
      <c r="F220" s="136">
        <f>'2024 Legal Max'!AF220</f>
        <v>148.6</v>
      </c>
      <c r="G220" s="136">
        <f>'2024 Legal Max'!AI220</f>
        <v>19.600000000000001</v>
      </c>
      <c r="H220" s="243">
        <f>SUM(F220+G220)*'Weighting Factors'!$O$5</f>
        <v>855802</v>
      </c>
      <c r="I220" s="252">
        <f>'2024 Legal Max'!CR220-'2024 Legal Max'!T220-'2024 Legal Max'!AQ220</f>
        <v>1370.1</v>
      </c>
      <c r="J220" s="136">
        <f>'2024 Legal Max'!AF220</f>
        <v>148.6</v>
      </c>
      <c r="K220" s="138">
        <f t="shared" si="4"/>
        <v>10.85</v>
      </c>
      <c r="L220" s="243">
        <f>(K220/100)*'2024 Legal Max'!BO220</f>
        <v>243747</v>
      </c>
      <c r="M220" s="129">
        <f>'2024 Legal Max'!AA220</f>
        <v>0</v>
      </c>
      <c r="N220" s="140">
        <f>IF('2024 Legal Max'!AA220=0,0,ROUND((M220/I220)*100,2))</f>
        <v>0</v>
      </c>
      <c r="O220" s="243">
        <f>(N220/100)*'2024 Legal Max'!BO220</f>
        <v>0</v>
      </c>
    </row>
    <row r="221" spans="1:15">
      <c r="A221" s="134">
        <v>432</v>
      </c>
      <c r="B221" s="129" t="s">
        <v>84</v>
      </c>
      <c r="C221" s="129" t="s">
        <v>725</v>
      </c>
      <c r="D221" s="129" t="str">
        <f>'2024 Legal Max'!AZ221</f>
        <v>A</v>
      </c>
      <c r="E221" s="241">
        <f>'2024 Legal Max'!AO221</f>
        <v>305109</v>
      </c>
      <c r="F221" s="136">
        <f>'2024 Legal Max'!AF221</f>
        <v>29</v>
      </c>
      <c r="G221" s="136">
        <f>'2024 Legal Max'!AI221</f>
        <v>0</v>
      </c>
      <c r="H221" s="243">
        <f>SUM(F221+G221)*'Weighting Factors'!$O$5</f>
        <v>147552</v>
      </c>
      <c r="I221" s="252">
        <f>'2024 Legal Max'!CR221-'2024 Legal Max'!T221-'2024 Legal Max'!AQ221</f>
        <v>535.4</v>
      </c>
      <c r="J221" s="136">
        <f>'2024 Legal Max'!AF221</f>
        <v>29</v>
      </c>
      <c r="K221" s="138">
        <f t="shared" si="4"/>
        <v>5.42</v>
      </c>
      <c r="L221" s="243">
        <f>(K221/100)*'2024 Legal Max'!BO221</f>
        <v>49454</v>
      </c>
      <c r="M221" s="129">
        <f>'2024 Legal Max'!AA221</f>
        <v>0</v>
      </c>
      <c r="N221" s="140">
        <f>IF('2024 Legal Max'!AA221=0,0,ROUND((M221/I221)*100,2))</f>
        <v>0</v>
      </c>
      <c r="O221" s="243">
        <f>(N221/100)*'2024 Legal Max'!BO221</f>
        <v>0</v>
      </c>
    </row>
    <row r="222" spans="1:15">
      <c r="A222" s="134">
        <v>434</v>
      </c>
      <c r="B222" s="129" t="s">
        <v>96</v>
      </c>
      <c r="C222" s="129" t="s">
        <v>726</v>
      </c>
      <c r="D222" s="129" t="str">
        <f>'2024 Legal Max'!AZ222</f>
        <v>A</v>
      </c>
      <c r="E222" s="241">
        <f>'2024 Legal Max'!AO222</f>
        <v>1303530</v>
      </c>
      <c r="F222" s="136">
        <f>'2024 Legal Max'!AF222</f>
        <v>192.1</v>
      </c>
      <c r="G222" s="136">
        <f>'2024 Legal Max'!AI222</f>
        <v>10.4</v>
      </c>
      <c r="H222" s="243">
        <f>SUM(F222+G222)*'Weighting Factors'!$O$5</f>
        <v>1030320</v>
      </c>
      <c r="I222" s="252">
        <f>'2024 Legal Max'!CR222-'2024 Legal Max'!T222-'2024 Legal Max'!AQ222</f>
        <v>1843.4</v>
      </c>
      <c r="J222" s="136">
        <f>'2024 Legal Max'!AF222</f>
        <v>192.1</v>
      </c>
      <c r="K222" s="138">
        <f t="shared" si="4"/>
        <v>10.42</v>
      </c>
      <c r="L222" s="243">
        <f>(K222/100)*'2024 Legal Max'!BO222</f>
        <v>332096</v>
      </c>
      <c r="M222" s="129">
        <f>'2024 Legal Max'!AA222</f>
        <v>0</v>
      </c>
      <c r="N222" s="140">
        <f>IF('2024 Legal Max'!AA222=0,0,ROUND((M222/I222)*100,2))</f>
        <v>0</v>
      </c>
      <c r="O222" s="243">
        <f>(N222/100)*'2024 Legal Max'!BO222</f>
        <v>0</v>
      </c>
    </row>
    <row r="223" spans="1:15">
      <c r="A223" s="134">
        <v>435</v>
      </c>
      <c r="B223" s="129" t="s">
        <v>87</v>
      </c>
      <c r="C223" s="129" t="s">
        <v>727</v>
      </c>
      <c r="D223" s="129" t="str">
        <f>'2024 Legal Max'!AZ223</f>
        <v>A</v>
      </c>
      <c r="E223" s="241">
        <f>'2024 Legal Max'!AO223</f>
        <v>1474438</v>
      </c>
      <c r="F223" s="136">
        <f>'2024 Legal Max'!AF223</f>
        <v>275.39999999999998</v>
      </c>
      <c r="G223" s="136">
        <f>'2024 Legal Max'!AI223</f>
        <v>21.8</v>
      </c>
      <c r="H223" s="243">
        <f>SUM(F223+G223)*'Weighting Factors'!$O$5</f>
        <v>1512154</v>
      </c>
      <c r="I223" s="252">
        <f>'2024 Legal Max'!CR223-'2024 Legal Max'!T223-'2024 Legal Max'!AQ223</f>
        <v>2224.9</v>
      </c>
      <c r="J223" s="136">
        <f>'2024 Legal Max'!AF223</f>
        <v>275.39999999999998</v>
      </c>
      <c r="K223" s="138">
        <f t="shared" si="4"/>
        <v>12.38</v>
      </c>
      <c r="L223" s="243">
        <f>(K223/100)*'2024 Legal Max'!BO223</f>
        <v>428912</v>
      </c>
      <c r="M223" s="129">
        <f>'2024 Legal Max'!AA223</f>
        <v>4.4000000000000004</v>
      </c>
      <c r="N223" s="140">
        <f>IF('2024 Legal Max'!AA223=0,0,ROUND((M223/I223)*100,2))</f>
        <v>0.2</v>
      </c>
      <c r="O223" s="243">
        <f>(N223/100)*'2024 Legal Max'!BO223</f>
        <v>6929</v>
      </c>
    </row>
    <row r="224" spans="1:15">
      <c r="A224" s="134">
        <v>436</v>
      </c>
      <c r="B224" s="129" t="s">
        <v>99</v>
      </c>
      <c r="C224" s="129" t="s">
        <v>728</v>
      </c>
      <c r="D224" s="129" t="str">
        <f>'2024 Legal Max'!AZ224</f>
        <v>A</v>
      </c>
      <c r="E224" s="241">
        <f>'2024 Legal Max'!AO224</f>
        <v>606109</v>
      </c>
      <c r="F224" s="136">
        <f>'2024 Legal Max'!AF224</f>
        <v>149.6</v>
      </c>
      <c r="G224" s="136">
        <f>'2024 Legal Max'!AI224</f>
        <v>11.2</v>
      </c>
      <c r="H224" s="243">
        <f>SUM(F224+G224)*'Weighting Factors'!$O$5</f>
        <v>818150</v>
      </c>
      <c r="I224" s="252">
        <f>'2024 Legal Max'!CR224-'2024 Legal Max'!T224-'2024 Legal Max'!AQ224</f>
        <v>1350.5</v>
      </c>
      <c r="J224" s="136">
        <f>'2024 Legal Max'!AF224</f>
        <v>149.6</v>
      </c>
      <c r="K224" s="138">
        <f t="shared" si="4"/>
        <v>11.08</v>
      </c>
      <c r="L224" s="243">
        <f>(K224/100)*'2024 Legal Max'!BO224</f>
        <v>255720</v>
      </c>
      <c r="M224" s="129">
        <f>'2024 Legal Max'!AA224</f>
        <v>0.9</v>
      </c>
      <c r="N224" s="140">
        <f>IF('2024 Legal Max'!AA224=0,0,ROUND((M224/I224)*100,2))</f>
        <v>7.0000000000000007E-2</v>
      </c>
      <c r="O224" s="243">
        <f>(N224/100)*'2024 Legal Max'!BO224</f>
        <v>1616</v>
      </c>
    </row>
    <row r="225" spans="1:15">
      <c r="A225" s="134">
        <v>437</v>
      </c>
      <c r="B225" s="129" t="s">
        <v>61</v>
      </c>
      <c r="C225" s="129" t="s">
        <v>729</v>
      </c>
      <c r="D225" s="129" t="str">
        <f>'2024 Legal Max'!AZ225</f>
        <v>A</v>
      </c>
      <c r="E225" s="241">
        <f>'2024 Legal Max'!AO225</f>
        <v>8175953</v>
      </c>
      <c r="F225" s="136">
        <f>'2024 Legal Max'!AF225</f>
        <v>880.9</v>
      </c>
      <c r="G225" s="136">
        <f>'2024 Legal Max'!AI225</f>
        <v>47.7</v>
      </c>
      <c r="H225" s="243">
        <f>SUM(F225+G225)*'Weighting Factors'!$O$5</f>
        <v>4724717</v>
      </c>
      <c r="I225" s="252">
        <f>'2024 Legal Max'!CR225-'2024 Legal Max'!T225-'2024 Legal Max'!AQ225</f>
        <v>9273.6</v>
      </c>
      <c r="J225" s="136">
        <f>'2024 Legal Max'!AF225</f>
        <v>880.9</v>
      </c>
      <c r="K225" s="138">
        <f t="shared" si="4"/>
        <v>9.5</v>
      </c>
      <c r="L225" s="243">
        <f>(K225/100)*'2024 Legal Max'!BO225</f>
        <v>1502596</v>
      </c>
      <c r="M225" s="129">
        <f>'2024 Legal Max'!AA225</f>
        <v>22.9</v>
      </c>
      <c r="N225" s="140">
        <f>IF('2024 Legal Max'!AA225=0,0,ROUND((M225/I225)*100,2))</f>
        <v>0.25</v>
      </c>
      <c r="O225" s="243">
        <f>(N225/100)*'2024 Legal Max'!BO225</f>
        <v>39542</v>
      </c>
    </row>
    <row r="226" spans="1:15">
      <c r="A226" s="134">
        <v>438</v>
      </c>
      <c r="B226" s="129" t="s">
        <v>81</v>
      </c>
      <c r="C226" s="129" t="s">
        <v>730</v>
      </c>
      <c r="D226" s="129" t="str">
        <f>'2024 Legal Max'!AZ226</f>
        <v>A</v>
      </c>
      <c r="E226" s="241">
        <f>'2024 Legal Max'!AO226</f>
        <v>455598</v>
      </c>
      <c r="F226" s="136">
        <f>'2024 Legal Max'!AF226</f>
        <v>72.599999999999994</v>
      </c>
      <c r="G226" s="136">
        <f>'2024 Legal Max'!AI226</f>
        <v>12.5</v>
      </c>
      <c r="H226" s="243">
        <f>SUM(F226+G226)*'Weighting Factors'!$O$5</f>
        <v>432989</v>
      </c>
      <c r="I226" s="252">
        <f>'2024 Legal Max'!CR226-'2024 Legal Max'!T226-'2024 Legal Max'!AQ226</f>
        <v>739.1</v>
      </c>
      <c r="J226" s="136">
        <f>'2024 Legal Max'!AF226</f>
        <v>72.599999999999994</v>
      </c>
      <c r="K226" s="138">
        <f t="shared" si="4"/>
        <v>9.82</v>
      </c>
      <c r="L226" s="243">
        <f>(K226/100)*'2024 Legal Max'!BO226</f>
        <v>119152</v>
      </c>
      <c r="M226" s="129">
        <f>'2024 Legal Max'!AA226</f>
        <v>1.9</v>
      </c>
      <c r="N226" s="140">
        <f>IF('2024 Legal Max'!AA226=0,0,ROUND((M226/I226)*100,2))</f>
        <v>0.26</v>
      </c>
      <c r="O226" s="243">
        <f>(N226/100)*'2024 Legal Max'!BO226</f>
        <v>3155</v>
      </c>
    </row>
    <row r="227" spans="1:15">
      <c r="A227" s="134">
        <v>439</v>
      </c>
      <c r="B227" s="129" t="s">
        <v>74</v>
      </c>
      <c r="C227" s="129" t="s">
        <v>731</v>
      </c>
      <c r="D227" s="129" t="str">
        <f>'2024 Legal Max'!AZ227</f>
        <v>A</v>
      </c>
      <c r="E227" s="241">
        <f>'2024 Legal Max'!AO227</f>
        <v>645057</v>
      </c>
      <c r="F227" s="136">
        <f>'2024 Legal Max'!AF227</f>
        <v>73.099999999999994</v>
      </c>
      <c r="G227" s="136">
        <f>'2024 Legal Max'!AI227</f>
        <v>0.4</v>
      </c>
      <c r="H227" s="243">
        <f>SUM(F227+G227)*'Weighting Factors'!$O$5</f>
        <v>373968</v>
      </c>
      <c r="I227" s="252">
        <f>'2024 Legal Max'!CR227-'2024 Legal Max'!T227-'2024 Legal Max'!AQ227</f>
        <v>917.7</v>
      </c>
      <c r="J227" s="136">
        <f>'2024 Legal Max'!AF227</f>
        <v>73.099999999999994</v>
      </c>
      <c r="K227" s="138">
        <f t="shared" si="4"/>
        <v>7.97</v>
      </c>
      <c r="L227" s="243">
        <f>(K227/100)*'2024 Legal Max'!BO227</f>
        <v>120222</v>
      </c>
      <c r="M227" s="129">
        <f>'2024 Legal Max'!AA227</f>
        <v>0.2</v>
      </c>
      <c r="N227" s="140">
        <f>IF('2024 Legal Max'!AA227=0,0,ROUND((M227/I227)*100,2))</f>
        <v>0.02</v>
      </c>
      <c r="O227" s="243">
        <f>(N227/100)*'2024 Legal Max'!BO227</f>
        <v>302</v>
      </c>
    </row>
    <row r="228" spans="1:15">
      <c r="A228" s="134">
        <v>440</v>
      </c>
      <c r="B228" s="129" t="s">
        <v>74</v>
      </c>
      <c r="C228" s="129" t="s">
        <v>732</v>
      </c>
      <c r="D228" s="129" t="str">
        <f>'2024 Legal Max'!AZ228</f>
        <v>A</v>
      </c>
      <c r="E228" s="241">
        <f>'2024 Legal Max'!AO228</f>
        <v>656168</v>
      </c>
      <c r="F228" s="136">
        <f>'2024 Legal Max'!AF228</f>
        <v>135.5</v>
      </c>
      <c r="G228" s="136">
        <f>'2024 Legal Max'!AI228</f>
        <v>4.2</v>
      </c>
      <c r="H228" s="243">
        <f>SUM(F228+G228)*'Weighting Factors'!$O$5</f>
        <v>710794</v>
      </c>
      <c r="I228" s="252">
        <f>'2024 Legal Max'!CR228-'2024 Legal Max'!T228-'2024 Legal Max'!AQ228</f>
        <v>1387.5</v>
      </c>
      <c r="J228" s="136">
        <f>'2024 Legal Max'!AF228</f>
        <v>135.5</v>
      </c>
      <c r="K228" s="138">
        <f t="shared" si="4"/>
        <v>9.77</v>
      </c>
      <c r="L228" s="243">
        <f>(K228/100)*'2024 Legal Max'!BO228</f>
        <v>223263</v>
      </c>
      <c r="M228" s="129">
        <f>'2024 Legal Max'!AA228</f>
        <v>2.6</v>
      </c>
      <c r="N228" s="140">
        <f>IF('2024 Legal Max'!AA228=0,0,ROUND((M228/I228)*100,2))</f>
        <v>0.19</v>
      </c>
      <c r="O228" s="243">
        <f>(N228/100)*'2024 Legal Max'!BO228</f>
        <v>4342</v>
      </c>
    </row>
    <row r="229" spans="1:15">
      <c r="A229" s="134">
        <v>443</v>
      </c>
      <c r="B229" s="129" t="s">
        <v>80</v>
      </c>
      <c r="C229" s="129" t="s">
        <v>733</v>
      </c>
      <c r="D229" s="129" t="str">
        <f>'2024 Legal Max'!AZ229</f>
        <v>A</v>
      </c>
      <c r="E229" s="241">
        <f>'2024 Legal Max'!AO229</f>
        <v>5549961</v>
      </c>
      <c r="F229" s="136">
        <f>'2024 Legal Max'!AF229</f>
        <v>2431.1</v>
      </c>
      <c r="G229" s="136">
        <f>'2024 Legal Max'!AI229</f>
        <v>527.5</v>
      </c>
      <c r="H229" s="243">
        <f>SUM(F229+G229)*'Weighting Factors'!$O$5</f>
        <v>15053357</v>
      </c>
      <c r="I229" s="252">
        <f>'2024 Legal Max'!CR229-'2024 Legal Max'!T229-'2024 Legal Max'!AQ229</f>
        <v>12511.3</v>
      </c>
      <c r="J229" s="136">
        <f>'2024 Legal Max'!AF229</f>
        <v>2431.1</v>
      </c>
      <c r="K229" s="138">
        <f t="shared" si="4"/>
        <v>19.43</v>
      </c>
      <c r="L229" s="243">
        <f>(K229/100)*'2024 Legal Max'!BO229</f>
        <v>4171025</v>
      </c>
      <c r="M229" s="129">
        <f>'2024 Legal Max'!AA229</f>
        <v>812.5</v>
      </c>
      <c r="N229" s="140">
        <f>IF('2024 Legal Max'!AA229=0,0,ROUND((M229/I229)*100,2))</f>
        <v>6.49</v>
      </c>
      <c r="O229" s="243">
        <f>(N229/100)*'2024 Legal Max'!BO229</f>
        <v>1393204</v>
      </c>
    </row>
    <row r="230" spans="1:15">
      <c r="A230" s="134">
        <v>444</v>
      </c>
      <c r="B230" s="129" t="s">
        <v>76</v>
      </c>
      <c r="C230" s="129" t="s">
        <v>734</v>
      </c>
      <c r="D230" s="129" t="str">
        <f>'2024 Legal Max'!AZ230</f>
        <v>A</v>
      </c>
      <c r="E230" s="241">
        <f>'2024 Legal Max'!AO230</f>
        <v>314994</v>
      </c>
      <c r="F230" s="136">
        <f>'2024 Legal Max'!AF230</f>
        <v>34.4</v>
      </c>
      <c r="G230" s="136">
        <f>'2024 Legal Max'!AI230</f>
        <v>0</v>
      </c>
      <c r="H230" s="243">
        <f>SUM(F230+G230)*'Weighting Factors'!$O$5</f>
        <v>175027</v>
      </c>
      <c r="I230" s="252">
        <f>'2024 Legal Max'!CR230-'2024 Legal Max'!T230-'2024 Legal Max'!AQ230</f>
        <v>565</v>
      </c>
      <c r="J230" s="136">
        <f>'2024 Legal Max'!AF230</f>
        <v>34.4</v>
      </c>
      <c r="K230" s="138">
        <f t="shared" si="4"/>
        <v>6.09</v>
      </c>
      <c r="L230" s="243">
        <f>(K230/100)*'2024 Legal Max'!BO230</f>
        <v>57034</v>
      </c>
      <c r="M230" s="129">
        <f>'2024 Legal Max'!AA230</f>
        <v>0</v>
      </c>
      <c r="N230" s="140">
        <f>IF('2024 Legal Max'!AA230=0,0,ROUND((M230/I230)*100,2))</f>
        <v>0</v>
      </c>
      <c r="O230" s="243">
        <f>(N230/100)*'2024 Legal Max'!BO230</f>
        <v>0</v>
      </c>
    </row>
    <row r="231" spans="1:15">
      <c r="A231" s="134">
        <v>445</v>
      </c>
      <c r="B231" s="129" t="s">
        <v>99</v>
      </c>
      <c r="C231" s="129" t="s">
        <v>735</v>
      </c>
      <c r="D231" s="129" t="str">
        <f>'2024 Legal Max'!AZ231</f>
        <v>A</v>
      </c>
      <c r="E231" s="241">
        <f>'2024 Legal Max'!AO231</f>
        <v>1613209</v>
      </c>
      <c r="F231" s="136">
        <f>'2024 Legal Max'!AF231</f>
        <v>516.9</v>
      </c>
      <c r="G231" s="136">
        <f>'2024 Legal Max'!AI231</f>
        <v>112.1</v>
      </c>
      <c r="H231" s="243">
        <f>SUM(F231+G231)*'Weighting Factors'!$O$5</f>
        <v>3200352</v>
      </c>
      <c r="I231" s="252">
        <f>'2024 Legal Max'!CR231-'2024 Legal Max'!T231-'2024 Legal Max'!AQ231</f>
        <v>2763.1</v>
      </c>
      <c r="J231" s="136">
        <f>'2024 Legal Max'!AF231</f>
        <v>516.9</v>
      </c>
      <c r="K231" s="138">
        <f t="shared" si="4"/>
        <v>18.71</v>
      </c>
      <c r="L231" s="243">
        <f>(K231/100)*'2024 Legal Max'!BO231</f>
        <v>811415</v>
      </c>
      <c r="M231" s="129">
        <f>'2024 Legal Max'!AA231</f>
        <v>49.6</v>
      </c>
      <c r="N231" s="140">
        <f>IF('2024 Legal Max'!AA231=0,0,ROUND((M231/I231)*100,2))</f>
        <v>1.8</v>
      </c>
      <c r="O231" s="243">
        <f>(N231/100)*'2024 Legal Max'!BO231</f>
        <v>78062</v>
      </c>
    </row>
    <row r="232" spans="1:15">
      <c r="A232" s="134">
        <v>446</v>
      </c>
      <c r="B232" s="129" t="s">
        <v>99</v>
      </c>
      <c r="C232" s="129" t="s">
        <v>736</v>
      </c>
      <c r="D232" s="129" t="str">
        <f>'2024 Legal Max'!AZ232</f>
        <v>A</v>
      </c>
      <c r="E232" s="241">
        <f>'2024 Legal Max'!AO232</f>
        <v>1718698</v>
      </c>
      <c r="F232" s="136">
        <f>'2024 Legal Max'!AF232</f>
        <v>511.6</v>
      </c>
      <c r="G232" s="136">
        <f>'2024 Legal Max'!AI232</f>
        <v>111</v>
      </c>
      <c r="H232" s="243">
        <f>SUM(F232+G232)*'Weighting Factors'!$O$5</f>
        <v>3167789</v>
      </c>
      <c r="I232" s="252">
        <f>'2024 Legal Max'!CR232-'2024 Legal Max'!T232-'2024 Legal Max'!AQ232</f>
        <v>2957.9</v>
      </c>
      <c r="J232" s="136">
        <f>'2024 Legal Max'!AF232</f>
        <v>511.6</v>
      </c>
      <c r="K232" s="138">
        <f t="shared" si="4"/>
        <v>17.3</v>
      </c>
      <c r="L232" s="243">
        <f>(K232/100)*'2024 Legal Max'!BO232</f>
        <v>878938</v>
      </c>
      <c r="M232" s="129">
        <f>'2024 Legal Max'!AA232</f>
        <v>10.5</v>
      </c>
      <c r="N232" s="140">
        <f>IF('2024 Legal Max'!AA232=0,0,ROUND((M232/I232)*100,2))</f>
        <v>0.35</v>
      </c>
      <c r="O232" s="243">
        <f>(N232/100)*'2024 Legal Max'!BO232</f>
        <v>17782</v>
      </c>
    </row>
    <row r="233" spans="1:15">
      <c r="A233" s="134">
        <v>447</v>
      </c>
      <c r="B233" s="129" t="s">
        <v>99</v>
      </c>
      <c r="C233" s="129" t="s">
        <v>737</v>
      </c>
      <c r="D233" s="129" t="str">
        <f>'2024 Legal Max'!AZ233</f>
        <v>A</v>
      </c>
      <c r="E233" s="241">
        <f>'2024 Legal Max'!AO233</f>
        <v>585969</v>
      </c>
      <c r="F233" s="136">
        <f>'2024 Legal Max'!AF233</f>
        <v>193.6</v>
      </c>
      <c r="G233" s="136">
        <f>'2024 Legal Max'!AI233</f>
        <v>42</v>
      </c>
      <c r="H233" s="243">
        <f>SUM(F233+G233)*'Weighting Factors'!$O$5</f>
        <v>1198733</v>
      </c>
      <c r="I233" s="252">
        <f>'2024 Legal Max'!CR233-'2024 Legal Max'!T233-'2024 Legal Max'!AQ233</f>
        <v>1357.1</v>
      </c>
      <c r="J233" s="136">
        <f>'2024 Legal Max'!AF233</f>
        <v>193.6</v>
      </c>
      <c r="K233" s="138">
        <f t="shared" si="4"/>
        <v>14.27</v>
      </c>
      <c r="L233" s="243">
        <f>(K233/100)*'2024 Legal Max'!BO233</f>
        <v>319132</v>
      </c>
      <c r="M233" s="129">
        <f>'2024 Legal Max'!AA233</f>
        <v>0.7</v>
      </c>
      <c r="N233" s="140">
        <f>IF('2024 Legal Max'!AA233=0,0,ROUND((M233/I233)*100,2))</f>
        <v>0.05</v>
      </c>
      <c r="O233" s="243">
        <f>(N233/100)*'2024 Legal Max'!BO233</f>
        <v>1118</v>
      </c>
    </row>
    <row r="234" spans="1:15">
      <c r="A234" s="134">
        <v>448</v>
      </c>
      <c r="B234" s="129" t="s">
        <v>91</v>
      </c>
      <c r="C234" s="129" t="s">
        <v>738</v>
      </c>
      <c r="D234" s="129" t="str">
        <f>'2024 Legal Max'!AZ234</f>
        <v>A</v>
      </c>
      <c r="E234" s="241">
        <f>'2024 Legal Max'!AO234</f>
        <v>522192</v>
      </c>
      <c r="F234" s="136">
        <f>'2024 Legal Max'!AF234</f>
        <v>60.5</v>
      </c>
      <c r="G234" s="136">
        <f>'2024 Legal Max'!AI234</f>
        <v>0.9</v>
      </c>
      <c r="H234" s="243">
        <f>SUM(F234+G234)*'Weighting Factors'!$O$5</f>
        <v>312403</v>
      </c>
      <c r="I234" s="252">
        <f>'2024 Legal Max'!CR234-'2024 Legal Max'!T234-'2024 Legal Max'!AQ234</f>
        <v>785.1</v>
      </c>
      <c r="J234" s="136">
        <f>'2024 Legal Max'!AF234</f>
        <v>60.5</v>
      </c>
      <c r="K234" s="138">
        <f t="shared" si="4"/>
        <v>7.71</v>
      </c>
      <c r="L234" s="243">
        <f>(K234/100)*'2024 Legal Max'!BO234</f>
        <v>104035</v>
      </c>
      <c r="M234" s="129">
        <f>'2024 Legal Max'!AA234</f>
        <v>0</v>
      </c>
      <c r="N234" s="140">
        <f>IF('2024 Legal Max'!AA234=0,0,ROUND((M234/I234)*100,2))</f>
        <v>0</v>
      </c>
      <c r="O234" s="243">
        <f>(N234/100)*'2024 Legal Max'!BO234</f>
        <v>0</v>
      </c>
    </row>
    <row r="235" spans="1:15">
      <c r="A235" s="134">
        <v>449</v>
      </c>
      <c r="B235" s="129" t="s">
        <v>11</v>
      </c>
      <c r="C235" s="129" t="s">
        <v>739</v>
      </c>
      <c r="D235" s="129" t="str">
        <f>'2024 Legal Max'!AZ235</f>
        <v>A</v>
      </c>
      <c r="E235" s="241">
        <f>'2024 Legal Max'!AO235</f>
        <v>779923</v>
      </c>
      <c r="F235" s="136">
        <f>'2024 Legal Max'!AF235</f>
        <v>61</v>
      </c>
      <c r="G235" s="136">
        <f>'2024 Legal Max'!AI235</f>
        <v>0</v>
      </c>
      <c r="H235" s="243">
        <f>SUM(F235+G235)*'Weighting Factors'!$O$5</f>
        <v>310368</v>
      </c>
      <c r="I235" s="252">
        <f>'2024 Legal Max'!CR235-'2024 Legal Max'!T235-'2024 Legal Max'!AQ235</f>
        <v>1147.0999999999999</v>
      </c>
      <c r="J235" s="136">
        <f>'2024 Legal Max'!AF235</f>
        <v>61</v>
      </c>
      <c r="K235" s="138">
        <f t="shared" si="4"/>
        <v>5.32</v>
      </c>
      <c r="L235" s="243">
        <f>(K235/100)*'2024 Legal Max'!BO235</f>
        <v>100500</v>
      </c>
      <c r="M235" s="129">
        <f>'2024 Legal Max'!AA235</f>
        <v>0</v>
      </c>
      <c r="N235" s="140">
        <f>IF('2024 Legal Max'!AA235=0,0,ROUND((M235/I235)*100,2))</f>
        <v>0</v>
      </c>
      <c r="O235" s="243">
        <f>(N235/100)*'2024 Legal Max'!BO235</f>
        <v>0</v>
      </c>
    </row>
    <row r="236" spans="1:15">
      <c r="A236" s="134">
        <v>450</v>
      </c>
      <c r="B236" s="129" t="s">
        <v>61</v>
      </c>
      <c r="C236" s="129" t="s">
        <v>740</v>
      </c>
      <c r="D236" s="129" t="str">
        <f>'2024 Legal Max'!AZ236</f>
        <v>A</v>
      </c>
      <c r="E236" s="241">
        <f>'2024 Legal Max'!AO236</f>
        <v>4344590</v>
      </c>
      <c r="F236" s="136">
        <f>'2024 Legal Max'!AF236</f>
        <v>552.70000000000005</v>
      </c>
      <c r="G236" s="136">
        <f>'2024 Legal Max'!AI236</f>
        <v>15.9</v>
      </c>
      <c r="H236" s="243">
        <f>SUM(F236+G236)*'Weighting Factors'!$O$5</f>
        <v>2893037</v>
      </c>
      <c r="I236" s="252">
        <f>'2024 Legal Max'!CR236-'2024 Legal Max'!T236-'2024 Legal Max'!AQ236</f>
        <v>5553.8</v>
      </c>
      <c r="J236" s="136">
        <f>'2024 Legal Max'!AF236</f>
        <v>552.70000000000005</v>
      </c>
      <c r="K236" s="138">
        <f t="shared" si="4"/>
        <v>9.9499999999999993</v>
      </c>
      <c r="L236" s="243">
        <f>(K236/100)*'2024 Legal Max'!BO236</f>
        <v>941861</v>
      </c>
      <c r="M236" s="129">
        <f>'2024 Legal Max'!AA236</f>
        <v>14.6</v>
      </c>
      <c r="N236" s="140">
        <f>IF('2024 Legal Max'!AA236=0,0,ROUND((M236/I236)*100,2))</f>
        <v>0.26</v>
      </c>
      <c r="O236" s="243">
        <f>(N236/100)*'2024 Legal Max'!BO236</f>
        <v>24611</v>
      </c>
    </row>
    <row r="237" spans="1:15">
      <c r="A237" s="134">
        <v>452</v>
      </c>
      <c r="B237" s="129" t="s">
        <v>101</v>
      </c>
      <c r="C237" s="129" t="s">
        <v>741</v>
      </c>
      <c r="D237" s="129" t="str">
        <f>'2024 Legal Max'!AZ237</f>
        <v>A</v>
      </c>
      <c r="E237" s="241">
        <f>'2024 Legal Max'!AO237</f>
        <v>293293</v>
      </c>
      <c r="F237" s="136">
        <f>'2024 Legal Max'!AF237</f>
        <v>100.2</v>
      </c>
      <c r="G237" s="136">
        <f>'2024 Legal Max'!AI237</f>
        <v>20.399999999999999</v>
      </c>
      <c r="H237" s="243">
        <f>SUM(F237+G237)*'Weighting Factors'!$O$5</f>
        <v>613613</v>
      </c>
      <c r="I237" s="252">
        <f>'2024 Legal Max'!CR237-'2024 Legal Max'!T237-'2024 Legal Max'!AQ237</f>
        <v>842.3</v>
      </c>
      <c r="J237" s="136">
        <f>'2024 Legal Max'!AF237</f>
        <v>100.2</v>
      </c>
      <c r="K237" s="138">
        <f t="shared" si="4"/>
        <v>11.9</v>
      </c>
      <c r="L237" s="243">
        <f>(K237/100)*'2024 Legal Max'!BO237</f>
        <v>156220</v>
      </c>
      <c r="M237" s="129">
        <f>'2024 Legal Max'!AA237</f>
        <v>37.1</v>
      </c>
      <c r="N237" s="140">
        <f>IF('2024 Legal Max'!AA237=0,0,ROUND((M237/I237)*100,2))</f>
        <v>4.4000000000000004</v>
      </c>
      <c r="O237" s="243">
        <f>(N237/100)*'2024 Legal Max'!BO237</f>
        <v>57762</v>
      </c>
    </row>
    <row r="238" spans="1:15">
      <c r="A238" s="134">
        <v>453</v>
      </c>
      <c r="B238" s="129" t="s">
        <v>11</v>
      </c>
      <c r="C238" s="129" t="s">
        <v>742</v>
      </c>
      <c r="D238" s="129" t="str">
        <f>'2024 Legal Max'!AZ238</f>
        <v>A</v>
      </c>
      <c r="E238" s="241">
        <f>'2024 Legal Max'!AO238</f>
        <v>3925771</v>
      </c>
      <c r="F238" s="136">
        <f>'2024 Legal Max'!AF238</f>
        <v>822.3</v>
      </c>
      <c r="G238" s="136">
        <f>'2024 Legal Max'!AI238</f>
        <v>172.8</v>
      </c>
      <c r="H238" s="243">
        <f>SUM(F238+G238)*'Weighting Factors'!$O$5</f>
        <v>5063069</v>
      </c>
      <c r="I238" s="252">
        <f>'2024 Legal Max'!CR238-'2024 Legal Max'!T238-'2024 Legal Max'!AQ238</f>
        <v>5502.5</v>
      </c>
      <c r="J238" s="136">
        <f>'2024 Legal Max'!AF238</f>
        <v>822.3</v>
      </c>
      <c r="K238" s="138">
        <f t="shared" si="4"/>
        <v>14.94</v>
      </c>
      <c r="L238" s="243">
        <f>(K238/100)*'2024 Legal Max'!BO238</f>
        <v>1343818</v>
      </c>
      <c r="M238" s="129">
        <f>'2024 Legal Max'!AA238</f>
        <v>6.1</v>
      </c>
      <c r="N238" s="140">
        <f>IF('2024 Legal Max'!AA238=0,0,ROUND((M238/I238)*100,2))</f>
        <v>0.11</v>
      </c>
      <c r="O238" s="243">
        <f>(N238/100)*'2024 Legal Max'!BO238</f>
        <v>9894</v>
      </c>
    </row>
    <row r="239" spans="1:15">
      <c r="A239" s="134">
        <v>454</v>
      </c>
      <c r="B239" s="129" t="s">
        <v>96</v>
      </c>
      <c r="C239" s="129" t="s">
        <v>743</v>
      </c>
      <c r="D239" s="129" t="str">
        <f>'2024 Legal Max'!AZ239</f>
        <v>A</v>
      </c>
      <c r="E239" s="241">
        <f>'2024 Legal Max'!AO239</f>
        <v>323620</v>
      </c>
      <c r="F239" s="136">
        <f>'2024 Legal Max'!AF239</f>
        <v>59</v>
      </c>
      <c r="G239" s="136">
        <f>'2024 Legal Max'!AI239</f>
        <v>8</v>
      </c>
      <c r="H239" s="243">
        <f>SUM(F239+G239)*'Weighting Factors'!$O$5</f>
        <v>340896</v>
      </c>
      <c r="I239" s="252">
        <f>'2024 Legal Max'!CR239-'2024 Legal Max'!T239-'2024 Legal Max'!AQ239</f>
        <v>576</v>
      </c>
      <c r="J239" s="136">
        <f>'2024 Legal Max'!AF239</f>
        <v>59</v>
      </c>
      <c r="K239" s="138">
        <f t="shared" si="4"/>
        <v>10.24</v>
      </c>
      <c r="L239" s="243">
        <f>(K239/100)*'2024 Legal Max'!BO239</f>
        <v>98447</v>
      </c>
      <c r="M239" s="129">
        <f>'2024 Legal Max'!AA239</f>
        <v>0.2</v>
      </c>
      <c r="N239" s="140">
        <f>IF('2024 Legal Max'!AA239=0,0,ROUND((M239/I239)*100,2))</f>
        <v>0.03</v>
      </c>
      <c r="O239" s="243">
        <f>(N239/100)*'2024 Legal Max'!BO239</f>
        <v>288</v>
      </c>
    </row>
    <row r="240" spans="1:15">
      <c r="A240" s="134">
        <v>456</v>
      </c>
      <c r="B240" s="129" t="s">
        <v>96</v>
      </c>
      <c r="C240" s="129" t="s">
        <v>744</v>
      </c>
      <c r="D240" s="129" t="str">
        <f>'2024 Legal Max'!AZ240</f>
        <v>A</v>
      </c>
      <c r="E240" s="241">
        <f>'2024 Legal Max'!AO240</f>
        <v>272282</v>
      </c>
      <c r="F240" s="136">
        <f>'2024 Legal Max'!AF240</f>
        <v>55.7</v>
      </c>
      <c r="G240" s="136">
        <f>'2024 Legal Max'!AI240</f>
        <v>12.1</v>
      </c>
      <c r="H240" s="243">
        <f>SUM(F240+G240)*'Weighting Factors'!$O$5</f>
        <v>344966</v>
      </c>
      <c r="I240" s="252">
        <f>'2024 Legal Max'!CR240-'2024 Legal Max'!T240-'2024 Legal Max'!AQ240</f>
        <v>504.1</v>
      </c>
      <c r="J240" s="136">
        <f>'2024 Legal Max'!AF240</f>
        <v>55.7</v>
      </c>
      <c r="K240" s="138">
        <f t="shared" si="4"/>
        <v>11.05</v>
      </c>
      <c r="L240" s="243">
        <f>(K240/100)*'2024 Legal Max'!BO240</f>
        <v>97522</v>
      </c>
      <c r="M240" s="129">
        <f>'2024 Legal Max'!AA240</f>
        <v>0</v>
      </c>
      <c r="N240" s="140">
        <f>IF('2024 Legal Max'!AA240=0,0,ROUND((M240/I240)*100,2))</f>
        <v>0</v>
      </c>
      <c r="O240" s="243">
        <f>(N240/100)*'2024 Legal Max'!BO240</f>
        <v>0</v>
      </c>
    </row>
    <row r="241" spans="1:15">
      <c r="A241" s="134">
        <v>457</v>
      </c>
      <c r="B241" s="129" t="s">
        <v>69</v>
      </c>
      <c r="C241" s="129" t="s">
        <v>745</v>
      </c>
      <c r="D241" s="129" t="str">
        <f>'2024 Legal Max'!AZ241</f>
        <v>A</v>
      </c>
      <c r="E241" s="241">
        <f>'2024 Legal Max'!AO241</f>
        <v>5030377</v>
      </c>
      <c r="F241" s="136">
        <f>'2024 Legal Max'!AF241</f>
        <v>2162</v>
      </c>
      <c r="G241" s="136">
        <f>'2024 Legal Max'!AI241</f>
        <v>469</v>
      </c>
      <c r="H241" s="243">
        <f>SUM(F241+G241)*'Weighting Factors'!$O$5</f>
        <v>13386528</v>
      </c>
      <c r="I241" s="252">
        <f>'2024 Legal Max'!CR241-'2024 Legal Max'!T241-'2024 Legal Max'!AQ241</f>
        <v>11610.2</v>
      </c>
      <c r="J241" s="136">
        <f>'2024 Legal Max'!AF241</f>
        <v>2162</v>
      </c>
      <c r="K241" s="138">
        <f t="shared" si="4"/>
        <v>18.62</v>
      </c>
      <c r="L241" s="243">
        <f>(K241/100)*'2024 Legal Max'!BO241</f>
        <v>3591089</v>
      </c>
      <c r="M241" s="129">
        <f>'2024 Legal Max'!AA241</f>
        <v>434.7</v>
      </c>
      <c r="N241" s="140">
        <f>IF('2024 Legal Max'!AA241=0,0,ROUND((M241/I241)*100,2))</f>
        <v>3.74</v>
      </c>
      <c r="O241" s="243">
        <f>(N241/100)*'2024 Legal Max'!BO241</f>
        <v>721304</v>
      </c>
    </row>
    <row r="242" spans="1:15">
      <c r="A242" s="134">
        <v>458</v>
      </c>
      <c r="B242" s="129" t="s">
        <v>11</v>
      </c>
      <c r="C242" s="129" t="s">
        <v>746</v>
      </c>
      <c r="D242" s="129" t="str">
        <f>'2024 Legal Max'!AZ242</f>
        <v>A</v>
      </c>
      <c r="E242" s="241">
        <f>'2024 Legal Max'!AO242</f>
        <v>3288860</v>
      </c>
      <c r="F242" s="136">
        <f>'2024 Legal Max'!AF242</f>
        <v>213</v>
      </c>
      <c r="G242" s="136">
        <f>'2024 Legal Max'!AI242</f>
        <v>0</v>
      </c>
      <c r="H242" s="243">
        <f>SUM(F242+G242)*'Weighting Factors'!$O$5</f>
        <v>1083744</v>
      </c>
      <c r="I242" s="252">
        <f>'2024 Legal Max'!CR242-'2024 Legal Max'!T242-'2024 Legal Max'!AQ242</f>
        <v>3980.4</v>
      </c>
      <c r="J242" s="136">
        <f>'2024 Legal Max'!AF242</f>
        <v>213</v>
      </c>
      <c r="K242" s="138">
        <f t="shared" si="4"/>
        <v>5.35</v>
      </c>
      <c r="L242" s="243">
        <f>(K242/100)*'2024 Legal Max'!BO242</f>
        <v>363586</v>
      </c>
      <c r="M242" s="129">
        <f>'2024 Legal Max'!AA242</f>
        <v>12.2</v>
      </c>
      <c r="N242" s="140">
        <f>IF('2024 Legal Max'!AA242=0,0,ROUND((M242/I242)*100,2))</f>
        <v>0.31</v>
      </c>
      <c r="O242" s="243">
        <f>(N242/100)*'2024 Legal Max'!BO242</f>
        <v>21068</v>
      </c>
    </row>
    <row r="243" spans="1:15">
      <c r="A243" s="134">
        <v>459</v>
      </c>
      <c r="B243" s="129" t="s">
        <v>80</v>
      </c>
      <c r="C243" s="129" t="s">
        <v>747</v>
      </c>
      <c r="D243" s="129" t="str">
        <f>'2024 Legal Max'!AZ243</f>
        <v>A</v>
      </c>
      <c r="E243" s="241">
        <f>'2024 Legal Max'!AO243</f>
        <v>188738</v>
      </c>
      <c r="F243" s="136">
        <f>'2024 Legal Max'!AF243</f>
        <v>43.6</v>
      </c>
      <c r="G243" s="136">
        <f>'2024 Legal Max'!AI243</f>
        <v>6.8</v>
      </c>
      <c r="H243" s="243">
        <f>SUM(F243+G243)*'Weighting Factors'!$O$5</f>
        <v>256435</v>
      </c>
      <c r="I243" s="252">
        <f>'2024 Legal Max'!CR243-'2024 Legal Max'!T243-'2024 Legal Max'!AQ243</f>
        <v>487.8</v>
      </c>
      <c r="J243" s="136">
        <f>'2024 Legal Max'!AF243</f>
        <v>43.6</v>
      </c>
      <c r="K243" s="138">
        <f t="shared" si="4"/>
        <v>8.94</v>
      </c>
      <c r="L243" s="243">
        <f>(K243/100)*'2024 Legal Max'!BO243</f>
        <v>72431</v>
      </c>
      <c r="M243" s="129">
        <f>'2024 Legal Max'!AA243</f>
        <v>1.4</v>
      </c>
      <c r="N243" s="140">
        <f>IF('2024 Legal Max'!AA243=0,0,ROUND((M243/I243)*100,2))</f>
        <v>0.28999999999999998</v>
      </c>
      <c r="O243" s="243">
        <f>(N243/100)*'2024 Legal Max'!BO243</f>
        <v>2350</v>
      </c>
    </row>
    <row r="244" spans="1:15">
      <c r="A244" s="134">
        <v>460</v>
      </c>
      <c r="B244" s="129" t="s">
        <v>74</v>
      </c>
      <c r="C244" s="129" t="s">
        <v>748</v>
      </c>
      <c r="D244" s="129" t="str">
        <f>'2024 Legal Max'!AZ244</f>
        <v>A</v>
      </c>
      <c r="E244" s="241">
        <f>'2024 Legal Max'!AO244</f>
        <v>606778</v>
      </c>
      <c r="F244" s="136">
        <f>'2024 Legal Max'!AF244</f>
        <v>75</v>
      </c>
      <c r="G244" s="136">
        <f>'2024 Legal Max'!AI244</f>
        <v>0</v>
      </c>
      <c r="H244" s="243">
        <f>SUM(F244+G244)*'Weighting Factors'!$O$5</f>
        <v>381600</v>
      </c>
      <c r="I244" s="252">
        <f>'2024 Legal Max'!CR244-'2024 Legal Max'!T244-'2024 Legal Max'!AQ244</f>
        <v>1349.1</v>
      </c>
      <c r="J244" s="136">
        <f>'2024 Legal Max'!AF244</f>
        <v>75</v>
      </c>
      <c r="K244" s="138">
        <f t="shared" si="4"/>
        <v>5.56</v>
      </c>
      <c r="L244" s="243">
        <f>(K244/100)*'2024 Legal Max'!BO244</f>
        <v>128182</v>
      </c>
      <c r="M244" s="129">
        <f>'2024 Legal Max'!AA244</f>
        <v>3</v>
      </c>
      <c r="N244" s="140">
        <f>IF('2024 Legal Max'!AA244=0,0,ROUND((M244/I244)*100,2))</f>
        <v>0.22</v>
      </c>
      <c r="O244" s="243">
        <f>(N244/100)*'2024 Legal Max'!BO244</f>
        <v>5072</v>
      </c>
    </row>
    <row r="245" spans="1:15">
      <c r="A245" s="134">
        <v>461</v>
      </c>
      <c r="B245" s="129" t="s">
        <v>83</v>
      </c>
      <c r="C245" s="129" t="s">
        <v>749</v>
      </c>
      <c r="D245" s="129" t="str">
        <f>'2024 Legal Max'!AZ245</f>
        <v>A</v>
      </c>
      <c r="E245" s="241">
        <f>'2024 Legal Max'!AO245</f>
        <v>658044</v>
      </c>
      <c r="F245" s="136">
        <f>'2024 Legal Max'!AF245</f>
        <v>167.5</v>
      </c>
      <c r="G245" s="136">
        <f>'2024 Legal Max'!AI245</f>
        <v>26.4</v>
      </c>
      <c r="H245" s="243">
        <f>SUM(F245+G245)*'Weighting Factors'!$O$5</f>
        <v>986563</v>
      </c>
      <c r="I245" s="252">
        <f>'2024 Legal Max'!CR245-'2024 Legal Max'!T245-'2024 Legal Max'!AQ245</f>
        <v>1313.3</v>
      </c>
      <c r="J245" s="136">
        <f>'2024 Legal Max'!AF245</f>
        <v>167.5</v>
      </c>
      <c r="K245" s="138">
        <f t="shared" si="4"/>
        <v>12.75</v>
      </c>
      <c r="L245" s="243">
        <f>(K245/100)*'2024 Legal Max'!BO245</f>
        <v>287355</v>
      </c>
      <c r="M245" s="129">
        <f>'2024 Legal Max'!AA245</f>
        <v>0.2</v>
      </c>
      <c r="N245" s="140">
        <f>IF('2024 Legal Max'!AA245=0,0,ROUND((M245/I245)*100,2))</f>
        <v>0.02</v>
      </c>
      <c r="O245" s="243">
        <f>(N245/100)*'2024 Legal Max'!BO245</f>
        <v>451</v>
      </c>
    </row>
    <row r="246" spans="1:15">
      <c r="A246" s="134">
        <v>462</v>
      </c>
      <c r="B246" s="129" t="s">
        <v>102</v>
      </c>
      <c r="C246" s="129" t="s">
        <v>750</v>
      </c>
      <c r="D246" s="129" t="str">
        <f>'2024 Legal Max'!AZ246</f>
        <v>A</v>
      </c>
      <c r="E246" s="241">
        <f>'2024 Legal Max'!AO246</f>
        <v>324206</v>
      </c>
      <c r="F246" s="136">
        <f>'2024 Legal Max'!AF246</f>
        <v>67.3</v>
      </c>
      <c r="G246" s="136">
        <f>'2024 Legal Max'!AI246</f>
        <v>14.6</v>
      </c>
      <c r="H246" s="243">
        <f>SUM(F246+G246)*'Weighting Factors'!$O$5</f>
        <v>416707</v>
      </c>
      <c r="I246" s="252">
        <f>'2024 Legal Max'!CR246-'2024 Legal Max'!T246-'2024 Legal Max'!AQ246</f>
        <v>615</v>
      </c>
      <c r="J246" s="136">
        <f>'2024 Legal Max'!AF246</f>
        <v>67.3</v>
      </c>
      <c r="K246" s="138">
        <f t="shared" si="4"/>
        <v>10.94</v>
      </c>
      <c r="L246" s="243">
        <f>(K246/100)*'2024 Legal Max'!BO246</f>
        <v>108720</v>
      </c>
      <c r="M246" s="129">
        <f>'2024 Legal Max'!AA246</f>
        <v>0</v>
      </c>
      <c r="N246" s="140">
        <f>IF('2024 Legal Max'!AA246=0,0,ROUND((M246/I246)*100,2))</f>
        <v>0</v>
      </c>
      <c r="O246" s="243">
        <f>(N246/100)*'2024 Legal Max'!BO246</f>
        <v>0</v>
      </c>
    </row>
    <row r="247" spans="1:15">
      <c r="A247" s="134">
        <v>463</v>
      </c>
      <c r="B247" s="129" t="s">
        <v>102</v>
      </c>
      <c r="C247" s="129" t="s">
        <v>751</v>
      </c>
      <c r="D247" s="129" t="str">
        <f>'2024 Legal Max'!AZ247</f>
        <v>A</v>
      </c>
      <c r="E247" s="241">
        <f>'2024 Legal Max'!AO247</f>
        <v>351470</v>
      </c>
      <c r="F247" s="136">
        <f>'2024 Legal Max'!AF247</f>
        <v>58.6</v>
      </c>
      <c r="G247" s="136">
        <f>'2024 Legal Max'!AI247</f>
        <v>7.1</v>
      </c>
      <c r="H247" s="243">
        <f>SUM(F247+G247)*'Weighting Factors'!$O$5</f>
        <v>334282</v>
      </c>
      <c r="I247" s="252">
        <f>'2024 Legal Max'!CR247-'2024 Legal Max'!T247-'2024 Legal Max'!AQ247</f>
        <v>648</v>
      </c>
      <c r="J247" s="136">
        <f>'2024 Legal Max'!AF247</f>
        <v>58.6</v>
      </c>
      <c r="K247" s="138">
        <f t="shared" si="4"/>
        <v>9.0399999999999991</v>
      </c>
      <c r="L247" s="243">
        <f>(K247/100)*'2024 Legal Max'!BO247</f>
        <v>96650</v>
      </c>
      <c r="M247" s="129">
        <f>'2024 Legal Max'!AA247</f>
        <v>0.4</v>
      </c>
      <c r="N247" s="140">
        <f>IF('2024 Legal Max'!AA247=0,0,ROUND((M247/I247)*100,2))</f>
        <v>0.06</v>
      </c>
      <c r="O247" s="243">
        <f>(N247/100)*'2024 Legal Max'!BO247</f>
        <v>641</v>
      </c>
    </row>
    <row r="248" spans="1:15">
      <c r="A248" s="134">
        <v>464</v>
      </c>
      <c r="B248" s="129" t="s">
        <v>11</v>
      </c>
      <c r="C248" s="129" t="s">
        <v>752</v>
      </c>
      <c r="D248" s="129" t="str">
        <f>'2024 Legal Max'!AZ248</f>
        <v>A</v>
      </c>
      <c r="E248" s="241">
        <f>'2024 Legal Max'!AO248</f>
        <v>2181657</v>
      </c>
      <c r="F248" s="136">
        <f>'2024 Legal Max'!AF248</f>
        <v>214.9</v>
      </c>
      <c r="G248" s="136">
        <f>'2024 Legal Max'!AI248</f>
        <v>0</v>
      </c>
      <c r="H248" s="243">
        <f>SUM(F248+G248)*'Weighting Factors'!$O$5</f>
        <v>1093411</v>
      </c>
      <c r="I248" s="252">
        <f>'2024 Legal Max'!CR248-'2024 Legal Max'!T248-'2024 Legal Max'!AQ248</f>
        <v>2760.8</v>
      </c>
      <c r="J248" s="136">
        <f>'2024 Legal Max'!AF248</f>
        <v>214.9</v>
      </c>
      <c r="K248" s="138">
        <f t="shared" si="4"/>
        <v>7.78</v>
      </c>
      <c r="L248" s="243">
        <f>(K248/100)*'2024 Legal Max'!BO248</f>
        <v>351192</v>
      </c>
      <c r="M248" s="129">
        <f>'2024 Legal Max'!AA248</f>
        <v>5.4</v>
      </c>
      <c r="N248" s="140">
        <f>IF('2024 Legal Max'!AA248=0,0,ROUND((M248/I248)*100,2))</f>
        <v>0.2</v>
      </c>
      <c r="O248" s="243">
        <f>(N248/100)*'2024 Legal Max'!BO248</f>
        <v>9028</v>
      </c>
    </row>
    <row r="249" spans="1:15">
      <c r="A249" s="134">
        <v>465</v>
      </c>
      <c r="B249" s="129" t="s">
        <v>102</v>
      </c>
      <c r="C249" s="129" t="s">
        <v>753</v>
      </c>
      <c r="D249" s="129" t="str">
        <f>'2024 Legal Max'!AZ249</f>
        <v>A</v>
      </c>
      <c r="E249" s="241">
        <f>'2024 Legal Max'!AO249</f>
        <v>2541773</v>
      </c>
      <c r="F249" s="136">
        <f>'2024 Legal Max'!AF249</f>
        <v>498.5</v>
      </c>
      <c r="G249" s="136">
        <f>'2024 Legal Max'!AI249</f>
        <v>108.2</v>
      </c>
      <c r="H249" s="243">
        <f>SUM(F249+G249)*'Weighting Factors'!$O$5</f>
        <v>3086890</v>
      </c>
      <c r="I249" s="252">
        <f>'2024 Legal Max'!CR249-'2024 Legal Max'!T249-'2024 Legal Max'!AQ249</f>
        <v>3401.7</v>
      </c>
      <c r="J249" s="136">
        <f>'2024 Legal Max'!AF249</f>
        <v>498.5</v>
      </c>
      <c r="K249" s="138">
        <f t="shared" si="4"/>
        <v>14.65</v>
      </c>
      <c r="L249" s="243">
        <f>(K249/100)*'2024 Legal Max'!BO249</f>
        <v>851173</v>
      </c>
      <c r="M249" s="129">
        <f>'2024 Legal Max'!AA249</f>
        <v>14.2</v>
      </c>
      <c r="N249" s="140">
        <f>IF('2024 Legal Max'!AA249=0,0,ROUND((M249/I249)*100,2))</f>
        <v>0.42</v>
      </c>
      <c r="O249" s="243">
        <f>(N249/100)*'2024 Legal Max'!BO249</f>
        <v>24402</v>
      </c>
    </row>
    <row r="250" spans="1:15">
      <c r="A250" s="134">
        <v>466</v>
      </c>
      <c r="B250" s="129" t="s">
        <v>103</v>
      </c>
      <c r="C250" s="129" t="s">
        <v>754</v>
      </c>
      <c r="D250" s="129" t="str">
        <f>'2024 Legal Max'!AZ250</f>
        <v>A</v>
      </c>
      <c r="E250" s="241">
        <f>'2024 Legal Max'!AO250</f>
        <v>586268</v>
      </c>
      <c r="F250" s="136">
        <f>'2024 Legal Max'!AF250</f>
        <v>199.9</v>
      </c>
      <c r="G250" s="136">
        <f>'2024 Legal Max'!AI250</f>
        <v>24.1</v>
      </c>
      <c r="H250" s="243">
        <f>SUM(F250+G250)*'Weighting Factors'!$O$5</f>
        <v>1139712</v>
      </c>
      <c r="I250" s="252">
        <f>'2024 Legal Max'!CR250-'2024 Legal Max'!T250-'2024 Legal Max'!AQ250</f>
        <v>1605</v>
      </c>
      <c r="J250" s="136">
        <f>'2024 Legal Max'!AF250</f>
        <v>199.9</v>
      </c>
      <c r="K250" s="138">
        <f t="shared" si="4"/>
        <v>12.45</v>
      </c>
      <c r="L250" s="243">
        <f>(K250/100)*'2024 Legal Max'!BO250</f>
        <v>336971</v>
      </c>
      <c r="M250" s="129">
        <f>'2024 Legal Max'!AA250</f>
        <v>30.7</v>
      </c>
      <c r="N250" s="140">
        <f>IF('2024 Legal Max'!AA250=0,0,ROUND((M250/I250)*100,2))</f>
        <v>1.91</v>
      </c>
      <c r="O250" s="243">
        <f>(N250/100)*'2024 Legal Max'!BO250</f>
        <v>51696</v>
      </c>
    </row>
    <row r="251" spans="1:15">
      <c r="A251" s="134">
        <v>467</v>
      </c>
      <c r="B251" s="129" t="s">
        <v>34</v>
      </c>
      <c r="C251" s="129" t="s">
        <v>755</v>
      </c>
      <c r="D251" s="129" t="str">
        <f>'2024 Legal Max'!AZ251</f>
        <v>A</v>
      </c>
      <c r="E251" s="241">
        <f>'2024 Legal Max'!AO251</f>
        <v>242462</v>
      </c>
      <c r="F251" s="136">
        <f>'2024 Legal Max'!AF251</f>
        <v>67.3</v>
      </c>
      <c r="G251" s="136">
        <f>'2024 Legal Max'!AI251</f>
        <v>3.3</v>
      </c>
      <c r="H251" s="243">
        <f>SUM(F251+G251)*'Weighting Factors'!$O$5</f>
        <v>359213</v>
      </c>
      <c r="I251" s="252">
        <f>'2024 Legal Max'!CR251-'2024 Legal Max'!T251-'2024 Legal Max'!AQ251</f>
        <v>710.4</v>
      </c>
      <c r="J251" s="136">
        <f>'2024 Legal Max'!AF251</f>
        <v>67.3</v>
      </c>
      <c r="K251" s="138">
        <f t="shared" si="4"/>
        <v>9.4700000000000006</v>
      </c>
      <c r="L251" s="243">
        <f>(K251/100)*'2024 Legal Max'!BO251</f>
        <v>116183</v>
      </c>
      <c r="M251" s="129">
        <f>'2024 Legal Max'!AA251</f>
        <v>17.7</v>
      </c>
      <c r="N251" s="140">
        <f>IF('2024 Legal Max'!AA251=0,0,ROUND((M251/I251)*100,2))</f>
        <v>2.4900000000000002</v>
      </c>
      <c r="O251" s="243">
        <f>(N251/100)*'2024 Legal Max'!BO251</f>
        <v>30549</v>
      </c>
    </row>
    <row r="252" spans="1:15">
      <c r="A252" s="134">
        <v>468</v>
      </c>
      <c r="B252" s="129" t="s">
        <v>104</v>
      </c>
      <c r="C252" s="129" t="s">
        <v>756</v>
      </c>
      <c r="D252" s="129" t="str">
        <f>'2024 Legal Max'!AZ252</f>
        <v>A</v>
      </c>
      <c r="E252" s="241">
        <f>'2024 Legal Max'!AO252</f>
        <v>60718</v>
      </c>
      <c r="F252" s="136">
        <f>'2024 Legal Max'!AF252</f>
        <v>6.8</v>
      </c>
      <c r="G252" s="136">
        <f>'2024 Legal Max'!AI252</f>
        <v>1.5</v>
      </c>
      <c r="H252" s="243">
        <f>SUM(F252+G252)*'Weighting Factors'!$O$5</f>
        <v>42230</v>
      </c>
      <c r="I252" s="252">
        <f>'2024 Legal Max'!CR252-'2024 Legal Max'!T252-'2024 Legal Max'!AQ252</f>
        <v>103.3</v>
      </c>
      <c r="J252" s="136">
        <f>'2024 Legal Max'!AF252</f>
        <v>6.8</v>
      </c>
      <c r="K252" s="138">
        <f t="shared" si="4"/>
        <v>6.58</v>
      </c>
      <c r="L252" s="243">
        <f>(K252/100)*'2024 Legal Max'!BO252</f>
        <v>12737</v>
      </c>
      <c r="M252" s="129">
        <f>'2024 Legal Max'!AA252</f>
        <v>0.9</v>
      </c>
      <c r="N252" s="140">
        <f>IF('2024 Legal Max'!AA252=0,0,ROUND((M252/I252)*100,2))</f>
        <v>0.87</v>
      </c>
      <c r="O252" s="243">
        <f>(N252/100)*'2024 Legal Max'!BO252</f>
        <v>1684</v>
      </c>
    </row>
    <row r="253" spans="1:15">
      <c r="A253" s="134">
        <v>469</v>
      </c>
      <c r="B253" s="129" t="s">
        <v>11</v>
      </c>
      <c r="C253" s="129" t="s">
        <v>757</v>
      </c>
      <c r="D253" s="129" t="str">
        <f>'2024 Legal Max'!AZ253</f>
        <v>A</v>
      </c>
      <c r="E253" s="241">
        <f>'2024 Legal Max'!AO253</f>
        <v>2889650</v>
      </c>
      <c r="F253" s="136">
        <f>'2024 Legal Max'!AF253</f>
        <v>350.9</v>
      </c>
      <c r="G253" s="136">
        <f>'2024 Legal Max'!AI253</f>
        <v>3</v>
      </c>
      <c r="H253" s="243">
        <f>SUM(F253+G253)*'Weighting Factors'!$O$5</f>
        <v>1800643</v>
      </c>
      <c r="I253" s="252">
        <f>'2024 Legal Max'!CR253-'2024 Legal Max'!T253-'2024 Legal Max'!AQ253</f>
        <v>3815.3</v>
      </c>
      <c r="J253" s="136">
        <f>'2024 Legal Max'!AF253</f>
        <v>350.9</v>
      </c>
      <c r="K253" s="138">
        <f t="shared" si="4"/>
        <v>9.1999999999999993</v>
      </c>
      <c r="L253" s="243">
        <f>(K253/100)*'2024 Legal Max'!BO253</f>
        <v>597828</v>
      </c>
      <c r="M253" s="129">
        <f>'2024 Legal Max'!AA253</f>
        <v>4.5999999999999996</v>
      </c>
      <c r="N253" s="140">
        <f>IF('2024 Legal Max'!AA253=0,0,ROUND((M253/I253)*100,2))</f>
        <v>0.12</v>
      </c>
      <c r="O253" s="243">
        <f>(N253/100)*'2024 Legal Max'!BO253</f>
        <v>7798</v>
      </c>
    </row>
    <row r="254" spans="1:15">
      <c r="A254" s="134">
        <v>470</v>
      </c>
      <c r="B254" s="129" t="s">
        <v>102</v>
      </c>
      <c r="C254" s="129" t="s">
        <v>758</v>
      </c>
      <c r="D254" s="129" t="str">
        <f>'2024 Legal Max'!AZ254</f>
        <v>A</v>
      </c>
      <c r="E254" s="241">
        <f>'2024 Legal Max'!AO254</f>
        <v>3172716</v>
      </c>
      <c r="F254" s="136">
        <f>'2024 Legal Max'!AF254</f>
        <v>914.3</v>
      </c>
      <c r="G254" s="136">
        <f>'2024 Legal Max'!AI254</f>
        <v>198.3</v>
      </c>
      <c r="H254" s="243">
        <f>SUM(F254+G254)*'Weighting Factors'!$O$5</f>
        <v>5660909</v>
      </c>
      <c r="I254" s="252">
        <f>'2024 Legal Max'!CR254-'2024 Legal Max'!T254-'2024 Legal Max'!AQ254</f>
        <v>4779.3</v>
      </c>
      <c r="J254" s="136">
        <f>'2024 Legal Max'!AF254</f>
        <v>914.3</v>
      </c>
      <c r="K254" s="138">
        <f t="shared" si="4"/>
        <v>19.13</v>
      </c>
      <c r="L254" s="243">
        <f>(K254/100)*'2024 Legal Max'!BO254</f>
        <v>1506894</v>
      </c>
      <c r="M254" s="129">
        <f>'2024 Legal Max'!AA254</f>
        <v>105.3</v>
      </c>
      <c r="N254" s="140">
        <f>IF('2024 Legal Max'!AA254=0,0,ROUND((M254/I254)*100,2))</f>
        <v>2.2000000000000002</v>
      </c>
      <c r="O254" s="243">
        <f>(N254/100)*'2024 Legal Max'!BO254</f>
        <v>173297</v>
      </c>
    </row>
    <row r="255" spans="1:15">
      <c r="A255" s="134">
        <v>471</v>
      </c>
      <c r="B255" s="129" t="s">
        <v>102</v>
      </c>
      <c r="C255" s="129" t="s">
        <v>759</v>
      </c>
      <c r="D255" s="129" t="str">
        <f>'2024 Legal Max'!AZ255</f>
        <v>A</v>
      </c>
      <c r="E255" s="241">
        <f>'2024 Legal Max'!AO255</f>
        <v>312864</v>
      </c>
      <c r="F255" s="136">
        <f>'2024 Legal Max'!AF255</f>
        <v>48.9</v>
      </c>
      <c r="G255" s="136">
        <f>'2024 Legal Max'!AI255</f>
        <v>2.1</v>
      </c>
      <c r="H255" s="243">
        <f>SUM(F255+G255)*'Weighting Factors'!$O$5</f>
        <v>259488</v>
      </c>
      <c r="I255" s="252">
        <f>'2024 Legal Max'!CR255-'2024 Legal Max'!T255-'2024 Legal Max'!AQ255</f>
        <v>549.29999999999995</v>
      </c>
      <c r="J255" s="136">
        <f>'2024 Legal Max'!AF255</f>
        <v>48.9</v>
      </c>
      <c r="K255" s="138">
        <f t="shared" si="4"/>
        <v>8.9</v>
      </c>
      <c r="L255" s="243">
        <f>(K255/100)*'2024 Legal Max'!BO255</f>
        <v>79561</v>
      </c>
      <c r="M255" s="129">
        <f>'2024 Legal Max'!AA255</f>
        <v>0</v>
      </c>
      <c r="N255" s="140">
        <f>IF('2024 Legal Max'!AA255=0,0,ROUND((M255/I255)*100,2))</f>
        <v>0</v>
      </c>
      <c r="O255" s="243">
        <f>(N255/100)*'2024 Legal Max'!BO255</f>
        <v>0</v>
      </c>
    </row>
    <row r="256" spans="1:15">
      <c r="A256" s="134">
        <v>473</v>
      </c>
      <c r="B256" s="129" t="s">
        <v>87</v>
      </c>
      <c r="C256" s="129" t="s">
        <v>760</v>
      </c>
      <c r="D256" s="129" t="str">
        <f>'2024 Legal Max'!AZ256</f>
        <v>A</v>
      </c>
      <c r="E256" s="241">
        <f>'2024 Legal Max'!AO256</f>
        <v>1226979</v>
      </c>
      <c r="F256" s="136">
        <f>'2024 Legal Max'!AF256</f>
        <v>176.7</v>
      </c>
      <c r="G256" s="136">
        <f>'2024 Legal Max'!AI256</f>
        <v>5.0999999999999996</v>
      </c>
      <c r="H256" s="243">
        <f>SUM(F256+G256)*'Weighting Factors'!$O$5</f>
        <v>924998</v>
      </c>
      <c r="I256" s="252">
        <f>'2024 Legal Max'!CR256-'2024 Legal Max'!T256-'2024 Legal Max'!AQ256</f>
        <v>1922.2</v>
      </c>
      <c r="J256" s="136">
        <f>'2024 Legal Max'!AF256</f>
        <v>176.7</v>
      </c>
      <c r="K256" s="138">
        <f t="shared" si="4"/>
        <v>9.19</v>
      </c>
      <c r="L256" s="243">
        <f>(K256/100)*'2024 Legal Max'!BO256</f>
        <v>288029</v>
      </c>
      <c r="M256" s="129">
        <f>'2024 Legal Max'!AA256</f>
        <v>0.4</v>
      </c>
      <c r="N256" s="140">
        <f>IF('2024 Legal Max'!AA256=0,0,ROUND((M256/I256)*100,2))</f>
        <v>0.02</v>
      </c>
      <c r="O256" s="243">
        <f>(N256/100)*'2024 Legal Max'!BO256</f>
        <v>627</v>
      </c>
    </row>
    <row r="257" spans="1:15">
      <c r="A257" s="134">
        <v>474</v>
      </c>
      <c r="B257" s="129" t="s">
        <v>97</v>
      </c>
      <c r="C257" s="129" t="s">
        <v>761</v>
      </c>
      <c r="D257" s="129" t="str">
        <f>'2024 Legal Max'!AZ257</f>
        <v>A</v>
      </c>
      <c r="E257" s="241">
        <f>'2024 Legal Max'!AO257</f>
        <v>124041</v>
      </c>
      <c r="F257" s="136">
        <f>'2024 Legal Max'!AF257</f>
        <v>16.899999999999999</v>
      </c>
      <c r="G257" s="136">
        <f>'2024 Legal Max'!AI257</f>
        <v>0.9</v>
      </c>
      <c r="H257" s="243">
        <f>SUM(F257+G257)*'Weighting Factors'!$O$5</f>
        <v>90566</v>
      </c>
      <c r="I257" s="252">
        <f>'2024 Legal Max'!CR257-'2024 Legal Max'!T257-'2024 Legal Max'!AQ257</f>
        <v>221.9</v>
      </c>
      <c r="J257" s="136">
        <f>'2024 Legal Max'!AF257</f>
        <v>16.899999999999999</v>
      </c>
      <c r="K257" s="138">
        <f t="shared" si="4"/>
        <v>7.62</v>
      </c>
      <c r="L257" s="243">
        <f>(K257/100)*'2024 Legal Max'!BO257</f>
        <v>29234</v>
      </c>
      <c r="M257" s="129">
        <f>'2024 Legal Max'!AA257</f>
        <v>0</v>
      </c>
      <c r="N257" s="140">
        <f>IF('2024 Legal Max'!AA257=0,0,ROUND((M257/I257)*100,2))</f>
        <v>0</v>
      </c>
      <c r="O257" s="243">
        <f>(N257/100)*'2024 Legal Max'!BO257</f>
        <v>0</v>
      </c>
    </row>
    <row r="258" spans="1:15">
      <c r="A258" s="134">
        <v>475</v>
      </c>
      <c r="B258" s="129" t="s">
        <v>105</v>
      </c>
      <c r="C258" s="129" t="s">
        <v>762</v>
      </c>
      <c r="D258" s="129" t="str">
        <f>'2024 Legal Max'!AZ258</f>
        <v>A</v>
      </c>
      <c r="E258" s="241">
        <f>'2024 Legal Max'!AO258</f>
        <v>9736594</v>
      </c>
      <c r="F258" s="136">
        <f>'2024 Legal Max'!AF258</f>
        <v>1449.6</v>
      </c>
      <c r="G258" s="136">
        <f>'2024 Legal Max'!AI258</f>
        <v>155.80000000000001</v>
      </c>
      <c r="H258" s="243">
        <f>SUM(F258+G258)*'Weighting Factors'!$O$5</f>
        <v>8168275</v>
      </c>
      <c r="I258" s="252">
        <f>'2024 Legal Max'!CR258-'2024 Legal Max'!T258-'2024 Legal Max'!AQ258</f>
        <v>11514.4</v>
      </c>
      <c r="J258" s="136">
        <f>'2024 Legal Max'!AF258</f>
        <v>1449.6</v>
      </c>
      <c r="K258" s="138">
        <f t="shared" si="4"/>
        <v>12.59</v>
      </c>
      <c r="L258" s="243">
        <f>(K258/100)*'2024 Legal Max'!BO258</f>
        <v>2364542</v>
      </c>
      <c r="M258" s="129">
        <f>'2024 Legal Max'!AA258</f>
        <v>107.6</v>
      </c>
      <c r="N258" s="140">
        <f>IF('2024 Legal Max'!AA258=0,0,ROUND((M258/I258)*100,2))</f>
        <v>0.93</v>
      </c>
      <c r="O258" s="243">
        <f>(N258/100)*'2024 Legal Max'!BO258</f>
        <v>174664</v>
      </c>
    </row>
    <row r="259" spans="1:15">
      <c r="A259" s="134">
        <v>476</v>
      </c>
      <c r="B259" s="129" t="s">
        <v>5</v>
      </c>
      <c r="C259" s="129" t="s">
        <v>763</v>
      </c>
      <c r="D259" s="129" t="str">
        <f>'2024 Legal Max'!AZ259</f>
        <v>A</v>
      </c>
      <c r="E259" s="241">
        <f>'2024 Legal Max'!AO259</f>
        <v>71736</v>
      </c>
      <c r="F259" s="136">
        <f>'2024 Legal Max'!AF259</f>
        <v>16.899999999999999</v>
      </c>
      <c r="G259" s="136">
        <f>'2024 Legal Max'!AI259</f>
        <v>0.3</v>
      </c>
      <c r="H259" s="243">
        <f>SUM(F259+G259)*'Weighting Factors'!$O$5</f>
        <v>87514</v>
      </c>
      <c r="I259" s="252">
        <f>'2024 Legal Max'!CR259-'2024 Legal Max'!T259-'2024 Legal Max'!AQ259</f>
        <v>243.6</v>
      </c>
      <c r="J259" s="136">
        <f>'2024 Legal Max'!AF259</f>
        <v>16.899999999999999</v>
      </c>
      <c r="K259" s="138">
        <f t="shared" si="4"/>
        <v>6.94</v>
      </c>
      <c r="L259" s="243">
        <f>(K259/100)*'2024 Legal Max'!BO259</f>
        <v>28427</v>
      </c>
      <c r="M259" s="129">
        <f>'2024 Legal Max'!AA259</f>
        <v>4.8</v>
      </c>
      <c r="N259" s="140">
        <f>IF('2024 Legal Max'!AA259=0,0,ROUND((M259/I259)*100,2))</f>
        <v>1.97</v>
      </c>
      <c r="O259" s="243">
        <f>(N259/100)*'2024 Legal Max'!BO259</f>
        <v>8069</v>
      </c>
    </row>
    <row r="260" spans="1:15">
      <c r="A260" s="134">
        <v>477</v>
      </c>
      <c r="B260" s="129" t="s">
        <v>5</v>
      </c>
      <c r="C260" s="129" t="s">
        <v>764</v>
      </c>
      <c r="D260" s="129" t="str">
        <f>'2024 Legal Max'!AZ260</f>
        <v>A</v>
      </c>
      <c r="E260" s="241">
        <f>'2024 Legal Max'!AO260</f>
        <v>180623</v>
      </c>
      <c r="F260" s="136">
        <f>'2024 Legal Max'!AF260</f>
        <v>30.5</v>
      </c>
      <c r="G260" s="136">
        <f>'2024 Legal Max'!AI260</f>
        <v>0</v>
      </c>
      <c r="H260" s="243">
        <f>SUM(F260+G260)*'Weighting Factors'!$O$5</f>
        <v>155184</v>
      </c>
      <c r="I260" s="252">
        <f>'2024 Legal Max'!CR260-'2024 Legal Max'!T260-'2024 Legal Max'!AQ260</f>
        <v>469.5</v>
      </c>
      <c r="J260" s="136">
        <f>'2024 Legal Max'!AF260</f>
        <v>30.5</v>
      </c>
      <c r="K260" s="138">
        <f t="shared" si="4"/>
        <v>6.5</v>
      </c>
      <c r="L260" s="243">
        <f>(K260/100)*'2024 Legal Max'!BO260</f>
        <v>52921</v>
      </c>
      <c r="M260" s="129">
        <f>'2024 Legal Max'!AA260</f>
        <v>3.1</v>
      </c>
      <c r="N260" s="140">
        <f>IF('2024 Legal Max'!AA260=0,0,ROUND((M260/I260)*100,2))</f>
        <v>0.66</v>
      </c>
      <c r="O260" s="243">
        <f>(N260/100)*'2024 Legal Max'!BO260</f>
        <v>5373</v>
      </c>
    </row>
    <row r="261" spans="1:15">
      <c r="A261" s="134">
        <v>479</v>
      </c>
      <c r="B261" s="129" t="s">
        <v>71</v>
      </c>
      <c r="C261" s="129" t="s">
        <v>765</v>
      </c>
      <c r="D261" s="129" t="str">
        <f>'2024 Legal Max'!AZ261</f>
        <v>A</v>
      </c>
      <c r="E261" s="241">
        <f>'2024 Legal Max'!AO261</f>
        <v>284779</v>
      </c>
      <c r="F261" s="136">
        <f>'2024 Legal Max'!AF261</f>
        <v>58.6</v>
      </c>
      <c r="G261" s="136">
        <f>'2024 Legal Max'!AI261</f>
        <v>12</v>
      </c>
      <c r="H261" s="243">
        <f>SUM(F261+G261)*'Weighting Factors'!$O$5</f>
        <v>359213</v>
      </c>
      <c r="I261" s="252">
        <f>'2024 Legal Max'!CR261-'2024 Legal Max'!T261-'2024 Legal Max'!AQ261</f>
        <v>553.29999999999995</v>
      </c>
      <c r="J261" s="136">
        <f>'2024 Legal Max'!AF261</f>
        <v>58.6</v>
      </c>
      <c r="K261" s="138">
        <f t="shared" si="4"/>
        <v>10.59</v>
      </c>
      <c r="L261" s="243">
        <f>(K261/100)*'2024 Legal Max'!BO261</f>
        <v>86203</v>
      </c>
      <c r="M261" s="129">
        <f>'2024 Legal Max'!AA261</f>
        <v>0.6</v>
      </c>
      <c r="N261" s="140">
        <f>IF('2024 Legal Max'!AA261=0,0,ROUND((M261/I261)*100,2))</f>
        <v>0.11</v>
      </c>
      <c r="O261" s="243">
        <f>(N261/100)*'2024 Legal Max'!BO261</f>
        <v>895</v>
      </c>
    </row>
    <row r="262" spans="1:15">
      <c r="A262" s="134">
        <v>480</v>
      </c>
      <c r="B262" s="129" t="s">
        <v>106</v>
      </c>
      <c r="C262" s="129" t="s">
        <v>766</v>
      </c>
      <c r="D262" s="129" t="str">
        <f>'2024 Legal Max'!AZ262</f>
        <v>A</v>
      </c>
      <c r="E262" s="241">
        <f>'2024 Legal Max'!AO262</f>
        <v>2701796</v>
      </c>
      <c r="F262" s="136">
        <f>'2024 Legal Max'!AF262</f>
        <v>1687.2</v>
      </c>
      <c r="G262" s="136">
        <f>'2024 Legal Max'!AI262</f>
        <v>366</v>
      </c>
      <c r="H262" s="243">
        <f>SUM(F262+G262)*'Weighting Factors'!$O$5</f>
        <v>10446682</v>
      </c>
      <c r="I262" s="252">
        <f>'2024 Legal Max'!CR262-'2024 Legal Max'!T262-'2024 Legal Max'!AQ262</f>
        <v>7713.5</v>
      </c>
      <c r="J262" s="136">
        <f>'2024 Legal Max'!AF262</f>
        <v>1687.2</v>
      </c>
      <c r="K262" s="138">
        <f t="shared" ref="K262:K290" si="5">IF(J262=0,0,ROUND((J262/I262)*100,2))</f>
        <v>21.87</v>
      </c>
      <c r="L262" s="243">
        <f>(K262/100)*'2024 Legal Max'!BO262</f>
        <v>2688136</v>
      </c>
      <c r="M262" s="129">
        <f>'2024 Legal Max'!AA262</f>
        <v>409.2</v>
      </c>
      <c r="N262" s="140">
        <f>IF('2024 Legal Max'!AA262=0,0,ROUND((M262/I262)*100,2))</f>
        <v>5.3</v>
      </c>
      <c r="O262" s="243">
        <f>(N262/100)*'2024 Legal Max'!BO262</f>
        <v>651446</v>
      </c>
    </row>
    <row r="263" spans="1:15">
      <c r="A263" s="134">
        <v>481</v>
      </c>
      <c r="B263" s="129" t="s">
        <v>87</v>
      </c>
      <c r="C263" s="129" t="s">
        <v>767</v>
      </c>
      <c r="D263" s="129" t="str">
        <f>'2024 Legal Max'!AZ263</f>
        <v>A</v>
      </c>
      <c r="E263" s="241">
        <f>'2024 Legal Max'!AO263</f>
        <v>266018</v>
      </c>
      <c r="F263" s="136">
        <f>'2024 Legal Max'!AF263</f>
        <v>52.8</v>
      </c>
      <c r="G263" s="136">
        <f>'2024 Legal Max'!AI263</f>
        <v>4</v>
      </c>
      <c r="H263" s="243">
        <f>SUM(F263+G263)*'Weighting Factors'!$O$5</f>
        <v>288998</v>
      </c>
      <c r="I263" s="252">
        <f>'2024 Legal Max'!CR263-'2024 Legal Max'!T263-'2024 Legal Max'!AQ263</f>
        <v>554.20000000000005</v>
      </c>
      <c r="J263" s="136">
        <f>'2024 Legal Max'!AF263</f>
        <v>52.8</v>
      </c>
      <c r="K263" s="138">
        <f t="shared" si="5"/>
        <v>9.5299999999999994</v>
      </c>
      <c r="L263" s="243">
        <f>(K263/100)*'2024 Legal Max'!BO263</f>
        <v>94757</v>
      </c>
      <c r="M263" s="129">
        <f>'2024 Legal Max'!AA263</f>
        <v>0.2</v>
      </c>
      <c r="N263" s="140">
        <f>IF('2024 Legal Max'!AA263=0,0,ROUND((M263/I263)*100,2))</f>
        <v>0.04</v>
      </c>
      <c r="O263" s="243">
        <f>(N263/100)*'2024 Legal Max'!BO263</f>
        <v>398</v>
      </c>
    </row>
    <row r="264" spans="1:15">
      <c r="A264" s="134">
        <v>482</v>
      </c>
      <c r="B264" s="129" t="s">
        <v>104</v>
      </c>
      <c r="C264" s="129" t="s">
        <v>768</v>
      </c>
      <c r="D264" s="129" t="str">
        <f>'2024 Legal Max'!AZ264</f>
        <v>A</v>
      </c>
      <c r="E264" s="241">
        <f>'2024 Legal Max'!AO264</f>
        <v>177239</v>
      </c>
      <c r="F264" s="136">
        <f>'2024 Legal Max'!AF264</f>
        <v>46</v>
      </c>
      <c r="G264" s="136">
        <f>'2024 Legal Max'!AI264</f>
        <v>4.0999999999999996</v>
      </c>
      <c r="H264" s="243">
        <f>SUM(F264+G264)*'Weighting Factors'!$O$5</f>
        <v>254909</v>
      </c>
      <c r="I264" s="252">
        <f>'2024 Legal Max'!CR264-'2024 Legal Max'!T264-'2024 Legal Max'!AQ264</f>
        <v>492.9</v>
      </c>
      <c r="J264" s="136">
        <f>'2024 Legal Max'!AF264</f>
        <v>46</v>
      </c>
      <c r="K264" s="138">
        <f t="shared" si="5"/>
        <v>9.33</v>
      </c>
      <c r="L264" s="243">
        <f>(K264/100)*'2024 Legal Max'!BO264</f>
        <v>76162</v>
      </c>
      <c r="M264" s="129">
        <f>'2024 Legal Max'!AA264</f>
        <v>4.5999999999999996</v>
      </c>
      <c r="N264" s="140">
        <f>IF('2024 Legal Max'!AA264=0,0,ROUND((M264/I264)*100,2))</f>
        <v>0.93</v>
      </c>
      <c r="O264" s="243">
        <f>(N264/100)*'2024 Legal Max'!BO264</f>
        <v>7592</v>
      </c>
    </row>
    <row r="265" spans="1:15">
      <c r="A265" s="134">
        <v>483</v>
      </c>
      <c r="B265" s="129" t="s">
        <v>106</v>
      </c>
      <c r="C265" s="129" t="s">
        <v>769</v>
      </c>
      <c r="D265" s="129" t="str">
        <f>'2024 Legal Max'!AZ265</f>
        <v>A</v>
      </c>
      <c r="E265" s="241">
        <f>'2024 Legal Max'!AO265</f>
        <v>480662</v>
      </c>
      <c r="F265" s="136">
        <f>'2024 Legal Max'!AF265</f>
        <v>166.5</v>
      </c>
      <c r="G265" s="136">
        <f>'2024 Legal Max'!AI265</f>
        <v>36.1</v>
      </c>
      <c r="H265" s="243">
        <f>SUM(F265+G265)*'Weighting Factors'!$O$5</f>
        <v>1030829</v>
      </c>
      <c r="I265" s="252">
        <f>'2024 Legal Max'!CR265-'2024 Legal Max'!T265-'2024 Legal Max'!AQ265</f>
        <v>1299.7</v>
      </c>
      <c r="J265" s="136">
        <f>'2024 Legal Max'!AF265</f>
        <v>166.5</v>
      </c>
      <c r="K265" s="138">
        <f t="shared" si="5"/>
        <v>12.81</v>
      </c>
      <c r="L265" s="243">
        <f>(K265/100)*'2024 Legal Max'!BO265</f>
        <v>256200</v>
      </c>
      <c r="M265" s="129">
        <f>'2024 Legal Max'!AA265</f>
        <v>90.5</v>
      </c>
      <c r="N265" s="140">
        <f>IF('2024 Legal Max'!AA265=0,0,ROUND((M265/I265)*100,2))</f>
        <v>6.96</v>
      </c>
      <c r="O265" s="243">
        <f>(N265/100)*'2024 Legal Max'!BO265</f>
        <v>139200</v>
      </c>
    </row>
    <row r="266" spans="1:15">
      <c r="A266" s="134">
        <v>484</v>
      </c>
      <c r="B266" s="129" t="s">
        <v>83</v>
      </c>
      <c r="C266" s="129" t="s">
        <v>770</v>
      </c>
      <c r="D266" s="129" t="str">
        <f>'2024 Legal Max'!AZ266</f>
        <v>A</v>
      </c>
      <c r="E266" s="241">
        <f>'2024 Legal Max'!AO266</f>
        <v>553629</v>
      </c>
      <c r="F266" s="136">
        <f>'2024 Legal Max'!AF266</f>
        <v>129.19999999999999</v>
      </c>
      <c r="G266" s="136">
        <f>'2024 Legal Max'!AI266</f>
        <v>16.3</v>
      </c>
      <c r="H266" s="243">
        <f>SUM(F266+G266)*'Weighting Factors'!$O$5</f>
        <v>740304</v>
      </c>
      <c r="I266" s="252">
        <f>'2024 Legal Max'!CR266-'2024 Legal Max'!T266-'2024 Legal Max'!AQ266</f>
        <v>1182.2</v>
      </c>
      <c r="J266" s="136">
        <f>'2024 Legal Max'!AF266</f>
        <v>129.19999999999999</v>
      </c>
      <c r="K266" s="138">
        <f t="shared" si="5"/>
        <v>10.93</v>
      </c>
      <c r="L266" s="243">
        <f>(K266/100)*'2024 Legal Max'!BO266</f>
        <v>215315</v>
      </c>
      <c r="M266" s="129">
        <f>'2024 Legal Max'!AA266</f>
        <v>0</v>
      </c>
      <c r="N266" s="140">
        <f>IF('2024 Legal Max'!AA266=0,0,ROUND((M266/I266)*100,2))</f>
        <v>0</v>
      </c>
      <c r="O266" s="243">
        <f>(N266/100)*'2024 Legal Max'!BO266</f>
        <v>0</v>
      </c>
    </row>
    <row r="267" spans="1:15">
      <c r="A267" s="134">
        <v>487</v>
      </c>
      <c r="B267" s="129" t="s">
        <v>87</v>
      </c>
      <c r="C267" s="129" t="s">
        <v>771</v>
      </c>
      <c r="D267" s="129" t="str">
        <f>'2024 Legal Max'!AZ267</f>
        <v>A</v>
      </c>
      <c r="E267" s="241">
        <f>'2024 Legal Max'!AO267</f>
        <v>474126</v>
      </c>
      <c r="F267" s="136">
        <f>'2024 Legal Max'!AF267</f>
        <v>121</v>
      </c>
      <c r="G267" s="136">
        <f>'2024 Legal Max'!AI267</f>
        <v>26.3</v>
      </c>
      <c r="H267" s="243">
        <f>SUM(F267+G267)*'Weighting Factors'!$O$5</f>
        <v>749462</v>
      </c>
      <c r="I267" s="252">
        <f>'2024 Legal Max'!CR267-'2024 Legal Max'!T267-'2024 Legal Max'!AQ267</f>
        <v>854.3</v>
      </c>
      <c r="J267" s="136">
        <f>'2024 Legal Max'!AF267</f>
        <v>121</v>
      </c>
      <c r="K267" s="138">
        <f t="shared" si="5"/>
        <v>14.16</v>
      </c>
      <c r="L267" s="243">
        <f>(K267/100)*'2024 Legal Max'!BO267</f>
        <v>207526</v>
      </c>
      <c r="M267" s="129">
        <f>'2024 Legal Max'!AA267</f>
        <v>1.1000000000000001</v>
      </c>
      <c r="N267" s="140">
        <f>IF('2024 Legal Max'!AA267=0,0,ROUND((M267/I267)*100,2))</f>
        <v>0.13</v>
      </c>
      <c r="O267" s="243">
        <f>(N267/100)*'2024 Legal Max'!BO267</f>
        <v>1905</v>
      </c>
    </row>
    <row r="268" spans="1:15">
      <c r="A268" s="134">
        <v>489</v>
      </c>
      <c r="B268" s="129" t="s">
        <v>84</v>
      </c>
      <c r="C268" s="129" t="s">
        <v>772</v>
      </c>
      <c r="D268" s="129" t="str">
        <f>'2024 Legal Max'!AZ268</f>
        <v>A</v>
      </c>
      <c r="E268" s="241">
        <f>'2024 Legal Max'!AO268</f>
        <v>3691786</v>
      </c>
      <c r="F268" s="136">
        <f>'2024 Legal Max'!AF268</f>
        <v>559.5</v>
      </c>
      <c r="G268" s="136">
        <f>'2024 Legal Max'!AI268</f>
        <v>16.100000000000001</v>
      </c>
      <c r="H268" s="243">
        <f>SUM(F268+G268)*'Weighting Factors'!$O$5</f>
        <v>2928653</v>
      </c>
      <c r="I268" s="252">
        <f>'2024 Legal Max'!CR268-'2024 Legal Max'!T268-'2024 Legal Max'!AQ268</f>
        <v>4767.8999999999996</v>
      </c>
      <c r="J268" s="136">
        <f>'2024 Legal Max'!AF268</f>
        <v>559.5</v>
      </c>
      <c r="K268" s="138">
        <f t="shared" si="5"/>
        <v>11.73</v>
      </c>
      <c r="L268" s="243">
        <f>(K268/100)*'2024 Legal Max'!BO268</f>
        <v>908884</v>
      </c>
      <c r="M268" s="129">
        <f>'2024 Legal Max'!AA268</f>
        <v>32.299999999999997</v>
      </c>
      <c r="N268" s="140">
        <f>IF('2024 Legal Max'!AA268=0,0,ROUND((M268/I268)*100,2))</f>
        <v>0.68</v>
      </c>
      <c r="O268" s="243">
        <f>(N268/100)*'2024 Legal Max'!BO268</f>
        <v>52689</v>
      </c>
    </row>
    <row r="269" spans="1:15">
      <c r="A269" s="134">
        <v>490</v>
      </c>
      <c r="B269" s="129" t="s">
        <v>10</v>
      </c>
      <c r="C269" s="129" t="s">
        <v>773</v>
      </c>
      <c r="D269" s="129" t="str">
        <f>'2024 Legal Max'!AZ269</f>
        <v>A</v>
      </c>
      <c r="E269" s="241">
        <f>'2024 Legal Max'!AO269</f>
        <v>1647223</v>
      </c>
      <c r="F269" s="136">
        <f>'2024 Legal Max'!AF269</f>
        <v>490.8</v>
      </c>
      <c r="G269" s="136">
        <f>'2024 Legal Max'!AI269</f>
        <v>106.5</v>
      </c>
      <c r="H269" s="243">
        <f>SUM(F269+G269)*'Weighting Factors'!$O$5</f>
        <v>3039062</v>
      </c>
      <c r="I269" s="252">
        <f>'2024 Legal Max'!CR269-'2024 Legal Max'!T269-'2024 Legal Max'!AQ269</f>
        <v>2854.2</v>
      </c>
      <c r="J269" s="136">
        <f>'2024 Legal Max'!AF269</f>
        <v>490.8</v>
      </c>
      <c r="K269" s="138">
        <f t="shared" si="5"/>
        <v>17.2</v>
      </c>
      <c r="L269" s="243">
        <f>(K269/100)*'2024 Legal Max'!BO269</f>
        <v>852524</v>
      </c>
      <c r="M269" s="129">
        <f>'2024 Legal Max'!AA269</f>
        <v>3.3</v>
      </c>
      <c r="N269" s="140">
        <f>IF('2024 Legal Max'!AA269=0,0,ROUND((M269/I269)*100,2))</f>
        <v>0.12</v>
      </c>
      <c r="O269" s="243">
        <f>(N269/100)*'2024 Legal Max'!BO269</f>
        <v>5948</v>
      </c>
    </row>
    <row r="270" spans="1:15">
      <c r="A270" s="134">
        <v>491</v>
      </c>
      <c r="B270" s="129" t="s">
        <v>63</v>
      </c>
      <c r="C270" s="129" t="s">
        <v>774</v>
      </c>
      <c r="D270" s="129" t="str">
        <f>'2024 Legal Max'!AZ270</f>
        <v>A</v>
      </c>
      <c r="E270" s="241">
        <f>'2024 Legal Max'!AO270</f>
        <v>2025231</v>
      </c>
      <c r="F270" s="136">
        <f>'2024 Legal Max'!AF270</f>
        <v>225.5</v>
      </c>
      <c r="G270" s="136">
        <f>'2024 Legal Max'!AI270</f>
        <v>0</v>
      </c>
      <c r="H270" s="243">
        <f>SUM(F270+G270)*'Weighting Factors'!$O$5</f>
        <v>1147344</v>
      </c>
      <c r="I270" s="252">
        <f>'2024 Legal Max'!CR270-'2024 Legal Max'!T270-'2024 Legal Max'!AQ270</f>
        <v>2413.8000000000002</v>
      </c>
      <c r="J270" s="136">
        <f>'2024 Legal Max'!AF270</f>
        <v>225.5</v>
      </c>
      <c r="K270" s="138">
        <f t="shared" si="5"/>
        <v>9.34</v>
      </c>
      <c r="L270" s="243">
        <f>(K270/100)*'2024 Legal Max'!BO270</f>
        <v>381363</v>
      </c>
      <c r="M270" s="129">
        <f>'2024 Legal Max'!AA270</f>
        <v>2.1</v>
      </c>
      <c r="N270" s="140">
        <f>IF('2024 Legal Max'!AA270=0,0,ROUND((M270/I270)*100,2))</f>
        <v>0.09</v>
      </c>
      <c r="O270" s="243">
        <f>(N270/100)*'2024 Legal Max'!BO270</f>
        <v>3675</v>
      </c>
    </row>
    <row r="271" spans="1:15">
      <c r="A271" s="134">
        <v>492</v>
      </c>
      <c r="B271" s="129" t="s">
        <v>10</v>
      </c>
      <c r="C271" s="129" t="s">
        <v>775</v>
      </c>
      <c r="D271" s="129" t="str">
        <f>'2024 Legal Max'!AZ271</f>
        <v>A</v>
      </c>
      <c r="E271" s="241">
        <f>'2024 Legal Max'!AO271</f>
        <v>313725</v>
      </c>
      <c r="F271" s="136">
        <f>'2024 Legal Max'!AF271</f>
        <v>54.2</v>
      </c>
      <c r="G271" s="136">
        <f>'2024 Legal Max'!AI271</f>
        <v>6.4</v>
      </c>
      <c r="H271" s="243">
        <f>SUM(F271+G271)*'Weighting Factors'!$O$5</f>
        <v>308333</v>
      </c>
      <c r="I271" s="252">
        <f>'2024 Legal Max'!CR271-'2024 Legal Max'!T271-'2024 Legal Max'!AQ271</f>
        <v>597.5</v>
      </c>
      <c r="J271" s="136">
        <f>'2024 Legal Max'!AF271</f>
        <v>54.2</v>
      </c>
      <c r="K271" s="138">
        <f t="shared" si="5"/>
        <v>9.07</v>
      </c>
      <c r="L271" s="243">
        <f>(K271/100)*'2024 Legal Max'!BO271</f>
        <v>92881</v>
      </c>
      <c r="M271" s="129">
        <f>'2024 Legal Max'!AA271</f>
        <v>0</v>
      </c>
      <c r="N271" s="140">
        <f>IF('2024 Legal Max'!AA271=0,0,ROUND((M271/I271)*100,2))</f>
        <v>0</v>
      </c>
      <c r="O271" s="243">
        <f>(N271/100)*'2024 Legal Max'!BO271</f>
        <v>0</v>
      </c>
    </row>
    <row r="272" spans="1:15">
      <c r="A272" s="134">
        <v>493</v>
      </c>
      <c r="B272" s="129" t="s">
        <v>29</v>
      </c>
      <c r="C272" s="129" t="s">
        <v>776</v>
      </c>
      <c r="D272" s="129" t="str">
        <f>'2024 Legal Max'!AZ272</f>
        <v>A</v>
      </c>
      <c r="E272" s="241">
        <f>'2024 Legal Max'!AO272</f>
        <v>944880</v>
      </c>
      <c r="F272" s="136">
        <f>'2024 Legal Max'!AF272</f>
        <v>238.1</v>
      </c>
      <c r="G272" s="136">
        <f>'2024 Legal Max'!AI272</f>
        <v>51.7</v>
      </c>
      <c r="H272" s="243">
        <f>SUM(F272+G272)*'Weighting Factors'!$O$5</f>
        <v>1474502</v>
      </c>
      <c r="I272" s="252">
        <f>'2024 Legal Max'!CR272-'2024 Legal Max'!T272-'2024 Legal Max'!AQ272</f>
        <v>1721.7</v>
      </c>
      <c r="J272" s="136">
        <f>'2024 Legal Max'!AF272</f>
        <v>238.1</v>
      </c>
      <c r="K272" s="138">
        <f t="shared" si="5"/>
        <v>13.83</v>
      </c>
      <c r="L272" s="243">
        <f>(K272/100)*'2024 Legal Max'!BO272</f>
        <v>385155</v>
      </c>
      <c r="M272" s="129">
        <f>'2024 Legal Max'!AA272</f>
        <v>0</v>
      </c>
      <c r="N272" s="140">
        <f>IF('2024 Legal Max'!AA272=0,0,ROUND((M272/I272)*100,2))</f>
        <v>0</v>
      </c>
      <c r="O272" s="243">
        <f>(N272/100)*'2024 Legal Max'!BO272</f>
        <v>0</v>
      </c>
    </row>
    <row r="273" spans="1:15">
      <c r="A273" s="134">
        <v>494</v>
      </c>
      <c r="B273" s="129" t="s">
        <v>85</v>
      </c>
      <c r="C273" s="129" t="s">
        <v>777</v>
      </c>
      <c r="D273" s="129" t="str">
        <f>'2024 Legal Max'!AZ273</f>
        <v>A</v>
      </c>
      <c r="E273" s="241">
        <f>'2024 Legal Max'!AO273</f>
        <v>341000</v>
      </c>
      <c r="F273" s="136">
        <f>'2024 Legal Max'!AF273</f>
        <v>157.80000000000001</v>
      </c>
      <c r="G273" s="136">
        <f>'2024 Legal Max'!AI273</f>
        <v>34.200000000000003</v>
      </c>
      <c r="H273" s="243">
        <f>SUM(F273+G273)*'Weighting Factors'!$O$5</f>
        <v>976896</v>
      </c>
      <c r="I273" s="252">
        <f>'2024 Legal Max'!CR273-'2024 Legal Max'!T273-'2024 Legal Max'!AQ273</f>
        <v>1110.8</v>
      </c>
      <c r="J273" s="136">
        <f>'2024 Legal Max'!AF273</f>
        <v>157.80000000000001</v>
      </c>
      <c r="K273" s="138">
        <f t="shared" si="5"/>
        <v>14.21</v>
      </c>
      <c r="L273" s="243">
        <f>(K273/100)*'2024 Legal Max'!BO273</f>
        <v>258691</v>
      </c>
      <c r="M273" s="129">
        <f>'2024 Legal Max'!AA273</f>
        <v>46</v>
      </c>
      <c r="N273" s="140">
        <f>IF('2024 Legal Max'!AA273=0,0,ROUND((M273/I273)*100,2))</f>
        <v>4.1399999999999997</v>
      </c>
      <c r="O273" s="243">
        <f>(N273/100)*'2024 Legal Max'!BO273</f>
        <v>75368</v>
      </c>
    </row>
    <row r="274" spans="1:15">
      <c r="A274" s="134">
        <v>495</v>
      </c>
      <c r="B274" s="129" t="s">
        <v>107</v>
      </c>
      <c r="C274" s="129" t="s">
        <v>778</v>
      </c>
      <c r="D274" s="129" t="str">
        <f>'2024 Legal Max'!AZ274</f>
        <v>A</v>
      </c>
      <c r="E274" s="241">
        <f>'2024 Legal Max'!AO274</f>
        <v>1012566</v>
      </c>
      <c r="F274" s="136">
        <f>'2024 Legal Max'!AF274</f>
        <v>191.2</v>
      </c>
      <c r="G274" s="136">
        <f>'2024 Legal Max'!AI274</f>
        <v>31.3</v>
      </c>
      <c r="H274" s="243">
        <f>SUM(F274+G274)*'Weighting Factors'!$O$5</f>
        <v>1132080</v>
      </c>
      <c r="I274" s="252">
        <f>'2024 Legal Max'!CR274-'2024 Legal Max'!T274-'2024 Legal Max'!AQ274</f>
        <v>1542</v>
      </c>
      <c r="J274" s="136">
        <f>'2024 Legal Max'!AF274</f>
        <v>191.2</v>
      </c>
      <c r="K274" s="138">
        <f t="shared" si="5"/>
        <v>12.4</v>
      </c>
      <c r="L274" s="243">
        <f>(K274/100)*'2024 Legal Max'!BO274</f>
        <v>334299</v>
      </c>
      <c r="M274" s="129">
        <f>'2024 Legal Max'!AA274</f>
        <v>3.7</v>
      </c>
      <c r="N274" s="140">
        <f>IF('2024 Legal Max'!AA274=0,0,ROUND((M274/I274)*100,2))</f>
        <v>0.24</v>
      </c>
      <c r="O274" s="243">
        <f>(N274/100)*'2024 Legal Max'!BO274</f>
        <v>6470</v>
      </c>
    </row>
    <row r="275" spans="1:15">
      <c r="A275" s="134">
        <v>496</v>
      </c>
      <c r="B275" s="129" t="s">
        <v>107</v>
      </c>
      <c r="C275" s="129" t="s">
        <v>779</v>
      </c>
      <c r="D275" s="129" t="str">
        <f>'2024 Legal Max'!AZ275</f>
        <v>A</v>
      </c>
      <c r="E275" s="241">
        <f>'2024 Legal Max'!AO275</f>
        <v>151015</v>
      </c>
      <c r="F275" s="136">
        <f>'2024 Legal Max'!AF275</f>
        <v>22.7</v>
      </c>
      <c r="G275" s="136">
        <f>'2024 Legal Max'!AI275</f>
        <v>1.1000000000000001</v>
      </c>
      <c r="H275" s="243">
        <f>SUM(F275+G275)*'Weighting Factors'!$O$5</f>
        <v>121094</v>
      </c>
      <c r="I275" s="252">
        <f>'2024 Legal Max'!CR275-'2024 Legal Max'!T275-'2024 Legal Max'!AQ275</f>
        <v>334</v>
      </c>
      <c r="J275" s="136">
        <f>'2024 Legal Max'!AF275</f>
        <v>22.7</v>
      </c>
      <c r="K275" s="138">
        <f t="shared" si="5"/>
        <v>6.8</v>
      </c>
      <c r="L275" s="243">
        <f>(K275/100)*'2024 Legal Max'!BO275</f>
        <v>39247</v>
      </c>
      <c r="M275" s="129">
        <f>'2024 Legal Max'!AA275</f>
        <v>0</v>
      </c>
      <c r="N275" s="140">
        <f>IF('2024 Legal Max'!AA275=0,0,ROUND((M275/I275)*100,2))</f>
        <v>0</v>
      </c>
      <c r="O275" s="243">
        <f>(N275/100)*'2024 Legal Max'!BO275</f>
        <v>0</v>
      </c>
    </row>
    <row r="276" spans="1:15">
      <c r="A276" s="134">
        <v>497</v>
      </c>
      <c r="B276" s="129" t="s">
        <v>63</v>
      </c>
      <c r="C276" s="129" t="s">
        <v>780</v>
      </c>
      <c r="D276" s="129" t="str">
        <f>'2024 Legal Max'!AZ276</f>
        <v>A</v>
      </c>
      <c r="E276" s="241">
        <f>'2024 Legal Max'!AO276</f>
        <v>12739363</v>
      </c>
      <c r="F276" s="136">
        <f>'2024 Legal Max'!AF276</f>
        <v>1696.4</v>
      </c>
      <c r="G276" s="136">
        <f>'2024 Legal Max'!AI276</f>
        <v>167.2</v>
      </c>
      <c r="H276" s="243">
        <f>SUM(F276+G276)*'Weighting Factors'!$O$5</f>
        <v>9481997</v>
      </c>
      <c r="I276" s="252">
        <f>'2024 Legal Max'!CR276-'2024 Legal Max'!T276-'2024 Legal Max'!AQ276</f>
        <v>15842.4</v>
      </c>
      <c r="J276" s="136">
        <f>'2024 Legal Max'!AF276</f>
        <v>1696.4</v>
      </c>
      <c r="K276" s="138">
        <f t="shared" si="5"/>
        <v>10.71</v>
      </c>
      <c r="L276" s="243">
        <f>(K276/100)*'2024 Legal Max'!BO276</f>
        <v>2887150</v>
      </c>
      <c r="M276" s="129">
        <f>'2024 Legal Max'!AA276</f>
        <v>154</v>
      </c>
      <c r="N276" s="140">
        <f>IF('2024 Legal Max'!AA276=0,0,ROUND((M276/I276)*100,2))</f>
        <v>0.97</v>
      </c>
      <c r="O276" s="243">
        <f>(N276/100)*'2024 Legal Max'!BO276</f>
        <v>261488</v>
      </c>
    </row>
    <row r="277" spans="1:15">
      <c r="A277" s="134">
        <v>498</v>
      </c>
      <c r="B277" s="129" t="s">
        <v>70</v>
      </c>
      <c r="C277" s="129" t="s">
        <v>781</v>
      </c>
      <c r="D277" s="129" t="str">
        <f>'2024 Legal Max'!AZ277</f>
        <v>A</v>
      </c>
      <c r="E277" s="241">
        <f>'2024 Legal Max'!AO277</f>
        <v>408882</v>
      </c>
      <c r="F277" s="136">
        <f>'2024 Legal Max'!AF277</f>
        <v>75.5</v>
      </c>
      <c r="G277" s="136">
        <f>'2024 Legal Max'!AI277</f>
        <v>7.2</v>
      </c>
      <c r="H277" s="243">
        <f>SUM(F277+G277)*'Weighting Factors'!$O$5</f>
        <v>420778</v>
      </c>
      <c r="I277" s="252">
        <f>'2024 Legal Max'!CR277-'2024 Legal Max'!T277-'2024 Legal Max'!AQ277</f>
        <v>812.5</v>
      </c>
      <c r="J277" s="136">
        <f>'2024 Legal Max'!AF277</f>
        <v>75.5</v>
      </c>
      <c r="K277" s="138">
        <f t="shared" si="5"/>
        <v>9.2899999999999991</v>
      </c>
      <c r="L277" s="243">
        <f>(K277/100)*'2024 Legal Max'!BO277</f>
        <v>132324</v>
      </c>
      <c r="M277" s="129">
        <f>'2024 Legal Max'!AA277</f>
        <v>0.7</v>
      </c>
      <c r="N277" s="140">
        <f>IF('2024 Legal Max'!AA277=0,0,ROUND((M277/I277)*100,2))</f>
        <v>0.09</v>
      </c>
      <c r="O277" s="243">
        <f>(N277/100)*'2024 Legal Max'!BO277</f>
        <v>1282</v>
      </c>
    </row>
    <row r="278" spans="1:15">
      <c r="A278" s="134">
        <v>499</v>
      </c>
      <c r="B278" s="129" t="s">
        <v>29</v>
      </c>
      <c r="C278" s="129" t="s">
        <v>782</v>
      </c>
      <c r="D278" s="129" t="str">
        <f>'2024 Legal Max'!AZ278</f>
        <v>A</v>
      </c>
      <c r="E278" s="241">
        <f>'2024 Legal Max'!AO278</f>
        <v>762372</v>
      </c>
      <c r="F278" s="136">
        <f>'2024 Legal Max'!AF278</f>
        <v>215.9</v>
      </c>
      <c r="G278" s="136">
        <f>'2024 Legal Max'!AI278</f>
        <v>46.9</v>
      </c>
      <c r="H278" s="243">
        <f>SUM(F278+G278)*'Weighting Factors'!$O$5</f>
        <v>1337126</v>
      </c>
      <c r="I278" s="252">
        <f>'2024 Legal Max'!CR278-'2024 Legal Max'!T278-'2024 Legal Max'!AQ278</f>
        <v>1441</v>
      </c>
      <c r="J278" s="136">
        <f>'2024 Legal Max'!AF278</f>
        <v>215.9</v>
      </c>
      <c r="K278" s="138">
        <f t="shared" si="5"/>
        <v>14.98</v>
      </c>
      <c r="L278" s="243">
        <f>(K278/100)*'2024 Legal Max'!BO278</f>
        <v>326819</v>
      </c>
      <c r="M278" s="129">
        <f>'2024 Legal Max'!AA278</f>
        <v>0</v>
      </c>
      <c r="N278" s="140">
        <f>IF('2024 Legal Max'!AA278=0,0,ROUND((M278/I278)*100,2))</f>
        <v>0</v>
      </c>
      <c r="O278" s="243">
        <f>(N278/100)*'2024 Legal Max'!BO278</f>
        <v>0</v>
      </c>
    </row>
    <row r="279" spans="1:15">
      <c r="A279" s="134">
        <v>500</v>
      </c>
      <c r="B279" s="129" t="s">
        <v>9</v>
      </c>
      <c r="C279" s="129" t="s">
        <v>783</v>
      </c>
      <c r="D279" s="129" t="str">
        <f>'2024 Legal Max'!AZ279</f>
        <v>A</v>
      </c>
      <c r="E279" s="241">
        <f>'2024 Legal Max'!AO279</f>
        <v>11180153</v>
      </c>
      <c r="F279" s="136">
        <f>'2024 Legal Max'!AF279</f>
        <v>7306</v>
      </c>
      <c r="G279" s="136">
        <f>'2024 Legal Max'!AI279</f>
        <v>1585.2</v>
      </c>
      <c r="H279" s="243">
        <f>SUM(F279+G279)*'Weighting Factors'!$O$5</f>
        <v>45238426</v>
      </c>
      <c r="I279" s="252">
        <f>'2024 Legal Max'!CR279-'2024 Legal Max'!T279-'2024 Legal Max'!AQ279</f>
        <v>34108.1</v>
      </c>
      <c r="J279" s="136">
        <f>'2024 Legal Max'!AF279</f>
        <v>7306</v>
      </c>
      <c r="K279" s="138">
        <f t="shared" si="5"/>
        <v>21.42</v>
      </c>
      <c r="L279" s="243">
        <f>(K279/100)*'2024 Legal Max'!BO279</f>
        <v>12853384</v>
      </c>
      <c r="M279" s="129">
        <f>'2024 Legal Max'!AA279</f>
        <v>1511.6</v>
      </c>
      <c r="N279" s="140">
        <f>IF('2024 Legal Max'!AA279=0,0,ROUND((M279/I279)*100,2))</f>
        <v>4.43</v>
      </c>
      <c r="O279" s="243">
        <f>(N279/100)*'2024 Legal Max'!BO279</f>
        <v>2658286</v>
      </c>
    </row>
    <row r="280" spans="1:15">
      <c r="A280" s="134">
        <v>501</v>
      </c>
      <c r="B280" s="129" t="s">
        <v>61</v>
      </c>
      <c r="C280" s="129" t="s">
        <v>784</v>
      </c>
      <c r="D280" s="129" t="str">
        <f>'2024 Legal Max'!AZ280</f>
        <v>A</v>
      </c>
      <c r="E280" s="241">
        <f>'2024 Legal Max'!AO280</f>
        <v>16858364</v>
      </c>
      <c r="F280" s="136">
        <f>'2024 Legal Max'!AF280</f>
        <v>4046.2</v>
      </c>
      <c r="G280" s="136">
        <f>'2024 Legal Max'!AI280</f>
        <v>877.8</v>
      </c>
      <c r="H280" s="243">
        <f>SUM(F280+G280)*'Weighting Factors'!$O$5</f>
        <v>25053312</v>
      </c>
      <c r="I280" s="252">
        <f>'2024 Legal Max'!CR280-'2024 Legal Max'!T280-'2024 Legal Max'!AQ280</f>
        <v>21054.7</v>
      </c>
      <c r="J280" s="136">
        <f>'2024 Legal Max'!AF280</f>
        <v>4046.2</v>
      </c>
      <c r="K280" s="138">
        <f t="shared" si="5"/>
        <v>19.22</v>
      </c>
      <c r="L280" s="243">
        <f>(K280/100)*'2024 Legal Max'!BO280</f>
        <v>6515580</v>
      </c>
      <c r="M280" s="129">
        <f>'2024 Legal Max'!AA280</f>
        <v>224.4</v>
      </c>
      <c r="N280" s="140">
        <f>IF('2024 Legal Max'!AA280=0,0,ROUND((M280/I280)*100,2))</f>
        <v>1.07</v>
      </c>
      <c r="O280" s="243">
        <f>(N280/100)*'2024 Legal Max'!BO280</f>
        <v>362730</v>
      </c>
    </row>
    <row r="281" spans="1:15">
      <c r="A281" s="134">
        <v>502</v>
      </c>
      <c r="B281" s="129" t="s">
        <v>62</v>
      </c>
      <c r="C281" s="129" t="s">
        <v>785</v>
      </c>
      <c r="D281" s="129" t="str">
        <f>'2024 Legal Max'!AZ281</f>
        <v>A</v>
      </c>
      <c r="E281" s="241">
        <f>'2024 Legal Max'!AO281</f>
        <v>143230</v>
      </c>
      <c r="F281" s="136">
        <f>'2024 Legal Max'!AF281</f>
        <v>31.5</v>
      </c>
      <c r="G281" s="136">
        <f>'2024 Legal Max'!AI281</f>
        <v>6.8</v>
      </c>
      <c r="H281" s="243">
        <f>SUM(F281+G281)*'Weighting Factors'!$O$5</f>
        <v>194870</v>
      </c>
      <c r="I281" s="252">
        <f>'2024 Legal Max'!CR281-'2024 Legal Max'!T281-'2024 Legal Max'!AQ281</f>
        <v>328</v>
      </c>
      <c r="J281" s="136">
        <f>'2024 Legal Max'!AF281</f>
        <v>31.5</v>
      </c>
      <c r="K281" s="138">
        <f t="shared" si="5"/>
        <v>9.6</v>
      </c>
      <c r="L281" s="243">
        <f>(K281/100)*'2024 Legal Max'!BO281</f>
        <v>44297</v>
      </c>
      <c r="M281" s="129">
        <f>'2024 Legal Max'!AA281</f>
        <v>4.9000000000000004</v>
      </c>
      <c r="N281" s="140">
        <f>IF('2024 Legal Max'!AA281=0,0,ROUND((M281/I281)*100,2))</f>
        <v>1.49</v>
      </c>
      <c r="O281" s="243">
        <f>(N281/100)*'2024 Legal Max'!BO281</f>
        <v>6875</v>
      </c>
    </row>
    <row r="282" spans="1:15">
      <c r="A282" s="134">
        <v>503</v>
      </c>
      <c r="B282" s="129" t="s">
        <v>108</v>
      </c>
      <c r="C282" s="129" t="s">
        <v>786</v>
      </c>
      <c r="D282" s="129" t="str">
        <f>'2024 Legal Max'!AZ282</f>
        <v>A</v>
      </c>
      <c r="E282" s="241">
        <f>'2024 Legal Max'!AO282</f>
        <v>1342285</v>
      </c>
      <c r="F282" s="136">
        <f>'2024 Legal Max'!AF282</f>
        <v>433.7</v>
      </c>
      <c r="G282" s="136">
        <f>'2024 Legal Max'!AI282</f>
        <v>94.1</v>
      </c>
      <c r="H282" s="243">
        <f>SUM(F282+G282)*'Weighting Factors'!$O$5</f>
        <v>2685446</v>
      </c>
      <c r="I282" s="252">
        <f>'2024 Legal Max'!CR282-'2024 Legal Max'!T282-'2024 Legal Max'!AQ282</f>
        <v>2290.3000000000002</v>
      </c>
      <c r="J282" s="136">
        <f>'2024 Legal Max'!AF282</f>
        <v>433.7</v>
      </c>
      <c r="K282" s="138">
        <f t="shared" si="5"/>
        <v>18.940000000000001</v>
      </c>
      <c r="L282" s="243">
        <f>(K282/100)*'2024 Legal Max'!BO282</f>
        <v>745914</v>
      </c>
      <c r="M282" s="129">
        <f>'2024 Legal Max'!AA282</f>
        <v>4.3</v>
      </c>
      <c r="N282" s="140">
        <f>IF('2024 Legal Max'!AA282=0,0,ROUND((M282/I282)*100,2))</f>
        <v>0.19</v>
      </c>
      <c r="O282" s="243">
        <f>(N282/100)*'2024 Legal Max'!BO282</f>
        <v>7483</v>
      </c>
    </row>
    <row r="283" spans="1:15">
      <c r="A283" s="134">
        <v>504</v>
      </c>
      <c r="B283" s="129" t="s">
        <v>108</v>
      </c>
      <c r="C283" s="129" t="s">
        <v>787</v>
      </c>
      <c r="D283" s="129" t="str">
        <f>'2024 Legal Max'!AZ283</f>
        <v>A</v>
      </c>
      <c r="E283" s="241">
        <f>'2024 Legal Max'!AO283</f>
        <v>562226</v>
      </c>
      <c r="F283" s="136">
        <f>'2024 Legal Max'!AF283</f>
        <v>119.5</v>
      </c>
      <c r="G283" s="136">
        <f>'2024 Legal Max'!AI283</f>
        <v>25.9</v>
      </c>
      <c r="H283" s="243">
        <f>SUM(F283+G283)*'Weighting Factors'!$O$5</f>
        <v>739795</v>
      </c>
      <c r="I283" s="252">
        <f>'2024 Legal Max'!CR283-'2024 Legal Max'!T283-'2024 Legal Max'!AQ283</f>
        <v>951.3</v>
      </c>
      <c r="J283" s="136">
        <f>'2024 Legal Max'!AF283</f>
        <v>119.5</v>
      </c>
      <c r="K283" s="138">
        <f t="shared" si="5"/>
        <v>12.56</v>
      </c>
      <c r="L283" s="243">
        <f>(K283/100)*'2024 Legal Max'!BO283</f>
        <v>204446</v>
      </c>
      <c r="M283" s="129">
        <f>'2024 Legal Max'!AA283</f>
        <v>0</v>
      </c>
      <c r="N283" s="140">
        <f>IF('2024 Legal Max'!AA283=0,0,ROUND((M283/I283)*100,2))</f>
        <v>0</v>
      </c>
      <c r="O283" s="243">
        <f>(N283/100)*'2024 Legal Max'!BO283</f>
        <v>0</v>
      </c>
    </row>
    <row r="284" spans="1:15">
      <c r="A284" s="134">
        <v>505</v>
      </c>
      <c r="B284" s="129" t="s">
        <v>108</v>
      </c>
      <c r="C284" s="129" t="s">
        <v>788</v>
      </c>
      <c r="D284" s="129" t="str">
        <f>'2024 Legal Max'!AZ284</f>
        <v>A</v>
      </c>
      <c r="E284" s="241">
        <f>'2024 Legal Max'!AO284</f>
        <v>437282</v>
      </c>
      <c r="F284" s="136">
        <f>'2024 Legal Max'!AF284</f>
        <v>89.1</v>
      </c>
      <c r="G284" s="136">
        <f>'2024 Legal Max'!AI284</f>
        <v>16.2</v>
      </c>
      <c r="H284" s="243">
        <f>SUM(F284+G284)*'Weighting Factors'!$O$5</f>
        <v>535766</v>
      </c>
      <c r="I284" s="252">
        <f>'2024 Legal Max'!CR284-'2024 Legal Max'!T284-'2024 Legal Max'!AQ284</f>
        <v>746.7</v>
      </c>
      <c r="J284" s="136">
        <f>'2024 Legal Max'!AF284</f>
        <v>89.1</v>
      </c>
      <c r="K284" s="138">
        <f t="shared" si="5"/>
        <v>11.93</v>
      </c>
      <c r="L284" s="243">
        <f>(K284/100)*'2024 Legal Max'!BO284</f>
        <v>156572</v>
      </c>
      <c r="M284" s="129">
        <f>'2024 Legal Max'!AA284</f>
        <v>0.4</v>
      </c>
      <c r="N284" s="140">
        <f>IF('2024 Legal Max'!AA284=0,0,ROUND((M284/I284)*100,2))</f>
        <v>0.05</v>
      </c>
      <c r="O284" s="243">
        <f>(N284/100)*'2024 Legal Max'!BO284</f>
        <v>656</v>
      </c>
    </row>
    <row r="285" spans="1:15">
      <c r="A285" s="134">
        <v>506</v>
      </c>
      <c r="B285" s="129" t="s">
        <v>108</v>
      </c>
      <c r="C285" s="129" t="s">
        <v>789</v>
      </c>
      <c r="D285" s="129" t="str">
        <f>'2024 Legal Max'!AZ285</f>
        <v>A</v>
      </c>
      <c r="E285" s="241">
        <f>'2024 Legal Max'!AO285</f>
        <v>1636516</v>
      </c>
      <c r="F285" s="136">
        <f>'2024 Legal Max'!AF285</f>
        <v>329.6</v>
      </c>
      <c r="G285" s="136">
        <f>'2024 Legal Max'!AI285</f>
        <v>58</v>
      </c>
      <c r="H285" s="243">
        <f>SUM(F285+G285)*'Weighting Factors'!$O$5</f>
        <v>1972109</v>
      </c>
      <c r="I285" s="252">
        <f>'2024 Legal Max'!CR285-'2024 Legal Max'!T285-'2024 Legal Max'!AQ285</f>
        <v>2457.1</v>
      </c>
      <c r="J285" s="136">
        <f>'2024 Legal Max'!AF285</f>
        <v>329.6</v>
      </c>
      <c r="K285" s="138">
        <f t="shared" si="5"/>
        <v>13.41</v>
      </c>
      <c r="L285" s="243">
        <f>(K285/100)*'2024 Legal Max'!BO285</f>
        <v>540702</v>
      </c>
      <c r="M285" s="129">
        <f>'2024 Legal Max'!AA285</f>
        <v>0</v>
      </c>
      <c r="N285" s="140">
        <f>IF('2024 Legal Max'!AA285=0,0,ROUND((M285/I285)*100,2))</f>
        <v>0</v>
      </c>
      <c r="O285" s="243">
        <f>(N285/100)*'2024 Legal Max'!BO285</f>
        <v>0</v>
      </c>
    </row>
    <row r="286" spans="1:15">
      <c r="A286" s="134">
        <v>507</v>
      </c>
      <c r="B286" s="129" t="s">
        <v>75</v>
      </c>
      <c r="C286" s="129" t="s">
        <v>790</v>
      </c>
      <c r="D286" s="129" t="str">
        <f>'2024 Legal Max'!AZ286</f>
        <v>A</v>
      </c>
      <c r="E286" s="241">
        <f>'2024 Legal Max'!AO286</f>
        <v>166873</v>
      </c>
      <c r="F286" s="136">
        <f>'2024 Legal Max'!AF286</f>
        <v>68.7</v>
      </c>
      <c r="G286" s="136">
        <f>'2024 Legal Max'!AI286</f>
        <v>14.9</v>
      </c>
      <c r="H286" s="243">
        <f>SUM(F286+G286)*'Weighting Factors'!$O$5</f>
        <v>425357</v>
      </c>
      <c r="I286" s="252">
        <f>'2024 Legal Max'!CR286-'2024 Legal Max'!T286-'2024 Legal Max'!AQ286</f>
        <v>564.4</v>
      </c>
      <c r="J286" s="136">
        <f>'2024 Legal Max'!AF286</f>
        <v>68.7</v>
      </c>
      <c r="K286" s="138">
        <f t="shared" si="5"/>
        <v>12.17</v>
      </c>
      <c r="L286" s="243">
        <f>(K286/100)*'2024 Legal Max'!BO286</f>
        <v>115434</v>
      </c>
      <c r="M286" s="129">
        <f>'2024 Legal Max'!AA286</f>
        <v>30.2</v>
      </c>
      <c r="N286" s="140">
        <f>IF('2024 Legal Max'!AA286=0,0,ROUND((M286/I286)*100,2))</f>
        <v>5.35</v>
      </c>
      <c r="O286" s="243">
        <f>(N286/100)*'2024 Legal Max'!BO286</f>
        <v>50745</v>
      </c>
    </row>
    <row r="287" spans="1:15">
      <c r="A287" s="134">
        <v>508</v>
      </c>
      <c r="B287" s="129" t="s">
        <v>29</v>
      </c>
      <c r="C287" s="129" t="s">
        <v>791</v>
      </c>
      <c r="D287" s="129" t="str">
        <f>'2024 Legal Max'!AZ287</f>
        <v>A</v>
      </c>
      <c r="E287" s="241">
        <f>'2024 Legal Max'!AO287</f>
        <v>883648</v>
      </c>
      <c r="F287" s="136">
        <f>'2024 Legal Max'!AF287</f>
        <v>220.2</v>
      </c>
      <c r="G287" s="136">
        <f>'2024 Legal Max'!AI287</f>
        <v>47.8</v>
      </c>
      <c r="H287" s="243">
        <f>SUM(F287+G287)*'Weighting Factors'!$O$5</f>
        <v>1363584</v>
      </c>
      <c r="I287" s="252">
        <f>'2024 Legal Max'!CR287-'2024 Legal Max'!T287-'2024 Legal Max'!AQ287</f>
        <v>1508.5</v>
      </c>
      <c r="J287" s="136">
        <f>'2024 Legal Max'!AF287</f>
        <v>220.2</v>
      </c>
      <c r="K287" s="138">
        <f t="shared" si="5"/>
        <v>14.6</v>
      </c>
      <c r="L287" s="243">
        <f>(K287/100)*'2024 Legal Max'!BO287</f>
        <v>379582</v>
      </c>
      <c r="M287" s="129">
        <f>'2024 Legal Max'!AA287</f>
        <v>0.2</v>
      </c>
      <c r="N287" s="140">
        <f>IF('2024 Legal Max'!AA287=0,0,ROUND((M287/I287)*100,2))</f>
        <v>0.01</v>
      </c>
      <c r="O287" s="243">
        <f>(N287/100)*'2024 Legal Max'!BO287</f>
        <v>260</v>
      </c>
    </row>
    <row r="288" spans="1:15">
      <c r="A288" s="134">
        <v>509</v>
      </c>
      <c r="B288" s="129" t="s">
        <v>66</v>
      </c>
      <c r="C288" s="129" t="s">
        <v>792</v>
      </c>
      <c r="D288" s="129" t="str">
        <f>'2024 Legal Max'!AZ288</f>
        <v>A</v>
      </c>
      <c r="E288" s="241">
        <f>'2024 Legal Max'!AO288</f>
        <v>336736</v>
      </c>
      <c r="F288" s="136">
        <f>'2024 Legal Max'!AF288</f>
        <v>36.799999999999997</v>
      </c>
      <c r="G288" s="136">
        <f>'2024 Legal Max'!AI288</f>
        <v>1</v>
      </c>
      <c r="H288" s="243">
        <f>SUM(F288+G288)*'Weighting Factors'!$O$5</f>
        <v>192326</v>
      </c>
      <c r="I288" s="252">
        <f>'2024 Legal Max'!CR288-'2024 Legal Max'!T288-'2024 Legal Max'!AQ288</f>
        <v>472.1</v>
      </c>
      <c r="J288" s="136">
        <f>'2024 Legal Max'!AF288</f>
        <v>36.799999999999997</v>
      </c>
      <c r="K288" s="138">
        <f t="shared" si="5"/>
        <v>7.79</v>
      </c>
      <c r="L288" s="243">
        <f>(K288/100)*'2024 Legal Max'!BO288</f>
        <v>62849</v>
      </c>
      <c r="M288" s="129">
        <f>'2024 Legal Max'!AA288</f>
        <v>0</v>
      </c>
      <c r="N288" s="140">
        <f>IF('2024 Legal Max'!AA288=0,0,ROUND((M288/I288)*100,2))</f>
        <v>0</v>
      </c>
      <c r="O288" s="243">
        <f>(N288/100)*'2024 Legal Max'!BO288</f>
        <v>0</v>
      </c>
    </row>
    <row r="289" spans="1:15">
      <c r="A289" s="134">
        <v>511</v>
      </c>
      <c r="B289" s="129" t="s">
        <v>68</v>
      </c>
      <c r="C289" s="129" t="s">
        <v>793</v>
      </c>
      <c r="D289" s="129" t="str">
        <f>'2024 Legal Max'!AZ289</f>
        <v>A</v>
      </c>
      <c r="E289" s="241">
        <f>'2024 Legal Max'!AO289</f>
        <v>220320</v>
      </c>
      <c r="F289" s="136">
        <f>'2024 Legal Max'!AF289</f>
        <v>29.5</v>
      </c>
      <c r="G289" s="136">
        <f>'2024 Legal Max'!AI289</f>
        <v>2.6</v>
      </c>
      <c r="H289" s="243">
        <f>SUM(F289+G289)*'Weighting Factors'!$O$5</f>
        <v>163325</v>
      </c>
      <c r="I289" s="252">
        <f>'2024 Legal Max'!CR289-'2024 Legal Max'!T289-'2024 Legal Max'!AQ289</f>
        <v>385.1</v>
      </c>
      <c r="J289" s="136">
        <f>'2024 Legal Max'!AF289</f>
        <v>29.5</v>
      </c>
      <c r="K289" s="138">
        <f t="shared" si="5"/>
        <v>7.66</v>
      </c>
      <c r="L289" s="243">
        <f>(K289/100)*'2024 Legal Max'!BO289</f>
        <v>50656</v>
      </c>
      <c r="M289" s="129">
        <f>'2024 Legal Max'!AA289</f>
        <v>0</v>
      </c>
      <c r="N289" s="140">
        <f>IF('2024 Legal Max'!AA289=0,0,ROUND((M289/I289)*100,2))</f>
        <v>0</v>
      </c>
      <c r="O289" s="243">
        <f>(N289/100)*'2024 Legal Max'!BO289</f>
        <v>0</v>
      </c>
    </row>
    <row r="290" spans="1:15">
      <c r="A290" s="134">
        <v>512</v>
      </c>
      <c r="B290" s="129" t="s">
        <v>22</v>
      </c>
      <c r="C290" s="129" t="s">
        <v>794</v>
      </c>
      <c r="D290" s="129" t="str">
        <f>'2024 Legal Max'!AZ290</f>
        <v>A</v>
      </c>
      <c r="E290" s="241">
        <f>'2024 Legal Max'!AO290</f>
        <v>25337328</v>
      </c>
      <c r="F290" s="136">
        <f>'2024 Legal Max'!AF290</f>
        <v>4147.3999999999996</v>
      </c>
      <c r="G290" s="136">
        <f>'2024 Legal Max'!AI290</f>
        <v>431.3</v>
      </c>
      <c r="H290" s="243">
        <f>SUM(F290+G290)*'Weighting Factors'!$O$5</f>
        <v>23296426</v>
      </c>
      <c r="I290" s="252">
        <f>'2024 Legal Max'!CR290-'2024 Legal Max'!T290-'2024 Legal Max'!AQ290</f>
        <v>40634.699999999997</v>
      </c>
      <c r="J290" s="136">
        <f>'2024 Legal Max'!AF290</f>
        <v>4147.3999999999996</v>
      </c>
      <c r="K290" s="138">
        <f t="shared" si="5"/>
        <v>10.210000000000001</v>
      </c>
      <c r="L290" s="243">
        <f>(K290/100)*'2024 Legal Max'!BO290</f>
        <v>7100762</v>
      </c>
      <c r="M290" s="129">
        <f>'2024 Legal Max'!AA290</f>
        <v>476</v>
      </c>
      <c r="N290" s="140">
        <f>IF('2024 Legal Max'!AA290=0,0,ROUND((M290/I290)*100,2))</f>
        <v>1.17</v>
      </c>
      <c r="O290" s="243">
        <f>(N290/100)*'2024 Legal Max'!BO290</f>
        <v>813701</v>
      </c>
    </row>
  </sheetData>
  <autoFilter ref="A4:O290" xr:uid="{B594B068-D839-4391-952B-9AC843FD415E}"/>
  <mergeCells count="3">
    <mergeCell ref="F1:H1"/>
    <mergeCell ref="J1:L1"/>
    <mergeCell ref="M1:O1"/>
  </mergeCells>
  <printOptions gridLines="1"/>
  <pageMargins left="0.2" right="0.2" top="0.5" bottom="0.5" header="0.3" footer="0.3"/>
  <pageSetup scale="72"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F288"/>
  <sheetViews>
    <sheetView workbookViewId="0">
      <pane ySplit="2" topLeftCell="A3" activePane="bottomLeft" state="frozen"/>
      <selection pane="bottomLeft"/>
    </sheetView>
  </sheetViews>
  <sheetFormatPr defaultColWidth="9.109375" defaultRowHeight="15"/>
  <cols>
    <col min="1" max="1" width="8.109375" style="255" bestFit="1" customWidth="1"/>
    <col min="2" max="2" width="12.44140625" style="255" bestFit="1" customWidth="1"/>
    <col min="3" max="3" width="25.6640625" style="255" bestFit="1" customWidth="1"/>
    <col min="4" max="4" width="11.44140625" style="255" customWidth="1"/>
    <col min="5" max="5" width="14.5546875" style="255" customWidth="1"/>
    <col min="6" max="6" width="19.6640625" style="255" customWidth="1"/>
    <col min="7" max="16384" width="9.109375" style="255"/>
  </cols>
  <sheetData>
    <row r="1" spans="1:6" ht="61.5" customHeight="1">
      <c r="A1" s="253" t="s">
        <v>170</v>
      </c>
      <c r="B1" s="253" t="s">
        <v>171</v>
      </c>
      <c r="C1" s="253" t="s">
        <v>172</v>
      </c>
      <c r="D1" s="254" t="s">
        <v>3634</v>
      </c>
      <c r="E1" s="254" t="s">
        <v>1018</v>
      </c>
      <c r="F1" s="254" t="s">
        <v>3633</v>
      </c>
    </row>
    <row r="2" spans="1:6">
      <c r="A2" s="256" t="s">
        <v>189</v>
      </c>
      <c r="B2" s="256"/>
      <c r="C2" s="256" t="s">
        <v>796</v>
      </c>
      <c r="D2" s="284">
        <f>SUM(D3:D288)/286</f>
        <v>0.3236</v>
      </c>
      <c r="E2" s="284">
        <f t="shared" ref="E2:F2" si="0">SUM(E3:E288)/286</f>
        <v>0.32690000000000002</v>
      </c>
      <c r="F2" s="284">
        <f t="shared" si="0"/>
        <v>0.3236</v>
      </c>
    </row>
    <row r="3" spans="1:6">
      <c r="A3" s="257">
        <v>101</v>
      </c>
      <c r="B3" s="255" t="s">
        <v>4</v>
      </c>
      <c r="C3" s="255" t="s">
        <v>511</v>
      </c>
      <c r="D3" s="127">
        <v>0.31</v>
      </c>
      <c r="E3" s="127">
        <v>0.31</v>
      </c>
      <c r="F3" s="127">
        <f>MIN(D3:E3)</f>
        <v>0.31</v>
      </c>
    </row>
    <row r="4" spans="1:6">
      <c r="A4" s="257">
        <v>102</v>
      </c>
      <c r="B4" s="255" t="s">
        <v>5</v>
      </c>
      <c r="C4" s="255" t="s">
        <v>801</v>
      </c>
      <c r="D4" s="127">
        <v>0.316</v>
      </c>
      <c r="E4" s="127">
        <v>0.33</v>
      </c>
      <c r="F4" s="127">
        <f t="shared" ref="F4:F67" si="1">MIN(D4:E4)</f>
        <v>0.316</v>
      </c>
    </row>
    <row r="5" spans="1:6">
      <c r="A5" s="257">
        <v>103</v>
      </c>
      <c r="B5" s="255" t="s">
        <v>6</v>
      </c>
      <c r="C5" s="255" t="s">
        <v>512</v>
      </c>
      <c r="D5" s="127">
        <v>0.316</v>
      </c>
      <c r="E5" s="127">
        <v>0.32</v>
      </c>
      <c r="F5" s="127">
        <f t="shared" si="1"/>
        <v>0.316</v>
      </c>
    </row>
    <row r="6" spans="1:6">
      <c r="A6" s="257">
        <v>105</v>
      </c>
      <c r="B6" s="255" t="s">
        <v>51</v>
      </c>
      <c r="C6" s="255" t="s">
        <v>513</v>
      </c>
      <c r="D6" s="127">
        <v>0.33</v>
      </c>
      <c r="E6" s="127">
        <v>0.33</v>
      </c>
      <c r="F6" s="127">
        <f t="shared" si="1"/>
        <v>0.33</v>
      </c>
    </row>
    <row r="7" spans="1:6">
      <c r="A7" s="257">
        <v>106</v>
      </c>
      <c r="B7" s="255" t="s">
        <v>47</v>
      </c>
      <c r="C7" s="255" t="s">
        <v>514</v>
      </c>
      <c r="D7" s="127">
        <v>0.33</v>
      </c>
      <c r="E7" s="127">
        <v>0.33</v>
      </c>
      <c r="F7" s="127">
        <f t="shared" si="1"/>
        <v>0.33</v>
      </c>
    </row>
    <row r="8" spans="1:6">
      <c r="A8" s="257">
        <v>107</v>
      </c>
      <c r="B8" s="255" t="s">
        <v>7</v>
      </c>
      <c r="C8" s="255" t="s">
        <v>515</v>
      </c>
      <c r="D8" s="127">
        <v>0.316</v>
      </c>
      <c r="E8" s="127">
        <v>0.32</v>
      </c>
      <c r="F8" s="127">
        <f t="shared" si="1"/>
        <v>0.316</v>
      </c>
    </row>
    <row r="9" spans="1:6">
      <c r="A9" s="257">
        <v>108</v>
      </c>
      <c r="B9" s="255" t="s">
        <v>19</v>
      </c>
      <c r="C9" s="255" t="s">
        <v>516</v>
      </c>
      <c r="D9" s="127">
        <v>0.33</v>
      </c>
      <c r="E9" s="127">
        <v>0.33</v>
      </c>
      <c r="F9" s="127">
        <f t="shared" si="1"/>
        <v>0.33</v>
      </c>
    </row>
    <row r="10" spans="1:6">
      <c r="A10" s="257">
        <v>109</v>
      </c>
      <c r="B10" s="255" t="s">
        <v>98</v>
      </c>
      <c r="C10" s="255" t="s">
        <v>517</v>
      </c>
      <c r="D10" s="127">
        <v>0.316</v>
      </c>
      <c r="E10" s="127">
        <v>0.32</v>
      </c>
      <c r="F10" s="127">
        <f t="shared" si="1"/>
        <v>0.316</v>
      </c>
    </row>
    <row r="11" spans="1:6">
      <c r="A11" s="257">
        <v>110</v>
      </c>
      <c r="B11" s="255" t="s">
        <v>53</v>
      </c>
      <c r="C11" s="255" t="s">
        <v>518</v>
      </c>
      <c r="D11" s="127">
        <v>0.316</v>
      </c>
      <c r="E11" s="127">
        <v>0.32</v>
      </c>
      <c r="F11" s="127">
        <f t="shared" si="1"/>
        <v>0.316</v>
      </c>
    </row>
    <row r="12" spans="1:6">
      <c r="A12" s="257">
        <v>111</v>
      </c>
      <c r="B12" s="255" t="s">
        <v>92</v>
      </c>
      <c r="C12" s="255" t="s">
        <v>519</v>
      </c>
      <c r="D12" s="127">
        <v>0.316</v>
      </c>
      <c r="E12" s="127">
        <v>0.32</v>
      </c>
      <c r="F12" s="127">
        <f t="shared" si="1"/>
        <v>0.316</v>
      </c>
    </row>
    <row r="13" spans="1:6">
      <c r="A13" s="257">
        <v>112</v>
      </c>
      <c r="B13" s="255" t="s">
        <v>54</v>
      </c>
      <c r="C13" s="255" t="s">
        <v>520</v>
      </c>
      <c r="D13" s="127">
        <v>0.33</v>
      </c>
      <c r="E13" s="127">
        <v>0.33</v>
      </c>
      <c r="F13" s="127">
        <f t="shared" si="1"/>
        <v>0.33</v>
      </c>
    </row>
    <row r="14" spans="1:6">
      <c r="A14" s="257">
        <v>113</v>
      </c>
      <c r="B14" s="255" t="s">
        <v>100</v>
      </c>
      <c r="C14" s="255" t="s">
        <v>521</v>
      </c>
      <c r="D14" s="127">
        <v>0.33</v>
      </c>
      <c r="E14" s="127">
        <v>0.33</v>
      </c>
      <c r="F14" s="127">
        <f t="shared" si="1"/>
        <v>0.33</v>
      </c>
    </row>
    <row r="15" spans="1:6">
      <c r="A15" s="257">
        <v>114</v>
      </c>
      <c r="B15" s="255" t="s">
        <v>92</v>
      </c>
      <c r="C15" s="255" t="s">
        <v>522</v>
      </c>
      <c r="D15" s="127">
        <v>0.316</v>
      </c>
      <c r="E15" s="127">
        <v>0.32</v>
      </c>
      <c r="F15" s="127">
        <f t="shared" si="1"/>
        <v>0.316</v>
      </c>
    </row>
    <row r="16" spans="1:6">
      <c r="A16" s="257">
        <v>115</v>
      </c>
      <c r="B16" s="255" t="s">
        <v>100</v>
      </c>
      <c r="C16" s="255" t="s">
        <v>523</v>
      </c>
      <c r="D16" s="127">
        <v>0.33</v>
      </c>
      <c r="E16" s="127">
        <v>0.33</v>
      </c>
      <c r="F16" s="127">
        <f t="shared" si="1"/>
        <v>0.33</v>
      </c>
    </row>
    <row r="17" spans="1:6">
      <c r="A17" s="257">
        <v>200</v>
      </c>
      <c r="B17" s="255" t="s">
        <v>8</v>
      </c>
      <c r="C17" s="255" t="s">
        <v>524</v>
      </c>
      <c r="D17" s="127">
        <v>0.316</v>
      </c>
      <c r="E17" s="127">
        <v>0.32</v>
      </c>
      <c r="F17" s="127">
        <f t="shared" si="1"/>
        <v>0.316</v>
      </c>
    </row>
    <row r="18" spans="1:6">
      <c r="A18" s="257">
        <v>202</v>
      </c>
      <c r="B18" s="255" t="s">
        <v>9</v>
      </c>
      <c r="C18" s="255" t="s">
        <v>525</v>
      </c>
      <c r="D18" s="127">
        <v>0.316</v>
      </c>
      <c r="E18" s="127">
        <v>0.33</v>
      </c>
      <c r="F18" s="127">
        <f t="shared" si="1"/>
        <v>0.316</v>
      </c>
    </row>
    <row r="19" spans="1:6">
      <c r="A19" s="257">
        <v>203</v>
      </c>
      <c r="B19" s="255" t="s">
        <v>9</v>
      </c>
      <c r="C19" s="255" t="s">
        <v>526</v>
      </c>
      <c r="D19" s="127">
        <v>0.33</v>
      </c>
      <c r="E19" s="127">
        <v>0.33</v>
      </c>
      <c r="F19" s="127">
        <f t="shared" si="1"/>
        <v>0.33</v>
      </c>
    </row>
    <row r="20" spans="1:6">
      <c r="A20" s="257">
        <v>204</v>
      </c>
      <c r="B20" s="255" t="s">
        <v>9</v>
      </c>
      <c r="C20" s="255" t="s">
        <v>527</v>
      </c>
      <c r="D20" s="127">
        <v>0.33</v>
      </c>
      <c r="E20" s="127">
        <v>0.33</v>
      </c>
      <c r="F20" s="127">
        <f t="shared" si="1"/>
        <v>0.33</v>
      </c>
    </row>
    <row r="21" spans="1:6">
      <c r="A21" s="257">
        <v>205</v>
      </c>
      <c r="B21" s="255" t="s">
        <v>10</v>
      </c>
      <c r="C21" s="255" t="s">
        <v>528</v>
      </c>
      <c r="D21" s="127">
        <v>0.33</v>
      </c>
      <c r="E21" s="127">
        <v>0.33</v>
      </c>
      <c r="F21" s="127">
        <f t="shared" si="1"/>
        <v>0.33</v>
      </c>
    </row>
    <row r="22" spans="1:6">
      <c r="A22" s="257">
        <v>206</v>
      </c>
      <c r="B22" s="255" t="s">
        <v>10</v>
      </c>
      <c r="C22" s="255" t="s">
        <v>529</v>
      </c>
      <c r="D22" s="127">
        <v>0.33</v>
      </c>
      <c r="E22" s="127">
        <v>0.33</v>
      </c>
      <c r="F22" s="127">
        <f t="shared" si="1"/>
        <v>0.33</v>
      </c>
    </row>
    <row r="23" spans="1:6">
      <c r="A23" s="257">
        <v>207</v>
      </c>
      <c r="B23" s="255" t="s">
        <v>11</v>
      </c>
      <c r="C23" s="255" t="s">
        <v>530</v>
      </c>
      <c r="D23" s="127">
        <v>0.33</v>
      </c>
      <c r="E23" s="127">
        <v>0.33</v>
      </c>
      <c r="F23" s="127">
        <f t="shared" si="1"/>
        <v>0.33</v>
      </c>
    </row>
    <row r="24" spans="1:6">
      <c r="A24" s="257">
        <v>208</v>
      </c>
      <c r="B24" s="255" t="s">
        <v>12</v>
      </c>
      <c r="C24" s="255" t="s">
        <v>531</v>
      </c>
      <c r="D24" s="127">
        <v>0.33</v>
      </c>
      <c r="E24" s="127">
        <v>0.33</v>
      </c>
      <c r="F24" s="127">
        <f t="shared" si="1"/>
        <v>0.33</v>
      </c>
    </row>
    <row r="25" spans="1:6">
      <c r="A25" s="257">
        <v>209</v>
      </c>
      <c r="B25" s="255" t="s">
        <v>13</v>
      </c>
      <c r="C25" s="255" t="s">
        <v>532</v>
      </c>
      <c r="D25" s="127">
        <v>0.33</v>
      </c>
      <c r="E25" s="127">
        <v>0.33</v>
      </c>
      <c r="F25" s="127">
        <f t="shared" si="1"/>
        <v>0.33</v>
      </c>
    </row>
    <row r="26" spans="1:6">
      <c r="A26" s="257">
        <v>210</v>
      </c>
      <c r="B26" s="255" t="s">
        <v>13</v>
      </c>
      <c r="C26" s="255" t="s">
        <v>533</v>
      </c>
      <c r="D26" s="127">
        <v>0.316</v>
      </c>
      <c r="E26" s="127">
        <v>0.33</v>
      </c>
      <c r="F26" s="127">
        <f t="shared" si="1"/>
        <v>0.316</v>
      </c>
    </row>
    <row r="27" spans="1:6">
      <c r="A27" s="257">
        <v>211</v>
      </c>
      <c r="B27" s="255" t="s">
        <v>14</v>
      </c>
      <c r="C27" s="255" t="s">
        <v>534</v>
      </c>
      <c r="D27" s="127">
        <v>0.316</v>
      </c>
      <c r="E27" s="127">
        <v>0.33</v>
      </c>
      <c r="F27" s="127">
        <f t="shared" si="1"/>
        <v>0.316</v>
      </c>
    </row>
    <row r="28" spans="1:6">
      <c r="A28" s="257">
        <v>212</v>
      </c>
      <c r="B28" s="255" t="s">
        <v>14</v>
      </c>
      <c r="C28" s="255" t="s">
        <v>535</v>
      </c>
      <c r="D28" s="127">
        <v>0.33</v>
      </c>
      <c r="E28" s="127">
        <v>0.33</v>
      </c>
      <c r="F28" s="127">
        <f t="shared" si="1"/>
        <v>0.33</v>
      </c>
    </row>
    <row r="29" spans="1:6">
      <c r="A29" s="257">
        <v>214</v>
      </c>
      <c r="B29" s="255" t="s">
        <v>15</v>
      </c>
      <c r="C29" s="255" t="s">
        <v>536</v>
      </c>
      <c r="D29" s="127">
        <v>0.316</v>
      </c>
      <c r="E29" s="127">
        <v>0.33</v>
      </c>
      <c r="F29" s="127">
        <f t="shared" si="1"/>
        <v>0.316</v>
      </c>
    </row>
    <row r="30" spans="1:6">
      <c r="A30" s="257">
        <v>215</v>
      </c>
      <c r="B30" s="255" t="s">
        <v>16</v>
      </c>
      <c r="C30" s="255" t="s">
        <v>537</v>
      </c>
      <c r="D30" s="127">
        <v>0.316</v>
      </c>
      <c r="E30" s="127">
        <v>0.33</v>
      </c>
      <c r="F30" s="127">
        <f t="shared" si="1"/>
        <v>0.316</v>
      </c>
    </row>
    <row r="31" spans="1:6">
      <c r="A31" s="257">
        <v>216</v>
      </c>
      <c r="B31" s="255" t="s">
        <v>16</v>
      </c>
      <c r="C31" s="255" t="s">
        <v>538</v>
      </c>
      <c r="D31" s="127">
        <v>0.33</v>
      </c>
      <c r="E31" s="127">
        <v>0.33</v>
      </c>
      <c r="F31" s="127">
        <f t="shared" si="1"/>
        <v>0.33</v>
      </c>
    </row>
    <row r="32" spans="1:6">
      <c r="A32" s="257">
        <v>217</v>
      </c>
      <c r="B32" s="255" t="s">
        <v>17</v>
      </c>
      <c r="C32" s="255" t="s">
        <v>539</v>
      </c>
      <c r="D32" s="127">
        <v>0.33</v>
      </c>
      <c r="E32" s="127">
        <v>0.33</v>
      </c>
      <c r="F32" s="127">
        <f t="shared" si="1"/>
        <v>0.33</v>
      </c>
    </row>
    <row r="33" spans="1:6">
      <c r="A33" s="257">
        <v>218</v>
      </c>
      <c r="B33" s="255" t="s">
        <v>17</v>
      </c>
      <c r="C33" s="255" t="s">
        <v>540</v>
      </c>
      <c r="D33" s="127">
        <v>0.33</v>
      </c>
      <c r="E33" s="127">
        <v>0.33</v>
      </c>
      <c r="F33" s="127">
        <f t="shared" si="1"/>
        <v>0.33</v>
      </c>
    </row>
    <row r="34" spans="1:6">
      <c r="A34" s="257">
        <v>219</v>
      </c>
      <c r="B34" s="255" t="s">
        <v>18</v>
      </c>
      <c r="C34" s="255" t="s">
        <v>541</v>
      </c>
      <c r="D34" s="127">
        <v>0.316</v>
      </c>
      <c r="E34" s="127">
        <v>0.32</v>
      </c>
      <c r="F34" s="127">
        <f t="shared" si="1"/>
        <v>0.316</v>
      </c>
    </row>
    <row r="35" spans="1:6">
      <c r="A35" s="257">
        <v>220</v>
      </c>
      <c r="B35" s="255" t="s">
        <v>18</v>
      </c>
      <c r="C35" s="255" t="s">
        <v>542</v>
      </c>
      <c r="D35" s="127">
        <v>0.316</v>
      </c>
      <c r="E35" s="127">
        <v>0.32</v>
      </c>
      <c r="F35" s="127">
        <f t="shared" si="1"/>
        <v>0.316</v>
      </c>
    </row>
    <row r="36" spans="1:6">
      <c r="A36" s="257">
        <v>223</v>
      </c>
      <c r="B36" s="255" t="s">
        <v>19</v>
      </c>
      <c r="C36" s="255" t="s">
        <v>543</v>
      </c>
      <c r="D36" s="127">
        <v>0.33</v>
      </c>
      <c r="E36" s="127">
        <v>0.33</v>
      </c>
      <c r="F36" s="127">
        <f t="shared" si="1"/>
        <v>0.33</v>
      </c>
    </row>
    <row r="37" spans="1:6">
      <c r="A37" s="257">
        <v>224</v>
      </c>
      <c r="B37" s="255" t="s">
        <v>19</v>
      </c>
      <c r="C37" s="255" t="s">
        <v>544</v>
      </c>
      <c r="D37" s="127">
        <v>0.316</v>
      </c>
      <c r="E37" s="127">
        <v>0.32</v>
      </c>
      <c r="F37" s="127">
        <f t="shared" si="1"/>
        <v>0.316</v>
      </c>
    </row>
    <row r="38" spans="1:6">
      <c r="A38" s="257">
        <v>225</v>
      </c>
      <c r="B38" s="255" t="s">
        <v>20</v>
      </c>
      <c r="C38" s="255" t="s">
        <v>545</v>
      </c>
      <c r="D38" s="127">
        <v>0.33</v>
      </c>
      <c r="E38" s="127">
        <v>0.33</v>
      </c>
      <c r="F38" s="127">
        <f t="shared" si="1"/>
        <v>0.33</v>
      </c>
    </row>
    <row r="39" spans="1:6">
      <c r="A39" s="257">
        <v>226</v>
      </c>
      <c r="B39" s="255" t="s">
        <v>20</v>
      </c>
      <c r="C39" s="255" t="s">
        <v>546</v>
      </c>
      <c r="D39" s="127">
        <v>0.33</v>
      </c>
      <c r="E39" s="127">
        <v>0.33</v>
      </c>
      <c r="F39" s="127">
        <f t="shared" si="1"/>
        <v>0.33</v>
      </c>
    </row>
    <row r="40" spans="1:6">
      <c r="A40" s="257">
        <v>227</v>
      </c>
      <c r="B40" s="255" t="s">
        <v>21</v>
      </c>
      <c r="C40" s="255" t="s">
        <v>547</v>
      </c>
      <c r="D40" s="127">
        <v>0.316</v>
      </c>
      <c r="E40" s="127">
        <v>0.32</v>
      </c>
      <c r="F40" s="127">
        <f t="shared" si="1"/>
        <v>0.316</v>
      </c>
    </row>
    <row r="41" spans="1:6">
      <c r="A41" s="257">
        <v>229</v>
      </c>
      <c r="B41" s="255" t="s">
        <v>22</v>
      </c>
      <c r="C41" s="255" t="s">
        <v>548</v>
      </c>
      <c r="D41" s="127">
        <v>0.33</v>
      </c>
      <c r="E41" s="127">
        <v>0.33</v>
      </c>
      <c r="F41" s="127">
        <f t="shared" si="1"/>
        <v>0.33</v>
      </c>
    </row>
    <row r="42" spans="1:6">
      <c r="A42" s="257">
        <v>230</v>
      </c>
      <c r="B42" s="255" t="s">
        <v>22</v>
      </c>
      <c r="C42" s="255" t="s">
        <v>549</v>
      </c>
      <c r="D42" s="127">
        <v>0.33</v>
      </c>
      <c r="E42" s="127">
        <v>0.33</v>
      </c>
      <c r="F42" s="127">
        <f t="shared" si="1"/>
        <v>0.33</v>
      </c>
    </row>
    <row r="43" spans="1:6">
      <c r="A43" s="257">
        <v>231</v>
      </c>
      <c r="B43" s="255" t="s">
        <v>22</v>
      </c>
      <c r="C43" s="255" t="s">
        <v>550</v>
      </c>
      <c r="D43" s="127">
        <v>0.33</v>
      </c>
      <c r="E43" s="127">
        <v>0.33</v>
      </c>
      <c r="F43" s="127">
        <f t="shared" si="1"/>
        <v>0.33</v>
      </c>
    </row>
    <row r="44" spans="1:6">
      <c r="A44" s="257">
        <v>232</v>
      </c>
      <c r="B44" s="255" t="s">
        <v>22</v>
      </c>
      <c r="C44" s="255" t="s">
        <v>551</v>
      </c>
      <c r="D44" s="127">
        <v>0.33</v>
      </c>
      <c r="E44" s="127">
        <v>0.33</v>
      </c>
      <c r="F44" s="127">
        <f t="shared" si="1"/>
        <v>0.33</v>
      </c>
    </row>
    <row r="45" spans="1:6">
      <c r="A45" s="257">
        <v>233</v>
      </c>
      <c r="B45" s="255" t="s">
        <v>22</v>
      </c>
      <c r="C45" s="255" t="s">
        <v>552</v>
      </c>
      <c r="D45" s="127">
        <v>0.33</v>
      </c>
      <c r="E45" s="127">
        <v>0.33</v>
      </c>
      <c r="F45" s="127">
        <f t="shared" si="1"/>
        <v>0.33</v>
      </c>
    </row>
    <row r="46" spans="1:6">
      <c r="A46" s="257">
        <v>234</v>
      </c>
      <c r="B46" s="255" t="s">
        <v>23</v>
      </c>
      <c r="C46" s="255" t="s">
        <v>553</v>
      </c>
      <c r="D46" s="127">
        <v>0.316</v>
      </c>
      <c r="E46" s="127">
        <v>0.32</v>
      </c>
      <c r="F46" s="127">
        <f t="shared" si="1"/>
        <v>0.316</v>
      </c>
    </row>
    <row r="47" spans="1:6">
      <c r="A47" s="257">
        <v>235</v>
      </c>
      <c r="B47" s="255" t="s">
        <v>23</v>
      </c>
      <c r="C47" s="255" t="s">
        <v>554</v>
      </c>
      <c r="D47" s="127">
        <v>0.316</v>
      </c>
      <c r="E47" s="127">
        <v>0.32</v>
      </c>
      <c r="F47" s="127">
        <f t="shared" si="1"/>
        <v>0.316</v>
      </c>
    </row>
    <row r="48" spans="1:6">
      <c r="A48" s="257">
        <v>237</v>
      </c>
      <c r="B48" s="255" t="s">
        <v>24</v>
      </c>
      <c r="C48" s="255" t="s">
        <v>555</v>
      </c>
      <c r="D48" s="127">
        <v>0.33</v>
      </c>
      <c r="E48" s="127">
        <v>0.33</v>
      </c>
      <c r="F48" s="127">
        <f t="shared" si="1"/>
        <v>0.33</v>
      </c>
    </row>
    <row r="49" spans="1:6">
      <c r="A49" s="257">
        <v>239</v>
      </c>
      <c r="B49" s="255" t="s">
        <v>25</v>
      </c>
      <c r="C49" s="255" t="s">
        <v>556</v>
      </c>
      <c r="D49" s="127">
        <v>0.33</v>
      </c>
      <c r="E49" s="127">
        <v>0.33</v>
      </c>
      <c r="F49" s="127">
        <f t="shared" si="1"/>
        <v>0.33</v>
      </c>
    </row>
    <row r="50" spans="1:6">
      <c r="A50" s="257">
        <v>240</v>
      </c>
      <c r="B50" s="255" t="s">
        <v>25</v>
      </c>
      <c r="C50" s="255" t="s">
        <v>557</v>
      </c>
      <c r="D50" s="127">
        <v>0.33</v>
      </c>
      <c r="E50" s="127">
        <v>0.33</v>
      </c>
      <c r="F50" s="127">
        <f t="shared" si="1"/>
        <v>0.33</v>
      </c>
    </row>
    <row r="51" spans="1:6">
      <c r="A51" s="257">
        <v>241</v>
      </c>
      <c r="B51" s="255" t="s">
        <v>26</v>
      </c>
      <c r="C51" s="255" t="s">
        <v>558</v>
      </c>
      <c r="D51" s="127">
        <v>0.316</v>
      </c>
      <c r="E51" s="127">
        <v>0.33</v>
      </c>
      <c r="F51" s="127">
        <f t="shared" si="1"/>
        <v>0.316</v>
      </c>
    </row>
    <row r="52" spans="1:6">
      <c r="A52" s="257">
        <v>242</v>
      </c>
      <c r="B52" s="255" t="s">
        <v>26</v>
      </c>
      <c r="C52" s="255" t="s">
        <v>559</v>
      </c>
      <c r="D52" s="127">
        <v>0.33</v>
      </c>
      <c r="E52" s="127">
        <v>0.33</v>
      </c>
      <c r="F52" s="127">
        <f t="shared" si="1"/>
        <v>0.33</v>
      </c>
    </row>
    <row r="53" spans="1:6">
      <c r="A53" s="257">
        <v>243</v>
      </c>
      <c r="B53" s="255" t="s">
        <v>27</v>
      </c>
      <c r="C53" s="255" t="s">
        <v>560</v>
      </c>
      <c r="D53" s="127">
        <v>0.316</v>
      </c>
      <c r="E53" s="127">
        <v>0.33</v>
      </c>
      <c r="F53" s="127">
        <f t="shared" si="1"/>
        <v>0.316</v>
      </c>
    </row>
    <row r="54" spans="1:6">
      <c r="A54" s="257">
        <v>244</v>
      </c>
      <c r="B54" s="255" t="s">
        <v>27</v>
      </c>
      <c r="C54" s="255" t="s">
        <v>561</v>
      </c>
      <c r="D54" s="127">
        <v>0.316</v>
      </c>
      <c r="E54" s="127">
        <v>0.32</v>
      </c>
      <c r="F54" s="127">
        <f t="shared" si="1"/>
        <v>0.316</v>
      </c>
    </row>
    <row r="55" spans="1:6">
      <c r="A55" s="257">
        <v>245</v>
      </c>
      <c r="B55" s="255" t="s">
        <v>27</v>
      </c>
      <c r="C55" s="255" t="s">
        <v>562</v>
      </c>
      <c r="D55" s="127">
        <v>0.316</v>
      </c>
      <c r="E55" s="127">
        <v>0.33</v>
      </c>
      <c r="F55" s="127">
        <f t="shared" si="1"/>
        <v>0.316</v>
      </c>
    </row>
    <row r="56" spans="1:6">
      <c r="A56" s="257">
        <v>246</v>
      </c>
      <c r="B56" s="255" t="s">
        <v>28</v>
      </c>
      <c r="C56" s="255" t="s">
        <v>563</v>
      </c>
      <c r="D56" s="127">
        <v>0.33</v>
      </c>
      <c r="E56" s="127">
        <v>0.33</v>
      </c>
      <c r="F56" s="127">
        <f t="shared" si="1"/>
        <v>0.33</v>
      </c>
    </row>
    <row r="57" spans="1:6">
      <c r="A57" s="257">
        <v>247</v>
      </c>
      <c r="B57" s="255" t="s">
        <v>28</v>
      </c>
      <c r="C57" s="255" t="s">
        <v>564</v>
      </c>
      <c r="D57" s="127">
        <v>0.33</v>
      </c>
      <c r="E57" s="127">
        <v>0.33</v>
      </c>
      <c r="F57" s="127">
        <f t="shared" si="1"/>
        <v>0.33</v>
      </c>
    </row>
    <row r="58" spans="1:6">
      <c r="A58" s="257">
        <v>248</v>
      </c>
      <c r="B58" s="255" t="s">
        <v>28</v>
      </c>
      <c r="C58" s="255" t="s">
        <v>565</v>
      </c>
      <c r="D58" s="127">
        <v>0.316</v>
      </c>
      <c r="E58" s="127">
        <v>0.33</v>
      </c>
      <c r="F58" s="127">
        <f t="shared" si="1"/>
        <v>0.316</v>
      </c>
    </row>
    <row r="59" spans="1:6">
      <c r="A59" s="257">
        <v>249</v>
      </c>
      <c r="B59" s="255" t="s">
        <v>28</v>
      </c>
      <c r="C59" s="255" t="s">
        <v>566</v>
      </c>
      <c r="D59" s="127">
        <v>0.33</v>
      </c>
      <c r="E59" s="127">
        <v>0.33</v>
      </c>
      <c r="F59" s="127">
        <f t="shared" si="1"/>
        <v>0.33</v>
      </c>
    </row>
    <row r="60" spans="1:6">
      <c r="A60" s="257">
        <v>250</v>
      </c>
      <c r="B60" s="255" t="s">
        <v>28</v>
      </c>
      <c r="C60" s="255" t="s">
        <v>567</v>
      </c>
      <c r="D60" s="127">
        <v>0.316</v>
      </c>
      <c r="E60" s="127">
        <v>0.32</v>
      </c>
      <c r="F60" s="127">
        <f t="shared" si="1"/>
        <v>0.316</v>
      </c>
    </row>
    <row r="61" spans="1:6">
      <c r="A61" s="257">
        <v>251</v>
      </c>
      <c r="B61" s="255" t="s">
        <v>30</v>
      </c>
      <c r="C61" s="255" t="s">
        <v>568</v>
      </c>
      <c r="D61" s="127">
        <v>0.33</v>
      </c>
      <c r="E61" s="127">
        <v>0.33</v>
      </c>
      <c r="F61" s="127">
        <f t="shared" si="1"/>
        <v>0.33</v>
      </c>
    </row>
    <row r="62" spans="1:6">
      <c r="A62" s="257">
        <v>252</v>
      </c>
      <c r="B62" s="255" t="s">
        <v>30</v>
      </c>
      <c r="C62" s="255" t="s">
        <v>569</v>
      </c>
      <c r="D62" s="127">
        <v>0.33</v>
      </c>
      <c r="E62" s="127">
        <v>0.33</v>
      </c>
      <c r="F62" s="127">
        <f t="shared" si="1"/>
        <v>0.33</v>
      </c>
    </row>
    <row r="63" spans="1:6">
      <c r="A63" s="257">
        <v>253</v>
      </c>
      <c r="B63" s="255" t="s">
        <v>30</v>
      </c>
      <c r="C63" s="255" t="s">
        <v>570</v>
      </c>
      <c r="D63" s="127">
        <v>0.33</v>
      </c>
      <c r="E63" s="127">
        <v>0.33</v>
      </c>
      <c r="F63" s="127">
        <f t="shared" si="1"/>
        <v>0.33</v>
      </c>
    </row>
    <row r="64" spans="1:6">
      <c r="A64" s="257">
        <v>254</v>
      </c>
      <c r="B64" s="255" t="s">
        <v>31</v>
      </c>
      <c r="C64" s="255" t="s">
        <v>571</v>
      </c>
      <c r="D64" s="127">
        <v>0.33</v>
      </c>
      <c r="E64" s="127">
        <v>0.33</v>
      </c>
      <c r="F64" s="127">
        <f t="shared" si="1"/>
        <v>0.33</v>
      </c>
    </row>
    <row r="65" spans="1:6">
      <c r="A65" s="257">
        <v>255</v>
      </c>
      <c r="B65" s="255" t="s">
        <v>31</v>
      </c>
      <c r="C65" s="255" t="s">
        <v>572</v>
      </c>
      <c r="D65" s="127">
        <v>0.316</v>
      </c>
      <c r="E65" s="127">
        <v>0.32</v>
      </c>
      <c r="F65" s="127">
        <f t="shared" si="1"/>
        <v>0.316</v>
      </c>
    </row>
    <row r="66" spans="1:6">
      <c r="A66" s="257">
        <v>256</v>
      </c>
      <c r="B66" s="255" t="s">
        <v>32</v>
      </c>
      <c r="C66" s="255" t="s">
        <v>573</v>
      </c>
      <c r="D66" s="127">
        <v>0.33</v>
      </c>
      <c r="E66" s="127">
        <v>0.33</v>
      </c>
      <c r="F66" s="127">
        <f t="shared" si="1"/>
        <v>0.33</v>
      </c>
    </row>
    <row r="67" spans="1:6">
      <c r="A67" s="257">
        <v>257</v>
      </c>
      <c r="B67" s="255" t="s">
        <v>32</v>
      </c>
      <c r="C67" s="255" t="s">
        <v>574</v>
      </c>
      <c r="D67" s="127">
        <v>0.33</v>
      </c>
      <c r="E67" s="127">
        <v>0.33</v>
      </c>
      <c r="F67" s="127">
        <f t="shared" si="1"/>
        <v>0.33</v>
      </c>
    </row>
    <row r="68" spans="1:6">
      <c r="A68" s="257">
        <v>258</v>
      </c>
      <c r="B68" s="255" t="s">
        <v>32</v>
      </c>
      <c r="C68" s="255" t="s">
        <v>575</v>
      </c>
      <c r="D68" s="127">
        <v>0.33</v>
      </c>
      <c r="E68" s="127">
        <v>0.33</v>
      </c>
      <c r="F68" s="127">
        <f t="shared" ref="F68:F131" si="2">MIN(D68:E68)</f>
        <v>0.33</v>
      </c>
    </row>
    <row r="69" spans="1:6">
      <c r="A69" s="257">
        <v>259</v>
      </c>
      <c r="B69" s="255" t="s">
        <v>33</v>
      </c>
      <c r="C69" s="255" t="s">
        <v>576</v>
      </c>
      <c r="D69" s="127">
        <v>0.33</v>
      </c>
      <c r="E69" s="127">
        <v>0.33</v>
      </c>
      <c r="F69" s="127">
        <f t="shared" si="2"/>
        <v>0.33</v>
      </c>
    </row>
    <row r="70" spans="1:6">
      <c r="A70" s="257">
        <v>260</v>
      </c>
      <c r="B70" s="255" t="s">
        <v>33</v>
      </c>
      <c r="C70" s="255" t="s">
        <v>577</v>
      </c>
      <c r="D70" s="127">
        <v>0.316</v>
      </c>
      <c r="E70" s="127">
        <v>0.32</v>
      </c>
      <c r="F70" s="127">
        <f t="shared" si="2"/>
        <v>0.316</v>
      </c>
    </row>
    <row r="71" spans="1:6">
      <c r="A71" s="257">
        <v>261</v>
      </c>
      <c r="B71" s="255" t="s">
        <v>33</v>
      </c>
      <c r="C71" s="255" t="s">
        <v>578</v>
      </c>
      <c r="D71" s="127">
        <v>0.33</v>
      </c>
      <c r="E71" s="127">
        <v>0.33</v>
      </c>
      <c r="F71" s="127">
        <f t="shared" si="2"/>
        <v>0.33</v>
      </c>
    </row>
    <row r="72" spans="1:6">
      <c r="A72" s="257">
        <v>262</v>
      </c>
      <c r="B72" s="255" t="s">
        <v>33</v>
      </c>
      <c r="C72" s="255" t="s">
        <v>579</v>
      </c>
      <c r="D72" s="127">
        <v>0.33</v>
      </c>
      <c r="E72" s="127">
        <v>0.33</v>
      </c>
      <c r="F72" s="127">
        <f t="shared" si="2"/>
        <v>0.33</v>
      </c>
    </row>
    <row r="73" spans="1:6">
      <c r="A73" s="257">
        <v>263</v>
      </c>
      <c r="B73" s="255" t="s">
        <v>33</v>
      </c>
      <c r="C73" s="255" t="s">
        <v>580</v>
      </c>
      <c r="D73" s="127">
        <v>0.33</v>
      </c>
      <c r="E73" s="127">
        <v>0.33</v>
      </c>
      <c r="F73" s="127">
        <f t="shared" si="2"/>
        <v>0.33</v>
      </c>
    </row>
    <row r="74" spans="1:6">
      <c r="A74" s="257">
        <v>264</v>
      </c>
      <c r="B74" s="255" t="s">
        <v>33</v>
      </c>
      <c r="C74" s="255" t="s">
        <v>581</v>
      </c>
      <c r="D74" s="127">
        <v>0.33</v>
      </c>
      <c r="E74" s="127">
        <v>0.33</v>
      </c>
      <c r="F74" s="127">
        <f t="shared" si="2"/>
        <v>0.33</v>
      </c>
    </row>
    <row r="75" spans="1:6">
      <c r="A75" s="257">
        <v>265</v>
      </c>
      <c r="B75" s="255" t="s">
        <v>33</v>
      </c>
      <c r="C75" s="255" t="s">
        <v>582</v>
      </c>
      <c r="D75" s="127">
        <v>0.33</v>
      </c>
      <c r="E75" s="127">
        <v>0.33</v>
      </c>
      <c r="F75" s="127">
        <f t="shared" si="2"/>
        <v>0.33</v>
      </c>
    </row>
    <row r="76" spans="1:6">
      <c r="A76" s="257">
        <v>266</v>
      </c>
      <c r="B76" s="255" t="s">
        <v>33</v>
      </c>
      <c r="C76" s="255" t="s">
        <v>583</v>
      </c>
      <c r="D76" s="127">
        <v>0.33</v>
      </c>
      <c r="E76" s="127">
        <v>0.33</v>
      </c>
      <c r="F76" s="127">
        <f t="shared" si="2"/>
        <v>0.33</v>
      </c>
    </row>
    <row r="77" spans="1:6">
      <c r="A77" s="257">
        <v>267</v>
      </c>
      <c r="B77" s="255" t="s">
        <v>33</v>
      </c>
      <c r="C77" s="255" t="s">
        <v>584</v>
      </c>
      <c r="D77" s="127">
        <v>0.33</v>
      </c>
      <c r="E77" s="127">
        <v>0.33</v>
      </c>
      <c r="F77" s="127">
        <f t="shared" si="2"/>
        <v>0.33</v>
      </c>
    </row>
    <row r="78" spans="1:6">
      <c r="A78" s="257">
        <v>268</v>
      </c>
      <c r="B78" s="255" t="s">
        <v>33</v>
      </c>
      <c r="C78" s="255" t="s">
        <v>585</v>
      </c>
      <c r="D78" s="127">
        <v>0.33</v>
      </c>
      <c r="E78" s="127">
        <v>0.33</v>
      </c>
      <c r="F78" s="127">
        <f t="shared" si="2"/>
        <v>0.33</v>
      </c>
    </row>
    <row r="79" spans="1:6">
      <c r="A79" s="257">
        <v>269</v>
      </c>
      <c r="B79" s="255" t="s">
        <v>35</v>
      </c>
      <c r="C79" s="255" t="s">
        <v>586</v>
      </c>
      <c r="D79" s="127">
        <v>0.33</v>
      </c>
      <c r="E79" s="127">
        <v>0.33</v>
      </c>
      <c r="F79" s="127">
        <f t="shared" si="2"/>
        <v>0.33</v>
      </c>
    </row>
    <row r="80" spans="1:6">
      <c r="A80" s="257">
        <v>270</v>
      </c>
      <c r="B80" s="255" t="s">
        <v>35</v>
      </c>
      <c r="C80" s="255" t="s">
        <v>587</v>
      </c>
      <c r="D80" s="127">
        <v>0.33</v>
      </c>
      <c r="E80" s="127">
        <v>0.33</v>
      </c>
      <c r="F80" s="127">
        <f t="shared" si="2"/>
        <v>0.33</v>
      </c>
    </row>
    <row r="81" spans="1:6">
      <c r="A81" s="257">
        <v>271</v>
      </c>
      <c r="B81" s="255" t="s">
        <v>35</v>
      </c>
      <c r="C81" s="255" t="s">
        <v>588</v>
      </c>
      <c r="D81" s="127">
        <v>0.33</v>
      </c>
      <c r="E81" s="127">
        <v>0.33</v>
      </c>
      <c r="F81" s="127">
        <f t="shared" si="2"/>
        <v>0.33</v>
      </c>
    </row>
    <row r="82" spans="1:6">
      <c r="A82" s="257">
        <v>272</v>
      </c>
      <c r="B82" s="255" t="s">
        <v>36</v>
      </c>
      <c r="C82" s="255" t="s">
        <v>589</v>
      </c>
      <c r="D82" s="127">
        <v>0.33</v>
      </c>
      <c r="E82" s="127">
        <v>0.33</v>
      </c>
      <c r="F82" s="127">
        <f t="shared" si="2"/>
        <v>0.33</v>
      </c>
    </row>
    <row r="83" spans="1:6">
      <c r="A83" s="257">
        <v>273</v>
      </c>
      <c r="B83" s="255" t="s">
        <v>36</v>
      </c>
      <c r="C83" s="255" t="s">
        <v>590</v>
      </c>
      <c r="D83" s="127">
        <v>0.33</v>
      </c>
      <c r="E83" s="127">
        <v>0.33</v>
      </c>
      <c r="F83" s="127">
        <f t="shared" si="2"/>
        <v>0.33</v>
      </c>
    </row>
    <row r="84" spans="1:6">
      <c r="A84" s="257">
        <v>274</v>
      </c>
      <c r="B84" s="255" t="s">
        <v>37</v>
      </c>
      <c r="C84" s="255" t="s">
        <v>591</v>
      </c>
      <c r="D84" s="127">
        <v>0.33</v>
      </c>
      <c r="E84" s="127">
        <v>0.33</v>
      </c>
      <c r="F84" s="127">
        <f t="shared" si="2"/>
        <v>0.33</v>
      </c>
    </row>
    <row r="85" spans="1:6">
      <c r="A85" s="257">
        <v>275</v>
      </c>
      <c r="B85" s="255" t="s">
        <v>37</v>
      </c>
      <c r="C85" s="255" t="s">
        <v>592</v>
      </c>
      <c r="D85" s="127">
        <v>0.33</v>
      </c>
      <c r="E85" s="127">
        <v>0.33</v>
      </c>
      <c r="F85" s="127">
        <f t="shared" si="2"/>
        <v>0.33</v>
      </c>
    </row>
    <row r="86" spans="1:6">
      <c r="A86" s="257">
        <v>281</v>
      </c>
      <c r="B86" s="255" t="s">
        <v>38</v>
      </c>
      <c r="C86" s="255" t="s">
        <v>593</v>
      </c>
      <c r="D86" s="127">
        <v>0.31</v>
      </c>
      <c r="E86" s="127">
        <v>0.31</v>
      </c>
      <c r="F86" s="127">
        <f t="shared" si="2"/>
        <v>0.31</v>
      </c>
    </row>
    <row r="87" spans="1:6">
      <c r="A87" s="257">
        <v>282</v>
      </c>
      <c r="B87" s="255" t="s">
        <v>39</v>
      </c>
      <c r="C87" s="255" t="s">
        <v>594</v>
      </c>
      <c r="D87" s="127">
        <v>0.316</v>
      </c>
      <c r="E87" s="127">
        <v>0.32</v>
      </c>
      <c r="F87" s="127">
        <f t="shared" si="2"/>
        <v>0.316</v>
      </c>
    </row>
    <row r="88" spans="1:6">
      <c r="A88" s="257">
        <v>283</v>
      </c>
      <c r="B88" s="255" t="s">
        <v>39</v>
      </c>
      <c r="C88" s="255" t="s">
        <v>595</v>
      </c>
      <c r="D88" s="127">
        <v>0.316</v>
      </c>
      <c r="E88" s="127">
        <v>0.32</v>
      </c>
      <c r="F88" s="127">
        <f t="shared" si="2"/>
        <v>0.316</v>
      </c>
    </row>
    <row r="89" spans="1:6">
      <c r="A89" s="257">
        <v>284</v>
      </c>
      <c r="B89" s="255" t="s">
        <v>40</v>
      </c>
      <c r="C89" s="255" t="s">
        <v>596</v>
      </c>
      <c r="D89" s="127">
        <v>0.316</v>
      </c>
      <c r="E89" s="127">
        <v>0.32</v>
      </c>
      <c r="F89" s="127">
        <f t="shared" si="2"/>
        <v>0.316</v>
      </c>
    </row>
    <row r="90" spans="1:6">
      <c r="A90" s="257">
        <v>285</v>
      </c>
      <c r="B90" s="255" t="s">
        <v>41</v>
      </c>
      <c r="C90" s="255" t="s">
        <v>597</v>
      </c>
      <c r="D90" s="127">
        <v>0.316</v>
      </c>
      <c r="E90" s="127">
        <v>0.32</v>
      </c>
      <c r="F90" s="127">
        <f t="shared" si="2"/>
        <v>0.316</v>
      </c>
    </row>
    <row r="91" spans="1:6">
      <c r="A91" s="257">
        <v>286</v>
      </c>
      <c r="B91" s="255" t="s">
        <v>41</v>
      </c>
      <c r="C91" s="255" t="s">
        <v>598</v>
      </c>
      <c r="D91" s="127">
        <v>0.316</v>
      </c>
      <c r="E91" s="127">
        <v>0.32</v>
      </c>
      <c r="F91" s="127">
        <f t="shared" si="2"/>
        <v>0.316</v>
      </c>
    </row>
    <row r="92" spans="1:6">
      <c r="A92" s="257">
        <v>287</v>
      </c>
      <c r="B92" s="255" t="s">
        <v>42</v>
      </c>
      <c r="C92" s="255" t="s">
        <v>599</v>
      </c>
      <c r="D92" s="127">
        <v>0.316</v>
      </c>
      <c r="E92" s="127">
        <v>0.33</v>
      </c>
      <c r="F92" s="127">
        <f t="shared" si="2"/>
        <v>0.316</v>
      </c>
    </row>
    <row r="93" spans="1:6">
      <c r="A93" s="257">
        <v>288</v>
      </c>
      <c r="B93" s="255" t="s">
        <v>42</v>
      </c>
      <c r="C93" s="255" t="s">
        <v>600</v>
      </c>
      <c r="D93" s="127">
        <v>0.33</v>
      </c>
      <c r="E93" s="127">
        <v>0.33</v>
      </c>
      <c r="F93" s="127">
        <f t="shared" si="2"/>
        <v>0.33</v>
      </c>
    </row>
    <row r="94" spans="1:6">
      <c r="A94" s="257">
        <v>289</v>
      </c>
      <c r="B94" s="255" t="s">
        <v>42</v>
      </c>
      <c r="C94" s="255" t="s">
        <v>601</v>
      </c>
      <c r="D94" s="127">
        <v>0.316</v>
      </c>
      <c r="E94" s="127">
        <v>0.33</v>
      </c>
      <c r="F94" s="127">
        <f t="shared" si="2"/>
        <v>0.316</v>
      </c>
    </row>
    <row r="95" spans="1:6">
      <c r="A95" s="257">
        <v>290</v>
      </c>
      <c r="B95" s="255" t="s">
        <v>42</v>
      </c>
      <c r="C95" s="255" t="s">
        <v>602</v>
      </c>
      <c r="D95" s="127">
        <v>0.33</v>
      </c>
      <c r="E95" s="127">
        <v>0.33</v>
      </c>
      <c r="F95" s="127">
        <f t="shared" si="2"/>
        <v>0.33</v>
      </c>
    </row>
    <row r="96" spans="1:6">
      <c r="A96" s="257">
        <v>291</v>
      </c>
      <c r="B96" s="255" t="s">
        <v>43</v>
      </c>
      <c r="C96" s="255" t="s">
        <v>603</v>
      </c>
      <c r="D96" s="127">
        <v>0.31</v>
      </c>
      <c r="E96" s="127">
        <v>0.31</v>
      </c>
      <c r="F96" s="127">
        <f t="shared" si="2"/>
        <v>0.31</v>
      </c>
    </row>
    <row r="97" spans="1:6">
      <c r="A97" s="257">
        <v>292</v>
      </c>
      <c r="B97" s="255" t="s">
        <v>43</v>
      </c>
      <c r="C97" s="255" t="s">
        <v>604</v>
      </c>
      <c r="D97" s="127">
        <v>0.33</v>
      </c>
      <c r="E97" s="127">
        <v>0.33</v>
      </c>
      <c r="F97" s="127">
        <f t="shared" si="2"/>
        <v>0.33</v>
      </c>
    </row>
    <row r="98" spans="1:6">
      <c r="A98" s="257">
        <v>293</v>
      </c>
      <c r="B98" s="255" t="s">
        <v>43</v>
      </c>
      <c r="C98" s="255" t="s">
        <v>605</v>
      </c>
      <c r="D98" s="127">
        <v>0.33</v>
      </c>
      <c r="E98" s="127">
        <v>0.33</v>
      </c>
      <c r="F98" s="127">
        <f t="shared" si="2"/>
        <v>0.33</v>
      </c>
    </row>
    <row r="99" spans="1:6">
      <c r="A99" s="257">
        <v>294</v>
      </c>
      <c r="B99" s="255" t="s">
        <v>44</v>
      </c>
      <c r="C99" s="255" t="s">
        <v>606</v>
      </c>
      <c r="D99" s="127">
        <v>0.316</v>
      </c>
      <c r="E99" s="127">
        <v>0.33</v>
      </c>
      <c r="F99" s="127">
        <f t="shared" si="2"/>
        <v>0.316</v>
      </c>
    </row>
    <row r="100" spans="1:6">
      <c r="A100" s="257">
        <v>297</v>
      </c>
      <c r="B100" s="255" t="s">
        <v>6</v>
      </c>
      <c r="C100" s="255" t="s">
        <v>607</v>
      </c>
      <c r="D100" s="127">
        <v>0.31</v>
      </c>
      <c r="E100" s="127">
        <v>0.31</v>
      </c>
      <c r="F100" s="127">
        <f t="shared" si="2"/>
        <v>0.31</v>
      </c>
    </row>
    <row r="101" spans="1:6">
      <c r="A101" s="257">
        <v>298</v>
      </c>
      <c r="B101" s="255" t="s">
        <v>45</v>
      </c>
      <c r="C101" s="255" t="s">
        <v>608</v>
      </c>
      <c r="D101" s="127">
        <v>0.316</v>
      </c>
      <c r="E101" s="127">
        <v>0.32</v>
      </c>
      <c r="F101" s="127">
        <f t="shared" si="2"/>
        <v>0.316</v>
      </c>
    </row>
    <row r="102" spans="1:6">
      <c r="A102" s="257">
        <v>299</v>
      </c>
      <c r="B102" s="255" t="s">
        <v>45</v>
      </c>
      <c r="C102" s="255" t="s">
        <v>609</v>
      </c>
      <c r="D102" s="127">
        <v>0.316</v>
      </c>
      <c r="E102" s="127">
        <v>0.32</v>
      </c>
      <c r="F102" s="127">
        <f t="shared" si="2"/>
        <v>0.316</v>
      </c>
    </row>
    <row r="103" spans="1:6">
      <c r="A103" s="257">
        <v>300</v>
      </c>
      <c r="B103" s="255" t="s">
        <v>46</v>
      </c>
      <c r="C103" s="255" t="s">
        <v>610</v>
      </c>
      <c r="D103" s="127">
        <v>0.31</v>
      </c>
      <c r="E103" s="127">
        <v>0.31</v>
      </c>
      <c r="F103" s="127">
        <f t="shared" si="2"/>
        <v>0.31</v>
      </c>
    </row>
    <row r="104" spans="1:6">
      <c r="A104" s="257">
        <v>303</v>
      </c>
      <c r="B104" s="255" t="s">
        <v>47</v>
      </c>
      <c r="C104" s="255" t="s">
        <v>611</v>
      </c>
      <c r="D104" s="127">
        <v>0.316</v>
      </c>
      <c r="E104" s="127">
        <v>0.32</v>
      </c>
      <c r="F104" s="127">
        <f t="shared" si="2"/>
        <v>0.316</v>
      </c>
    </row>
    <row r="105" spans="1:6">
      <c r="A105" s="257">
        <v>305</v>
      </c>
      <c r="B105" s="255" t="s">
        <v>48</v>
      </c>
      <c r="C105" s="255" t="s">
        <v>612</v>
      </c>
      <c r="D105" s="127">
        <v>0.33</v>
      </c>
      <c r="E105" s="127">
        <v>0.33</v>
      </c>
      <c r="F105" s="127">
        <f t="shared" si="2"/>
        <v>0.33</v>
      </c>
    </row>
    <row r="106" spans="1:6">
      <c r="A106" s="257">
        <v>306</v>
      </c>
      <c r="B106" s="255" t="s">
        <v>48</v>
      </c>
      <c r="C106" s="255" t="s">
        <v>613</v>
      </c>
      <c r="D106" s="127">
        <v>0.31</v>
      </c>
      <c r="E106" s="127">
        <v>0.31</v>
      </c>
      <c r="F106" s="127">
        <f t="shared" si="2"/>
        <v>0.31</v>
      </c>
    </row>
    <row r="107" spans="1:6">
      <c r="A107" s="257">
        <v>307</v>
      </c>
      <c r="B107" s="255" t="s">
        <v>48</v>
      </c>
      <c r="C107" s="255" t="s">
        <v>614</v>
      </c>
      <c r="D107" s="127">
        <v>0.33</v>
      </c>
      <c r="E107" s="127">
        <v>0.33</v>
      </c>
      <c r="F107" s="127">
        <f t="shared" si="2"/>
        <v>0.33</v>
      </c>
    </row>
    <row r="108" spans="1:6">
      <c r="A108" s="257">
        <v>308</v>
      </c>
      <c r="B108" s="255" t="s">
        <v>49</v>
      </c>
      <c r="C108" s="255" t="s">
        <v>615</v>
      </c>
      <c r="D108" s="127">
        <v>0.316</v>
      </c>
      <c r="E108" s="127">
        <v>0.33</v>
      </c>
      <c r="F108" s="127">
        <f t="shared" si="2"/>
        <v>0.316</v>
      </c>
    </row>
    <row r="109" spans="1:6">
      <c r="A109" s="257">
        <v>309</v>
      </c>
      <c r="B109" s="255" t="s">
        <v>49</v>
      </c>
      <c r="C109" s="255" t="s">
        <v>616</v>
      </c>
      <c r="D109" s="127">
        <v>0.316</v>
      </c>
      <c r="E109" s="127">
        <v>0.33</v>
      </c>
      <c r="F109" s="127">
        <f t="shared" si="2"/>
        <v>0.316</v>
      </c>
    </row>
    <row r="110" spans="1:6">
      <c r="A110" s="257">
        <v>310</v>
      </c>
      <c r="B110" s="255" t="s">
        <v>49</v>
      </c>
      <c r="C110" s="255" t="s">
        <v>617</v>
      </c>
      <c r="D110" s="127">
        <v>0.316</v>
      </c>
      <c r="E110" s="127">
        <v>0.32</v>
      </c>
      <c r="F110" s="127">
        <f t="shared" si="2"/>
        <v>0.316</v>
      </c>
    </row>
    <row r="111" spans="1:6">
      <c r="A111" s="257">
        <v>311</v>
      </c>
      <c r="B111" s="255" t="s">
        <v>49</v>
      </c>
      <c r="C111" s="255" t="s">
        <v>618</v>
      </c>
      <c r="D111" s="127">
        <v>0.316</v>
      </c>
      <c r="E111" s="127">
        <v>0.32</v>
      </c>
      <c r="F111" s="127">
        <f t="shared" si="2"/>
        <v>0.316</v>
      </c>
    </row>
    <row r="112" spans="1:6">
      <c r="A112" s="257">
        <v>312</v>
      </c>
      <c r="B112" s="255" t="s">
        <v>49</v>
      </c>
      <c r="C112" s="255" t="s">
        <v>619</v>
      </c>
      <c r="D112" s="127">
        <v>0.316</v>
      </c>
      <c r="E112" s="127">
        <v>0.32</v>
      </c>
      <c r="F112" s="127">
        <f t="shared" si="2"/>
        <v>0.316</v>
      </c>
    </row>
    <row r="113" spans="1:6">
      <c r="A113" s="257">
        <v>313</v>
      </c>
      <c r="B113" s="255" t="s">
        <v>49</v>
      </c>
      <c r="C113" s="255" t="s">
        <v>620</v>
      </c>
      <c r="D113" s="127">
        <v>0.33</v>
      </c>
      <c r="E113" s="127">
        <v>0.33</v>
      </c>
      <c r="F113" s="127">
        <f t="shared" si="2"/>
        <v>0.33</v>
      </c>
    </row>
    <row r="114" spans="1:6">
      <c r="A114" s="257">
        <v>314</v>
      </c>
      <c r="B114" s="255" t="s">
        <v>50</v>
      </c>
      <c r="C114" s="255" t="s">
        <v>621</v>
      </c>
      <c r="D114" s="127">
        <v>0.33</v>
      </c>
      <c r="E114" s="127">
        <v>0.33</v>
      </c>
      <c r="F114" s="127">
        <f t="shared" si="2"/>
        <v>0.33</v>
      </c>
    </row>
    <row r="115" spans="1:6">
      <c r="A115" s="257">
        <v>315</v>
      </c>
      <c r="B115" s="255" t="s">
        <v>50</v>
      </c>
      <c r="C115" s="255" t="s">
        <v>622</v>
      </c>
      <c r="D115" s="127">
        <v>0.33</v>
      </c>
      <c r="E115" s="127">
        <v>0.33</v>
      </c>
      <c r="F115" s="127">
        <f t="shared" si="2"/>
        <v>0.33</v>
      </c>
    </row>
    <row r="116" spans="1:6">
      <c r="A116" s="257">
        <v>316</v>
      </c>
      <c r="B116" s="255" t="s">
        <v>50</v>
      </c>
      <c r="C116" s="255" t="s">
        <v>623</v>
      </c>
      <c r="D116" s="127">
        <v>0.316</v>
      </c>
      <c r="E116" s="127">
        <v>0.33</v>
      </c>
      <c r="F116" s="127">
        <f t="shared" si="2"/>
        <v>0.316</v>
      </c>
    </row>
    <row r="117" spans="1:6">
      <c r="A117" s="257">
        <v>320</v>
      </c>
      <c r="B117" s="255" t="s">
        <v>52</v>
      </c>
      <c r="C117" s="255" t="s">
        <v>624</v>
      </c>
      <c r="D117" s="127">
        <v>0.316</v>
      </c>
      <c r="E117" s="127">
        <v>0.33</v>
      </c>
      <c r="F117" s="127">
        <f t="shared" si="2"/>
        <v>0.316</v>
      </c>
    </row>
    <row r="118" spans="1:6">
      <c r="A118" s="257">
        <v>321</v>
      </c>
      <c r="B118" s="255" t="s">
        <v>52</v>
      </c>
      <c r="C118" s="255" t="s">
        <v>625</v>
      </c>
      <c r="D118" s="127">
        <v>0.33</v>
      </c>
      <c r="E118" s="127">
        <v>0.33</v>
      </c>
      <c r="F118" s="127">
        <f t="shared" si="2"/>
        <v>0.33</v>
      </c>
    </row>
    <row r="119" spans="1:6">
      <c r="A119" s="257">
        <v>322</v>
      </c>
      <c r="B119" s="255" t="s">
        <v>52</v>
      </c>
      <c r="C119" s="255" t="s">
        <v>626</v>
      </c>
      <c r="D119" s="127">
        <v>0.316</v>
      </c>
      <c r="E119" s="127">
        <v>0.33</v>
      </c>
      <c r="F119" s="127">
        <f t="shared" si="2"/>
        <v>0.316</v>
      </c>
    </row>
    <row r="120" spans="1:6">
      <c r="A120" s="257">
        <v>323</v>
      </c>
      <c r="B120" s="255" t="s">
        <v>52</v>
      </c>
      <c r="C120" s="255" t="s">
        <v>627</v>
      </c>
      <c r="D120" s="127">
        <v>0.316</v>
      </c>
      <c r="E120" s="127">
        <v>0.32</v>
      </c>
      <c r="F120" s="127">
        <f t="shared" si="2"/>
        <v>0.316</v>
      </c>
    </row>
    <row r="121" spans="1:6">
      <c r="A121" s="257">
        <v>325</v>
      </c>
      <c r="B121" s="255" t="s">
        <v>53</v>
      </c>
      <c r="C121" s="255" t="s">
        <v>628</v>
      </c>
      <c r="D121" s="127">
        <v>0.316</v>
      </c>
      <c r="E121" s="127">
        <v>0.32</v>
      </c>
      <c r="F121" s="127">
        <f t="shared" si="2"/>
        <v>0.316</v>
      </c>
    </row>
    <row r="122" spans="1:6">
      <c r="A122" s="257">
        <v>326</v>
      </c>
      <c r="B122" s="255" t="s">
        <v>53</v>
      </c>
      <c r="C122" s="255" t="s">
        <v>629</v>
      </c>
      <c r="D122" s="127">
        <v>0.316</v>
      </c>
      <c r="E122" s="127">
        <v>0.32</v>
      </c>
      <c r="F122" s="127">
        <f t="shared" si="2"/>
        <v>0.316</v>
      </c>
    </row>
    <row r="123" spans="1:6">
      <c r="A123" s="257">
        <v>327</v>
      </c>
      <c r="B123" s="255" t="s">
        <v>54</v>
      </c>
      <c r="C123" s="255" t="s">
        <v>630</v>
      </c>
      <c r="D123" s="127">
        <v>0.33</v>
      </c>
      <c r="E123" s="127">
        <v>0.33</v>
      </c>
      <c r="F123" s="127">
        <f t="shared" si="2"/>
        <v>0.33</v>
      </c>
    </row>
    <row r="124" spans="1:6">
      <c r="A124" s="257">
        <v>329</v>
      </c>
      <c r="B124" s="255" t="s">
        <v>55</v>
      </c>
      <c r="C124" s="255" t="s">
        <v>631</v>
      </c>
      <c r="D124" s="127">
        <v>0.33</v>
      </c>
      <c r="E124" s="127">
        <v>0.33</v>
      </c>
      <c r="F124" s="127">
        <f t="shared" si="2"/>
        <v>0.33</v>
      </c>
    </row>
    <row r="125" spans="1:6">
      <c r="A125" s="257">
        <v>330</v>
      </c>
      <c r="B125" s="255" t="s">
        <v>55</v>
      </c>
      <c r="C125" s="255" t="s">
        <v>632</v>
      </c>
      <c r="D125" s="127">
        <v>0.316</v>
      </c>
      <c r="E125" s="127">
        <v>0.33</v>
      </c>
      <c r="F125" s="127">
        <f t="shared" si="2"/>
        <v>0.316</v>
      </c>
    </row>
    <row r="126" spans="1:6">
      <c r="A126" s="257">
        <v>331</v>
      </c>
      <c r="B126" s="255" t="s">
        <v>56</v>
      </c>
      <c r="C126" s="255" t="s">
        <v>633</v>
      </c>
      <c r="D126" s="127">
        <v>0.33</v>
      </c>
      <c r="E126" s="127">
        <v>0.33</v>
      </c>
      <c r="F126" s="127">
        <f t="shared" si="2"/>
        <v>0.33</v>
      </c>
    </row>
    <row r="127" spans="1:6">
      <c r="A127" s="257">
        <v>332</v>
      </c>
      <c r="B127" s="255" t="s">
        <v>56</v>
      </c>
      <c r="C127" s="255" t="s">
        <v>634</v>
      </c>
      <c r="D127" s="127">
        <v>0.316</v>
      </c>
      <c r="E127" s="127">
        <v>0.32</v>
      </c>
      <c r="F127" s="127">
        <f t="shared" si="2"/>
        <v>0.316</v>
      </c>
    </row>
    <row r="128" spans="1:6">
      <c r="A128" s="257">
        <v>333</v>
      </c>
      <c r="B128" s="255" t="s">
        <v>57</v>
      </c>
      <c r="C128" s="255" t="s">
        <v>635</v>
      </c>
      <c r="D128" s="127">
        <v>0.33</v>
      </c>
      <c r="E128" s="127">
        <v>0.33</v>
      </c>
      <c r="F128" s="127">
        <f t="shared" si="2"/>
        <v>0.33</v>
      </c>
    </row>
    <row r="129" spans="1:6">
      <c r="A129" s="257">
        <v>334</v>
      </c>
      <c r="B129" s="255" t="s">
        <v>57</v>
      </c>
      <c r="C129" s="255" t="s">
        <v>636</v>
      </c>
      <c r="D129" s="127">
        <v>0.33</v>
      </c>
      <c r="E129" s="127">
        <v>0.33</v>
      </c>
      <c r="F129" s="127">
        <f t="shared" si="2"/>
        <v>0.33</v>
      </c>
    </row>
    <row r="130" spans="1:6">
      <c r="A130" s="257">
        <v>335</v>
      </c>
      <c r="B130" s="255" t="s">
        <v>58</v>
      </c>
      <c r="C130" s="255" t="s">
        <v>637</v>
      </c>
      <c r="D130" s="127">
        <v>0.316</v>
      </c>
      <c r="E130" s="127">
        <v>0.32</v>
      </c>
      <c r="F130" s="127">
        <f t="shared" si="2"/>
        <v>0.316</v>
      </c>
    </row>
    <row r="131" spans="1:6">
      <c r="A131" s="257">
        <v>336</v>
      </c>
      <c r="B131" s="255" t="s">
        <v>58</v>
      </c>
      <c r="C131" s="255" t="s">
        <v>638</v>
      </c>
      <c r="D131" s="127">
        <v>0.33</v>
      </c>
      <c r="E131" s="127">
        <v>0.33</v>
      </c>
      <c r="F131" s="127">
        <f t="shared" si="2"/>
        <v>0.33</v>
      </c>
    </row>
    <row r="132" spans="1:6">
      <c r="A132" s="257">
        <v>337</v>
      </c>
      <c r="B132" s="255" t="s">
        <v>58</v>
      </c>
      <c r="C132" s="255" t="s">
        <v>639</v>
      </c>
      <c r="D132" s="127">
        <v>0.316</v>
      </c>
      <c r="E132" s="127">
        <v>0.33</v>
      </c>
      <c r="F132" s="127">
        <f t="shared" ref="F132:F195" si="3">MIN(D132:E132)</f>
        <v>0.316</v>
      </c>
    </row>
    <row r="133" spans="1:6">
      <c r="A133" s="257">
        <v>338</v>
      </c>
      <c r="B133" s="255" t="s">
        <v>59</v>
      </c>
      <c r="C133" s="255" t="s">
        <v>640</v>
      </c>
      <c r="D133" s="127">
        <v>0.33</v>
      </c>
      <c r="E133" s="127">
        <v>0.33</v>
      </c>
      <c r="F133" s="127">
        <f t="shared" si="3"/>
        <v>0.33</v>
      </c>
    </row>
    <row r="134" spans="1:6">
      <c r="A134" s="257">
        <v>339</v>
      </c>
      <c r="B134" s="255" t="s">
        <v>59</v>
      </c>
      <c r="C134" s="255" t="s">
        <v>641</v>
      </c>
      <c r="D134" s="127">
        <v>0.33</v>
      </c>
      <c r="E134" s="127">
        <v>0.33</v>
      </c>
      <c r="F134" s="127">
        <f t="shared" si="3"/>
        <v>0.33</v>
      </c>
    </row>
    <row r="135" spans="1:6">
      <c r="A135" s="257">
        <v>340</v>
      </c>
      <c r="B135" s="255" t="s">
        <v>59</v>
      </c>
      <c r="C135" s="255" t="s">
        <v>642</v>
      </c>
      <c r="D135" s="127">
        <v>0.33</v>
      </c>
      <c r="E135" s="127">
        <v>0.33</v>
      </c>
      <c r="F135" s="127">
        <f t="shared" si="3"/>
        <v>0.33</v>
      </c>
    </row>
    <row r="136" spans="1:6">
      <c r="A136" s="257">
        <v>341</v>
      </c>
      <c r="B136" s="255" t="s">
        <v>59</v>
      </c>
      <c r="C136" s="255" t="s">
        <v>643</v>
      </c>
      <c r="D136" s="127">
        <v>0.33</v>
      </c>
      <c r="E136" s="127">
        <v>0.33</v>
      </c>
      <c r="F136" s="127">
        <f t="shared" si="3"/>
        <v>0.33</v>
      </c>
    </row>
    <row r="137" spans="1:6">
      <c r="A137" s="257">
        <v>342</v>
      </c>
      <c r="B137" s="255" t="s">
        <v>59</v>
      </c>
      <c r="C137" s="255" t="s">
        <v>644</v>
      </c>
      <c r="D137" s="127">
        <v>0.316</v>
      </c>
      <c r="E137" s="127">
        <v>0.33</v>
      </c>
      <c r="F137" s="127">
        <f t="shared" si="3"/>
        <v>0.316</v>
      </c>
    </row>
    <row r="138" spans="1:6">
      <c r="A138" s="257">
        <v>343</v>
      </c>
      <c r="B138" s="255" t="s">
        <v>59</v>
      </c>
      <c r="C138" s="255" t="s">
        <v>645</v>
      </c>
      <c r="D138" s="127">
        <v>0.33</v>
      </c>
      <c r="E138" s="127">
        <v>0.33</v>
      </c>
      <c r="F138" s="127">
        <f t="shared" si="3"/>
        <v>0.33</v>
      </c>
    </row>
    <row r="139" spans="1:6">
      <c r="A139" s="257">
        <v>344</v>
      </c>
      <c r="B139" s="255" t="s">
        <v>60</v>
      </c>
      <c r="C139" s="255" t="s">
        <v>646</v>
      </c>
      <c r="D139" s="127">
        <v>0.33</v>
      </c>
      <c r="E139" s="127">
        <v>0.33</v>
      </c>
      <c r="F139" s="127">
        <f t="shared" si="3"/>
        <v>0.33</v>
      </c>
    </row>
    <row r="140" spans="1:6">
      <c r="A140" s="257">
        <v>345</v>
      </c>
      <c r="B140" s="255" t="s">
        <v>61</v>
      </c>
      <c r="C140" s="255" t="s">
        <v>647</v>
      </c>
      <c r="D140" s="127">
        <v>0.33</v>
      </c>
      <c r="E140" s="127">
        <v>0.33</v>
      </c>
      <c r="F140" s="127">
        <f t="shared" si="3"/>
        <v>0.33</v>
      </c>
    </row>
    <row r="141" spans="1:6">
      <c r="A141" s="257">
        <v>346</v>
      </c>
      <c r="B141" s="255" t="s">
        <v>60</v>
      </c>
      <c r="C141" s="255" t="s">
        <v>648</v>
      </c>
      <c r="D141" s="127">
        <v>0.316</v>
      </c>
      <c r="E141" s="127">
        <v>0.32</v>
      </c>
      <c r="F141" s="127">
        <f t="shared" si="3"/>
        <v>0.316</v>
      </c>
    </row>
    <row r="142" spans="1:6">
      <c r="A142" s="257">
        <v>347</v>
      </c>
      <c r="B142" s="255" t="s">
        <v>62</v>
      </c>
      <c r="C142" s="255" t="s">
        <v>649</v>
      </c>
      <c r="D142" s="127">
        <v>0.33</v>
      </c>
      <c r="E142" s="127">
        <v>0.33</v>
      </c>
      <c r="F142" s="127">
        <f t="shared" si="3"/>
        <v>0.33</v>
      </c>
    </row>
    <row r="143" spans="1:6">
      <c r="A143" s="257">
        <v>348</v>
      </c>
      <c r="B143" s="255" t="s">
        <v>63</v>
      </c>
      <c r="C143" s="255" t="s">
        <v>650</v>
      </c>
      <c r="D143" s="127">
        <v>0.33</v>
      </c>
      <c r="E143" s="127">
        <v>0.33</v>
      </c>
      <c r="F143" s="127">
        <f t="shared" si="3"/>
        <v>0.33</v>
      </c>
    </row>
    <row r="144" spans="1:6">
      <c r="A144" s="257">
        <v>349</v>
      </c>
      <c r="B144" s="255" t="s">
        <v>64</v>
      </c>
      <c r="C144" s="255" t="s">
        <v>651</v>
      </c>
      <c r="D144" s="127">
        <v>0.316</v>
      </c>
      <c r="E144" s="127">
        <v>0.32</v>
      </c>
      <c r="F144" s="127">
        <f t="shared" si="3"/>
        <v>0.316</v>
      </c>
    </row>
    <row r="145" spans="1:6">
      <c r="A145" s="257">
        <v>350</v>
      </c>
      <c r="B145" s="255" t="s">
        <v>64</v>
      </c>
      <c r="C145" s="255" t="s">
        <v>652</v>
      </c>
      <c r="D145" s="127">
        <v>0.33</v>
      </c>
      <c r="E145" s="127">
        <v>0.33</v>
      </c>
      <c r="F145" s="127">
        <f t="shared" si="3"/>
        <v>0.33</v>
      </c>
    </row>
    <row r="146" spans="1:6">
      <c r="A146" s="257">
        <v>351</v>
      </c>
      <c r="B146" s="255" t="s">
        <v>64</v>
      </c>
      <c r="C146" s="255" t="s">
        <v>653</v>
      </c>
      <c r="D146" s="127">
        <v>0.33</v>
      </c>
      <c r="E146" s="127">
        <v>0.33</v>
      </c>
      <c r="F146" s="127">
        <f t="shared" si="3"/>
        <v>0.33</v>
      </c>
    </row>
    <row r="147" spans="1:6">
      <c r="A147" s="257">
        <v>352</v>
      </c>
      <c r="B147" s="255" t="s">
        <v>65</v>
      </c>
      <c r="C147" s="255" t="s">
        <v>654</v>
      </c>
      <c r="D147" s="127">
        <v>0.316</v>
      </c>
      <c r="E147" s="127">
        <v>0.32</v>
      </c>
      <c r="F147" s="127">
        <f t="shared" si="3"/>
        <v>0.316</v>
      </c>
    </row>
    <row r="148" spans="1:6">
      <c r="A148" s="257">
        <v>353</v>
      </c>
      <c r="B148" s="255" t="s">
        <v>66</v>
      </c>
      <c r="C148" s="255" t="s">
        <v>655</v>
      </c>
      <c r="D148" s="127">
        <v>0.316</v>
      </c>
      <c r="E148" s="127">
        <v>0.32</v>
      </c>
      <c r="F148" s="127">
        <f t="shared" si="3"/>
        <v>0.316</v>
      </c>
    </row>
    <row r="149" spans="1:6">
      <c r="A149" s="257">
        <v>355</v>
      </c>
      <c r="B149" s="255" t="s">
        <v>67</v>
      </c>
      <c r="C149" s="255" t="s">
        <v>656</v>
      </c>
      <c r="D149" s="127">
        <v>0.33</v>
      </c>
      <c r="E149" s="127">
        <v>0.33</v>
      </c>
      <c r="F149" s="127">
        <f t="shared" si="3"/>
        <v>0.33</v>
      </c>
    </row>
    <row r="150" spans="1:6">
      <c r="A150" s="257">
        <v>356</v>
      </c>
      <c r="B150" s="255" t="s">
        <v>66</v>
      </c>
      <c r="C150" s="255" t="s">
        <v>657</v>
      </c>
      <c r="D150" s="127">
        <v>0.316</v>
      </c>
      <c r="E150" s="127">
        <v>0.33</v>
      </c>
      <c r="F150" s="127">
        <f t="shared" si="3"/>
        <v>0.316</v>
      </c>
    </row>
    <row r="151" spans="1:6">
      <c r="A151" s="257">
        <v>357</v>
      </c>
      <c r="B151" s="255" t="s">
        <v>66</v>
      </c>
      <c r="C151" s="255" t="s">
        <v>658</v>
      </c>
      <c r="D151" s="127">
        <v>0.33</v>
      </c>
      <c r="E151" s="127">
        <v>0.33</v>
      </c>
      <c r="F151" s="127">
        <f t="shared" si="3"/>
        <v>0.33</v>
      </c>
    </row>
    <row r="152" spans="1:6">
      <c r="A152" s="257">
        <v>358</v>
      </c>
      <c r="B152" s="255" t="s">
        <v>66</v>
      </c>
      <c r="C152" s="255" t="s">
        <v>659</v>
      </c>
      <c r="D152" s="127">
        <v>0.316</v>
      </c>
      <c r="E152" s="127">
        <v>0.32</v>
      </c>
      <c r="F152" s="127">
        <f t="shared" si="3"/>
        <v>0.316</v>
      </c>
    </row>
    <row r="153" spans="1:6">
      <c r="A153" s="257">
        <v>359</v>
      </c>
      <c r="B153" s="255" t="s">
        <v>66</v>
      </c>
      <c r="C153" s="255" t="s">
        <v>660</v>
      </c>
      <c r="D153" s="127">
        <v>0.316</v>
      </c>
      <c r="E153" s="127">
        <v>0.33</v>
      </c>
      <c r="F153" s="127">
        <f t="shared" si="3"/>
        <v>0.316</v>
      </c>
    </row>
    <row r="154" spans="1:6">
      <c r="A154" s="257">
        <v>360</v>
      </c>
      <c r="B154" s="255" t="s">
        <v>66</v>
      </c>
      <c r="C154" s="255" t="s">
        <v>661</v>
      </c>
      <c r="D154" s="127">
        <v>0.33</v>
      </c>
      <c r="E154" s="127">
        <v>0.33</v>
      </c>
      <c r="F154" s="127">
        <f t="shared" si="3"/>
        <v>0.33</v>
      </c>
    </row>
    <row r="155" spans="1:6">
      <c r="A155" s="257">
        <v>361</v>
      </c>
      <c r="B155" s="255" t="s">
        <v>68</v>
      </c>
      <c r="C155" s="255" t="s">
        <v>662</v>
      </c>
      <c r="D155" s="127">
        <v>0.33</v>
      </c>
      <c r="E155" s="127">
        <v>0.33</v>
      </c>
      <c r="F155" s="127">
        <f t="shared" si="3"/>
        <v>0.33</v>
      </c>
    </row>
    <row r="156" spans="1:6">
      <c r="A156" s="257">
        <v>362</v>
      </c>
      <c r="B156" s="255" t="s">
        <v>60</v>
      </c>
      <c r="C156" s="255" t="s">
        <v>663</v>
      </c>
      <c r="D156" s="127">
        <v>0.33</v>
      </c>
      <c r="E156" s="127">
        <v>0.33</v>
      </c>
      <c r="F156" s="127">
        <f t="shared" si="3"/>
        <v>0.33</v>
      </c>
    </row>
    <row r="157" spans="1:6">
      <c r="A157" s="257">
        <v>363</v>
      </c>
      <c r="B157" s="255" t="s">
        <v>69</v>
      </c>
      <c r="C157" s="255" t="s">
        <v>664</v>
      </c>
      <c r="D157" s="127">
        <v>0.33</v>
      </c>
      <c r="E157" s="127">
        <v>0.33</v>
      </c>
      <c r="F157" s="127">
        <f t="shared" si="3"/>
        <v>0.33</v>
      </c>
    </row>
    <row r="158" spans="1:6">
      <c r="A158" s="257">
        <v>364</v>
      </c>
      <c r="B158" s="255" t="s">
        <v>70</v>
      </c>
      <c r="C158" s="255" t="s">
        <v>665</v>
      </c>
      <c r="D158" s="127">
        <v>0.316</v>
      </c>
      <c r="E158" s="127">
        <v>0.33</v>
      </c>
      <c r="F158" s="127">
        <f t="shared" si="3"/>
        <v>0.316</v>
      </c>
    </row>
    <row r="159" spans="1:6">
      <c r="A159" s="257">
        <v>365</v>
      </c>
      <c r="B159" s="255" t="s">
        <v>71</v>
      </c>
      <c r="C159" s="255" t="s">
        <v>666</v>
      </c>
      <c r="D159" s="127">
        <v>0.33</v>
      </c>
      <c r="E159" s="127">
        <v>0.33</v>
      </c>
      <c r="F159" s="127">
        <f t="shared" si="3"/>
        <v>0.33</v>
      </c>
    </row>
    <row r="160" spans="1:6">
      <c r="A160" s="257">
        <v>366</v>
      </c>
      <c r="B160" s="255" t="s">
        <v>72</v>
      </c>
      <c r="C160" s="255" t="s">
        <v>667</v>
      </c>
      <c r="D160" s="127">
        <v>0.33</v>
      </c>
      <c r="E160" s="127">
        <v>0.33</v>
      </c>
      <c r="F160" s="127">
        <f t="shared" si="3"/>
        <v>0.33</v>
      </c>
    </row>
    <row r="161" spans="1:6">
      <c r="A161" s="257">
        <v>367</v>
      </c>
      <c r="B161" s="255" t="s">
        <v>73</v>
      </c>
      <c r="C161" s="255" t="s">
        <v>668</v>
      </c>
      <c r="D161" s="127">
        <v>0.33</v>
      </c>
      <c r="E161" s="127">
        <v>0.33</v>
      </c>
      <c r="F161" s="127">
        <f t="shared" si="3"/>
        <v>0.33</v>
      </c>
    </row>
    <row r="162" spans="1:6">
      <c r="A162" s="257">
        <v>368</v>
      </c>
      <c r="B162" s="255" t="s">
        <v>73</v>
      </c>
      <c r="C162" s="255" t="s">
        <v>669</v>
      </c>
      <c r="D162" s="127">
        <v>0.33</v>
      </c>
      <c r="E162" s="127">
        <v>0.33</v>
      </c>
      <c r="F162" s="127">
        <f t="shared" si="3"/>
        <v>0.33</v>
      </c>
    </row>
    <row r="163" spans="1:6">
      <c r="A163" s="257">
        <v>369</v>
      </c>
      <c r="B163" s="255" t="s">
        <v>74</v>
      </c>
      <c r="C163" s="255" t="s">
        <v>670</v>
      </c>
      <c r="D163" s="127">
        <v>0.316</v>
      </c>
      <c r="E163" s="127">
        <v>0.33</v>
      </c>
      <c r="F163" s="127">
        <f t="shared" si="3"/>
        <v>0.316</v>
      </c>
    </row>
    <row r="164" spans="1:6">
      <c r="A164" s="257">
        <v>371</v>
      </c>
      <c r="B164" s="255" t="s">
        <v>5</v>
      </c>
      <c r="C164" s="255" t="s">
        <v>671</v>
      </c>
      <c r="D164" s="127">
        <v>0.316</v>
      </c>
      <c r="E164" s="127">
        <v>0.32</v>
      </c>
      <c r="F164" s="127">
        <f t="shared" si="3"/>
        <v>0.316</v>
      </c>
    </row>
    <row r="165" spans="1:6">
      <c r="A165" s="257">
        <v>372</v>
      </c>
      <c r="B165" s="255" t="s">
        <v>61</v>
      </c>
      <c r="C165" s="255" t="s">
        <v>672</v>
      </c>
      <c r="D165" s="127">
        <v>0.33</v>
      </c>
      <c r="E165" s="127">
        <v>0.33</v>
      </c>
      <c r="F165" s="127">
        <f t="shared" si="3"/>
        <v>0.33</v>
      </c>
    </row>
    <row r="166" spans="1:6">
      <c r="A166" s="257">
        <v>373</v>
      </c>
      <c r="B166" s="255" t="s">
        <v>74</v>
      </c>
      <c r="C166" s="255" t="s">
        <v>673</v>
      </c>
      <c r="D166" s="127">
        <v>0.316</v>
      </c>
      <c r="E166" s="127">
        <v>0.33</v>
      </c>
      <c r="F166" s="127">
        <f t="shared" si="3"/>
        <v>0.316</v>
      </c>
    </row>
    <row r="167" spans="1:6">
      <c r="A167" s="257">
        <v>374</v>
      </c>
      <c r="B167" s="255" t="s">
        <v>75</v>
      </c>
      <c r="C167" s="255" t="s">
        <v>674</v>
      </c>
      <c r="D167" s="127">
        <v>0.33</v>
      </c>
      <c r="E167" s="127">
        <v>0.33</v>
      </c>
      <c r="F167" s="127">
        <f t="shared" si="3"/>
        <v>0.33</v>
      </c>
    </row>
    <row r="168" spans="1:6">
      <c r="A168" s="257">
        <v>375</v>
      </c>
      <c r="B168" s="255" t="s">
        <v>10</v>
      </c>
      <c r="C168" s="255" t="s">
        <v>675</v>
      </c>
      <c r="D168" s="127">
        <v>0.33</v>
      </c>
      <c r="E168" s="127">
        <v>0.33</v>
      </c>
      <c r="F168" s="127">
        <f t="shared" si="3"/>
        <v>0.33</v>
      </c>
    </row>
    <row r="169" spans="1:6">
      <c r="A169" s="257">
        <v>376</v>
      </c>
      <c r="B169" s="255" t="s">
        <v>76</v>
      </c>
      <c r="C169" s="255" t="s">
        <v>676</v>
      </c>
      <c r="D169" s="127">
        <v>0.33</v>
      </c>
      <c r="E169" s="127">
        <v>0.33</v>
      </c>
      <c r="F169" s="127">
        <f t="shared" si="3"/>
        <v>0.33</v>
      </c>
    </row>
    <row r="170" spans="1:6">
      <c r="A170" s="257">
        <v>377</v>
      </c>
      <c r="B170" s="255" t="s">
        <v>77</v>
      </c>
      <c r="C170" s="255" t="s">
        <v>677</v>
      </c>
      <c r="D170" s="127">
        <v>0.33</v>
      </c>
      <c r="E170" s="127">
        <v>0.33</v>
      </c>
      <c r="F170" s="127">
        <f t="shared" si="3"/>
        <v>0.33</v>
      </c>
    </row>
    <row r="171" spans="1:6">
      <c r="A171" s="257">
        <v>378</v>
      </c>
      <c r="B171" s="255" t="s">
        <v>78</v>
      </c>
      <c r="C171" s="255" t="s">
        <v>678</v>
      </c>
      <c r="D171" s="127">
        <v>0.316</v>
      </c>
      <c r="E171" s="127">
        <v>0.32</v>
      </c>
      <c r="F171" s="127">
        <f t="shared" si="3"/>
        <v>0.316</v>
      </c>
    </row>
    <row r="172" spans="1:6">
      <c r="A172" s="257">
        <v>379</v>
      </c>
      <c r="B172" s="255" t="s">
        <v>79</v>
      </c>
      <c r="C172" s="255" t="s">
        <v>679</v>
      </c>
      <c r="D172" s="127">
        <v>0.316</v>
      </c>
      <c r="E172" s="127">
        <v>0.32</v>
      </c>
      <c r="F172" s="127">
        <f t="shared" si="3"/>
        <v>0.316</v>
      </c>
    </row>
    <row r="173" spans="1:6">
      <c r="A173" s="257">
        <v>380</v>
      </c>
      <c r="B173" s="255" t="s">
        <v>70</v>
      </c>
      <c r="C173" s="255" t="s">
        <v>680</v>
      </c>
      <c r="D173" s="127">
        <v>0.316</v>
      </c>
      <c r="E173" s="127">
        <v>0.33</v>
      </c>
      <c r="F173" s="127">
        <f t="shared" si="3"/>
        <v>0.316</v>
      </c>
    </row>
    <row r="174" spans="1:6">
      <c r="A174" s="257">
        <v>381</v>
      </c>
      <c r="B174" s="255" t="s">
        <v>80</v>
      </c>
      <c r="C174" s="255" t="s">
        <v>681</v>
      </c>
      <c r="D174" s="127">
        <v>0.33</v>
      </c>
      <c r="E174" s="127">
        <v>0.33</v>
      </c>
      <c r="F174" s="127">
        <f t="shared" si="3"/>
        <v>0.33</v>
      </c>
    </row>
    <row r="175" spans="1:6">
      <c r="A175" s="257">
        <v>382</v>
      </c>
      <c r="B175" s="255" t="s">
        <v>81</v>
      </c>
      <c r="C175" s="255" t="s">
        <v>682</v>
      </c>
      <c r="D175" s="127">
        <v>0.316</v>
      </c>
      <c r="E175" s="127">
        <v>0.32</v>
      </c>
      <c r="F175" s="127">
        <f t="shared" si="3"/>
        <v>0.316</v>
      </c>
    </row>
    <row r="176" spans="1:6">
      <c r="A176" s="257">
        <v>383</v>
      </c>
      <c r="B176" s="255" t="s">
        <v>78</v>
      </c>
      <c r="C176" s="255" t="s">
        <v>683</v>
      </c>
      <c r="D176" s="127">
        <v>0.33</v>
      </c>
      <c r="E176" s="127">
        <v>0.33</v>
      </c>
      <c r="F176" s="127">
        <f t="shared" si="3"/>
        <v>0.33</v>
      </c>
    </row>
    <row r="177" spans="1:6">
      <c r="A177" s="257">
        <v>384</v>
      </c>
      <c r="B177" s="255" t="s">
        <v>78</v>
      </c>
      <c r="C177" s="255" t="s">
        <v>548</v>
      </c>
      <c r="D177" s="127">
        <v>0.33</v>
      </c>
      <c r="E177" s="127">
        <v>0.33</v>
      </c>
      <c r="F177" s="127">
        <f t="shared" si="3"/>
        <v>0.33</v>
      </c>
    </row>
    <row r="178" spans="1:6">
      <c r="A178" s="257">
        <v>385</v>
      </c>
      <c r="B178" s="255" t="s">
        <v>10</v>
      </c>
      <c r="C178" s="255" t="s">
        <v>684</v>
      </c>
      <c r="D178" s="127">
        <v>0.33</v>
      </c>
      <c r="E178" s="127">
        <v>0.33</v>
      </c>
      <c r="F178" s="127">
        <f t="shared" si="3"/>
        <v>0.33</v>
      </c>
    </row>
    <row r="179" spans="1:6">
      <c r="A179" s="257">
        <v>386</v>
      </c>
      <c r="B179" s="255" t="s">
        <v>82</v>
      </c>
      <c r="C179" s="255" t="s">
        <v>685</v>
      </c>
      <c r="D179" s="127">
        <v>0.33</v>
      </c>
      <c r="E179" s="127">
        <v>0.33</v>
      </c>
      <c r="F179" s="127">
        <f t="shared" si="3"/>
        <v>0.33</v>
      </c>
    </row>
    <row r="180" spans="1:6">
      <c r="A180" s="257">
        <v>387</v>
      </c>
      <c r="B180" s="255" t="s">
        <v>83</v>
      </c>
      <c r="C180" s="255" t="s">
        <v>686</v>
      </c>
      <c r="D180" s="127">
        <v>0.33</v>
      </c>
      <c r="E180" s="127">
        <v>0.33</v>
      </c>
      <c r="F180" s="127">
        <f t="shared" si="3"/>
        <v>0.33</v>
      </c>
    </row>
    <row r="181" spans="1:6">
      <c r="A181" s="257">
        <v>388</v>
      </c>
      <c r="B181" s="255" t="s">
        <v>84</v>
      </c>
      <c r="C181" s="255" t="s">
        <v>687</v>
      </c>
      <c r="D181" s="127">
        <v>0.316</v>
      </c>
      <c r="E181" s="127">
        <v>0.33</v>
      </c>
      <c r="F181" s="127">
        <f t="shared" si="3"/>
        <v>0.316</v>
      </c>
    </row>
    <row r="182" spans="1:6">
      <c r="A182" s="257">
        <v>389</v>
      </c>
      <c r="B182" s="255" t="s">
        <v>82</v>
      </c>
      <c r="C182" s="255" t="s">
        <v>688</v>
      </c>
      <c r="D182" s="127">
        <v>0.316</v>
      </c>
      <c r="E182" s="127">
        <v>0.32</v>
      </c>
      <c r="F182" s="127">
        <f t="shared" si="3"/>
        <v>0.316</v>
      </c>
    </row>
    <row r="183" spans="1:6">
      <c r="A183" s="257">
        <v>390</v>
      </c>
      <c r="B183" s="255" t="s">
        <v>82</v>
      </c>
      <c r="C183" s="255" t="s">
        <v>689</v>
      </c>
      <c r="D183" s="127">
        <v>0.316</v>
      </c>
      <c r="E183" s="127">
        <v>0.32</v>
      </c>
      <c r="F183" s="127">
        <f t="shared" si="3"/>
        <v>0.316</v>
      </c>
    </row>
    <row r="184" spans="1:6">
      <c r="A184" s="257">
        <v>392</v>
      </c>
      <c r="B184" s="255" t="s">
        <v>86</v>
      </c>
      <c r="C184" s="255" t="s">
        <v>690</v>
      </c>
      <c r="D184" s="127">
        <v>0.316</v>
      </c>
      <c r="E184" s="127">
        <v>0.32</v>
      </c>
      <c r="F184" s="127">
        <f t="shared" si="3"/>
        <v>0.316</v>
      </c>
    </row>
    <row r="185" spans="1:6">
      <c r="A185" s="257">
        <v>393</v>
      </c>
      <c r="B185" s="255" t="s">
        <v>87</v>
      </c>
      <c r="C185" s="255" t="s">
        <v>691</v>
      </c>
      <c r="D185" s="127">
        <v>0.33</v>
      </c>
      <c r="E185" s="127">
        <v>0.33</v>
      </c>
      <c r="F185" s="127">
        <f t="shared" si="3"/>
        <v>0.33</v>
      </c>
    </row>
    <row r="186" spans="1:6">
      <c r="A186" s="257">
        <v>394</v>
      </c>
      <c r="B186" s="255" t="s">
        <v>10</v>
      </c>
      <c r="C186" s="255" t="s">
        <v>692</v>
      </c>
      <c r="D186" s="127">
        <v>0.33</v>
      </c>
      <c r="E186" s="127">
        <v>0.33</v>
      </c>
      <c r="F186" s="127">
        <f t="shared" si="3"/>
        <v>0.33</v>
      </c>
    </row>
    <row r="187" spans="1:6">
      <c r="A187" s="257">
        <v>395</v>
      </c>
      <c r="B187" s="255" t="s">
        <v>88</v>
      </c>
      <c r="C187" s="255" t="s">
        <v>693</v>
      </c>
      <c r="D187" s="127">
        <v>0.316</v>
      </c>
      <c r="E187" s="127">
        <v>0.33</v>
      </c>
      <c r="F187" s="127">
        <f t="shared" si="3"/>
        <v>0.316</v>
      </c>
    </row>
    <row r="188" spans="1:6">
      <c r="A188" s="257">
        <v>396</v>
      </c>
      <c r="B188" s="255" t="s">
        <v>10</v>
      </c>
      <c r="C188" s="255" t="s">
        <v>694</v>
      </c>
      <c r="D188" s="127">
        <v>0.33</v>
      </c>
      <c r="E188" s="127">
        <v>0.33</v>
      </c>
      <c r="F188" s="127">
        <f t="shared" si="3"/>
        <v>0.33</v>
      </c>
    </row>
    <row r="189" spans="1:6">
      <c r="A189" s="257">
        <v>397</v>
      </c>
      <c r="B189" s="255" t="s">
        <v>89</v>
      </c>
      <c r="C189" s="255" t="s">
        <v>695</v>
      </c>
      <c r="D189" s="127">
        <v>0.316</v>
      </c>
      <c r="E189" s="127">
        <v>0.32</v>
      </c>
      <c r="F189" s="127">
        <f t="shared" si="3"/>
        <v>0.316</v>
      </c>
    </row>
    <row r="190" spans="1:6">
      <c r="A190" s="257">
        <v>398</v>
      </c>
      <c r="B190" s="255" t="s">
        <v>89</v>
      </c>
      <c r="C190" s="255" t="s">
        <v>696</v>
      </c>
      <c r="D190" s="127">
        <v>0.33</v>
      </c>
      <c r="E190" s="127">
        <v>0.33</v>
      </c>
      <c r="F190" s="127">
        <f t="shared" si="3"/>
        <v>0.33</v>
      </c>
    </row>
    <row r="191" spans="1:6">
      <c r="A191" s="257">
        <v>399</v>
      </c>
      <c r="B191" s="255" t="s">
        <v>90</v>
      </c>
      <c r="C191" s="255" t="s">
        <v>697</v>
      </c>
      <c r="D191" s="127">
        <v>0.33</v>
      </c>
      <c r="E191" s="127">
        <v>0.33</v>
      </c>
      <c r="F191" s="127">
        <f t="shared" si="3"/>
        <v>0.33</v>
      </c>
    </row>
    <row r="192" spans="1:6">
      <c r="A192" s="257">
        <v>400</v>
      </c>
      <c r="B192" s="255" t="s">
        <v>91</v>
      </c>
      <c r="C192" s="255" t="s">
        <v>698</v>
      </c>
      <c r="D192" s="127">
        <v>0.33</v>
      </c>
      <c r="E192" s="127">
        <v>0.33</v>
      </c>
      <c r="F192" s="127">
        <f t="shared" si="3"/>
        <v>0.33</v>
      </c>
    </row>
    <row r="193" spans="1:6">
      <c r="A193" s="257">
        <v>401</v>
      </c>
      <c r="B193" s="255" t="s">
        <v>76</v>
      </c>
      <c r="C193" s="255" t="s">
        <v>699</v>
      </c>
      <c r="D193" s="127">
        <v>0.33</v>
      </c>
      <c r="E193" s="127">
        <v>0.33</v>
      </c>
      <c r="F193" s="127">
        <f t="shared" si="3"/>
        <v>0.33</v>
      </c>
    </row>
    <row r="194" spans="1:6">
      <c r="A194" s="257">
        <v>402</v>
      </c>
      <c r="B194" s="255" t="s">
        <v>10</v>
      </c>
      <c r="C194" s="255" t="s">
        <v>700</v>
      </c>
      <c r="D194" s="127">
        <v>0.33</v>
      </c>
      <c r="E194" s="127">
        <v>0.33</v>
      </c>
      <c r="F194" s="127">
        <f t="shared" si="3"/>
        <v>0.33</v>
      </c>
    </row>
    <row r="195" spans="1:6">
      <c r="A195" s="257">
        <v>403</v>
      </c>
      <c r="B195" s="255" t="s">
        <v>88</v>
      </c>
      <c r="C195" s="255" t="s">
        <v>701</v>
      </c>
      <c r="D195" s="127">
        <v>0.316</v>
      </c>
      <c r="E195" s="127">
        <v>0.33</v>
      </c>
      <c r="F195" s="127">
        <f t="shared" si="3"/>
        <v>0.316</v>
      </c>
    </row>
    <row r="196" spans="1:6">
      <c r="A196" s="257">
        <v>404</v>
      </c>
      <c r="B196" s="255" t="s">
        <v>29</v>
      </c>
      <c r="C196" s="255" t="s">
        <v>702</v>
      </c>
      <c r="D196" s="127">
        <v>0.33</v>
      </c>
      <c r="E196" s="127">
        <v>0.33</v>
      </c>
      <c r="F196" s="127">
        <f t="shared" ref="F196:F259" si="4">MIN(D196:E196)</f>
        <v>0.33</v>
      </c>
    </row>
    <row r="197" spans="1:6">
      <c r="A197" s="257">
        <v>405</v>
      </c>
      <c r="B197" s="255" t="s">
        <v>76</v>
      </c>
      <c r="C197" s="255" t="s">
        <v>703</v>
      </c>
      <c r="D197" s="127">
        <v>0.316</v>
      </c>
      <c r="E197" s="127">
        <v>0.32</v>
      </c>
      <c r="F197" s="127">
        <f t="shared" si="4"/>
        <v>0.316</v>
      </c>
    </row>
    <row r="198" spans="1:6">
      <c r="A198" s="257">
        <v>407</v>
      </c>
      <c r="B198" s="255" t="s">
        <v>90</v>
      </c>
      <c r="C198" s="255" t="s">
        <v>704</v>
      </c>
      <c r="D198" s="127">
        <v>0.33</v>
      </c>
      <c r="E198" s="127">
        <v>0.33</v>
      </c>
      <c r="F198" s="127">
        <f t="shared" si="4"/>
        <v>0.33</v>
      </c>
    </row>
    <row r="199" spans="1:6">
      <c r="A199" s="257">
        <v>408</v>
      </c>
      <c r="B199" s="255" t="s">
        <v>89</v>
      </c>
      <c r="C199" s="255" t="s">
        <v>705</v>
      </c>
      <c r="D199" s="127">
        <v>0.316</v>
      </c>
      <c r="E199" s="127">
        <v>0.33</v>
      </c>
      <c r="F199" s="127">
        <f t="shared" si="4"/>
        <v>0.316</v>
      </c>
    </row>
    <row r="200" spans="1:6">
      <c r="A200" s="257">
        <v>409</v>
      </c>
      <c r="B200" s="255" t="s">
        <v>77</v>
      </c>
      <c r="C200" s="255" t="s">
        <v>706</v>
      </c>
      <c r="D200" s="127">
        <v>0.316</v>
      </c>
      <c r="E200" s="127">
        <v>0.33</v>
      </c>
      <c r="F200" s="127">
        <f t="shared" si="4"/>
        <v>0.316</v>
      </c>
    </row>
    <row r="201" spans="1:6">
      <c r="A201" s="257">
        <v>410</v>
      </c>
      <c r="B201" s="255" t="s">
        <v>89</v>
      </c>
      <c r="C201" s="255" t="s">
        <v>707</v>
      </c>
      <c r="D201" s="127">
        <v>0.33</v>
      </c>
      <c r="E201" s="127">
        <v>0.33</v>
      </c>
      <c r="F201" s="127">
        <f t="shared" si="4"/>
        <v>0.33</v>
      </c>
    </row>
    <row r="202" spans="1:6">
      <c r="A202" s="257">
        <v>411</v>
      </c>
      <c r="B202" s="255" t="s">
        <v>89</v>
      </c>
      <c r="C202" s="255" t="s">
        <v>708</v>
      </c>
      <c r="D202" s="127">
        <v>0.33</v>
      </c>
      <c r="E202" s="127">
        <v>0.33</v>
      </c>
      <c r="F202" s="127">
        <f t="shared" si="4"/>
        <v>0.33</v>
      </c>
    </row>
    <row r="203" spans="1:6">
      <c r="A203" s="257">
        <v>412</v>
      </c>
      <c r="B203" s="255" t="s">
        <v>93</v>
      </c>
      <c r="C203" s="255" t="s">
        <v>709</v>
      </c>
      <c r="D203" s="127">
        <v>0.33</v>
      </c>
      <c r="E203" s="127">
        <v>0.33</v>
      </c>
      <c r="F203" s="127">
        <f t="shared" si="4"/>
        <v>0.33</v>
      </c>
    </row>
    <row r="204" spans="1:6">
      <c r="A204" s="257">
        <v>413</v>
      </c>
      <c r="B204" s="255" t="s">
        <v>4</v>
      </c>
      <c r="C204" s="255" t="s">
        <v>710</v>
      </c>
      <c r="D204" s="127">
        <v>0.33</v>
      </c>
      <c r="E204" s="127">
        <v>0.33</v>
      </c>
      <c r="F204" s="127">
        <f t="shared" si="4"/>
        <v>0.33</v>
      </c>
    </row>
    <row r="205" spans="1:6">
      <c r="A205" s="257">
        <v>415</v>
      </c>
      <c r="B205" s="255" t="s">
        <v>94</v>
      </c>
      <c r="C205" s="255" t="s">
        <v>711</v>
      </c>
      <c r="D205" s="127">
        <v>0.316</v>
      </c>
      <c r="E205" s="127">
        <v>0.32</v>
      </c>
      <c r="F205" s="127">
        <f t="shared" si="4"/>
        <v>0.316</v>
      </c>
    </row>
    <row r="206" spans="1:6">
      <c r="A206" s="257">
        <v>416</v>
      </c>
      <c r="B206" s="255" t="s">
        <v>73</v>
      </c>
      <c r="C206" s="255" t="s">
        <v>712</v>
      </c>
      <c r="D206" s="127">
        <v>0.33</v>
      </c>
      <c r="E206" s="127">
        <v>0.33</v>
      </c>
      <c r="F206" s="127">
        <f t="shared" si="4"/>
        <v>0.33</v>
      </c>
    </row>
    <row r="207" spans="1:6">
      <c r="A207" s="257">
        <v>417</v>
      </c>
      <c r="B207" s="255" t="s">
        <v>95</v>
      </c>
      <c r="C207" s="255" t="s">
        <v>713</v>
      </c>
      <c r="D207" s="127">
        <v>0.33</v>
      </c>
      <c r="E207" s="127">
        <v>0.33</v>
      </c>
      <c r="F207" s="127">
        <f t="shared" si="4"/>
        <v>0.33</v>
      </c>
    </row>
    <row r="208" spans="1:6">
      <c r="A208" s="257">
        <v>418</v>
      </c>
      <c r="B208" s="255" t="s">
        <v>91</v>
      </c>
      <c r="C208" s="255" t="s">
        <v>714</v>
      </c>
      <c r="D208" s="127">
        <v>0.33</v>
      </c>
      <c r="E208" s="127">
        <v>0.33</v>
      </c>
      <c r="F208" s="127">
        <f t="shared" si="4"/>
        <v>0.33</v>
      </c>
    </row>
    <row r="209" spans="1:6">
      <c r="A209" s="257">
        <v>419</v>
      </c>
      <c r="B209" s="255" t="s">
        <v>91</v>
      </c>
      <c r="C209" s="255" t="s">
        <v>715</v>
      </c>
      <c r="D209" s="127">
        <v>0.33</v>
      </c>
      <c r="E209" s="127">
        <v>0.33</v>
      </c>
      <c r="F209" s="127">
        <f t="shared" si="4"/>
        <v>0.33</v>
      </c>
    </row>
    <row r="210" spans="1:6">
      <c r="A210" s="257">
        <v>420</v>
      </c>
      <c r="B210" s="255" t="s">
        <v>96</v>
      </c>
      <c r="C210" s="255" t="s">
        <v>716</v>
      </c>
      <c r="D210" s="127">
        <v>0.316</v>
      </c>
      <c r="E210" s="127">
        <v>0.32</v>
      </c>
      <c r="F210" s="127">
        <f t="shared" si="4"/>
        <v>0.316</v>
      </c>
    </row>
    <row r="211" spans="1:6">
      <c r="A211" s="257">
        <v>421</v>
      </c>
      <c r="B211" s="255" t="s">
        <v>96</v>
      </c>
      <c r="C211" s="255" t="s">
        <v>717</v>
      </c>
      <c r="D211" s="127">
        <v>0.316</v>
      </c>
      <c r="E211" s="127">
        <v>0.32</v>
      </c>
      <c r="F211" s="127">
        <f t="shared" si="4"/>
        <v>0.316</v>
      </c>
    </row>
    <row r="212" spans="1:6">
      <c r="A212" s="257">
        <v>422</v>
      </c>
      <c r="B212" s="255" t="s">
        <v>97</v>
      </c>
      <c r="C212" s="255" t="s">
        <v>718</v>
      </c>
      <c r="D212" s="127">
        <v>0.316</v>
      </c>
      <c r="E212" s="127">
        <v>0.32</v>
      </c>
      <c r="F212" s="127">
        <f t="shared" si="4"/>
        <v>0.316</v>
      </c>
    </row>
    <row r="213" spans="1:6">
      <c r="A213" s="257">
        <v>423</v>
      </c>
      <c r="B213" s="255" t="s">
        <v>91</v>
      </c>
      <c r="C213" s="255" t="s">
        <v>719</v>
      </c>
      <c r="D213" s="127">
        <v>0.33</v>
      </c>
      <c r="E213" s="127">
        <v>0.33</v>
      </c>
      <c r="F213" s="127">
        <f t="shared" si="4"/>
        <v>0.33</v>
      </c>
    </row>
    <row r="214" spans="1:6">
      <c r="A214" s="257">
        <v>426</v>
      </c>
      <c r="B214" s="255" t="s">
        <v>98</v>
      </c>
      <c r="C214" s="255" t="s">
        <v>720</v>
      </c>
      <c r="D214" s="127">
        <v>0.316</v>
      </c>
      <c r="E214" s="127">
        <v>0.32</v>
      </c>
      <c r="F214" s="127">
        <f t="shared" si="4"/>
        <v>0.316</v>
      </c>
    </row>
    <row r="215" spans="1:6">
      <c r="A215" s="257">
        <v>428</v>
      </c>
      <c r="B215" s="255" t="s">
        <v>67</v>
      </c>
      <c r="C215" s="255" t="s">
        <v>721</v>
      </c>
      <c r="D215" s="127">
        <v>0.316</v>
      </c>
      <c r="E215" s="127">
        <v>0.33</v>
      </c>
      <c r="F215" s="127">
        <f t="shared" si="4"/>
        <v>0.316</v>
      </c>
    </row>
    <row r="216" spans="1:6">
      <c r="A216" s="257">
        <v>429</v>
      </c>
      <c r="B216" s="255" t="s">
        <v>92</v>
      </c>
      <c r="C216" s="255" t="s">
        <v>722</v>
      </c>
      <c r="D216" s="127">
        <v>0.316</v>
      </c>
      <c r="E216" s="127">
        <v>0.32</v>
      </c>
      <c r="F216" s="127">
        <f t="shared" si="4"/>
        <v>0.316</v>
      </c>
    </row>
    <row r="217" spans="1:6">
      <c r="A217" s="257">
        <v>430</v>
      </c>
      <c r="B217" s="255" t="s">
        <v>94</v>
      </c>
      <c r="C217" s="255" t="s">
        <v>723</v>
      </c>
      <c r="D217" s="127">
        <v>0.316</v>
      </c>
      <c r="E217" s="127">
        <v>0.33</v>
      </c>
      <c r="F217" s="127">
        <f t="shared" si="4"/>
        <v>0.316</v>
      </c>
    </row>
    <row r="218" spans="1:6">
      <c r="A218" s="257">
        <v>431</v>
      </c>
      <c r="B218" s="255" t="s">
        <v>67</v>
      </c>
      <c r="C218" s="255" t="s">
        <v>724</v>
      </c>
      <c r="D218" s="127">
        <v>0.316</v>
      </c>
      <c r="E218" s="127">
        <v>0.32</v>
      </c>
      <c r="F218" s="127">
        <f t="shared" si="4"/>
        <v>0.316</v>
      </c>
    </row>
    <row r="219" spans="1:6">
      <c r="A219" s="257">
        <v>432</v>
      </c>
      <c r="B219" s="255" t="s">
        <v>84</v>
      </c>
      <c r="C219" s="255" t="s">
        <v>725</v>
      </c>
      <c r="D219" s="127">
        <v>0.33</v>
      </c>
      <c r="E219" s="127">
        <v>0.33</v>
      </c>
      <c r="F219" s="127">
        <f t="shared" si="4"/>
        <v>0.33</v>
      </c>
    </row>
    <row r="220" spans="1:6">
      <c r="A220" s="257">
        <v>434</v>
      </c>
      <c r="B220" s="255" t="s">
        <v>96</v>
      </c>
      <c r="C220" s="255" t="s">
        <v>726</v>
      </c>
      <c r="D220" s="127">
        <v>0.33</v>
      </c>
      <c r="E220" s="127">
        <v>0.33</v>
      </c>
      <c r="F220" s="127">
        <f t="shared" si="4"/>
        <v>0.33</v>
      </c>
    </row>
    <row r="221" spans="1:6">
      <c r="A221" s="257">
        <v>435</v>
      </c>
      <c r="B221" s="255" t="s">
        <v>87</v>
      </c>
      <c r="C221" s="255" t="s">
        <v>727</v>
      </c>
      <c r="D221" s="127">
        <v>0.3</v>
      </c>
      <c r="E221" s="127">
        <v>0.3</v>
      </c>
      <c r="F221" s="127">
        <f t="shared" si="4"/>
        <v>0.3</v>
      </c>
    </row>
    <row r="222" spans="1:6">
      <c r="A222" s="257">
        <v>436</v>
      </c>
      <c r="B222" s="255" t="s">
        <v>99</v>
      </c>
      <c r="C222" s="255" t="s">
        <v>728</v>
      </c>
      <c r="D222" s="127">
        <v>0.33</v>
      </c>
      <c r="E222" s="127">
        <v>0.33</v>
      </c>
      <c r="F222" s="127">
        <f t="shared" si="4"/>
        <v>0.33</v>
      </c>
    </row>
    <row r="223" spans="1:6">
      <c r="A223" s="257">
        <v>437</v>
      </c>
      <c r="B223" s="255" t="s">
        <v>61</v>
      </c>
      <c r="C223" s="255" t="s">
        <v>729</v>
      </c>
      <c r="D223" s="127">
        <v>0.33</v>
      </c>
      <c r="E223" s="127">
        <v>0.33</v>
      </c>
      <c r="F223" s="127">
        <f t="shared" si="4"/>
        <v>0.33</v>
      </c>
    </row>
    <row r="224" spans="1:6">
      <c r="A224" s="257">
        <v>438</v>
      </c>
      <c r="B224" s="255" t="s">
        <v>81</v>
      </c>
      <c r="C224" s="255" t="s">
        <v>730</v>
      </c>
      <c r="D224" s="127">
        <v>0.316</v>
      </c>
      <c r="E224" s="127">
        <v>0.33</v>
      </c>
      <c r="F224" s="127">
        <f t="shared" si="4"/>
        <v>0.316</v>
      </c>
    </row>
    <row r="225" spans="1:6">
      <c r="A225" s="257">
        <v>439</v>
      </c>
      <c r="B225" s="255" t="s">
        <v>74</v>
      </c>
      <c r="C225" s="255" t="s">
        <v>731</v>
      </c>
      <c r="D225" s="127">
        <v>0.316</v>
      </c>
      <c r="E225" s="127">
        <v>0.32</v>
      </c>
      <c r="F225" s="127">
        <f t="shared" si="4"/>
        <v>0.316</v>
      </c>
    </row>
    <row r="226" spans="1:6">
      <c r="A226" s="257">
        <v>440</v>
      </c>
      <c r="B226" s="255" t="s">
        <v>74</v>
      </c>
      <c r="C226" s="255" t="s">
        <v>732</v>
      </c>
      <c r="D226" s="127">
        <v>0.316</v>
      </c>
      <c r="E226" s="127">
        <v>0.33</v>
      </c>
      <c r="F226" s="127">
        <f t="shared" si="4"/>
        <v>0.316</v>
      </c>
    </row>
    <row r="227" spans="1:6">
      <c r="A227" s="257">
        <v>443</v>
      </c>
      <c r="B227" s="255" t="s">
        <v>80</v>
      </c>
      <c r="C227" s="255" t="s">
        <v>733</v>
      </c>
      <c r="D227" s="127">
        <v>0.33</v>
      </c>
      <c r="E227" s="127">
        <v>0.33</v>
      </c>
      <c r="F227" s="127">
        <f t="shared" si="4"/>
        <v>0.33</v>
      </c>
    </row>
    <row r="228" spans="1:6">
      <c r="A228" s="257">
        <v>444</v>
      </c>
      <c r="B228" s="255" t="s">
        <v>76</v>
      </c>
      <c r="C228" s="255" t="s">
        <v>734</v>
      </c>
      <c r="D228" s="127">
        <v>0.316</v>
      </c>
      <c r="E228" s="127">
        <v>0.33</v>
      </c>
      <c r="F228" s="127">
        <f t="shared" si="4"/>
        <v>0.316</v>
      </c>
    </row>
    <row r="229" spans="1:6">
      <c r="A229" s="257">
        <v>445</v>
      </c>
      <c r="B229" s="255" t="s">
        <v>99</v>
      </c>
      <c r="C229" s="255" t="s">
        <v>735</v>
      </c>
      <c r="D229" s="127">
        <v>0.316</v>
      </c>
      <c r="E229" s="127">
        <v>0.32</v>
      </c>
      <c r="F229" s="127">
        <f t="shared" si="4"/>
        <v>0.316</v>
      </c>
    </row>
    <row r="230" spans="1:6">
      <c r="A230" s="257">
        <v>446</v>
      </c>
      <c r="B230" s="255" t="s">
        <v>99</v>
      </c>
      <c r="C230" s="255" t="s">
        <v>736</v>
      </c>
      <c r="D230" s="127">
        <v>0.33</v>
      </c>
      <c r="E230" s="127">
        <v>0.33</v>
      </c>
      <c r="F230" s="127">
        <f t="shared" si="4"/>
        <v>0.33</v>
      </c>
    </row>
    <row r="231" spans="1:6">
      <c r="A231" s="257">
        <v>447</v>
      </c>
      <c r="B231" s="255" t="s">
        <v>99</v>
      </c>
      <c r="C231" s="255" t="s">
        <v>737</v>
      </c>
      <c r="D231" s="127">
        <v>0.316</v>
      </c>
      <c r="E231" s="127">
        <v>0.33</v>
      </c>
      <c r="F231" s="127">
        <f t="shared" si="4"/>
        <v>0.316</v>
      </c>
    </row>
    <row r="232" spans="1:6">
      <c r="A232" s="257">
        <v>448</v>
      </c>
      <c r="B232" s="255" t="s">
        <v>91</v>
      </c>
      <c r="C232" s="255" t="s">
        <v>738</v>
      </c>
      <c r="D232" s="127">
        <v>0.33</v>
      </c>
      <c r="E232" s="127">
        <v>0.33</v>
      </c>
      <c r="F232" s="127">
        <f t="shared" si="4"/>
        <v>0.33</v>
      </c>
    </row>
    <row r="233" spans="1:6">
      <c r="A233" s="257">
        <v>449</v>
      </c>
      <c r="B233" s="255" t="s">
        <v>11</v>
      </c>
      <c r="C233" s="255" t="s">
        <v>739</v>
      </c>
      <c r="D233" s="127">
        <v>0.316</v>
      </c>
      <c r="E233" s="127">
        <v>0.32</v>
      </c>
      <c r="F233" s="127">
        <f t="shared" si="4"/>
        <v>0.316</v>
      </c>
    </row>
    <row r="234" spans="1:6">
      <c r="A234" s="257">
        <v>450</v>
      </c>
      <c r="B234" s="255" t="s">
        <v>61</v>
      </c>
      <c r="C234" s="255" t="s">
        <v>740</v>
      </c>
      <c r="D234" s="127">
        <v>0.33</v>
      </c>
      <c r="E234" s="127">
        <v>0.33</v>
      </c>
      <c r="F234" s="127">
        <f t="shared" si="4"/>
        <v>0.33</v>
      </c>
    </row>
    <row r="235" spans="1:6">
      <c r="A235" s="257">
        <v>452</v>
      </c>
      <c r="B235" s="255" t="s">
        <v>101</v>
      </c>
      <c r="C235" s="255" t="s">
        <v>741</v>
      </c>
      <c r="D235" s="127">
        <v>0.31</v>
      </c>
      <c r="E235" s="127">
        <v>0.31</v>
      </c>
      <c r="F235" s="127">
        <f t="shared" si="4"/>
        <v>0.31</v>
      </c>
    </row>
    <row r="236" spans="1:6">
      <c r="A236" s="257">
        <v>453</v>
      </c>
      <c r="B236" s="255" t="s">
        <v>11</v>
      </c>
      <c r="C236" s="255" t="s">
        <v>742</v>
      </c>
      <c r="D236" s="127">
        <v>0.316</v>
      </c>
      <c r="E236" s="127">
        <v>0.32</v>
      </c>
      <c r="F236" s="127">
        <f t="shared" si="4"/>
        <v>0.316</v>
      </c>
    </row>
    <row r="237" spans="1:6">
      <c r="A237" s="257">
        <v>454</v>
      </c>
      <c r="B237" s="255" t="s">
        <v>96</v>
      </c>
      <c r="C237" s="255" t="s">
        <v>743</v>
      </c>
      <c r="D237" s="127">
        <v>0.316</v>
      </c>
      <c r="E237" s="127">
        <v>0.32500000000000001</v>
      </c>
      <c r="F237" s="127">
        <f t="shared" si="4"/>
        <v>0.316</v>
      </c>
    </row>
    <row r="238" spans="1:6">
      <c r="A238" s="257">
        <v>456</v>
      </c>
      <c r="B238" s="255" t="s">
        <v>96</v>
      </c>
      <c r="C238" s="255" t="s">
        <v>744</v>
      </c>
      <c r="D238" s="127">
        <v>0.33</v>
      </c>
      <c r="E238" s="127">
        <v>0.33</v>
      </c>
      <c r="F238" s="127">
        <f t="shared" si="4"/>
        <v>0.33</v>
      </c>
    </row>
    <row r="239" spans="1:6">
      <c r="A239" s="257">
        <v>457</v>
      </c>
      <c r="B239" s="255" t="s">
        <v>69</v>
      </c>
      <c r="C239" s="255" t="s">
        <v>745</v>
      </c>
      <c r="D239" s="127">
        <v>0.316</v>
      </c>
      <c r="E239" s="127">
        <v>0.32</v>
      </c>
      <c r="F239" s="127">
        <f t="shared" si="4"/>
        <v>0.316</v>
      </c>
    </row>
    <row r="240" spans="1:6">
      <c r="A240" s="257">
        <v>458</v>
      </c>
      <c r="B240" s="255" t="s">
        <v>11</v>
      </c>
      <c r="C240" s="255" t="s">
        <v>746</v>
      </c>
      <c r="D240" s="127">
        <v>0.33</v>
      </c>
      <c r="E240" s="127">
        <v>0.33</v>
      </c>
      <c r="F240" s="127">
        <f t="shared" si="4"/>
        <v>0.33</v>
      </c>
    </row>
    <row r="241" spans="1:6">
      <c r="A241" s="257">
        <v>459</v>
      </c>
      <c r="B241" s="255" t="s">
        <v>80</v>
      </c>
      <c r="C241" s="255" t="s">
        <v>747</v>
      </c>
      <c r="D241" s="127">
        <v>0.316</v>
      </c>
      <c r="E241" s="127">
        <v>0.32</v>
      </c>
      <c r="F241" s="127">
        <f t="shared" si="4"/>
        <v>0.316</v>
      </c>
    </row>
    <row r="242" spans="1:6">
      <c r="A242" s="257">
        <v>460</v>
      </c>
      <c r="B242" s="255" t="s">
        <v>74</v>
      </c>
      <c r="C242" s="255" t="s">
        <v>748</v>
      </c>
      <c r="D242" s="127">
        <v>0.33</v>
      </c>
      <c r="E242" s="127">
        <v>0.33</v>
      </c>
      <c r="F242" s="127">
        <f t="shared" si="4"/>
        <v>0.33</v>
      </c>
    </row>
    <row r="243" spans="1:6">
      <c r="A243" s="257">
        <v>461</v>
      </c>
      <c r="B243" s="255" t="s">
        <v>83</v>
      </c>
      <c r="C243" s="255" t="s">
        <v>749</v>
      </c>
      <c r="D243" s="127">
        <v>0.33</v>
      </c>
      <c r="E243" s="127">
        <v>0.33</v>
      </c>
      <c r="F243" s="127">
        <f t="shared" si="4"/>
        <v>0.33</v>
      </c>
    </row>
    <row r="244" spans="1:6">
      <c r="A244" s="257">
        <v>462</v>
      </c>
      <c r="B244" s="255" t="s">
        <v>102</v>
      </c>
      <c r="C244" s="255" t="s">
        <v>750</v>
      </c>
      <c r="D244" s="127">
        <v>0.316</v>
      </c>
      <c r="E244" s="127">
        <v>0.32</v>
      </c>
      <c r="F244" s="127">
        <f t="shared" si="4"/>
        <v>0.316</v>
      </c>
    </row>
    <row r="245" spans="1:6">
      <c r="A245" s="257">
        <v>463</v>
      </c>
      <c r="B245" s="255" t="s">
        <v>102</v>
      </c>
      <c r="C245" s="255" t="s">
        <v>751</v>
      </c>
      <c r="D245" s="127">
        <v>0.316</v>
      </c>
      <c r="E245" s="127">
        <v>0.32</v>
      </c>
      <c r="F245" s="127">
        <f t="shared" si="4"/>
        <v>0.316</v>
      </c>
    </row>
    <row r="246" spans="1:6">
      <c r="A246" s="257">
        <v>464</v>
      </c>
      <c r="B246" s="255" t="s">
        <v>11</v>
      </c>
      <c r="C246" s="255" t="s">
        <v>752</v>
      </c>
      <c r="D246" s="127">
        <v>0.316</v>
      </c>
      <c r="E246" s="127">
        <v>0.32</v>
      </c>
      <c r="F246" s="127">
        <f t="shared" si="4"/>
        <v>0.316</v>
      </c>
    </row>
    <row r="247" spans="1:6">
      <c r="A247" s="257">
        <v>465</v>
      </c>
      <c r="B247" s="255" t="s">
        <v>102</v>
      </c>
      <c r="C247" s="255" t="s">
        <v>753</v>
      </c>
      <c r="D247" s="127">
        <v>0.33</v>
      </c>
      <c r="E247" s="127">
        <v>0.33</v>
      </c>
      <c r="F247" s="127">
        <f t="shared" si="4"/>
        <v>0.33</v>
      </c>
    </row>
    <row r="248" spans="1:6">
      <c r="A248" s="257">
        <v>466</v>
      </c>
      <c r="B248" s="255" t="s">
        <v>103</v>
      </c>
      <c r="C248" s="255" t="s">
        <v>754</v>
      </c>
      <c r="D248" s="127">
        <v>0.33</v>
      </c>
      <c r="E248" s="127">
        <v>0.33</v>
      </c>
      <c r="F248" s="127">
        <f t="shared" si="4"/>
        <v>0.33</v>
      </c>
    </row>
    <row r="249" spans="1:6">
      <c r="A249" s="257">
        <v>467</v>
      </c>
      <c r="B249" s="255" t="s">
        <v>34</v>
      </c>
      <c r="C249" s="255" t="s">
        <v>755</v>
      </c>
      <c r="D249" s="127">
        <v>0.33</v>
      </c>
      <c r="E249" s="127">
        <v>0.33</v>
      </c>
      <c r="F249" s="127">
        <f t="shared" si="4"/>
        <v>0.33</v>
      </c>
    </row>
    <row r="250" spans="1:6">
      <c r="A250" s="257">
        <v>468</v>
      </c>
      <c r="B250" s="255" t="s">
        <v>104</v>
      </c>
      <c r="C250" s="255" t="s">
        <v>756</v>
      </c>
      <c r="D250" s="127">
        <v>0.33</v>
      </c>
      <c r="E250" s="127">
        <v>0.33</v>
      </c>
      <c r="F250" s="127">
        <f t="shared" si="4"/>
        <v>0.33</v>
      </c>
    </row>
    <row r="251" spans="1:6">
      <c r="A251" s="257">
        <v>469</v>
      </c>
      <c r="B251" s="255" t="s">
        <v>11</v>
      </c>
      <c r="C251" s="255" t="s">
        <v>757</v>
      </c>
      <c r="D251" s="127">
        <v>0.33</v>
      </c>
      <c r="E251" s="127">
        <v>0.33</v>
      </c>
      <c r="F251" s="127">
        <f t="shared" si="4"/>
        <v>0.33</v>
      </c>
    </row>
    <row r="252" spans="1:6">
      <c r="A252" s="257">
        <v>470</v>
      </c>
      <c r="B252" s="255" t="s">
        <v>102</v>
      </c>
      <c r="C252" s="255" t="s">
        <v>758</v>
      </c>
      <c r="D252" s="127">
        <v>0.316</v>
      </c>
      <c r="E252" s="127">
        <v>0.32</v>
      </c>
      <c r="F252" s="127">
        <f t="shared" si="4"/>
        <v>0.316</v>
      </c>
    </row>
    <row r="253" spans="1:6">
      <c r="A253" s="257">
        <v>471</v>
      </c>
      <c r="B253" s="255" t="s">
        <v>102</v>
      </c>
      <c r="C253" s="255" t="s">
        <v>759</v>
      </c>
      <c r="D253" s="127">
        <v>0.316</v>
      </c>
      <c r="E253" s="127">
        <v>0.32</v>
      </c>
      <c r="F253" s="127">
        <f t="shared" si="4"/>
        <v>0.316</v>
      </c>
    </row>
    <row r="254" spans="1:6">
      <c r="A254" s="257">
        <v>473</v>
      </c>
      <c r="B254" s="255" t="s">
        <v>87</v>
      </c>
      <c r="C254" s="255" t="s">
        <v>760</v>
      </c>
      <c r="D254" s="127">
        <v>0.316</v>
      </c>
      <c r="E254" s="127">
        <v>0.32</v>
      </c>
      <c r="F254" s="127">
        <f t="shared" si="4"/>
        <v>0.316</v>
      </c>
    </row>
    <row r="255" spans="1:6">
      <c r="A255" s="257">
        <v>474</v>
      </c>
      <c r="B255" s="255" t="s">
        <v>97</v>
      </c>
      <c r="C255" s="255" t="s">
        <v>761</v>
      </c>
      <c r="D255" s="127">
        <v>0.33</v>
      </c>
      <c r="E255" s="127">
        <v>0.33</v>
      </c>
      <c r="F255" s="127">
        <f t="shared" si="4"/>
        <v>0.33</v>
      </c>
    </row>
    <row r="256" spans="1:6">
      <c r="A256" s="257">
        <v>475</v>
      </c>
      <c r="B256" s="255" t="s">
        <v>105</v>
      </c>
      <c r="C256" s="255" t="s">
        <v>762</v>
      </c>
      <c r="D256" s="127">
        <v>0.316</v>
      </c>
      <c r="E256" s="127">
        <v>0.33</v>
      </c>
      <c r="F256" s="127">
        <f t="shared" si="4"/>
        <v>0.316</v>
      </c>
    </row>
    <row r="257" spans="1:6">
      <c r="A257" s="257">
        <v>476</v>
      </c>
      <c r="B257" s="255" t="s">
        <v>5</v>
      </c>
      <c r="C257" s="255" t="s">
        <v>763</v>
      </c>
      <c r="D257" s="127">
        <v>0.316</v>
      </c>
      <c r="E257" s="127">
        <v>0.32</v>
      </c>
      <c r="F257" s="127">
        <f t="shared" si="4"/>
        <v>0.316</v>
      </c>
    </row>
    <row r="258" spans="1:6">
      <c r="A258" s="257">
        <v>477</v>
      </c>
      <c r="B258" s="255" t="s">
        <v>5</v>
      </c>
      <c r="C258" s="255" t="s">
        <v>764</v>
      </c>
      <c r="D258" s="127">
        <v>0.33</v>
      </c>
      <c r="E258" s="127">
        <v>0.33</v>
      </c>
      <c r="F258" s="127">
        <f t="shared" si="4"/>
        <v>0.33</v>
      </c>
    </row>
    <row r="259" spans="1:6">
      <c r="A259" s="257">
        <v>479</v>
      </c>
      <c r="B259" s="255" t="s">
        <v>71</v>
      </c>
      <c r="C259" s="255" t="s">
        <v>765</v>
      </c>
      <c r="D259" s="127">
        <v>0.316</v>
      </c>
      <c r="E259" s="127">
        <v>0.32</v>
      </c>
      <c r="F259" s="127">
        <f t="shared" si="4"/>
        <v>0.316</v>
      </c>
    </row>
    <row r="260" spans="1:6">
      <c r="A260" s="257">
        <v>480</v>
      </c>
      <c r="B260" s="255" t="s">
        <v>106</v>
      </c>
      <c r="C260" s="255" t="s">
        <v>766</v>
      </c>
      <c r="D260" s="127">
        <v>0.316</v>
      </c>
      <c r="E260" s="127">
        <v>0.33</v>
      </c>
      <c r="F260" s="127">
        <f t="shared" ref="F260:F288" si="5">MIN(D260:E260)</f>
        <v>0.316</v>
      </c>
    </row>
    <row r="261" spans="1:6">
      <c r="A261" s="257">
        <v>481</v>
      </c>
      <c r="B261" s="255" t="s">
        <v>87</v>
      </c>
      <c r="C261" s="255" t="s">
        <v>767</v>
      </c>
      <c r="D261" s="127">
        <v>0.33</v>
      </c>
      <c r="E261" s="127">
        <v>0.33</v>
      </c>
      <c r="F261" s="127">
        <f t="shared" si="5"/>
        <v>0.33</v>
      </c>
    </row>
    <row r="262" spans="1:6">
      <c r="A262" s="257">
        <v>482</v>
      </c>
      <c r="B262" s="255" t="s">
        <v>104</v>
      </c>
      <c r="C262" s="255" t="s">
        <v>768</v>
      </c>
      <c r="D262" s="127">
        <v>0.316</v>
      </c>
      <c r="E262" s="127">
        <v>0.33</v>
      </c>
      <c r="F262" s="127">
        <f t="shared" si="5"/>
        <v>0.316</v>
      </c>
    </row>
    <row r="263" spans="1:6">
      <c r="A263" s="257">
        <v>483</v>
      </c>
      <c r="B263" s="255" t="s">
        <v>106</v>
      </c>
      <c r="C263" s="255" t="s">
        <v>769</v>
      </c>
      <c r="D263" s="127">
        <v>0.31</v>
      </c>
      <c r="E263" s="127">
        <v>0.31</v>
      </c>
      <c r="F263" s="127">
        <f t="shared" si="5"/>
        <v>0.31</v>
      </c>
    </row>
    <row r="264" spans="1:6">
      <c r="A264" s="257">
        <v>484</v>
      </c>
      <c r="B264" s="255" t="s">
        <v>83</v>
      </c>
      <c r="C264" s="255" t="s">
        <v>770</v>
      </c>
      <c r="D264" s="127">
        <v>0.316</v>
      </c>
      <c r="E264" s="127">
        <v>0.33</v>
      </c>
      <c r="F264" s="127">
        <f t="shared" si="5"/>
        <v>0.316</v>
      </c>
    </row>
    <row r="265" spans="1:6">
      <c r="A265" s="257">
        <v>487</v>
      </c>
      <c r="B265" s="255" t="s">
        <v>87</v>
      </c>
      <c r="C265" s="255" t="s">
        <v>771</v>
      </c>
      <c r="D265" s="127">
        <v>0.33</v>
      </c>
      <c r="E265" s="127">
        <v>0.33</v>
      </c>
      <c r="F265" s="127">
        <f t="shared" si="5"/>
        <v>0.33</v>
      </c>
    </row>
    <row r="266" spans="1:6">
      <c r="A266" s="257">
        <v>489</v>
      </c>
      <c r="B266" s="255" t="s">
        <v>84</v>
      </c>
      <c r="C266" s="255" t="s">
        <v>772</v>
      </c>
      <c r="D266" s="127">
        <v>0.316</v>
      </c>
      <c r="E266" s="127">
        <v>0.33</v>
      </c>
      <c r="F266" s="127">
        <f t="shared" si="5"/>
        <v>0.316</v>
      </c>
    </row>
    <row r="267" spans="1:6">
      <c r="A267" s="257">
        <v>490</v>
      </c>
      <c r="B267" s="255" t="s">
        <v>10</v>
      </c>
      <c r="C267" s="255" t="s">
        <v>773</v>
      </c>
      <c r="D267" s="127">
        <v>0.33</v>
      </c>
      <c r="E267" s="127">
        <v>0.33</v>
      </c>
      <c r="F267" s="127">
        <f t="shared" si="5"/>
        <v>0.33</v>
      </c>
    </row>
    <row r="268" spans="1:6">
      <c r="A268" s="257">
        <v>491</v>
      </c>
      <c r="B268" s="255" t="s">
        <v>63</v>
      </c>
      <c r="C268" s="255" t="s">
        <v>774</v>
      </c>
      <c r="D268" s="127">
        <v>0.33</v>
      </c>
      <c r="E268" s="127">
        <v>0.33</v>
      </c>
      <c r="F268" s="127">
        <f t="shared" si="5"/>
        <v>0.33</v>
      </c>
    </row>
    <row r="269" spans="1:6">
      <c r="A269" s="257">
        <v>492</v>
      </c>
      <c r="B269" s="255" t="s">
        <v>10</v>
      </c>
      <c r="C269" s="255" t="s">
        <v>775</v>
      </c>
      <c r="D269" s="127">
        <v>0.33</v>
      </c>
      <c r="E269" s="127">
        <v>0.33</v>
      </c>
      <c r="F269" s="127">
        <f t="shared" si="5"/>
        <v>0.33</v>
      </c>
    </row>
    <row r="270" spans="1:6">
      <c r="A270" s="257">
        <v>493</v>
      </c>
      <c r="B270" s="255" t="s">
        <v>29</v>
      </c>
      <c r="C270" s="255" t="s">
        <v>776</v>
      </c>
      <c r="D270" s="127">
        <v>0.316</v>
      </c>
      <c r="E270" s="127">
        <v>0.33</v>
      </c>
      <c r="F270" s="127">
        <f t="shared" si="5"/>
        <v>0.316</v>
      </c>
    </row>
    <row r="271" spans="1:6">
      <c r="A271" s="257">
        <v>494</v>
      </c>
      <c r="B271" s="255" t="s">
        <v>85</v>
      </c>
      <c r="C271" s="255" t="s">
        <v>777</v>
      </c>
      <c r="D271" s="127">
        <v>0.316</v>
      </c>
      <c r="E271" s="127">
        <v>0.33</v>
      </c>
      <c r="F271" s="127">
        <f t="shared" si="5"/>
        <v>0.316</v>
      </c>
    </row>
    <row r="272" spans="1:6">
      <c r="A272" s="257">
        <v>495</v>
      </c>
      <c r="B272" s="255" t="s">
        <v>107</v>
      </c>
      <c r="C272" s="255" t="s">
        <v>778</v>
      </c>
      <c r="D272" s="127">
        <v>0.33</v>
      </c>
      <c r="E272" s="127">
        <v>0.33</v>
      </c>
      <c r="F272" s="127">
        <f t="shared" si="5"/>
        <v>0.33</v>
      </c>
    </row>
    <row r="273" spans="1:6">
      <c r="A273" s="257">
        <v>496</v>
      </c>
      <c r="B273" s="255" t="s">
        <v>107</v>
      </c>
      <c r="C273" s="255" t="s">
        <v>779</v>
      </c>
      <c r="D273" s="127">
        <v>0.33</v>
      </c>
      <c r="E273" s="127">
        <v>0.33</v>
      </c>
      <c r="F273" s="127">
        <f t="shared" si="5"/>
        <v>0.33</v>
      </c>
    </row>
    <row r="274" spans="1:6">
      <c r="A274" s="257">
        <v>497</v>
      </c>
      <c r="B274" s="255" t="s">
        <v>63</v>
      </c>
      <c r="C274" s="255" t="s">
        <v>780</v>
      </c>
      <c r="D274" s="127">
        <v>0.33</v>
      </c>
      <c r="E274" s="127">
        <v>0.33</v>
      </c>
      <c r="F274" s="127">
        <f t="shared" si="5"/>
        <v>0.33</v>
      </c>
    </row>
    <row r="275" spans="1:6">
      <c r="A275" s="257">
        <v>498</v>
      </c>
      <c r="B275" s="255" t="s">
        <v>70</v>
      </c>
      <c r="C275" s="255" t="s">
        <v>781</v>
      </c>
      <c r="D275" s="127">
        <v>0.33</v>
      </c>
      <c r="E275" s="127">
        <v>0.33</v>
      </c>
      <c r="F275" s="127">
        <f t="shared" si="5"/>
        <v>0.33</v>
      </c>
    </row>
    <row r="276" spans="1:6">
      <c r="A276" s="257">
        <v>499</v>
      </c>
      <c r="B276" s="255" t="s">
        <v>29</v>
      </c>
      <c r="C276" s="255" t="s">
        <v>782</v>
      </c>
      <c r="D276" s="127">
        <v>0.33</v>
      </c>
      <c r="E276" s="127">
        <v>0.33</v>
      </c>
      <c r="F276" s="127">
        <f t="shared" si="5"/>
        <v>0.33</v>
      </c>
    </row>
    <row r="277" spans="1:6">
      <c r="A277" s="257">
        <v>500</v>
      </c>
      <c r="B277" s="255" t="s">
        <v>9</v>
      </c>
      <c r="C277" s="255" t="s">
        <v>783</v>
      </c>
      <c r="D277" s="127">
        <v>0.33</v>
      </c>
      <c r="E277" s="127">
        <v>0.33</v>
      </c>
      <c r="F277" s="127">
        <f t="shared" si="5"/>
        <v>0.33</v>
      </c>
    </row>
    <row r="278" spans="1:6">
      <c r="A278" s="257">
        <v>501</v>
      </c>
      <c r="B278" s="255" t="s">
        <v>61</v>
      </c>
      <c r="C278" s="255" t="s">
        <v>784</v>
      </c>
      <c r="D278" s="127">
        <v>0.33</v>
      </c>
      <c r="E278" s="127">
        <v>0.33</v>
      </c>
      <c r="F278" s="127">
        <f t="shared" si="5"/>
        <v>0.33</v>
      </c>
    </row>
    <row r="279" spans="1:6">
      <c r="A279" s="257">
        <v>502</v>
      </c>
      <c r="B279" s="255" t="s">
        <v>62</v>
      </c>
      <c r="C279" s="255" t="s">
        <v>785</v>
      </c>
      <c r="D279" s="127">
        <v>0.316</v>
      </c>
      <c r="E279" s="127">
        <v>0.33</v>
      </c>
      <c r="F279" s="127">
        <f t="shared" si="5"/>
        <v>0.316</v>
      </c>
    </row>
    <row r="280" spans="1:6">
      <c r="A280" s="257">
        <v>503</v>
      </c>
      <c r="B280" s="255" t="s">
        <v>108</v>
      </c>
      <c r="C280" s="255" t="s">
        <v>786</v>
      </c>
      <c r="D280" s="127">
        <v>0.33</v>
      </c>
      <c r="E280" s="127">
        <v>0.33</v>
      </c>
      <c r="F280" s="127">
        <f t="shared" si="5"/>
        <v>0.33</v>
      </c>
    </row>
    <row r="281" spans="1:6">
      <c r="A281" s="257">
        <v>504</v>
      </c>
      <c r="B281" s="255" t="s">
        <v>108</v>
      </c>
      <c r="C281" s="255" t="s">
        <v>787</v>
      </c>
      <c r="D281" s="127">
        <v>0.33</v>
      </c>
      <c r="E281" s="127">
        <v>0.33</v>
      </c>
      <c r="F281" s="127">
        <f t="shared" si="5"/>
        <v>0.33</v>
      </c>
    </row>
    <row r="282" spans="1:6">
      <c r="A282" s="257">
        <v>505</v>
      </c>
      <c r="B282" s="255" t="s">
        <v>108</v>
      </c>
      <c r="C282" s="255" t="s">
        <v>788</v>
      </c>
      <c r="D282" s="127">
        <v>0.33</v>
      </c>
      <c r="E282" s="127">
        <v>0.33</v>
      </c>
      <c r="F282" s="127">
        <f t="shared" si="5"/>
        <v>0.33</v>
      </c>
    </row>
    <row r="283" spans="1:6">
      <c r="A283" s="257">
        <v>506</v>
      </c>
      <c r="B283" s="255" t="s">
        <v>108</v>
      </c>
      <c r="C283" s="255" t="s">
        <v>789</v>
      </c>
      <c r="D283" s="127">
        <v>0.316</v>
      </c>
      <c r="E283" s="127">
        <v>0.33</v>
      </c>
      <c r="F283" s="127">
        <f t="shared" si="5"/>
        <v>0.316</v>
      </c>
    </row>
    <row r="284" spans="1:6">
      <c r="A284" s="257">
        <v>507</v>
      </c>
      <c r="B284" s="255" t="s">
        <v>75</v>
      </c>
      <c r="C284" s="255" t="s">
        <v>790</v>
      </c>
      <c r="D284" s="127">
        <v>0.316</v>
      </c>
      <c r="E284" s="127">
        <v>0.33</v>
      </c>
      <c r="F284" s="127">
        <f t="shared" si="5"/>
        <v>0.316</v>
      </c>
    </row>
    <row r="285" spans="1:6">
      <c r="A285" s="257">
        <v>508</v>
      </c>
      <c r="B285" s="255" t="s">
        <v>29</v>
      </c>
      <c r="C285" s="255" t="s">
        <v>791</v>
      </c>
      <c r="D285" s="127">
        <v>0.33</v>
      </c>
      <c r="E285" s="127">
        <v>0.33</v>
      </c>
      <c r="F285" s="127">
        <f t="shared" si="5"/>
        <v>0.33</v>
      </c>
    </row>
    <row r="286" spans="1:6">
      <c r="A286" s="257">
        <v>509</v>
      </c>
      <c r="B286" s="255" t="s">
        <v>66</v>
      </c>
      <c r="C286" s="255" t="s">
        <v>792</v>
      </c>
      <c r="D286" s="127">
        <v>0.33</v>
      </c>
      <c r="E286" s="127">
        <v>0.33</v>
      </c>
      <c r="F286" s="127">
        <f t="shared" si="5"/>
        <v>0.33</v>
      </c>
    </row>
    <row r="287" spans="1:6">
      <c r="A287" s="257">
        <v>511</v>
      </c>
      <c r="B287" s="255" t="s">
        <v>68</v>
      </c>
      <c r="C287" s="255" t="s">
        <v>793</v>
      </c>
      <c r="D287" s="127">
        <v>0.33</v>
      </c>
      <c r="E287" s="127">
        <v>0.33</v>
      </c>
      <c r="F287" s="127">
        <f t="shared" si="5"/>
        <v>0.33</v>
      </c>
    </row>
    <row r="288" spans="1:6">
      <c r="A288" s="257">
        <v>512</v>
      </c>
      <c r="B288" s="255" t="s">
        <v>22</v>
      </c>
      <c r="C288" s="255" t="s">
        <v>794</v>
      </c>
      <c r="D288" s="127">
        <v>0.33</v>
      </c>
      <c r="E288" s="127">
        <v>0.33</v>
      </c>
      <c r="F288" s="127">
        <f t="shared" si="5"/>
        <v>0.33</v>
      </c>
    </row>
  </sheetData>
  <autoFilter ref="A2:F288" xr:uid="{A000F3FF-73EC-4991-8DB2-026E70D5311B}"/>
  <printOptions horizontalCentered="1" gridLines="1"/>
  <pageMargins left="0.45" right="0.45" top="0.5" bottom="0.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I290"/>
  <sheetViews>
    <sheetView workbookViewId="0">
      <pane xSplit="1" ySplit="4" topLeftCell="B5" activePane="bottomRight" state="frozen"/>
      <selection pane="topRight" activeCell="B1" sqref="B1"/>
      <selection pane="bottomLeft" activeCell="A7" sqref="A7"/>
      <selection pane="bottomRight"/>
    </sheetView>
  </sheetViews>
  <sheetFormatPr defaultColWidth="9.109375" defaultRowHeight="13.2"/>
  <cols>
    <col min="1" max="1" width="9.109375" style="134"/>
    <col min="2" max="2" width="11.6640625" style="129" bestFit="1" customWidth="1"/>
    <col min="3" max="3" width="23.88671875" style="129" bestFit="1" customWidth="1"/>
    <col min="4" max="4" width="8.88671875" style="129" bestFit="1" customWidth="1"/>
    <col min="5" max="5" width="11.6640625" style="129" customWidth="1"/>
    <col min="6" max="6" width="11.6640625" style="129" bestFit="1" customWidth="1"/>
    <col min="7" max="7" width="11.5546875" style="129" customWidth="1"/>
    <col min="8" max="9" width="11.5546875" style="129" bestFit="1" customWidth="1"/>
    <col min="10" max="16384" width="9.109375" style="129"/>
  </cols>
  <sheetData>
    <row r="1" spans="1:9">
      <c r="D1" s="134" t="s">
        <v>154</v>
      </c>
      <c r="E1" s="134" t="s">
        <v>3672</v>
      </c>
      <c r="F1" s="134" t="s">
        <v>155</v>
      </c>
      <c r="G1" s="134"/>
      <c r="H1" s="134" t="s">
        <v>156</v>
      </c>
      <c r="I1" s="134" t="s">
        <v>157</v>
      </c>
    </row>
    <row r="2" spans="1:9">
      <c r="E2" s="134" t="s">
        <v>3671</v>
      </c>
    </row>
    <row r="3" spans="1:9" ht="52.8">
      <c r="A3" s="130" t="s">
        <v>170</v>
      </c>
      <c r="B3" s="130" t="s">
        <v>171</v>
      </c>
      <c r="C3" s="130" t="s">
        <v>172</v>
      </c>
      <c r="D3" s="144" t="s">
        <v>1048</v>
      </c>
      <c r="E3" s="144" t="s">
        <v>813</v>
      </c>
      <c r="F3" s="131" t="s">
        <v>813</v>
      </c>
      <c r="G3" s="131" t="s">
        <v>1046</v>
      </c>
      <c r="H3" s="131" t="s">
        <v>1046</v>
      </c>
      <c r="I3" s="131" t="s">
        <v>884</v>
      </c>
    </row>
    <row r="4" spans="1:9">
      <c r="A4" s="145" t="s">
        <v>189</v>
      </c>
      <c r="B4" s="145"/>
      <c r="C4" s="146" t="s">
        <v>796</v>
      </c>
      <c r="D4" s="147"/>
      <c r="E4" s="285">
        <f>SUM(E5:E290)</f>
        <v>142</v>
      </c>
      <c r="F4" s="148"/>
      <c r="G4" s="148"/>
      <c r="H4" s="148"/>
      <c r="I4" s="148"/>
    </row>
    <row r="5" spans="1:9">
      <c r="A5" s="134" t="s">
        <v>190</v>
      </c>
      <c r="B5" s="129" t="s">
        <v>4</v>
      </c>
      <c r="C5" s="129" t="s">
        <v>511</v>
      </c>
      <c r="D5" s="149" t="s">
        <v>928</v>
      </c>
      <c r="E5" s="150">
        <v>1</v>
      </c>
      <c r="F5" s="149" t="str">
        <f>IF(E5&gt;0, "YES", "NO")</f>
        <v>YES</v>
      </c>
      <c r="G5" s="151">
        <f>SUM('2024 Legal Max'!O5-'2024 Legal Max'!K5)</f>
        <v>-23.5</v>
      </c>
      <c r="H5" s="149" t="str">
        <f t="shared" ref="H5:H6" si="0">IF(G5&lt;0, "YES", "NO")</f>
        <v>YES</v>
      </c>
      <c r="I5" s="149" t="str">
        <f t="shared" ref="I5:I68" si="1">IF(AND(D5="YES", F5="YES", H5="YES"), "YES", "NO")</f>
        <v>NO</v>
      </c>
    </row>
    <row r="6" spans="1:9">
      <c r="A6" s="134" t="s">
        <v>191</v>
      </c>
      <c r="B6" s="129" t="s">
        <v>5</v>
      </c>
      <c r="C6" s="129" t="s">
        <v>801</v>
      </c>
      <c r="D6" s="149" t="s">
        <v>928</v>
      </c>
      <c r="E6" s="150">
        <v>1</v>
      </c>
      <c r="F6" s="149" t="s">
        <v>928</v>
      </c>
      <c r="G6" s="151">
        <f>SUM('2024 Legal Max'!O6-'2024 Legal Max'!K6)</f>
        <v>-36.4</v>
      </c>
      <c r="H6" s="149" t="str">
        <f t="shared" si="0"/>
        <v>YES</v>
      </c>
      <c r="I6" s="149" t="str">
        <f t="shared" si="1"/>
        <v>NO</v>
      </c>
    </row>
    <row r="7" spans="1:9">
      <c r="A7" s="134" t="s">
        <v>192</v>
      </c>
      <c r="B7" s="129" t="s">
        <v>6</v>
      </c>
      <c r="C7" s="129" t="s">
        <v>512</v>
      </c>
      <c r="D7" s="149" t="s">
        <v>928</v>
      </c>
      <c r="E7" s="150">
        <v>0</v>
      </c>
      <c r="F7" s="149" t="str">
        <f t="shared" ref="F7:F70" si="2">IF(E7&gt;0, "YES", "NO")</f>
        <v>NO</v>
      </c>
      <c r="G7" s="151">
        <f>SUM('2024 Legal Max'!O7-'2024 Legal Max'!K7)</f>
        <v>2.2000000000000002</v>
      </c>
      <c r="H7" s="149" t="str">
        <f t="shared" ref="H7:H70" si="3">IF(G7&lt;0, "YES", "NO")</f>
        <v>NO</v>
      </c>
      <c r="I7" s="149" t="str">
        <f t="shared" si="1"/>
        <v>NO</v>
      </c>
    </row>
    <row r="8" spans="1:9">
      <c r="A8" s="134" t="s">
        <v>193</v>
      </c>
      <c r="B8" s="129" t="s">
        <v>51</v>
      </c>
      <c r="C8" s="129" t="s">
        <v>513</v>
      </c>
      <c r="D8" s="149" t="s">
        <v>928</v>
      </c>
      <c r="E8" s="150">
        <v>0</v>
      </c>
      <c r="F8" s="149" t="str">
        <f t="shared" si="2"/>
        <v>NO</v>
      </c>
      <c r="G8" s="151">
        <f>SUM('2024 Legal Max'!O8-'2024 Legal Max'!K8)</f>
        <v>13.6</v>
      </c>
      <c r="H8" s="149" t="str">
        <f t="shared" si="3"/>
        <v>NO</v>
      </c>
      <c r="I8" s="149" t="str">
        <f t="shared" si="1"/>
        <v>NO</v>
      </c>
    </row>
    <row r="9" spans="1:9">
      <c r="A9" s="134" t="s">
        <v>194</v>
      </c>
      <c r="B9" s="129" t="s">
        <v>47</v>
      </c>
      <c r="C9" s="129" t="s">
        <v>514</v>
      </c>
      <c r="D9" s="149" t="s">
        <v>928</v>
      </c>
      <c r="E9" s="150">
        <v>0</v>
      </c>
      <c r="F9" s="149" t="str">
        <f t="shared" si="2"/>
        <v>NO</v>
      </c>
      <c r="G9" s="151">
        <f>SUM('2024 Legal Max'!O9-'2024 Legal Max'!K9)</f>
        <v>-1</v>
      </c>
      <c r="H9" s="149" t="str">
        <f t="shared" si="3"/>
        <v>YES</v>
      </c>
      <c r="I9" s="149" t="str">
        <f t="shared" si="1"/>
        <v>NO</v>
      </c>
    </row>
    <row r="10" spans="1:9">
      <c r="A10" s="134" t="s">
        <v>195</v>
      </c>
      <c r="B10" s="129" t="s">
        <v>7</v>
      </c>
      <c r="C10" s="129" t="s">
        <v>515</v>
      </c>
      <c r="D10" s="149" t="s">
        <v>928</v>
      </c>
      <c r="E10" s="150">
        <v>1</v>
      </c>
      <c r="F10" s="149" t="str">
        <f t="shared" si="2"/>
        <v>YES</v>
      </c>
      <c r="G10" s="151">
        <f>SUM('2024 Legal Max'!O10-'2024 Legal Max'!K10)</f>
        <v>-18.5</v>
      </c>
      <c r="H10" s="149" t="str">
        <f t="shared" si="3"/>
        <v>YES</v>
      </c>
      <c r="I10" s="149" t="str">
        <f t="shared" si="1"/>
        <v>NO</v>
      </c>
    </row>
    <row r="11" spans="1:9">
      <c r="A11" s="134" t="s">
        <v>196</v>
      </c>
      <c r="B11" s="129" t="s">
        <v>19</v>
      </c>
      <c r="C11" s="129" t="s">
        <v>516</v>
      </c>
      <c r="D11" s="149" t="s">
        <v>928</v>
      </c>
      <c r="E11" s="150">
        <v>0</v>
      </c>
      <c r="F11" s="149" t="str">
        <f t="shared" si="2"/>
        <v>NO</v>
      </c>
      <c r="G11" s="151">
        <f>SUM('2024 Legal Max'!O11-'2024 Legal Max'!K11)</f>
        <v>0.5</v>
      </c>
      <c r="H11" s="149" t="str">
        <f t="shared" si="3"/>
        <v>NO</v>
      </c>
      <c r="I11" s="149" t="str">
        <f t="shared" si="1"/>
        <v>NO</v>
      </c>
    </row>
    <row r="12" spans="1:9">
      <c r="A12" s="134" t="s">
        <v>197</v>
      </c>
      <c r="B12" s="129" t="s">
        <v>98</v>
      </c>
      <c r="C12" s="129" t="s">
        <v>517</v>
      </c>
      <c r="D12" s="149" t="s">
        <v>928</v>
      </c>
      <c r="E12" s="150">
        <v>0</v>
      </c>
      <c r="F12" s="149" t="str">
        <f t="shared" si="2"/>
        <v>NO</v>
      </c>
      <c r="G12" s="151">
        <f>SUM('2024 Legal Max'!O12-'2024 Legal Max'!K12)</f>
        <v>-2.5</v>
      </c>
      <c r="H12" s="149" t="str">
        <f t="shared" si="3"/>
        <v>YES</v>
      </c>
      <c r="I12" s="149" t="str">
        <f t="shared" si="1"/>
        <v>NO</v>
      </c>
    </row>
    <row r="13" spans="1:9">
      <c r="A13" s="134" t="s">
        <v>198</v>
      </c>
      <c r="B13" s="129" t="s">
        <v>53</v>
      </c>
      <c r="C13" s="129" t="s">
        <v>518</v>
      </c>
      <c r="D13" s="149" t="s">
        <v>931</v>
      </c>
      <c r="E13" s="150">
        <v>0</v>
      </c>
      <c r="F13" s="149" t="str">
        <f t="shared" si="2"/>
        <v>NO</v>
      </c>
      <c r="G13" s="151">
        <f>SUM('2024 Legal Max'!O13-'2024 Legal Max'!K13)</f>
        <v>-6.5</v>
      </c>
      <c r="H13" s="149" t="str">
        <f t="shared" si="3"/>
        <v>YES</v>
      </c>
      <c r="I13" s="149" t="str">
        <f t="shared" si="1"/>
        <v>NO</v>
      </c>
    </row>
    <row r="14" spans="1:9">
      <c r="A14" s="134" t="s">
        <v>199</v>
      </c>
      <c r="B14" s="129" t="s">
        <v>92</v>
      </c>
      <c r="C14" s="129" t="s">
        <v>519</v>
      </c>
      <c r="D14" s="149" t="s">
        <v>928</v>
      </c>
      <c r="E14" s="150">
        <v>0</v>
      </c>
      <c r="F14" s="149" t="str">
        <f t="shared" si="2"/>
        <v>NO</v>
      </c>
      <c r="G14" s="151">
        <f>SUM('2024 Legal Max'!O14-'2024 Legal Max'!K14)</f>
        <v>20.3</v>
      </c>
      <c r="H14" s="149" t="str">
        <f t="shared" si="3"/>
        <v>NO</v>
      </c>
      <c r="I14" s="149" t="str">
        <f t="shared" si="1"/>
        <v>NO</v>
      </c>
    </row>
    <row r="15" spans="1:9">
      <c r="A15" s="134" t="s">
        <v>200</v>
      </c>
      <c r="B15" s="129" t="s">
        <v>54</v>
      </c>
      <c r="C15" s="129" t="s">
        <v>520</v>
      </c>
      <c r="D15" s="149" t="s">
        <v>928</v>
      </c>
      <c r="E15" s="150">
        <v>0</v>
      </c>
      <c r="F15" s="149" t="str">
        <f t="shared" si="2"/>
        <v>NO</v>
      </c>
      <c r="G15" s="151">
        <f>SUM('2024 Legal Max'!O15-'2024 Legal Max'!K15)</f>
        <v>31.3</v>
      </c>
      <c r="H15" s="149" t="str">
        <f t="shared" si="3"/>
        <v>NO</v>
      </c>
      <c r="I15" s="149" t="str">
        <f t="shared" si="1"/>
        <v>NO</v>
      </c>
    </row>
    <row r="16" spans="1:9">
      <c r="A16" s="134" t="s">
        <v>201</v>
      </c>
      <c r="B16" s="129" t="s">
        <v>100</v>
      </c>
      <c r="C16" s="129" t="s">
        <v>521</v>
      </c>
      <c r="D16" s="149" t="s">
        <v>928</v>
      </c>
      <c r="E16" s="150">
        <v>1</v>
      </c>
      <c r="F16" s="149" t="str">
        <f t="shared" si="2"/>
        <v>YES</v>
      </c>
      <c r="G16" s="151">
        <f>SUM('2024 Legal Max'!O16-'2024 Legal Max'!K16)</f>
        <v>5.9</v>
      </c>
      <c r="H16" s="149" t="str">
        <f t="shared" si="3"/>
        <v>NO</v>
      </c>
      <c r="I16" s="149" t="str">
        <f t="shared" si="1"/>
        <v>NO</v>
      </c>
    </row>
    <row r="17" spans="1:9">
      <c r="A17" s="134" t="s">
        <v>202</v>
      </c>
      <c r="B17" s="129" t="s">
        <v>92</v>
      </c>
      <c r="C17" s="129" t="s">
        <v>522</v>
      </c>
      <c r="D17" s="149" t="s">
        <v>928</v>
      </c>
      <c r="E17" s="150">
        <v>0</v>
      </c>
      <c r="F17" s="149" t="str">
        <f t="shared" si="2"/>
        <v>NO</v>
      </c>
      <c r="G17" s="151">
        <f>SUM('2024 Legal Max'!O17-'2024 Legal Max'!K17)</f>
        <v>14.2</v>
      </c>
      <c r="H17" s="149" t="str">
        <f t="shared" si="3"/>
        <v>NO</v>
      </c>
      <c r="I17" s="149" t="str">
        <f t="shared" si="1"/>
        <v>NO</v>
      </c>
    </row>
    <row r="18" spans="1:9">
      <c r="A18" s="134" t="s">
        <v>203</v>
      </c>
      <c r="B18" s="129" t="s">
        <v>100</v>
      </c>
      <c r="C18" s="129" t="s">
        <v>523</v>
      </c>
      <c r="D18" s="149" t="s">
        <v>928</v>
      </c>
      <c r="E18" s="150">
        <v>0</v>
      </c>
      <c r="F18" s="149" t="str">
        <f t="shared" si="2"/>
        <v>NO</v>
      </c>
      <c r="G18" s="151">
        <f>SUM('2024 Legal Max'!O18-'2024 Legal Max'!K18)</f>
        <v>55</v>
      </c>
      <c r="H18" s="149" t="str">
        <f t="shared" si="3"/>
        <v>NO</v>
      </c>
      <c r="I18" s="149" t="str">
        <f t="shared" si="1"/>
        <v>NO</v>
      </c>
    </row>
    <row r="19" spans="1:9">
      <c r="A19" s="134" t="s">
        <v>204</v>
      </c>
      <c r="B19" s="129" t="s">
        <v>8</v>
      </c>
      <c r="C19" s="129" t="s">
        <v>524</v>
      </c>
      <c r="D19" s="149" t="s">
        <v>928</v>
      </c>
      <c r="E19" s="150">
        <v>0</v>
      </c>
      <c r="F19" s="149" t="str">
        <f t="shared" si="2"/>
        <v>NO</v>
      </c>
      <c r="G19" s="151">
        <f>SUM('2024 Legal Max'!O19-'2024 Legal Max'!K19)</f>
        <v>-12.5</v>
      </c>
      <c r="H19" s="149" t="str">
        <f t="shared" si="3"/>
        <v>YES</v>
      </c>
      <c r="I19" s="149" t="str">
        <f t="shared" si="1"/>
        <v>NO</v>
      </c>
    </row>
    <row r="20" spans="1:9">
      <c r="A20" s="134" t="s">
        <v>205</v>
      </c>
      <c r="B20" s="129" t="s">
        <v>9</v>
      </c>
      <c r="C20" s="129" t="s">
        <v>525</v>
      </c>
      <c r="D20" s="149" t="s">
        <v>928</v>
      </c>
      <c r="E20" s="150">
        <v>0</v>
      </c>
      <c r="F20" s="149" t="str">
        <f t="shared" si="2"/>
        <v>NO</v>
      </c>
      <c r="G20" s="151">
        <f>SUM('2024 Legal Max'!O20-'2024 Legal Max'!K20)</f>
        <v>-75</v>
      </c>
      <c r="H20" s="149" t="str">
        <f t="shared" si="3"/>
        <v>YES</v>
      </c>
      <c r="I20" s="149" t="str">
        <f t="shared" si="1"/>
        <v>NO</v>
      </c>
    </row>
    <row r="21" spans="1:9">
      <c r="A21" s="134" t="s">
        <v>206</v>
      </c>
      <c r="B21" s="129" t="s">
        <v>9</v>
      </c>
      <c r="C21" s="129" t="s">
        <v>526</v>
      </c>
      <c r="D21" s="149" t="s">
        <v>928</v>
      </c>
      <c r="E21" s="150">
        <v>1</v>
      </c>
      <c r="F21" s="149" t="str">
        <f t="shared" si="2"/>
        <v>YES</v>
      </c>
      <c r="G21" s="151">
        <f>SUM('2024 Legal Max'!O21-'2024 Legal Max'!K21)</f>
        <v>143.5</v>
      </c>
      <c r="H21" s="149" t="str">
        <f t="shared" si="3"/>
        <v>NO</v>
      </c>
      <c r="I21" s="149" t="str">
        <f t="shared" si="1"/>
        <v>NO</v>
      </c>
    </row>
    <row r="22" spans="1:9">
      <c r="A22" s="134" t="s">
        <v>207</v>
      </c>
      <c r="B22" s="129" t="s">
        <v>9</v>
      </c>
      <c r="C22" s="129" t="s">
        <v>527</v>
      </c>
      <c r="D22" s="149" t="s">
        <v>928</v>
      </c>
      <c r="E22" s="150">
        <v>1</v>
      </c>
      <c r="F22" s="149" t="str">
        <f t="shared" si="2"/>
        <v>YES</v>
      </c>
      <c r="G22" s="151">
        <f>SUM('2024 Legal Max'!O22-'2024 Legal Max'!K22)</f>
        <v>-60</v>
      </c>
      <c r="H22" s="149" t="str">
        <f t="shared" si="3"/>
        <v>YES</v>
      </c>
      <c r="I22" s="149" t="str">
        <f t="shared" si="1"/>
        <v>NO</v>
      </c>
    </row>
    <row r="23" spans="1:9">
      <c r="A23" s="134" t="s">
        <v>208</v>
      </c>
      <c r="B23" s="129" t="s">
        <v>10</v>
      </c>
      <c r="C23" s="129" t="s">
        <v>528</v>
      </c>
      <c r="D23" s="149" t="s">
        <v>928</v>
      </c>
      <c r="E23" s="150">
        <v>0</v>
      </c>
      <c r="F23" s="149" t="str">
        <f t="shared" si="2"/>
        <v>NO</v>
      </c>
      <c r="G23" s="151">
        <f>SUM('2024 Legal Max'!O23-'2024 Legal Max'!K23)</f>
        <v>-4.4000000000000004</v>
      </c>
      <c r="H23" s="149" t="str">
        <f t="shared" si="3"/>
        <v>YES</v>
      </c>
      <c r="I23" s="149" t="str">
        <f t="shared" si="1"/>
        <v>NO</v>
      </c>
    </row>
    <row r="24" spans="1:9">
      <c r="A24" s="134" t="s">
        <v>209</v>
      </c>
      <c r="B24" s="129" t="s">
        <v>10</v>
      </c>
      <c r="C24" s="129" t="s">
        <v>529</v>
      </c>
      <c r="D24" s="149" t="s">
        <v>928</v>
      </c>
      <c r="E24" s="150">
        <v>1</v>
      </c>
      <c r="F24" s="149" t="str">
        <f t="shared" si="2"/>
        <v>YES</v>
      </c>
      <c r="G24" s="151">
        <f>SUM('2024 Legal Max'!O24-'2024 Legal Max'!K24)</f>
        <v>-7</v>
      </c>
      <c r="H24" s="149" t="str">
        <f t="shared" si="3"/>
        <v>YES</v>
      </c>
      <c r="I24" s="149" t="str">
        <f t="shared" si="1"/>
        <v>NO</v>
      </c>
    </row>
    <row r="25" spans="1:9">
      <c r="A25" s="134" t="s">
        <v>210</v>
      </c>
      <c r="B25" s="129" t="s">
        <v>11</v>
      </c>
      <c r="C25" s="129" t="s">
        <v>530</v>
      </c>
      <c r="D25" s="149" t="s">
        <v>931</v>
      </c>
      <c r="E25" s="150">
        <v>1</v>
      </c>
      <c r="F25" s="149" t="str">
        <f t="shared" si="2"/>
        <v>YES</v>
      </c>
      <c r="G25" s="151">
        <f>SUM('2024 Legal Max'!O25-'2024 Legal Max'!K25)</f>
        <v>121.9</v>
      </c>
      <c r="H25" s="149" t="str">
        <f t="shared" si="3"/>
        <v>NO</v>
      </c>
      <c r="I25" s="149" t="str">
        <f t="shared" si="1"/>
        <v>NO</v>
      </c>
    </row>
    <row r="26" spans="1:9">
      <c r="A26" s="134" t="s">
        <v>211</v>
      </c>
      <c r="B26" s="129" t="s">
        <v>12</v>
      </c>
      <c r="C26" s="129" t="s">
        <v>531</v>
      </c>
      <c r="D26" s="149" t="s">
        <v>928</v>
      </c>
      <c r="E26" s="150">
        <v>0</v>
      </c>
      <c r="F26" s="149" t="str">
        <f t="shared" si="2"/>
        <v>NO</v>
      </c>
      <c r="G26" s="151">
        <f>SUM('2024 Legal Max'!O26-'2024 Legal Max'!K26)</f>
        <v>-1</v>
      </c>
      <c r="H26" s="149" t="str">
        <f t="shared" si="3"/>
        <v>YES</v>
      </c>
      <c r="I26" s="149" t="str">
        <f t="shared" si="1"/>
        <v>NO</v>
      </c>
    </row>
    <row r="27" spans="1:9">
      <c r="A27" s="134" t="s">
        <v>212</v>
      </c>
      <c r="B27" s="129" t="s">
        <v>13</v>
      </c>
      <c r="C27" s="129" t="s">
        <v>532</v>
      </c>
      <c r="D27" s="149" t="s">
        <v>928</v>
      </c>
      <c r="E27" s="150">
        <v>0</v>
      </c>
      <c r="F27" s="149" t="str">
        <f t="shared" si="2"/>
        <v>NO</v>
      </c>
      <c r="G27" s="151">
        <f>SUM('2024 Legal Max'!O27-'2024 Legal Max'!K27)</f>
        <v>5</v>
      </c>
      <c r="H27" s="149" t="str">
        <f t="shared" si="3"/>
        <v>NO</v>
      </c>
      <c r="I27" s="149" t="str">
        <f t="shared" si="1"/>
        <v>NO</v>
      </c>
    </row>
    <row r="28" spans="1:9">
      <c r="A28" s="134" t="s">
        <v>213</v>
      </c>
      <c r="B28" s="129" t="s">
        <v>13</v>
      </c>
      <c r="C28" s="129" t="s">
        <v>533</v>
      </c>
      <c r="D28" s="149" t="s">
        <v>928</v>
      </c>
      <c r="E28" s="150">
        <v>1</v>
      </c>
      <c r="F28" s="149" t="str">
        <f t="shared" si="2"/>
        <v>YES</v>
      </c>
      <c r="G28" s="151">
        <f>SUM('2024 Legal Max'!O28-'2024 Legal Max'!K28)</f>
        <v>-16.2</v>
      </c>
      <c r="H28" s="149" t="str">
        <f t="shared" si="3"/>
        <v>YES</v>
      </c>
      <c r="I28" s="149" t="str">
        <f t="shared" si="1"/>
        <v>NO</v>
      </c>
    </row>
    <row r="29" spans="1:9">
      <c r="A29" s="134" t="s">
        <v>214</v>
      </c>
      <c r="B29" s="129" t="s">
        <v>14</v>
      </c>
      <c r="C29" s="129" t="s">
        <v>534</v>
      </c>
      <c r="D29" s="149" t="s">
        <v>931</v>
      </c>
      <c r="E29" s="150">
        <v>0</v>
      </c>
      <c r="F29" s="149" t="str">
        <f t="shared" si="2"/>
        <v>NO</v>
      </c>
      <c r="G29" s="151">
        <f>SUM('2024 Legal Max'!O29-'2024 Legal Max'!K29)</f>
        <v>-5.2</v>
      </c>
      <c r="H29" s="149" t="str">
        <f t="shared" si="3"/>
        <v>YES</v>
      </c>
      <c r="I29" s="149" t="str">
        <f t="shared" si="1"/>
        <v>NO</v>
      </c>
    </row>
    <row r="30" spans="1:9">
      <c r="A30" s="134" t="s">
        <v>215</v>
      </c>
      <c r="B30" s="129" t="s">
        <v>14</v>
      </c>
      <c r="C30" s="129" t="s">
        <v>535</v>
      </c>
      <c r="D30" s="149" t="s">
        <v>928</v>
      </c>
      <c r="E30" s="150">
        <v>0</v>
      </c>
      <c r="F30" s="149" t="str">
        <f t="shared" si="2"/>
        <v>NO</v>
      </c>
      <c r="G30" s="151">
        <f>SUM('2024 Legal Max'!O30-'2024 Legal Max'!K30)</f>
        <v>-4.0999999999999996</v>
      </c>
      <c r="H30" s="149" t="str">
        <f t="shared" si="3"/>
        <v>YES</v>
      </c>
      <c r="I30" s="149" t="str">
        <f t="shared" si="1"/>
        <v>NO</v>
      </c>
    </row>
    <row r="31" spans="1:9">
      <c r="A31" s="134" t="s">
        <v>216</v>
      </c>
      <c r="B31" s="129" t="s">
        <v>15</v>
      </c>
      <c r="C31" s="129" t="s">
        <v>536</v>
      </c>
      <c r="D31" s="149" t="s">
        <v>928</v>
      </c>
      <c r="E31" s="150">
        <v>0</v>
      </c>
      <c r="F31" s="149" t="str">
        <f t="shared" si="2"/>
        <v>NO</v>
      </c>
      <c r="G31" s="151">
        <f>SUM('2024 Legal Max'!O31-'2024 Legal Max'!K31)</f>
        <v>-29.5</v>
      </c>
      <c r="H31" s="149" t="str">
        <f t="shared" si="3"/>
        <v>YES</v>
      </c>
      <c r="I31" s="149" t="str">
        <f t="shared" si="1"/>
        <v>NO</v>
      </c>
    </row>
    <row r="32" spans="1:9">
      <c r="A32" s="134" t="s">
        <v>217</v>
      </c>
      <c r="B32" s="129" t="s">
        <v>16</v>
      </c>
      <c r="C32" s="129" t="s">
        <v>537</v>
      </c>
      <c r="D32" s="149" t="s">
        <v>928</v>
      </c>
      <c r="E32" s="150">
        <v>0</v>
      </c>
      <c r="F32" s="149" t="str">
        <f t="shared" si="2"/>
        <v>NO</v>
      </c>
      <c r="G32" s="151">
        <f>SUM('2024 Legal Max'!O32-'2024 Legal Max'!K32)</f>
        <v>19.899999999999999</v>
      </c>
      <c r="H32" s="149" t="str">
        <f t="shared" si="3"/>
        <v>NO</v>
      </c>
      <c r="I32" s="149" t="str">
        <f t="shared" si="1"/>
        <v>NO</v>
      </c>
    </row>
    <row r="33" spans="1:9">
      <c r="A33" s="134" t="s">
        <v>218</v>
      </c>
      <c r="B33" s="129" t="s">
        <v>16</v>
      </c>
      <c r="C33" s="129" t="s">
        <v>538</v>
      </c>
      <c r="D33" s="149" t="s">
        <v>928</v>
      </c>
      <c r="E33" s="150">
        <v>1</v>
      </c>
      <c r="F33" s="149" t="str">
        <f t="shared" si="2"/>
        <v>YES</v>
      </c>
      <c r="G33" s="151">
        <f>SUM('2024 Legal Max'!O33-'2024 Legal Max'!K33)</f>
        <v>6</v>
      </c>
      <c r="H33" s="149" t="str">
        <f t="shared" si="3"/>
        <v>NO</v>
      </c>
      <c r="I33" s="149" t="str">
        <f t="shared" si="1"/>
        <v>NO</v>
      </c>
    </row>
    <row r="34" spans="1:9">
      <c r="A34" s="134" t="s">
        <v>219</v>
      </c>
      <c r="B34" s="129" t="s">
        <v>17</v>
      </c>
      <c r="C34" s="129" t="s">
        <v>539</v>
      </c>
      <c r="D34" s="149" t="s">
        <v>928</v>
      </c>
      <c r="E34" s="150">
        <v>0</v>
      </c>
      <c r="F34" s="149" t="str">
        <f t="shared" si="2"/>
        <v>NO</v>
      </c>
      <c r="G34" s="151">
        <f>SUM('2024 Legal Max'!O34-'2024 Legal Max'!K34)</f>
        <v>-1.5</v>
      </c>
      <c r="H34" s="149" t="str">
        <f t="shared" si="3"/>
        <v>YES</v>
      </c>
      <c r="I34" s="149" t="str">
        <f t="shared" si="1"/>
        <v>NO</v>
      </c>
    </row>
    <row r="35" spans="1:9">
      <c r="A35" s="134" t="s">
        <v>220</v>
      </c>
      <c r="B35" s="129" t="s">
        <v>17</v>
      </c>
      <c r="C35" s="129" t="s">
        <v>540</v>
      </c>
      <c r="D35" s="149" t="s">
        <v>928</v>
      </c>
      <c r="E35" s="150">
        <v>0</v>
      </c>
      <c r="F35" s="149" t="str">
        <f t="shared" si="2"/>
        <v>NO</v>
      </c>
      <c r="G35" s="151">
        <f>SUM('2024 Legal Max'!O35-'2024 Legal Max'!K35)</f>
        <v>-22.5</v>
      </c>
      <c r="H35" s="149" t="str">
        <f t="shared" si="3"/>
        <v>YES</v>
      </c>
      <c r="I35" s="149" t="str">
        <f t="shared" si="1"/>
        <v>NO</v>
      </c>
    </row>
    <row r="36" spans="1:9">
      <c r="A36" s="134" t="s">
        <v>221</v>
      </c>
      <c r="B36" s="129" t="s">
        <v>18</v>
      </c>
      <c r="C36" s="129" t="s">
        <v>541</v>
      </c>
      <c r="D36" s="149" t="s">
        <v>928</v>
      </c>
      <c r="E36" s="150">
        <v>0</v>
      </c>
      <c r="F36" s="149" t="str">
        <f t="shared" si="2"/>
        <v>NO</v>
      </c>
      <c r="G36" s="151">
        <f>SUM('2024 Legal Max'!O36-'2024 Legal Max'!K36)</f>
        <v>20.5</v>
      </c>
      <c r="H36" s="149" t="str">
        <f t="shared" si="3"/>
        <v>NO</v>
      </c>
      <c r="I36" s="149" t="str">
        <f t="shared" si="1"/>
        <v>NO</v>
      </c>
    </row>
    <row r="37" spans="1:9">
      <c r="A37" s="134" t="s">
        <v>222</v>
      </c>
      <c r="B37" s="129" t="s">
        <v>18</v>
      </c>
      <c r="C37" s="129" t="s">
        <v>542</v>
      </c>
      <c r="D37" s="149" t="s">
        <v>928</v>
      </c>
      <c r="E37" s="150">
        <v>0</v>
      </c>
      <c r="F37" s="149" t="str">
        <f t="shared" si="2"/>
        <v>NO</v>
      </c>
      <c r="G37" s="151">
        <f>SUM('2024 Legal Max'!O37-'2024 Legal Max'!K37)</f>
        <v>-10.3</v>
      </c>
      <c r="H37" s="149" t="str">
        <f t="shared" si="3"/>
        <v>YES</v>
      </c>
      <c r="I37" s="149" t="str">
        <f t="shared" si="1"/>
        <v>NO</v>
      </c>
    </row>
    <row r="38" spans="1:9">
      <c r="A38" s="134" t="s">
        <v>223</v>
      </c>
      <c r="B38" s="129" t="s">
        <v>19</v>
      </c>
      <c r="C38" s="129" t="s">
        <v>543</v>
      </c>
      <c r="D38" s="149" t="s">
        <v>928</v>
      </c>
      <c r="E38" s="150">
        <v>0</v>
      </c>
      <c r="F38" s="149" t="str">
        <f t="shared" si="2"/>
        <v>NO</v>
      </c>
      <c r="G38" s="151">
        <f>SUM('2024 Legal Max'!O38-'2024 Legal Max'!K38)</f>
        <v>21.7</v>
      </c>
      <c r="H38" s="149" t="str">
        <f t="shared" si="3"/>
        <v>NO</v>
      </c>
      <c r="I38" s="149" t="str">
        <f t="shared" si="1"/>
        <v>NO</v>
      </c>
    </row>
    <row r="39" spans="1:9">
      <c r="A39" s="134" t="s">
        <v>224</v>
      </c>
      <c r="B39" s="129" t="s">
        <v>19</v>
      </c>
      <c r="C39" s="129" t="s">
        <v>544</v>
      </c>
      <c r="D39" s="149" t="s">
        <v>928</v>
      </c>
      <c r="E39" s="150">
        <v>0</v>
      </c>
      <c r="F39" s="149" t="str">
        <f t="shared" si="2"/>
        <v>NO</v>
      </c>
      <c r="G39" s="151">
        <f>SUM('2024 Legal Max'!O39-'2024 Legal Max'!K39)</f>
        <v>11.2</v>
      </c>
      <c r="H39" s="149" t="str">
        <f t="shared" si="3"/>
        <v>NO</v>
      </c>
      <c r="I39" s="149" t="str">
        <f t="shared" si="1"/>
        <v>NO</v>
      </c>
    </row>
    <row r="40" spans="1:9">
      <c r="A40" s="134" t="s">
        <v>225</v>
      </c>
      <c r="B40" s="129" t="s">
        <v>20</v>
      </c>
      <c r="C40" s="129" t="s">
        <v>545</v>
      </c>
      <c r="D40" s="149" t="s">
        <v>928</v>
      </c>
      <c r="E40" s="150">
        <v>0</v>
      </c>
      <c r="F40" s="149" t="str">
        <f t="shared" si="2"/>
        <v>NO</v>
      </c>
      <c r="G40" s="151">
        <f>SUM('2024 Legal Max'!O40-'2024 Legal Max'!K40)</f>
        <v>-30</v>
      </c>
      <c r="H40" s="149" t="str">
        <f t="shared" si="3"/>
        <v>YES</v>
      </c>
      <c r="I40" s="149" t="str">
        <f t="shared" si="1"/>
        <v>NO</v>
      </c>
    </row>
    <row r="41" spans="1:9">
      <c r="A41" s="134" t="s">
        <v>226</v>
      </c>
      <c r="B41" s="129" t="s">
        <v>20</v>
      </c>
      <c r="C41" s="129" t="s">
        <v>546</v>
      </c>
      <c r="D41" s="149" t="s">
        <v>928</v>
      </c>
      <c r="E41" s="150">
        <v>0</v>
      </c>
      <c r="F41" s="149" t="str">
        <f t="shared" si="2"/>
        <v>NO</v>
      </c>
      <c r="G41" s="151">
        <f>SUM('2024 Legal Max'!O41-'2024 Legal Max'!K41)</f>
        <v>-20.5</v>
      </c>
      <c r="H41" s="149" t="str">
        <f t="shared" si="3"/>
        <v>YES</v>
      </c>
      <c r="I41" s="149" t="str">
        <f t="shared" si="1"/>
        <v>NO</v>
      </c>
    </row>
    <row r="42" spans="1:9">
      <c r="A42" s="134" t="s">
        <v>227</v>
      </c>
      <c r="B42" s="129" t="s">
        <v>21</v>
      </c>
      <c r="C42" s="129" t="s">
        <v>547</v>
      </c>
      <c r="D42" s="149" t="s">
        <v>928</v>
      </c>
      <c r="E42" s="150">
        <v>0</v>
      </c>
      <c r="F42" s="149" t="str">
        <f t="shared" si="2"/>
        <v>NO</v>
      </c>
      <c r="G42" s="151">
        <f>SUM('2024 Legal Max'!O42-'2024 Legal Max'!K42)</f>
        <v>-3</v>
      </c>
      <c r="H42" s="149" t="str">
        <f t="shared" si="3"/>
        <v>YES</v>
      </c>
      <c r="I42" s="149" t="str">
        <f t="shared" si="1"/>
        <v>NO</v>
      </c>
    </row>
    <row r="43" spans="1:9">
      <c r="A43" s="134" t="s">
        <v>228</v>
      </c>
      <c r="B43" s="129" t="s">
        <v>22</v>
      </c>
      <c r="C43" s="129" t="s">
        <v>548</v>
      </c>
      <c r="D43" s="149" t="s">
        <v>928</v>
      </c>
      <c r="E43" s="150">
        <v>0</v>
      </c>
      <c r="F43" s="149" t="str">
        <f t="shared" si="2"/>
        <v>NO</v>
      </c>
      <c r="G43" s="151">
        <f>SUM('2024 Legal Max'!O43-'2024 Legal Max'!K43)</f>
        <v>-13</v>
      </c>
      <c r="H43" s="149" t="str">
        <f t="shared" si="3"/>
        <v>YES</v>
      </c>
      <c r="I43" s="149" t="str">
        <f t="shared" si="1"/>
        <v>NO</v>
      </c>
    </row>
    <row r="44" spans="1:9">
      <c r="A44" s="134" t="s">
        <v>229</v>
      </c>
      <c r="B44" s="129" t="s">
        <v>22</v>
      </c>
      <c r="C44" s="129" t="s">
        <v>549</v>
      </c>
      <c r="D44" s="149" t="s">
        <v>928</v>
      </c>
      <c r="E44" s="150">
        <v>1</v>
      </c>
      <c r="F44" s="149" t="str">
        <f t="shared" si="2"/>
        <v>YES</v>
      </c>
      <c r="G44" s="151">
        <f>SUM('2024 Legal Max'!O44-'2024 Legal Max'!K44)</f>
        <v>81.3</v>
      </c>
      <c r="H44" s="149" t="str">
        <f t="shared" si="3"/>
        <v>NO</v>
      </c>
      <c r="I44" s="149" t="str">
        <f t="shared" si="1"/>
        <v>NO</v>
      </c>
    </row>
    <row r="45" spans="1:9">
      <c r="A45" s="134" t="s">
        <v>230</v>
      </c>
      <c r="B45" s="129" t="s">
        <v>22</v>
      </c>
      <c r="C45" s="129" t="s">
        <v>550</v>
      </c>
      <c r="D45" s="149" t="s">
        <v>928</v>
      </c>
      <c r="E45" s="150">
        <v>1</v>
      </c>
      <c r="F45" s="149" t="str">
        <f t="shared" si="2"/>
        <v>YES</v>
      </c>
      <c r="G45" s="151">
        <f>SUM('2024 Legal Max'!O45-'2024 Legal Max'!K45)</f>
        <v>76</v>
      </c>
      <c r="H45" s="149" t="str">
        <f t="shared" si="3"/>
        <v>NO</v>
      </c>
      <c r="I45" s="149" t="str">
        <f t="shared" si="1"/>
        <v>NO</v>
      </c>
    </row>
    <row r="46" spans="1:9">
      <c r="A46" s="134" t="s">
        <v>231</v>
      </c>
      <c r="B46" s="129" t="s">
        <v>22</v>
      </c>
      <c r="C46" s="129" t="s">
        <v>551</v>
      </c>
      <c r="D46" s="149" t="s">
        <v>928</v>
      </c>
      <c r="E46" s="150">
        <v>1</v>
      </c>
      <c r="F46" s="149" t="str">
        <f t="shared" si="2"/>
        <v>YES</v>
      </c>
      <c r="G46" s="151">
        <f>SUM('2024 Legal Max'!O46-'2024 Legal Max'!K46)</f>
        <v>20.8</v>
      </c>
      <c r="H46" s="149" t="str">
        <f t="shared" si="3"/>
        <v>NO</v>
      </c>
      <c r="I46" s="149" t="str">
        <f t="shared" si="1"/>
        <v>NO</v>
      </c>
    </row>
    <row r="47" spans="1:9">
      <c r="A47" s="134" t="s">
        <v>232</v>
      </c>
      <c r="B47" s="129" t="s">
        <v>22</v>
      </c>
      <c r="C47" s="129" t="s">
        <v>552</v>
      </c>
      <c r="D47" s="149" t="s">
        <v>928</v>
      </c>
      <c r="E47" s="150">
        <v>1</v>
      </c>
      <c r="F47" s="149" t="str">
        <f t="shared" si="2"/>
        <v>YES</v>
      </c>
      <c r="G47" s="151">
        <f>SUM('2024 Legal Max'!O47-'2024 Legal Max'!K47)</f>
        <v>42.7</v>
      </c>
      <c r="H47" s="149" t="str">
        <f t="shared" si="3"/>
        <v>NO</v>
      </c>
      <c r="I47" s="149" t="str">
        <f t="shared" si="1"/>
        <v>NO</v>
      </c>
    </row>
    <row r="48" spans="1:9">
      <c r="A48" s="134" t="s">
        <v>233</v>
      </c>
      <c r="B48" s="129" t="s">
        <v>23</v>
      </c>
      <c r="C48" s="129" t="s">
        <v>553</v>
      </c>
      <c r="D48" s="149" t="s">
        <v>928</v>
      </c>
      <c r="E48" s="150">
        <v>1</v>
      </c>
      <c r="F48" s="149" t="str">
        <f t="shared" si="2"/>
        <v>YES</v>
      </c>
      <c r="G48" s="151">
        <f>SUM('2024 Legal Max'!O48-'2024 Legal Max'!K48)</f>
        <v>-20.399999999999999</v>
      </c>
      <c r="H48" s="149" t="str">
        <f t="shared" si="3"/>
        <v>YES</v>
      </c>
      <c r="I48" s="149" t="str">
        <f t="shared" si="1"/>
        <v>NO</v>
      </c>
    </row>
    <row r="49" spans="1:9">
      <c r="A49" s="134" t="s">
        <v>234</v>
      </c>
      <c r="B49" s="129" t="s">
        <v>23</v>
      </c>
      <c r="C49" s="129" t="s">
        <v>554</v>
      </c>
      <c r="D49" s="149" t="s">
        <v>928</v>
      </c>
      <c r="E49" s="150">
        <v>1</v>
      </c>
      <c r="F49" s="149" t="str">
        <f t="shared" si="2"/>
        <v>YES</v>
      </c>
      <c r="G49" s="151">
        <f>SUM('2024 Legal Max'!O49-'2024 Legal Max'!K49)</f>
        <v>-6.5</v>
      </c>
      <c r="H49" s="149" t="str">
        <f t="shared" si="3"/>
        <v>YES</v>
      </c>
      <c r="I49" s="149" t="str">
        <f t="shared" si="1"/>
        <v>NO</v>
      </c>
    </row>
    <row r="50" spans="1:9">
      <c r="A50" s="134" t="s">
        <v>235</v>
      </c>
      <c r="B50" s="129" t="s">
        <v>24</v>
      </c>
      <c r="C50" s="129" t="s">
        <v>555</v>
      </c>
      <c r="D50" s="149" t="s">
        <v>928</v>
      </c>
      <c r="E50" s="150">
        <v>0</v>
      </c>
      <c r="F50" s="149" t="str">
        <f t="shared" si="2"/>
        <v>NO</v>
      </c>
      <c r="G50" s="151">
        <f>SUM('2024 Legal Max'!O50-'2024 Legal Max'!K50)</f>
        <v>-8.5</v>
      </c>
      <c r="H50" s="149" t="str">
        <f t="shared" si="3"/>
        <v>YES</v>
      </c>
      <c r="I50" s="149" t="str">
        <f t="shared" si="1"/>
        <v>NO</v>
      </c>
    </row>
    <row r="51" spans="1:9">
      <c r="A51" s="134" t="s">
        <v>236</v>
      </c>
      <c r="B51" s="129" t="s">
        <v>25</v>
      </c>
      <c r="C51" s="129" t="s">
        <v>556</v>
      </c>
      <c r="D51" s="149" t="s">
        <v>928</v>
      </c>
      <c r="E51" s="150">
        <v>0</v>
      </c>
      <c r="F51" s="149" t="str">
        <f t="shared" si="2"/>
        <v>NO</v>
      </c>
      <c r="G51" s="151">
        <f>SUM('2024 Legal Max'!O51-'2024 Legal Max'!K51)</f>
        <v>-13.1</v>
      </c>
      <c r="H51" s="149" t="str">
        <f t="shared" si="3"/>
        <v>YES</v>
      </c>
      <c r="I51" s="149" t="str">
        <f t="shared" si="1"/>
        <v>NO</v>
      </c>
    </row>
    <row r="52" spans="1:9">
      <c r="A52" s="134" t="s">
        <v>237</v>
      </c>
      <c r="B52" s="129" t="s">
        <v>25</v>
      </c>
      <c r="C52" s="129" t="s">
        <v>557</v>
      </c>
      <c r="D52" s="149" t="s">
        <v>928</v>
      </c>
      <c r="E52" s="150">
        <v>1</v>
      </c>
      <c r="F52" s="149" t="str">
        <f t="shared" si="2"/>
        <v>YES</v>
      </c>
      <c r="G52" s="151">
        <f>SUM('2024 Legal Max'!O52-'2024 Legal Max'!K52)</f>
        <v>-11</v>
      </c>
      <c r="H52" s="149" t="str">
        <f t="shared" si="3"/>
        <v>YES</v>
      </c>
      <c r="I52" s="149" t="str">
        <f t="shared" si="1"/>
        <v>NO</v>
      </c>
    </row>
    <row r="53" spans="1:9">
      <c r="A53" s="134" t="s">
        <v>238</v>
      </c>
      <c r="B53" s="129" t="s">
        <v>26</v>
      </c>
      <c r="C53" s="129" t="s">
        <v>558</v>
      </c>
      <c r="D53" s="149" t="s">
        <v>928</v>
      </c>
      <c r="E53" s="150">
        <v>0</v>
      </c>
      <c r="F53" s="149" t="str">
        <f t="shared" si="2"/>
        <v>NO</v>
      </c>
      <c r="G53" s="151">
        <f>SUM('2024 Legal Max'!O53-'2024 Legal Max'!K53)</f>
        <v>-1</v>
      </c>
      <c r="H53" s="149" t="str">
        <f t="shared" si="3"/>
        <v>YES</v>
      </c>
      <c r="I53" s="149" t="str">
        <f t="shared" si="1"/>
        <v>NO</v>
      </c>
    </row>
    <row r="54" spans="1:9">
      <c r="A54" s="134" t="s">
        <v>239</v>
      </c>
      <c r="B54" s="129" t="s">
        <v>26</v>
      </c>
      <c r="C54" s="129" t="s">
        <v>559</v>
      </c>
      <c r="D54" s="149" t="s">
        <v>928</v>
      </c>
      <c r="E54" s="150">
        <v>0</v>
      </c>
      <c r="F54" s="149" t="str">
        <f t="shared" si="2"/>
        <v>NO</v>
      </c>
      <c r="G54" s="151">
        <f>SUM('2024 Legal Max'!O54-'2024 Legal Max'!K54)</f>
        <v>9</v>
      </c>
      <c r="H54" s="149" t="str">
        <f t="shared" si="3"/>
        <v>NO</v>
      </c>
      <c r="I54" s="149" t="str">
        <f t="shared" si="1"/>
        <v>NO</v>
      </c>
    </row>
    <row r="55" spans="1:9">
      <c r="A55" s="134" t="s">
        <v>240</v>
      </c>
      <c r="B55" s="129" t="s">
        <v>27</v>
      </c>
      <c r="C55" s="129" t="s">
        <v>560</v>
      </c>
      <c r="D55" s="149" t="s">
        <v>928</v>
      </c>
      <c r="E55" s="150">
        <v>1</v>
      </c>
      <c r="F55" s="149" t="str">
        <f t="shared" si="2"/>
        <v>YES</v>
      </c>
      <c r="G55" s="151">
        <f>SUM('2024 Legal Max'!O55-'2024 Legal Max'!K55)</f>
        <v>-4.9000000000000004</v>
      </c>
      <c r="H55" s="149" t="str">
        <f t="shared" si="3"/>
        <v>YES</v>
      </c>
      <c r="I55" s="149" t="str">
        <f t="shared" si="1"/>
        <v>NO</v>
      </c>
    </row>
    <row r="56" spans="1:9">
      <c r="A56" s="134" t="s">
        <v>241</v>
      </c>
      <c r="B56" s="129" t="s">
        <v>27</v>
      </c>
      <c r="C56" s="129" t="s">
        <v>561</v>
      </c>
      <c r="D56" s="149" t="s">
        <v>931</v>
      </c>
      <c r="E56" s="150">
        <v>1</v>
      </c>
      <c r="F56" s="149" t="str">
        <f t="shared" si="2"/>
        <v>YES</v>
      </c>
      <c r="G56" s="151">
        <f>SUM('2024 Legal Max'!O56-'2024 Legal Max'!K56)</f>
        <v>6.5</v>
      </c>
      <c r="H56" s="149" t="str">
        <f t="shared" si="3"/>
        <v>NO</v>
      </c>
      <c r="I56" s="149" t="str">
        <f t="shared" si="1"/>
        <v>NO</v>
      </c>
    </row>
    <row r="57" spans="1:9">
      <c r="A57" s="134" t="s">
        <v>242</v>
      </c>
      <c r="B57" s="129" t="s">
        <v>27</v>
      </c>
      <c r="C57" s="129" t="s">
        <v>562</v>
      </c>
      <c r="D57" s="149" t="s">
        <v>928</v>
      </c>
      <c r="E57" s="150">
        <v>0</v>
      </c>
      <c r="F57" s="149" t="str">
        <f t="shared" si="2"/>
        <v>NO</v>
      </c>
      <c r="G57" s="151">
        <f>SUM('2024 Legal Max'!O57-'2024 Legal Max'!K57)</f>
        <v>-10.5</v>
      </c>
      <c r="H57" s="149" t="str">
        <f t="shared" si="3"/>
        <v>YES</v>
      </c>
      <c r="I57" s="149" t="str">
        <f t="shared" si="1"/>
        <v>NO</v>
      </c>
    </row>
    <row r="58" spans="1:9">
      <c r="A58" s="134" t="s">
        <v>243</v>
      </c>
      <c r="B58" s="129" t="s">
        <v>28</v>
      </c>
      <c r="C58" s="129" t="s">
        <v>563</v>
      </c>
      <c r="D58" s="149" t="s">
        <v>928</v>
      </c>
      <c r="E58" s="150">
        <v>0</v>
      </c>
      <c r="F58" s="149" t="str">
        <f t="shared" si="2"/>
        <v>NO</v>
      </c>
      <c r="G58" s="151">
        <f>SUM('2024 Legal Max'!O58-'2024 Legal Max'!K58)</f>
        <v>-2.6</v>
      </c>
      <c r="H58" s="149" t="str">
        <f t="shared" si="3"/>
        <v>YES</v>
      </c>
      <c r="I58" s="149" t="str">
        <f t="shared" si="1"/>
        <v>NO</v>
      </c>
    </row>
    <row r="59" spans="1:9">
      <c r="A59" s="134" t="s">
        <v>244</v>
      </c>
      <c r="B59" s="129" t="s">
        <v>28</v>
      </c>
      <c r="C59" s="129" t="s">
        <v>564</v>
      </c>
      <c r="D59" s="149" t="s">
        <v>928</v>
      </c>
      <c r="E59" s="150">
        <v>1</v>
      </c>
      <c r="F59" s="149" t="str">
        <f t="shared" si="2"/>
        <v>YES</v>
      </c>
      <c r="G59" s="151">
        <f>SUM('2024 Legal Max'!O59-'2024 Legal Max'!K59)</f>
        <v>9.8000000000000007</v>
      </c>
      <c r="H59" s="149" t="str">
        <f t="shared" si="3"/>
        <v>NO</v>
      </c>
      <c r="I59" s="149" t="str">
        <f t="shared" si="1"/>
        <v>NO</v>
      </c>
    </row>
    <row r="60" spans="1:9">
      <c r="A60" s="134" t="s">
        <v>245</v>
      </c>
      <c r="B60" s="129" t="s">
        <v>28</v>
      </c>
      <c r="C60" s="129" t="s">
        <v>565</v>
      </c>
      <c r="D60" s="149" t="s">
        <v>928</v>
      </c>
      <c r="E60" s="150">
        <v>0</v>
      </c>
      <c r="F60" s="149" t="str">
        <f t="shared" si="2"/>
        <v>NO</v>
      </c>
      <c r="G60" s="151">
        <f>SUM('2024 Legal Max'!O60-'2024 Legal Max'!K60)</f>
        <v>14</v>
      </c>
      <c r="H60" s="149" t="str">
        <f t="shared" si="3"/>
        <v>NO</v>
      </c>
      <c r="I60" s="149" t="str">
        <f t="shared" si="1"/>
        <v>NO</v>
      </c>
    </row>
    <row r="61" spans="1:9">
      <c r="A61" s="134" t="s">
        <v>246</v>
      </c>
      <c r="B61" s="129" t="s">
        <v>28</v>
      </c>
      <c r="C61" s="129" t="s">
        <v>566</v>
      </c>
      <c r="D61" s="149" t="s">
        <v>928</v>
      </c>
      <c r="E61" s="150">
        <v>1</v>
      </c>
      <c r="F61" s="149" t="str">
        <f t="shared" si="2"/>
        <v>YES</v>
      </c>
      <c r="G61" s="151">
        <f>SUM('2024 Legal Max'!O61-'2024 Legal Max'!K61)</f>
        <v>-37.5</v>
      </c>
      <c r="H61" s="149" t="str">
        <f t="shared" si="3"/>
        <v>YES</v>
      </c>
      <c r="I61" s="149" t="str">
        <f t="shared" si="1"/>
        <v>NO</v>
      </c>
    </row>
    <row r="62" spans="1:9">
      <c r="A62" s="134" t="s">
        <v>247</v>
      </c>
      <c r="B62" s="129" t="s">
        <v>28</v>
      </c>
      <c r="C62" s="129" t="s">
        <v>567</v>
      </c>
      <c r="D62" s="149" t="s">
        <v>928</v>
      </c>
      <c r="E62" s="150">
        <v>1</v>
      </c>
      <c r="F62" s="149" t="str">
        <f t="shared" si="2"/>
        <v>YES</v>
      </c>
      <c r="G62" s="151">
        <f>SUM('2024 Legal Max'!O62-'2024 Legal Max'!K62)</f>
        <v>64.8</v>
      </c>
      <c r="H62" s="149" t="str">
        <f t="shared" si="3"/>
        <v>NO</v>
      </c>
      <c r="I62" s="149" t="str">
        <f t="shared" si="1"/>
        <v>NO</v>
      </c>
    </row>
    <row r="63" spans="1:9">
      <c r="A63" s="134" t="s">
        <v>248</v>
      </c>
      <c r="B63" s="129" t="s">
        <v>30</v>
      </c>
      <c r="C63" s="129" t="s">
        <v>568</v>
      </c>
      <c r="D63" s="149" t="s">
        <v>928</v>
      </c>
      <c r="E63" s="150">
        <v>0</v>
      </c>
      <c r="F63" s="149" t="str">
        <f t="shared" si="2"/>
        <v>NO</v>
      </c>
      <c r="G63" s="151">
        <f>SUM('2024 Legal Max'!O63-'2024 Legal Max'!K63)</f>
        <v>10.5</v>
      </c>
      <c r="H63" s="149" t="str">
        <f t="shared" si="3"/>
        <v>NO</v>
      </c>
      <c r="I63" s="149" t="str">
        <f t="shared" si="1"/>
        <v>NO</v>
      </c>
    </row>
    <row r="64" spans="1:9">
      <c r="A64" s="134" t="s">
        <v>249</v>
      </c>
      <c r="B64" s="129" t="s">
        <v>30</v>
      </c>
      <c r="C64" s="129" t="s">
        <v>569</v>
      </c>
      <c r="D64" s="149" t="s">
        <v>928</v>
      </c>
      <c r="E64" s="150">
        <v>0</v>
      </c>
      <c r="F64" s="149" t="str">
        <f t="shared" si="2"/>
        <v>NO</v>
      </c>
      <c r="G64" s="151">
        <f>SUM('2024 Legal Max'!O64-'2024 Legal Max'!K64)</f>
        <v>-2.1</v>
      </c>
      <c r="H64" s="149" t="str">
        <f t="shared" si="3"/>
        <v>YES</v>
      </c>
      <c r="I64" s="149" t="str">
        <f t="shared" si="1"/>
        <v>NO</v>
      </c>
    </row>
    <row r="65" spans="1:9">
      <c r="A65" s="134" t="s">
        <v>250</v>
      </c>
      <c r="B65" s="129" t="s">
        <v>30</v>
      </c>
      <c r="C65" s="129" t="s">
        <v>570</v>
      </c>
      <c r="D65" s="149" t="s">
        <v>928</v>
      </c>
      <c r="E65" s="150">
        <v>1</v>
      </c>
      <c r="F65" s="149" t="str">
        <f t="shared" si="2"/>
        <v>YES</v>
      </c>
      <c r="G65" s="151">
        <f>SUM('2024 Legal Max'!O65-'2024 Legal Max'!K65)</f>
        <v>85</v>
      </c>
      <c r="H65" s="149" t="str">
        <f t="shared" si="3"/>
        <v>NO</v>
      </c>
      <c r="I65" s="149" t="str">
        <f t="shared" si="1"/>
        <v>NO</v>
      </c>
    </row>
    <row r="66" spans="1:9">
      <c r="A66" s="134" t="s">
        <v>251</v>
      </c>
      <c r="B66" s="129" t="s">
        <v>31</v>
      </c>
      <c r="C66" s="129" t="s">
        <v>571</v>
      </c>
      <c r="D66" s="149" t="s">
        <v>928</v>
      </c>
      <c r="E66" s="150">
        <v>0</v>
      </c>
      <c r="F66" s="149" t="str">
        <f t="shared" si="2"/>
        <v>NO</v>
      </c>
      <c r="G66" s="151">
        <f>SUM('2024 Legal Max'!O66-'2024 Legal Max'!K66)</f>
        <v>-6.4</v>
      </c>
      <c r="H66" s="149" t="str">
        <f t="shared" si="3"/>
        <v>YES</v>
      </c>
      <c r="I66" s="149" t="str">
        <f t="shared" si="1"/>
        <v>NO</v>
      </c>
    </row>
    <row r="67" spans="1:9">
      <c r="A67" s="134" t="s">
        <v>252</v>
      </c>
      <c r="B67" s="129" t="s">
        <v>31</v>
      </c>
      <c r="C67" s="129" t="s">
        <v>572</v>
      </c>
      <c r="D67" s="149" t="s">
        <v>928</v>
      </c>
      <c r="E67" s="150">
        <v>1</v>
      </c>
      <c r="F67" s="149" t="str">
        <f t="shared" si="2"/>
        <v>YES</v>
      </c>
      <c r="G67" s="151">
        <f>SUM('2024 Legal Max'!O67-'2024 Legal Max'!K67)</f>
        <v>-11.3</v>
      </c>
      <c r="H67" s="149" t="str">
        <f t="shared" si="3"/>
        <v>YES</v>
      </c>
      <c r="I67" s="149" t="str">
        <f t="shared" si="1"/>
        <v>NO</v>
      </c>
    </row>
    <row r="68" spans="1:9">
      <c r="A68" s="134" t="s">
        <v>253</v>
      </c>
      <c r="B68" s="129" t="s">
        <v>32</v>
      </c>
      <c r="C68" s="129" t="s">
        <v>573</v>
      </c>
      <c r="D68" s="149" t="s">
        <v>928</v>
      </c>
      <c r="E68" s="150">
        <v>0</v>
      </c>
      <c r="F68" s="149" t="str">
        <f t="shared" si="2"/>
        <v>NO</v>
      </c>
      <c r="G68" s="151">
        <f>SUM('2024 Legal Max'!O68-'2024 Legal Max'!K68)</f>
        <v>15.9</v>
      </c>
      <c r="H68" s="149" t="str">
        <f t="shared" si="3"/>
        <v>NO</v>
      </c>
      <c r="I68" s="149" t="str">
        <f t="shared" si="1"/>
        <v>NO</v>
      </c>
    </row>
    <row r="69" spans="1:9">
      <c r="A69" s="134" t="s">
        <v>254</v>
      </c>
      <c r="B69" s="129" t="s">
        <v>32</v>
      </c>
      <c r="C69" s="129" t="s">
        <v>574</v>
      </c>
      <c r="D69" s="149" t="s">
        <v>928</v>
      </c>
      <c r="E69" s="150">
        <v>1</v>
      </c>
      <c r="F69" s="149" t="str">
        <f t="shared" si="2"/>
        <v>YES</v>
      </c>
      <c r="G69" s="151">
        <f>SUM('2024 Legal Max'!O69-'2024 Legal Max'!K69)</f>
        <v>14</v>
      </c>
      <c r="H69" s="149" t="str">
        <f t="shared" si="3"/>
        <v>NO</v>
      </c>
      <c r="I69" s="149" t="str">
        <f t="shared" ref="I69:I132" si="4">IF(AND(D69="YES", F69="YES", H69="YES"), "YES", "NO")</f>
        <v>NO</v>
      </c>
    </row>
    <row r="70" spans="1:9">
      <c r="A70" s="134" t="s">
        <v>255</v>
      </c>
      <c r="B70" s="129" t="s">
        <v>32</v>
      </c>
      <c r="C70" s="129" t="s">
        <v>575</v>
      </c>
      <c r="D70" s="149" t="s">
        <v>928</v>
      </c>
      <c r="E70" s="150">
        <v>1</v>
      </c>
      <c r="F70" s="149" t="str">
        <f t="shared" si="2"/>
        <v>YES</v>
      </c>
      <c r="G70" s="151">
        <f>SUM('2024 Legal Max'!O70-'2024 Legal Max'!K70)</f>
        <v>-12</v>
      </c>
      <c r="H70" s="149" t="str">
        <f t="shared" si="3"/>
        <v>YES</v>
      </c>
      <c r="I70" s="149" t="str">
        <f t="shared" si="4"/>
        <v>NO</v>
      </c>
    </row>
    <row r="71" spans="1:9">
      <c r="A71" s="134" t="s">
        <v>256</v>
      </c>
      <c r="B71" s="129" t="s">
        <v>33</v>
      </c>
      <c r="C71" s="129" t="s">
        <v>576</v>
      </c>
      <c r="D71" s="149" t="s">
        <v>928</v>
      </c>
      <c r="E71" s="150">
        <v>1</v>
      </c>
      <c r="F71" s="149" t="str">
        <f t="shared" ref="F71:F134" si="5">IF(E71&gt;0, "YES", "NO")</f>
        <v>YES</v>
      </c>
      <c r="G71" s="151">
        <f>SUM('2024 Legal Max'!O71-'2024 Legal Max'!K71)</f>
        <v>79.2</v>
      </c>
      <c r="H71" s="149" t="str">
        <f t="shared" ref="H71:H134" si="6">IF(G71&lt;0, "YES", "NO")</f>
        <v>NO</v>
      </c>
      <c r="I71" s="149" t="str">
        <f t="shared" si="4"/>
        <v>NO</v>
      </c>
    </row>
    <row r="72" spans="1:9">
      <c r="A72" s="134" t="s">
        <v>257</v>
      </c>
      <c r="B72" s="129" t="s">
        <v>33</v>
      </c>
      <c r="C72" s="129" t="s">
        <v>577</v>
      </c>
      <c r="D72" s="149" t="s">
        <v>931</v>
      </c>
      <c r="E72" s="150">
        <v>1</v>
      </c>
      <c r="F72" s="149" t="str">
        <f t="shared" si="5"/>
        <v>YES</v>
      </c>
      <c r="G72" s="151">
        <f>SUM('2024 Legal Max'!O72-'2024 Legal Max'!K72)</f>
        <v>24.7</v>
      </c>
      <c r="H72" s="149" t="str">
        <f t="shared" si="6"/>
        <v>NO</v>
      </c>
      <c r="I72" s="149" t="str">
        <f t="shared" si="4"/>
        <v>NO</v>
      </c>
    </row>
    <row r="73" spans="1:9">
      <c r="A73" s="134" t="s">
        <v>258</v>
      </c>
      <c r="B73" s="129" t="s">
        <v>33</v>
      </c>
      <c r="C73" s="129" t="s">
        <v>578</v>
      </c>
      <c r="D73" s="149" t="s">
        <v>928</v>
      </c>
      <c r="E73" s="150">
        <v>1</v>
      </c>
      <c r="F73" s="149" t="str">
        <f t="shared" si="5"/>
        <v>YES</v>
      </c>
      <c r="G73" s="151">
        <f>SUM('2024 Legal Max'!O73-'2024 Legal Max'!K73)</f>
        <v>41.3</v>
      </c>
      <c r="H73" s="149" t="str">
        <f t="shared" si="6"/>
        <v>NO</v>
      </c>
      <c r="I73" s="149" t="str">
        <f t="shared" si="4"/>
        <v>NO</v>
      </c>
    </row>
    <row r="74" spans="1:9">
      <c r="A74" s="134" t="s">
        <v>259</v>
      </c>
      <c r="B74" s="129" t="s">
        <v>33</v>
      </c>
      <c r="C74" s="129" t="s">
        <v>579</v>
      </c>
      <c r="D74" s="149" t="s">
        <v>928</v>
      </c>
      <c r="E74" s="150">
        <v>1</v>
      </c>
      <c r="F74" s="149" t="str">
        <f t="shared" si="5"/>
        <v>YES</v>
      </c>
      <c r="G74" s="151">
        <f>SUM('2024 Legal Max'!O74-'2024 Legal Max'!K74)</f>
        <v>100.5</v>
      </c>
      <c r="H74" s="149" t="str">
        <f t="shared" si="6"/>
        <v>NO</v>
      </c>
      <c r="I74" s="149" t="str">
        <f t="shared" si="4"/>
        <v>NO</v>
      </c>
    </row>
    <row r="75" spans="1:9">
      <c r="A75" s="134" t="s">
        <v>260</v>
      </c>
      <c r="B75" s="129" t="s">
        <v>33</v>
      </c>
      <c r="C75" s="129" t="s">
        <v>580</v>
      </c>
      <c r="D75" s="149" t="s">
        <v>928</v>
      </c>
      <c r="E75" s="150">
        <v>1</v>
      </c>
      <c r="F75" s="149" t="str">
        <f t="shared" si="5"/>
        <v>YES</v>
      </c>
      <c r="G75" s="151">
        <f>SUM('2024 Legal Max'!O75-'2024 Legal Max'!K75)</f>
        <v>32.5</v>
      </c>
      <c r="H75" s="149" t="str">
        <f t="shared" si="6"/>
        <v>NO</v>
      </c>
      <c r="I75" s="149" t="str">
        <f t="shared" si="4"/>
        <v>NO</v>
      </c>
    </row>
    <row r="76" spans="1:9">
      <c r="A76" s="134" t="s">
        <v>261</v>
      </c>
      <c r="B76" s="129" t="s">
        <v>33</v>
      </c>
      <c r="C76" s="129" t="s">
        <v>581</v>
      </c>
      <c r="D76" s="149" t="s">
        <v>928</v>
      </c>
      <c r="E76" s="150">
        <v>1</v>
      </c>
      <c r="F76" s="149" t="str">
        <f t="shared" si="5"/>
        <v>YES</v>
      </c>
      <c r="G76" s="151">
        <f>SUM('2024 Legal Max'!O76-'2024 Legal Max'!K76)</f>
        <v>-26.4</v>
      </c>
      <c r="H76" s="149" t="str">
        <f t="shared" si="6"/>
        <v>YES</v>
      </c>
      <c r="I76" s="149" t="str">
        <f t="shared" si="4"/>
        <v>NO</v>
      </c>
    </row>
    <row r="77" spans="1:9">
      <c r="A77" s="134" t="s">
        <v>262</v>
      </c>
      <c r="B77" s="129" t="s">
        <v>33</v>
      </c>
      <c r="C77" s="129" t="s">
        <v>582</v>
      </c>
      <c r="D77" s="149" t="s">
        <v>928</v>
      </c>
      <c r="E77" s="150">
        <v>1</v>
      </c>
      <c r="F77" s="149" t="str">
        <f t="shared" si="5"/>
        <v>YES</v>
      </c>
      <c r="G77" s="151">
        <f>SUM('2024 Legal Max'!O77-'2024 Legal Max'!K77)</f>
        <v>87.1</v>
      </c>
      <c r="H77" s="149" t="str">
        <f t="shared" si="6"/>
        <v>NO</v>
      </c>
      <c r="I77" s="149" t="str">
        <f t="shared" si="4"/>
        <v>NO</v>
      </c>
    </row>
    <row r="78" spans="1:9">
      <c r="A78" s="134" t="s">
        <v>263</v>
      </c>
      <c r="B78" s="129" t="s">
        <v>33</v>
      </c>
      <c r="C78" s="129" t="s">
        <v>583</v>
      </c>
      <c r="D78" s="149" t="s">
        <v>928</v>
      </c>
      <c r="E78" s="150">
        <v>1</v>
      </c>
      <c r="F78" s="149" t="str">
        <f t="shared" si="5"/>
        <v>YES</v>
      </c>
      <c r="G78" s="151">
        <f>SUM('2024 Legal Max'!O78-'2024 Legal Max'!K78)</f>
        <v>153.1</v>
      </c>
      <c r="H78" s="149" t="str">
        <f t="shared" si="6"/>
        <v>NO</v>
      </c>
      <c r="I78" s="149" t="str">
        <f t="shared" si="4"/>
        <v>NO</v>
      </c>
    </row>
    <row r="79" spans="1:9">
      <c r="A79" s="134" t="s">
        <v>264</v>
      </c>
      <c r="B79" s="129" t="s">
        <v>33</v>
      </c>
      <c r="C79" s="129" t="s">
        <v>584</v>
      </c>
      <c r="D79" s="149" t="s">
        <v>928</v>
      </c>
      <c r="E79" s="150">
        <v>1</v>
      </c>
      <c r="F79" s="149" t="str">
        <f t="shared" si="5"/>
        <v>YES</v>
      </c>
      <c r="G79" s="151">
        <f>SUM('2024 Legal Max'!O79-'2024 Legal Max'!K79)</f>
        <v>-11.5</v>
      </c>
      <c r="H79" s="149" t="str">
        <f t="shared" si="6"/>
        <v>YES</v>
      </c>
      <c r="I79" s="149" t="str">
        <f t="shared" si="4"/>
        <v>NO</v>
      </c>
    </row>
    <row r="80" spans="1:9">
      <c r="A80" s="134" t="s">
        <v>265</v>
      </c>
      <c r="B80" s="129" t="s">
        <v>33</v>
      </c>
      <c r="C80" s="129" t="s">
        <v>585</v>
      </c>
      <c r="D80" s="149" t="s">
        <v>928</v>
      </c>
      <c r="E80" s="150">
        <v>1</v>
      </c>
      <c r="F80" s="149" t="str">
        <f t="shared" si="5"/>
        <v>YES</v>
      </c>
      <c r="G80" s="151">
        <f>SUM('2024 Legal Max'!O80-'2024 Legal Max'!K80)</f>
        <v>7.4</v>
      </c>
      <c r="H80" s="149" t="str">
        <f t="shared" si="6"/>
        <v>NO</v>
      </c>
      <c r="I80" s="149" t="str">
        <f t="shared" si="4"/>
        <v>NO</v>
      </c>
    </row>
    <row r="81" spans="1:9">
      <c r="A81" s="134" t="s">
        <v>266</v>
      </c>
      <c r="B81" s="129" t="s">
        <v>35</v>
      </c>
      <c r="C81" s="129" t="s">
        <v>586</v>
      </c>
      <c r="D81" s="149" t="s">
        <v>928</v>
      </c>
      <c r="E81" s="150">
        <v>0</v>
      </c>
      <c r="F81" s="149" t="str">
        <f t="shared" si="5"/>
        <v>NO</v>
      </c>
      <c r="G81" s="151">
        <f>SUM('2024 Legal Max'!O81-'2024 Legal Max'!K81)</f>
        <v>5</v>
      </c>
      <c r="H81" s="149" t="str">
        <f t="shared" si="6"/>
        <v>NO</v>
      </c>
      <c r="I81" s="149" t="str">
        <f t="shared" si="4"/>
        <v>NO</v>
      </c>
    </row>
    <row r="82" spans="1:9">
      <c r="A82" s="134" t="s">
        <v>267</v>
      </c>
      <c r="B82" s="129" t="s">
        <v>35</v>
      </c>
      <c r="C82" s="129" t="s">
        <v>587</v>
      </c>
      <c r="D82" s="149" t="s">
        <v>928</v>
      </c>
      <c r="E82" s="150">
        <v>0</v>
      </c>
      <c r="F82" s="149" t="str">
        <f t="shared" si="5"/>
        <v>NO</v>
      </c>
      <c r="G82" s="151">
        <f>SUM('2024 Legal Max'!O82-'2024 Legal Max'!K82)</f>
        <v>47.5</v>
      </c>
      <c r="H82" s="149" t="str">
        <f t="shared" si="6"/>
        <v>NO</v>
      </c>
      <c r="I82" s="149" t="str">
        <f t="shared" si="4"/>
        <v>NO</v>
      </c>
    </row>
    <row r="83" spans="1:9">
      <c r="A83" s="134" t="s">
        <v>268</v>
      </c>
      <c r="B83" s="129" t="s">
        <v>35</v>
      </c>
      <c r="C83" s="129" t="s">
        <v>588</v>
      </c>
      <c r="D83" s="149" t="s">
        <v>928</v>
      </c>
      <c r="E83" s="150">
        <v>0</v>
      </c>
      <c r="F83" s="149" t="str">
        <f t="shared" si="5"/>
        <v>NO</v>
      </c>
      <c r="G83" s="151">
        <f>SUM('2024 Legal Max'!O83-'2024 Legal Max'!K83)</f>
        <v>-57.1</v>
      </c>
      <c r="H83" s="149" t="str">
        <f t="shared" si="6"/>
        <v>YES</v>
      </c>
      <c r="I83" s="149" t="str">
        <f t="shared" si="4"/>
        <v>NO</v>
      </c>
    </row>
    <row r="84" spans="1:9">
      <c r="A84" s="134" t="s">
        <v>269</v>
      </c>
      <c r="B84" s="129" t="s">
        <v>36</v>
      </c>
      <c r="C84" s="129" t="s">
        <v>589</v>
      </c>
      <c r="D84" s="149" t="s">
        <v>931</v>
      </c>
      <c r="E84" s="150">
        <v>0</v>
      </c>
      <c r="F84" s="149" t="str">
        <f t="shared" si="5"/>
        <v>NO</v>
      </c>
      <c r="G84" s="151">
        <f>SUM('2024 Legal Max'!O84-'2024 Legal Max'!K84)</f>
        <v>0.4</v>
      </c>
      <c r="H84" s="149" t="str">
        <f t="shared" si="6"/>
        <v>NO</v>
      </c>
      <c r="I84" s="149" t="str">
        <f t="shared" si="4"/>
        <v>NO</v>
      </c>
    </row>
    <row r="85" spans="1:9">
      <c r="A85" s="134" t="s">
        <v>270</v>
      </c>
      <c r="B85" s="129" t="s">
        <v>36</v>
      </c>
      <c r="C85" s="129" t="s">
        <v>590</v>
      </c>
      <c r="D85" s="149" t="s">
        <v>928</v>
      </c>
      <c r="E85" s="150">
        <v>1</v>
      </c>
      <c r="F85" s="149" t="str">
        <f t="shared" si="5"/>
        <v>YES</v>
      </c>
      <c r="G85" s="151">
        <f>SUM('2024 Legal Max'!O85-'2024 Legal Max'!K85)</f>
        <v>21.1</v>
      </c>
      <c r="H85" s="149" t="str">
        <f t="shared" si="6"/>
        <v>NO</v>
      </c>
      <c r="I85" s="149" t="str">
        <f t="shared" si="4"/>
        <v>NO</v>
      </c>
    </row>
    <row r="86" spans="1:9">
      <c r="A86" s="134" t="s">
        <v>271</v>
      </c>
      <c r="B86" s="129" t="s">
        <v>37</v>
      </c>
      <c r="C86" s="129" t="s">
        <v>591</v>
      </c>
      <c r="D86" s="149" t="s">
        <v>928</v>
      </c>
      <c r="E86" s="150">
        <v>0</v>
      </c>
      <c r="F86" s="149" t="str">
        <f t="shared" si="5"/>
        <v>NO</v>
      </c>
      <c r="G86" s="151">
        <f>SUM('2024 Legal Max'!O86-'2024 Legal Max'!K86)</f>
        <v>8.4</v>
      </c>
      <c r="H86" s="149" t="str">
        <f t="shared" si="6"/>
        <v>NO</v>
      </c>
      <c r="I86" s="149" t="str">
        <f t="shared" si="4"/>
        <v>NO</v>
      </c>
    </row>
    <row r="87" spans="1:9">
      <c r="A87" s="134" t="s">
        <v>272</v>
      </c>
      <c r="B87" s="129" t="s">
        <v>37</v>
      </c>
      <c r="C87" s="129" t="s">
        <v>592</v>
      </c>
      <c r="D87" s="149" t="s">
        <v>928</v>
      </c>
      <c r="E87" s="150">
        <v>0</v>
      </c>
      <c r="F87" s="149" t="str">
        <f t="shared" si="5"/>
        <v>NO</v>
      </c>
      <c r="G87" s="151">
        <f>SUM('2024 Legal Max'!O87-'2024 Legal Max'!K87)</f>
        <v>-5.8</v>
      </c>
      <c r="H87" s="149" t="str">
        <f t="shared" si="6"/>
        <v>YES</v>
      </c>
      <c r="I87" s="149" t="str">
        <f t="shared" si="4"/>
        <v>NO</v>
      </c>
    </row>
    <row r="88" spans="1:9">
      <c r="A88" s="134" t="s">
        <v>273</v>
      </c>
      <c r="B88" s="129" t="s">
        <v>38</v>
      </c>
      <c r="C88" s="129" t="s">
        <v>593</v>
      </c>
      <c r="D88" s="149" t="s">
        <v>928</v>
      </c>
      <c r="E88" s="150">
        <v>0</v>
      </c>
      <c r="F88" s="149" t="str">
        <f t="shared" si="5"/>
        <v>NO</v>
      </c>
      <c r="G88" s="151">
        <f>SUM('2024 Legal Max'!O88-'2024 Legal Max'!K88)</f>
        <v>9</v>
      </c>
      <c r="H88" s="149" t="str">
        <f t="shared" si="6"/>
        <v>NO</v>
      </c>
      <c r="I88" s="149" t="str">
        <f t="shared" si="4"/>
        <v>NO</v>
      </c>
    </row>
    <row r="89" spans="1:9">
      <c r="A89" s="134" t="s">
        <v>274</v>
      </c>
      <c r="B89" s="129" t="s">
        <v>39</v>
      </c>
      <c r="C89" s="129" t="s">
        <v>594</v>
      </c>
      <c r="D89" s="149" t="s">
        <v>928</v>
      </c>
      <c r="E89" s="150">
        <v>1</v>
      </c>
      <c r="F89" s="149" t="str">
        <f t="shared" si="5"/>
        <v>YES</v>
      </c>
      <c r="G89" s="151">
        <f>SUM('2024 Legal Max'!O89-'2024 Legal Max'!K89)</f>
        <v>-15.4</v>
      </c>
      <c r="H89" s="149" t="str">
        <f t="shared" si="6"/>
        <v>YES</v>
      </c>
      <c r="I89" s="149" t="str">
        <f t="shared" si="4"/>
        <v>NO</v>
      </c>
    </row>
    <row r="90" spans="1:9">
      <c r="A90" s="134" t="s">
        <v>275</v>
      </c>
      <c r="B90" s="129" t="s">
        <v>39</v>
      </c>
      <c r="C90" s="129" t="s">
        <v>595</v>
      </c>
      <c r="D90" s="149" t="s">
        <v>928</v>
      </c>
      <c r="E90" s="150">
        <v>0</v>
      </c>
      <c r="F90" s="149" t="str">
        <f t="shared" si="5"/>
        <v>NO</v>
      </c>
      <c r="G90" s="151">
        <f>SUM('2024 Legal Max'!O90-'2024 Legal Max'!K90)</f>
        <v>5.4</v>
      </c>
      <c r="H90" s="149" t="str">
        <f t="shared" si="6"/>
        <v>NO</v>
      </c>
      <c r="I90" s="149" t="str">
        <f t="shared" si="4"/>
        <v>NO</v>
      </c>
    </row>
    <row r="91" spans="1:9">
      <c r="A91" s="134" t="s">
        <v>276</v>
      </c>
      <c r="B91" s="129" t="s">
        <v>40</v>
      </c>
      <c r="C91" s="129" t="s">
        <v>596</v>
      </c>
      <c r="D91" s="149" t="s">
        <v>928</v>
      </c>
      <c r="E91" s="150">
        <v>0</v>
      </c>
      <c r="F91" s="149" t="str">
        <f t="shared" si="5"/>
        <v>NO</v>
      </c>
      <c r="G91" s="151">
        <f>SUM('2024 Legal Max'!O91-'2024 Legal Max'!K91)</f>
        <v>12.8</v>
      </c>
      <c r="H91" s="149" t="str">
        <f t="shared" si="6"/>
        <v>NO</v>
      </c>
      <c r="I91" s="149" t="str">
        <f t="shared" si="4"/>
        <v>NO</v>
      </c>
    </row>
    <row r="92" spans="1:9">
      <c r="A92" s="134" t="s">
        <v>277</v>
      </c>
      <c r="B92" s="129" t="s">
        <v>41</v>
      </c>
      <c r="C92" s="129" t="s">
        <v>597</v>
      </c>
      <c r="D92" s="149" t="s">
        <v>928</v>
      </c>
      <c r="E92" s="150">
        <v>0</v>
      </c>
      <c r="F92" s="149" t="str">
        <f t="shared" si="5"/>
        <v>NO</v>
      </c>
      <c r="G92" s="151">
        <f>SUM('2024 Legal Max'!O92-'2024 Legal Max'!K92)</f>
        <v>9.8000000000000007</v>
      </c>
      <c r="H92" s="149" t="str">
        <f t="shared" si="6"/>
        <v>NO</v>
      </c>
      <c r="I92" s="149" t="str">
        <f t="shared" si="4"/>
        <v>NO</v>
      </c>
    </row>
    <row r="93" spans="1:9">
      <c r="A93" s="134" t="s">
        <v>278</v>
      </c>
      <c r="B93" s="129" t="s">
        <v>41</v>
      </c>
      <c r="C93" s="129" t="s">
        <v>598</v>
      </c>
      <c r="D93" s="149" t="s">
        <v>928</v>
      </c>
      <c r="E93" s="150">
        <v>1</v>
      </c>
      <c r="F93" s="149" t="str">
        <f t="shared" si="5"/>
        <v>YES</v>
      </c>
      <c r="G93" s="151">
        <f>SUM('2024 Legal Max'!O93-'2024 Legal Max'!K93)</f>
        <v>-7.7</v>
      </c>
      <c r="H93" s="149" t="str">
        <f t="shared" si="6"/>
        <v>YES</v>
      </c>
      <c r="I93" s="149" t="str">
        <f t="shared" si="4"/>
        <v>NO</v>
      </c>
    </row>
    <row r="94" spans="1:9">
      <c r="A94" s="134" t="s">
        <v>279</v>
      </c>
      <c r="B94" s="129" t="s">
        <v>42</v>
      </c>
      <c r="C94" s="129" t="s">
        <v>599</v>
      </c>
      <c r="D94" s="149" t="s">
        <v>931</v>
      </c>
      <c r="E94" s="150">
        <v>1</v>
      </c>
      <c r="F94" s="149" t="str">
        <f t="shared" si="5"/>
        <v>YES</v>
      </c>
      <c r="G94" s="151">
        <f>SUM('2024 Legal Max'!O94-'2024 Legal Max'!K94)</f>
        <v>-24.5</v>
      </c>
      <c r="H94" s="149" t="str">
        <f t="shared" si="6"/>
        <v>YES</v>
      </c>
      <c r="I94" s="149" t="str">
        <f t="shared" si="4"/>
        <v>YES</v>
      </c>
    </row>
    <row r="95" spans="1:9">
      <c r="A95" s="134" t="s">
        <v>280</v>
      </c>
      <c r="B95" s="129" t="s">
        <v>42</v>
      </c>
      <c r="C95" s="129" t="s">
        <v>600</v>
      </c>
      <c r="D95" s="149" t="s">
        <v>928</v>
      </c>
      <c r="E95" s="150">
        <v>1</v>
      </c>
      <c r="F95" s="149" t="str">
        <f t="shared" si="5"/>
        <v>YES</v>
      </c>
      <c r="G95" s="151">
        <f>SUM('2024 Legal Max'!O95-'2024 Legal Max'!K95)</f>
        <v>15</v>
      </c>
      <c r="H95" s="149" t="str">
        <f t="shared" si="6"/>
        <v>NO</v>
      </c>
      <c r="I95" s="149" t="str">
        <f t="shared" si="4"/>
        <v>NO</v>
      </c>
    </row>
    <row r="96" spans="1:9">
      <c r="A96" s="134" t="s">
        <v>281</v>
      </c>
      <c r="B96" s="129" t="s">
        <v>42</v>
      </c>
      <c r="C96" s="129" t="s">
        <v>601</v>
      </c>
      <c r="D96" s="149" t="s">
        <v>928</v>
      </c>
      <c r="E96" s="150">
        <v>0</v>
      </c>
      <c r="F96" s="149" t="str">
        <f t="shared" si="5"/>
        <v>NO</v>
      </c>
      <c r="G96" s="151">
        <f>SUM('2024 Legal Max'!O96-'2024 Legal Max'!K96)</f>
        <v>33</v>
      </c>
      <c r="H96" s="149" t="str">
        <f t="shared" si="6"/>
        <v>NO</v>
      </c>
      <c r="I96" s="149" t="str">
        <f t="shared" si="4"/>
        <v>NO</v>
      </c>
    </row>
    <row r="97" spans="1:9">
      <c r="A97" s="134" t="s">
        <v>282</v>
      </c>
      <c r="B97" s="129" t="s">
        <v>42</v>
      </c>
      <c r="C97" s="129" t="s">
        <v>602</v>
      </c>
      <c r="D97" s="149" t="s">
        <v>928</v>
      </c>
      <c r="E97" s="150">
        <v>1</v>
      </c>
      <c r="F97" s="149" t="str">
        <f t="shared" si="5"/>
        <v>YES</v>
      </c>
      <c r="G97" s="151">
        <f>SUM('2024 Legal Max'!O97-'2024 Legal Max'!K97)</f>
        <v>19.100000000000001</v>
      </c>
      <c r="H97" s="149" t="str">
        <f t="shared" si="6"/>
        <v>NO</v>
      </c>
      <c r="I97" s="149" t="str">
        <f t="shared" si="4"/>
        <v>NO</v>
      </c>
    </row>
    <row r="98" spans="1:9">
      <c r="A98" s="134" t="s">
        <v>283</v>
      </c>
      <c r="B98" s="129" t="s">
        <v>43</v>
      </c>
      <c r="C98" s="129" t="s">
        <v>603</v>
      </c>
      <c r="D98" s="149" t="s">
        <v>928</v>
      </c>
      <c r="E98" s="150">
        <v>0</v>
      </c>
      <c r="F98" s="149" t="str">
        <f t="shared" si="5"/>
        <v>NO</v>
      </c>
      <c r="G98" s="151">
        <f>SUM('2024 Legal Max'!O98-'2024 Legal Max'!K98)</f>
        <v>-3</v>
      </c>
      <c r="H98" s="149" t="str">
        <f t="shared" si="6"/>
        <v>YES</v>
      </c>
      <c r="I98" s="149" t="str">
        <f t="shared" si="4"/>
        <v>NO</v>
      </c>
    </row>
    <row r="99" spans="1:9">
      <c r="A99" s="134" t="s">
        <v>284</v>
      </c>
      <c r="B99" s="129" t="s">
        <v>43</v>
      </c>
      <c r="C99" s="129" t="s">
        <v>604</v>
      </c>
      <c r="D99" s="149" t="s">
        <v>928</v>
      </c>
      <c r="E99" s="150">
        <v>0</v>
      </c>
      <c r="F99" s="149" t="str">
        <f t="shared" si="5"/>
        <v>NO</v>
      </c>
      <c r="G99" s="151">
        <f>SUM('2024 Legal Max'!O99-'2024 Legal Max'!K99)</f>
        <v>2.5</v>
      </c>
      <c r="H99" s="149" t="str">
        <f t="shared" si="6"/>
        <v>NO</v>
      </c>
      <c r="I99" s="149" t="str">
        <f t="shared" si="4"/>
        <v>NO</v>
      </c>
    </row>
    <row r="100" spans="1:9">
      <c r="A100" s="134" t="s">
        <v>285</v>
      </c>
      <c r="B100" s="129" t="s">
        <v>43</v>
      </c>
      <c r="C100" s="129" t="s">
        <v>605</v>
      </c>
      <c r="D100" s="149" t="s">
        <v>928</v>
      </c>
      <c r="E100" s="150">
        <v>0</v>
      </c>
      <c r="F100" s="149" t="str">
        <f t="shared" si="5"/>
        <v>NO</v>
      </c>
      <c r="G100" s="151">
        <f>SUM('2024 Legal Max'!O100-'2024 Legal Max'!K100)</f>
        <v>-0.8</v>
      </c>
      <c r="H100" s="149" t="str">
        <f t="shared" si="6"/>
        <v>YES</v>
      </c>
      <c r="I100" s="149" t="str">
        <f t="shared" si="4"/>
        <v>NO</v>
      </c>
    </row>
    <row r="101" spans="1:9">
      <c r="A101" s="134" t="s">
        <v>286</v>
      </c>
      <c r="B101" s="129" t="s">
        <v>44</v>
      </c>
      <c r="C101" s="129" t="s">
        <v>606</v>
      </c>
      <c r="D101" s="149" t="s">
        <v>928</v>
      </c>
      <c r="E101" s="150">
        <v>0</v>
      </c>
      <c r="F101" s="149" t="str">
        <f t="shared" si="5"/>
        <v>NO</v>
      </c>
      <c r="G101" s="151">
        <f>SUM('2024 Legal Max'!O101-'2024 Legal Max'!K101)</f>
        <v>13.9</v>
      </c>
      <c r="H101" s="149" t="str">
        <f t="shared" si="6"/>
        <v>NO</v>
      </c>
      <c r="I101" s="149" t="str">
        <f t="shared" si="4"/>
        <v>NO</v>
      </c>
    </row>
    <row r="102" spans="1:9">
      <c r="A102" s="134" t="s">
        <v>287</v>
      </c>
      <c r="B102" s="129" t="s">
        <v>6</v>
      </c>
      <c r="C102" s="129" t="s">
        <v>607</v>
      </c>
      <c r="D102" s="149" t="s">
        <v>928</v>
      </c>
      <c r="E102" s="150">
        <v>0</v>
      </c>
      <c r="F102" s="149" t="str">
        <f t="shared" si="5"/>
        <v>NO</v>
      </c>
      <c r="G102" s="151">
        <f>SUM('2024 Legal Max'!O102-'2024 Legal Max'!K102)</f>
        <v>16.5</v>
      </c>
      <c r="H102" s="149" t="str">
        <f t="shared" si="6"/>
        <v>NO</v>
      </c>
      <c r="I102" s="149" t="str">
        <f t="shared" si="4"/>
        <v>NO</v>
      </c>
    </row>
    <row r="103" spans="1:9">
      <c r="A103" s="134" t="s">
        <v>288</v>
      </c>
      <c r="B103" s="129" t="s">
        <v>45</v>
      </c>
      <c r="C103" s="129" t="s">
        <v>608</v>
      </c>
      <c r="D103" s="149" t="s">
        <v>928</v>
      </c>
      <c r="E103" s="150">
        <v>1</v>
      </c>
      <c r="F103" s="149" t="str">
        <f t="shared" si="5"/>
        <v>YES</v>
      </c>
      <c r="G103" s="151">
        <f>SUM('2024 Legal Max'!O103-'2024 Legal Max'!K103)</f>
        <v>-1</v>
      </c>
      <c r="H103" s="149" t="str">
        <f t="shared" si="6"/>
        <v>YES</v>
      </c>
      <c r="I103" s="149" t="str">
        <f t="shared" si="4"/>
        <v>NO</v>
      </c>
    </row>
    <row r="104" spans="1:9">
      <c r="A104" s="134" t="s">
        <v>289</v>
      </c>
      <c r="B104" s="129" t="s">
        <v>45</v>
      </c>
      <c r="C104" s="129" t="s">
        <v>609</v>
      </c>
      <c r="D104" s="149" t="s">
        <v>928</v>
      </c>
      <c r="E104" s="150">
        <v>0</v>
      </c>
      <c r="F104" s="149" t="str">
        <f t="shared" si="5"/>
        <v>NO</v>
      </c>
      <c r="G104" s="151">
        <f>SUM('2024 Legal Max'!O104-'2024 Legal Max'!K104)</f>
        <v>4.8</v>
      </c>
      <c r="H104" s="149" t="str">
        <f t="shared" si="6"/>
        <v>NO</v>
      </c>
      <c r="I104" s="149" t="str">
        <f t="shared" si="4"/>
        <v>NO</v>
      </c>
    </row>
    <row r="105" spans="1:9">
      <c r="A105" s="134" t="s">
        <v>290</v>
      </c>
      <c r="B105" s="129" t="s">
        <v>46</v>
      </c>
      <c r="C105" s="129" t="s">
        <v>610</v>
      </c>
      <c r="D105" s="149" t="s">
        <v>928</v>
      </c>
      <c r="E105" s="150">
        <v>0</v>
      </c>
      <c r="F105" s="149" t="str">
        <f t="shared" si="5"/>
        <v>NO</v>
      </c>
      <c r="G105" s="151">
        <f>SUM('2024 Legal Max'!O105-'2024 Legal Max'!K105)</f>
        <v>-10.5</v>
      </c>
      <c r="H105" s="149" t="str">
        <f t="shared" si="6"/>
        <v>YES</v>
      </c>
      <c r="I105" s="149" t="str">
        <f t="shared" si="4"/>
        <v>NO</v>
      </c>
    </row>
    <row r="106" spans="1:9">
      <c r="A106" s="134" t="s">
        <v>291</v>
      </c>
      <c r="B106" s="129" t="s">
        <v>47</v>
      </c>
      <c r="C106" s="129" t="s">
        <v>611</v>
      </c>
      <c r="D106" s="149" t="s">
        <v>928</v>
      </c>
      <c r="E106" s="150">
        <v>0</v>
      </c>
      <c r="F106" s="149" t="str">
        <f t="shared" si="5"/>
        <v>NO</v>
      </c>
      <c r="G106" s="151">
        <f>SUM('2024 Legal Max'!O106-'2024 Legal Max'!K106)</f>
        <v>-7.4</v>
      </c>
      <c r="H106" s="149" t="str">
        <f t="shared" si="6"/>
        <v>YES</v>
      </c>
      <c r="I106" s="149" t="str">
        <f t="shared" si="4"/>
        <v>NO</v>
      </c>
    </row>
    <row r="107" spans="1:9">
      <c r="A107" s="134" t="s">
        <v>292</v>
      </c>
      <c r="B107" s="129" t="s">
        <v>48</v>
      </c>
      <c r="C107" s="129" t="s">
        <v>612</v>
      </c>
      <c r="D107" s="149" t="s">
        <v>928</v>
      </c>
      <c r="E107" s="150">
        <v>1</v>
      </c>
      <c r="F107" s="149" t="str">
        <f t="shared" si="5"/>
        <v>YES</v>
      </c>
      <c r="G107" s="151">
        <f>SUM('2024 Legal Max'!O107-'2024 Legal Max'!K107)</f>
        <v>0.2</v>
      </c>
      <c r="H107" s="149" t="str">
        <f t="shared" si="6"/>
        <v>NO</v>
      </c>
      <c r="I107" s="149" t="str">
        <f t="shared" si="4"/>
        <v>NO</v>
      </c>
    </row>
    <row r="108" spans="1:9">
      <c r="A108" s="134" t="s">
        <v>293</v>
      </c>
      <c r="B108" s="129" t="s">
        <v>48</v>
      </c>
      <c r="C108" s="129" t="s">
        <v>613</v>
      </c>
      <c r="D108" s="149" t="s">
        <v>928</v>
      </c>
      <c r="E108" s="150">
        <v>0</v>
      </c>
      <c r="F108" s="149" t="str">
        <f t="shared" si="5"/>
        <v>NO</v>
      </c>
      <c r="G108" s="151">
        <f>SUM('2024 Legal Max'!O108-'2024 Legal Max'!K108)</f>
        <v>2.2999999999999998</v>
      </c>
      <c r="H108" s="149" t="str">
        <f t="shared" si="6"/>
        <v>NO</v>
      </c>
      <c r="I108" s="149" t="str">
        <f t="shared" si="4"/>
        <v>NO</v>
      </c>
    </row>
    <row r="109" spans="1:9">
      <c r="A109" s="134" t="s">
        <v>294</v>
      </c>
      <c r="B109" s="129" t="s">
        <v>48</v>
      </c>
      <c r="C109" s="129" t="s">
        <v>614</v>
      </c>
      <c r="D109" s="149" t="s">
        <v>931</v>
      </c>
      <c r="E109" s="150">
        <v>0</v>
      </c>
      <c r="F109" s="149" t="str">
        <f t="shared" si="5"/>
        <v>NO</v>
      </c>
      <c r="G109" s="151">
        <f>SUM('2024 Legal Max'!O109-'2024 Legal Max'!K109)</f>
        <v>-6.5</v>
      </c>
      <c r="H109" s="149" t="str">
        <f t="shared" si="6"/>
        <v>YES</v>
      </c>
      <c r="I109" s="149" t="str">
        <f t="shared" si="4"/>
        <v>NO</v>
      </c>
    </row>
    <row r="110" spans="1:9">
      <c r="A110" s="134" t="s">
        <v>295</v>
      </c>
      <c r="B110" s="129" t="s">
        <v>49</v>
      </c>
      <c r="C110" s="129" t="s">
        <v>615</v>
      </c>
      <c r="D110" s="149" t="s">
        <v>928</v>
      </c>
      <c r="E110" s="150">
        <v>1</v>
      </c>
      <c r="F110" s="149" t="str">
        <f t="shared" si="5"/>
        <v>YES</v>
      </c>
      <c r="G110" s="151">
        <f>SUM('2024 Legal Max'!O110-'2024 Legal Max'!K110)</f>
        <v>-18.7</v>
      </c>
      <c r="H110" s="149" t="str">
        <f t="shared" si="6"/>
        <v>YES</v>
      </c>
      <c r="I110" s="149" t="str">
        <f t="shared" si="4"/>
        <v>NO</v>
      </c>
    </row>
    <row r="111" spans="1:9">
      <c r="A111" s="134" t="s">
        <v>296</v>
      </c>
      <c r="B111" s="129" t="s">
        <v>49</v>
      </c>
      <c r="C111" s="129" t="s">
        <v>616</v>
      </c>
      <c r="D111" s="149" t="s">
        <v>928</v>
      </c>
      <c r="E111" s="150">
        <v>0</v>
      </c>
      <c r="F111" s="149" t="str">
        <f t="shared" si="5"/>
        <v>NO</v>
      </c>
      <c r="G111" s="151">
        <f>SUM('2024 Legal Max'!O111-'2024 Legal Max'!K111)</f>
        <v>-27.7</v>
      </c>
      <c r="H111" s="149" t="str">
        <f t="shared" si="6"/>
        <v>YES</v>
      </c>
      <c r="I111" s="149" t="str">
        <f t="shared" si="4"/>
        <v>NO</v>
      </c>
    </row>
    <row r="112" spans="1:9">
      <c r="A112" s="134" t="s">
        <v>297</v>
      </c>
      <c r="B112" s="129" t="s">
        <v>49</v>
      </c>
      <c r="C112" s="129" t="s">
        <v>617</v>
      </c>
      <c r="D112" s="149" t="s">
        <v>928</v>
      </c>
      <c r="E112" s="150">
        <v>1</v>
      </c>
      <c r="F112" s="149" t="str">
        <f t="shared" si="5"/>
        <v>YES</v>
      </c>
      <c r="G112" s="151">
        <f>SUM('2024 Legal Max'!O112-'2024 Legal Max'!K112)</f>
        <v>1.4</v>
      </c>
      <c r="H112" s="149" t="str">
        <f t="shared" si="6"/>
        <v>NO</v>
      </c>
      <c r="I112" s="149" t="str">
        <f t="shared" si="4"/>
        <v>NO</v>
      </c>
    </row>
    <row r="113" spans="1:9">
      <c r="A113" s="134" t="s">
        <v>298</v>
      </c>
      <c r="B113" s="129" t="s">
        <v>49</v>
      </c>
      <c r="C113" s="129" t="s">
        <v>618</v>
      </c>
      <c r="D113" s="149" t="s">
        <v>928</v>
      </c>
      <c r="E113" s="150">
        <v>1</v>
      </c>
      <c r="F113" s="149" t="str">
        <f t="shared" si="5"/>
        <v>YES</v>
      </c>
      <c r="G113" s="151">
        <f>SUM('2024 Legal Max'!O113-'2024 Legal Max'!K113)</f>
        <v>-14.2</v>
      </c>
      <c r="H113" s="149" t="str">
        <f t="shared" si="6"/>
        <v>YES</v>
      </c>
      <c r="I113" s="149" t="str">
        <f t="shared" si="4"/>
        <v>NO</v>
      </c>
    </row>
    <row r="114" spans="1:9">
      <c r="A114" s="134" t="s">
        <v>299</v>
      </c>
      <c r="B114" s="129" t="s">
        <v>49</v>
      </c>
      <c r="C114" s="129" t="s">
        <v>619</v>
      </c>
      <c r="D114" s="149" t="s">
        <v>928</v>
      </c>
      <c r="E114" s="150">
        <v>1</v>
      </c>
      <c r="F114" s="149" t="str">
        <f t="shared" si="5"/>
        <v>YES</v>
      </c>
      <c r="G114" s="151">
        <f>SUM('2024 Legal Max'!O114-'2024 Legal Max'!K114)</f>
        <v>-4.3</v>
      </c>
      <c r="H114" s="149" t="str">
        <f t="shared" si="6"/>
        <v>YES</v>
      </c>
      <c r="I114" s="149" t="str">
        <f t="shared" si="4"/>
        <v>NO</v>
      </c>
    </row>
    <row r="115" spans="1:9">
      <c r="A115" s="134" t="s">
        <v>300</v>
      </c>
      <c r="B115" s="129" t="s">
        <v>49</v>
      </c>
      <c r="C115" s="129" t="s">
        <v>620</v>
      </c>
      <c r="D115" s="149" t="s">
        <v>928</v>
      </c>
      <c r="E115" s="150">
        <v>1</v>
      </c>
      <c r="F115" s="149" t="str">
        <f t="shared" si="5"/>
        <v>YES</v>
      </c>
      <c r="G115" s="151">
        <f>SUM('2024 Legal Max'!O115-'2024 Legal Max'!K115)</f>
        <v>54.2</v>
      </c>
      <c r="H115" s="149" t="str">
        <f t="shared" si="6"/>
        <v>NO</v>
      </c>
      <c r="I115" s="149" t="str">
        <f t="shared" si="4"/>
        <v>NO</v>
      </c>
    </row>
    <row r="116" spans="1:9">
      <c r="A116" s="134" t="s">
        <v>301</v>
      </c>
      <c r="B116" s="129" t="s">
        <v>50</v>
      </c>
      <c r="C116" s="129" t="s">
        <v>621</v>
      </c>
      <c r="D116" s="149" t="s">
        <v>928</v>
      </c>
      <c r="E116" s="150">
        <v>1</v>
      </c>
      <c r="F116" s="149" t="str">
        <f t="shared" si="5"/>
        <v>YES</v>
      </c>
      <c r="G116" s="151">
        <f>SUM('2024 Legal Max'!O116-'2024 Legal Max'!K116)</f>
        <v>-0.1</v>
      </c>
      <c r="H116" s="149" t="str">
        <f t="shared" si="6"/>
        <v>YES</v>
      </c>
      <c r="I116" s="149" t="str">
        <f t="shared" si="4"/>
        <v>NO</v>
      </c>
    </row>
    <row r="117" spans="1:9">
      <c r="A117" s="134" t="s">
        <v>302</v>
      </c>
      <c r="B117" s="129" t="s">
        <v>50</v>
      </c>
      <c r="C117" s="129" t="s">
        <v>622</v>
      </c>
      <c r="D117" s="149" t="s">
        <v>928</v>
      </c>
      <c r="E117" s="150">
        <v>0</v>
      </c>
      <c r="F117" s="149" t="str">
        <f t="shared" si="5"/>
        <v>NO</v>
      </c>
      <c r="G117" s="151">
        <f>SUM('2024 Legal Max'!O117-'2024 Legal Max'!K117)</f>
        <v>-14.5</v>
      </c>
      <c r="H117" s="149" t="str">
        <f t="shared" si="6"/>
        <v>YES</v>
      </c>
      <c r="I117" s="149" t="str">
        <f t="shared" si="4"/>
        <v>NO</v>
      </c>
    </row>
    <row r="118" spans="1:9">
      <c r="A118" s="134" t="s">
        <v>303</v>
      </c>
      <c r="B118" s="129" t="s">
        <v>50</v>
      </c>
      <c r="C118" s="129" t="s">
        <v>623</v>
      </c>
      <c r="D118" s="149" t="s">
        <v>928</v>
      </c>
      <c r="E118" s="150">
        <v>0</v>
      </c>
      <c r="F118" s="149" t="str">
        <f t="shared" si="5"/>
        <v>NO</v>
      </c>
      <c r="G118" s="151">
        <f>SUM('2024 Legal Max'!O118-'2024 Legal Max'!K118)</f>
        <v>-15.5</v>
      </c>
      <c r="H118" s="149" t="str">
        <f t="shared" si="6"/>
        <v>YES</v>
      </c>
      <c r="I118" s="149" t="str">
        <f t="shared" si="4"/>
        <v>NO</v>
      </c>
    </row>
    <row r="119" spans="1:9">
      <c r="A119" s="134" t="s">
        <v>304</v>
      </c>
      <c r="B119" s="129" t="s">
        <v>52</v>
      </c>
      <c r="C119" s="129" t="s">
        <v>624</v>
      </c>
      <c r="D119" s="149" t="s">
        <v>928</v>
      </c>
      <c r="E119" s="150">
        <v>1</v>
      </c>
      <c r="F119" s="149" t="str">
        <f t="shared" si="5"/>
        <v>YES</v>
      </c>
      <c r="G119" s="151">
        <f>SUM('2024 Legal Max'!O119-'2024 Legal Max'!K119)</f>
        <v>-27.3</v>
      </c>
      <c r="H119" s="149" t="str">
        <f t="shared" si="6"/>
        <v>YES</v>
      </c>
      <c r="I119" s="149" t="str">
        <f t="shared" si="4"/>
        <v>NO</v>
      </c>
    </row>
    <row r="120" spans="1:9">
      <c r="A120" s="134" t="s">
        <v>305</v>
      </c>
      <c r="B120" s="129" t="s">
        <v>52</v>
      </c>
      <c r="C120" s="129" t="s">
        <v>625</v>
      </c>
      <c r="D120" s="149" t="s">
        <v>928</v>
      </c>
      <c r="E120" s="150">
        <v>1</v>
      </c>
      <c r="F120" s="149" t="str">
        <f t="shared" si="5"/>
        <v>YES</v>
      </c>
      <c r="G120" s="151">
        <f>SUM('2024 Legal Max'!O120-'2024 Legal Max'!K120)</f>
        <v>-5.5</v>
      </c>
      <c r="H120" s="149" t="str">
        <f t="shared" si="6"/>
        <v>YES</v>
      </c>
      <c r="I120" s="149" t="str">
        <f t="shared" si="4"/>
        <v>NO</v>
      </c>
    </row>
    <row r="121" spans="1:9">
      <c r="A121" s="134" t="s">
        <v>306</v>
      </c>
      <c r="B121" s="129" t="s">
        <v>52</v>
      </c>
      <c r="C121" s="129" t="s">
        <v>626</v>
      </c>
      <c r="D121" s="149" t="s">
        <v>928</v>
      </c>
      <c r="E121" s="150">
        <v>1</v>
      </c>
      <c r="F121" s="149" t="str">
        <f t="shared" si="5"/>
        <v>YES</v>
      </c>
      <c r="G121" s="151">
        <f>SUM('2024 Legal Max'!O121-'2024 Legal Max'!K121)</f>
        <v>5.3</v>
      </c>
      <c r="H121" s="149" t="str">
        <f t="shared" si="6"/>
        <v>NO</v>
      </c>
      <c r="I121" s="149" t="str">
        <f t="shared" si="4"/>
        <v>NO</v>
      </c>
    </row>
    <row r="122" spans="1:9">
      <c r="A122" s="134" t="s">
        <v>307</v>
      </c>
      <c r="B122" s="129" t="s">
        <v>52</v>
      </c>
      <c r="C122" s="129" t="s">
        <v>627</v>
      </c>
      <c r="D122" s="149" t="s">
        <v>928</v>
      </c>
      <c r="E122" s="150">
        <v>1</v>
      </c>
      <c r="F122" s="149" t="str">
        <f t="shared" si="5"/>
        <v>YES</v>
      </c>
      <c r="G122" s="151">
        <f>SUM('2024 Legal Max'!O122-'2024 Legal Max'!K122)</f>
        <v>82.5</v>
      </c>
      <c r="H122" s="149" t="str">
        <f t="shared" si="6"/>
        <v>NO</v>
      </c>
      <c r="I122" s="149" t="str">
        <f t="shared" si="4"/>
        <v>NO</v>
      </c>
    </row>
    <row r="123" spans="1:9">
      <c r="A123" s="134" t="s">
        <v>308</v>
      </c>
      <c r="B123" s="129" t="s">
        <v>53</v>
      </c>
      <c r="C123" s="129" t="s">
        <v>628</v>
      </c>
      <c r="D123" s="149" t="s">
        <v>928</v>
      </c>
      <c r="E123" s="150">
        <v>0</v>
      </c>
      <c r="F123" s="149" t="str">
        <f t="shared" si="5"/>
        <v>NO</v>
      </c>
      <c r="G123" s="151">
        <f>SUM('2024 Legal Max'!O123-'2024 Legal Max'!K123)</f>
        <v>4</v>
      </c>
      <c r="H123" s="149" t="str">
        <f t="shared" si="6"/>
        <v>NO</v>
      </c>
      <c r="I123" s="149" t="str">
        <f t="shared" si="4"/>
        <v>NO</v>
      </c>
    </row>
    <row r="124" spans="1:9">
      <c r="A124" s="134" t="s">
        <v>309</v>
      </c>
      <c r="B124" s="129" t="s">
        <v>53</v>
      </c>
      <c r="C124" s="129" t="s">
        <v>629</v>
      </c>
      <c r="D124" s="149" t="s">
        <v>928</v>
      </c>
      <c r="E124" s="150">
        <v>0</v>
      </c>
      <c r="F124" s="149" t="str">
        <f t="shared" si="5"/>
        <v>NO</v>
      </c>
      <c r="G124" s="151">
        <f>SUM('2024 Legal Max'!O124-'2024 Legal Max'!K124)</f>
        <v>-11.4</v>
      </c>
      <c r="H124" s="149" t="str">
        <f t="shared" si="6"/>
        <v>YES</v>
      </c>
      <c r="I124" s="149" t="str">
        <f t="shared" si="4"/>
        <v>NO</v>
      </c>
    </row>
    <row r="125" spans="1:9">
      <c r="A125" s="134" t="s">
        <v>310</v>
      </c>
      <c r="B125" s="129" t="s">
        <v>54</v>
      </c>
      <c r="C125" s="129" t="s">
        <v>630</v>
      </c>
      <c r="D125" s="149" t="s">
        <v>928</v>
      </c>
      <c r="E125" s="150">
        <v>0</v>
      </c>
      <c r="F125" s="149" t="str">
        <f t="shared" si="5"/>
        <v>NO</v>
      </c>
      <c r="G125" s="151">
        <f>SUM('2024 Legal Max'!O125-'2024 Legal Max'!K125)</f>
        <v>9.4</v>
      </c>
      <c r="H125" s="149" t="str">
        <f t="shared" si="6"/>
        <v>NO</v>
      </c>
      <c r="I125" s="149" t="str">
        <f t="shared" si="4"/>
        <v>NO</v>
      </c>
    </row>
    <row r="126" spans="1:9">
      <c r="A126" s="134" t="s">
        <v>311</v>
      </c>
      <c r="B126" s="129" t="s">
        <v>55</v>
      </c>
      <c r="C126" s="129" t="s">
        <v>631</v>
      </c>
      <c r="D126" s="149" t="s">
        <v>928</v>
      </c>
      <c r="E126" s="150">
        <v>1</v>
      </c>
      <c r="F126" s="149" t="str">
        <f t="shared" si="5"/>
        <v>YES</v>
      </c>
      <c r="G126" s="151">
        <f>SUM('2024 Legal Max'!O126-'2024 Legal Max'!K126)</f>
        <v>1.4</v>
      </c>
      <c r="H126" s="149" t="str">
        <f t="shared" si="6"/>
        <v>NO</v>
      </c>
      <c r="I126" s="149" t="str">
        <f t="shared" si="4"/>
        <v>NO</v>
      </c>
    </row>
    <row r="127" spans="1:9">
      <c r="A127" s="134" t="s">
        <v>312</v>
      </c>
      <c r="B127" s="129" t="s">
        <v>55</v>
      </c>
      <c r="C127" s="129" t="s">
        <v>632</v>
      </c>
      <c r="D127" s="149" t="s">
        <v>928</v>
      </c>
      <c r="E127" s="150">
        <v>1</v>
      </c>
      <c r="F127" s="149" t="str">
        <f t="shared" si="5"/>
        <v>YES</v>
      </c>
      <c r="G127" s="151">
        <f>SUM('2024 Legal Max'!O127-'2024 Legal Max'!K127)</f>
        <v>0.8</v>
      </c>
      <c r="H127" s="149" t="str">
        <f t="shared" si="6"/>
        <v>NO</v>
      </c>
      <c r="I127" s="149" t="str">
        <f t="shared" si="4"/>
        <v>NO</v>
      </c>
    </row>
    <row r="128" spans="1:9">
      <c r="A128" s="134" t="s">
        <v>313</v>
      </c>
      <c r="B128" s="129" t="s">
        <v>56</v>
      </c>
      <c r="C128" s="129" t="s">
        <v>633</v>
      </c>
      <c r="D128" s="149" t="s">
        <v>928</v>
      </c>
      <c r="E128" s="150">
        <v>1</v>
      </c>
      <c r="F128" s="149" t="str">
        <f t="shared" si="5"/>
        <v>YES</v>
      </c>
      <c r="G128" s="151">
        <f>SUM('2024 Legal Max'!O128-'2024 Legal Max'!K128)</f>
        <v>24.8</v>
      </c>
      <c r="H128" s="149" t="str">
        <f t="shared" si="6"/>
        <v>NO</v>
      </c>
      <c r="I128" s="149" t="str">
        <f t="shared" si="4"/>
        <v>NO</v>
      </c>
    </row>
    <row r="129" spans="1:9">
      <c r="A129" s="134" t="s">
        <v>314</v>
      </c>
      <c r="B129" s="129" t="s">
        <v>56</v>
      </c>
      <c r="C129" s="129" t="s">
        <v>634</v>
      </c>
      <c r="D129" s="149" t="s">
        <v>928</v>
      </c>
      <c r="E129" s="150">
        <v>0</v>
      </c>
      <c r="F129" s="149" t="str">
        <f t="shared" si="5"/>
        <v>NO</v>
      </c>
      <c r="G129" s="151">
        <f>SUM('2024 Legal Max'!O129-'2024 Legal Max'!K129)</f>
        <v>-10</v>
      </c>
      <c r="H129" s="149" t="str">
        <f t="shared" si="6"/>
        <v>YES</v>
      </c>
      <c r="I129" s="149" t="str">
        <f t="shared" si="4"/>
        <v>NO</v>
      </c>
    </row>
    <row r="130" spans="1:9">
      <c r="A130" s="134" t="s">
        <v>315</v>
      </c>
      <c r="B130" s="129" t="s">
        <v>57</v>
      </c>
      <c r="C130" s="129" t="s">
        <v>635</v>
      </c>
      <c r="D130" s="149" t="s">
        <v>928</v>
      </c>
      <c r="E130" s="150">
        <v>1</v>
      </c>
      <c r="F130" s="149" t="str">
        <f t="shared" si="5"/>
        <v>YES</v>
      </c>
      <c r="G130" s="151">
        <f>SUM('2024 Legal Max'!O130-'2024 Legal Max'!K130)</f>
        <v>-25.2</v>
      </c>
      <c r="H130" s="149" t="str">
        <f t="shared" si="6"/>
        <v>YES</v>
      </c>
      <c r="I130" s="149" t="str">
        <f t="shared" si="4"/>
        <v>NO</v>
      </c>
    </row>
    <row r="131" spans="1:9">
      <c r="A131" s="134" t="s">
        <v>316</v>
      </c>
      <c r="B131" s="129" t="s">
        <v>57</v>
      </c>
      <c r="C131" s="129" t="s">
        <v>636</v>
      </c>
      <c r="D131" s="149" t="s">
        <v>928</v>
      </c>
      <c r="E131" s="150">
        <v>0</v>
      </c>
      <c r="F131" s="149" t="str">
        <f t="shared" si="5"/>
        <v>NO</v>
      </c>
      <c r="G131" s="151">
        <f>SUM('2024 Legal Max'!O131-'2024 Legal Max'!K131)</f>
        <v>1.5</v>
      </c>
      <c r="H131" s="149" t="str">
        <f t="shared" si="6"/>
        <v>NO</v>
      </c>
      <c r="I131" s="149" t="str">
        <f t="shared" si="4"/>
        <v>NO</v>
      </c>
    </row>
    <row r="132" spans="1:9">
      <c r="A132" s="134" t="s">
        <v>317</v>
      </c>
      <c r="B132" s="129" t="s">
        <v>58</v>
      </c>
      <c r="C132" s="129" t="s">
        <v>637</v>
      </c>
      <c r="D132" s="149" t="s">
        <v>928</v>
      </c>
      <c r="E132" s="150">
        <v>0</v>
      </c>
      <c r="F132" s="149" t="str">
        <f t="shared" si="5"/>
        <v>NO</v>
      </c>
      <c r="G132" s="151">
        <f>SUM('2024 Legal Max'!O132-'2024 Legal Max'!K132)</f>
        <v>13.8</v>
      </c>
      <c r="H132" s="149" t="str">
        <f t="shared" si="6"/>
        <v>NO</v>
      </c>
      <c r="I132" s="149" t="str">
        <f t="shared" si="4"/>
        <v>NO</v>
      </c>
    </row>
    <row r="133" spans="1:9">
      <c r="A133" s="134" t="s">
        <v>318</v>
      </c>
      <c r="B133" s="129" t="s">
        <v>58</v>
      </c>
      <c r="C133" s="129" t="s">
        <v>638</v>
      </c>
      <c r="D133" s="149" t="s">
        <v>928</v>
      </c>
      <c r="E133" s="150">
        <v>1</v>
      </c>
      <c r="F133" s="149" t="str">
        <f t="shared" si="5"/>
        <v>YES</v>
      </c>
      <c r="G133" s="151">
        <f>SUM('2024 Legal Max'!O133-'2024 Legal Max'!K133)</f>
        <v>0.9</v>
      </c>
      <c r="H133" s="149" t="str">
        <f t="shared" si="6"/>
        <v>NO</v>
      </c>
      <c r="I133" s="149" t="str">
        <f t="shared" ref="I133:I196" si="7">IF(AND(D133="YES", F133="YES", H133="YES"), "YES", "NO")</f>
        <v>NO</v>
      </c>
    </row>
    <row r="134" spans="1:9">
      <c r="A134" s="134" t="s">
        <v>319</v>
      </c>
      <c r="B134" s="129" t="s">
        <v>58</v>
      </c>
      <c r="C134" s="129" t="s">
        <v>639</v>
      </c>
      <c r="D134" s="149" t="s">
        <v>931</v>
      </c>
      <c r="E134" s="150">
        <v>1</v>
      </c>
      <c r="F134" s="149" t="str">
        <f t="shared" si="5"/>
        <v>YES</v>
      </c>
      <c r="G134" s="151">
        <f>SUM('2024 Legal Max'!O134-'2024 Legal Max'!K134)</f>
        <v>18</v>
      </c>
      <c r="H134" s="149" t="str">
        <f t="shared" si="6"/>
        <v>NO</v>
      </c>
      <c r="I134" s="149" t="str">
        <f t="shared" si="7"/>
        <v>NO</v>
      </c>
    </row>
    <row r="135" spans="1:9">
      <c r="A135" s="134" t="s">
        <v>320</v>
      </c>
      <c r="B135" s="129" t="s">
        <v>59</v>
      </c>
      <c r="C135" s="129" t="s">
        <v>640</v>
      </c>
      <c r="D135" s="149" t="s">
        <v>928</v>
      </c>
      <c r="E135" s="150">
        <v>1</v>
      </c>
      <c r="F135" s="149" t="str">
        <f t="shared" ref="F135:F198" si="8">IF(E135&gt;0, "YES", "NO")</f>
        <v>YES</v>
      </c>
      <c r="G135" s="151">
        <f>SUM('2024 Legal Max'!O135-'2024 Legal Max'!K135)</f>
        <v>-7.5</v>
      </c>
      <c r="H135" s="149" t="str">
        <f t="shared" ref="H135:H198" si="9">IF(G135&lt;0, "YES", "NO")</f>
        <v>YES</v>
      </c>
      <c r="I135" s="149" t="str">
        <f t="shared" si="7"/>
        <v>NO</v>
      </c>
    </row>
    <row r="136" spans="1:9">
      <c r="A136" s="134" t="s">
        <v>321</v>
      </c>
      <c r="B136" s="129" t="s">
        <v>59</v>
      </c>
      <c r="C136" s="129" t="s">
        <v>641</v>
      </c>
      <c r="D136" s="149" t="s">
        <v>928</v>
      </c>
      <c r="E136" s="150">
        <v>1</v>
      </c>
      <c r="F136" s="149" t="str">
        <f t="shared" si="8"/>
        <v>YES</v>
      </c>
      <c r="G136" s="151">
        <f>SUM('2024 Legal Max'!O136-'2024 Legal Max'!K136)</f>
        <v>-10</v>
      </c>
      <c r="H136" s="149" t="str">
        <f t="shared" si="9"/>
        <v>YES</v>
      </c>
      <c r="I136" s="149" t="str">
        <f t="shared" si="7"/>
        <v>NO</v>
      </c>
    </row>
    <row r="137" spans="1:9">
      <c r="A137" s="134" t="s">
        <v>322</v>
      </c>
      <c r="B137" s="129" t="s">
        <v>59</v>
      </c>
      <c r="C137" s="129" t="s">
        <v>642</v>
      </c>
      <c r="D137" s="149" t="s">
        <v>931</v>
      </c>
      <c r="E137" s="150">
        <v>1</v>
      </c>
      <c r="F137" s="149" t="str">
        <f t="shared" si="8"/>
        <v>YES</v>
      </c>
      <c r="G137" s="151">
        <f>SUM('2024 Legal Max'!O137-'2024 Legal Max'!K137)</f>
        <v>25</v>
      </c>
      <c r="H137" s="149" t="str">
        <f t="shared" si="9"/>
        <v>NO</v>
      </c>
      <c r="I137" s="149" t="str">
        <f t="shared" si="7"/>
        <v>NO</v>
      </c>
    </row>
    <row r="138" spans="1:9">
      <c r="A138" s="134" t="s">
        <v>323</v>
      </c>
      <c r="B138" s="129" t="s">
        <v>59</v>
      </c>
      <c r="C138" s="129" t="s">
        <v>643</v>
      </c>
      <c r="D138" s="149" t="s">
        <v>931</v>
      </c>
      <c r="E138" s="150">
        <v>1</v>
      </c>
      <c r="F138" s="149" t="str">
        <f t="shared" si="8"/>
        <v>YES</v>
      </c>
      <c r="G138" s="151">
        <f>SUM('2024 Legal Max'!O138-'2024 Legal Max'!K138)</f>
        <v>-46.1</v>
      </c>
      <c r="H138" s="149" t="str">
        <f t="shared" si="9"/>
        <v>YES</v>
      </c>
      <c r="I138" s="149" t="str">
        <f t="shared" si="7"/>
        <v>YES</v>
      </c>
    </row>
    <row r="139" spans="1:9">
      <c r="A139" s="134" t="s">
        <v>324</v>
      </c>
      <c r="B139" s="129" t="s">
        <v>59</v>
      </c>
      <c r="C139" s="129" t="s">
        <v>644</v>
      </c>
      <c r="D139" s="149" t="s">
        <v>928</v>
      </c>
      <c r="E139" s="150">
        <v>1</v>
      </c>
      <c r="F139" s="149" t="str">
        <f t="shared" si="8"/>
        <v>YES</v>
      </c>
      <c r="G139" s="151">
        <f>SUM('2024 Legal Max'!O139-'2024 Legal Max'!K139)</f>
        <v>-11</v>
      </c>
      <c r="H139" s="149" t="str">
        <f t="shared" si="9"/>
        <v>YES</v>
      </c>
      <c r="I139" s="149" t="str">
        <f t="shared" si="7"/>
        <v>NO</v>
      </c>
    </row>
    <row r="140" spans="1:9">
      <c r="A140" s="134" t="s">
        <v>325</v>
      </c>
      <c r="B140" s="129" t="s">
        <v>59</v>
      </c>
      <c r="C140" s="129" t="s">
        <v>645</v>
      </c>
      <c r="D140" s="149" t="s">
        <v>931</v>
      </c>
      <c r="E140" s="150">
        <v>1</v>
      </c>
      <c r="F140" s="149" t="str">
        <f t="shared" si="8"/>
        <v>YES</v>
      </c>
      <c r="G140" s="151">
        <f>SUM('2024 Legal Max'!O140-'2024 Legal Max'!K140)</f>
        <v>-3.8</v>
      </c>
      <c r="H140" s="149" t="str">
        <f t="shared" si="9"/>
        <v>YES</v>
      </c>
      <c r="I140" s="149" t="str">
        <f t="shared" si="7"/>
        <v>YES</v>
      </c>
    </row>
    <row r="141" spans="1:9">
      <c r="A141" s="134" t="s">
        <v>326</v>
      </c>
      <c r="B141" s="129" t="s">
        <v>60</v>
      </c>
      <c r="C141" s="129" t="s">
        <v>646</v>
      </c>
      <c r="D141" s="149" t="s">
        <v>928</v>
      </c>
      <c r="E141" s="150">
        <v>0</v>
      </c>
      <c r="F141" s="149" t="str">
        <f t="shared" si="8"/>
        <v>NO</v>
      </c>
      <c r="G141" s="151">
        <f>SUM('2024 Legal Max'!O141-'2024 Legal Max'!K141)</f>
        <v>-14.5</v>
      </c>
      <c r="H141" s="149" t="str">
        <f t="shared" si="9"/>
        <v>YES</v>
      </c>
      <c r="I141" s="149" t="str">
        <f t="shared" si="7"/>
        <v>NO</v>
      </c>
    </row>
    <row r="142" spans="1:9">
      <c r="A142" s="134" t="s">
        <v>327</v>
      </c>
      <c r="B142" s="129" t="s">
        <v>61</v>
      </c>
      <c r="C142" s="129" t="s">
        <v>647</v>
      </c>
      <c r="D142" s="149" t="s">
        <v>928</v>
      </c>
      <c r="E142" s="150">
        <v>0</v>
      </c>
      <c r="F142" s="149" t="str">
        <f t="shared" si="8"/>
        <v>NO</v>
      </c>
      <c r="G142" s="151">
        <f>SUM('2024 Legal Max'!O142-'2024 Legal Max'!K142)</f>
        <v>-1.8</v>
      </c>
      <c r="H142" s="149" t="str">
        <f t="shared" si="9"/>
        <v>YES</v>
      </c>
      <c r="I142" s="149" t="str">
        <f t="shared" si="7"/>
        <v>NO</v>
      </c>
    </row>
    <row r="143" spans="1:9">
      <c r="A143" s="134" t="s">
        <v>328</v>
      </c>
      <c r="B143" s="129" t="s">
        <v>60</v>
      </c>
      <c r="C143" s="129" t="s">
        <v>648</v>
      </c>
      <c r="D143" s="149" t="s">
        <v>928</v>
      </c>
      <c r="E143" s="150">
        <v>1</v>
      </c>
      <c r="F143" s="149" t="str">
        <f t="shared" si="8"/>
        <v>YES</v>
      </c>
      <c r="G143" s="151">
        <f>SUM('2024 Legal Max'!O143-'2024 Legal Max'!K143)</f>
        <v>18.8</v>
      </c>
      <c r="H143" s="149" t="str">
        <f t="shared" si="9"/>
        <v>NO</v>
      </c>
      <c r="I143" s="149" t="str">
        <f t="shared" si="7"/>
        <v>NO</v>
      </c>
    </row>
    <row r="144" spans="1:9">
      <c r="A144" s="134" t="s">
        <v>329</v>
      </c>
      <c r="B144" s="129" t="s">
        <v>62</v>
      </c>
      <c r="C144" s="129" t="s">
        <v>649</v>
      </c>
      <c r="D144" s="149" t="s">
        <v>928</v>
      </c>
      <c r="E144" s="150">
        <v>0</v>
      </c>
      <c r="F144" s="149" t="str">
        <f t="shared" si="8"/>
        <v>NO</v>
      </c>
      <c r="G144" s="151">
        <f>SUM('2024 Legal Max'!O144-'2024 Legal Max'!K144)</f>
        <v>-11</v>
      </c>
      <c r="H144" s="149" t="str">
        <f t="shared" si="9"/>
        <v>YES</v>
      </c>
      <c r="I144" s="149" t="str">
        <f t="shared" si="7"/>
        <v>NO</v>
      </c>
    </row>
    <row r="145" spans="1:9">
      <c r="A145" s="134" t="s">
        <v>330</v>
      </c>
      <c r="B145" s="129" t="s">
        <v>63</v>
      </c>
      <c r="C145" s="129" t="s">
        <v>650</v>
      </c>
      <c r="D145" s="149" t="s">
        <v>928</v>
      </c>
      <c r="E145" s="150">
        <v>1</v>
      </c>
      <c r="F145" s="149" t="str">
        <f t="shared" si="8"/>
        <v>YES</v>
      </c>
      <c r="G145" s="151">
        <f>SUM('2024 Legal Max'!O145-'2024 Legal Max'!K145)</f>
        <v>38.4</v>
      </c>
      <c r="H145" s="149" t="str">
        <f t="shared" si="9"/>
        <v>NO</v>
      </c>
      <c r="I145" s="149" t="str">
        <f t="shared" si="7"/>
        <v>NO</v>
      </c>
    </row>
    <row r="146" spans="1:9">
      <c r="A146" s="134" t="s">
        <v>331</v>
      </c>
      <c r="B146" s="129" t="s">
        <v>64</v>
      </c>
      <c r="C146" s="129" t="s">
        <v>651</v>
      </c>
      <c r="D146" s="149" t="s">
        <v>928</v>
      </c>
      <c r="E146" s="150">
        <v>0</v>
      </c>
      <c r="F146" s="149" t="str">
        <f t="shared" si="8"/>
        <v>NO</v>
      </c>
      <c r="G146" s="151">
        <f>SUM('2024 Legal Max'!O146-'2024 Legal Max'!K146)</f>
        <v>-5.2</v>
      </c>
      <c r="H146" s="149" t="str">
        <f t="shared" si="9"/>
        <v>YES</v>
      </c>
      <c r="I146" s="149" t="str">
        <f t="shared" si="7"/>
        <v>NO</v>
      </c>
    </row>
    <row r="147" spans="1:9">
      <c r="A147" s="134" t="s">
        <v>332</v>
      </c>
      <c r="B147" s="129" t="s">
        <v>64</v>
      </c>
      <c r="C147" s="129" t="s">
        <v>652</v>
      </c>
      <c r="D147" s="149" t="s">
        <v>928</v>
      </c>
      <c r="E147" s="150">
        <v>0</v>
      </c>
      <c r="F147" s="149" t="str">
        <f t="shared" si="8"/>
        <v>NO</v>
      </c>
      <c r="G147" s="151">
        <f>SUM('2024 Legal Max'!O147-'2024 Legal Max'!K147)</f>
        <v>0.5</v>
      </c>
      <c r="H147" s="149" t="str">
        <f t="shared" si="9"/>
        <v>NO</v>
      </c>
      <c r="I147" s="149" t="str">
        <f t="shared" si="7"/>
        <v>NO</v>
      </c>
    </row>
    <row r="148" spans="1:9">
      <c r="A148" s="134" t="s">
        <v>333</v>
      </c>
      <c r="B148" s="129" t="s">
        <v>64</v>
      </c>
      <c r="C148" s="129" t="s">
        <v>653</v>
      </c>
      <c r="D148" s="149" t="s">
        <v>928</v>
      </c>
      <c r="E148" s="150">
        <v>0</v>
      </c>
      <c r="F148" s="149" t="str">
        <f t="shared" si="8"/>
        <v>NO</v>
      </c>
      <c r="G148" s="151">
        <f>SUM('2024 Legal Max'!O148-'2024 Legal Max'!K148)</f>
        <v>-2</v>
      </c>
      <c r="H148" s="149" t="str">
        <f t="shared" si="9"/>
        <v>YES</v>
      </c>
      <c r="I148" s="149" t="str">
        <f t="shared" si="7"/>
        <v>NO</v>
      </c>
    </row>
    <row r="149" spans="1:9">
      <c r="A149" s="134" t="s">
        <v>334</v>
      </c>
      <c r="B149" s="129" t="s">
        <v>65</v>
      </c>
      <c r="C149" s="129" t="s">
        <v>654</v>
      </c>
      <c r="D149" s="149" t="s">
        <v>928</v>
      </c>
      <c r="E149" s="150">
        <v>0</v>
      </c>
      <c r="F149" s="149" t="str">
        <f t="shared" si="8"/>
        <v>NO</v>
      </c>
      <c r="G149" s="151">
        <f>SUM('2024 Legal Max'!O149-'2024 Legal Max'!K149)</f>
        <v>14</v>
      </c>
      <c r="H149" s="149" t="str">
        <f t="shared" si="9"/>
        <v>NO</v>
      </c>
      <c r="I149" s="149" t="str">
        <f t="shared" si="7"/>
        <v>NO</v>
      </c>
    </row>
    <row r="150" spans="1:9">
      <c r="A150" s="134" t="s">
        <v>335</v>
      </c>
      <c r="B150" s="129" t="s">
        <v>66</v>
      </c>
      <c r="C150" s="129" t="s">
        <v>655</v>
      </c>
      <c r="D150" s="149" t="s">
        <v>928</v>
      </c>
      <c r="E150" s="150">
        <v>0</v>
      </c>
      <c r="F150" s="149" t="str">
        <f t="shared" si="8"/>
        <v>NO</v>
      </c>
      <c r="G150" s="151">
        <f>SUM('2024 Legal Max'!O150-'2024 Legal Max'!K150)</f>
        <v>31.1</v>
      </c>
      <c r="H150" s="149" t="str">
        <f t="shared" si="9"/>
        <v>NO</v>
      </c>
      <c r="I150" s="149" t="str">
        <f t="shared" si="7"/>
        <v>NO</v>
      </c>
    </row>
    <row r="151" spans="1:9">
      <c r="A151" s="134" t="s">
        <v>336</v>
      </c>
      <c r="B151" s="129" t="s">
        <v>67</v>
      </c>
      <c r="C151" s="129" t="s">
        <v>656</v>
      </c>
      <c r="D151" s="149" t="s">
        <v>928</v>
      </c>
      <c r="E151" s="150">
        <v>0</v>
      </c>
      <c r="F151" s="149" t="str">
        <f t="shared" si="8"/>
        <v>NO</v>
      </c>
      <c r="G151" s="151">
        <f>SUM('2024 Legal Max'!O151-'2024 Legal Max'!K151)</f>
        <v>18.899999999999999</v>
      </c>
      <c r="H151" s="149" t="str">
        <f t="shared" si="9"/>
        <v>NO</v>
      </c>
      <c r="I151" s="149" t="str">
        <f t="shared" si="7"/>
        <v>NO</v>
      </c>
    </row>
    <row r="152" spans="1:9">
      <c r="A152" s="134" t="s">
        <v>337</v>
      </c>
      <c r="B152" s="129" t="s">
        <v>66</v>
      </c>
      <c r="C152" s="129" t="s">
        <v>657</v>
      </c>
      <c r="D152" s="149" t="s">
        <v>928</v>
      </c>
      <c r="E152" s="150">
        <v>1</v>
      </c>
      <c r="F152" s="149" t="str">
        <f t="shared" si="8"/>
        <v>YES</v>
      </c>
      <c r="G152" s="151">
        <f>SUM('2024 Legal Max'!O152-'2024 Legal Max'!K152)</f>
        <v>5.8</v>
      </c>
      <c r="H152" s="149" t="str">
        <f t="shared" si="9"/>
        <v>NO</v>
      </c>
      <c r="I152" s="149" t="str">
        <f t="shared" si="7"/>
        <v>NO</v>
      </c>
    </row>
    <row r="153" spans="1:9">
      <c r="A153" s="134" t="s">
        <v>338</v>
      </c>
      <c r="B153" s="129" t="s">
        <v>66</v>
      </c>
      <c r="C153" s="129" t="s">
        <v>658</v>
      </c>
      <c r="D153" s="149" t="s">
        <v>928</v>
      </c>
      <c r="E153" s="150">
        <v>1</v>
      </c>
      <c r="F153" s="149" t="str">
        <f t="shared" si="8"/>
        <v>YES</v>
      </c>
      <c r="G153" s="151">
        <f>SUM('2024 Legal Max'!O153-'2024 Legal Max'!K153)</f>
        <v>-29.5</v>
      </c>
      <c r="H153" s="149" t="str">
        <f t="shared" si="9"/>
        <v>YES</v>
      </c>
      <c r="I153" s="149" t="str">
        <f t="shared" si="7"/>
        <v>NO</v>
      </c>
    </row>
    <row r="154" spans="1:9">
      <c r="A154" s="134" t="s">
        <v>339</v>
      </c>
      <c r="B154" s="129" t="s">
        <v>66</v>
      </c>
      <c r="C154" s="129" t="s">
        <v>659</v>
      </c>
      <c r="D154" s="149" t="s">
        <v>928</v>
      </c>
      <c r="E154" s="150">
        <v>1</v>
      </c>
      <c r="F154" s="149" t="str">
        <f t="shared" si="8"/>
        <v>YES</v>
      </c>
      <c r="G154" s="151">
        <f>SUM('2024 Legal Max'!O154-'2024 Legal Max'!K154)</f>
        <v>8.3000000000000007</v>
      </c>
      <c r="H154" s="149" t="str">
        <f t="shared" si="9"/>
        <v>NO</v>
      </c>
      <c r="I154" s="149" t="str">
        <f t="shared" si="7"/>
        <v>NO</v>
      </c>
    </row>
    <row r="155" spans="1:9">
      <c r="A155" s="134" t="s">
        <v>340</v>
      </c>
      <c r="B155" s="129" t="s">
        <v>66</v>
      </c>
      <c r="C155" s="129" t="s">
        <v>660</v>
      </c>
      <c r="D155" s="149" t="s">
        <v>928</v>
      </c>
      <c r="E155" s="150">
        <v>0</v>
      </c>
      <c r="F155" s="149" t="str">
        <f t="shared" si="8"/>
        <v>NO</v>
      </c>
      <c r="G155" s="151">
        <f>SUM('2024 Legal Max'!O155-'2024 Legal Max'!K155)</f>
        <v>-21.5</v>
      </c>
      <c r="H155" s="149" t="str">
        <f t="shared" si="9"/>
        <v>YES</v>
      </c>
      <c r="I155" s="149" t="str">
        <f t="shared" si="7"/>
        <v>NO</v>
      </c>
    </row>
    <row r="156" spans="1:9">
      <c r="A156" s="134" t="s">
        <v>341</v>
      </c>
      <c r="B156" s="129" t="s">
        <v>66</v>
      </c>
      <c r="C156" s="129" t="s">
        <v>661</v>
      </c>
      <c r="D156" s="149" t="s">
        <v>928</v>
      </c>
      <c r="E156" s="150">
        <v>1</v>
      </c>
      <c r="F156" s="149" t="str">
        <f t="shared" si="8"/>
        <v>YES</v>
      </c>
      <c r="G156" s="151">
        <f>SUM('2024 Legal Max'!O156-'2024 Legal Max'!K156)</f>
        <v>-1.2</v>
      </c>
      <c r="H156" s="149" t="str">
        <f t="shared" si="9"/>
        <v>YES</v>
      </c>
      <c r="I156" s="149" t="str">
        <f t="shared" si="7"/>
        <v>NO</v>
      </c>
    </row>
    <row r="157" spans="1:9">
      <c r="A157" s="134" t="s">
        <v>342</v>
      </c>
      <c r="B157" s="129" t="s">
        <v>68</v>
      </c>
      <c r="C157" s="129" t="s">
        <v>807</v>
      </c>
      <c r="D157" s="149" t="s">
        <v>928</v>
      </c>
      <c r="E157" s="150">
        <v>1</v>
      </c>
      <c r="F157" s="149" t="str">
        <f t="shared" si="8"/>
        <v>YES</v>
      </c>
      <c r="G157" s="151">
        <f>SUM('2024 Legal Max'!O157-'2024 Legal Max'!K157)</f>
        <v>30.2</v>
      </c>
      <c r="H157" s="149" t="str">
        <f t="shared" si="9"/>
        <v>NO</v>
      </c>
      <c r="I157" s="149" t="str">
        <f t="shared" si="7"/>
        <v>NO</v>
      </c>
    </row>
    <row r="158" spans="1:9">
      <c r="A158" s="134" t="s">
        <v>343</v>
      </c>
      <c r="B158" s="129" t="s">
        <v>60</v>
      </c>
      <c r="C158" s="129" t="s">
        <v>663</v>
      </c>
      <c r="D158" s="149" t="s">
        <v>928</v>
      </c>
      <c r="E158" s="150">
        <v>0</v>
      </c>
      <c r="F158" s="149" t="str">
        <f t="shared" si="8"/>
        <v>NO</v>
      </c>
      <c r="G158" s="151">
        <f>SUM('2024 Legal Max'!O158-'2024 Legal Max'!K158)</f>
        <v>-39.299999999999997</v>
      </c>
      <c r="H158" s="149" t="str">
        <f t="shared" si="9"/>
        <v>YES</v>
      </c>
      <c r="I158" s="149" t="str">
        <f t="shared" si="7"/>
        <v>NO</v>
      </c>
    </row>
    <row r="159" spans="1:9">
      <c r="A159" s="134" t="s">
        <v>344</v>
      </c>
      <c r="B159" s="129" t="s">
        <v>69</v>
      </c>
      <c r="C159" s="129" t="s">
        <v>664</v>
      </c>
      <c r="D159" s="149" t="s">
        <v>928</v>
      </c>
      <c r="E159" s="150">
        <v>1</v>
      </c>
      <c r="F159" s="149" t="str">
        <f t="shared" si="8"/>
        <v>YES</v>
      </c>
      <c r="G159" s="151">
        <f>SUM('2024 Legal Max'!O159-'2024 Legal Max'!K159)</f>
        <v>-19</v>
      </c>
      <c r="H159" s="149" t="str">
        <f t="shared" si="9"/>
        <v>YES</v>
      </c>
      <c r="I159" s="149" t="str">
        <f t="shared" si="7"/>
        <v>NO</v>
      </c>
    </row>
    <row r="160" spans="1:9">
      <c r="A160" s="134" t="s">
        <v>345</v>
      </c>
      <c r="B160" s="129" t="s">
        <v>70</v>
      </c>
      <c r="C160" s="129" t="s">
        <v>665</v>
      </c>
      <c r="D160" s="149" t="s">
        <v>928</v>
      </c>
      <c r="E160" s="150">
        <v>1</v>
      </c>
      <c r="F160" s="149" t="str">
        <f t="shared" si="8"/>
        <v>YES</v>
      </c>
      <c r="G160" s="151">
        <f>SUM('2024 Legal Max'!O160-'2024 Legal Max'!K160)</f>
        <v>19.3</v>
      </c>
      <c r="H160" s="149" t="str">
        <f t="shared" si="9"/>
        <v>NO</v>
      </c>
      <c r="I160" s="149" t="str">
        <f t="shared" si="7"/>
        <v>NO</v>
      </c>
    </row>
    <row r="161" spans="1:9">
      <c r="A161" s="134" t="s">
        <v>346</v>
      </c>
      <c r="B161" s="129" t="s">
        <v>71</v>
      </c>
      <c r="C161" s="129" t="s">
        <v>666</v>
      </c>
      <c r="D161" s="149" t="s">
        <v>928</v>
      </c>
      <c r="E161" s="150">
        <v>0</v>
      </c>
      <c r="F161" s="149" t="str">
        <f t="shared" si="8"/>
        <v>NO</v>
      </c>
      <c r="G161" s="151">
        <f>SUM('2024 Legal Max'!O161-'2024 Legal Max'!K161)</f>
        <v>-3.5</v>
      </c>
      <c r="H161" s="149" t="str">
        <f t="shared" si="9"/>
        <v>YES</v>
      </c>
      <c r="I161" s="149" t="str">
        <f t="shared" si="7"/>
        <v>NO</v>
      </c>
    </row>
    <row r="162" spans="1:9">
      <c r="A162" s="134" t="s">
        <v>347</v>
      </c>
      <c r="B162" s="129" t="s">
        <v>72</v>
      </c>
      <c r="C162" s="129" t="s">
        <v>667</v>
      </c>
      <c r="D162" s="149" t="s">
        <v>928</v>
      </c>
      <c r="E162" s="150">
        <v>1</v>
      </c>
      <c r="F162" s="149" t="str">
        <f t="shared" si="8"/>
        <v>YES</v>
      </c>
      <c r="G162" s="151">
        <f>SUM('2024 Legal Max'!O162-'2024 Legal Max'!K162)</f>
        <v>0.3</v>
      </c>
      <c r="H162" s="149" t="str">
        <f t="shared" si="9"/>
        <v>NO</v>
      </c>
      <c r="I162" s="149" t="str">
        <f t="shared" si="7"/>
        <v>NO</v>
      </c>
    </row>
    <row r="163" spans="1:9">
      <c r="A163" s="134" t="s">
        <v>348</v>
      </c>
      <c r="B163" s="129" t="s">
        <v>73</v>
      </c>
      <c r="C163" s="129" t="s">
        <v>668</v>
      </c>
      <c r="D163" s="149" t="s">
        <v>928</v>
      </c>
      <c r="E163" s="150">
        <v>1</v>
      </c>
      <c r="F163" s="149" t="str">
        <f t="shared" si="8"/>
        <v>YES</v>
      </c>
      <c r="G163" s="151">
        <f>SUM('2024 Legal Max'!O163-'2024 Legal Max'!K163)</f>
        <v>-19</v>
      </c>
      <c r="H163" s="149" t="str">
        <f t="shared" si="9"/>
        <v>YES</v>
      </c>
      <c r="I163" s="149" t="str">
        <f t="shared" si="7"/>
        <v>NO</v>
      </c>
    </row>
    <row r="164" spans="1:9">
      <c r="A164" s="134" t="s">
        <v>349</v>
      </c>
      <c r="B164" s="129" t="s">
        <v>73</v>
      </c>
      <c r="C164" s="129" t="s">
        <v>669</v>
      </c>
      <c r="D164" s="149" t="s">
        <v>928</v>
      </c>
      <c r="E164" s="150">
        <v>1</v>
      </c>
      <c r="F164" s="149" t="str">
        <f t="shared" si="8"/>
        <v>YES</v>
      </c>
      <c r="G164" s="151">
        <f>SUM('2024 Legal Max'!O164-'2024 Legal Max'!K164)</f>
        <v>13</v>
      </c>
      <c r="H164" s="149" t="str">
        <f t="shared" si="9"/>
        <v>NO</v>
      </c>
      <c r="I164" s="149" t="str">
        <f t="shared" si="7"/>
        <v>NO</v>
      </c>
    </row>
    <row r="165" spans="1:9">
      <c r="A165" s="134" t="s">
        <v>350</v>
      </c>
      <c r="B165" s="129" t="s">
        <v>74</v>
      </c>
      <c r="C165" s="129" t="s">
        <v>670</v>
      </c>
      <c r="D165" s="149" t="s">
        <v>928</v>
      </c>
      <c r="E165" s="150">
        <v>0</v>
      </c>
      <c r="F165" s="149" t="str">
        <f t="shared" si="8"/>
        <v>NO</v>
      </c>
      <c r="G165" s="151">
        <f>SUM('2024 Legal Max'!O165-'2024 Legal Max'!K165)</f>
        <v>-21.5</v>
      </c>
      <c r="H165" s="149" t="str">
        <f t="shared" si="9"/>
        <v>YES</v>
      </c>
      <c r="I165" s="149" t="str">
        <f t="shared" si="7"/>
        <v>NO</v>
      </c>
    </row>
    <row r="166" spans="1:9">
      <c r="A166" s="134" t="s">
        <v>351</v>
      </c>
      <c r="B166" s="129" t="s">
        <v>5</v>
      </c>
      <c r="C166" s="129" t="s">
        <v>671</v>
      </c>
      <c r="D166" s="149" t="s">
        <v>928</v>
      </c>
      <c r="E166" s="150">
        <v>0</v>
      </c>
      <c r="F166" s="149" t="str">
        <f t="shared" si="8"/>
        <v>NO</v>
      </c>
      <c r="G166" s="151">
        <f>SUM('2024 Legal Max'!O166-'2024 Legal Max'!K166)</f>
        <v>5.9</v>
      </c>
      <c r="H166" s="149" t="str">
        <f t="shared" si="9"/>
        <v>NO</v>
      </c>
      <c r="I166" s="149" t="str">
        <f t="shared" si="7"/>
        <v>NO</v>
      </c>
    </row>
    <row r="167" spans="1:9">
      <c r="A167" s="134" t="s">
        <v>352</v>
      </c>
      <c r="B167" s="129" t="s">
        <v>61</v>
      </c>
      <c r="C167" s="129" t="s">
        <v>672</v>
      </c>
      <c r="D167" s="149" t="s">
        <v>928</v>
      </c>
      <c r="E167" s="150">
        <v>1</v>
      </c>
      <c r="F167" s="149" t="str">
        <f t="shared" si="8"/>
        <v>YES</v>
      </c>
      <c r="G167" s="151">
        <f>SUM('2024 Legal Max'!O167-'2024 Legal Max'!K167)</f>
        <v>-33.5</v>
      </c>
      <c r="H167" s="149" t="str">
        <f t="shared" si="9"/>
        <v>YES</v>
      </c>
      <c r="I167" s="149" t="str">
        <f t="shared" si="7"/>
        <v>NO</v>
      </c>
    </row>
    <row r="168" spans="1:9">
      <c r="A168" s="134" t="s">
        <v>353</v>
      </c>
      <c r="B168" s="129" t="s">
        <v>74</v>
      </c>
      <c r="C168" s="129" t="s">
        <v>673</v>
      </c>
      <c r="D168" s="149" t="s">
        <v>928</v>
      </c>
      <c r="E168" s="150">
        <v>1</v>
      </c>
      <c r="F168" s="149" t="str">
        <f t="shared" si="8"/>
        <v>YES</v>
      </c>
      <c r="G168" s="151">
        <f>SUM('2024 Legal Max'!O168-'2024 Legal Max'!K168)</f>
        <v>-49.2</v>
      </c>
      <c r="H168" s="149" t="str">
        <f t="shared" si="9"/>
        <v>YES</v>
      </c>
      <c r="I168" s="149" t="str">
        <f t="shared" si="7"/>
        <v>NO</v>
      </c>
    </row>
    <row r="169" spans="1:9">
      <c r="A169" s="134" t="s">
        <v>354</v>
      </c>
      <c r="B169" s="129" t="s">
        <v>75</v>
      </c>
      <c r="C169" s="129" t="s">
        <v>674</v>
      </c>
      <c r="D169" s="149" t="s">
        <v>928</v>
      </c>
      <c r="E169" s="150">
        <v>0</v>
      </c>
      <c r="F169" s="149" t="str">
        <f t="shared" si="8"/>
        <v>NO</v>
      </c>
      <c r="G169" s="151">
        <f>SUM('2024 Legal Max'!O169-'2024 Legal Max'!K169)</f>
        <v>19.899999999999999</v>
      </c>
      <c r="H169" s="149" t="str">
        <f t="shared" si="9"/>
        <v>NO</v>
      </c>
      <c r="I169" s="149" t="str">
        <f t="shared" si="7"/>
        <v>NO</v>
      </c>
    </row>
    <row r="170" spans="1:9">
      <c r="A170" s="134" t="s">
        <v>355</v>
      </c>
      <c r="B170" s="129" t="s">
        <v>10</v>
      </c>
      <c r="C170" s="129" t="s">
        <v>675</v>
      </c>
      <c r="D170" s="149" t="s">
        <v>928</v>
      </c>
      <c r="E170" s="150">
        <v>1</v>
      </c>
      <c r="F170" s="149" t="str">
        <f t="shared" si="8"/>
        <v>YES</v>
      </c>
      <c r="G170" s="151">
        <f>SUM('2024 Legal Max'!O170-'2024 Legal Max'!K170)</f>
        <v>60.2</v>
      </c>
      <c r="H170" s="149" t="str">
        <f t="shared" si="9"/>
        <v>NO</v>
      </c>
      <c r="I170" s="149" t="str">
        <f t="shared" si="7"/>
        <v>NO</v>
      </c>
    </row>
    <row r="171" spans="1:9">
      <c r="A171" s="134" t="s">
        <v>356</v>
      </c>
      <c r="B171" s="129" t="s">
        <v>76</v>
      </c>
      <c r="C171" s="129" t="s">
        <v>676</v>
      </c>
      <c r="D171" s="149" t="s">
        <v>928</v>
      </c>
      <c r="E171" s="150">
        <v>0</v>
      </c>
      <c r="F171" s="149" t="str">
        <f t="shared" si="8"/>
        <v>NO</v>
      </c>
      <c r="G171" s="151">
        <f>SUM('2024 Legal Max'!O171-'2024 Legal Max'!K171)</f>
        <v>-12</v>
      </c>
      <c r="H171" s="149" t="str">
        <f t="shared" si="9"/>
        <v>YES</v>
      </c>
      <c r="I171" s="149" t="str">
        <f t="shared" si="7"/>
        <v>NO</v>
      </c>
    </row>
    <row r="172" spans="1:9">
      <c r="A172" s="134" t="s">
        <v>357</v>
      </c>
      <c r="B172" s="129" t="s">
        <v>77</v>
      </c>
      <c r="C172" s="129" t="s">
        <v>677</v>
      </c>
      <c r="D172" s="149" t="s">
        <v>928</v>
      </c>
      <c r="E172" s="150">
        <v>0</v>
      </c>
      <c r="F172" s="149" t="str">
        <f t="shared" si="8"/>
        <v>NO</v>
      </c>
      <c r="G172" s="151">
        <f>SUM('2024 Legal Max'!O172-'2024 Legal Max'!K172)</f>
        <v>16.5</v>
      </c>
      <c r="H172" s="149" t="str">
        <f t="shared" si="9"/>
        <v>NO</v>
      </c>
      <c r="I172" s="149" t="str">
        <f t="shared" si="7"/>
        <v>NO</v>
      </c>
    </row>
    <row r="173" spans="1:9">
      <c r="A173" s="134" t="s">
        <v>358</v>
      </c>
      <c r="B173" s="129" t="s">
        <v>78</v>
      </c>
      <c r="C173" s="129" t="s">
        <v>678</v>
      </c>
      <c r="D173" s="149" t="s">
        <v>931</v>
      </c>
      <c r="E173" s="150">
        <v>1</v>
      </c>
      <c r="F173" s="149" t="str">
        <f t="shared" si="8"/>
        <v>YES</v>
      </c>
      <c r="G173" s="151">
        <f>SUM('2024 Legal Max'!O173-'2024 Legal Max'!K173)</f>
        <v>1.8</v>
      </c>
      <c r="H173" s="149" t="str">
        <f t="shared" si="9"/>
        <v>NO</v>
      </c>
      <c r="I173" s="149" t="str">
        <f t="shared" si="7"/>
        <v>NO</v>
      </c>
    </row>
    <row r="174" spans="1:9">
      <c r="A174" s="134" t="s">
        <v>359</v>
      </c>
      <c r="B174" s="129" t="s">
        <v>79</v>
      </c>
      <c r="C174" s="129" t="s">
        <v>679</v>
      </c>
      <c r="D174" s="149" t="s">
        <v>931</v>
      </c>
      <c r="E174" s="150">
        <v>1</v>
      </c>
      <c r="F174" s="149" t="str">
        <f t="shared" si="8"/>
        <v>YES</v>
      </c>
      <c r="G174" s="151">
        <f>SUM('2024 Legal Max'!O174-'2024 Legal Max'!K174)</f>
        <v>-7.7</v>
      </c>
      <c r="H174" s="149" t="str">
        <f t="shared" si="9"/>
        <v>YES</v>
      </c>
      <c r="I174" s="149" t="str">
        <f t="shared" si="7"/>
        <v>YES</v>
      </c>
    </row>
    <row r="175" spans="1:9">
      <c r="A175" s="134" t="s">
        <v>360</v>
      </c>
      <c r="B175" s="129" t="s">
        <v>70</v>
      </c>
      <c r="C175" s="129" t="s">
        <v>680</v>
      </c>
      <c r="D175" s="149" t="s">
        <v>928</v>
      </c>
      <c r="E175" s="150">
        <v>0</v>
      </c>
      <c r="F175" s="149" t="str">
        <f t="shared" si="8"/>
        <v>NO</v>
      </c>
      <c r="G175" s="151">
        <f>SUM('2024 Legal Max'!O175-'2024 Legal Max'!K175)</f>
        <v>12.5</v>
      </c>
      <c r="H175" s="149" t="str">
        <f t="shared" si="9"/>
        <v>NO</v>
      </c>
      <c r="I175" s="149" t="str">
        <f t="shared" si="7"/>
        <v>NO</v>
      </c>
    </row>
    <row r="176" spans="1:9">
      <c r="A176" s="134" t="s">
        <v>361</v>
      </c>
      <c r="B176" s="129" t="s">
        <v>80</v>
      </c>
      <c r="C176" s="129" t="s">
        <v>681</v>
      </c>
      <c r="D176" s="149" t="s">
        <v>928</v>
      </c>
      <c r="E176" s="150">
        <v>0</v>
      </c>
      <c r="F176" s="149" t="str">
        <f t="shared" si="8"/>
        <v>NO</v>
      </c>
      <c r="G176" s="151">
        <f>SUM('2024 Legal Max'!O176-'2024 Legal Max'!K176)</f>
        <v>-9</v>
      </c>
      <c r="H176" s="149" t="str">
        <f t="shared" si="9"/>
        <v>YES</v>
      </c>
      <c r="I176" s="149" t="str">
        <f t="shared" si="7"/>
        <v>NO</v>
      </c>
    </row>
    <row r="177" spans="1:9">
      <c r="A177" s="134" t="s">
        <v>362</v>
      </c>
      <c r="B177" s="129" t="s">
        <v>81</v>
      </c>
      <c r="C177" s="129" t="s">
        <v>682</v>
      </c>
      <c r="D177" s="149" t="s">
        <v>928</v>
      </c>
      <c r="E177" s="150">
        <v>0</v>
      </c>
      <c r="F177" s="149" t="str">
        <f t="shared" si="8"/>
        <v>NO</v>
      </c>
      <c r="G177" s="151">
        <f>SUM('2024 Legal Max'!O177-'2024 Legal Max'!K177)</f>
        <v>-31.4</v>
      </c>
      <c r="H177" s="149" t="str">
        <f t="shared" si="9"/>
        <v>YES</v>
      </c>
      <c r="I177" s="149" t="str">
        <f t="shared" si="7"/>
        <v>NO</v>
      </c>
    </row>
    <row r="178" spans="1:9">
      <c r="A178" s="134" t="s">
        <v>363</v>
      </c>
      <c r="B178" s="129" t="s">
        <v>78</v>
      </c>
      <c r="C178" s="129" t="s">
        <v>683</v>
      </c>
      <c r="D178" s="149" t="s">
        <v>931</v>
      </c>
      <c r="E178" s="150">
        <v>1</v>
      </c>
      <c r="F178" s="149" t="str">
        <f t="shared" si="8"/>
        <v>YES</v>
      </c>
      <c r="G178" s="151">
        <f>SUM('2024 Legal Max'!O178-'2024 Legal Max'!K178)</f>
        <v>173.4</v>
      </c>
      <c r="H178" s="149" t="str">
        <f t="shared" si="9"/>
        <v>NO</v>
      </c>
      <c r="I178" s="149" t="str">
        <f t="shared" si="7"/>
        <v>NO</v>
      </c>
    </row>
    <row r="179" spans="1:9">
      <c r="A179" s="134" t="s">
        <v>364</v>
      </c>
      <c r="B179" s="129" t="s">
        <v>78</v>
      </c>
      <c r="C179" s="129" t="s">
        <v>548</v>
      </c>
      <c r="D179" s="149" t="s">
        <v>931</v>
      </c>
      <c r="E179" s="150">
        <v>1</v>
      </c>
      <c r="F179" s="149" t="str">
        <f t="shared" si="8"/>
        <v>YES</v>
      </c>
      <c r="G179" s="151">
        <f>SUM('2024 Legal Max'!O179-'2024 Legal Max'!K179)</f>
        <v>15</v>
      </c>
      <c r="H179" s="149" t="str">
        <f t="shared" si="9"/>
        <v>NO</v>
      </c>
      <c r="I179" s="149" t="str">
        <f t="shared" si="7"/>
        <v>NO</v>
      </c>
    </row>
    <row r="180" spans="1:9">
      <c r="A180" s="134" t="s">
        <v>365</v>
      </c>
      <c r="B180" s="129" t="s">
        <v>10</v>
      </c>
      <c r="C180" s="129" t="s">
        <v>684</v>
      </c>
      <c r="D180" s="149" t="s">
        <v>928</v>
      </c>
      <c r="E180" s="150">
        <v>1</v>
      </c>
      <c r="F180" s="149" t="str">
        <f t="shared" si="8"/>
        <v>YES</v>
      </c>
      <c r="G180" s="151">
        <f>SUM('2024 Legal Max'!O180-'2024 Legal Max'!K180)</f>
        <v>-15.4</v>
      </c>
      <c r="H180" s="149" t="str">
        <f t="shared" si="9"/>
        <v>YES</v>
      </c>
      <c r="I180" s="149" t="str">
        <f t="shared" si="7"/>
        <v>NO</v>
      </c>
    </row>
    <row r="181" spans="1:9">
      <c r="A181" s="134" t="s">
        <v>366</v>
      </c>
      <c r="B181" s="129" t="s">
        <v>82</v>
      </c>
      <c r="C181" s="129" t="s">
        <v>685</v>
      </c>
      <c r="D181" s="149" t="s">
        <v>928</v>
      </c>
      <c r="E181" s="150">
        <v>1</v>
      </c>
      <c r="F181" s="149" t="str">
        <f t="shared" si="8"/>
        <v>YES</v>
      </c>
      <c r="G181" s="151">
        <f>SUM('2024 Legal Max'!O181-'2024 Legal Max'!K181)</f>
        <v>-3.5</v>
      </c>
      <c r="H181" s="149" t="str">
        <f t="shared" si="9"/>
        <v>YES</v>
      </c>
      <c r="I181" s="149" t="str">
        <f t="shared" si="7"/>
        <v>NO</v>
      </c>
    </row>
    <row r="182" spans="1:9">
      <c r="A182" s="134" t="s">
        <v>367</v>
      </c>
      <c r="B182" s="129" t="s">
        <v>83</v>
      </c>
      <c r="C182" s="129" t="s">
        <v>686</v>
      </c>
      <c r="D182" s="149" t="s">
        <v>928</v>
      </c>
      <c r="E182" s="150">
        <v>0</v>
      </c>
      <c r="F182" s="149" t="str">
        <f t="shared" si="8"/>
        <v>NO</v>
      </c>
      <c r="G182" s="151">
        <f>SUM('2024 Legal Max'!O182-'2024 Legal Max'!K182)</f>
        <v>-14</v>
      </c>
      <c r="H182" s="149" t="str">
        <f t="shared" si="9"/>
        <v>YES</v>
      </c>
      <c r="I182" s="149" t="str">
        <f t="shared" si="7"/>
        <v>NO</v>
      </c>
    </row>
    <row r="183" spans="1:9">
      <c r="A183" s="134" t="s">
        <v>368</v>
      </c>
      <c r="B183" s="129" t="s">
        <v>84</v>
      </c>
      <c r="C183" s="129" t="s">
        <v>687</v>
      </c>
      <c r="D183" s="149" t="s">
        <v>928</v>
      </c>
      <c r="E183" s="150">
        <v>0</v>
      </c>
      <c r="F183" s="149" t="str">
        <f t="shared" si="8"/>
        <v>NO</v>
      </c>
      <c r="G183" s="151">
        <f>SUM('2024 Legal Max'!O183-'2024 Legal Max'!K183)</f>
        <v>-4.0999999999999996</v>
      </c>
      <c r="H183" s="149" t="str">
        <f t="shared" si="9"/>
        <v>YES</v>
      </c>
      <c r="I183" s="149" t="str">
        <f t="shared" si="7"/>
        <v>NO</v>
      </c>
    </row>
    <row r="184" spans="1:9">
      <c r="A184" s="134" t="s">
        <v>369</v>
      </c>
      <c r="B184" s="129" t="s">
        <v>82</v>
      </c>
      <c r="C184" s="129" t="s">
        <v>688</v>
      </c>
      <c r="D184" s="149" t="s">
        <v>931</v>
      </c>
      <c r="E184" s="150">
        <v>0</v>
      </c>
      <c r="F184" s="149" t="str">
        <f t="shared" si="8"/>
        <v>NO</v>
      </c>
      <c r="G184" s="151">
        <f>SUM('2024 Legal Max'!O184-'2024 Legal Max'!K184)</f>
        <v>-43.5</v>
      </c>
      <c r="H184" s="149" t="str">
        <f t="shared" si="9"/>
        <v>YES</v>
      </c>
      <c r="I184" s="149" t="str">
        <f t="shared" si="7"/>
        <v>NO</v>
      </c>
    </row>
    <row r="185" spans="1:9">
      <c r="A185" s="134" t="s">
        <v>370</v>
      </c>
      <c r="B185" s="129" t="s">
        <v>82</v>
      </c>
      <c r="C185" s="129" t="s">
        <v>689</v>
      </c>
      <c r="D185" s="149" t="s">
        <v>928</v>
      </c>
      <c r="E185" s="150">
        <v>0</v>
      </c>
      <c r="F185" s="149" t="str">
        <f t="shared" si="8"/>
        <v>NO</v>
      </c>
      <c r="G185" s="151">
        <f>SUM('2024 Legal Max'!O185-'2024 Legal Max'!K185)</f>
        <v>36</v>
      </c>
      <c r="H185" s="149" t="str">
        <f t="shared" si="9"/>
        <v>NO</v>
      </c>
      <c r="I185" s="149" t="str">
        <f t="shared" si="7"/>
        <v>NO</v>
      </c>
    </row>
    <row r="186" spans="1:9">
      <c r="A186" s="134" t="s">
        <v>371</v>
      </c>
      <c r="B186" s="129" t="s">
        <v>86</v>
      </c>
      <c r="C186" s="129" t="s">
        <v>690</v>
      </c>
      <c r="D186" s="149" t="s">
        <v>928</v>
      </c>
      <c r="E186" s="150">
        <v>0</v>
      </c>
      <c r="F186" s="149" t="str">
        <f t="shared" si="8"/>
        <v>NO</v>
      </c>
      <c r="G186" s="151">
        <f>SUM('2024 Legal Max'!O186-'2024 Legal Max'!K186)</f>
        <v>9.6999999999999993</v>
      </c>
      <c r="H186" s="149" t="str">
        <f t="shared" si="9"/>
        <v>NO</v>
      </c>
      <c r="I186" s="149" t="str">
        <f t="shared" si="7"/>
        <v>NO</v>
      </c>
    </row>
    <row r="187" spans="1:9">
      <c r="A187" s="134" t="s">
        <v>372</v>
      </c>
      <c r="B187" s="129" t="s">
        <v>87</v>
      </c>
      <c r="C187" s="129" t="s">
        <v>691</v>
      </c>
      <c r="D187" s="149" t="s">
        <v>928</v>
      </c>
      <c r="E187" s="150">
        <v>1</v>
      </c>
      <c r="F187" s="149" t="str">
        <f t="shared" si="8"/>
        <v>YES</v>
      </c>
      <c r="G187" s="151">
        <f>SUM('2024 Legal Max'!O187-'2024 Legal Max'!K187)</f>
        <v>1</v>
      </c>
      <c r="H187" s="149" t="str">
        <f t="shared" si="9"/>
        <v>NO</v>
      </c>
      <c r="I187" s="149" t="str">
        <f t="shared" si="7"/>
        <v>NO</v>
      </c>
    </row>
    <row r="188" spans="1:9">
      <c r="A188" s="134" t="s">
        <v>373</v>
      </c>
      <c r="B188" s="129" t="s">
        <v>10</v>
      </c>
      <c r="C188" s="129" t="s">
        <v>692</v>
      </c>
      <c r="D188" s="149" t="s">
        <v>928</v>
      </c>
      <c r="E188" s="150">
        <v>1</v>
      </c>
      <c r="F188" s="149" t="str">
        <f t="shared" si="8"/>
        <v>YES</v>
      </c>
      <c r="G188" s="151">
        <f>SUM('2024 Legal Max'!O188-'2024 Legal Max'!K188)</f>
        <v>20</v>
      </c>
      <c r="H188" s="149" t="str">
        <f t="shared" si="9"/>
        <v>NO</v>
      </c>
      <c r="I188" s="149" t="str">
        <f t="shared" si="7"/>
        <v>NO</v>
      </c>
    </row>
    <row r="189" spans="1:9">
      <c r="A189" s="134" t="s">
        <v>374</v>
      </c>
      <c r="B189" s="129" t="s">
        <v>88</v>
      </c>
      <c r="C189" s="129" t="s">
        <v>693</v>
      </c>
      <c r="D189" s="149" t="s">
        <v>928</v>
      </c>
      <c r="E189" s="150">
        <v>0</v>
      </c>
      <c r="F189" s="149" t="str">
        <f t="shared" si="8"/>
        <v>NO</v>
      </c>
      <c r="G189" s="151">
        <f>SUM('2024 Legal Max'!O189-'2024 Legal Max'!K189)</f>
        <v>7.1</v>
      </c>
      <c r="H189" s="149" t="str">
        <f t="shared" si="9"/>
        <v>NO</v>
      </c>
      <c r="I189" s="149" t="str">
        <f t="shared" si="7"/>
        <v>NO</v>
      </c>
    </row>
    <row r="190" spans="1:9">
      <c r="A190" s="134" t="s">
        <v>375</v>
      </c>
      <c r="B190" s="129" t="s">
        <v>10</v>
      </c>
      <c r="C190" s="129" t="s">
        <v>694</v>
      </c>
      <c r="D190" s="149" t="s">
        <v>928</v>
      </c>
      <c r="E190" s="150">
        <v>1</v>
      </c>
      <c r="F190" s="149" t="str">
        <f t="shared" si="8"/>
        <v>YES</v>
      </c>
      <c r="G190" s="151">
        <f>SUM('2024 Legal Max'!O190-'2024 Legal Max'!K190)</f>
        <v>9.4</v>
      </c>
      <c r="H190" s="149" t="str">
        <f t="shared" si="9"/>
        <v>NO</v>
      </c>
      <c r="I190" s="149" t="str">
        <f t="shared" si="7"/>
        <v>NO</v>
      </c>
    </row>
    <row r="191" spans="1:9">
      <c r="A191" s="134" t="s">
        <v>376</v>
      </c>
      <c r="B191" s="129" t="s">
        <v>89</v>
      </c>
      <c r="C191" s="129" t="s">
        <v>695</v>
      </c>
      <c r="D191" s="149" t="s">
        <v>928</v>
      </c>
      <c r="E191" s="150">
        <v>1</v>
      </c>
      <c r="F191" s="149" t="str">
        <f t="shared" si="8"/>
        <v>YES</v>
      </c>
      <c r="G191" s="151">
        <f>SUM('2024 Legal Max'!O191-'2024 Legal Max'!K191)</f>
        <v>11.5</v>
      </c>
      <c r="H191" s="149" t="str">
        <f t="shared" si="9"/>
        <v>NO</v>
      </c>
      <c r="I191" s="149" t="str">
        <f t="shared" si="7"/>
        <v>NO</v>
      </c>
    </row>
    <row r="192" spans="1:9">
      <c r="A192" s="134" t="s">
        <v>377</v>
      </c>
      <c r="B192" s="129" t="s">
        <v>89</v>
      </c>
      <c r="C192" s="129" t="s">
        <v>696</v>
      </c>
      <c r="D192" s="149" t="s">
        <v>928</v>
      </c>
      <c r="E192" s="150">
        <v>0</v>
      </c>
      <c r="F192" s="149" t="str">
        <f t="shared" si="8"/>
        <v>NO</v>
      </c>
      <c r="G192" s="151">
        <f>SUM('2024 Legal Max'!O192-'2024 Legal Max'!K192)</f>
        <v>-4.5</v>
      </c>
      <c r="H192" s="149" t="str">
        <f t="shared" si="9"/>
        <v>YES</v>
      </c>
      <c r="I192" s="149" t="str">
        <f t="shared" si="7"/>
        <v>NO</v>
      </c>
    </row>
    <row r="193" spans="1:9">
      <c r="A193" s="134" t="s">
        <v>378</v>
      </c>
      <c r="B193" s="129" t="s">
        <v>90</v>
      </c>
      <c r="C193" s="129" t="s">
        <v>697</v>
      </c>
      <c r="D193" s="149" t="s">
        <v>928</v>
      </c>
      <c r="E193" s="150">
        <v>0</v>
      </c>
      <c r="F193" s="149" t="str">
        <f t="shared" si="8"/>
        <v>NO</v>
      </c>
      <c r="G193" s="151">
        <f>SUM('2024 Legal Max'!O193-'2024 Legal Max'!K193)</f>
        <v>-10.5</v>
      </c>
      <c r="H193" s="149" t="str">
        <f t="shared" si="9"/>
        <v>YES</v>
      </c>
      <c r="I193" s="149" t="str">
        <f t="shared" si="7"/>
        <v>NO</v>
      </c>
    </row>
    <row r="194" spans="1:9">
      <c r="A194" s="134" t="s">
        <v>379</v>
      </c>
      <c r="B194" s="129" t="s">
        <v>91</v>
      </c>
      <c r="C194" s="129" t="s">
        <v>698</v>
      </c>
      <c r="D194" s="149" t="s">
        <v>928</v>
      </c>
      <c r="E194" s="150">
        <v>1</v>
      </c>
      <c r="F194" s="149" t="str">
        <f t="shared" si="8"/>
        <v>YES</v>
      </c>
      <c r="G194" s="151">
        <f>SUM('2024 Legal Max'!O194-'2024 Legal Max'!K194)</f>
        <v>2.6</v>
      </c>
      <c r="H194" s="149" t="str">
        <f t="shared" si="9"/>
        <v>NO</v>
      </c>
      <c r="I194" s="149" t="str">
        <f t="shared" si="7"/>
        <v>NO</v>
      </c>
    </row>
    <row r="195" spans="1:9">
      <c r="A195" s="134" t="s">
        <v>380</v>
      </c>
      <c r="B195" s="129" t="s">
        <v>76</v>
      </c>
      <c r="C195" s="129" t="s">
        <v>699</v>
      </c>
      <c r="D195" s="149" t="s">
        <v>928</v>
      </c>
      <c r="E195" s="150">
        <v>0</v>
      </c>
      <c r="F195" s="149" t="str">
        <f t="shared" si="8"/>
        <v>NO</v>
      </c>
      <c r="G195" s="151">
        <f>SUM('2024 Legal Max'!O195-'2024 Legal Max'!K195)</f>
        <v>-3</v>
      </c>
      <c r="H195" s="149" t="str">
        <f t="shared" si="9"/>
        <v>YES</v>
      </c>
      <c r="I195" s="149" t="str">
        <f t="shared" si="7"/>
        <v>NO</v>
      </c>
    </row>
    <row r="196" spans="1:9">
      <c r="A196" s="134" t="s">
        <v>381</v>
      </c>
      <c r="B196" s="129" t="s">
        <v>10</v>
      </c>
      <c r="C196" s="129" t="s">
        <v>700</v>
      </c>
      <c r="D196" s="149" t="s">
        <v>928</v>
      </c>
      <c r="E196" s="150">
        <v>1</v>
      </c>
      <c r="F196" s="149" t="str">
        <f t="shared" si="8"/>
        <v>YES</v>
      </c>
      <c r="G196" s="151">
        <f>SUM('2024 Legal Max'!O196-'2024 Legal Max'!K196)</f>
        <v>-5.4</v>
      </c>
      <c r="H196" s="149" t="str">
        <f t="shared" si="9"/>
        <v>YES</v>
      </c>
      <c r="I196" s="149" t="str">
        <f t="shared" si="7"/>
        <v>NO</v>
      </c>
    </row>
    <row r="197" spans="1:9">
      <c r="A197" s="134" t="s">
        <v>382</v>
      </c>
      <c r="B197" s="129" t="s">
        <v>88</v>
      </c>
      <c r="C197" s="129" t="s">
        <v>701</v>
      </c>
      <c r="D197" s="149" t="s">
        <v>928</v>
      </c>
      <c r="E197" s="150">
        <v>0</v>
      </c>
      <c r="F197" s="149" t="str">
        <f t="shared" si="8"/>
        <v>NO</v>
      </c>
      <c r="G197" s="151">
        <f>SUM('2024 Legal Max'!O197-'2024 Legal Max'!K197)</f>
        <v>10.3</v>
      </c>
      <c r="H197" s="149" t="str">
        <f t="shared" si="9"/>
        <v>NO</v>
      </c>
      <c r="I197" s="149" t="str">
        <f t="shared" ref="I197:I260" si="10">IF(AND(D197="YES", F197="YES", H197="YES"), "YES", "NO")</f>
        <v>NO</v>
      </c>
    </row>
    <row r="198" spans="1:9">
      <c r="A198" s="134" t="s">
        <v>383</v>
      </c>
      <c r="B198" s="129" t="s">
        <v>29</v>
      </c>
      <c r="C198" s="129" t="s">
        <v>702</v>
      </c>
      <c r="D198" s="149" t="s">
        <v>928</v>
      </c>
      <c r="E198" s="150">
        <v>0</v>
      </c>
      <c r="F198" s="149" t="str">
        <f t="shared" si="8"/>
        <v>NO</v>
      </c>
      <c r="G198" s="151">
        <f>SUM('2024 Legal Max'!O198-'2024 Legal Max'!K198)</f>
        <v>28.5</v>
      </c>
      <c r="H198" s="149" t="str">
        <f t="shared" si="9"/>
        <v>NO</v>
      </c>
      <c r="I198" s="149" t="str">
        <f t="shared" si="10"/>
        <v>NO</v>
      </c>
    </row>
    <row r="199" spans="1:9">
      <c r="A199" s="134" t="s">
        <v>384</v>
      </c>
      <c r="B199" s="129" t="s">
        <v>76</v>
      </c>
      <c r="C199" s="129" t="s">
        <v>703</v>
      </c>
      <c r="D199" s="149" t="s">
        <v>928</v>
      </c>
      <c r="E199" s="150">
        <v>0</v>
      </c>
      <c r="F199" s="149" t="str">
        <f t="shared" ref="F199:F262" si="11">IF(E199&gt;0, "YES", "NO")</f>
        <v>NO</v>
      </c>
      <c r="G199" s="151">
        <f>SUM('2024 Legal Max'!O199-'2024 Legal Max'!K199)</f>
        <v>-17.2</v>
      </c>
      <c r="H199" s="149" t="str">
        <f t="shared" ref="H199:H262" si="12">IF(G199&lt;0, "YES", "NO")</f>
        <v>YES</v>
      </c>
      <c r="I199" s="149" t="str">
        <f t="shared" si="10"/>
        <v>NO</v>
      </c>
    </row>
    <row r="200" spans="1:9">
      <c r="A200" s="134" t="s">
        <v>385</v>
      </c>
      <c r="B200" s="129" t="s">
        <v>90</v>
      </c>
      <c r="C200" s="129" t="s">
        <v>704</v>
      </c>
      <c r="D200" s="149" t="s">
        <v>928</v>
      </c>
      <c r="E200" s="150">
        <v>1</v>
      </c>
      <c r="F200" s="149" t="str">
        <f t="shared" si="11"/>
        <v>YES</v>
      </c>
      <c r="G200" s="151">
        <f>SUM('2024 Legal Max'!O200-'2024 Legal Max'!K200)</f>
        <v>-45.2</v>
      </c>
      <c r="H200" s="149" t="str">
        <f t="shared" si="12"/>
        <v>YES</v>
      </c>
      <c r="I200" s="149" t="str">
        <f t="shared" si="10"/>
        <v>NO</v>
      </c>
    </row>
    <row r="201" spans="1:9">
      <c r="A201" s="134" t="s">
        <v>386</v>
      </c>
      <c r="B201" s="129" t="s">
        <v>89</v>
      </c>
      <c r="C201" s="129" t="s">
        <v>705</v>
      </c>
      <c r="D201" s="149" t="s">
        <v>928</v>
      </c>
      <c r="E201" s="150">
        <v>1</v>
      </c>
      <c r="F201" s="149" t="str">
        <f t="shared" si="11"/>
        <v>YES</v>
      </c>
      <c r="G201" s="151">
        <f>SUM('2024 Legal Max'!O201-'2024 Legal Max'!K201)</f>
        <v>-3</v>
      </c>
      <c r="H201" s="149" t="str">
        <f t="shared" si="12"/>
        <v>YES</v>
      </c>
      <c r="I201" s="149" t="str">
        <f t="shared" si="10"/>
        <v>NO</v>
      </c>
    </row>
    <row r="202" spans="1:9">
      <c r="A202" s="134" t="s">
        <v>387</v>
      </c>
      <c r="B202" s="129" t="s">
        <v>77</v>
      </c>
      <c r="C202" s="129" t="s">
        <v>706</v>
      </c>
      <c r="D202" s="149" t="s">
        <v>928</v>
      </c>
      <c r="E202" s="150">
        <v>1</v>
      </c>
      <c r="F202" s="149" t="str">
        <f t="shared" si="11"/>
        <v>YES</v>
      </c>
      <c r="G202" s="151">
        <f>SUM('2024 Legal Max'!O202-'2024 Legal Max'!K202)</f>
        <v>-67.599999999999994</v>
      </c>
      <c r="H202" s="149" t="str">
        <f t="shared" si="12"/>
        <v>YES</v>
      </c>
      <c r="I202" s="149" t="str">
        <f t="shared" si="10"/>
        <v>NO</v>
      </c>
    </row>
    <row r="203" spans="1:9">
      <c r="A203" s="134" t="s">
        <v>388</v>
      </c>
      <c r="B203" s="129" t="s">
        <v>89</v>
      </c>
      <c r="C203" s="129" t="s">
        <v>707</v>
      </c>
      <c r="D203" s="149" t="s">
        <v>928</v>
      </c>
      <c r="E203" s="150">
        <v>0</v>
      </c>
      <c r="F203" s="149" t="str">
        <f t="shared" si="11"/>
        <v>NO</v>
      </c>
      <c r="G203" s="151">
        <f>SUM('2024 Legal Max'!O203-'2024 Legal Max'!K203)</f>
        <v>21.5</v>
      </c>
      <c r="H203" s="149" t="str">
        <f t="shared" si="12"/>
        <v>NO</v>
      </c>
      <c r="I203" s="149" t="str">
        <f t="shared" si="10"/>
        <v>NO</v>
      </c>
    </row>
    <row r="204" spans="1:9">
      <c r="A204" s="134" t="s">
        <v>389</v>
      </c>
      <c r="B204" s="129" t="s">
        <v>89</v>
      </c>
      <c r="C204" s="129" t="s">
        <v>708</v>
      </c>
      <c r="D204" s="149" t="s">
        <v>928</v>
      </c>
      <c r="E204" s="150">
        <v>0</v>
      </c>
      <c r="F204" s="149" t="str">
        <f t="shared" si="11"/>
        <v>NO</v>
      </c>
      <c r="G204" s="151">
        <f>SUM('2024 Legal Max'!O204-'2024 Legal Max'!K204)</f>
        <v>-12.5</v>
      </c>
      <c r="H204" s="149" t="str">
        <f t="shared" si="12"/>
        <v>YES</v>
      </c>
      <c r="I204" s="149" t="str">
        <f t="shared" si="10"/>
        <v>NO</v>
      </c>
    </row>
    <row r="205" spans="1:9">
      <c r="A205" s="134" t="s">
        <v>390</v>
      </c>
      <c r="B205" s="129" t="s">
        <v>93</v>
      </c>
      <c r="C205" s="129" t="s">
        <v>709</v>
      </c>
      <c r="D205" s="149" t="s">
        <v>928</v>
      </c>
      <c r="E205" s="150">
        <v>0</v>
      </c>
      <c r="F205" s="149" t="str">
        <f t="shared" si="11"/>
        <v>NO</v>
      </c>
      <c r="G205" s="151">
        <f>SUM('2024 Legal Max'!O205-'2024 Legal Max'!K205)</f>
        <v>7.9</v>
      </c>
      <c r="H205" s="149" t="str">
        <f t="shared" si="12"/>
        <v>NO</v>
      </c>
      <c r="I205" s="149" t="str">
        <f t="shared" si="10"/>
        <v>NO</v>
      </c>
    </row>
    <row r="206" spans="1:9">
      <c r="A206" s="134" t="s">
        <v>391</v>
      </c>
      <c r="B206" s="129" t="s">
        <v>4</v>
      </c>
      <c r="C206" s="129" t="s">
        <v>710</v>
      </c>
      <c r="D206" s="149" t="s">
        <v>928</v>
      </c>
      <c r="E206" s="150">
        <v>1</v>
      </c>
      <c r="F206" s="149" t="str">
        <f t="shared" si="11"/>
        <v>YES</v>
      </c>
      <c r="G206" s="151">
        <f>SUM('2024 Legal Max'!O206-'2024 Legal Max'!K206)</f>
        <v>42.8</v>
      </c>
      <c r="H206" s="149" t="str">
        <f t="shared" si="12"/>
        <v>NO</v>
      </c>
      <c r="I206" s="149" t="str">
        <f t="shared" si="10"/>
        <v>NO</v>
      </c>
    </row>
    <row r="207" spans="1:9">
      <c r="A207" s="134" t="s">
        <v>392</v>
      </c>
      <c r="B207" s="129" t="s">
        <v>94</v>
      </c>
      <c r="C207" s="129" t="s">
        <v>711</v>
      </c>
      <c r="D207" s="149" t="s">
        <v>928</v>
      </c>
      <c r="E207" s="150">
        <v>1</v>
      </c>
      <c r="F207" s="149" t="str">
        <f t="shared" si="11"/>
        <v>YES</v>
      </c>
      <c r="G207" s="151">
        <f>SUM('2024 Legal Max'!O207-'2024 Legal Max'!K207)</f>
        <v>-45.5</v>
      </c>
      <c r="H207" s="149" t="str">
        <f t="shared" si="12"/>
        <v>YES</v>
      </c>
      <c r="I207" s="149" t="str">
        <f t="shared" si="10"/>
        <v>NO</v>
      </c>
    </row>
    <row r="208" spans="1:9">
      <c r="A208" s="134" t="s">
        <v>393</v>
      </c>
      <c r="B208" s="129" t="s">
        <v>73</v>
      </c>
      <c r="C208" s="129" t="s">
        <v>712</v>
      </c>
      <c r="D208" s="149" t="s">
        <v>928</v>
      </c>
      <c r="E208" s="150">
        <v>1</v>
      </c>
      <c r="F208" s="149" t="str">
        <f t="shared" si="11"/>
        <v>YES</v>
      </c>
      <c r="G208" s="151">
        <f>SUM('2024 Legal Max'!O208-'2024 Legal Max'!K208)</f>
        <v>23.1</v>
      </c>
      <c r="H208" s="149" t="str">
        <f t="shared" si="12"/>
        <v>NO</v>
      </c>
      <c r="I208" s="149" t="str">
        <f t="shared" si="10"/>
        <v>NO</v>
      </c>
    </row>
    <row r="209" spans="1:9">
      <c r="A209" s="134" t="s">
        <v>394</v>
      </c>
      <c r="B209" s="129" t="s">
        <v>95</v>
      </c>
      <c r="C209" s="129" t="s">
        <v>713</v>
      </c>
      <c r="D209" s="149" t="s">
        <v>928</v>
      </c>
      <c r="E209" s="150">
        <v>1</v>
      </c>
      <c r="F209" s="149" t="str">
        <f t="shared" si="11"/>
        <v>YES</v>
      </c>
      <c r="G209" s="151">
        <f>SUM('2024 Legal Max'!O209-'2024 Legal Max'!K209)</f>
        <v>12</v>
      </c>
      <c r="H209" s="149" t="str">
        <f t="shared" si="12"/>
        <v>NO</v>
      </c>
      <c r="I209" s="149" t="str">
        <f t="shared" si="10"/>
        <v>NO</v>
      </c>
    </row>
    <row r="210" spans="1:9">
      <c r="A210" s="134" t="s">
        <v>395</v>
      </c>
      <c r="B210" s="129" t="s">
        <v>91</v>
      </c>
      <c r="C210" s="129" t="s">
        <v>714</v>
      </c>
      <c r="D210" s="149" t="s">
        <v>928</v>
      </c>
      <c r="E210" s="150">
        <v>1</v>
      </c>
      <c r="F210" s="149" t="str">
        <f t="shared" si="11"/>
        <v>YES</v>
      </c>
      <c r="G210" s="151">
        <f>SUM('2024 Legal Max'!O210-'2024 Legal Max'!K210)</f>
        <v>-14.8</v>
      </c>
      <c r="H210" s="149" t="str">
        <f t="shared" si="12"/>
        <v>YES</v>
      </c>
      <c r="I210" s="149" t="str">
        <f t="shared" si="10"/>
        <v>NO</v>
      </c>
    </row>
    <row r="211" spans="1:9">
      <c r="A211" s="134" t="s">
        <v>396</v>
      </c>
      <c r="B211" s="129" t="s">
        <v>91</v>
      </c>
      <c r="C211" s="129" t="s">
        <v>715</v>
      </c>
      <c r="D211" s="149" t="s">
        <v>928</v>
      </c>
      <c r="E211" s="150">
        <v>0</v>
      </c>
      <c r="F211" s="149" t="str">
        <f t="shared" si="11"/>
        <v>NO</v>
      </c>
      <c r="G211" s="151">
        <f>SUM('2024 Legal Max'!O211-'2024 Legal Max'!K211)</f>
        <v>21.8</v>
      </c>
      <c r="H211" s="149" t="str">
        <f t="shared" si="12"/>
        <v>NO</v>
      </c>
      <c r="I211" s="149" t="str">
        <f t="shared" si="10"/>
        <v>NO</v>
      </c>
    </row>
    <row r="212" spans="1:9">
      <c r="A212" s="134" t="s">
        <v>397</v>
      </c>
      <c r="B212" s="129" t="s">
        <v>96</v>
      </c>
      <c r="C212" s="129" t="s">
        <v>716</v>
      </c>
      <c r="D212" s="149" t="s">
        <v>928</v>
      </c>
      <c r="E212" s="150">
        <v>1</v>
      </c>
      <c r="F212" s="149" t="str">
        <f t="shared" si="11"/>
        <v>YES</v>
      </c>
      <c r="G212" s="151">
        <f>SUM('2024 Legal Max'!O212-'2024 Legal Max'!K212)</f>
        <v>10</v>
      </c>
      <c r="H212" s="149" t="str">
        <f t="shared" si="12"/>
        <v>NO</v>
      </c>
      <c r="I212" s="149" t="str">
        <f t="shared" si="10"/>
        <v>NO</v>
      </c>
    </row>
    <row r="213" spans="1:9">
      <c r="A213" s="134" t="s">
        <v>398</v>
      </c>
      <c r="B213" s="129" t="s">
        <v>96</v>
      </c>
      <c r="C213" s="129" t="s">
        <v>717</v>
      </c>
      <c r="D213" s="149" t="s">
        <v>928</v>
      </c>
      <c r="E213" s="150">
        <v>1</v>
      </c>
      <c r="F213" s="149" t="str">
        <f t="shared" si="11"/>
        <v>YES</v>
      </c>
      <c r="G213" s="151">
        <f>SUM('2024 Legal Max'!O213-'2024 Legal Max'!K213)</f>
        <v>-28</v>
      </c>
      <c r="H213" s="149" t="str">
        <f t="shared" si="12"/>
        <v>YES</v>
      </c>
      <c r="I213" s="149" t="str">
        <f t="shared" si="10"/>
        <v>NO</v>
      </c>
    </row>
    <row r="214" spans="1:9">
      <c r="A214" s="134" t="s">
        <v>399</v>
      </c>
      <c r="B214" s="129" t="s">
        <v>97</v>
      </c>
      <c r="C214" s="129" t="s">
        <v>718</v>
      </c>
      <c r="D214" s="149" t="s">
        <v>928</v>
      </c>
      <c r="E214" s="150">
        <v>1</v>
      </c>
      <c r="F214" s="149" t="str">
        <f t="shared" si="11"/>
        <v>YES</v>
      </c>
      <c r="G214" s="151">
        <f>SUM('2024 Legal Max'!O214-'2024 Legal Max'!K214)</f>
        <v>-13.5</v>
      </c>
      <c r="H214" s="149" t="str">
        <f t="shared" si="12"/>
        <v>YES</v>
      </c>
      <c r="I214" s="149" t="str">
        <f t="shared" si="10"/>
        <v>NO</v>
      </c>
    </row>
    <row r="215" spans="1:9">
      <c r="A215" s="134" t="s">
        <v>400</v>
      </c>
      <c r="B215" s="129" t="s">
        <v>91</v>
      </c>
      <c r="C215" s="129" t="s">
        <v>719</v>
      </c>
      <c r="D215" s="149" t="s">
        <v>928</v>
      </c>
      <c r="E215" s="150">
        <v>0</v>
      </c>
      <c r="F215" s="149" t="str">
        <f t="shared" si="11"/>
        <v>NO</v>
      </c>
      <c r="G215" s="151">
        <f>SUM('2024 Legal Max'!O215-'2024 Legal Max'!K215)</f>
        <v>16</v>
      </c>
      <c r="H215" s="149" t="str">
        <f t="shared" si="12"/>
        <v>NO</v>
      </c>
      <c r="I215" s="149" t="str">
        <f t="shared" si="10"/>
        <v>NO</v>
      </c>
    </row>
    <row r="216" spans="1:9">
      <c r="A216" s="134" t="s">
        <v>401</v>
      </c>
      <c r="B216" s="129" t="s">
        <v>98</v>
      </c>
      <c r="C216" s="129" t="s">
        <v>720</v>
      </c>
      <c r="D216" s="149" t="s">
        <v>928</v>
      </c>
      <c r="E216" s="150">
        <v>0</v>
      </c>
      <c r="F216" s="149" t="str">
        <f t="shared" si="11"/>
        <v>NO</v>
      </c>
      <c r="G216" s="151">
        <f>SUM('2024 Legal Max'!O216-'2024 Legal Max'!K216)</f>
        <v>0.7</v>
      </c>
      <c r="H216" s="149" t="str">
        <f t="shared" si="12"/>
        <v>NO</v>
      </c>
      <c r="I216" s="149" t="str">
        <f t="shared" si="10"/>
        <v>NO</v>
      </c>
    </row>
    <row r="217" spans="1:9">
      <c r="A217" s="134" t="s">
        <v>402</v>
      </c>
      <c r="B217" s="129" t="s">
        <v>67</v>
      </c>
      <c r="C217" s="129" t="s">
        <v>721</v>
      </c>
      <c r="D217" s="149" t="s">
        <v>928</v>
      </c>
      <c r="E217" s="150">
        <v>1</v>
      </c>
      <c r="F217" s="149" t="str">
        <f t="shared" si="11"/>
        <v>YES</v>
      </c>
      <c r="G217" s="151">
        <f>SUM('2024 Legal Max'!O217-'2024 Legal Max'!K217)</f>
        <v>45.1</v>
      </c>
      <c r="H217" s="149" t="str">
        <f t="shared" si="12"/>
        <v>NO</v>
      </c>
      <c r="I217" s="149" t="str">
        <f t="shared" si="10"/>
        <v>NO</v>
      </c>
    </row>
    <row r="218" spans="1:9">
      <c r="A218" s="134" t="s">
        <v>403</v>
      </c>
      <c r="B218" s="129" t="s">
        <v>92</v>
      </c>
      <c r="C218" s="129" t="s">
        <v>722</v>
      </c>
      <c r="D218" s="149" t="s">
        <v>928</v>
      </c>
      <c r="E218" s="150">
        <v>0</v>
      </c>
      <c r="F218" s="149" t="str">
        <f t="shared" si="11"/>
        <v>NO</v>
      </c>
      <c r="G218" s="151">
        <f>SUM('2024 Legal Max'!O218-'2024 Legal Max'!K218)</f>
        <v>-17.100000000000001</v>
      </c>
      <c r="H218" s="149" t="str">
        <f t="shared" si="12"/>
        <v>YES</v>
      </c>
      <c r="I218" s="149" t="str">
        <f t="shared" si="10"/>
        <v>NO</v>
      </c>
    </row>
    <row r="219" spans="1:9">
      <c r="A219" s="134" t="s">
        <v>404</v>
      </c>
      <c r="B219" s="129" t="s">
        <v>94</v>
      </c>
      <c r="C219" s="129" t="s">
        <v>723</v>
      </c>
      <c r="D219" s="149" t="s">
        <v>931</v>
      </c>
      <c r="E219" s="150">
        <v>1</v>
      </c>
      <c r="F219" s="149" t="str">
        <f t="shared" si="11"/>
        <v>YES</v>
      </c>
      <c r="G219" s="151">
        <f>SUM('2024 Legal Max'!O219-'2024 Legal Max'!K219)</f>
        <v>16.5</v>
      </c>
      <c r="H219" s="149" t="str">
        <f t="shared" si="12"/>
        <v>NO</v>
      </c>
      <c r="I219" s="149" t="str">
        <f t="shared" si="10"/>
        <v>NO</v>
      </c>
    </row>
    <row r="220" spans="1:9">
      <c r="A220" s="134" t="s">
        <v>405</v>
      </c>
      <c r="B220" s="129" t="s">
        <v>67</v>
      </c>
      <c r="C220" s="129" t="s">
        <v>724</v>
      </c>
      <c r="D220" s="149" t="s">
        <v>928</v>
      </c>
      <c r="E220" s="150">
        <v>0</v>
      </c>
      <c r="F220" s="149" t="str">
        <f t="shared" si="11"/>
        <v>NO</v>
      </c>
      <c r="G220" s="151">
        <f>SUM('2024 Legal Max'!O220-'2024 Legal Max'!K220)</f>
        <v>-7.6</v>
      </c>
      <c r="H220" s="149" t="str">
        <f t="shared" si="12"/>
        <v>YES</v>
      </c>
      <c r="I220" s="149" t="str">
        <f t="shared" si="10"/>
        <v>NO</v>
      </c>
    </row>
    <row r="221" spans="1:9">
      <c r="A221" s="134" t="s">
        <v>406</v>
      </c>
      <c r="B221" s="129" t="s">
        <v>84</v>
      </c>
      <c r="C221" s="129" t="s">
        <v>725</v>
      </c>
      <c r="D221" s="149" t="s">
        <v>928</v>
      </c>
      <c r="E221" s="150">
        <v>0</v>
      </c>
      <c r="F221" s="149" t="str">
        <f t="shared" si="11"/>
        <v>NO</v>
      </c>
      <c r="G221" s="151">
        <f>SUM('2024 Legal Max'!O221-'2024 Legal Max'!K221)</f>
        <v>-6</v>
      </c>
      <c r="H221" s="149" t="str">
        <f t="shared" si="12"/>
        <v>YES</v>
      </c>
      <c r="I221" s="149" t="str">
        <f t="shared" si="10"/>
        <v>NO</v>
      </c>
    </row>
    <row r="222" spans="1:9">
      <c r="A222" s="134" t="s">
        <v>407</v>
      </c>
      <c r="B222" s="129" t="s">
        <v>96</v>
      </c>
      <c r="C222" s="129" t="s">
        <v>726</v>
      </c>
      <c r="D222" s="149" t="s">
        <v>928</v>
      </c>
      <c r="E222" s="150">
        <v>1</v>
      </c>
      <c r="F222" s="149" t="str">
        <f t="shared" si="11"/>
        <v>YES</v>
      </c>
      <c r="G222" s="151">
        <f>SUM('2024 Legal Max'!O222-'2024 Legal Max'!K222)</f>
        <v>18.5</v>
      </c>
      <c r="H222" s="149" t="str">
        <f t="shared" si="12"/>
        <v>NO</v>
      </c>
      <c r="I222" s="149" t="str">
        <f t="shared" si="10"/>
        <v>NO</v>
      </c>
    </row>
    <row r="223" spans="1:9">
      <c r="A223" s="134" t="s">
        <v>408</v>
      </c>
      <c r="B223" s="129" t="s">
        <v>87</v>
      </c>
      <c r="C223" s="129" t="s">
        <v>727</v>
      </c>
      <c r="D223" s="149" t="s">
        <v>928</v>
      </c>
      <c r="E223" s="150">
        <v>1</v>
      </c>
      <c r="F223" s="149" t="str">
        <f t="shared" si="11"/>
        <v>YES</v>
      </c>
      <c r="G223" s="151">
        <f>SUM('2024 Legal Max'!O223-'2024 Legal Max'!K223)</f>
        <v>-23.9</v>
      </c>
      <c r="H223" s="149" t="str">
        <f t="shared" si="12"/>
        <v>YES</v>
      </c>
      <c r="I223" s="149" t="str">
        <f t="shared" si="10"/>
        <v>NO</v>
      </c>
    </row>
    <row r="224" spans="1:9">
      <c r="A224" s="134" t="s">
        <v>409</v>
      </c>
      <c r="B224" s="129" t="s">
        <v>99</v>
      </c>
      <c r="C224" s="129" t="s">
        <v>728</v>
      </c>
      <c r="D224" s="149" t="s">
        <v>928</v>
      </c>
      <c r="E224" s="150">
        <v>0</v>
      </c>
      <c r="F224" s="149" t="str">
        <f t="shared" si="11"/>
        <v>NO</v>
      </c>
      <c r="G224" s="151">
        <f>SUM('2024 Legal Max'!O224-'2024 Legal Max'!K224)</f>
        <v>9.6</v>
      </c>
      <c r="H224" s="149" t="str">
        <f t="shared" si="12"/>
        <v>NO</v>
      </c>
      <c r="I224" s="149" t="str">
        <f t="shared" si="10"/>
        <v>NO</v>
      </c>
    </row>
    <row r="225" spans="1:9">
      <c r="A225" s="134" t="s">
        <v>410</v>
      </c>
      <c r="B225" s="129" t="s">
        <v>61</v>
      </c>
      <c r="C225" s="129" t="s">
        <v>729</v>
      </c>
      <c r="D225" s="149" t="s">
        <v>928</v>
      </c>
      <c r="E225" s="150">
        <v>1</v>
      </c>
      <c r="F225" s="149" t="str">
        <f t="shared" si="11"/>
        <v>YES</v>
      </c>
      <c r="G225" s="151">
        <f>SUM('2024 Legal Max'!O225-'2024 Legal Max'!K225)</f>
        <v>-25.9</v>
      </c>
      <c r="H225" s="149" t="str">
        <f t="shared" si="12"/>
        <v>YES</v>
      </c>
      <c r="I225" s="149" t="str">
        <f t="shared" si="10"/>
        <v>NO</v>
      </c>
    </row>
    <row r="226" spans="1:9">
      <c r="A226" s="134" t="s">
        <v>411</v>
      </c>
      <c r="B226" s="129" t="s">
        <v>81</v>
      </c>
      <c r="C226" s="129" t="s">
        <v>730</v>
      </c>
      <c r="D226" s="149" t="s">
        <v>928</v>
      </c>
      <c r="E226" s="150">
        <v>0</v>
      </c>
      <c r="F226" s="149" t="str">
        <f t="shared" si="11"/>
        <v>NO</v>
      </c>
      <c r="G226" s="151">
        <f>SUM('2024 Legal Max'!O226-'2024 Legal Max'!K226)</f>
        <v>-3.5</v>
      </c>
      <c r="H226" s="149" t="str">
        <f t="shared" si="12"/>
        <v>YES</v>
      </c>
      <c r="I226" s="149" t="str">
        <f t="shared" si="10"/>
        <v>NO</v>
      </c>
    </row>
    <row r="227" spans="1:9">
      <c r="A227" s="134" t="s">
        <v>412</v>
      </c>
      <c r="B227" s="129" t="s">
        <v>74</v>
      </c>
      <c r="C227" s="129" t="s">
        <v>731</v>
      </c>
      <c r="D227" s="149" t="s">
        <v>928</v>
      </c>
      <c r="E227" s="150">
        <v>1</v>
      </c>
      <c r="F227" s="149" t="str">
        <f t="shared" si="11"/>
        <v>YES</v>
      </c>
      <c r="G227" s="151">
        <f>SUM('2024 Legal Max'!O227-'2024 Legal Max'!K227)</f>
        <v>-0.5</v>
      </c>
      <c r="H227" s="149" t="str">
        <f t="shared" si="12"/>
        <v>YES</v>
      </c>
      <c r="I227" s="149" t="str">
        <f t="shared" si="10"/>
        <v>NO</v>
      </c>
    </row>
    <row r="228" spans="1:9">
      <c r="A228" s="134" t="s">
        <v>413</v>
      </c>
      <c r="B228" s="129" t="s">
        <v>74</v>
      </c>
      <c r="C228" s="129" t="s">
        <v>732</v>
      </c>
      <c r="D228" s="149" t="s">
        <v>928</v>
      </c>
      <c r="E228" s="150">
        <v>1</v>
      </c>
      <c r="F228" s="149" t="str">
        <f t="shared" si="11"/>
        <v>YES</v>
      </c>
      <c r="G228" s="151">
        <f>SUM('2024 Legal Max'!O228-'2024 Legal Max'!K228)</f>
        <v>5</v>
      </c>
      <c r="H228" s="149" t="str">
        <f t="shared" si="12"/>
        <v>NO</v>
      </c>
      <c r="I228" s="149" t="str">
        <f t="shared" si="10"/>
        <v>NO</v>
      </c>
    </row>
    <row r="229" spans="1:9">
      <c r="A229" s="134" t="s">
        <v>414</v>
      </c>
      <c r="B229" s="129" t="s">
        <v>80</v>
      </c>
      <c r="C229" s="129" t="s">
        <v>733</v>
      </c>
      <c r="D229" s="149" t="s">
        <v>928</v>
      </c>
      <c r="E229" s="150">
        <v>1</v>
      </c>
      <c r="F229" s="149" t="str">
        <f t="shared" si="11"/>
        <v>YES</v>
      </c>
      <c r="G229" s="151">
        <f>SUM('2024 Legal Max'!O229-'2024 Legal Max'!K229)</f>
        <v>74.099999999999994</v>
      </c>
      <c r="H229" s="149" t="str">
        <f t="shared" si="12"/>
        <v>NO</v>
      </c>
      <c r="I229" s="149" t="str">
        <f t="shared" si="10"/>
        <v>NO</v>
      </c>
    </row>
    <row r="230" spans="1:9">
      <c r="A230" s="134" t="s">
        <v>415</v>
      </c>
      <c r="B230" s="129" t="s">
        <v>76</v>
      </c>
      <c r="C230" s="129" t="s">
        <v>734</v>
      </c>
      <c r="D230" s="149" t="s">
        <v>928</v>
      </c>
      <c r="E230" s="150">
        <v>1</v>
      </c>
      <c r="F230" s="149" t="str">
        <f t="shared" si="11"/>
        <v>YES</v>
      </c>
      <c r="G230" s="151">
        <f>SUM('2024 Legal Max'!O230-'2024 Legal Max'!K230)</f>
        <v>-3</v>
      </c>
      <c r="H230" s="149" t="str">
        <f t="shared" si="12"/>
        <v>YES</v>
      </c>
      <c r="I230" s="149" t="str">
        <f t="shared" si="10"/>
        <v>NO</v>
      </c>
    </row>
    <row r="231" spans="1:9">
      <c r="A231" s="134" t="s">
        <v>416</v>
      </c>
      <c r="B231" s="129" t="s">
        <v>99</v>
      </c>
      <c r="C231" s="129" t="s">
        <v>735</v>
      </c>
      <c r="D231" s="149" t="s">
        <v>928</v>
      </c>
      <c r="E231" s="150">
        <v>0</v>
      </c>
      <c r="F231" s="149" t="str">
        <f t="shared" si="11"/>
        <v>NO</v>
      </c>
      <c r="G231" s="151">
        <f>SUM('2024 Legal Max'!O231-'2024 Legal Max'!K231)</f>
        <v>-49.4</v>
      </c>
      <c r="H231" s="149" t="str">
        <f t="shared" si="12"/>
        <v>YES</v>
      </c>
      <c r="I231" s="149" t="str">
        <f t="shared" si="10"/>
        <v>NO</v>
      </c>
    </row>
    <row r="232" spans="1:9">
      <c r="A232" s="134" t="s">
        <v>417</v>
      </c>
      <c r="B232" s="129" t="s">
        <v>99</v>
      </c>
      <c r="C232" s="129" t="s">
        <v>736</v>
      </c>
      <c r="D232" s="149" t="s">
        <v>931</v>
      </c>
      <c r="E232" s="150">
        <v>0</v>
      </c>
      <c r="F232" s="149" t="str">
        <f t="shared" si="11"/>
        <v>NO</v>
      </c>
      <c r="G232" s="151">
        <f>SUM('2024 Legal Max'!O232-'2024 Legal Max'!K232)</f>
        <v>1.4</v>
      </c>
      <c r="H232" s="149" t="str">
        <f t="shared" si="12"/>
        <v>NO</v>
      </c>
      <c r="I232" s="149" t="str">
        <f t="shared" si="10"/>
        <v>NO</v>
      </c>
    </row>
    <row r="233" spans="1:9">
      <c r="A233" s="134" t="s">
        <v>418</v>
      </c>
      <c r="B233" s="129" t="s">
        <v>99</v>
      </c>
      <c r="C233" s="129" t="s">
        <v>737</v>
      </c>
      <c r="D233" s="149" t="s">
        <v>928</v>
      </c>
      <c r="E233" s="150">
        <v>0</v>
      </c>
      <c r="F233" s="149" t="str">
        <f t="shared" si="11"/>
        <v>NO</v>
      </c>
      <c r="G233" s="151">
        <f>SUM('2024 Legal Max'!O233-'2024 Legal Max'!K233)</f>
        <v>-40.1</v>
      </c>
      <c r="H233" s="149" t="str">
        <f t="shared" si="12"/>
        <v>YES</v>
      </c>
      <c r="I233" s="149" t="str">
        <f t="shared" si="10"/>
        <v>NO</v>
      </c>
    </row>
    <row r="234" spans="1:9">
      <c r="A234" s="134" t="s">
        <v>419</v>
      </c>
      <c r="B234" s="129" t="s">
        <v>91</v>
      </c>
      <c r="C234" s="129" t="s">
        <v>738</v>
      </c>
      <c r="D234" s="149" t="s">
        <v>928</v>
      </c>
      <c r="E234" s="150">
        <v>1</v>
      </c>
      <c r="F234" s="149" t="str">
        <f t="shared" si="11"/>
        <v>YES</v>
      </c>
      <c r="G234" s="151">
        <f>SUM('2024 Legal Max'!O234-'2024 Legal Max'!K234)</f>
        <v>-6</v>
      </c>
      <c r="H234" s="149" t="str">
        <f t="shared" si="12"/>
        <v>YES</v>
      </c>
      <c r="I234" s="149" t="str">
        <f t="shared" si="10"/>
        <v>NO</v>
      </c>
    </row>
    <row r="235" spans="1:9">
      <c r="A235" s="134" t="s">
        <v>420</v>
      </c>
      <c r="B235" s="129" t="s">
        <v>11</v>
      </c>
      <c r="C235" s="129" t="s">
        <v>739</v>
      </c>
      <c r="D235" s="149" t="s">
        <v>928</v>
      </c>
      <c r="E235" s="150">
        <v>1</v>
      </c>
      <c r="F235" s="149" t="str">
        <f t="shared" si="11"/>
        <v>YES</v>
      </c>
      <c r="G235" s="151">
        <f>SUM('2024 Legal Max'!O235-'2024 Legal Max'!K235)</f>
        <v>-5.6</v>
      </c>
      <c r="H235" s="149" t="str">
        <f t="shared" si="12"/>
        <v>YES</v>
      </c>
      <c r="I235" s="149" t="str">
        <f t="shared" si="10"/>
        <v>NO</v>
      </c>
    </row>
    <row r="236" spans="1:9">
      <c r="A236" s="134" t="s">
        <v>421</v>
      </c>
      <c r="B236" s="129" t="s">
        <v>61</v>
      </c>
      <c r="C236" s="129" t="s">
        <v>740</v>
      </c>
      <c r="D236" s="149" t="s">
        <v>928</v>
      </c>
      <c r="E236" s="150">
        <v>1</v>
      </c>
      <c r="F236" s="149" t="str">
        <f t="shared" si="11"/>
        <v>YES</v>
      </c>
      <c r="G236" s="151">
        <f>SUM('2024 Legal Max'!O236-'2024 Legal Max'!K236)</f>
        <v>48.2</v>
      </c>
      <c r="H236" s="149" t="str">
        <f t="shared" si="12"/>
        <v>NO</v>
      </c>
      <c r="I236" s="149" t="str">
        <f t="shared" si="10"/>
        <v>NO</v>
      </c>
    </row>
    <row r="237" spans="1:9">
      <c r="A237" s="134" t="s">
        <v>422</v>
      </c>
      <c r="B237" s="129" t="s">
        <v>101</v>
      </c>
      <c r="C237" s="129" t="s">
        <v>741</v>
      </c>
      <c r="D237" s="149" t="s">
        <v>928</v>
      </c>
      <c r="E237" s="150">
        <v>0</v>
      </c>
      <c r="F237" s="149" t="str">
        <f t="shared" si="11"/>
        <v>NO</v>
      </c>
      <c r="G237" s="151">
        <f>SUM('2024 Legal Max'!O237-'2024 Legal Max'!K237)</f>
        <v>-8.5</v>
      </c>
      <c r="H237" s="149" t="str">
        <f t="shared" si="12"/>
        <v>YES</v>
      </c>
      <c r="I237" s="149" t="str">
        <f t="shared" si="10"/>
        <v>NO</v>
      </c>
    </row>
    <row r="238" spans="1:9">
      <c r="A238" s="134" t="s">
        <v>423</v>
      </c>
      <c r="B238" s="129" t="s">
        <v>11</v>
      </c>
      <c r="C238" s="129" t="s">
        <v>742</v>
      </c>
      <c r="D238" s="149" t="s">
        <v>931</v>
      </c>
      <c r="E238" s="150">
        <v>1</v>
      </c>
      <c r="F238" s="149" t="str">
        <f t="shared" si="11"/>
        <v>YES</v>
      </c>
      <c r="G238" s="151">
        <f>SUM('2024 Legal Max'!O238-'2024 Legal Max'!K238)</f>
        <v>-11.9</v>
      </c>
      <c r="H238" s="149" t="str">
        <f t="shared" si="12"/>
        <v>YES</v>
      </c>
      <c r="I238" s="149" t="str">
        <f t="shared" si="10"/>
        <v>YES</v>
      </c>
    </row>
    <row r="239" spans="1:9">
      <c r="A239" s="134" t="s">
        <v>424</v>
      </c>
      <c r="B239" s="129" t="s">
        <v>96</v>
      </c>
      <c r="C239" s="129" t="s">
        <v>743</v>
      </c>
      <c r="D239" s="149" t="s">
        <v>928</v>
      </c>
      <c r="E239" s="150">
        <v>0</v>
      </c>
      <c r="F239" s="149" t="str">
        <f t="shared" si="11"/>
        <v>NO</v>
      </c>
      <c r="G239" s="151">
        <f>SUM('2024 Legal Max'!O239-'2024 Legal Max'!K239)</f>
        <v>20.8</v>
      </c>
      <c r="H239" s="149" t="str">
        <f t="shared" si="12"/>
        <v>NO</v>
      </c>
      <c r="I239" s="149" t="str">
        <f t="shared" si="10"/>
        <v>NO</v>
      </c>
    </row>
    <row r="240" spans="1:9">
      <c r="A240" s="134" t="s">
        <v>425</v>
      </c>
      <c r="B240" s="129" t="s">
        <v>96</v>
      </c>
      <c r="C240" s="129" t="s">
        <v>744</v>
      </c>
      <c r="D240" s="149" t="s">
        <v>928</v>
      </c>
      <c r="E240" s="150">
        <v>1</v>
      </c>
      <c r="F240" s="149" t="str">
        <f t="shared" si="11"/>
        <v>YES</v>
      </c>
      <c r="G240" s="151">
        <f>SUM('2024 Legal Max'!O240-'2024 Legal Max'!K240)</f>
        <v>-12.5</v>
      </c>
      <c r="H240" s="149" t="str">
        <f t="shared" si="12"/>
        <v>YES</v>
      </c>
      <c r="I240" s="149" t="str">
        <f t="shared" si="10"/>
        <v>NO</v>
      </c>
    </row>
    <row r="241" spans="1:9">
      <c r="A241" s="134" t="s">
        <v>426</v>
      </c>
      <c r="B241" s="129" t="s">
        <v>69</v>
      </c>
      <c r="C241" s="129" t="s">
        <v>745</v>
      </c>
      <c r="D241" s="149" t="s">
        <v>928</v>
      </c>
      <c r="E241" s="150">
        <v>1</v>
      </c>
      <c r="F241" s="149" t="str">
        <f t="shared" si="11"/>
        <v>YES</v>
      </c>
      <c r="G241" s="151">
        <f>SUM('2024 Legal Max'!O241-'2024 Legal Max'!K241)</f>
        <v>-65.400000000000006</v>
      </c>
      <c r="H241" s="149" t="str">
        <f t="shared" si="12"/>
        <v>YES</v>
      </c>
      <c r="I241" s="149" t="str">
        <f t="shared" si="10"/>
        <v>NO</v>
      </c>
    </row>
    <row r="242" spans="1:9">
      <c r="A242" s="134" t="s">
        <v>427</v>
      </c>
      <c r="B242" s="129" t="s">
        <v>11</v>
      </c>
      <c r="C242" s="129" t="s">
        <v>746</v>
      </c>
      <c r="D242" s="149" t="s">
        <v>928</v>
      </c>
      <c r="E242" s="150">
        <v>1</v>
      </c>
      <c r="F242" s="149" t="str">
        <f t="shared" si="11"/>
        <v>YES</v>
      </c>
      <c r="G242" s="151">
        <f>SUM('2024 Legal Max'!O242-'2024 Legal Max'!K242)</f>
        <v>108.6</v>
      </c>
      <c r="H242" s="149" t="str">
        <f t="shared" si="12"/>
        <v>NO</v>
      </c>
      <c r="I242" s="149" t="str">
        <f t="shared" si="10"/>
        <v>NO</v>
      </c>
    </row>
    <row r="243" spans="1:9">
      <c r="A243" s="134" t="s">
        <v>428</v>
      </c>
      <c r="B243" s="129" t="s">
        <v>80</v>
      </c>
      <c r="C243" s="129" t="s">
        <v>747</v>
      </c>
      <c r="D243" s="149" t="s">
        <v>928</v>
      </c>
      <c r="E243" s="150">
        <v>1</v>
      </c>
      <c r="F243" s="149" t="str">
        <f t="shared" si="11"/>
        <v>YES</v>
      </c>
      <c r="G243" s="151">
        <f>SUM('2024 Legal Max'!O243-'2024 Legal Max'!K243)</f>
        <v>-10.4</v>
      </c>
      <c r="H243" s="149" t="str">
        <f t="shared" si="12"/>
        <v>YES</v>
      </c>
      <c r="I243" s="149" t="str">
        <f t="shared" si="10"/>
        <v>NO</v>
      </c>
    </row>
    <row r="244" spans="1:9">
      <c r="A244" s="134" t="s">
        <v>429</v>
      </c>
      <c r="B244" s="129" t="s">
        <v>74</v>
      </c>
      <c r="C244" s="129" t="s">
        <v>748</v>
      </c>
      <c r="D244" s="149" t="s">
        <v>928</v>
      </c>
      <c r="E244" s="150">
        <v>0</v>
      </c>
      <c r="F244" s="149" t="str">
        <f t="shared" si="11"/>
        <v>NO</v>
      </c>
      <c r="G244" s="151">
        <f>SUM('2024 Legal Max'!O244-'2024 Legal Max'!K244)</f>
        <v>17</v>
      </c>
      <c r="H244" s="149" t="str">
        <f t="shared" si="12"/>
        <v>NO</v>
      </c>
      <c r="I244" s="149" t="str">
        <f t="shared" si="10"/>
        <v>NO</v>
      </c>
    </row>
    <row r="245" spans="1:9">
      <c r="A245" s="134" t="s">
        <v>430</v>
      </c>
      <c r="B245" s="129" t="s">
        <v>83</v>
      </c>
      <c r="C245" s="129" t="s">
        <v>749</v>
      </c>
      <c r="D245" s="149" t="s">
        <v>928</v>
      </c>
      <c r="E245" s="150">
        <v>1</v>
      </c>
      <c r="F245" s="149" t="str">
        <f t="shared" si="11"/>
        <v>YES</v>
      </c>
      <c r="G245" s="151">
        <f>SUM('2024 Legal Max'!O245-'2024 Legal Max'!K245)</f>
        <v>11</v>
      </c>
      <c r="H245" s="149" t="str">
        <f t="shared" si="12"/>
        <v>NO</v>
      </c>
      <c r="I245" s="149" t="str">
        <f t="shared" si="10"/>
        <v>NO</v>
      </c>
    </row>
    <row r="246" spans="1:9">
      <c r="A246" s="134" t="s">
        <v>431</v>
      </c>
      <c r="B246" s="129" t="s">
        <v>102</v>
      </c>
      <c r="C246" s="129" t="s">
        <v>750</v>
      </c>
      <c r="D246" s="149" t="s">
        <v>928</v>
      </c>
      <c r="E246" s="150">
        <v>1</v>
      </c>
      <c r="F246" s="149" t="str">
        <f t="shared" si="11"/>
        <v>YES</v>
      </c>
      <c r="G246" s="151">
        <f>SUM('2024 Legal Max'!O246-'2024 Legal Max'!K246)</f>
        <v>-7.5</v>
      </c>
      <c r="H246" s="149" t="str">
        <f t="shared" si="12"/>
        <v>YES</v>
      </c>
      <c r="I246" s="149" t="str">
        <f t="shared" si="10"/>
        <v>NO</v>
      </c>
    </row>
    <row r="247" spans="1:9">
      <c r="A247" s="134" t="s">
        <v>432</v>
      </c>
      <c r="B247" s="129" t="s">
        <v>102</v>
      </c>
      <c r="C247" s="129" t="s">
        <v>751</v>
      </c>
      <c r="D247" s="149" t="s">
        <v>928</v>
      </c>
      <c r="E247" s="150">
        <v>1</v>
      </c>
      <c r="F247" s="149" t="str">
        <f t="shared" si="11"/>
        <v>YES</v>
      </c>
      <c r="G247" s="151">
        <f>SUM('2024 Legal Max'!O247-'2024 Legal Max'!K247)</f>
        <v>-18</v>
      </c>
      <c r="H247" s="149" t="str">
        <f t="shared" si="12"/>
        <v>YES</v>
      </c>
      <c r="I247" s="149" t="str">
        <f t="shared" si="10"/>
        <v>NO</v>
      </c>
    </row>
    <row r="248" spans="1:9">
      <c r="A248" s="134" t="s">
        <v>433</v>
      </c>
      <c r="B248" s="129" t="s">
        <v>11</v>
      </c>
      <c r="C248" s="129" t="s">
        <v>752</v>
      </c>
      <c r="D248" s="149" t="s">
        <v>928</v>
      </c>
      <c r="E248" s="150">
        <v>1</v>
      </c>
      <c r="F248" s="149" t="str">
        <f t="shared" si="11"/>
        <v>YES</v>
      </c>
      <c r="G248" s="151">
        <f>SUM('2024 Legal Max'!O248-'2024 Legal Max'!K248)</f>
        <v>43.8</v>
      </c>
      <c r="H248" s="149" t="str">
        <f t="shared" si="12"/>
        <v>NO</v>
      </c>
      <c r="I248" s="149" t="str">
        <f t="shared" si="10"/>
        <v>NO</v>
      </c>
    </row>
    <row r="249" spans="1:9">
      <c r="A249" s="134" t="s">
        <v>434</v>
      </c>
      <c r="B249" s="129" t="s">
        <v>102</v>
      </c>
      <c r="C249" s="129" t="s">
        <v>753</v>
      </c>
      <c r="D249" s="149" t="s">
        <v>928</v>
      </c>
      <c r="E249" s="150">
        <v>1</v>
      </c>
      <c r="F249" s="149" t="str">
        <f t="shared" si="11"/>
        <v>YES</v>
      </c>
      <c r="G249" s="151">
        <f>SUM('2024 Legal Max'!O249-'2024 Legal Max'!K249)</f>
        <v>-1.8</v>
      </c>
      <c r="H249" s="149" t="str">
        <f t="shared" si="12"/>
        <v>YES</v>
      </c>
      <c r="I249" s="149" t="str">
        <f t="shared" si="10"/>
        <v>NO</v>
      </c>
    </row>
    <row r="250" spans="1:9">
      <c r="A250" s="134" t="s">
        <v>435</v>
      </c>
      <c r="B250" s="129" t="s">
        <v>103</v>
      </c>
      <c r="C250" s="129" t="s">
        <v>754</v>
      </c>
      <c r="D250" s="149" t="s">
        <v>928</v>
      </c>
      <c r="E250" s="150">
        <v>0</v>
      </c>
      <c r="F250" s="149" t="str">
        <f t="shared" si="11"/>
        <v>NO</v>
      </c>
      <c r="G250" s="151">
        <f>SUM('2024 Legal Max'!O250-'2024 Legal Max'!K250)</f>
        <v>-16.5</v>
      </c>
      <c r="H250" s="149" t="str">
        <f t="shared" si="12"/>
        <v>YES</v>
      </c>
      <c r="I250" s="149" t="str">
        <f t="shared" si="10"/>
        <v>NO</v>
      </c>
    </row>
    <row r="251" spans="1:9">
      <c r="A251" s="134" t="s">
        <v>436</v>
      </c>
      <c r="B251" s="129" t="s">
        <v>34</v>
      </c>
      <c r="C251" s="129" t="s">
        <v>755</v>
      </c>
      <c r="D251" s="149" t="s">
        <v>928</v>
      </c>
      <c r="E251" s="150">
        <v>0</v>
      </c>
      <c r="F251" s="149" t="str">
        <f t="shared" si="11"/>
        <v>NO</v>
      </c>
      <c r="G251" s="151">
        <f>SUM('2024 Legal Max'!O251-'2024 Legal Max'!K251)</f>
        <v>-1.8</v>
      </c>
      <c r="H251" s="149" t="str">
        <f t="shared" si="12"/>
        <v>YES</v>
      </c>
      <c r="I251" s="149" t="str">
        <f t="shared" si="10"/>
        <v>NO</v>
      </c>
    </row>
    <row r="252" spans="1:9">
      <c r="A252" s="134" t="s">
        <v>437</v>
      </c>
      <c r="B252" s="129" t="s">
        <v>104</v>
      </c>
      <c r="C252" s="129" t="s">
        <v>756</v>
      </c>
      <c r="D252" s="149" t="s">
        <v>928</v>
      </c>
      <c r="E252" s="150">
        <v>0</v>
      </c>
      <c r="F252" s="149" t="str">
        <f t="shared" si="11"/>
        <v>NO</v>
      </c>
      <c r="G252" s="151">
        <f>SUM('2024 Legal Max'!O252-'2024 Legal Max'!K252)</f>
        <v>-3</v>
      </c>
      <c r="H252" s="149" t="str">
        <f t="shared" si="12"/>
        <v>YES</v>
      </c>
      <c r="I252" s="149" t="str">
        <f t="shared" si="10"/>
        <v>NO</v>
      </c>
    </row>
    <row r="253" spans="1:9">
      <c r="A253" s="134" t="s">
        <v>438</v>
      </c>
      <c r="B253" s="129" t="s">
        <v>11</v>
      </c>
      <c r="C253" s="129" t="s">
        <v>757</v>
      </c>
      <c r="D253" s="149" t="s">
        <v>931</v>
      </c>
      <c r="E253" s="150">
        <v>1</v>
      </c>
      <c r="F253" s="149" t="str">
        <f t="shared" si="11"/>
        <v>YES</v>
      </c>
      <c r="G253" s="151">
        <f>SUM('2024 Legal Max'!O253-'2024 Legal Max'!K253)</f>
        <v>68.599999999999994</v>
      </c>
      <c r="H253" s="149" t="str">
        <f t="shared" si="12"/>
        <v>NO</v>
      </c>
      <c r="I253" s="149" t="str">
        <f t="shared" si="10"/>
        <v>NO</v>
      </c>
    </row>
    <row r="254" spans="1:9">
      <c r="A254" s="134" t="s">
        <v>439</v>
      </c>
      <c r="B254" s="129" t="s">
        <v>102</v>
      </c>
      <c r="C254" s="129" t="s">
        <v>758</v>
      </c>
      <c r="D254" s="149" t="s">
        <v>928</v>
      </c>
      <c r="E254" s="150">
        <v>1</v>
      </c>
      <c r="F254" s="149" t="str">
        <f t="shared" si="11"/>
        <v>YES</v>
      </c>
      <c r="G254" s="151">
        <f>SUM('2024 Legal Max'!O254-'2024 Legal Max'!K254)</f>
        <v>45.3</v>
      </c>
      <c r="H254" s="149" t="str">
        <f t="shared" si="12"/>
        <v>NO</v>
      </c>
      <c r="I254" s="149" t="str">
        <f t="shared" si="10"/>
        <v>NO</v>
      </c>
    </row>
    <row r="255" spans="1:9">
      <c r="A255" s="134" t="s">
        <v>440</v>
      </c>
      <c r="B255" s="129" t="s">
        <v>102</v>
      </c>
      <c r="C255" s="129" t="s">
        <v>759</v>
      </c>
      <c r="D255" s="149" t="s">
        <v>928</v>
      </c>
      <c r="E255" s="150">
        <v>1</v>
      </c>
      <c r="F255" s="149" t="str">
        <f t="shared" si="11"/>
        <v>YES</v>
      </c>
      <c r="G255" s="151">
        <f>SUM('2024 Legal Max'!O255-'2024 Legal Max'!K255)</f>
        <v>0.7</v>
      </c>
      <c r="H255" s="149" t="str">
        <f t="shared" si="12"/>
        <v>NO</v>
      </c>
      <c r="I255" s="149" t="str">
        <f t="shared" si="10"/>
        <v>NO</v>
      </c>
    </row>
    <row r="256" spans="1:9">
      <c r="A256" s="134" t="s">
        <v>441</v>
      </c>
      <c r="B256" s="129" t="s">
        <v>87</v>
      </c>
      <c r="C256" s="129" t="s">
        <v>760</v>
      </c>
      <c r="D256" s="149" t="s">
        <v>931</v>
      </c>
      <c r="E256" s="150">
        <v>1</v>
      </c>
      <c r="F256" s="149" t="str">
        <f t="shared" si="11"/>
        <v>YES</v>
      </c>
      <c r="G256" s="151">
        <f>SUM('2024 Legal Max'!O256-'2024 Legal Max'!K256)</f>
        <v>44.5</v>
      </c>
      <c r="H256" s="149" t="str">
        <f t="shared" si="12"/>
        <v>NO</v>
      </c>
      <c r="I256" s="149" t="str">
        <f t="shared" si="10"/>
        <v>NO</v>
      </c>
    </row>
    <row r="257" spans="1:9">
      <c r="A257" s="134" t="s">
        <v>442</v>
      </c>
      <c r="B257" s="129" t="s">
        <v>97</v>
      </c>
      <c r="C257" s="129" t="s">
        <v>761</v>
      </c>
      <c r="D257" s="149" t="s">
        <v>928</v>
      </c>
      <c r="E257" s="150">
        <v>0</v>
      </c>
      <c r="F257" s="149" t="str">
        <f t="shared" si="11"/>
        <v>NO</v>
      </c>
      <c r="G257" s="151">
        <f>SUM('2024 Legal Max'!O257-'2024 Legal Max'!K257)</f>
        <v>3</v>
      </c>
      <c r="H257" s="149" t="str">
        <f t="shared" si="12"/>
        <v>NO</v>
      </c>
      <c r="I257" s="149" t="str">
        <f t="shared" si="10"/>
        <v>NO</v>
      </c>
    </row>
    <row r="258" spans="1:9">
      <c r="A258" s="134" t="s">
        <v>443</v>
      </c>
      <c r="B258" s="129" t="s">
        <v>105</v>
      </c>
      <c r="C258" s="129" t="s">
        <v>762</v>
      </c>
      <c r="D258" s="149" t="s">
        <v>931</v>
      </c>
      <c r="E258" s="150">
        <v>1</v>
      </c>
      <c r="F258" s="149" t="str">
        <f t="shared" si="11"/>
        <v>YES</v>
      </c>
      <c r="G258" s="151">
        <f>SUM('2024 Legal Max'!O258-'2024 Legal Max'!K258)</f>
        <v>170.6</v>
      </c>
      <c r="H258" s="149" t="str">
        <f t="shared" si="12"/>
        <v>NO</v>
      </c>
      <c r="I258" s="149" t="str">
        <f t="shared" si="10"/>
        <v>NO</v>
      </c>
    </row>
    <row r="259" spans="1:9">
      <c r="A259" s="134" t="s">
        <v>444</v>
      </c>
      <c r="B259" s="129" t="s">
        <v>5</v>
      </c>
      <c r="C259" s="129" t="s">
        <v>763</v>
      </c>
      <c r="D259" s="149" t="s">
        <v>928</v>
      </c>
      <c r="E259" s="150">
        <v>0</v>
      </c>
      <c r="F259" s="149" t="str">
        <f t="shared" si="11"/>
        <v>NO</v>
      </c>
      <c r="G259" s="151">
        <f>SUM('2024 Legal Max'!O259-'2024 Legal Max'!K259)</f>
        <v>0.8</v>
      </c>
      <c r="H259" s="149" t="str">
        <f t="shared" si="12"/>
        <v>NO</v>
      </c>
      <c r="I259" s="149" t="str">
        <f t="shared" si="10"/>
        <v>NO</v>
      </c>
    </row>
    <row r="260" spans="1:9">
      <c r="A260" s="134" t="s">
        <v>445</v>
      </c>
      <c r="B260" s="129" t="s">
        <v>5</v>
      </c>
      <c r="C260" s="129" t="s">
        <v>764</v>
      </c>
      <c r="D260" s="149" t="s">
        <v>928</v>
      </c>
      <c r="E260" s="150">
        <v>0</v>
      </c>
      <c r="F260" s="149" t="str">
        <f t="shared" si="11"/>
        <v>NO</v>
      </c>
      <c r="G260" s="151">
        <f>SUM('2024 Legal Max'!O260-'2024 Legal Max'!K260)</f>
        <v>2</v>
      </c>
      <c r="H260" s="149" t="str">
        <f t="shared" si="12"/>
        <v>NO</v>
      </c>
      <c r="I260" s="149" t="str">
        <f t="shared" si="10"/>
        <v>NO</v>
      </c>
    </row>
    <row r="261" spans="1:9">
      <c r="A261" s="134" t="s">
        <v>446</v>
      </c>
      <c r="B261" s="129" t="s">
        <v>71</v>
      </c>
      <c r="C261" s="129" t="s">
        <v>765</v>
      </c>
      <c r="D261" s="149" t="s">
        <v>928</v>
      </c>
      <c r="E261" s="150">
        <v>0</v>
      </c>
      <c r="F261" s="149" t="str">
        <f t="shared" si="11"/>
        <v>NO</v>
      </c>
      <c r="G261" s="151">
        <f>SUM('2024 Legal Max'!O261-'2024 Legal Max'!K261)</f>
        <v>-1.6</v>
      </c>
      <c r="H261" s="149" t="str">
        <f t="shared" si="12"/>
        <v>YES</v>
      </c>
      <c r="I261" s="149" t="str">
        <f t="shared" ref="I261:I290" si="13">IF(AND(D261="YES", F261="YES", H261="YES"), "YES", "NO")</f>
        <v>NO</v>
      </c>
    </row>
    <row r="262" spans="1:9">
      <c r="A262" s="134" t="s">
        <v>447</v>
      </c>
      <c r="B262" s="129" t="s">
        <v>106</v>
      </c>
      <c r="C262" s="129" t="s">
        <v>766</v>
      </c>
      <c r="D262" s="149" t="s">
        <v>928</v>
      </c>
      <c r="E262" s="150">
        <v>1</v>
      </c>
      <c r="F262" s="149" t="str">
        <f t="shared" si="11"/>
        <v>YES</v>
      </c>
      <c r="G262" s="151">
        <f>SUM('2024 Legal Max'!O262-'2024 Legal Max'!K262)</f>
        <v>13.7</v>
      </c>
      <c r="H262" s="149" t="str">
        <f t="shared" si="12"/>
        <v>NO</v>
      </c>
      <c r="I262" s="149" t="str">
        <f t="shared" si="13"/>
        <v>NO</v>
      </c>
    </row>
    <row r="263" spans="1:9">
      <c r="A263" s="134" t="s">
        <v>448</v>
      </c>
      <c r="B263" s="129" t="s">
        <v>87</v>
      </c>
      <c r="C263" s="129" t="s">
        <v>767</v>
      </c>
      <c r="D263" s="149" t="s">
        <v>928</v>
      </c>
      <c r="E263" s="150">
        <v>1</v>
      </c>
      <c r="F263" s="149" t="str">
        <f t="shared" ref="F263:F290" si="14">IF(E263&gt;0, "YES", "NO")</f>
        <v>YES</v>
      </c>
      <c r="G263" s="151">
        <f>SUM('2024 Legal Max'!O263-'2024 Legal Max'!K263)</f>
        <v>-6.7</v>
      </c>
      <c r="H263" s="149" t="str">
        <f t="shared" ref="H263:H289" si="15">IF(G263&lt;0, "YES", "NO")</f>
        <v>YES</v>
      </c>
      <c r="I263" s="149" t="str">
        <f t="shared" si="13"/>
        <v>NO</v>
      </c>
    </row>
    <row r="264" spans="1:9">
      <c r="A264" s="134" t="s">
        <v>449</v>
      </c>
      <c r="B264" s="129" t="s">
        <v>104</v>
      </c>
      <c r="C264" s="129" t="s">
        <v>768</v>
      </c>
      <c r="D264" s="149" t="s">
        <v>928</v>
      </c>
      <c r="E264" s="150">
        <v>0</v>
      </c>
      <c r="F264" s="149" t="str">
        <f t="shared" si="14"/>
        <v>NO</v>
      </c>
      <c r="G264" s="151">
        <f>SUM('2024 Legal Max'!O264-'2024 Legal Max'!K264)</f>
        <v>0.7</v>
      </c>
      <c r="H264" s="149" t="str">
        <f t="shared" si="15"/>
        <v>NO</v>
      </c>
      <c r="I264" s="149" t="str">
        <f t="shared" si="13"/>
        <v>NO</v>
      </c>
    </row>
    <row r="265" spans="1:9">
      <c r="A265" s="134" t="s">
        <v>450</v>
      </c>
      <c r="B265" s="129" t="s">
        <v>106</v>
      </c>
      <c r="C265" s="129" t="s">
        <v>769</v>
      </c>
      <c r="D265" s="149" t="s">
        <v>928</v>
      </c>
      <c r="E265" s="150">
        <v>0</v>
      </c>
      <c r="F265" s="149" t="str">
        <f t="shared" si="14"/>
        <v>NO</v>
      </c>
      <c r="G265" s="151">
        <f>SUM('2024 Legal Max'!O265-'2024 Legal Max'!K265)</f>
        <v>-19.5</v>
      </c>
      <c r="H265" s="149" t="str">
        <f t="shared" si="15"/>
        <v>YES</v>
      </c>
      <c r="I265" s="149" t="str">
        <f t="shared" si="13"/>
        <v>NO</v>
      </c>
    </row>
    <row r="266" spans="1:9">
      <c r="A266" s="134" t="s">
        <v>451</v>
      </c>
      <c r="B266" s="129" t="s">
        <v>83</v>
      </c>
      <c r="C266" s="129" t="s">
        <v>770</v>
      </c>
      <c r="D266" s="149" t="s">
        <v>928</v>
      </c>
      <c r="E266" s="150">
        <v>1</v>
      </c>
      <c r="F266" s="149" t="str">
        <f t="shared" si="14"/>
        <v>YES</v>
      </c>
      <c r="G266" s="151">
        <f>SUM('2024 Legal Max'!O266-'2024 Legal Max'!K266)</f>
        <v>0.5</v>
      </c>
      <c r="H266" s="149" t="str">
        <f t="shared" si="15"/>
        <v>NO</v>
      </c>
      <c r="I266" s="149" t="str">
        <f t="shared" si="13"/>
        <v>NO</v>
      </c>
    </row>
    <row r="267" spans="1:9">
      <c r="A267" s="134" t="s">
        <v>452</v>
      </c>
      <c r="B267" s="129" t="s">
        <v>87</v>
      </c>
      <c r="C267" s="129" t="s">
        <v>771</v>
      </c>
      <c r="D267" s="149" t="s">
        <v>928</v>
      </c>
      <c r="E267" s="150">
        <v>1</v>
      </c>
      <c r="F267" s="149" t="str">
        <f t="shared" si="14"/>
        <v>YES</v>
      </c>
      <c r="G267" s="151">
        <f>SUM('2024 Legal Max'!O267-'2024 Legal Max'!K267)</f>
        <v>13.5</v>
      </c>
      <c r="H267" s="149" t="str">
        <f t="shared" si="15"/>
        <v>NO</v>
      </c>
      <c r="I267" s="149" t="str">
        <f t="shared" si="13"/>
        <v>NO</v>
      </c>
    </row>
    <row r="268" spans="1:9">
      <c r="A268" s="134" t="s">
        <v>453</v>
      </c>
      <c r="B268" s="129" t="s">
        <v>84</v>
      </c>
      <c r="C268" s="129" t="s">
        <v>772</v>
      </c>
      <c r="D268" s="149" t="s">
        <v>928</v>
      </c>
      <c r="E268" s="150">
        <v>1</v>
      </c>
      <c r="F268" s="149" t="str">
        <f t="shared" si="14"/>
        <v>YES</v>
      </c>
      <c r="G268" s="151">
        <f>SUM('2024 Legal Max'!O268-'2024 Legal Max'!K268)</f>
        <v>45</v>
      </c>
      <c r="H268" s="149" t="str">
        <f t="shared" si="15"/>
        <v>NO</v>
      </c>
      <c r="I268" s="149" t="str">
        <f t="shared" si="13"/>
        <v>NO</v>
      </c>
    </row>
    <row r="269" spans="1:9">
      <c r="A269" s="134" t="s">
        <v>454</v>
      </c>
      <c r="B269" s="129" t="s">
        <v>10</v>
      </c>
      <c r="C269" s="129" t="s">
        <v>773</v>
      </c>
      <c r="D269" s="149" t="s">
        <v>928</v>
      </c>
      <c r="E269" s="150">
        <v>1</v>
      </c>
      <c r="F269" s="149" t="str">
        <f t="shared" si="14"/>
        <v>YES</v>
      </c>
      <c r="G269" s="151">
        <f>SUM('2024 Legal Max'!O269-'2024 Legal Max'!K269)</f>
        <v>17</v>
      </c>
      <c r="H269" s="149" t="str">
        <f t="shared" si="15"/>
        <v>NO</v>
      </c>
      <c r="I269" s="149" t="str">
        <f t="shared" si="13"/>
        <v>NO</v>
      </c>
    </row>
    <row r="270" spans="1:9">
      <c r="A270" s="134" t="s">
        <v>455</v>
      </c>
      <c r="B270" s="129" t="s">
        <v>63</v>
      </c>
      <c r="C270" s="129" t="s">
        <v>774</v>
      </c>
      <c r="D270" s="149" t="s">
        <v>928</v>
      </c>
      <c r="E270" s="150">
        <v>0</v>
      </c>
      <c r="F270" s="149" t="str">
        <f t="shared" si="14"/>
        <v>NO</v>
      </c>
      <c r="G270" s="151">
        <f>SUM('2024 Legal Max'!O270-'2024 Legal Max'!K270)</f>
        <v>-10</v>
      </c>
      <c r="H270" s="149" t="str">
        <f t="shared" si="15"/>
        <v>YES</v>
      </c>
      <c r="I270" s="149" t="str">
        <f t="shared" si="13"/>
        <v>NO</v>
      </c>
    </row>
    <row r="271" spans="1:9">
      <c r="A271" s="134" t="s">
        <v>456</v>
      </c>
      <c r="B271" s="129" t="s">
        <v>10</v>
      </c>
      <c r="C271" s="129" t="s">
        <v>775</v>
      </c>
      <c r="D271" s="149" t="s">
        <v>928</v>
      </c>
      <c r="E271" s="150">
        <v>0</v>
      </c>
      <c r="F271" s="149" t="str">
        <f t="shared" si="14"/>
        <v>NO</v>
      </c>
      <c r="G271" s="151">
        <f>SUM('2024 Legal Max'!O271-'2024 Legal Max'!K271)</f>
        <v>-10</v>
      </c>
      <c r="H271" s="149" t="str">
        <f t="shared" si="15"/>
        <v>YES</v>
      </c>
      <c r="I271" s="149" t="str">
        <f t="shared" si="13"/>
        <v>NO</v>
      </c>
    </row>
    <row r="272" spans="1:9">
      <c r="A272" s="134" t="s">
        <v>457</v>
      </c>
      <c r="B272" s="129" t="s">
        <v>29</v>
      </c>
      <c r="C272" s="129" t="s">
        <v>776</v>
      </c>
      <c r="D272" s="149" t="s">
        <v>928</v>
      </c>
      <c r="E272" s="150">
        <v>0</v>
      </c>
      <c r="F272" s="149" t="str">
        <f t="shared" si="14"/>
        <v>NO</v>
      </c>
      <c r="G272" s="151">
        <f>SUM('2024 Legal Max'!O272-'2024 Legal Max'!K272)</f>
        <v>14.3</v>
      </c>
      <c r="H272" s="149" t="str">
        <f t="shared" si="15"/>
        <v>NO</v>
      </c>
      <c r="I272" s="149" t="str">
        <f t="shared" si="13"/>
        <v>NO</v>
      </c>
    </row>
    <row r="273" spans="1:9">
      <c r="A273" s="134" t="s">
        <v>458</v>
      </c>
      <c r="B273" s="129" t="s">
        <v>85</v>
      </c>
      <c r="C273" s="129" t="s">
        <v>777</v>
      </c>
      <c r="D273" s="149" t="s">
        <v>928</v>
      </c>
      <c r="E273" s="150">
        <v>0</v>
      </c>
      <c r="F273" s="149" t="str">
        <f t="shared" si="14"/>
        <v>NO</v>
      </c>
      <c r="G273" s="151">
        <f>SUM('2024 Legal Max'!O273-'2024 Legal Max'!K273)</f>
        <v>-7.5</v>
      </c>
      <c r="H273" s="149" t="str">
        <f t="shared" si="15"/>
        <v>YES</v>
      </c>
      <c r="I273" s="149" t="str">
        <f t="shared" si="13"/>
        <v>NO</v>
      </c>
    </row>
    <row r="274" spans="1:9">
      <c r="A274" s="134" t="s">
        <v>459</v>
      </c>
      <c r="B274" s="129" t="s">
        <v>107</v>
      </c>
      <c r="C274" s="129" t="s">
        <v>778</v>
      </c>
      <c r="D274" s="149" t="s">
        <v>928</v>
      </c>
      <c r="E274" s="150">
        <v>1</v>
      </c>
      <c r="F274" s="149" t="str">
        <f t="shared" si="14"/>
        <v>YES</v>
      </c>
      <c r="G274" s="151">
        <f>SUM('2024 Legal Max'!O274-'2024 Legal Max'!K274)</f>
        <v>3.8</v>
      </c>
      <c r="H274" s="149" t="str">
        <f t="shared" si="15"/>
        <v>NO</v>
      </c>
      <c r="I274" s="149" t="str">
        <f t="shared" si="13"/>
        <v>NO</v>
      </c>
    </row>
    <row r="275" spans="1:9">
      <c r="A275" s="134" t="s">
        <v>460</v>
      </c>
      <c r="B275" s="129" t="s">
        <v>107</v>
      </c>
      <c r="C275" s="129" t="s">
        <v>779</v>
      </c>
      <c r="D275" s="149" t="s">
        <v>928</v>
      </c>
      <c r="E275" s="150">
        <v>0</v>
      </c>
      <c r="F275" s="149" t="str">
        <f t="shared" si="14"/>
        <v>NO</v>
      </c>
      <c r="G275" s="151">
        <f>SUM('2024 Legal Max'!O275-'2024 Legal Max'!K275)</f>
        <v>-10</v>
      </c>
      <c r="H275" s="149" t="str">
        <f t="shared" si="15"/>
        <v>YES</v>
      </c>
      <c r="I275" s="149" t="str">
        <f t="shared" si="13"/>
        <v>NO</v>
      </c>
    </row>
    <row r="276" spans="1:9">
      <c r="A276" s="134" t="s">
        <v>461</v>
      </c>
      <c r="B276" s="129" t="s">
        <v>63</v>
      </c>
      <c r="C276" s="129" t="s">
        <v>780</v>
      </c>
      <c r="D276" s="149" t="s">
        <v>928</v>
      </c>
      <c r="E276" s="150">
        <v>1</v>
      </c>
      <c r="F276" s="149" t="str">
        <f t="shared" si="14"/>
        <v>YES</v>
      </c>
      <c r="G276" s="151">
        <f>SUM('2024 Legal Max'!O276-'2024 Legal Max'!K276)</f>
        <v>-29.6</v>
      </c>
      <c r="H276" s="149" t="str">
        <f t="shared" si="15"/>
        <v>YES</v>
      </c>
      <c r="I276" s="149" t="str">
        <f t="shared" si="13"/>
        <v>NO</v>
      </c>
    </row>
    <row r="277" spans="1:9">
      <c r="A277" s="134" t="s">
        <v>462</v>
      </c>
      <c r="B277" s="129" t="s">
        <v>70</v>
      </c>
      <c r="C277" s="129" t="s">
        <v>781</v>
      </c>
      <c r="D277" s="149" t="s">
        <v>928</v>
      </c>
      <c r="E277" s="150">
        <v>1</v>
      </c>
      <c r="F277" s="149" t="str">
        <f t="shared" si="14"/>
        <v>YES</v>
      </c>
      <c r="G277" s="151">
        <f>SUM('2024 Legal Max'!O277-'2024 Legal Max'!K277)</f>
        <v>-12.4</v>
      </c>
      <c r="H277" s="149" t="str">
        <f t="shared" si="15"/>
        <v>YES</v>
      </c>
      <c r="I277" s="149" t="str">
        <f t="shared" si="13"/>
        <v>NO</v>
      </c>
    </row>
    <row r="278" spans="1:9">
      <c r="A278" s="134" t="s">
        <v>463</v>
      </c>
      <c r="B278" s="129" t="s">
        <v>29</v>
      </c>
      <c r="C278" s="129" t="s">
        <v>782</v>
      </c>
      <c r="D278" s="149" t="s">
        <v>928</v>
      </c>
      <c r="E278" s="150">
        <v>0</v>
      </c>
      <c r="F278" s="149" t="str">
        <f t="shared" si="14"/>
        <v>NO</v>
      </c>
      <c r="G278" s="151">
        <f>SUM('2024 Legal Max'!O278-'2024 Legal Max'!K278)</f>
        <v>-35.799999999999997</v>
      </c>
      <c r="H278" s="149" t="str">
        <f t="shared" si="15"/>
        <v>YES</v>
      </c>
      <c r="I278" s="149" t="str">
        <f t="shared" si="13"/>
        <v>NO</v>
      </c>
    </row>
    <row r="279" spans="1:9">
      <c r="A279" s="134" t="s">
        <v>464</v>
      </c>
      <c r="B279" s="129" t="s">
        <v>9</v>
      </c>
      <c r="C279" s="129" t="s">
        <v>783</v>
      </c>
      <c r="D279" s="149" t="s">
        <v>928</v>
      </c>
      <c r="E279" s="150">
        <v>0</v>
      </c>
      <c r="F279" s="149" t="str">
        <f t="shared" si="14"/>
        <v>NO</v>
      </c>
      <c r="G279" s="151">
        <f>SUM('2024 Legal Max'!O279-'2024 Legal Max'!K279)</f>
        <v>-115.1</v>
      </c>
      <c r="H279" s="149" t="str">
        <f t="shared" si="15"/>
        <v>YES</v>
      </c>
      <c r="I279" s="149" t="str">
        <f t="shared" si="13"/>
        <v>NO</v>
      </c>
    </row>
    <row r="280" spans="1:9">
      <c r="A280" s="134" t="s">
        <v>465</v>
      </c>
      <c r="B280" s="129" t="s">
        <v>61</v>
      </c>
      <c r="C280" s="129" t="s">
        <v>784</v>
      </c>
      <c r="D280" s="149" t="s">
        <v>928</v>
      </c>
      <c r="E280" s="150">
        <v>0</v>
      </c>
      <c r="F280" s="149" t="str">
        <f t="shared" si="14"/>
        <v>NO</v>
      </c>
      <c r="G280" s="151">
        <f>SUM('2024 Legal Max'!O280-'2024 Legal Max'!K280)</f>
        <v>76.599999999999994</v>
      </c>
      <c r="H280" s="149" t="str">
        <f t="shared" si="15"/>
        <v>NO</v>
      </c>
      <c r="I280" s="149" t="str">
        <f t="shared" si="13"/>
        <v>NO</v>
      </c>
    </row>
    <row r="281" spans="1:9">
      <c r="A281" s="134" t="s">
        <v>466</v>
      </c>
      <c r="B281" s="129" t="s">
        <v>62</v>
      </c>
      <c r="C281" s="129" t="s">
        <v>785</v>
      </c>
      <c r="D281" s="149" t="s">
        <v>928</v>
      </c>
      <c r="E281" s="150">
        <v>0</v>
      </c>
      <c r="F281" s="149" t="str">
        <f t="shared" si="14"/>
        <v>NO</v>
      </c>
      <c r="G281" s="151">
        <f>SUM('2024 Legal Max'!O281-'2024 Legal Max'!K281)</f>
        <v>-18</v>
      </c>
      <c r="H281" s="149" t="str">
        <f t="shared" si="15"/>
        <v>YES</v>
      </c>
      <c r="I281" s="149" t="str">
        <f t="shared" si="13"/>
        <v>NO</v>
      </c>
    </row>
    <row r="282" spans="1:9">
      <c r="A282" s="134" t="s">
        <v>467</v>
      </c>
      <c r="B282" s="129" t="s">
        <v>108</v>
      </c>
      <c r="C282" s="129" t="s">
        <v>786</v>
      </c>
      <c r="D282" s="149" t="s">
        <v>928</v>
      </c>
      <c r="E282" s="150">
        <v>0</v>
      </c>
      <c r="F282" s="149" t="str">
        <f t="shared" si="14"/>
        <v>NO</v>
      </c>
      <c r="G282" s="151">
        <f>SUM('2024 Legal Max'!O282-'2024 Legal Max'!K282)</f>
        <v>34.6</v>
      </c>
      <c r="H282" s="149" t="str">
        <f t="shared" si="15"/>
        <v>NO</v>
      </c>
      <c r="I282" s="149" t="str">
        <f t="shared" si="13"/>
        <v>NO</v>
      </c>
    </row>
    <row r="283" spans="1:9">
      <c r="A283" s="134" t="s">
        <v>468</v>
      </c>
      <c r="B283" s="129" t="s">
        <v>108</v>
      </c>
      <c r="C283" s="129" t="s">
        <v>787</v>
      </c>
      <c r="D283" s="149" t="s">
        <v>928</v>
      </c>
      <c r="E283" s="150">
        <v>0</v>
      </c>
      <c r="F283" s="149" t="str">
        <f t="shared" si="14"/>
        <v>NO</v>
      </c>
      <c r="G283" s="151">
        <f>SUM('2024 Legal Max'!O283-'2024 Legal Max'!K283)</f>
        <v>59.5</v>
      </c>
      <c r="H283" s="149" t="str">
        <f t="shared" si="15"/>
        <v>NO</v>
      </c>
      <c r="I283" s="149" t="str">
        <f t="shared" si="13"/>
        <v>NO</v>
      </c>
    </row>
    <row r="284" spans="1:9">
      <c r="A284" s="134" t="s">
        <v>469</v>
      </c>
      <c r="B284" s="129" t="s">
        <v>108</v>
      </c>
      <c r="C284" s="129" t="s">
        <v>788</v>
      </c>
      <c r="D284" s="149" t="s">
        <v>928</v>
      </c>
      <c r="E284" s="150">
        <v>0</v>
      </c>
      <c r="F284" s="149" t="str">
        <f t="shared" si="14"/>
        <v>NO</v>
      </c>
      <c r="G284" s="151">
        <f>SUM('2024 Legal Max'!O284-'2024 Legal Max'!K284)</f>
        <v>8</v>
      </c>
      <c r="H284" s="149" t="str">
        <f t="shared" si="15"/>
        <v>NO</v>
      </c>
      <c r="I284" s="149" t="str">
        <f t="shared" si="13"/>
        <v>NO</v>
      </c>
    </row>
    <row r="285" spans="1:9">
      <c r="A285" s="134" t="s">
        <v>470</v>
      </c>
      <c r="B285" s="129" t="s">
        <v>108</v>
      </c>
      <c r="C285" s="129" t="s">
        <v>789</v>
      </c>
      <c r="D285" s="149" t="s">
        <v>928</v>
      </c>
      <c r="E285" s="150">
        <v>1</v>
      </c>
      <c r="F285" s="149" t="str">
        <f t="shared" si="14"/>
        <v>YES</v>
      </c>
      <c r="G285" s="151">
        <f>SUM('2024 Legal Max'!O285-'2024 Legal Max'!K285)</f>
        <v>-37</v>
      </c>
      <c r="H285" s="149" t="str">
        <f t="shared" si="15"/>
        <v>YES</v>
      </c>
      <c r="I285" s="149" t="str">
        <f t="shared" si="13"/>
        <v>NO</v>
      </c>
    </row>
    <row r="286" spans="1:9">
      <c r="A286" s="134" t="s">
        <v>471</v>
      </c>
      <c r="B286" s="129" t="s">
        <v>75</v>
      </c>
      <c r="C286" s="129" t="s">
        <v>790</v>
      </c>
      <c r="D286" s="149" t="s">
        <v>928</v>
      </c>
      <c r="E286" s="150">
        <v>0</v>
      </c>
      <c r="F286" s="149" t="str">
        <f t="shared" si="14"/>
        <v>NO</v>
      </c>
      <c r="G286" s="151">
        <f>SUM('2024 Legal Max'!O286-'2024 Legal Max'!K286)</f>
        <v>-22</v>
      </c>
      <c r="H286" s="149" t="str">
        <f t="shared" si="15"/>
        <v>YES</v>
      </c>
      <c r="I286" s="149" t="str">
        <f t="shared" si="13"/>
        <v>NO</v>
      </c>
    </row>
    <row r="287" spans="1:9">
      <c r="A287" s="134" t="s">
        <v>472</v>
      </c>
      <c r="B287" s="129" t="s">
        <v>29</v>
      </c>
      <c r="C287" s="129" t="s">
        <v>791</v>
      </c>
      <c r="D287" s="149" t="s">
        <v>928</v>
      </c>
      <c r="E287" s="150">
        <v>0</v>
      </c>
      <c r="F287" s="149" t="str">
        <f t="shared" si="14"/>
        <v>NO</v>
      </c>
      <c r="G287" s="151">
        <f>SUM('2024 Legal Max'!O287-'2024 Legal Max'!K287)</f>
        <v>-12.5</v>
      </c>
      <c r="H287" s="149" t="str">
        <f t="shared" si="15"/>
        <v>YES</v>
      </c>
      <c r="I287" s="149" t="str">
        <f t="shared" si="13"/>
        <v>NO</v>
      </c>
    </row>
    <row r="288" spans="1:9">
      <c r="A288" s="134" t="s">
        <v>473</v>
      </c>
      <c r="B288" s="129" t="s">
        <v>66</v>
      </c>
      <c r="C288" s="129" t="s">
        <v>792</v>
      </c>
      <c r="D288" s="149" t="s">
        <v>928</v>
      </c>
      <c r="E288" s="150">
        <v>0</v>
      </c>
      <c r="F288" s="149" t="str">
        <f t="shared" si="14"/>
        <v>NO</v>
      </c>
      <c r="G288" s="151">
        <f>SUM('2024 Legal Max'!O288-'2024 Legal Max'!K288)</f>
        <v>9.1999999999999993</v>
      </c>
      <c r="H288" s="149" t="str">
        <f t="shared" si="15"/>
        <v>NO</v>
      </c>
      <c r="I288" s="149" t="str">
        <f t="shared" si="13"/>
        <v>NO</v>
      </c>
    </row>
    <row r="289" spans="1:9">
      <c r="A289" s="134" t="s">
        <v>474</v>
      </c>
      <c r="B289" s="129" t="s">
        <v>68</v>
      </c>
      <c r="C289" s="129" t="s">
        <v>793</v>
      </c>
      <c r="D289" s="149" t="s">
        <v>928</v>
      </c>
      <c r="E289" s="150">
        <v>0</v>
      </c>
      <c r="F289" s="149" t="str">
        <f t="shared" si="14"/>
        <v>NO</v>
      </c>
      <c r="G289" s="151">
        <f>SUM('2024 Legal Max'!O289-'2024 Legal Max'!K289)</f>
        <v>5.6</v>
      </c>
      <c r="H289" s="149" t="str">
        <f t="shared" si="15"/>
        <v>NO</v>
      </c>
      <c r="I289" s="149" t="str">
        <f t="shared" si="13"/>
        <v>NO</v>
      </c>
    </row>
    <row r="290" spans="1:9">
      <c r="A290" s="134" t="s">
        <v>475</v>
      </c>
      <c r="B290" s="129" t="s">
        <v>22</v>
      </c>
      <c r="C290" s="129" t="s">
        <v>794</v>
      </c>
      <c r="D290" s="149" t="s">
        <v>928</v>
      </c>
      <c r="E290" s="150">
        <v>1</v>
      </c>
      <c r="F290" s="149" t="str">
        <f t="shared" si="14"/>
        <v>YES</v>
      </c>
      <c r="G290" s="151">
        <f>SUM('2024 Legal Max'!O290-'2024 Legal Max'!K290)</f>
        <v>145</v>
      </c>
      <c r="H290" s="149" t="str">
        <f t="shared" ref="H290" si="16">IF(G290&lt;0, "YES", "NO")</f>
        <v>NO</v>
      </c>
      <c r="I290" s="149" t="str">
        <f t="shared" si="13"/>
        <v>NO</v>
      </c>
    </row>
  </sheetData>
  <autoFilter ref="A4:I290" xr:uid="{00000000-0001-0000-0400-000000000000}">
    <sortState xmlns:xlrd2="http://schemas.microsoft.com/office/spreadsheetml/2017/richdata2" ref="A7:I289">
      <sortCondition ref="A4:A290"/>
    </sortState>
  </autoFilter>
  <printOptions gridLines="1"/>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CA290"/>
  <sheetViews>
    <sheetView zoomScale="110" zoomScaleNormal="110" workbookViewId="0">
      <pane xSplit="3" ySplit="3" topLeftCell="V4" activePane="bottomRight" state="frozen"/>
      <selection pane="topRight" activeCell="D1" sqref="D1"/>
      <selection pane="bottomLeft" activeCell="A4" sqref="A4"/>
      <selection pane="bottomRight" activeCell="A5" sqref="A5"/>
    </sheetView>
  </sheetViews>
  <sheetFormatPr defaultColWidth="9.109375" defaultRowHeight="13.2"/>
  <cols>
    <col min="1" max="1" width="9.33203125" style="129" customWidth="1"/>
    <col min="2" max="3" width="9.6640625" style="129" hidden="1" customWidth="1"/>
    <col min="4" max="4" width="9.6640625" style="129" customWidth="1"/>
    <col min="5" max="5" width="9.6640625" style="129" hidden="1" customWidth="1"/>
    <col min="6" max="6" width="9.109375" style="129"/>
    <col min="7" max="7" width="0" style="129" hidden="1" customWidth="1"/>
    <col min="8" max="12" width="9.109375" style="129"/>
    <col min="13" max="13" width="8.109375" style="129" customWidth="1"/>
    <col min="14" max="15" width="9.109375" style="129" hidden="1" customWidth="1"/>
    <col min="16" max="16" width="8.5546875" style="129" hidden="1" customWidth="1"/>
    <col min="17" max="17" width="9.109375" style="129" customWidth="1"/>
    <col min="18" max="18" width="7.6640625" style="129" customWidth="1"/>
    <col min="19" max="19" width="6.6640625" style="129" customWidth="1"/>
    <col min="20" max="20" width="9.109375" style="129" hidden="1" customWidth="1"/>
    <col min="21" max="22" width="9.109375" style="129" customWidth="1"/>
    <col min="23" max="24" width="9.44140625" style="129" customWidth="1"/>
    <col min="25" max="26" width="8.88671875" style="129" hidden="1" customWidth="1"/>
    <col min="27" max="27" width="7.6640625" style="129" hidden="1" customWidth="1"/>
    <col min="28" max="28" width="7.44140625" style="129" hidden="1" customWidth="1"/>
    <col min="29" max="29" width="9.109375" style="129"/>
    <col min="30" max="30" width="9.88671875" style="129" customWidth="1"/>
    <col min="31" max="31" width="9.109375" style="129"/>
    <col min="32" max="32" width="9.88671875" style="129" customWidth="1"/>
    <col min="33" max="33" width="8.33203125" style="129" customWidth="1"/>
    <col min="34" max="34" width="9.5546875" style="129" hidden="1" customWidth="1"/>
    <col min="35" max="35" width="9.88671875" style="129" customWidth="1"/>
    <col min="36" max="36" width="8.5546875" style="129" customWidth="1"/>
    <col min="37" max="37" width="8.33203125" style="129" customWidth="1"/>
    <col min="38" max="38" width="10" style="129" hidden="1" customWidth="1"/>
    <col min="39" max="39" width="8.5546875" style="129" hidden="1" customWidth="1"/>
    <col min="40" max="40" width="9.5546875" style="129" hidden="1" customWidth="1"/>
    <col min="41" max="43" width="8.5546875" style="129" customWidth="1"/>
    <col min="44" max="44" width="11.44140625" style="129" customWidth="1"/>
    <col min="45" max="45" width="10.5546875" style="129" customWidth="1"/>
    <col min="46" max="46" width="10.109375" style="129" customWidth="1"/>
    <col min="47" max="47" width="12.44140625" style="129" customWidth="1"/>
    <col min="48" max="48" width="9.5546875" style="129" customWidth="1"/>
    <col min="49" max="50" width="10.44140625" style="129" customWidth="1"/>
    <col min="51" max="51" width="7.6640625" style="129" customWidth="1"/>
    <col min="52" max="52" width="10.109375" style="129" customWidth="1"/>
    <col min="53" max="53" width="10.44140625" style="129" customWidth="1"/>
    <col min="54" max="54" width="9.109375" style="129" hidden="1" customWidth="1"/>
    <col min="55" max="55" width="9.88671875" style="129" hidden="1" customWidth="1"/>
    <col min="56" max="56" width="9" style="129" hidden="1" customWidth="1"/>
    <col min="57" max="57" width="4.6640625" style="129" hidden="1" customWidth="1"/>
    <col min="58" max="58" width="10.33203125" style="129" customWidth="1"/>
    <col min="59" max="59" width="9.6640625" style="129" customWidth="1"/>
    <col min="60" max="60" width="8.6640625" style="129" hidden="1" customWidth="1"/>
    <col min="61" max="62" width="9.109375" style="129"/>
    <col min="63" max="63" width="8.33203125" style="129" customWidth="1"/>
    <col min="64" max="65" width="9.109375" style="129"/>
    <col min="66" max="66" width="10.5546875" style="129" customWidth="1"/>
    <col min="67" max="67" width="11.5546875" style="129" customWidth="1"/>
    <col min="68" max="68" width="9.109375" style="129" hidden="1" customWidth="1"/>
    <col min="69" max="69" width="10.5546875" style="129" customWidth="1"/>
    <col min="70" max="70" width="9.109375" style="129" hidden="1" customWidth="1"/>
    <col min="71" max="71" width="9.109375" style="129" customWidth="1"/>
    <col min="72" max="74" width="12.44140625" style="129" customWidth="1"/>
    <col min="75" max="75" width="11.33203125" style="129" customWidth="1"/>
    <col min="76" max="76" width="9.109375" style="129"/>
    <col min="77" max="77" width="8.5546875" style="129" hidden="1" customWidth="1"/>
    <col min="78" max="78" width="9.88671875" style="129" customWidth="1"/>
    <col min="79" max="79" width="9.109375" style="129"/>
    <col min="80" max="80" width="10.33203125" style="129" customWidth="1"/>
    <col min="81" max="81" width="10.5546875" style="129" customWidth="1"/>
    <col min="82" max="82" width="9.109375" style="129" customWidth="1"/>
    <col min="83" max="86" width="9.109375" style="129"/>
    <col min="87" max="87" width="10.6640625" style="129" customWidth="1"/>
    <col min="88" max="16384" width="9.109375" style="129"/>
  </cols>
  <sheetData>
    <row r="1" spans="1:79" ht="106.5" customHeight="1">
      <c r="A1" s="129" t="s">
        <v>0</v>
      </c>
      <c r="B1" s="152" t="s">
        <v>927</v>
      </c>
      <c r="C1" s="152" t="s">
        <v>926</v>
      </c>
      <c r="D1" s="152" t="s">
        <v>956</v>
      </c>
      <c r="E1" s="152" t="s">
        <v>1028</v>
      </c>
      <c r="F1" s="152" t="s">
        <v>4162</v>
      </c>
      <c r="G1" s="152"/>
      <c r="H1" s="152" t="s">
        <v>957</v>
      </c>
      <c r="I1" s="152" t="s">
        <v>958</v>
      </c>
      <c r="J1" s="152" t="s">
        <v>959</v>
      </c>
      <c r="K1" s="152" t="s">
        <v>1043</v>
      </c>
      <c r="L1" s="152" t="s">
        <v>960</v>
      </c>
      <c r="M1" s="152" t="s">
        <v>961</v>
      </c>
      <c r="Q1" s="152" t="s">
        <v>962</v>
      </c>
      <c r="R1" s="152" t="s">
        <v>929</v>
      </c>
      <c r="S1" s="152" t="s">
        <v>930</v>
      </c>
      <c r="U1" s="153" t="s">
        <v>945</v>
      </c>
      <c r="V1" s="154" t="s">
        <v>1026</v>
      </c>
      <c r="W1" s="153" t="s">
        <v>1027</v>
      </c>
      <c r="X1" s="153" t="s">
        <v>1014</v>
      </c>
      <c r="Z1" s="159"/>
      <c r="AC1" s="153" t="s">
        <v>946</v>
      </c>
      <c r="AD1" s="153" t="s">
        <v>947</v>
      </c>
      <c r="AE1" s="153" t="s">
        <v>948</v>
      </c>
      <c r="AF1" s="153" t="s">
        <v>949</v>
      </c>
      <c r="AG1" s="154" t="s">
        <v>950</v>
      </c>
      <c r="AI1" s="153" t="s">
        <v>951</v>
      </c>
      <c r="AJ1" s="155" t="s">
        <v>952</v>
      </c>
      <c r="AK1" s="153" t="s">
        <v>953</v>
      </c>
      <c r="AL1" s="153" t="s">
        <v>1042</v>
      </c>
      <c r="AO1" s="153" t="s">
        <v>954</v>
      </c>
      <c r="AP1" s="153" t="s">
        <v>955</v>
      </c>
      <c r="AQ1" s="153" t="s">
        <v>1025</v>
      </c>
      <c r="AR1" s="153" t="s">
        <v>4100</v>
      </c>
      <c r="AS1" s="156" t="s">
        <v>4096</v>
      </c>
      <c r="AT1" s="156" t="s">
        <v>1034</v>
      </c>
      <c r="AU1" s="153" t="s">
        <v>4097</v>
      </c>
      <c r="AV1" s="157" t="s">
        <v>188</v>
      </c>
      <c r="AW1" s="156" t="s">
        <v>907</v>
      </c>
      <c r="AX1" s="134" t="s">
        <v>877</v>
      </c>
      <c r="AY1" s="129" t="s">
        <v>503</v>
      </c>
      <c r="AZ1" s="129" t="s">
        <v>178</v>
      </c>
      <c r="BA1" s="129" t="s">
        <v>795</v>
      </c>
      <c r="BB1" s="158"/>
      <c r="BC1" s="158" t="s">
        <v>878</v>
      </c>
      <c r="BD1" s="159" t="s">
        <v>879</v>
      </c>
      <c r="BE1" s="159"/>
      <c r="BF1" s="160" t="s">
        <v>1015</v>
      </c>
      <c r="BG1" s="160" t="s">
        <v>1030</v>
      </c>
      <c r="BH1" s="160" t="s">
        <v>880</v>
      </c>
      <c r="BI1" s="160" t="s">
        <v>915</v>
      </c>
      <c r="BJ1" s="160" t="s">
        <v>916</v>
      </c>
      <c r="BK1" s="160" t="s">
        <v>917</v>
      </c>
      <c r="BL1" s="160" t="s">
        <v>918</v>
      </c>
      <c r="BM1" s="160" t="s">
        <v>919</v>
      </c>
      <c r="BN1" s="160" t="s">
        <v>920</v>
      </c>
      <c r="BO1" s="160" t="s">
        <v>921</v>
      </c>
      <c r="BP1" s="160"/>
      <c r="BQ1" s="160" t="s">
        <v>922</v>
      </c>
      <c r="BR1" s="160" t="s">
        <v>894</v>
      </c>
      <c r="BS1" s="161" t="s">
        <v>923</v>
      </c>
      <c r="BT1" s="144" t="s">
        <v>4099</v>
      </c>
      <c r="BU1" s="144" t="s">
        <v>4101</v>
      </c>
      <c r="BV1" s="144" t="s">
        <v>4108</v>
      </c>
      <c r="BW1" s="305" t="s">
        <v>4098</v>
      </c>
      <c r="BX1" s="160" t="s">
        <v>924</v>
      </c>
      <c r="BY1" s="158" t="s">
        <v>1035</v>
      </c>
      <c r="BZ1" s="296" t="s">
        <v>3681</v>
      </c>
    </row>
    <row r="2" spans="1:79">
      <c r="AY2" s="162">
        <v>0</v>
      </c>
      <c r="AZ2" s="163" t="str">
        <f>IF(AX2="", "A", "AM")</f>
        <v>A</v>
      </c>
      <c r="BA2" s="162" t="b">
        <f t="shared" ref="BA2:BA65" si="0">COUNTIF(A:A,A2)&gt;1</f>
        <v>0</v>
      </c>
      <c r="BF2" s="164">
        <f>SUM(U2+B2)</f>
        <v>0</v>
      </c>
      <c r="BG2" s="164">
        <f>SUM(W2+F2)</f>
        <v>0</v>
      </c>
      <c r="BH2" s="164">
        <f>SUM(Z2+E2)</f>
        <v>0</v>
      </c>
      <c r="BI2" s="129">
        <f t="shared" ref="BI2:BM4" si="1">SUM(AC2+H2)</f>
        <v>0</v>
      </c>
      <c r="BJ2" s="164">
        <f t="shared" si="1"/>
        <v>0</v>
      </c>
      <c r="BK2" s="164">
        <f t="shared" si="1"/>
        <v>0</v>
      </c>
      <c r="BL2" s="164">
        <f t="shared" si="1"/>
        <v>0</v>
      </c>
      <c r="BM2" s="164">
        <f t="shared" si="1"/>
        <v>0</v>
      </c>
      <c r="BN2" s="164">
        <f>SUM(AI2+O2)</f>
        <v>0</v>
      </c>
      <c r="BO2" s="164">
        <f>SUM(AJ2+R2)</f>
        <v>0</v>
      </c>
      <c r="BP2" s="164">
        <f>SUM(AK2+S2)</f>
        <v>0</v>
      </c>
      <c r="BQ2" s="164"/>
      <c r="BR2" s="164">
        <f>SUM(AM2+S2)</f>
        <v>0</v>
      </c>
      <c r="BT2" s="165">
        <v>709</v>
      </c>
      <c r="BU2" s="165"/>
      <c r="BV2" s="165"/>
      <c r="BX2" s="164">
        <f>SUM(U2-AQ2-AR2-AV2)</f>
        <v>0</v>
      </c>
      <c r="BY2" s="166"/>
      <c r="BZ2" s="136"/>
      <c r="CA2" s="136"/>
    </row>
    <row r="3" spans="1:79">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40"/>
      <c r="AR3" s="164"/>
      <c r="AS3" s="140"/>
      <c r="AT3" s="140"/>
      <c r="AU3" s="140"/>
      <c r="AV3" s="164"/>
      <c r="AW3" s="167"/>
      <c r="AY3" s="162">
        <v>0</v>
      </c>
      <c r="AZ3" s="163" t="s">
        <v>882</v>
      </c>
      <c r="BA3" s="162" t="b">
        <f t="shared" si="0"/>
        <v>0</v>
      </c>
      <c r="BF3" s="164">
        <f>SUM(U3+C3-AO3-AP3-AR3)</f>
        <v>0</v>
      </c>
      <c r="BG3" s="164">
        <f>SUM(W3+F3)</f>
        <v>0</v>
      </c>
      <c r="BH3" s="164"/>
      <c r="BI3" s="164">
        <f t="shared" si="1"/>
        <v>0</v>
      </c>
      <c r="BJ3" s="164">
        <f t="shared" si="1"/>
        <v>0</v>
      </c>
      <c r="BK3" s="164">
        <f t="shared" si="1"/>
        <v>0</v>
      </c>
      <c r="BL3" s="164">
        <f t="shared" si="1"/>
        <v>0</v>
      </c>
      <c r="BM3" s="164">
        <f t="shared" si="1"/>
        <v>0</v>
      </c>
      <c r="BN3" s="164">
        <f>SUM(AI3+M3)</f>
        <v>0</v>
      </c>
      <c r="BO3" s="164">
        <f>SUM(AJ3+Q3)</f>
        <v>0</v>
      </c>
      <c r="BP3" s="164">
        <f>SUM(AK3+R3)</f>
        <v>0</v>
      </c>
      <c r="BQ3" s="164"/>
      <c r="BR3" s="164"/>
      <c r="BS3" s="129">
        <f>SUMIF('Audit HD AR - School Level'!$B$6:B6, "=" &amp; A3,'Audit HD AR - School Level'!$Q$6:Q6)</f>
        <v>0</v>
      </c>
      <c r="BT3" s="168">
        <f>SUM(AS3-AQ3)*$BT$2</f>
        <v>0</v>
      </c>
      <c r="BU3" s="168"/>
      <c r="BV3" s="168"/>
      <c r="BW3" s="129">
        <f>IF(BT3&lt;0,BT3,0)</f>
        <v>0</v>
      </c>
      <c r="BX3" s="164">
        <f>SUM(U3-AO3-AP3-AR3)</f>
        <v>0</v>
      </c>
      <c r="BY3" s="169"/>
      <c r="BZ3" s="136"/>
      <c r="CA3" s="136"/>
    </row>
    <row r="4" spans="1:79">
      <c r="AK4" s="164"/>
      <c r="AL4" s="164"/>
      <c r="AO4" s="164"/>
      <c r="AQ4" s="140"/>
      <c r="AR4" s="164"/>
      <c r="AS4" s="140"/>
      <c r="AT4" s="164"/>
      <c r="AV4" s="164"/>
      <c r="AW4" s="139"/>
      <c r="AX4" s="167"/>
      <c r="AY4" s="162">
        <f>IF(AX4=AX3,AY3,AY3+1)</f>
        <v>0</v>
      </c>
      <c r="AZ4" s="163" t="s">
        <v>882</v>
      </c>
      <c r="BA4" s="162" t="b">
        <f t="shared" si="0"/>
        <v>0</v>
      </c>
      <c r="BF4" s="164">
        <f>SUM(U4+C4-AO4-AP4-AR4)</f>
        <v>0</v>
      </c>
      <c r="BG4" s="164">
        <f>SUM(E4+F4+V4+W4)</f>
        <v>0</v>
      </c>
      <c r="BH4" s="164"/>
      <c r="BI4" s="164">
        <f>SUM(AC4+H4)</f>
        <v>0</v>
      </c>
      <c r="BJ4" s="164">
        <f t="shared" si="1"/>
        <v>0</v>
      </c>
      <c r="BK4" s="164">
        <f t="shared" si="1"/>
        <v>0</v>
      </c>
      <c r="BL4" s="164">
        <f t="shared" si="1"/>
        <v>0</v>
      </c>
      <c r="BM4" s="164">
        <f t="shared" si="1"/>
        <v>0</v>
      </c>
      <c r="BN4" s="164">
        <f>SUM(AI4+M4)</f>
        <v>0</v>
      </c>
      <c r="BO4" s="164">
        <f>SUM(AJ4+R4)</f>
        <v>0</v>
      </c>
      <c r="BP4" s="164">
        <f>SUM(AK4+R4)</f>
        <v>0</v>
      </c>
      <c r="BQ4" s="164">
        <f>SUM(S4+AK4)</f>
        <v>0</v>
      </c>
      <c r="BR4" s="164">
        <f>SUM(T4+AL4)</f>
        <v>0</v>
      </c>
      <c r="BS4" s="129">
        <f>SUMIF('Audit HD AR - School Level'!$A$6:A30, "=" &amp; A4,'Audit HD AR - School Level'!$Q$6:Q30)</f>
        <v>0</v>
      </c>
      <c r="BT4" s="168">
        <f>SUM(AS4-AQ4)*$BT$2</f>
        <v>0</v>
      </c>
      <c r="BU4" s="168">
        <f>SUM(AU4-AR4)*$BT$2</f>
        <v>0</v>
      </c>
      <c r="BV4" s="168"/>
      <c r="BW4" s="168">
        <f>IF(BT4+BU4+BV4&gt;0,0,BT4+BU4+BV4)</f>
        <v>0</v>
      </c>
      <c r="BX4" s="164">
        <f>SUM(U4-AO4-AP4-AT4)</f>
        <v>0</v>
      </c>
      <c r="BY4" s="164">
        <f>BG4</f>
        <v>0</v>
      </c>
    </row>
    <row r="5" spans="1:79">
      <c r="A5" s="129" t="s">
        <v>190</v>
      </c>
      <c r="U5" s="129">
        <v>424</v>
      </c>
      <c r="V5" s="129">
        <v>9.5</v>
      </c>
      <c r="X5" s="129">
        <v>428.5</v>
      </c>
      <c r="AC5" s="129">
        <v>132.69999999999999</v>
      </c>
      <c r="AD5" s="129">
        <v>4</v>
      </c>
      <c r="AE5" s="129">
        <v>0.7</v>
      </c>
      <c r="AF5" s="129">
        <v>439</v>
      </c>
      <c r="AG5" s="129">
        <v>234</v>
      </c>
      <c r="AI5" s="129">
        <v>181.5</v>
      </c>
      <c r="AJ5" s="129">
        <v>35</v>
      </c>
      <c r="AK5" s="129">
        <v>67.5</v>
      </c>
      <c r="AL5" s="129">
        <v>0</v>
      </c>
      <c r="AO5" s="129">
        <v>6</v>
      </c>
      <c r="AP5" s="129">
        <v>0</v>
      </c>
      <c r="AQ5" s="129">
        <v>0</v>
      </c>
      <c r="AR5" s="129">
        <v>5</v>
      </c>
      <c r="AS5" s="129">
        <v>0</v>
      </c>
      <c r="AT5" s="129">
        <v>0</v>
      </c>
      <c r="AU5" s="129">
        <v>0</v>
      </c>
      <c r="AV5" s="129">
        <v>0</v>
      </c>
      <c r="AW5" s="129">
        <v>314785</v>
      </c>
      <c r="AX5" s="167">
        <v>45315</v>
      </c>
      <c r="AY5" s="162">
        <f t="shared" ref="AY5:AY7" si="2">IF(AX5=AX4,AY4,AY4+1)</f>
        <v>1</v>
      </c>
      <c r="AZ5" s="163" t="s">
        <v>882</v>
      </c>
      <c r="BA5" s="162" t="b">
        <f t="shared" si="0"/>
        <v>0</v>
      </c>
      <c r="BF5" s="164">
        <f t="shared" ref="BF5:BF7" si="3">SUM(U5+C5-AO5-AP5-AR5)</f>
        <v>413</v>
      </c>
      <c r="BG5" s="164">
        <f t="shared" ref="BG5:BG7" si="4">SUM(E5+F5+V5+W5)</f>
        <v>9.5</v>
      </c>
      <c r="BH5" s="164"/>
      <c r="BI5" s="164">
        <f t="shared" ref="BI5:BI7" si="5">SUM(AC5+H5)</f>
        <v>132.69999999999999</v>
      </c>
      <c r="BJ5" s="164">
        <f t="shared" ref="BJ5:BJ7" si="6">SUM(AD5+I5)</f>
        <v>4</v>
      </c>
      <c r="BK5" s="164">
        <f t="shared" ref="BK5:BK7" si="7">SUM(AE5+J5)</f>
        <v>0.7</v>
      </c>
      <c r="BL5" s="164">
        <f t="shared" ref="BL5:BL7" si="8">SUM(AF5+K5)</f>
        <v>439</v>
      </c>
      <c r="BM5" s="164">
        <f t="shared" ref="BM5:BM7" si="9">SUM(AG5+L5)</f>
        <v>234</v>
      </c>
      <c r="BN5" s="164">
        <f t="shared" ref="BN5:BN7" si="10">SUM(AI5+M5)</f>
        <v>181.5</v>
      </c>
      <c r="BO5" s="164">
        <f t="shared" ref="BO5:BO7" si="11">SUM(AJ5+R5)</f>
        <v>35</v>
      </c>
      <c r="BP5" s="164">
        <f t="shared" ref="BP5:BP7" si="12">SUM(AK5+R5)</f>
        <v>67.5</v>
      </c>
      <c r="BQ5" s="164">
        <f t="shared" ref="BQ5:BQ7" si="13">SUM(S5+AK5)</f>
        <v>67.5</v>
      </c>
      <c r="BR5" s="164">
        <f t="shared" ref="BR5:BR7" si="14">SUM(T5+AL5)</f>
        <v>0</v>
      </c>
      <c r="BS5" s="129">
        <f>SUMIF('Audit HD AR - School Level'!$A$6:A30, "=" &amp; A5,'Audit HD AR - School Level'!$Q$6:Q30)</f>
        <v>22</v>
      </c>
      <c r="BT5" s="168">
        <f t="shared" ref="BT5:BT7" si="15">SUM(AS5-AQ5)*$BT$2</f>
        <v>0</v>
      </c>
      <c r="BU5" s="168">
        <f>SUM(AU5-AR5)*$BT$2</f>
        <v>-3545</v>
      </c>
      <c r="BV5" s="168"/>
      <c r="BW5" s="168">
        <f t="shared" ref="BW5:BW52" si="16">IF(BT5+BU5+BV5&gt;0,0,BT5+BU5+BV5)</f>
        <v>-3545</v>
      </c>
      <c r="BX5" s="164">
        <f t="shared" ref="BX5:BX63" si="17">SUM(U5-AO5-AP5-AT5)</f>
        <v>418</v>
      </c>
      <c r="BY5" s="164">
        <f t="shared" ref="BY5:BY57" si="18">BG5</f>
        <v>9.5</v>
      </c>
    </row>
    <row r="6" spans="1:79">
      <c r="A6" s="129" t="s">
        <v>265</v>
      </c>
      <c r="U6" s="129">
        <v>746.5</v>
      </c>
      <c r="V6" s="129">
        <v>14.5</v>
      </c>
      <c r="X6" s="129">
        <v>800</v>
      </c>
      <c r="AC6" s="129">
        <v>295.7</v>
      </c>
      <c r="AD6" s="129">
        <v>0</v>
      </c>
      <c r="AE6" s="129">
        <v>0</v>
      </c>
      <c r="AF6" s="129">
        <v>778</v>
      </c>
      <c r="AG6" s="129">
        <v>203</v>
      </c>
      <c r="AI6" s="129">
        <v>189</v>
      </c>
      <c r="AJ6" s="129">
        <v>133</v>
      </c>
      <c r="AK6" s="129">
        <v>84</v>
      </c>
      <c r="AL6" s="129">
        <v>0</v>
      </c>
      <c r="AO6" s="129">
        <v>0</v>
      </c>
      <c r="AP6" s="129">
        <v>0</v>
      </c>
      <c r="AQ6" s="129">
        <v>0</v>
      </c>
      <c r="AR6" s="129">
        <v>0</v>
      </c>
      <c r="AS6" s="129">
        <v>0</v>
      </c>
      <c r="AT6" s="129">
        <v>0</v>
      </c>
      <c r="AU6" s="129">
        <v>0</v>
      </c>
      <c r="AV6" s="129">
        <v>0</v>
      </c>
      <c r="AW6" s="129">
        <v>227698</v>
      </c>
      <c r="AX6" s="167">
        <v>45315</v>
      </c>
      <c r="AY6" s="162">
        <f t="shared" si="2"/>
        <v>1</v>
      </c>
      <c r="AZ6" s="163" t="s">
        <v>882</v>
      </c>
      <c r="BA6" s="162" t="b">
        <f t="shared" si="0"/>
        <v>0</v>
      </c>
      <c r="BF6" s="164">
        <f t="shared" si="3"/>
        <v>746.5</v>
      </c>
      <c r="BG6" s="164">
        <f t="shared" si="4"/>
        <v>14.5</v>
      </c>
      <c r="BH6" s="164"/>
      <c r="BI6" s="164">
        <f t="shared" si="5"/>
        <v>295.7</v>
      </c>
      <c r="BJ6" s="164">
        <f t="shared" si="6"/>
        <v>0</v>
      </c>
      <c r="BK6" s="164">
        <f t="shared" si="7"/>
        <v>0</v>
      </c>
      <c r="BL6" s="164">
        <f t="shared" si="8"/>
        <v>778</v>
      </c>
      <c r="BM6" s="164">
        <f t="shared" si="9"/>
        <v>203</v>
      </c>
      <c r="BN6" s="164">
        <f t="shared" si="10"/>
        <v>189</v>
      </c>
      <c r="BO6" s="164">
        <f t="shared" si="11"/>
        <v>133</v>
      </c>
      <c r="BP6" s="164">
        <f t="shared" si="12"/>
        <v>84</v>
      </c>
      <c r="BQ6" s="164">
        <f t="shared" si="13"/>
        <v>84</v>
      </c>
      <c r="BR6" s="164">
        <f t="shared" si="14"/>
        <v>0</v>
      </c>
      <c r="BS6" s="129">
        <f>SUMIF('Audit HD AR - School Level'!$A$6:A30, "=" &amp; A6,'Audit HD AR - School Level'!$Q$6:Q30)</f>
        <v>0</v>
      </c>
      <c r="BT6" s="168">
        <f t="shared" si="15"/>
        <v>0</v>
      </c>
      <c r="BU6" s="168">
        <f t="shared" ref="BU6:BU7" si="19">SUM(AU6-AR6)*$BT$2</f>
        <v>0</v>
      </c>
      <c r="BV6" s="168"/>
      <c r="BW6" s="168">
        <f t="shared" si="16"/>
        <v>0</v>
      </c>
      <c r="BX6" s="164">
        <f t="shared" si="17"/>
        <v>746.5</v>
      </c>
      <c r="BY6" s="164">
        <f t="shared" si="18"/>
        <v>14.5</v>
      </c>
    </row>
    <row r="7" spans="1:79">
      <c r="A7" s="129" t="s">
        <v>445</v>
      </c>
      <c r="U7" s="129">
        <v>207</v>
      </c>
      <c r="V7" s="129">
        <v>4</v>
      </c>
      <c r="X7" s="129">
        <v>230</v>
      </c>
      <c r="AC7" s="129">
        <v>49.8</v>
      </c>
      <c r="AD7" s="129">
        <v>17</v>
      </c>
      <c r="AE7" s="129">
        <v>38.1</v>
      </c>
      <c r="AF7" s="129">
        <v>215</v>
      </c>
      <c r="AG7" s="129">
        <v>63</v>
      </c>
      <c r="AI7" s="129">
        <v>52</v>
      </c>
      <c r="AJ7" s="129">
        <v>2</v>
      </c>
      <c r="AK7" s="129">
        <v>65</v>
      </c>
      <c r="AL7" s="129">
        <v>0</v>
      </c>
      <c r="AO7" s="129">
        <v>0</v>
      </c>
      <c r="AP7" s="129">
        <v>0</v>
      </c>
      <c r="AQ7" s="129">
        <v>0</v>
      </c>
      <c r="AR7" s="129">
        <v>0</v>
      </c>
      <c r="AS7" s="129">
        <v>0</v>
      </c>
      <c r="AT7" s="129">
        <v>0</v>
      </c>
      <c r="AU7" s="129">
        <v>0</v>
      </c>
      <c r="AV7" s="129">
        <v>0</v>
      </c>
      <c r="AW7" s="129">
        <v>300127</v>
      </c>
      <c r="AX7" s="167">
        <v>45315</v>
      </c>
      <c r="AY7" s="162">
        <f t="shared" si="2"/>
        <v>1</v>
      </c>
      <c r="AZ7" s="163" t="s">
        <v>882</v>
      </c>
      <c r="BA7" s="162" t="b">
        <f t="shared" si="0"/>
        <v>0</v>
      </c>
      <c r="BF7" s="164">
        <f t="shared" si="3"/>
        <v>207</v>
      </c>
      <c r="BG7" s="164">
        <f t="shared" si="4"/>
        <v>4</v>
      </c>
      <c r="BH7" s="164"/>
      <c r="BI7" s="164">
        <f t="shared" si="5"/>
        <v>49.8</v>
      </c>
      <c r="BJ7" s="164">
        <f t="shared" si="6"/>
        <v>17</v>
      </c>
      <c r="BK7" s="164">
        <f t="shared" si="7"/>
        <v>38.1</v>
      </c>
      <c r="BL7" s="164">
        <f t="shared" si="8"/>
        <v>215</v>
      </c>
      <c r="BM7" s="164">
        <f t="shared" si="9"/>
        <v>63</v>
      </c>
      <c r="BN7" s="164">
        <f t="shared" si="10"/>
        <v>52</v>
      </c>
      <c r="BO7" s="164">
        <f t="shared" si="11"/>
        <v>2</v>
      </c>
      <c r="BP7" s="164">
        <f t="shared" si="12"/>
        <v>65</v>
      </c>
      <c r="BQ7" s="164">
        <f t="shared" si="13"/>
        <v>65</v>
      </c>
      <c r="BR7" s="164">
        <f t="shared" si="14"/>
        <v>0</v>
      </c>
      <c r="BS7" s="129">
        <f>SUMIF('Audit HD AR - School Level'!$A$6:A30, "=" &amp; A7,'Audit HD AR - School Level'!$Q$6:Q30)</f>
        <v>0</v>
      </c>
      <c r="BT7" s="168">
        <f t="shared" si="15"/>
        <v>0</v>
      </c>
      <c r="BU7" s="168">
        <f t="shared" si="19"/>
        <v>0</v>
      </c>
      <c r="BV7" s="168"/>
      <c r="BW7" s="168">
        <f t="shared" si="16"/>
        <v>0</v>
      </c>
      <c r="BX7" s="164">
        <f t="shared" si="17"/>
        <v>207</v>
      </c>
      <c r="BY7" s="164">
        <f t="shared" si="18"/>
        <v>4</v>
      </c>
    </row>
    <row r="8" spans="1:79">
      <c r="A8" s="129" t="s">
        <v>252</v>
      </c>
      <c r="U8" s="129">
        <v>199</v>
      </c>
      <c r="V8" s="129">
        <v>4.5</v>
      </c>
      <c r="X8" s="129">
        <v>212.8</v>
      </c>
      <c r="AC8" s="129">
        <v>98.2</v>
      </c>
      <c r="AD8" s="129">
        <v>0</v>
      </c>
      <c r="AE8" s="129">
        <v>0</v>
      </c>
      <c r="AF8" s="129">
        <v>212</v>
      </c>
      <c r="AG8" s="129">
        <v>113</v>
      </c>
      <c r="AI8" s="129">
        <v>50</v>
      </c>
      <c r="AJ8" s="129">
        <v>12.5</v>
      </c>
      <c r="AK8" s="129">
        <v>5</v>
      </c>
      <c r="AL8" s="129">
        <v>0</v>
      </c>
      <c r="AO8" s="129">
        <v>0</v>
      </c>
      <c r="AP8" s="129">
        <v>0</v>
      </c>
      <c r="AQ8" s="129">
        <v>0</v>
      </c>
      <c r="AR8" s="129">
        <v>0</v>
      </c>
      <c r="AS8" s="129">
        <v>0</v>
      </c>
      <c r="AT8" s="129">
        <v>0</v>
      </c>
      <c r="AU8" s="129">
        <v>0</v>
      </c>
      <c r="AV8" s="129">
        <v>0</v>
      </c>
      <c r="AW8" s="129">
        <v>123500</v>
      </c>
      <c r="AX8" s="167">
        <v>45321</v>
      </c>
      <c r="AY8" s="162">
        <f t="shared" ref="AY8:AY71" si="20">IF(AX8=AX7,AY7,AY7+1)</f>
        <v>2</v>
      </c>
      <c r="AZ8" s="163" t="s">
        <v>882</v>
      </c>
      <c r="BA8" s="162" t="b">
        <f t="shared" si="0"/>
        <v>0</v>
      </c>
      <c r="BF8" s="164">
        <f t="shared" ref="BF8:BF14" si="21">SUM(U8+C8-AO8-AP8-AR8)</f>
        <v>199</v>
      </c>
      <c r="BG8" s="164">
        <f t="shared" ref="BG8:BG14" si="22">SUM(E8+F8+V8+W8)</f>
        <v>4.5</v>
      </c>
      <c r="BH8" s="164"/>
      <c r="BI8" s="164">
        <f t="shared" ref="BI8:BI14" si="23">SUM(AC8+H8)</f>
        <v>98.2</v>
      </c>
      <c r="BJ8" s="164">
        <f t="shared" ref="BJ8:BJ14" si="24">SUM(AD8+I8)</f>
        <v>0</v>
      </c>
      <c r="BK8" s="164">
        <f t="shared" ref="BK8:BK14" si="25">SUM(AE8+J8)</f>
        <v>0</v>
      </c>
      <c r="BL8" s="164">
        <f t="shared" ref="BL8:BL14" si="26">SUM(AF8+K8)</f>
        <v>212</v>
      </c>
      <c r="BM8" s="164">
        <f t="shared" ref="BM8:BM14" si="27">SUM(AG8+L8)</f>
        <v>113</v>
      </c>
      <c r="BN8" s="164">
        <f t="shared" ref="BN8:BN14" si="28">SUM(AI8+M8)</f>
        <v>50</v>
      </c>
      <c r="BO8" s="164">
        <f t="shared" ref="BO8:BO14" si="29">SUM(AJ8+R8)</f>
        <v>12.5</v>
      </c>
      <c r="BP8" s="164">
        <f t="shared" ref="BP8:BP14" si="30">SUM(AK8+R8)</f>
        <v>5</v>
      </c>
      <c r="BQ8" s="164">
        <f t="shared" ref="BQ8:BQ14" si="31">SUM(S8+AK8)</f>
        <v>5</v>
      </c>
      <c r="BR8" s="164">
        <f t="shared" ref="BR8:BR14" si="32">SUM(T8+AL8)</f>
        <v>0</v>
      </c>
      <c r="BS8" s="129">
        <f>SUMIF('Audit HD AR - School Level'!$A$6:A30, "=" &amp; A8,'Audit HD AR - School Level'!$Q$6:Q30)</f>
        <v>11.7</v>
      </c>
      <c r="BT8" s="168">
        <f t="shared" ref="BT8:BT14" si="33">SUM(AS8-AQ8)*$BT$2</f>
        <v>0</v>
      </c>
      <c r="BU8" s="168">
        <f t="shared" ref="BU8:BU14" si="34">SUM(AU8-AR8)*$BT$2</f>
        <v>0</v>
      </c>
      <c r="BV8" s="168"/>
      <c r="BW8" s="168">
        <f t="shared" si="16"/>
        <v>0</v>
      </c>
      <c r="BX8" s="164">
        <f t="shared" si="17"/>
        <v>199</v>
      </c>
      <c r="BY8" s="164">
        <f t="shared" si="18"/>
        <v>4.5</v>
      </c>
    </row>
    <row r="9" spans="1:79">
      <c r="A9" s="129" t="s">
        <v>289</v>
      </c>
      <c r="U9" s="129">
        <v>266.39999999999998</v>
      </c>
      <c r="V9" s="129">
        <v>9.5</v>
      </c>
      <c r="X9" s="129">
        <v>243.9</v>
      </c>
      <c r="AC9" s="129">
        <v>107.9</v>
      </c>
      <c r="AD9" s="129">
        <v>3</v>
      </c>
      <c r="AE9" s="129">
        <v>0</v>
      </c>
      <c r="AF9" s="129">
        <v>291</v>
      </c>
      <c r="AG9" s="129">
        <v>114</v>
      </c>
      <c r="AI9" s="129">
        <v>150</v>
      </c>
      <c r="AJ9" s="129">
        <v>3</v>
      </c>
      <c r="AK9" s="129">
        <v>7</v>
      </c>
      <c r="AL9" s="129">
        <v>0</v>
      </c>
      <c r="AO9" s="129">
        <v>0</v>
      </c>
      <c r="AP9" s="129">
        <v>0</v>
      </c>
      <c r="AQ9" s="129">
        <v>0</v>
      </c>
      <c r="AR9" s="129">
        <v>0</v>
      </c>
      <c r="AS9" s="129">
        <v>0</v>
      </c>
      <c r="AT9" s="129">
        <v>0</v>
      </c>
      <c r="AU9" s="129">
        <v>0</v>
      </c>
      <c r="AV9" s="129">
        <v>0</v>
      </c>
      <c r="AW9" s="129">
        <v>212902</v>
      </c>
      <c r="AX9" s="167">
        <v>45321</v>
      </c>
      <c r="AY9" s="162">
        <f t="shared" si="20"/>
        <v>2</v>
      </c>
      <c r="AZ9" s="163" t="s">
        <v>882</v>
      </c>
      <c r="BA9" s="162" t="b">
        <f t="shared" si="0"/>
        <v>0</v>
      </c>
      <c r="BF9" s="164">
        <f t="shared" si="21"/>
        <v>266.39999999999998</v>
      </c>
      <c r="BG9" s="164">
        <f t="shared" si="22"/>
        <v>9.5</v>
      </c>
      <c r="BH9" s="164"/>
      <c r="BI9" s="164">
        <f t="shared" si="23"/>
        <v>107.9</v>
      </c>
      <c r="BJ9" s="164">
        <f t="shared" si="24"/>
        <v>3</v>
      </c>
      <c r="BK9" s="164">
        <f t="shared" si="25"/>
        <v>0</v>
      </c>
      <c r="BL9" s="164">
        <f t="shared" si="26"/>
        <v>291</v>
      </c>
      <c r="BM9" s="164">
        <f t="shared" si="27"/>
        <v>114</v>
      </c>
      <c r="BN9" s="164">
        <f t="shared" si="28"/>
        <v>150</v>
      </c>
      <c r="BO9" s="164">
        <f t="shared" si="29"/>
        <v>3</v>
      </c>
      <c r="BP9" s="164">
        <f t="shared" si="30"/>
        <v>7</v>
      </c>
      <c r="BQ9" s="164">
        <f t="shared" si="31"/>
        <v>7</v>
      </c>
      <c r="BR9" s="164">
        <f t="shared" si="32"/>
        <v>0</v>
      </c>
      <c r="BS9" s="129">
        <f>SUMIF('Audit HD AR - School Level'!$A$6:A30, "=" &amp; A9,'Audit HD AR - School Level'!$Q$6:Q30)</f>
        <v>3.9</v>
      </c>
      <c r="BT9" s="168">
        <f t="shared" si="33"/>
        <v>0</v>
      </c>
      <c r="BU9" s="168">
        <f t="shared" si="34"/>
        <v>0</v>
      </c>
      <c r="BV9" s="168"/>
      <c r="BW9" s="168">
        <f t="shared" si="16"/>
        <v>0</v>
      </c>
      <c r="BX9" s="164">
        <f t="shared" si="17"/>
        <v>266.39999999999998</v>
      </c>
      <c r="BY9" s="164">
        <f t="shared" si="18"/>
        <v>9.5</v>
      </c>
      <c r="BZ9" s="129">
        <v>1</v>
      </c>
    </row>
    <row r="10" spans="1:79">
      <c r="A10" s="129" t="s">
        <v>291</v>
      </c>
      <c r="U10" s="129">
        <v>250.5</v>
      </c>
      <c r="V10" s="129">
        <v>13.5</v>
      </c>
      <c r="X10" s="129">
        <v>282.5</v>
      </c>
      <c r="AC10" s="129">
        <v>86.2</v>
      </c>
      <c r="AD10" s="129">
        <v>29</v>
      </c>
      <c r="AE10" s="129">
        <v>49.6</v>
      </c>
      <c r="AF10" s="129">
        <v>280</v>
      </c>
      <c r="AG10" s="129">
        <v>86</v>
      </c>
      <c r="AI10" s="129">
        <v>22.5</v>
      </c>
      <c r="AJ10" s="129">
        <v>5</v>
      </c>
      <c r="AK10" s="129">
        <v>36</v>
      </c>
      <c r="AL10" s="129">
        <v>0</v>
      </c>
      <c r="AO10" s="129">
        <v>0</v>
      </c>
      <c r="AP10" s="129">
        <v>0</v>
      </c>
      <c r="AQ10" s="129">
        <v>0</v>
      </c>
      <c r="AR10" s="129">
        <v>0</v>
      </c>
      <c r="AS10" s="129">
        <v>0</v>
      </c>
      <c r="AT10" s="129">
        <v>0</v>
      </c>
      <c r="AU10" s="129">
        <v>0</v>
      </c>
      <c r="AV10" s="129">
        <v>0</v>
      </c>
      <c r="AW10" s="129">
        <v>109124</v>
      </c>
      <c r="AX10" s="167">
        <v>45321</v>
      </c>
      <c r="AY10" s="162">
        <f t="shared" si="20"/>
        <v>2</v>
      </c>
      <c r="AZ10" s="163" t="s">
        <v>882</v>
      </c>
      <c r="BA10" s="162" t="b">
        <f t="shared" si="0"/>
        <v>0</v>
      </c>
      <c r="BF10" s="164">
        <f t="shared" si="21"/>
        <v>250.5</v>
      </c>
      <c r="BG10" s="164">
        <f t="shared" si="22"/>
        <v>13.5</v>
      </c>
      <c r="BH10" s="164"/>
      <c r="BI10" s="164">
        <f t="shared" si="23"/>
        <v>86.2</v>
      </c>
      <c r="BJ10" s="164">
        <f t="shared" si="24"/>
        <v>29</v>
      </c>
      <c r="BK10" s="164">
        <f t="shared" si="25"/>
        <v>49.6</v>
      </c>
      <c r="BL10" s="164">
        <f t="shared" si="26"/>
        <v>280</v>
      </c>
      <c r="BM10" s="164">
        <f t="shared" si="27"/>
        <v>86</v>
      </c>
      <c r="BN10" s="164">
        <f t="shared" si="28"/>
        <v>22.5</v>
      </c>
      <c r="BO10" s="164">
        <f t="shared" si="29"/>
        <v>5</v>
      </c>
      <c r="BP10" s="164">
        <f t="shared" si="30"/>
        <v>36</v>
      </c>
      <c r="BQ10" s="164">
        <f t="shared" si="31"/>
        <v>36</v>
      </c>
      <c r="BR10" s="164">
        <f t="shared" si="32"/>
        <v>0</v>
      </c>
      <c r="BS10" s="129">
        <f>SUMIF('Audit HD AR - School Level'!$A$6:A30, "=" &amp; A10,'Audit HD AR - School Level'!$Q$6:Q30)</f>
        <v>1.1000000000000001</v>
      </c>
      <c r="BT10" s="168">
        <f t="shared" si="33"/>
        <v>0</v>
      </c>
      <c r="BU10" s="168">
        <f t="shared" si="34"/>
        <v>0</v>
      </c>
      <c r="BV10" s="168"/>
      <c r="BW10" s="168">
        <f t="shared" si="16"/>
        <v>0</v>
      </c>
      <c r="BX10" s="164">
        <f t="shared" si="17"/>
        <v>250.5</v>
      </c>
      <c r="BY10" s="164">
        <f t="shared" si="18"/>
        <v>13.5</v>
      </c>
    </row>
    <row r="11" spans="1:79">
      <c r="A11" s="129" t="s">
        <v>308</v>
      </c>
      <c r="U11" s="129">
        <v>551.5</v>
      </c>
      <c r="V11" s="129">
        <v>4</v>
      </c>
      <c r="X11" s="129">
        <v>568</v>
      </c>
      <c r="AC11" s="129">
        <v>234.9</v>
      </c>
      <c r="AD11" s="129">
        <v>2</v>
      </c>
      <c r="AE11" s="129">
        <v>0</v>
      </c>
      <c r="AF11" s="129">
        <v>563</v>
      </c>
      <c r="AG11" s="129">
        <v>224</v>
      </c>
      <c r="AI11" s="129">
        <v>101.5</v>
      </c>
      <c r="AJ11" s="129">
        <v>0.5</v>
      </c>
      <c r="AK11" s="129">
        <v>53.5</v>
      </c>
      <c r="AL11" s="129">
        <v>0</v>
      </c>
      <c r="AO11" s="129">
        <v>0</v>
      </c>
      <c r="AP11" s="129">
        <v>0</v>
      </c>
      <c r="AQ11" s="129">
        <v>0</v>
      </c>
      <c r="AR11" s="129">
        <v>0</v>
      </c>
      <c r="AS11" s="129">
        <v>0</v>
      </c>
      <c r="AT11" s="129">
        <v>0</v>
      </c>
      <c r="AU11" s="129">
        <v>0</v>
      </c>
      <c r="AV11" s="129">
        <v>0</v>
      </c>
      <c r="AW11" s="129">
        <v>194323</v>
      </c>
      <c r="AX11" s="167">
        <v>45321</v>
      </c>
      <c r="AY11" s="162">
        <f t="shared" si="20"/>
        <v>2</v>
      </c>
      <c r="AZ11" s="163" t="s">
        <v>882</v>
      </c>
      <c r="BA11" s="162" t="b">
        <f t="shared" si="0"/>
        <v>0</v>
      </c>
      <c r="BF11" s="164">
        <f t="shared" si="21"/>
        <v>551.5</v>
      </c>
      <c r="BG11" s="164">
        <f t="shared" si="22"/>
        <v>4</v>
      </c>
      <c r="BH11" s="164"/>
      <c r="BI11" s="164">
        <f t="shared" si="23"/>
        <v>234.9</v>
      </c>
      <c r="BJ11" s="164">
        <f t="shared" si="24"/>
        <v>2</v>
      </c>
      <c r="BK11" s="164">
        <f t="shared" si="25"/>
        <v>0</v>
      </c>
      <c r="BL11" s="164">
        <f t="shared" si="26"/>
        <v>563</v>
      </c>
      <c r="BM11" s="164">
        <f t="shared" si="27"/>
        <v>224</v>
      </c>
      <c r="BN11" s="164">
        <f t="shared" si="28"/>
        <v>101.5</v>
      </c>
      <c r="BO11" s="164">
        <f t="shared" si="29"/>
        <v>0.5</v>
      </c>
      <c r="BP11" s="164">
        <f t="shared" si="30"/>
        <v>53.5</v>
      </c>
      <c r="BQ11" s="164">
        <f t="shared" si="31"/>
        <v>53.5</v>
      </c>
      <c r="BR11" s="164">
        <f t="shared" si="32"/>
        <v>0</v>
      </c>
      <c r="BS11" s="129">
        <f>SUMIF('Audit HD AR - School Level'!$A$6:A30, "=" &amp; A11,'Audit HD AR - School Level'!$Q$6:Q30)</f>
        <v>8.1999999999999993</v>
      </c>
      <c r="BT11" s="168">
        <f t="shared" si="33"/>
        <v>0</v>
      </c>
      <c r="BU11" s="168">
        <f t="shared" si="34"/>
        <v>0</v>
      </c>
      <c r="BV11" s="168"/>
      <c r="BW11" s="168">
        <f t="shared" si="16"/>
        <v>0</v>
      </c>
      <c r="BX11" s="164">
        <f t="shared" si="17"/>
        <v>551.5</v>
      </c>
      <c r="BY11" s="164">
        <f t="shared" si="18"/>
        <v>4</v>
      </c>
    </row>
    <row r="12" spans="1:79">
      <c r="A12" s="129" t="s">
        <v>312</v>
      </c>
      <c r="U12" s="129">
        <v>426.8</v>
      </c>
      <c r="V12" s="129">
        <v>8</v>
      </c>
      <c r="X12" s="129">
        <v>447.3</v>
      </c>
      <c r="AC12" s="129">
        <v>231.9</v>
      </c>
      <c r="AD12" s="129">
        <v>0</v>
      </c>
      <c r="AE12" s="129">
        <v>0</v>
      </c>
      <c r="AF12" s="129">
        <v>445</v>
      </c>
      <c r="AG12" s="129">
        <v>130</v>
      </c>
      <c r="AI12" s="129">
        <v>304</v>
      </c>
      <c r="AJ12" s="129">
        <v>6</v>
      </c>
      <c r="AK12" s="129">
        <v>122</v>
      </c>
      <c r="AL12" s="129">
        <v>0</v>
      </c>
      <c r="AO12" s="129">
        <v>0</v>
      </c>
      <c r="AP12" s="129">
        <v>0</v>
      </c>
      <c r="AQ12" s="129">
        <v>0</v>
      </c>
      <c r="AR12" s="129">
        <v>0</v>
      </c>
      <c r="AS12" s="129">
        <v>0</v>
      </c>
      <c r="AT12" s="129">
        <v>0</v>
      </c>
      <c r="AU12" s="129">
        <v>0</v>
      </c>
      <c r="AV12" s="129">
        <v>0</v>
      </c>
      <c r="AW12" s="129">
        <v>374119</v>
      </c>
      <c r="AX12" s="167">
        <v>45321</v>
      </c>
      <c r="AY12" s="162">
        <f t="shared" si="20"/>
        <v>2</v>
      </c>
      <c r="AZ12" s="163" t="s">
        <v>882</v>
      </c>
      <c r="BA12" s="162" t="b">
        <f t="shared" si="0"/>
        <v>0</v>
      </c>
      <c r="BF12" s="164">
        <f t="shared" si="21"/>
        <v>426.8</v>
      </c>
      <c r="BG12" s="164">
        <f t="shared" si="22"/>
        <v>8</v>
      </c>
      <c r="BH12" s="164"/>
      <c r="BI12" s="164">
        <f t="shared" si="23"/>
        <v>231.9</v>
      </c>
      <c r="BJ12" s="164">
        <f t="shared" si="24"/>
        <v>0</v>
      </c>
      <c r="BK12" s="164">
        <f t="shared" si="25"/>
        <v>0</v>
      </c>
      <c r="BL12" s="164">
        <f t="shared" si="26"/>
        <v>445</v>
      </c>
      <c r="BM12" s="164">
        <f t="shared" si="27"/>
        <v>130</v>
      </c>
      <c r="BN12" s="164">
        <f t="shared" si="28"/>
        <v>304</v>
      </c>
      <c r="BO12" s="164">
        <f t="shared" si="29"/>
        <v>6</v>
      </c>
      <c r="BP12" s="164">
        <f t="shared" si="30"/>
        <v>122</v>
      </c>
      <c r="BQ12" s="164">
        <f t="shared" si="31"/>
        <v>122</v>
      </c>
      <c r="BR12" s="164">
        <f t="shared" si="32"/>
        <v>0</v>
      </c>
      <c r="BS12" s="129">
        <f>SUMIF('Audit HD AR - School Level'!$A$6:A30, "=" &amp; A12,'Audit HD AR - School Level'!$Q$6:Q30)</f>
        <v>0</v>
      </c>
      <c r="BT12" s="168">
        <f t="shared" si="33"/>
        <v>0</v>
      </c>
      <c r="BU12" s="168">
        <f t="shared" si="34"/>
        <v>0</v>
      </c>
      <c r="BV12" s="168"/>
      <c r="BW12" s="168">
        <f t="shared" si="16"/>
        <v>0</v>
      </c>
      <c r="BX12" s="164">
        <f t="shared" si="17"/>
        <v>426.8</v>
      </c>
      <c r="BY12" s="164">
        <f t="shared" si="18"/>
        <v>8</v>
      </c>
    </row>
    <row r="13" spans="1:79">
      <c r="A13" s="129" t="s">
        <v>394</v>
      </c>
      <c r="U13" s="129">
        <v>735.5</v>
      </c>
      <c r="V13" s="129">
        <v>12</v>
      </c>
      <c r="X13" s="129">
        <v>759</v>
      </c>
      <c r="AC13" s="129">
        <v>177.3</v>
      </c>
      <c r="AD13" s="129">
        <v>5</v>
      </c>
      <c r="AE13" s="129">
        <v>10.7</v>
      </c>
      <c r="AF13" s="129">
        <v>766</v>
      </c>
      <c r="AG13" s="129">
        <v>371</v>
      </c>
      <c r="AI13" s="129">
        <v>268</v>
      </c>
      <c r="AJ13" s="129">
        <v>406</v>
      </c>
      <c r="AK13" s="129">
        <v>31</v>
      </c>
      <c r="AL13" s="129">
        <v>0</v>
      </c>
      <c r="AO13" s="129">
        <v>0</v>
      </c>
      <c r="AP13" s="129">
        <v>0</v>
      </c>
      <c r="AQ13" s="129">
        <v>0</v>
      </c>
      <c r="AR13" s="129">
        <v>5</v>
      </c>
      <c r="AS13" s="129">
        <v>0</v>
      </c>
      <c r="AT13" s="129">
        <v>0</v>
      </c>
      <c r="AU13" s="129">
        <v>0</v>
      </c>
      <c r="AV13" s="129">
        <v>0</v>
      </c>
      <c r="AW13" s="129">
        <v>512454</v>
      </c>
      <c r="AX13" s="167">
        <v>45321</v>
      </c>
      <c r="AY13" s="162">
        <f t="shared" si="20"/>
        <v>2</v>
      </c>
      <c r="AZ13" s="163" t="s">
        <v>882</v>
      </c>
      <c r="BA13" s="162" t="b">
        <f t="shared" si="0"/>
        <v>0</v>
      </c>
      <c r="BF13" s="164">
        <f t="shared" si="21"/>
        <v>730.5</v>
      </c>
      <c r="BG13" s="164">
        <f t="shared" si="22"/>
        <v>12</v>
      </c>
      <c r="BH13" s="164"/>
      <c r="BI13" s="164">
        <f t="shared" si="23"/>
        <v>177.3</v>
      </c>
      <c r="BJ13" s="164">
        <f t="shared" si="24"/>
        <v>5</v>
      </c>
      <c r="BK13" s="164">
        <f t="shared" si="25"/>
        <v>10.7</v>
      </c>
      <c r="BL13" s="164">
        <f t="shared" si="26"/>
        <v>766</v>
      </c>
      <c r="BM13" s="164">
        <f t="shared" si="27"/>
        <v>371</v>
      </c>
      <c r="BN13" s="164">
        <f t="shared" si="28"/>
        <v>268</v>
      </c>
      <c r="BO13" s="164">
        <f t="shared" si="29"/>
        <v>406</v>
      </c>
      <c r="BP13" s="164">
        <f t="shared" si="30"/>
        <v>31</v>
      </c>
      <c r="BQ13" s="164">
        <f t="shared" si="31"/>
        <v>31</v>
      </c>
      <c r="BR13" s="164">
        <f t="shared" si="32"/>
        <v>0</v>
      </c>
      <c r="BS13" s="129">
        <f>SUMIF('Audit HD AR - School Level'!$A$6:A30, "=" &amp; A13,'Audit HD AR - School Level'!$Q$6:Q30)</f>
        <v>35.4</v>
      </c>
      <c r="BT13" s="168">
        <f t="shared" si="33"/>
        <v>0</v>
      </c>
      <c r="BU13" s="168">
        <f t="shared" si="34"/>
        <v>-3545</v>
      </c>
      <c r="BV13" s="168"/>
      <c r="BW13" s="168">
        <f t="shared" si="16"/>
        <v>-3545</v>
      </c>
      <c r="BX13" s="164">
        <f t="shared" si="17"/>
        <v>735.5</v>
      </c>
      <c r="BY13" s="164">
        <f t="shared" si="18"/>
        <v>12</v>
      </c>
    </row>
    <row r="14" spans="1:79">
      <c r="A14" s="129" t="s">
        <v>460</v>
      </c>
      <c r="U14" s="129">
        <v>121</v>
      </c>
      <c r="V14" s="129">
        <v>2.5</v>
      </c>
      <c r="X14" s="129">
        <v>137</v>
      </c>
      <c r="AC14" s="129">
        <v>0</v>
      </c>
      <c r="AD14" s="129">
        <v>0</v>
      </c>
      <c r="AE14" s="129">
        <v>0</v>
      </c>
      <c r="AF14" s="129">
        <v>123</v>
      </c>
      <c r="AG14" s="129">
        <v>47</v>
      </c>
      <c r="AI14" s="129">
        <v>69.5</v>
      </c>
      <c r="AJ14" s="129">
        <v>1</v>
      </c>
      <c r="AK14" s="129">
        <v>9</v>
      </c>
      <c r="AL14" s="129">
        <v>0</v>
      </c>
      <c r="AO14" s="129">
        <v>4</v>
      </c>
      <c r="AP14" s="129">
        <v>0</v>
      </c>
      <c r="AQ14" s="129">
        <v>6.5</v>
      </c>
      <c r="AR14" s="129">
        <v>0</v>
      </c>
      <c r="AS14" s="129">
        <v>6.5</v>
      </c>
      <c r="AT14" s="129">
        <v>0</v>
      </c>
      <c r="AU14" s="129">
        <v>0</v>
      </c>
      <c r="AV14" s="129">
        <v>0</v>
      </c>
      <c r="AW14" s="129">
        <v>141139</v>
      </c>
      <c r="AX14" s="167">
        <v>45321</v>
      </c>
      <c r="AY14" s="162">
        <f t="shared" si="20"/>
        <v>2</v>
      </c>
      <c r="AZ14" s="163" t="s">
        <v>882</v>
      </c>
      <c r="BA14" s="162" t="b">
        <f t="shared" si="0"/>
        <v>0</v>
      </c>
      <c r="BF14" s="164">
        <f t="shared" si="21"/>
        <v>117</v>
      </c>
      <c r="BG14" s="164">
        <f t="shared" si="22"/>
        <v>2.5</v>
      </c>
      <c r="BH14" s="164"/>
      <c r="BI14" s="164">
        <f t="shared" si="23"/>
        <v>0</v>
      </c>
      <c r="BJ14" s="164">
        <f t="shared" si="24"/>
        <v>0</v>
      </c>
      <c r="BK14" s="164">
        <f t="shared" si="25"/>
        <v>0</v>
      </c>
      <c r="BL14" s="164">
        <f t="shared" si="26"/>
        <v>123</v>
      </c>
      <c r="BM14" s="164">
        <f t="shared" si="27"/>
        <v>47</v>
      </c>
      <c r="BN14" s="164">
        <f t="shared" si="28"/>
        <v>69.5</v>
      </c>
      <c r="BO14" s="164">
        <f t="shared" si="29"/>
        <v>1</v>
      </c>
      <c r="BP14" s="164">
        <f t="shared" si="30"/>
        <v>9</v>
      </c>
      <c r="BQ14" s="164">
        <f t="shared" si="31"/>
        <v>9</v>
      </c>
      <c r="BR14" s="164">
        <f t="shared" si="32"/>
        <v>0</v>
      </c>
      <c r="BS14" s="129">
        <f>SUMIF('Audit HD AR - School Level'!$A$6:A30, "=" &amp; A14,'Audit HD AR - School Level'!$Q$6:Q30)</f>
        <v>1</v>
      </c>
      <c r="BT14" s="168">
        <f t="shared" si="33"/>
        <v>0</v>
      </c>
      <c r="BU14" s="168">
        <f t="shared" si="34"/>
        <v>0</v>
      </c>
      <c r="BV14" s="168"/>
      <c r="BW14" s="168">
        <f t="shared" si="16"/>
        <v>0</v>
      </c>
      <c r="BX14" s="164">
        <f t="shared" si="17"/>
        <v>117</v>
      </c>
      <c r="BY14" s="164">
        <f t="shared" si="18"/>
        <v>2.5</v>
      </c>
    </row>
    <row r="15" spans="1:79">
      <c r="A15" s="129" t="s">
        <v>211</v>
      </c>
      <c r="U15" s="129">
        <v>365.7</v>
      </c>
      <c r="V15" s="129">
        <v>4.5</v>
      </c>
      <c r="X15" s="129">
        <v>371.3</v>
      </c>
      <c r="AC15" s="129">
        <v>168.7</v>
      </c>
      <c r="AD15" s="129">
        <v>0</v>
      </c>
      <c r="AE15" s="129">
        <v>0</v>
      </c>
      <c r="AF15" s="129">
        <v>379</v>
      </c>
      <c r="AG15" s="129">
        <v>140</v>
      </c>
      <c r="AI15" s="129">
        <v>73.5</v>
      </c>
      <c r="AJ15" s="129">
        <v>1</v>
      </c>
      <c r="AK15" s="129">
        <v>1</v>
      </c>
      <c r="AL15" s="129">
        <v>0</v>
      </c>
      <c r="AO15" s="129">
        <v>0</v>
      </c>
      <c r="AP15" s="129">
        <v>0</v>
      </c>
      <c r="AQ15" s="129">
        <v>0</v>
      </c>
      <c r="AR15" s="129">
        <v>0</v>
      </c>
      <c r="AS15" s="129">
        <v>0</v>
      </c>
      <c r="AT15" s="129">
        <v>0</v>
      </c>
      <c r="AU15" s="129">
        <v>0</v>
      </c>
      <c r="AV15" s="129">
        <v>0</v>
      </c>
      <c r="AW15" s="129">
        <v>135127</v>
      </c>
      <c r="AX15" s="167">
        <v>45335</v>
      </c>
      <c r="AY15" s="162">
        <f t="shared" si="20"/>
        <v>3</v>
      </c>
      <c r="AZ15" s="163" t="s">
        <v>882</v>
      </c>
      <c r="BA15" s="162" t="b">
        <f t="shared" si="0"/>
        <v>0</v>
      </c>
      <c r="BF15" s="164">
        <f t="shared" ref="BF15:BF22" si="35">SUM(U15+C15-AO15-AP15-AR15)</f>
        <v>365.7</v>
      </c>
      <c r="BG15" s="164">
        <f t="shared" ref="BG15:BG22" si="36">SUM(E15+F15+V15+W15)</f>
        <v>4.5</v>
      </c>
      <c r="BH15" s="164"/>
      <c r="BI15" s="164">
        <f t="shared" ref="BI15:BI22" si="37">SUM(AC15+H15)</f>
        <v>168.7</v>
      </c>
      <c r="BJ15" s="164">
        <f t="shared" ref="BJ15:BJ22" si="38">SUM(AD15+I15)</f>
        <v>0</v>
      </c>
      <c r="BK15" s="164">
        <f t="shared" ref="BK15:BK22" si="39">SUM(AE15+J15)</f>
        <v>0</v>
      </c>
      <c r="BL15" s="164">
        <f t="shared" ref="BL15:BL22" si="40">SUM(AF15+K15)</f>
        <v>379</v>
      </c>
      <c r="BM15" s="164">
        <f t="shared" ref="BM15:BM22" si="41">SUM(AG15+L15)</f>
        <v>140</v>
      </c>
      <c r="BN15" s="164">
        <f t="shared" ref="BN15:BN22" si="42">SUM(AI15+M15)</f>
        <v>73.5</v>
      </c>
      <c r="BO15" s="164">
        <f t="shared" ref="BO15:BO22" si="43">SUM(AJ15+R15)</f>
        <v>1</v>
      </c>
      <c r="BP15" s="164">
        <f t="shared" ref="BP15:BP22" si="44">SUM(AK15+R15)</f>
        <v>1</v>
      </c>
      <c r="BQ15" s="164">
        <f t="shared" ref="BQ15:BQ22" si="45">SUM(S15+AK15)</f>
        <v>1</v>
      </c>
      <c r="BR15" s="164">
        <f t="shared" ref="BR15:BR22" si="46">SUM(T15+AL15)</f>
        <v>0</v>
      </c>
      <c r="BS15" s="129">
        <f>SUMIF('Audit HD AR - School Level'!$A$6:A3486, "=" &amp; A15,'Audit HD AR - School Level'!$Q$6:Q3486)</f>
        <v>2</v>
      </c>
      <c r="BT15" s="168">
        <f t="shared" ref="BT15:BT22" si="47">SUM(AS15-AQ15)*$BT$2</f>
        <v>0</v>
      </c>
      <c r="BU15" s="168">
        <f t="shared" ref="BU15:BU22" si="48">SUM(AU15-AR15)*$BT$2</f>
        <v>0</v>
      </c>
      <c r="BV15" s="168"/>
      <c r="BW15" s="168">
        <f t="shared" si="16"/>
        <v>0</v>
      </c>
      <c r="BX15" s="164">
        <f t="shared" si="17"/>
        <v>365.7</v>
      </c>
      <c r="BY15" s="164">
        <f t="shared" si="18"/>
        <v>4.5</v>
      </c>
    </row>
    <row r="16" spans="1:79">
      <c r="A16" s="129" t="s">
        <v>237</v>
      </c>
      <c r="U16" s="129">
        <v>567</v>
      </c>
      <c r="V16" s="129">
        <v>21</v>
      </c>
      <c r="X16" s="129">
        <v>591</v>
      </c>
      <c r="AC16" s="129">
        <v>215.6</v>
      </c>
      <c r="AD16" s="129">
        <v>1</v>
      </c>
      <c r="AE16" s="129">
        <v>0</v>
      </c>
      <c r="AF16" s="129">
        <v>613</v>
      </c>
      <c r="AG16" s="129">
        <v>260</v>
      </c>
      <c r="AI16" s="129">
        <v>170</v>
      </c>
      <c r="AJ16" s="129">
        <v>19</v>
      </c>
      <c r="AK16" s="129">
        <v>185</v>
      </c>
      <c r="AL16" s="129">
        <v>0</v>
      </c>
      <c r="AO16" s="129">
        <v>0</v>
      </c>
      <c r="AP16" s="129">
        <v>0</v>
      </c>
      <c r="AQ16" s="129">
        <v>0</v>
      </c>
      <c r="AR16" s="129">
        <v>0</v>
      </c>
      <c r="AS16" s="129">
        <v>0</v>
      </c>
      <c r="AT16" s="129">
        <v>0</v>
      </c>
      <c r="AU16" s="129">
        <v>0</v>
      </c>
      <c r="AV16" s="129">
        <v>0</v>
      </c>
      <c r="AW16" s="129">
        <v>455136</v>
      </c>
      <c r="AX16" s="167">
        <v>45335</v>
      </c>
      <c r="AY16" s="162">
        <f t="shared" si="20"/>
        <v>3</v>
      </c>
      <c r="AZ16" s="163" t="s">
        <v>882</v>
      </c>
      <c r="BA16" s="162" t="b">
        <f t="shared" si="0"/>
        <v>0</v>
      </c>
      <c r="BF16" s="164">
        <f t="shared" si="35"/>
        <v>567</v>
      </c>
      <c r="BG16" s="164">
        <f t="shared" si="36"/>
        <v>21</v>
      </c>
      <c r="BH16" s="164"/>
      <c r="BI16" s="164">
        <f t="shared" si="37"/>
        <v>215.6</v>
      </c>
      <c r="BJ16" s="164">
        <f t="shared" si="38"/>
        <v>1</v>
      </c>
      <c r="BK16" s="164">
        <f t="shared" si="39"/>
        <v>0</v>
      </c>
      <c r="BL16" s="164">
        <f t="shared" si="40"/>
        <v>613</v>
      </c>
      <c r="BM16" s="164">
        <f t="shared" si="41"/>
        <v>260</v>
      </c>
      <c r="BN16" s="164">
        <f t="shared" si="42"/>
        <v>170</v>
      </c>
      <c r="BO16" s="164">
        <f t="shared" si="43"/>
        <v>19</v>
      </c>
      <c r="BP16" s="164">
        <f t="shared" si="44"/>
        <v>185</v>
      </c>
      <c r="BQ16" s="164">
        <f t="shared" si="45"/>
        <v>185</v>
      </c>
      <c r="BR16" s="164">
        <f t="shared" si="46"/>
        <v>0</v>
      </c>
      <c r="BS16" s="129">
        <f>SUMIF('Audit HD AR - School Level'!$A$6:A3487, "=" &amp; A16,'Audit HD AR - School Level'!$Q$6:Q3487)</f>
        <v>11.5</v>
      </c>
      <c r="BT16" s="168">
        <f t="shared" si="47"/>
        <v>0</v>
      </c>
      <c r="BU16" s="168">
        <f t="shared" si="48"/>
        <v>0</v>
      </c>
      <c r="BV16" s="168"/>
      <c r="BW16" s="168">
        <f t="shared" si="16"/>
        <v>0</v>
      </c>
      <c r="BX16" s="164">
        <f t="shared" si="17"/>
        <v>567</v>
      </c>
      <c r="BY16" s="164">
        <f t="shared" si="18"/>
        <v>21</v>
      </c>
    </row>
    <row r="17" spans="1:78">
      <c r="A17" s="129" t="s">
        <v>279</v>
      </c>
      <c r="U17" s="129">
        <v>587</v>
      </c>
      <c r="V17" s="129">
        <v>3</v>
      </c>
      <c r="X17" s="129">
        <v>617</v>
      </c>
      <c r="AC17" s="129">
        <v>268.3</v>
      </c>
      <c r="AD17" s="129">
        <v>0</v>
      </c>
      <c r="AE17" s="129">
        <v>0</v>
      </c>
      <c r="AF17" s="129">
        <v>601</v>
      </c>
      <c r="AG17" s="129">
        <v>244</v>
      </c>
      <c r="AI17" s="129">
        <v>406</v>
      </c>
      <c r="AJ17" s="129">
        <v>0</v>
      </c>
      <c r="AK17" s="129">
        <v>0</v>
      </c>
      <c r="AL17" s="129">
        <v>0</v>
      </c>
      <c r="AO17" s="129">
        <v>0</v>
      </c>
      <c r="AP17" s="129">
        <v>0.5</v>
      </c>
      <c r="AQ17" s="129">
        <v>0</v>
      </c>
      <c r="AR17" s="129">
        <v>5</v>
      </c>
      <c r="AS17" s="129">
        <v>0</v>
      </c>
      <c r="AT17" s="129">
        <v>0</v>
      </c>
      <c r="AU17" s="129">
        <v>0</v>
      </c>
      <c r="AV17" s="129">
        <v>0</v>
      </c>
      <c r="AW17" s="129">
        <v>427775</v>
      </c>
      <c r="AX17" s="167">
        <v>45335</v>
      </c>
      <c r="AY17" s="162">
        <f t="shared" si="20"/>
        <v>3</v>
      </c>
      <c r="AZ17" s="163" t="s">
        <v>882</v>
      </c>
      <c r="BA17" s="162" t="b">
        <f t="shared" si="0"/>
        <v>0</v>
      </c>
      <c r="BF17" s="164">
        <f t="shared" si="35"/>
        <v>581.5</v>
      </c>
      <c r="BG17" s="164">
        <f t="shared" si="36"/>
        <v>3</v>
      </c>
      <c r="BH17" s="164"/>
      <c r="BI17" s="164">
        <f t="shared" si="37"/>
        <v>268.3</v>
      </c>
      <c r="BJ17" s="164">
        <f t="shared" si="38"/>
        <v>0</v>
      </c>
      <c r="BK17" s="164">
        <f t="shared" si="39"/>
        <v>0</v>
      </c>
      <c r="BL17" s="164">
        <f t="shared" si="40"/>
        <v>601</v>
      </c>
      <c r="BM17" s="164">
        <f t="shared" si="41"/>
        <v>244</v>
      </c>
      <c r="BN17" s="164">
        <f t="shared" si="42"/>
        <v>406</v>
      </c>
      <c r="BO17" s="164">
        <f t="shared" si="43"/>
        <v>0</v>
      </c>
      <c r="BP17" s="164">
        <f t="shared" si="44"/>
        <v>0</v>
      </c>
      <c r="BQ17" s="164">
        <f t="shared" si="45"/>
        <v>0</v>
      </c>
      <c r="BR17" s="164">
        <f t="shared" si="46"/>
        <v>0</v>
      </c>
      <c r="BS17" s="129">
        <f>SUMIF('Audit HD AR - School Level'!$A$6:A3488, "=" &amp; A17,'Audit HD AR - School Level'!$Q$6:Q3488)</f>
        <v>10.4</v>
      </c>
      <c r="BT17" s="168">
        <f t="shared" si="47"/>
        <v>0</v>
      </c>
      <c r="BU17" s="168">
        <f t="shared" si="48"/>
        <v>-3545</v>
      </c>
      <c r="BV17" s="168"/>
      <c r="BW17" s="168">
        <f t="shared" si="16"/>
        <v>-3545</v>
      </c>
      <c r="BX17" s="164">
        <f t="shared" si="17"/>
        <v>586.5</v>
      </c>
      <c r="BY17" s="164">
        <f t="shared" si="18"/>
        <v>3</v>
      </c>
    </row>
    <row r="18" spans="1:78">
      <c r="A18" s="129" t="s">
        <v>282</v>
      </c>
      <c r="U18" s="129">
        <v>2128.4</v>
      </c>
      <c r="V18" s="129">
        <v>39</v>
      </c>
      <c r="X18" s="129">
        <v>2248.9</v>
      </c>
      <c r="AC18" s="129">
        <v>701.1</v>
      </c>
      <c r="AD18" s="129">
        <v>37</v>
      </c>
      <c r="AE18" s="129">
        <v>12.2</v>
      </c>
      <c r="AF18" s="129">
        <v>2214</v>
      </c>
      <c r="AG18" s="129">
        <v>1089</v>
      </c>
      <c r="AI18" s="129">
        <v>409</v>
      </c>
      <c r="AJ18" s="129">
        <v>7</v>
      </c>
      <c r="AK18" s="129">
        <v>0</v>
      </c>
      <c r="AL18" s="129">
        <v>0</v>
      </c>
      <c r="AO18" s="129">
        <v>7</v>
      </c>
      <c r="AP18" s="129">
        <v>5.2</v>
      </c>
      <c r="AQ18" s="129">
        <v>0</v>
      </c>
      <c r="AR18" s="129">
        <v>0</v>
      </c>
      <c r="AS18" s="129">
        <v>0</v>
      </c>
      <c r="AT18" s="129">
        <v>0</v>
      </c>
      <c r="AU18" s="129">
        <v>0</v>
      </c>
      <c r="AV18" s="129">
        <v>0</v>
      </c>
      <c r="AW18" s="129">
        <v>797471</v>
      </c>
      <c r="AX18" s="167">
        <v>45335</v>
      </c>
      <c r="AY18" s="162">
        <f t="shared" si="20"/>
        <v>3</v>
      </c>
      <c r="AZ18" s="163" t="s">
        <v>882</v>
      </c>
      <c r="BA18" s="162" t="b">
        <f t="shared" si="0"/>
        <v>0</v>
      </c>
      <c r="BF18" s="164">
        <f t="shared" si="35"/>
        <v>2116.1999999999998</v>
      </c>
      <c r="BG18" s="164">
        <f t="shared" si="36"/>
        <v>39</v>
      </c>
      <c r="BH18" s="164"/>
      <c r="BI18" s="164">
        <f t="shared" si="37"/>
        <v>701.1</v>
      </c>
      <c r="BJ18" s="164">
        <f t="shared" si="38"/>
        <v>37</v>
      </c>
      <c r="BK18" s="164">
        <f t="shared" si="39"/>
        <v>12.2</v>
      </c>
      <c r="BL18" s="164">
        <f t="shared" si="40"/>
        <v>2214</v>
      </c>
      <c r="BM18" s="164">
        <f t="shared" si="41"/>
        <v>1089</v>
      </c>
      <c r="BN18" s="164">
        <f t="shared" si="42"/>
        <v>409</v>
      </c>
      <c r="BO18" s="164">
        <f t="shared" si="43"/>
        <v>7</v>
      </c>
      <c r="BP18" s="164">
        <f t="shared" si="44"/>
        <v>0</v>
      </c>
      <c r="BQ18" s="164">
        <f t="shared" si="45"/>
        <v>0</v>
      </c>
      <c r="BR18" s="164">
        <f t="shared" si="46"/>
        <v>0</v>
      </c>
      <c r="BS18" s="129">
        <f>SUMIF('Audit HD AR - School Level'!$A$6:A3489, "=" &amp; A18,'Audit HD AR - School Level'!$Q$6:Q3489)</f>
        <v>87.7</v>
      </c>
      <c r="BT18" s="168">
        <f t="shared" si="47"/>
        <v>0</v>
      </c>
      <c r="BU18" s="168">
        <f t="shared" si="48"/>
        <v>0</v>
      </c>
      <c r="BV18" s="168"/>
      <c r="BW18" s="168">
        <f t="shared" si="16"/>
        <v>0</v>
      </c>
      <c r="BX18" s="164">
        <f t="shared" si="17"/>
        <v>2116.1999999999998</v>
      </c>
      <c r="BY18" s="164">
        <f t="shared" si="18"/>
        <v>39</v>
      </c>
    </row>
    <row r="19" spans="1:78">
      <c r="A19" s="129" t="s">
        <v>309</v>
      </c>
      <c r="U19" s="129">
        <v>109.7</v>
      </c>
      <c r="V19" s="129">
        <v>1.5</v>
      </c>
      <c r="X19" s="129">
        <v>128.5</v>
      </c>
      <c r="AC19" s="129">
        <v>48</v>
      </c>
      <c r="AD19" s="129">
        <v>0</v>
      </c>
      <c r="AE19" s="129">
        <v>0</v>
      </c>
      <c r="AF19" s="129">
        <v>114</v>
      </c>
      <c r="AG19" s="129">
        <v>55</v>
      </c>
      <c r="AI19" s="129">
        <v>40</v>
      </c>
      <c r="AJ19" s="129">
        <v>3</v>
      </c>
      <c r="AK19" s="129">
        <v>4.5</v>
      </c>
      <c r="AL19" s="129">
        <v>0</v>
      </c>
      <c r="AO19" s="129">
        <v>0</v>
      </c>
      <c r="AP19" s="129">
        <v>0</v>
      </c>
      <c r="AQ19" s="129">
        <v>0</v>
      </c>
      <c r="AR19" s="129">
        <v>0</v>
      </c>
      <c r="AS19" s="129">
        <v>0</v>
      </c>
      <c r="AT19" s="129">
        <v>0</v>
      </c>
      <c r="AU19" s="129">
        <v>0</v>
      </c>
      <c r="AV19" s="129">
        <v>0</v>
      </c>
      <c r="AW19" s="129">
        <v>80355</v>
      </c>
      <c r="AX19" s="167">
        <v>45335</v>
      </c>
      <c r="AY19" s="162">
        <f t="shared" si="20"/>
        <v>3</v>
      </c>
      <c r="AZ19" s="163" t="s">
        <v>882</v>
      </c>
      <c r="BA19" s="162" t="b">
        <f t="shared" si="0"/>
        <v>0</v>
      </c>
      <c r="BF19" s="164">
        <f t="shared" si="35"/>
        <v>109.7</v>
      </c>
      <c r="BG19" s="164">
        <f t="shared" si="36"/>
        <v>1.5</v>
      </c>
      <c r="BH19" s="164"/>
      <c r="BI19" s="164">
        <f t="shared" si="37"/>
        <v>48</v>
      </c>
      <c r="BJ19" s="164">
        <f t="shared" si="38"/>
        <v>0</v>
      </c>
      <c r="BK19" s="164">
        <f t="shared" si="39"/>
        <v>0</v>
      </c>
      <c r="BL19" s="164">
        <f t="shared" si="40"/>
        <v>114</v>
      </c>
      <c r="BM19" s="164">
        <f t="shared" si="41"/>
        <v>55</v>
      </c>
      <c r="BN19" s="164">
        <f t="shared" si="42"/>
        <v>40</v>
      </c>
      <c r="BO19" s="164">
        <f t="shared" si="43"/>
        <v>3</v>
      </c>
      <c r="BP19" s="164">
        <f t="shared" si="44"/>
        <v>4.5</v>
      </c>
      <c r="BQ19" s="164">
        <f t="shared" si="45"/>
        <v>4.5</v>
      </c>
      <c r="BR19" s="164">
        <f t="shared" si="46"/>
        <v>0</v>
      </c>
      <c r="BS19" s="129">
        <f>SUMIF('Audit HD AR - School Level'!$A$6:A3490, "=" &amp; A19,'Audit HD AR - School Level'!$Q$6:Q3490)</f>
        <v>5.0999999999999996</v>
      </c>
      <c r="BT19" s="168">
        <f t="shared" si="47"/>
        <v>0</v>
      </c>
      <c r="BU19" s="168">
        <f t="shared" si="48"/>
        <v>0</v>
      </c>
      <c r="BV19" s="168"/>
      <c r="BW19" s="168">
        <f t="shared" si="16"/>
        <v>0</v>
      </c>
      <c r="BX19" s="164">
        <f t="shared" si="17"/>
        <v>109.7</v>
      </c>
      <c r="BY19" s="164">
        <f t="shared" si="18"/>
        <v>1.5</v>
      </c>
    </row>
    <row r="20" spans="1:78">
      <c r="A20" s="129" t="s">
        <v>372</v>
      </c>
      <c r="U20" s="129">
        <v>354.5</v>
      </c>
      <c r="V20" s="129">
        <v>4</v>
      </c>
      <c r="X20" s="129">
        <v>355</v>
      </c>
      <c r="AC20" s="129">
        <v>79.400000000000006</v>
      </c>
      <c r="AD20" s="129">
        <v>0</v>
      </c>
      <c r="AE20" s="129">
        <v>0</v>
      </c>
      <c r="AF20" s="129">
        <v>366</v>
      </c>
      <c r="AG20" s="129">
        <v>179</v>
      </c>
      <c r="AI20" s="129">
        <v>75</v>
      </c>
      <c r="AJ20" s="129">
        <v>3.5</v>
      </c>
      <c r="AK20" s="129">
        <v>52</v>
      </c>
      <c r="AL20" s="129">
        <v>0</v>
      </c>
      <c r="AO20" s="129">
        <v>0</v>
      </c>
      <c r="AP20" s="129">
        <v>0</v>
      </c>
      <c r="AQ20" s="129">
        <v>0</v>
      </c>
      <c r="AR20" s="129">
        <v>0</v>
      </c>
      <c r="AS20" s="129">
        <v>0</v>
      </c>
      <c r="AT20" s="129">
        <v>0</v>
      </c>
      <c r="AU20" s="129">
        <v>0</v>
      </c>
      <c r="AV20" s="129">
        <v>0</v>
      </c>
      <c r="AW20" s="129">
        <v>135226</v>
      </c>
      <c r="AX20" s="167">
        <v>45335</v>
      </c>
      <c r="AY20" s="162">
        <f t="shared" si="20"/>
        <v>3</v>
      </c>
      <c r="AZ20" s="163" t="s">
        <v>882</v>
      </c>
      <c r="BA20" s="162" t="b">
        <f t="shared" si="0"/>
        <v>0</v>
      </c>
      <c r="BF20" s="164">
        <f t="shared" si="35"/>
        <v>354.5</v>
      </c>
      <c r="BG20" s="164">
        <f t="shared" si="36"/>
        <v>4</v>
      </c>
      <c r="BH20" s="164"/>
      <c r="BI20" s="164">
        <f t="shared" si="37"/>
        <v>79.400000000000006</v>
      </c>
      <c r="BJ20" s="164">
        <f t="shared" si="38"/>
        <v>0</v>
      </c>
      <c r="BK20" s="164">
        <f t="shared" si="39"/>
        <v>0</v>
      </c>
      <c r="BL20" s="164">
        <f t="shared" si="40"/>
        <v>366</v>
      </c>
      <c r="BM20" s="164">
        <f t="shared" si="41"/>
        <v>179</v>
      </c>
      <c r="BN20" s="164">
        <f t="shared" si="42"/>
        <v>75</v>
      </c>
      <c r="BO20" s="164">
        <f t="shared" si="43"/>
        <v>3.5</v>
      </c>
      <c r="BP20" s="164">
        <f t="shared" si="44"/>
        <v>52</v>
      </c>
      <c r="BQ20" s="164">
        <f t="shared" si="45"/>
        <v>52</v>
      </c>
      <c r="BR20" s="164">
        <f t="shared" si="46"/>
        <v>0</v>
      </c>
      <c r="BS20" s="129">
        <f>SUMIF('Audit HD AR - School Level'!$A$6:A3492, "=" &amp; A20,'Audit HD AR - School Level'!$Q$6:Q3492)</f>
        <v>17</v>
      </c>
      <c r="BT20" s="168">
        <f t="shared" si="47"/>
        <v>0</v>
      </c>
      <c r="BU20" s="168">
        <f t="shared" si="48"/>
        <v>0</v>
      </c>
      <c r="BV20" s="168"/>
      <c r="BW20" s="168">
        <f t="shared" si="16"/>
        <v>0</v>
      </c>
      <c r="BX20" s="164">
        <f t="shared" si="17"/>
        <v>354.5</v>
      </c>
      <c r="BY20" s="164">
        <f t="shared" si="18"/>
        <v>4</v>
      </c>
    </row>
    <row r="21" spans="1:78">
      <c r="A21" s="129" t="s">
        <v>425</v>
      </c>
      <c r="U21" s="129">
        <v>185</v>
      </c>
      <c r="V21" s="129">
        <v>4</v>
      </c>
      <c r="X21" s="129">
        <v>208</v>
      </c>
      <c r="AC21" s="129">
        <v>48.5</v>
      </c>
      <c r="AD21" s="129">
        <v>0</v>
      </c>
      <c r="AE21" s="129">
        <v>0</v>
      </c>
      <c r="AF21" s="129">
        <v>196</v>
      </c>
      <c r="AG21" s="129">
        <v>115</v>
      </c>
      <c r="AI21" s="129">
        <v>96.5</v>
      </c>
      <c r="AJ21" s="129">
        <v>7</v>
      </c>
      <c r="AK21" s="129">
        <v>11</v>
      </c>
      <c r="AL21" s="129">
        <v>0</v>
      </c>
      <c r="AO21" s="129">
        <v>2</v>
      </c>
      <c r="AP21" s="129">
        <v>0</v>
      </c>
      <c r="AQ21" s="129">
        <v>0</v>
      </c>
      <c r="AR21" s="129">
        <v>0</v>
      </c>
      <c r="AS21" s="129">
        <v>0</v>
      </c>
      <c r="AT21" s="129">
        <v>0</v>
      </c>
      <c r="AU21" s="129">
        <v>0</v>
      </c>
      <c r="AV21" s="129">
        <v>0</v>
      </c>
      <c r="AW21" s="129">
        <v>141234</v>
      </c>
      <c r="AX21" s="167">
        <v>45335</v>
      </c>
      <c r="AY21" s="162">
        <f t="shared" si="20"/>
        <v>3</v>
      </c>
      <c r="AZ21" s="163" t="s">
        <v>882</v>
      </c>
      <c r="BA21" s="162" t="b">
        <f t="shared" si="0"/>
        <v>0</v>
      </c>
      <c r="BF21" s="164">
        <f t="shared" si="35"/>
        <v>183</v>
      </c>
      <c r="BG21" s="164">
        <f t="shared" si="36"/>
        <v>4</v>
      </c>
      <c r="BH21" s="164"/>
      <c r="BI21" s="164">
        <f t="shared" si="37"/>
        <v>48.5</v>
      </c>
      <c r="BJ21" s="164">
        <f t="shared" si="38"/>
        <v>0</v>
      </c>
      <c r="BK21" s="164">
        <f t="shared" si="39"/>
        <v>0</v>
      </c>
      <c r="BL21" s="164">
        <f t="shared" si="40"/>
        <v>196</v>
      </c>
      <c r="BM21" s="164">
        <f t="shared" si="41"/>
        <v>115</v>
      </c>
      <c r="BN21" s="164">
        <f t="shared" si="42"/>
        <v>96.5</v>
      </c>
      <c r="BO21" s="164">
        <f t="shared" si="43"/>
        <v>7</v>
      </c>
      <c r="BP21" s="164">
        <f t="shared" si="44"/>
        <v>11</v>
      </c>
      <c r="BQ21" s="164">
        <f t="shared" si="45"/>
        <v>11</v>
      </c>
      <c r="BR21" s="164">
        <f t="shared" si="46"/>
        <v>0</v>
      </c>
      <c r="BS21" s="129">
        <f>SUMIF('Audit HD AR - School Level'!$A$6:A3493, "=" &amp; A21,'Audit HD AR - School Level'!$Q$6:Q3493)</f>
        <v>11.1</v>
      </c>
      <c r="BT21" s="168">
        <f t="shared" si="47"/>
        <v>0</v>
      </c>
      <c r="BU21" s="168">
        <f t="shared" si="48"/>
        <v>0</v>
      </c>
      <c r="BV21" s="168"/>
      <c r="BW21" s="168">
        <f t="shared" si="16"/>
        <v>0</v>
      </c>
      <c r="BX21" s="164">
        <f t="shared" si="17"/>
        <v>183</v>
      </c>
      <c r="BY21" s="164">
        <f t="shared" si="18"/>
        <v>4</v>
      </c>
    </row>
    <row r="22" spans="1:78">
      <c r="A22" s="129" t="s">
        <v>428</v>
      </c>
      <c r="U22" s="129">
        <v>196.8</v>
      </c>
      <c r="V22" s="129">
        <v>8</v>
      </c>
      <c r="X22" s="129">
        <v>228.3</v>
      </c>
      <c r="AC22" s="129">
        <v>52.5</v>
      </c>
      <c r="AD22" s="129">
        <v>7</v>
      </c>
      <c r="AE22" s="129">
        <v>20.7</v>
      </c>
      <c r="AF22" s="129">
        <v>214</v>
      </c>
      <c r="AG22" s="129">
        <v>90</v>
      </c>
      <c r="AI22" s="129">
        <v>64</v>
      </c>
      <c r="AJ22" s="129">
        <v>1</v>
      </c>
      <c r="AK22" s="129">
        <v>10</v>
      </c>
      <c r="AL22" s="129">
        <v>0</v>
      </c>
      <c r="AO22" s="129">
        <v>0</v>
      </c>
      <c r="AP22" s="129">
        <v>0</v>
      </c>
      <c r="AQ22" s="129">
        <v>0</v>
      </c>
      <c r="AR22" s="129">
        <v>0</v>
      </c>
      <c r="AS22" s="129">
        <v>0</v>
      </c>
      <c r="AT22" s="129">
        <v>0</v>
      </c>
      <c r="AU22" s="129">
        <v>0</v>
      </c>
      <c r="AV22" s="129">
        <v>0</v>
      </c>
      <c r="AW22" s="129">
        <v>126017</v>
      </c>
      <c r="AX22" s="167">
        <v>45335</v>
      </c>
      <c r="AY22" s="162">
        <f t="shared" si="20"/>
        <v>3</v>
      </c>
      <c r="AZ22" s="163" t="s">
        <v>882</v>
      </c>
      <c r="BA22" s="162" t="b">
        <f t="shared" si="0"/>
        <v>0</v>
      </c>
      <c r="BF22" s="164">
        <f t="shared" si="35"/>
        <v>196.8</v>
      </c>
      <c r="BG22" s="164">
        <f t="shared" si="36"/>
        <v>8</v>
      </c>
      <c r="BH22" s="164"/>
      <c r="BI22" s="164">
        <f t="shared" si="37"/>
        <v>52.5</v>
      </c>
      <c r="BJ22" s="164">
        <f t="shared" si="38"/>
        <v>7</v>
      </c>
      <c r="BK22" s="164">
        <f t="shared" si="39"/>
        <v>20.7</v>
      </c>
      <c r="BL22" s="164">
        <f t="shared" si="40"/>
        <v>214</v>
      </c>
      <c r="BM22" s="164">
        <f t="shared" si="41"/>
        <v>90</v>
      </c>
      <c r="BN22" s="164">
        <f t="shared" si="42"/>
        <v>64</v>
      </c>
      <c r="BO22" s="164">
        <f t="shared" si="43"/>
        <v>1</v>
      </c>
      <c r="BP22" s="164">
        <f t="shared" si="44"/>
        <v>10</v>
      </c>
      <c r="BQ22" s="164">
        <f t="shared" si="45"/>
        <v>10</v>
      </c>
      <c r="BR22" s="164">
        <f t="shared" si="46"/>
        <v>0</v>
      </c>
      <c r="BS22" s="129">
        <f>SUMIF('Audit HD AR - School Level'!$A$6:A3494, "=" &amp; A22,'Audit HD AR - School Level'!$Q$6:Q3494)</f>
        <v>6.8</v>
      </c>
      <c r="BT22" s="168">
        <f t="shared" si="47"/>
        <v>0</v>
      </c>
      <c r="BU22" s="168">
        <f t="shared" si="48"/>
        <v>0</v>
      </c>
      <c r="BV22" s="168"/>
      <c r="BW22" s="168">
        <f t="shared" si="16"/>
        <v>0</v>
      </c>
      <c r="BX22" s="164">
        <f t="shared" si="17"/>
        <v>196.8</v>
      </c>
      <c r="BY22" s="164">
        <f t="shared" si="18"/>
        <v>8</v>
      </c>
    </row>
    <row r="23" spans="1:78">
      <c r="A23" s="129" t="s">
        <v>236</v>
      </c>
      <c r="U23" s="129">
        <v>617.1</v>
      </c>
      <c r="V23" s="129">
        <v>0</v>
      </c>
      <c r="X23" s="129">
        <v>633.5</v>
      </c>
      <c r="AC23" s="129">
        <v>123.8</v>
      </c>
      <c r="AD23" s="129">
        <v>0</v>
      </c>
      <c r="AE23" s="129">
        <v>0</v>
      </c>
      <c r="AF23" s="129">
        <v>621</v>
      </c>
      <c r="AG23" s="129">
        <v>266</v>
      </c>
      <c r="AI23" s="129">
        <v>173</v>
      </c>
      <c r="AJ23" s="129">
        <v>23</v>
      </c>
      <c r="AK23" s="129">
        <v>64</v>
      </c>
      <c r="AL23" s="129">
        <v>0</v>
      </c>
      <c r="AO23" s="129">
        <v>0</v>
      </c>
      <c r="AP23" s="129">
        <v>0</v>
      </c>
      <c r="AQ23" s="129">
        <v>0</v>
      </c>
      <c r="AR23" s="129">
        <v>0</v>
      </c>
      <c r="AS23" s="129">
        <v>0</v>
      </c>
      <c r="AT23" s="129">
        <v>0</v>
      </c>
      <c r="AU23" s="129">
        <v>0</v>
      </c>
      <c r="AV23" s="129">
        <v>0</v>
      </c>
      <c r="AW23" s="129">
        <v>237609</v>
      </c>
      <c r="AX23" s="167">
        <v>45342</v>
      </c>
      <c r="AY23" s="162">
        <f t="shared" si="20"/>
        <v>4</v>
      </c>
      <c r="AZ23" s="163" t="s">
        <v>882</v>
      </c>
      <c r="BA23" s="162" t="b">
        <f t="shared" si="0"/>
        <v>0</v>
      </c>
      <c r="BF23" s="164">
        <f t="shared" ref="BF23:BF25" si="49">SUM(U23+C23-AO23-AP23-AR23)</f>
        <v>617.1</v>
      </c>
      <c r="BG23" s="164">
        <f t="shared" ref="BG23:BG25" si="50">SUM(E23+F23+V23+W23)</f>
        <v>0</v>
      </c>
      <c r="BH23" s="164"/>
      <c r="BI23" s="164">
        <f t="shared" ref="BI23:BI25" si="51">SUM(AC23+H23)</f>
        <v>123.8</v>
      </c>
      <c r="BJ23" s="164">
        <f t="shared" ref="BJ23:BJ25" si="52">SUM(AD23+I23)</f>
        <v>0</v>
      </c>
      <c r="BK23" s="164">
        <f t="shared" ref="BK23:BK25" si="53">SUM(AE23+J23)</f>
        <v>0</v>
      </c>
      <c r="BL23" s="164">
        <f t="shared" ref="BL23:BL25" si="54">SUM(AF23+K23)</f>
        <v>621</v>
      </c>
      <c r="BM23" s="164">
        <f t="shared" ref="BM23:BM25" si="55">SUM(AG23+L23)</f>
        <v>266</v>
      </c>
      <c r="BN23" s="164">
        <f t="shared" ref="BN23:BN25" si="56">SUM(AI23+M23)</f>
        <v>173</v>
      </c>
      <c r="BO23" s="164">
        <f t="shared" ref="BO23:BO25" si="57">SUM(AJ23+R23)</f>
        <v>23</v>
      </c>
      <c r="BP23" s="164">
        <f t="shared" ref="BP23:BP25" si="58">SUM(AK23+R23)</f>
        <v>64</v>
      </c>
      <c r="BQ23" s="164">
        <f t="shared" ref="BQ23:BQ25" si="59">SUM(S23+AK23)</f>
        <v>64</v>
      </c>
      <c r="BR23" s="164">
        <f t="shared" ref="BR23:BR25" si="60">SUM(T23+AL23)</f>
        <v>0</v>
      </c>
      <c r="BS23" s="129">
        <f>SUMIF('Audit HD AR - School Level'!$A$6:A3495, "=" &amp; A23,'Audit HD AR - School Level'!$Q$6:Q3495)</f>
        <v>14.9</v>
      </c>
      <c r="BT23" s="168">
        <f t="shared" ref="BT23:BT25" si="61">SUM(AS23-AQ23)*$BT$2</f>
        <v>0</v>
      </c>
      <c r="BU23" s="168">
        <f t="shared" ref="BU23:BU25" si="62">SUM(AU23-AR23)*$BT$2</f>
        <v>0</v>
      </c>
      <c r="BV23" s="168"/>
      <c r="BW23" s="168">
        <f t="shared" si="16"/>
        <v>0</v>
      </c>
      <c r="BX23" s="164">
        <f t="shared" si="17"/>
        <v>617.1</v>
      </c>
      <c r="BY23" s="164">
        <f t="shared" si="18"/>
        <v>0</v>
      </c>
    </row>
    <row r="24" spans="1:78">
      <c r="A24" s="129" t="s">
        <v>311</v>
      </c>
      <c r="U24" s="129">
        <v>379.7</v>
      </c>
      <c r="V24" s="129">
        <v>8</v>
      </c>
      <c r="X24" s="129">
        <v>391</v>
      </c>
      <c r="AC24" s="129">
        <v>175.4</v>
      </c>
      <c r="AD24" s="129">
        <v>3</v>
      </c>
      <c r="AE24" s="129">
        <v>0</v>
      </c>
      <c r="AF24" s="129">
        <v>399</v>
      </c>
      <c r="AG24" s="129">
        <v>106</v>
      </c>
      <c r="AI24" s="129">
        <v>229</v>
      </c>
      <c r="AJ24" s="129">
        <v>55.5</v>
      </c>
      <c r="AK24" s="129">
        <v>10</v>
      </c>
      <c r="AL24" s="129">
        <v>0</v>
      </c>
      <c r="AO24" s="129">
        <v>1</v>
      </c>
      <c r="AP24" s="129">
        <v>0</v>
      </c>
      <c r="AQ24" s="129">
        <v>0</v>
      </c>
      <c r="AR24" s="129">
        <v>6</v>
      </c>
      <c r="AS24" s="129">
        <v>0</v>
      </c>
      <c r="AT24" s="129">
        <v>0</v>
      </c>
      <c r="AU24" s="129">
        <v>0</v>
      </c>
      <c r="AV24" s="129">
        <v>0</v>
      </c>
      <c r="AW24" s="129">
        <v>390516</v>
      </c>
      <c r="AX24" s="167">
        <v>45342</v>
      </c>
      <c r="AY24" s="162">
        <f t="shared" si="20"/>
        <v>4</v>
      </c>
      <c r="AZ24" s="163" t="s">
        <v>882</v>
      </c>
      <c r="BA24" s="162" t="b">
        <f t="shared" si="0"/>
        <v>0</v>
      </c>
      <c r="BF24" s="164">
        <f t="shared" si="49"/>
        <v>372.7</v>
      </c>
      <c r="BG24" s="164">
        <f t="shared" si="50"/>
        <v>8</v>
      </c>
      <c r="BH24" s="164"/>
      <c r="BI24" s="164">
        <f t="shared" si="51"/>
        <v>175.4</v>
      </c>
      <c r="BJ24" s="164">
        <f t="shared" si="52"/>
        <v>3</v>
      </c>
      <c r="BK24" s="164">
        <f t="shared" si="53"/>
        <v>0</v>
      </c>
      <c r="BL24" s="164">
        <f t="shared" si="54"/>
        <v>399</v>
      </c>
      <c r="BM24" s="164">
        <f t="shared" si="55"/>
        <v>106</v>
      </c>
      <c r="BN24" s="164">
        <f t="shared" si="56"/>
        <v>229</v>
      </c>
      <c r="BO24" s="164">
        <f t="shared" si="57"/>
        <v>55.5</v>
      </c>
      <c r="BP24" s="164">
        <f t="shared" si="58"/>
        <v>10</v>
      </c>
      <c r="BQ24" s="164">
        <f t="shared" si="59"/>
        <v>10</v>
      </c>
      <c r="BR24" s="164">
        <f t="shared" si="60"/>
        <v>0</v>
      </c>
      <c r="BS24" s="129">
        <f>SUMIF('Audit HD AR - School Level'!$A$6:A3497, "=" &amp; A24,'Audit HD AR - School Level'!$Q$6:Q3497)</f>
        <v>0</v>
      </c>
      <c r="BT24" s="168">
        <f t="shared" si="61"/>
        <v>0</v>
      </c>
      <c r="BU24" s="168">
        <f t="shared" si="62"/>
        <v>-4254</v>
      </c>
      <c r="BV24" s="168"/>
      <c r="BW24" s="168">
        <f t="shared" si="16"/>
        <v>-4254</v>
      </c>
      <c r="BX24" s="164">
        <f t="shared" si="17"/>
        <v>378.7</v>
      </c>
      <c r="BY24" s="164">
        <f t="shared" si="18"/>
        <v>8</v>
      </c>
    </row>
    <row r="25" spans="1:78">
      <c r="A25" s="129" t="s">
        <v>471</v>
      </c>
      <c r="U25" s="129">
        <v>225.5</v>
      </c>
      <c r="V25" s="129">
        <v>6.5</v>
      </c>
      <c r="X25" s="129">
        <v>248</v>
      </c>
      <c r="AC25" s="129">
        <v>77.900000000000006</v>
      </c>
      <c r="AD25" s="129">
        <v>83</v>
      </c>
      <c r="AE25" s="129">
        <v>459.4</v>
      </c>
      <c r="AF25" s="129">
        <v>242</v>
      </c>
      <c r="AG25" s="129">
        <v>142</v>
      </c>
      <c r="AI25" s="129">
        <v>50</v>
      </c>
      <c r="AJ25" s="129">
        <v>2</v>
      </c>
      <c r="AK25" s="129">
        <v>9</v>
      </c>
      <c r="AL25" s="129">
        <v>0</v>
      </c>
      <c r="AO25" s="129">
        <v>0</v>
      </c>
      <c r="AP25" s="129">
        <v>0</v>
      </c>
      <c r="AQ25" s="129">
        <v>0</v>
      </c>
      <c r="AR25" s="129">
        <v>0</v>
      </c>
      <c r="AS25" s="129">
        <v>0</v>
      </c>
      <c r="AT25" s="129">
        <v>0</v>
      </c>
      <c r="AU25" s="129">
        <v>0</v>
      </c>
      <c r="AV25" s="129">
        <v>0</v>
      </c>
      <c r="AW25" s="129">
        <v>145008</v>
      </c>
      <c r="AX25" s="167">
        <v>45342</v>
      </c>
      <c r="AY25" s="162">
        <f t="shared" si="20"/>
        <v>4</v>
      </c>
      <c r="AZ25" s="163" t="s">
        <v>882</v>
      </c>
      <c r="BA25" s="162" t="b">
        <f t="shared" si="0"/>
        <v>0</v>
      </c>
      <c r="BF25" s="164">
        <f t="shared" si="49"/>
        <v>225.5</v>
      </c>
      <c r="BG25" s="164">
        <f t="shared" si="50"/>
        <v>6.5</v>
      </c>
      <c r="BH25" s="164"/>
      <c r="BI25" s="164">
        <f t="shared" si="51"/>
        <v>77.900000000000006</v>
      </c>
      <c r="BJ25" s="164">
        <f t="shared" si="52"/>
        <v>83</v>
      </c>
      <c r="BK25" s="164">
        <f t="shared" si="53"/>
        <v>459.4</v>
      </c>
      <c r="BL25" s="164">
        <f t="shared" si="54"/>
        <v>242</v>
      </c>
      <c r="BM25" s="164">
        <f t="shared" si="55"/>
        <v>142</v>
      </c>
      <c r="BN25" s="164">
        <f t="shared" si="56"/>
        <v>50</v>
      </c>
      <c r="BO25" s="164">
        <f t="shared" si="57"/>
        <v>2</v>
      </c>
      <c r="BP25" s="164">
        <f t="shared" si="58"/>
        <v>9</v>
      </c>
      <c r="BQ25" s="164">
        <f t="shared" si="59"/>
        <v>9</v>
      </c>
      <c r="BR25" s="164">
        <f t="shared" si="60"/>
        <v>0</v>
      </c>
      <c r="BS25" s="129">
        <f>SUMIF('Audit HD AR - School Level'!$A$6:A3499, "=" &amp; A25,'Audit HD AR - School Level'!$Q$6:Q3499)</f>
        <v>14.9</v>
      </c>
      <c r="BT25" s="168">
        <f t="shared" si="61"/>
        <v>0</v>
      </c>
      <c r="BU25" s="168">
        <f t="shared" si="62"/>
        <v>0</v>
      </c>
      <c r="BV25" s="168"/>
      <c r="BW25" s="168">
        <f t="shared" si="16"/>
        <v>0</v>
      </c>
      <c r="BX25" s="164">
        <f t="shared" si="17"/>
        <v>225.5</v>
      </c>
      <c r="BY25" s="164">
        <f t="shared" si="18"/>
        <v>6.5</v>
      </c>
    </row>
    <row r="26" spans="1:78">
      <c r="A26" s="129" t="s">
        <v>288</v>
      </c>
      <c r="U26" s="129">
        <v>311.10000000000002</v>
      </c>
      <c r="V26" s="129">
        <v>11.5</v>
      </c>
      <c r="X26" s="129">
        <v>320</v>
      </c>
      <c r="AC26" s="129">
        <v>140.80000000000001</v>
      </c>
      <c r="AD26" s="129">
        <v>4</v>
      </c>
      <c r="AE26" s="129">
        <v>0.7</v>
      </c>
      <c r="AF26" s="129">
        <v>338</v>
      </c>
      <c r="AG26" s="129">
        <v>155</v>
      </c>
      <c r="AI26" s="129">
        <v>108</v>
      </c>
      <c r="AJ26" s="129">
        <v>0</v>
      </c>
      <c r="AK26" s="129">
        <v>0</v>
      </c>
      <c r="AL26" s="129">
        <v>0</v>
      </c>
      <c r="AO26" s="129">
        <v>0</v>
      </c>
      <c r="AP26" s="129">
        <v>0</v>
      </c>
      <c r="AQ26" s="129">
        <v>0</v>
      </c>
      <c r="AR26" s="129">
        <v>0</v>
      </c>
      <c r="AS26" s="129">
        <v>0</v>
      </c>
      <c r="AT26" s="129">
        <v>0</v>
      </c>
      <c r="AU26" s="129">
        <v>0</v>
      </c>
      <c r="AV26" s="129">
        <v>0</v>
      </c>
      <c r="AW26" s="129">
        <v>279972</v>
      </c>
      <c r="AX26" s="167">
        <v>45342</v>
      </c>
      <c r="AY26" s="162">
        <f t="shared" si="20"/>
        <v>4</v>
      </c>
      <c r="AZ26" s="163" t="s">
        <v>882</v>
      </c>
      <c r="BA26" s="162" t="b">
        <f t="shared" si="0"/>
        <v>0</v>
      </c>
      <c r="BF26" s="164">
        <f t="shared" ref="BF26" si="63">SUM(U26+C26-AO26-AP26-AR26)</f>
        <v>311.10000000000002</v>
      </c>
      <c r="BG26" s="164">
        <f t="shared" ref="BG26" si="64">SUM(E26+F26+V26+W26)</f>
        <v>11.5</v>
      </c>
      <c r="BH26" s="164"/>
      <c r="BI26" s="164">
        <f t="shared" ref="BI26" si="65">SUM(AC26+H26)</f>
        <v>140.80000000000001</v>
      </c>
      <c r="BJ26" s="164">
        <f t="shared" ref="BJ26" si="66">SUM(AD26+I26)</f>
        <v>4</v>
      </c>
      <c r="BK26" s="164">
        <f t="shared" ref="BK26" si="67">SUM(AE26+J26)</f>
        <v>0.7</v>
      </c>
      <c r="BL26" s="164">
        <f t="shared" ref="BL26" si="68">SUM(AF26+K26)</f>
        <v>338</v>
      </c>
      <c r="BM26" s="164">
        <f t="shared" ref="BM26" si="69">SUM(AG26+L26)</f>
        <v>155</v>
      </c>
      <c r="BN26" s="164">
        <f t="shared" ref="BN26" si="70">SUM(AI26+M26)</f>
        <v>108</v>
      </c>
      <c r="BO26" s="164">
        <f t="shared" ref="BO26" si="71">SUM(AJ26+R26)</f>
        <v>0</v>
      </c>
      <c r="BP26" s="164">
        <f t="shared" ref="BP26" si="72">SUM(AK26+R26)</f>
        <v>0</v>
      </c>
      <c r="BQ26" s="164">
        <f t="shared" ref="BQ26" si="73">SUM(S26+AK26)</f>
        <v>0</v>
      </c>
      <c r="BR26" s="164">
        <f t="shared" ref="BR26" si="74">SUM(T26+AL26)</f>
        <v>0</v>
      </c>
      <c r="BS26" s="129">
        <f>SUMIF('Audit HD AR - School Level'!$A$6:A3500, "=" &amp; A26,'Audit HD AR - School Level'!$Q$6:Q3500)</f>
        <v>11.8</v>
      </c>
      <c r="BT26" s="168">
        <f t="shared" ref="BT26" si="75">SUM(AS26-AQ26)*$BT$2</f>
        <v>0</v>
      </c>
      <c r="BU26" s="168">
        <f t="shared" ref="BU26" si="76">SUM(AU26-AR26)*$BT$2</f>
        <v>0</v>
      </c>
      <c r="BV26" s="168"/>
      <c r="BW26" s="168">
        <f t="shared" si="16"/>
        <v>0</v>
      </c>
      <c r="BX26" s="164">
        <f t="shared" si="17"/>
        <v>311.10000000000002</v>
      </c>
      <c r="BY26" s="164">
        <f t="shared" si="18"/>
        <v>11.5</v>
      </c>
      <c r="BZ26" s="129">
        <v>1</v>
      </c>
    </row>
    <row r="27" spans="1:78">
      <c r="A27" s="129" t="s">
        <v>200</v>
      </c>
      <c r="U27" s="129">
        <v>1027</v>
      </c>
      <c r="V27" s="129">
        <v>9.5</v>
      </c>
      <c r="X27" s="129">
        <v>485.5</v>
      </c>
      <c r="AC27" s="129">
        <v>88.6</v>
      </c>
      <c r="AD27" s="129">
        <v>0</v>
      </c>
      <c r="AE27" s="129">
        <v>0</v>
      </c>
      <c r="AF27" s="129">
        <v>426</v>
      </c>
      <c r="AG27" s="129">
        <v>169</v>
      </c>
      <c r="AI27" s="129">
        <v>248</v>
      </c>
      <c r="AJ27" s="129">
        <v>1</v>
      </c>
      <c r="AK27" s="129">
        <v>1</v>
      </c>
      <c r="AL27" s="129">
        <v>0</v>
      </c>
      <c r="AO27" s="129">
        <v>12</v>
      </c>
      <c r="AP27" s="129">
        <v>0</v>
      </c>
      <c r="AQ27" s="129">
        <v>2800</v>
      </c>
      <c r="AR27" s="129">
        <v>0</v>
      </c>
      <c r="AS27" s="129">
        <v>2624.5</v>
      </c>
      <c r="AT27" s="129">
        <v>612</v>
      </c>
      <c r="AU27" s="129">
        <v>0</v>
      </c>
      <c r="AV27" s="129">
        <v>1</v>
      </c>
      <c r="AW27" s="129">
        <v>355245</v>
      </c>
      <c r="AX27" s="167">
        <v>45341</v>
      </c>
      <c r="AY27" s="162">
        <f t="shared" si="20"/>
        <v>5</v>
      </c>
      <c r="AZ27" s="163" t="s">
        <v>882</v>
      </c>
      <c r="BA27" s="162" t="b">
        <f t="shared" si="0"/>
        <v>0</v>
      </c>
      <c r="BF27" s="164">
        <f t="shared" ref="BF27:BF37" si="77">SUM(U27+C27-AO27-AP27-AR27)</f>
        <v>1015</v>
      </c>
      <c r="BG27" s="164">
        <f t="shared" ref="BG27:BG37" si="78">SUM(E27+F27+V27+W27)</f>
        <v>9.5</v>
      </c>
      <c r="BH27" s="164"/>
      <c r="BI27" s="164">
        <f t="shared" ref="BI27:BI37" si="79">SUM(AC27+H27)</f>
        <v>88.6</v>
      </c>
      <c r="BJ27" s="164">
        <f t="shared" ref="BJ27:BJ37" si="80">SUM(AD27+I27)</f>
        <v>0</v>
      </c>
      <c r="BK27" s="164">
        <f t="shared" ref="BK27:BK37" si="81">SUM(AE27+J27)</f>
        <v>0</v>
      </c>
      <c r="BL27" s="164">
        <f t="shared" ref="BL27:BL37" si="82">SUM(AF27+K27)</f>
        <v>426</v>
      </c>
      <c r="BM27" s="164">
        <f t="shared" ref="BM27:BM37" si="83">SUM(AG27+L27)</f>
        <v>169</v>
      </c>
      <c r="BN27" s="164">
        <f t="shared" ref="BN27:BN37" si="84">SUM(AI27+M27)</f>
        <v>248</v>
      </c>
      <c r="BO27" s="164">
        <f t="shared" ref="BO27:BO37" si="85">SUM(AJ27+R27)</f>
        <v>1</v>
      </c>
      <c r="BP27" s="164">
        <f t="shared" ref="BP27:BP37" si="86">SUM(AK27+R27)</f>
        <v>1</v>
      </c>
      <c r="BQ27" s="164">
        <f t="shared" ref="BQ27:BQ37" si="87">SUM(S27+AK27)</f>
        <v>1</v>
      </c>
      <c r="BR27" s="164">
        <f t="shared" ref="BR27:BR37" si="88">SUM(T27+AL27)</f>
        <v>0</v>
      </c>
      <c r="BS27" s="129">
        <f>SUMIF('Audit HD AR - School Level'!$A$6:A3501, "=" &amp; A27,'Audit HD AR - School Level'!$Q$6:Q3501)</f>
        <v>6.7</v>
      </c>
      <c r="BT27" s="168">
        <f t="shared" ref="BT27:BT37" si="89">SUM(AS27-AQ27)*$BT$2</f>
        <v>-124430</v>
      </c>
      <c r="BU27" s="168">
        <f t="shared" ref="BU27:BU37" si="90">SUM(AU27-AR27)*$BT$2</f>
        <v>0</v>
      </c>
      <c r="BV27" s="168"/>
      <c r="BW27" s="168">
        <f t="shared" si="16"/>
        <v>-124430</v>
      </c>
      <c r="BX27" s="164">
        <f t="shared" si="17"/>
        <v>403</v>
      </c>
      <c r="BY27" s="164">
        <f t="shared" si="18"/>
        <v>9.5</v>
      </c>
    </row>
    <row r="28" spans="1:78">
      <c r="A28" s="129" t="s">
        <v>226</v>
      </c>
      <c r="U28" s="129">
        <v>328.9</v>
      </c>
      <c r="V28" s="129">
        <v>10</v>
      </c>
      <c r="X28" s="129">
        <v>370.5</v>
      </c>
      <c r="AC28" s="129">
        <v>53.4</v>
      </c>
      <c r="AD28" s="129">
        <v>5</v>
      </c>
      <c r="AE28" s="129">
        <v>13.1</v>
      </c>
      <c r="AF28" s="129">
        <v>353</v>
      </c>
      <c r="AG28" s="129">
        <v>124</v>
      </c>
      <c r="AI28" s="129">
        <v>42</v>
      </c>
      <c r="AJ28" s="129">
        <v>6</v>
      </c>
      <c r="AK28" s="129">
        <v>7</v>
      </c>
      <c r="AL28" s="129">
        <v>0</v>
      </c>
      <c r="AO28" s="129">
        <v>0</v>
      </c>
      <c r="AP28" s="129">
        <v>0</v>
      </c>
      <c r="AQ28" s="129">
        <v>0</v>
      </c>
      <c r="AR28" s="129">
        <v>0</v>
      </c>
      <c r="AS28" s="129">
        <v>0</v>
      </c>
      <c r="AT28" s="129">
        <v>0</v>
      </c>
      <c r="AU28" s="129">
        <v>0</v>
      </c>
      <c r="AV28" s="129">
        <v>0</v>
      </c>
      <c r="AW28" s="129">
        <v>120167</v>
      </c>
      <c r="AX28" s="167">
        <v>45341</v>
      </c>
      <c r="AY28" s="162">
        <f t="shared" si="20"/>
        <v>5</v>
      </c>
      <c r="AZ28" s="163" t="s">
        <v>882</v>
      </c>
      <c r="BA28" s="162" t="b">
        <f t="shared" si="0"/>
        <v>0</v>
      </c>
      <c r="BF28" s="164">
        <f t="shared" si="77"/>
        <v>328.9</v>
      </c>
      <c r="BG28" s="164">
        <f t="shared" si="78"/>
        <v>10</v>
      </c>
      <c r="BH28" s="164"/>
      <c r="BI28" s="164">
        <f t="shared" si="79"/>
        <v>53.4</v>
      </c>
      <c r="BJ28" s="164">
        <f t="shared" si="80"/>
        <v>5</v>
      </c>
      <c r="BK28" s="164">
        <f t="shared" si="81"/>
        <v>13.1</v>
      </c>
      <c r="BL28" s="164">
        <f t="shared" si="82"/>
        <v>353</v>
      </c>
      <c r="BM28" s="164">
        <f t="shared" si="83"/>
        <v>124</v>
      </c>
      <c r="BN28" s="164">
        <f t="shared" si="84"/>
        <v>42</v>
      </c>
      <c r="BO28" s="164">
        <f t="shared" si="85"/>
        <v>6</v>
      </c>
      <c r="BP28" s="164">
        <f t="shared" si="86"/>
        <v>7</v>
      </c>
      <c r="BQ28" s="164">
        <f t="shared" si="87"/>
        <v>7</v>
      </c>
      <c r="BR28" s="164">
        <f t="shared" si="88"/>
        <v>0</v>
      </c>
      <c r="BS28" s="129">
        <f>SUMIF('Audit HD AR - School Level'!$A$6:A3502, "=" &amp; A28,'Audit HD AR - School Level'!$Q$6:Q3502)</f>
        <v>1.9</v>
      </c>
      <c r="BT28" s="168">
        <f t="shared" si="89"/>
        <v>0</v>
      </c>
      <c r="BU28" s="168">
        <f t="shared" si="90"/>
        <v>0</v>
      </c>
      <c r="BV28" s="168"/>
      <c r="BW28" s="168">
        <f t="shared" si="16"/>
        <v>0</v>
      </c>
      <c r="BX28" s="164">
        <f t="shared" si="17"/>
        <v>328.9</v>
      </c>
      <c r="BY28" s="164">
        <f t="shared" si="18"/>
        <v>10</v>
      </c>
    </row>
    <row r="29" spans="1:78">
      <c r="A29" s="129" t="s">
        <v>290</v>
      </c>
      <c r="U29" s="129">
        <v>303</v>
      </c>
      <c r="V29" s="129">
        <v>2.5</v>
      </c>
      <c r="X29" s="129">
        <v>310.5</v>
      </c>
      <c r="AC29" s="129">
        <v>62.9</v>
      </c>
      <c r="AD29" s="129">
        <v>0</v>
      </c>
      <c r="AE29" s="129">
        <v>0</v>
      </c>
      <c r="AF29" s="129">
        <v>309</v>
      </c>
      <c r="AG29" s="129">
        <v>125</v>
      </c>
      <c r="AI29" s="129">
        <v>199</v>
      </c>
      <c r="AJ29" s="129">
        <v>0</v>
      </c>
      <c r="AK29" s="129">
        <v>6</v>
      </c>
      <c r="AL29" s="129">
        <v>0</v>
      </c>
      <c r="AO29" s="129">
        <v>0</v>
      </c>
      <c r="AP29" s="129">
        <v>0</v>
      </c>
      <c r="AQ29" s="129">
        <v>0</v>
      </c>
      <c r="AR29" s="129">
        <v>0</v>
      </c>
      <c r="AS29" s="129">
        <v>0</v>
      </c>
      <c r="AT29" s="129">
        <v>0</v>
      </c>
      <c r="AU29" s="129">
        <v>0</v>
      </c>
      <c r="AV29" s="129">
        <v>0</v>
      </c>
      <c r="AW29" s="129">
        <v>246081</v>
      </c>
      <c r="AX29" s="167">
        <v>45341</v>
      </c>
      <c r="AY29" s="162">
        <f t="shared" si="20"/>
        <v>5</v>
      </c>
      <c r="AZ29" s="163" t="s">
        <v>882</v>
      </c>
      <c r="BA29" s="162" t="b">
        <f t="shared" si="0"/>
        <v>0</v>
      </c>
      <c r="BF29" s="164">
        <f t="shared" si="77"/>
        <v>303</v>
      </c>
      <c r="BG29" s="164">
        <f t="shared" si="78"/>
        <v>2.5</v>
      </c>
      <c r="BH29" s="164"/>
      <c r="BI29" s="164">
        <f t="shared" si="79"/>
        <v>62.9</v>
      </c>
      <c r="BJ29" s="164">
        <f t="shared" si="80"/>
        <v>0</v>
      </c>
      <c r="BK29" s="164">
        <f t="shared" si="81"/>
        <v>0</v>
      </c>
      <c r="BL29" s="164">
        <f t="shared" si="82"/>
        <v>309</v>
      </c>
      <c r="BM29" s="164">
        <f t="shared" si="83"/>
        <v>125</v>
      </c>
      <c r="BN29" s="164">
        <f t="shared" si="84"/>
        <v>199</v>
      </c>
      <c r="BO29" s="164">
        <f t="shared" si="85"/>
        <v>0</v>
      </c>
      <c r="BP29" s="164">
        <f t="shared" si="86"/>
        <v>6</v>
      </c>
      <c r="BQ29" s="164">
        <f t="shared" si="87"/>
        <v>6</v>
      </c>
      <c r="BR29" s="164">
        <f t="shared" si="88"/>
        <v>0</v>
      </c>
      <c r="BS29" s="129">
        <f>SUMIF('Audit HD AR - School Level'!$A$6:A3503, "=" &amp; A29,'Audit HD AR - School Level'!$Q$6:Q3503)</f>
        <v>6.9</v>
      </c>
      <c r="BT29" s="168">
        <f t="shared" si="89"/>
        <v>0</v>
      </c>
      <c r="BU29" s="168">
        <f t="shared" si="90"/>
        <v>0</v>
      </c>
      <c r="BV29" s="168"/>
      <c r="BW29" s="168">
        <f t="shared" si="16"/>
        <v>0</v>
      </c>
      <c r="BX29" s="164">
        <f t="shared" si="17"/>
        <v>303</v>
      </c>
      <c r="BY29" s="164">
        <f t="shared" si="18"/>
        <v>2.5</v>
      </c>
    </row>
    <row r="30" spans="1:78">
      <c r="A30" s="129" t="s">
        <v>310</v>
      </c>
      <c r="U30" s="129">
        <v>641.79999999999995</v>
      </c>
      <c r="V30" s="129">
        <v>0</v>
      </c>
      <c r="X30" s="129">
        <v>643.1</v>
      </c>
      <c r="AC30" s="129">
        <v>60.9</v>
      </c>
      <c r="AD30" s="129">
        <v>1</v>
      </c>
      <c r="AE30" s="129">
        <v>0</v>
      </c>
      <c r="AF30" s="129">
        <v>646</v>
      </c>
      <c r="AG30" s="129">
        <v>171</v>
      </c>
      <c r="AI30" s="129">
        <v>276</v>
      </c>
      <c r="AJ30" s="129">
        <v>0</v>
      </c>
      <c r="AK30" s="129">
        <v>0</v>
      </c>
      <c r="AL30" s="129">
        <v>0</v>
      </c>
      <c r="AO30" s="129">
        <v>0</v>
      </c>
      <c r="AP30" s="129">
        <v>0</v>
      </c>
      <c r="AQ30" s="129">
        <v>0</v>
      </c>
      <c r="AR30" s="129">
        <v>0</v>
      </c>
      <c r="AS30" s="129">
        <v>0</v>
      </c>
      <c r="AT30" s="129">
        <v>0</v>
      </c>
      <c r="AU30" s="129">
        <v>0</v>
      </c>
      <c r="AV30" s="129">
        <v>0</v>
      </c>
      <c r="AW30" s="129">
        <v>301669</v>
      </c>
      <c r="AX30" s="167">
        <v>45341</v>
      </c>
      <c r="AY30" s="162">
        <f t="shared" si="20"/>
        <v>5</v>
      </c>
      <c r="AZ30" s="163" t="s">
        <v>882</v>
      </c>
      <c r="BA30" s="162" t="b">
        <f t="shared" si="0"/>
        <v>0</v>
      </c>
      <c r="BF30" s="164">
        <f t="shared" si="77"/>
        <v>641.79999999999995</v>
      </c>
      <c r="BG30" s="164">
        <f t="shared" si="78"/>
        <v>0</v>
      </c>
      <c r="BH30" s="164"/>
      <c r="BI30" s="164">
        <f t="shared" si="79"/>
        <v>60.9</v>
      </c>
      <c r="BJ30" s="164">
        <f t="shared" si="80"/>
        <v>1</v>
      </c>
      <c r="BK30" s="164">
        <f t="shared" si="81"/>
        <v>0</v>
      </c>
      <c r="BL30" s="164">
        <f t="shared" si="82"/>
        <v>646</v>
      </c>
      <c r="BM30" s="164">
        <f t="shared" si="83"/>
        <v>171</v>
      </c>
      <c r="BN30" s="164">
        <f t="shared" si="84"/>
        <v>276</v>
      </c>
      <c r="BO30" s="164">
        <f t="shared" si="85"/>
        <v>0</v>
      </c>
      <c r="BP30" s="164">
        <f t="shared" si="86"/>
        <v>0</v>
      </c>
      <c r="BQ30" s="164">
        <f t="shared" si="87"/>
        <v>0</v>
      </c>
      <c r="BR30" s="164">
        <f t="shared" si="88"/>
        <v>0</v>
      </c>
      <c r="BS30" s="129">
        <f>SUMIF('Audit HD AR - School Level'!$A$6:A3504, "=" &amp; A30,'Audit HD AR - School Level'!$Q$6:Q3504)</f>
        <v>0</v>
      </c>
      <c r="BT30" s="168">
        <f t="shared" si="89"/>
        <v>0</v>
      </c>
      <c r="BU30" s="168">
        <f t="shared" si="90"/>
        <v>0</v>
      </c>
      <c r="BV30" s="168"/>
      <c r="BW30" s="168">
        <f t="shared" si="16"/>
        <v>0</v>
      </c>
      <c r="BX30" s="164">
        <f t="shared" si="17"/>
        <v>641.79999999999995</v>
      </c>
      <c r="BY30" s="164">
        <f t="shared" si="18"/>
        <v>0</v>
      </c>
      <c r="BZ30" s="129">
        <v>1</v>
      </c>
    </row>
    <row r="31" spans="1:78">
      <c r="A31" s="129" t="s">
        <v>319</v>
      </c>
      <c r="U31" s="129">
        <v>824.1</v>
      </c>
      <c r="V31" s="129">
        <v>9</v>
      </c>
      <c r="X31" s="129">
        <v>830.5</v>
      </c>
      <c r="AC31" s="129">
        <v>178.6</v>
      </c>
      <c r="AD31" s="129">
        <v>2</v>
      </c>
      <c r="AE31" s="129">
        <v>0.8</v>
      </c>
      <c r="AF31" s="129">
        <v>849</v>
      </c>
      <c r="AG31" s="129">
        <v>361</v>
      </c>
      <c r="AI31" s="129">
        <v>580</v>
      </c>
      <c r="AJ31" s="129">
        <v>142</v>
      </c>
      <c r="AK31" s="129">
        <v>0</v>
      </c>
      <c r="AL31" s="129">
        <v>0</v>
      </c>
      <c r="AO31" s="129">
        <v>1</v>
      </c>
      <c r="AP31" s="129">
        <v>0</v>
      </c>
      <c r="AQ31" s="129">
        <v>0</v>
      </c>
      <c r="AR31" s="129">
        <v>0</v>
      </c>
      <c r="AS31" s="129">
        <v>0</v>
      </c>
      <c r="AT31" s="129">
        <v>0</v>
      </c>
      <c r="AU31" s="129">
        <v>0</v>
      </c>
      <c r="AV31" s="129">
        <v>0</v>
      </c>
      <c r="AW31" s="129">
        <v>625388</v>
      </c>
      <c r="AX31" s="167">
        <v>45341</v>
      </c>
      <c r="AY31" s="162">
        <f t="shared" si="20"/>
        <v>5</v>
      </c>
      <c r="AZ31" s="163" t="s">
        <v>882</v>
      </c>
      <c r="BA31" s="162" t="b">
        <f t="shared" si="0"/>
        <v>0</v>
      </c>
      <c r="BF31" s="164">
        <f t="shared" si="77"/>
        <v>823.1</v>
      </c>
      <c r="BG31" s="164">
        <f t="shared" si="78"/>
        <v>9</v>
      </c>
      <c r="BH31" s="164"/>
      <c r="BI31" s="164">
        <f t="shared" si="79"/>
        <v>178.6</v>
      </c>
      <c r="BJ31" s="164">
        <f t="shared" si="80"/>
        <v>2</v>
      </c>
      <c r="BK31" s="164">
        <f t="shared" si="81"/>
        <v>0.8</v>
      </c>
      <c r="BL31" s="164">
        <f t="shared" si="82"/>
        <v>849</v>
      </c>
      <c r="BM31" s="164">
        <f t="shared" si="83"/>
        <v>361</v>
      </c>
      <c r="BN31" s="164">
        <f t="shared" si="84"/>
        <v>580</v>
      </c>
      <c r="BO31" s="164">
        <f t="shared" si="85"/>
        <v>142</v>
      </c>
      <c r="BP31" s="164">
        <f t="shared" si="86"/>
        <v>0</v>
      </c>
      <c r="BQ31" s="164">
        <f t="shared" si="87"/>
        <v>0</v>
      </c>
      <c r="BR31" s="164">
        <f t="shared" si="88"/>
        <v>0</v>
      </c>
      <c r="BS31" s="129">
        <f>SUMIF('Audit HD AR - School Level'!$A$6:A3505, "=" &amp; A31,'Audit HD AR - School Level'!$Q$6:Q3505)</f>
        <v>25.3</v>
      </c>
      <c r="BT31" s="168">
        <f t="shared" si="89"/>
        <v>0</v>
      </c>
      <c r="BU31" s="168">
        <f t="shared" si="90"/>
        <v>0</v>
      </c>
      <c r="BV31" s="168">
        <v>0</v>
      </c>
      <c r="BW31" s="168">
        <f t="shared" si="16"/>
        <v>0</v>
      </c>
      <c r="BX31" s="164">
        <f t="shared" si="17"/>
        <v>823.1</v>
      </c>
      <c r="BY31" s="164">
        <f t="shared" si="18"/>
        <v>9</v>
      </c>
    </row>
    <row r="32" spans="1:78">
      <c r="A32" s="129" t="s">
        <v>361</v>
      </c>
      <c r="U32" s="129">
        <v>340</v>
      </c>
      <c r="V32" s="129">
        <v>2</v>
      </c>
      <c r="X32" s="129">
        <v>327.5</v>
      </c>
      <c r="AC32" s="129">
        <v>89.3</v>
      </c>
      <c r="AD32" s="129">
        <v>12</v>
      </c>
      <c r="AE32" s="129">
        <v>32.1</v>
      </c>
      <c r="AF32" s="129">
        <v>350</v>
      </c>
      <c r="AG32" s="129">
        <v>95</v>
      </c>
      <c r="AI32" s="129">
        <v>55</v>
      </c>
      <c r="AJ32" s="129">
        <v>1</v>
      </c>
      <c r="AK32" s="129">
        <v>115</v>
      </c>
      <c r="AL32" s="129">
        <v>0</v>
      </c>
      <c r="AO32" s="129">
        <v>0</v>
      </c>
      <c r="AP32" s="129">
        <v>0</v>
      </c>
      <c r="AQ32" s="129">
        <v>0</v>
      </c>
      <c r="AR32" s="129">
        <v>0</v>
      </c>
      <c r="AS32" s="129">
        <v>0</v>
      </c>
      <c r="AT32" s="129">
        <v>0</v>
      </c>
      <c r="AU32" s="129">
        <v>0</v>
      </c>
      <c r="AV32" s="129">
        <v>1</v>
      </c>
      <c r="AW32" s="129">
        <v>151464</v>
      </c>
      <c r="AX32" s="167">
        <v>45341</v>
      </c>
      <c r="AY32" s="162">
        <f t="shared" si="20"/>
        <v>5</v>
      </c>
      <c r="AZ32" s="163" t="s">
        <v>882</v>
      </c>
      <c r="BA32" s="162" t="b">
        <f t="shared" si="0"/>
        <v>0</v>
      </c>
      <c r="BF32" s="164">
        <f t="shared" si="77"/>
        <v>340</v>
      </c>
      <c r="BG32" s="164">
        <f t="shared" si="78"/>
        <v>2</v>
      </c>
      <c r="BH32" s="164"/>
      <c r="BI32" s="164">
        <f t="shared" si="79"/>
        <v>89.3</v>
      </c>
      <c r="BJ32" s="164">
        <f t="shared" si="80"/>
        <v>12</v>
      </c>
      <c r="BK32" s="164">
        <f t="shared" si="81"/>
        <v>32.1</v>
      </c>
      <c r="BL32" s="164">
        <f t="shared" si="82"/>
        <v>350</v>
      </c>
      <c r="BM32" s="164">
        <f t="shared" si="83"/>
        <v>95</v>
      </c>
      <c r="BN32" s="164">
        <f t="shared" si="84"/>
        <v>55</v>
      </c>
      <c r="BO32" s="164">
        <f t="shared" si="85"/>
        <v>1</v>
      </c>
      <c r="BP32" s="164">
        <f t="shared" si="86"/>
        <v>115</v>
      </c>
      <c r="BQ32" s="164">
        <f t="shared" si="87"/>
        <v>115</v>
      </c>
      <c r="BR32" s="164">
        <f t="shared" si="88"/>
        <v>0</v>
      </c>
      <c r="BS32" s="129">
        <f>SUMIF('Audit HD AR - School Level'!$A$6:A3506, "=" &amp; A32,'Audit HD AR - School Level'!$Q$6:Q3506)</f>
        <v>0</v>
      </c>
      <c r="BT32" s="168">
        <f t="shared" si="89"/>
        <v>0</v>
      </c>
      <c r="BU32" s="168">
        <f t="shared" si="90"/>
        <v>0</v>
      </c>
      <c r="BV32" s="168"/>
      <c r="BW32" s="168">
        <f t="shared" si="16"/>
        <v>0</v>
      </c>
      <c r="BX32" s="164">
        <f t="shared" si="17"/>
        <v>340</v>
      </c>
      <c r="BY32" s="164">
        <f t="shared" si="18"/>
        <v>2</v>
      </c>
    </row>
    <row r="33" spans="1:77">
      <c r="A33" s="129" t="s">
        <v>364</v>
      </c>
      <c r="U33" s="129">
        <v>251</v>
      </c>
      <c r="V33" s="129">
        <v>4.5</v>
      </c>
      <c r="X33" s="129">
        <v>249</v>
      </c>
      <c r="AC33" s="129">
        <v>73.099999999999994</v>
      </c>
      <c r="AD33" s="129">
        <v>0</v>
      </c>
      <c r="AE33" s="129">
        <v>0</v>
      </c>
      <c r="AF33" s="129">
        <v>260</v>
      </c>
      <c r="AG33" s="129">
        <v>41</v>
      </c>
      <c r="AI33" s="129">
        <v>192</v>
      </c>
      <c r="AJ33" s="129">
        <v>1</v>
      </c>
      <c r="AK33" s="129">
        <v>0</v>
      </c>
      <c r="AL33" s="129">
        <v>0</v>
      </c>
      <c r="AO33" s="129">
        <v>0</v>
      </c>
      <c r="AP33" s="129">
        <v>0</v>
      </c>
      <c r="AQ33" s="129">
        <v>0</v>
      </c>
      <c r="AR33" s="129">
        <v>0</v>
      </c>
      <c r="AS33" s="129">
        <v>0</v>
      </c>
      <c r="AT33" s="129">
        <v>0</v>
      </c>
      <c r="AU33" s="129">
        <v>0</v>
      </c>
      <c r="AV33" s="129">
        <v>0</v>
      </c>
      <c r="AW33" s="129">
        <v>234510</v>
      </c>
      <c r="AX33" s="167">
        <v>45341</v>
      </c>
      <c r="AY33" s="162">
        <f t="shared" si="20"/>
        <v>5</v>
      </c>
      <c r="AZ33" s="163" t="s">
        <v>882</v>
      </c>
      <c r="BA33" s="162" t="b">
        <f t="shared" si="0"/>
        <v>0</v>
      </c>
      <c r="BF33" s="164">
        <f t="shared" si="77"/>
        <v>251</v>
      </c>
      <c r="BG33" s="164">
        <f t="shared" si="78"/>
        <v>4.5</v>
      </c>
      <c r="BH33" s="164"/>
      <c r="BI33" s="164">
        <f t="shared" si="79"/>
        <v>73.099999999999994</v>
      </c>
      <c r="BJ33" s="164">
        <f t="shared" si="80"/>
        <v>0</v>
      </c>
      <c r="BK33" s="164">
        <f t="shared" si="81"/>
        <v>0</v>
      </c>
      <c r="BL33" s="164">
        <f t="shared" si="82"/>
        <v>260</v>
      </c>
      <c r="BM33" s="164">
        <f t="shared" si="83"/>
        <v>41</v>
      </c>
      <c r="BN33" s="164">
        <f t="shared" si="84"/>
        <v>192</v>
      </c>
      <c r="BO33" s="164">
        <f t="shared" si="85"/>
        <v>1</v>
      </c>
      <c r="BP33" s="164">
        <f t="shared" si="86"/>
        <v>0</v>
      </c>
      <c r="BQ33" s="164">
        <f t="shared" si="87"/>
        <v>0</v>
      </c>
      <c r="BR33" s="164">
        <f t="shared" si="88"/>
        <v>0</v>
      </c>
      <c r="BS33" s="129">
        <f>SUMIF('Audit HD AR - School Level'!$A$6:A3507, "=" &amp; A33,'Audit HD AR - School Level'!$Q$6:Q3507)</f>
        <v>0</v>
      </c>
      <c r="BT33" s="168">
        <f t="shared" si="89"/>
        <v>0</v>
      </c>
      <c r="BU33" s="168">
        <f t="shared" si="90"/>
        <v>0</v>
      </c>
      <c r="BV33" s="168"/>
      <c r="BW33" s="168">
        <f t="shared" si="16"/>
        <v>0</v>
      </c>
      <c r="BX33" s="164">
        <f t="shared" si="17"/>
        <v>251</v>
      </c>
      <c r="BY33" s="164">
        <f t="shared" si="18"/>
        <v>4.5</v>
      </c>
    </row>
    <row r="34" spans="1:77">
      <c r="A34" s="129" t="s">
        <v>366</v>
      </c>
      <c r="U34" s="129">
        <v>212.5</v>
      </c>
      <c r="V34" s="129">
        <v>5</v>
      </c>
      <c r="X34" s="129">
        <v>228.5</v>
      </c>
      <c r="AC34" s="129">
        <v>53.3</v>
      </c>
      <c r="AD34" s="129">
        <v>1</v>
      </c>
      <c r="AE34" s="129">
        <v>1.3</v>
      </c>
      <c r="AF34" s="129">
        <v>224</v>
      </c>
      <c r="AG34" s="129">
        <v>87</v>
      </c>
      <c r="AI34" s="129">
        <v>54.5</v>
      </c>
      <c r="AJ34" s="129">
        <v>50</v>
      </c>
      <c r="AK34" s="129">
        <v>2.5</v>
      </c>
      <c r="AL34" s="129">
        <v>0</v>
      </c>
      <c r="AO34" s="129">
        <v>1</v>
      </c>
      <c r="AP34" s="129">
        <v>0</v>
      </c>
      <c r="AQ34" s="129">
        <v>0</v>
      </c>
      <c r="AR34" s="129">
        <v>0</v>
      </c>
      <c r="AS34" s="129">
        <v>0</v>
      </c>
      <c r="AT34" s="129">
        <v>0</v>
      </c>
      <c r="AU34" s="129">
        <v>0</v>
      </c>
      <c r="AV34" s="129">
        <v>0</v>
      </c>
      <c r="AW34" s="129">
        <v>219272</v>
      </c>
      <c r="AX34" s="167">
        <v>45341</v>
      </c>
      <c r="AY34" s="162">
        <f t="shared" si="20"/>
        <v>5</v>
      </c>
      <c r="AZ34" s="163" t="s">
        <v>882</v>
      </c>
      <c r="BA34" s="162" t="b">
        <f t="shared" si="0"/>
        <v>0</v>
      </c>
      <c r="BF34" s="164">
        <f t="shared" si="77"/>
        <v>211.5</v>
      </c>
      <c r="BG34" s="164">
        <f t="shared" si="78"/>
        <v>5</v>
      </c>
      <c r="BH34" s="164"/>
      <c r="BI34" s="164">
        <f t="shared" si="79"/>
        <v>53.3</v>
      </c>
      <c r="BJ34" s="164">
        <f t="shared" si="80"/>
        <v>1</v>
      </c>
      <c r="BK34" s="164">
        <f t="shared" si="81"/>
        <v>1.3</v>
      </c>
      <c r="BL34" s="164">
        <f t="shared" si="82"/>
        <v>224</v>
      </c>
      <c r="BM34" s="164">
        <f t="shared" si="83"/>
        <v>87</v>
      </c>
      <c r="BN34" s="164">
        <f t="shared" si="84"/>
        <v>54.5</v>
      </c>
      <c r="BO34" s="164">
        <f t="shared" si="85"/>
        <v>50</v>
      </c>
      <c r="BP34" s="164">
        <f t="shared" si="86"/>
        <v>2.5</v>
      </c>
      <c r="BQ34" s="164">
        <f t="shared" si="87"/>
        <v>2.5</v>
      </c>
      <c r="BR34" s="164">
        <f t="shared" si="88"/>
        <v>0</v>
      </c>
      <c r="BS34" s="129">
        <f>SUMIF('Audit HD AR - School Level'!$A$6:A3508, "=" &amp; A34,'Audit HD AR - School Level'!$Q$6:Q3508)</f>
        <v>2.5</v>
      </c>
      <c r="BT34" s="168">
        <f t="shared" si="89"/>
        <v>0</v>
      </c>
      <c r="BU34" s="168">
        <f t="shared" si="90"/>
        <v>0</v>
      </c>
      <c r="BV34" s="168"/>
      <c r="BW34" s="168">
        <f t="shared" si="16"/>
        <v>0</v>
      </c>
      <c r="BX34" s="164">
        <f t="shared" si="17"/>
        <v>211.5</v>
      </c>
      <c r="BY34" s="164">
        <f t="shared" si="18"/>
        <v>5</v>
      </c>
    </row>
    <row r="35" spans="1:77">
      <c r="A35" s="129" t="s">
        <v>370</v>
      </c>
      <c r="U35" s="129">
        <v>87</v>
      </c>
      <c r="V35" s="129">
        <v>0.5</v>
      </c>
      <c r="X35" s="129">
        <v>99.5</v>
      </c>
      <c r="AC35" s="129">
        <v>0</v>
      </c>
      <c r="AD35" s="129">
        <v>0</v>
      </c>
      <c r="AE35" s="129">
        <v>0</v>
      </c>
      <c r="AF35" s="129">
        <v>88</v>
      </c>
      <c r="AG35" s="129">
        <v>50</v>
      </c>
      <c r="AI35" s="129">
        <v>10</v>
      </c>
      <c r="AJ35" s="129">
        <v>3</v>
      </c>
      <c r="AK35" s="129">
        <v>50.5</v>
      </c>
      <c r="AL35" s="129">
        <v>0</v>
      </c>
      <c r="AO35" s="129">
        <v>0</v>
      </c>
      <c r="AP35" s="129">
        <v>0</v>
      </c>
      <c r="AQ35" s="129">
        <v>0</v>
      </c>
      <c r="AR35" s="129">
        <v>0</v>
      </c>
      <c r="AS35" s="129">
        <v>0</v>
      </c>
      <c r="AT35" s="129">
        <v>0</v>
      </c>
      <c r="AU35" s="129">
        <v>0</v>
      </c>
      <c r="AV35" s="129">
        <v>0</v>
      </c>
      <c r="AW35" s="129">
        <v>64611</v>
      </c>
      <c r="AX35" s="167">
        <v>45341</v>
      </c>
      <c r="AY35" s="162">
        <f t="shared" si="20"/>
        <v>5</v>
      </c>
      <c r="AZ35" s="163" t="s">
        <v>882</v>
      </c>
      <c r="BA35" s="162" t="b">
        <f t="shared" si="0"/>
        <v>0</v>
      </c>
      <c r="BF35" s="164">
        <f t="shared" si="77"/>
        <v>87</v>
      </c>
      <c r="BG35" s="164">
        <f t="shared" si="78"/>
        <v>0.5</v>
      </c>
      <c r="BH35" s="164"/>
      <c r="BI35" s="164">
        <f t="shared" si="79"/>
        <v>0</v>
      </c>
      <c r="BJ35" s="164">
        <f t="shared" si="80"/>
        <v>0</v>
      </c>
      <c r="BK35" s="164">
        <f t="shared" si="81"/>
        <v>0</v>
      </c>
      <c r="BL35" s="164">
        <f t="shared" si="82"/>
        <v>88</v>
      </c>
      <c r="BM35" s="164">
        <f t="shared" si="83"/>
        <v>50</v>
      </c>
      <c r="BN35" s="164">
        <f t="shared" si="84"/>
        <v>10</v>
      </c>
      <c r="BO35" s="164">
        <f t="shared" si="85"/>
        <v>3</v>
      </c>
      <c r="BP35" s="164">
        <f t="shared" si="86"/>
        <v>50.5</v>
      </c>
      <c r="BQ35" s="164">
        <f t="shared" si="87"/>
        <v>50.5</v>
      </c>
      <c r="BR35" s="164">
        <f t="shared" si="88"/>
        <v>0</v>
      </c>
      <c r="BS35" s="129">
        <f>SUMIF('Audit HD AR - School Level'!$A$6:A3509, "=" &amp; A35,'Audit HD AR - School Level'!$Q$6:Q3509)</f>
        <v>5.3</v>
      </c>
      <c r="BT35" s="168">
        <f t="shared" si="89"/>
        <v>0</v>
      </c>
      <c r="BU35" s="168">
        <f t="shared" si="90"/>
        <v>0</v>
      </c>
      <c r="BV35" s="168"/>
      <c r="BW35" s="168">
        <f t="shared" si="16"/>
        <v>0</v>
      </c>
      <c r="BX35" s="164">
        <f t="shared" si="17"/>
        <v>87</v>
      </c>
      <c r="BY35" s="164">
        <f t="shared" si="18"/>
        <v>0.5</v>
      </c>
    </row>
    <row r="36" spans="1:77">
      <c r="A36" s="129" t="s">
        <v>419</v>
      </c>
      <c r="U36" s="129">
        <v>408.5</v>
      </c>
      <c r="V36" s="129">
        <v>9</v>
      </c>
      <c r="X36" s="129">
        <v>410</v>
      </c>
      <c r="AC36" s="129">
        <v>180.3</v>
      </c>
      <c r="AD36" s="129">
        <v>0</v>
      </c>
      <c r="AE36" s="129">
        <v>0</v>
      </c>
      <c r="AF36" s="129">
        <v>433</v>
      </c>
      <c r="AG36" s="129">
        <v>125</v>
      </c>
      <c r="AI36" s="129">
        <v>87</v>
      </c>
      <c r="AJ36" s="129">
        <v>23</v>
      </c>
      <c r="AK36" s="129">
        <v>81</v>
      </c>
      <c r="AL36" s="129">
        <v>0</v>
      </c>
      <c r="AO36" s="129">
        <v>0</v>
      </c>
      <c r="AP36" s="129">
        <v>0</v>
      </c>
      <c r="AQ36" s="129">
        <v>0</v>
      </c>
      <c r="AR36" s="129">
        <v>0</v>
      </c>
      <c r="AS36" s="129">
        <v>0</v>
      </c>
      <c r="AT36" s="129">
        <v>0</v>
      </c>
      <c r="AU36" s="129">
        <v>0</v>
      </c>
      <c r="AV36" s="129">
        <v>0</v>
      </c>
      <c r="AW36" s="129">
        <v>160252</v>
      </c>
      <c r="AX36" s="167">
        <v>45341</v>
      </c>
      <c r="AY36" s="162">
        <f t="shared" si="20"/>
        <v>5</v>
      </c>
      <c r="AZ36" s="163" t="s">
        <v>882</v>
      </c>
      <c r="BA36" s="162" t="b">
        <f t="shared" si="0"/>
        <v>0</v>
      </c>
      <c r="BF36" s="164">
        <f t="shared" si="77"/>
        <v>408.5</v>
      </c>
      <c r="BG36" s="164">
        <f t="shared" si="78"/>
        <v>9</v>
      </c>
      <c r="BH36" s="164"/>
      <c r="BI36" s="164">
        <f t="shared" si="79"/>
        <v>180.3</v>
      </c>
      <c r="BJ36" s="164">
        <f t="shared" si="80"/>
        <v>0</v>
      </c>
      <c r="BK36" s="164">
        <f t="shared" si="81"/>
        <v>0</v>
      </c>
      <c r="BL36" s="164">
        <f t="shared" si="82"/>
        <v>433</v>
      </c>
      <c r="BM36" s="164">
        <f t="shared" si="83"/>
        <v>125</v>
      </c>
      <c r="BN36" s="164">
        <f t="shared" si="84"/>
        <v>87</v>
      </c>
      <c r="BO36" s="164">
        <f t="shared" si="85"/>
        <v>23</v>
      </c>
      <c r="BP36" s="164">
        <f t="shared" si="86"/>
        <v>81</v>
      </c>
      <c r="BQ36" s="164">
        <f t="shared" si="87"/>
        <v>81</v>
      </c>
      <c r="BR36" s="164">
        <f t="shared" si="88"/>
        <v>0</v>
      </c>
      <c r="BS36" s="129">
        <f>SUMIF('Audit HD AR - School Level'!$A$6:A3510, "=" &amp; A36,'Audit HD AR - School Level'!$Q$6:Q3510)</f>
        <v>0.9</v>
      </c>
      <c r="BT36" s="168">
        <f t="shared" si="89"/>
        <v>0</v>
      </c>
      <c r="BU36" s="168">
        <f t="shared" si="90"/>
        <v>0</v>
      </c>
      <c r="BV36" s="168"/>
      <c r="BW36" s="168">
        <f t="shared" si="16"/>
        <v>0</v>
      </c>
      <c r="BX36" s="164">
        <f t="shared" si="17"/>
        <v>408.5</v>
      </c>
      <c r="BY36" s="164">
        <f t="shared" si="18"/>
        <v>9</v>
      </c>
    </row>
    <row r="37" spans="1:77">
      <c r="A37" s="129" t="s">
        <v>420</v>
      </c>
      <c r="U37" s="129">
        <v>633</v>
      </c>
      <c r="V37" s="129">
        <v>14</v>
      </c>
      <c r="X37" s="129">
        <v>631.9</v>
      </c>
      <c r="AC37" s="129">
        <v>127.3</v>
      </c>
      <c r="AD37" s="129">
        <v>0</v>
      </c>
      <c r="AE37" s="129">
        <v>0</v>
      </c>
      <c r="AF37" s="129">
        <v>672</v>
      </c>
      <c r="AG37" s="129">
        <v>126</v>
      </c>
      <c r="AI37" s="129">
        <v>376.5</v>
      </c>
      <c r="AJ37" s="129">
        <v>61</v>
      </c>
      <c r="AK37" s="129">
        <v>0</v>
      </c>
      <c r="AL37" s="129">
        <v>0</v>
      </c>
      <c r="AO37" s="129">
        <v>0</v>
      </c>
      <c r="AP37" s="129">
        <v>0</v>
      </c>
      <c r="AQ37" s="129">
        <v>0</v>
      </c>
      <c r="AR37" s="129">
        <v>0</v>
      </c>
      <c r="AS37" s="129">
        <v>0</v>
      </c>
      <c r="AT37" s="129">
        <v>0</v>
      </c>
      <c r="AU37" s="129">
        <v>0</v>
      </c>
      <c r="AV37" s="129">
        <v>0</v>
      </c>
      <c r="AW37" s="129">
        <v>415659</v>
      </c>
      <c r="AX37" s="167">
        <v>45341</v>
      </c>
      <c r="AY37" s="162">
        <f t="shared" si="20"/>
        <v>5</v>
      </c>
      <c r="AZ37" s="163" t="s">
        <v>882</v>
      </c>
      <c r="BA37" s="162" t="b">
        <f t="shared" si="0"/>
        <v>0</v>
      </c>
      <c r="BF37" s="164">
        <f t="shared" si="77"/>
        <v>633</v>
      </c>
      <c r="BG37" s="164">
        <f t="shared" si="78"/>
        <v>14</v>
      </c>
      <c r="BH37" s="164"/>
      <c r="BI37" s="164">
        <f t="shared" si="79"/>
        <v>127.3</v>
      </c>
      <c r="BJ37" s="164">
        <f t="shared" si="80"/>
        <v>0</v>
      </c>
      <c r="BK37" s="164">
        <f t="shared" si="81"/>
        <v>0</v>
      </c>
      <c r="BL37" s="164">
        <f t="shared" si="82"/>
        <v>672</v>
      </c>
      <c r="BM37" s="164">
        <f t="shared" si="83"/>
        <v>126</v>
      </c>
      <c r="BN37" s="164">
        <f t="shared" si="84"/>
        <v>376.5</v>
      </c>
      <c r="BO37" s="164">
        <f t="shared" si="85"/>
        <v>61</v>
      </c>
      <c r="BP37" s="164">
        <f t="shared" si="86"/>
        <v>0</v>
      </c>
      <c r="BQ37" s="164">
        <f t="shared" si="87"/>
        <v>0</v>
      </c>
      <c r="BR37" s="164">
        <f t="shared" si="88"/>
        <v>0</v>
      </c>
      <c r="BS37" s="129">
        <f>SUMIF('Audit HD AR - School Level'!$A$6:A3511, "=" &amp; A37,'Audit HD AR - School Level'!$Q$6:Q3511)</f>
        <v>0</v>
      </c>
      <c r="BT37" s="168">
        <f t="shared" si="89"/>
        <v>0</v>
      </c>
      <c r="BU37" s="168">
        <f t="shared" si="90"/>
        <v>0</v>
      </c>
      <c r="BV37" s="168"/>
      <c r="BW37" s="168">
        <f t="shared" si="16"/>
        <v>0</v>
      </c>
      <c r="BX37" s="164">
        <f t="shared" si="17"/>
        <v>633</v>
      </c>
      <c r="BY37" s="164">
        <f t="shared" si="18"/>
        <v>14</v>
      </c>
    </row>
    <row r="38" spans="1:77">
      <c r="A38" s="129" t="s">
        <v>194</v>
      </c>
      <c r="U38" s="129">
        <v>110</v>
      </c>
      <c r="V38" s="129">
        <v>6.5</v>
      </c>
      <c r="X38" s="129">
        <v>114</v>
      </c>
      <c r="AC38" s="129">
        <v>48.8</v>
      </c>
      <c r="AD38" s="129">
        <v>18</v>
      </c>
      <c r="AE38" s="129">
        <v>75.5</v>
      </c>
      <c r="AF38" s="129">
        <v>123</v>
      </c>
      <c r="AG38" s="129">
        <v>79</v>
      </c>
      <c r="AI38" s="129">
        <v>25</v>
      </c>
      <c r="AJ38" s="129">
        <v>0</v>
      </c>
      <c r="AK38" s="129">
        <v>2.5</v>
      </c>
      <c r="AL38" s="129">
        <v>0</v>
      </c>
      <c r="AO38" s="129">
        <v>0</v>
      </c>
      <c r="AP38" s="129">
        <v>0</v>
      </c>
      <c r="AQ38" s="129">
        <v>0</v>
      </c>
      <c r="AR38" s="129">
        <v>0</v>
      </c>
      <c r="AS38" s="129">
        <v>0</v>
      </c>
      <c r="AT38" s="129">
        <v>0</v>
      </c>
      <c r="AU38" s="129">
        <v>0</v>
      </c>
      <c r="AV38" s="129">
        <v>0</v>
      </c>
      <c r="AW38" s="129">
        <v>98977</v>
      </c>
      <c r="AX38" s="167">
        <v>45351</v>
      </c>
      <c r="AY38" s="162">
        <f t="shared" si="20"/>
        <v>6</v>
      </c>
      <c r="AZ38" s="163" t="s">
        <v>882</v>
      </c>
      <c r="BA38" s="162" t="b">
        <f t="shared" si="0"/>
        <v>0</v>
      </c>
      <c r="BF38" s="164">
        <f t="shared" ref="BF38:BF52" si="91">SUM(U38+C38-AO38-AP38-AR38)</f>
        <v>110</v>
      </c>
      <c r="BG38" s="164">
        <f t="shared" ref="BG38:BG52" si="92">SUM(E38+F38+V38+W38)</f>
        <v>6.5</v>
      </c>
      <c r="BH38" s="164"/>
      <c r="BI38" s="164">
        <f t="shared" ref="BI38:BI52" si="93">SUM(AC38+H38)</f>
        <v>48.8</v>
      </c>
      <c r="BJ38" s="164">
        <f t="shared" ref="BJ38:BJ52" si="94">SUM(AD38+I38)</f>
        <v>18</v>
      </c>
      <c r="BK38" s="164">
        <f t="shared" ref="BK38:BK52" si="95">SUM(AE38+J38)</f>
        <v>75.5</v>
      </c>
      <c r="BL38" s="164">
        <f t="shared" ref="BL38:BL52" si="96">SUM(AF38+K38)</f>
        <v>123</v>
      </c>
      <c r="BM38" s="164">
        <f t="shared" ref="BM38:BM52" si="97">SUM(AG38+L38)</f>
        <v>79</v>
      </c>
      <c r="BN38" s="164">
        <f t="shared" ref="BN38:BN52" si="98">SUM(AI38+M38)</f>
        <v>25</v>
      </c>
      <c r="BO38" s="164">
        <f t="shared" ref="BO38:BO52" si="99">SUM(AJ38+R38)</f>
        <v>0</v>
      </c>
      <c r="BP38" s="164">
        <f t="shared" ref="BP38:BP52" si="100">SUM(AK38+R38)</f>
        <v>2.5</v>
      </c>
      <c r="BQ38" s="164">
        <f t="shared" ref="BQ38:BQ52" si="101">SUM(S38+AK38)</f>
        <v>2.5</v>
      </c>
      <c r="BR38" s="164">
        <f t="shared" ref="BR38:BR52" si="102">SUM(T38+AL38)</f>
        <v>0</v>
      </c>
      <c r="BS38" s="129">
        <f>SUMIF('Audit HD AR - School Level'!$A$6:A3512, "=" &amp; A38,'Audit HD AR - School Level'!$Q$6:Q3512)</f>
        <v>8.3000000000000007</v>
      </c>
      <c r="BT38" s="168">
        <f t="shared" ref="BT38:BT52" si="103">SUM(AS38-AQ38)*$BT$2</f>
        <v>0</v>
      </c>
      <c r="BU38" s="168">
        <f t="shared" ref="BU38:BU52" si="104">SUM(AU38-AR38)*$BT$2</f>
        <v>0</v>
      </c>
      <c r="BV38" s="168"/>
      <c r="BW38" s="168">
        <f t="shared" si="16"/>
        <v>0</v>
      </c>
      <c r="BX38" s="164">
        <f t="shared" si="17"/>
        <v>110</v>
      </c>
      <c r="BY38" s="164">
        <f t="shared" si="18"/>
        <v>6.5</v>
      </c>
    </row>
    <row r="39" spans="1:77">
      <c r="A39" s="129" t="s">
        <v>199</v>
      </c>
      <c r="U39" s="129">
        <v>369.8</v>
      </c>
      <c r="V39" s="129">
        <v>5</v>
      </c>
      <c r="X39" s="129">
        <v>359.2</v>
      </c>
      <c r="AC39" s="129">
        <v>74.099999999999994</v>
      </c>
      <c r="AD39" s="129">
        <v>0</v>
      </c>
      <c r="AE39" s="129">
        <v>0</v>
      </c>
      <c r="AF39" s="129">
        <v>383</v>
      </c>
      <c r="AG39" s="129">
        <v>135</v>
      </c>
      <c r="AI39" s="129">
        <v>220</v>
      </c>
      <c r="AJ39" s="129">
        <v>31.5</v>
      </c>
      <c r="AK39" s="129">
        <v>42</v>
      </c>
      <c r="AL39" s="129">
        <v>0</v>
      </c>
      <c r="AO39" s="129">
        <v>0</v>
      </c>
      <c r="AP39" s="129">
        <v>0</v>
      </c>
      <c r="AQ39" s="129">
        <v>0</v>
      </c>
      <c r="AR39" s="129">
        <v>0</v>
      </c>
      <c r="AS39" s="129">
        <v>0</v>
      </c>
      <c r="AT39" s="129">
        <v>0</v>
      </c>
      <c r="AU39" s="129">
        <v>0</v>
      </c>
      <c r="AV39" s="129">
        <v>0</v>
      </c>
      <c r="AW39" s="129">
        <v>291152</v>
      </c>
      <c r="AX39" s="167">
        <v>45351</v>
      </c>
      <c r="AY39" s="162">
        <f t="shared" si="20"/>
        <v>6</v>
      </c>
      <c r="AZ39" s="163" t="s">
        <v>882</v>
      </c>
      <c r="BA39" s="162" t="b">
        <f t="shared" si="0"/>
        <v>0</v>
      </c>
      <c r="BF39" s="164">
        <f t="shared" si="91"/>
        <v>369.8</v>
      </c>
      <c r="BG39" s="164">
        <f t="shared" si="92"/>
        <v>5</v>
      </c>
      <c r="BH39" s="164"/>
      <c r="BI39" s="164">
        <f t="shared" si="93"/>
        <v>74.099999999999994</v>
      </c>
      <c r="BJ39" s="164">
        <f t="shared" si="94"/>
        <v>0</v>
      </c>
      <c r="BK39" s="164">
        <f t="shared" si="95"/>
        <v>0</v>
      </c>
      <c r="BL39" s="164">
        <f t="shared" si="96"/>
        <v>383</v>
      </c>
      <c r="BM39" s="164">
        <f t="shared" si="97"/>
        <v>135</v>
      </c>
      <c r="BN39" s="164">
        <f t="shared" si="98"/>
        <v>220</v>
      </c>
      <c r="BO39" s="164">
        <f t="shared" si="99"/>
        <v>31.5</v>
      </c>
      <c r="BP39" s="164">
        <f t="shared" si="100"/>
        <v>42</v>
      </c>
      <c r="BQ39" s="164">
        <f t="shared" si="101"/>
        <v>42</v>
      </c>
      <c r="BR39" s="164">
        <f t="shared" si="102"/>
        <v>0</v>
      </c>
      <c r="BS39" s="129">
        <f>SUMIF('Audit HD AR - School Level'!$A$6:A3513, "=" &amp; A39,'Audit HD AR - School Level'!$Q$6:Q3513)</f>
        <v>1.4</v>
      </c>
      <c r="BT39" s="168">
        <f t="shared" si="103"/>
        <v>0</v>
      </c>
      <c r="BU39" s="168">
        <f t="shared" si="104"/>
        <v>0</v>
      </c>
      <c r="BV39" s="168"/>
      <c r="BW39" s="168">
        <f t="shared" si="16"/>
        <v>0</v>
      </c>
      <c r="BX39" s="164">
        <f t="shared" si="17"/>
        <v>369.8</v>
      </c>
      <c r="BY39" s="164">
        <f t="shared" si="18"/>
        <v>5</v>
      </c>
    </row>
    <row r="40" spans="1:77">
      <c r="A40" s="129" t="s">
        <v>204</v>
      </c>
      <c r="U40" s="129">
        <v>223.4</v>
      </c>
      <c r="V40" s="129">
        <v>2.5</v>
      </c>
      <c r="X40" s="129">
        <v>239</v>
      </c>
      <c r="AC40" s="129">
        <v>96.6</v>
      </c>
      <c r="AD40" s="129">
        <v>46</v>
      </c>
      <c r="AE40" s="129">
        <v>93.7</v>
      </c>
      <c r="AF40" s="129">
        <v>233</v>
      </c>
      <c r="AG40" s="129">
        <v>79</v>
      </c>
      <c r="AI40" s="129">
        <v>53</v>
      </c>
      <c r="AJ40" s="129">
        <v>28</v>
      </c>
      <c r="AK40" s="129">
        <v>0</v>
      </c>
      <c r="AL40" s="129">
        <v>0</v>
      </c>
      <c r="AO40" s="129">
        <v>0</v>
      </c>
      <c r="AP40" s="129">
        <v>0</v>
      </c>
      <c r="AQ40" s="129">
        <v>0</v>
      </c>
      <c r="AR40" s="129">
        <v>0</v>
      </c>
      <c r="AS40" s="129">
        <v>0</v>
      </c>
      <c r="AT40" s="129">
        <v>0</v>
      </c>
      <c r="AU40" s="129">
        <v>0</v>
      </c>
      <c r="AV40" s="129">
        <v>0</v>
      </c>
      <c r="AW40" s="129">
        <v>203190</v>
      </c>
      <c r="AX40" s="167">
        <v>45351</v>
      </c>
      <c r="AY40" s="162">
        <f t="shared" si="20"/>
        <v>6</v>
      </c>
      <c r="AZ40" s="163" t="s">
        <v>882</v>
      </c>
      <c r="BA40" s="162" t="b">
        <f t="shared" si="0"/>
        <v>0</v>
      </c>
      <c r="BF40" s="164">
        <f t="shared" si="91"/>
        <v>223.4</v>
      </c>
      <c r="BG40" s="164">
        <f t="shared" si="92"/>
        <v>2.5</v>
      </c>
      <c r="BH40" s="164"/>
      <c r="BI40" s="164">
        <f t="shared" si="93"/>
        <v>96.6</v>
      </c>
      <c r="BJ40" s="164">
        <f t="shared" si="94"/>
        <v>46</v>
      </c>
      <c r="BK40" s="164">
        <f t="shared" si="95"/>
        <v>93.7</v>
      </c>
      <c r="BL40" s="164">
        <f t="shared" si="96"/>
        <v>233</v>
      </c>
      <c r="BM40" s="164">
        <f t="shared" si="97"/>
        <v>79</v>
      </c>
      <c r="BN40" s="164">
        <f t="shared" si="98"/>
        <v>53</v>
      </c>
      <c r="BO40" s="164">
        <f t="shared" si="99"/>
        <v>28</v>
      </c>
      <c r="BP40" s="164">
        <f t="shared" si="100"/>
        <v>0</v>
      </c>
      <c r="BQ40" s="164">
        <f t="shared" si="101"/>
        <v>0</v>
      </c>
      <c r="BR40" s="164">
        <f t="shared" si="102"/>
        <v>0</v>
      </c>
      <c r="BS40" s="129">
        <f>SUMIF('Audit HD AR - School Level'!$A$6:A3514, "=" &amp; A40,'Audit HD AR - School Level'!$Q$6:Q3514)</f>
        <v>0</v>
      </c>
      <c r="BT40" s="168">
        <f t="shared" si="103"/>
        <v>0</v>
      </c>
      <c r="BU40" s="168">
        <f t="shared" si="104"/>
        <v>0</v>
      </c>
      <c r="BV40" s="168"/>
      <c r="BW40" s="168">
        <f t="shared" si="16"/>
        <v>0</v>
      </c>
      <c r="BX40" s="164">
        <f t="shared" si="17"/>
        <v>223.4</v>
      </c>
      <c r="BY40" s="164">
        <f t="shared" si="18"/>
        <v>2.5</v>
      </c>
    </row>
    <row r="41" spans="1:77">
      <c r="A41" s="129" t="s">
        <v>219</v>
      </c>
      <c r="U41" s="129">
        <v>89.5</v>
      </c>
      <c r="V41" s="129">
        <v>0</v>
      </c>
      <c r="X41" s="129">
        <v>95.5</v>
      </c>
      <c r="AC41" s="129">
        <v>34.9</v>
      </c>
      <c r="AD41" s="129">
        <v>13</v>
      </c>
      <c r="AE41" s="129">
        <v>75</v>
      </c>
      <c r="AF41" s="129">
        <v>90</v>
      </c>
      <c r="AG41" s="129">
        <v>57</v>
      </c>
      <c r="AI41" s="129">
        <v>28</v>
      </c>
      <c r="AJ41" s="129">
        <v>0</v>
      </c>
      <c r="AK41" s="129">
        <v>0</v>
      </c>
      <c r="AL41" s="129">
        <v>0</v>
      </c>
      <c r="AO41" s="129">
        <v>0</v>
      </c>
      <c r="AP41" s="129">
        <v>0</v>
      </c>
      <c r="AQ41" s="129">
        <v>0</v>
      </c>
      <c r="AR41" s="129">
        <v>0</v>
      </c>
      <c r="AS41" s="129">
        <v>0</v>
      </c>
      <c r="AT41" s="129">
        <v>0</v>
      </c>
      <c r="AU41" s="129">
        <v>0</v>
      </c>
      <c r="AV41" s="129">
        <v>0</v>
      </c>
      <c r="AW41" s="129">
        <v>81179</v>
      </c>
      <c r="AX41" s="167">
        <v>45351</v>
      </c>
      <c r="AY41" s="162">
        <f t="shared" si="20"/>
        <v>6</v>
      </c>
      <c r="AZ41" s="163" t="s">
        <v>882</v>
      </c>
      <c r="BA41" s="162" t="b">
        <f t="shared" si="0"/>
        <v>0</v>
      </c>
      <c r="BF41" s="164">
        <f t="shared" si="91"/>
        <v>89.5</v>
      </c>
      <c r="BG41" s="164">
        <f t="shared" si="92"/>
        <v>0</v>
      </c>
      <c r="BH41" s="164"/>
      <c r="BI41" s="164">
        <f t="shared" si="93"/>
        <v>34.9</v>
      </c>
      <c r="BJ41" s="164">
        <f t="shared" si="94"/>
        <v>13</v>
      </c>
      <c r="BK41" s="164">
        <f t="shared" si="95"/>
        <v>75</v>
      </c>
      <c r="BL41" s="164">
        <f t="shared" si="96"/>
        <v>90</v>
      </c>
      <c r="BM41" s="164">
        <f t="shared" si="97"/>
        <v>57</v>
      </c>
      <c r="BN41" s="164">
        <f t="shared" si="98"/>
        <v>28</v>
      </c>
      <c r="BO41" s="164">
        <f t="shared" si="99"/>
        <v>0</v>
      </c>
      <c r="BP41" s="164">
        <f t="shared" si="100"/>
        <v>0</v>
      </c>
      <c r="BQ41" s="164">
        <f t="shared" si="101"/>
        <v>0</v>
      </c>
      <c r="BR41" s="164">
        <f t="shared" si="102"/>
        <v>0</v>
      </c>
      <c r="BS41" s="129">
        <f>SUMIF('Audit HD AR - School Level'!$A$6:A3515, "=" &amp; A41,'Audit HD AR - School Level'!$Q$6:Q3515)</f>
        <v>6</v>
      </c>
      <c r="BT41" s="168">
        <f t="shared" si="103"/>
        <v>0</v>
      </c>
      <c r="BU41" s="168">
        <f t="shared" si="104"/>
        <v>0</v>
      </c>
      <c r="BV41" s="168"/>
      <c r="BW41" s="168">
        <f t="shared" si="16"/>
        <v>0</v>
      </c>
      <c r="BX41" s="164">
        <f t="shared" si="17"/>
        <v>89.5</v>
      </c>
      <c r="BY41" s="164">
        <f t="shared" si="18"/>
        <v>0</v>
      </c>
    </row>
    <row r="42" spans="1:77">
      <c r="A42" s="129" t="s">
        <v>225</v>
      </c>
      <c r="U42" s="129">
        <v>69.7</v>
      </c>
      <c r="V42" s="129">
        <v>1</v>
      </c>
      <c r="X42" s="129">
        <v>97</v>
      </c>
      <c r="AC42" s="129">
        <v>8.6</v>
      </c>
      <c r="AD42" s="129">
        <v>5</v>
      </c>
      <c r="AE42" s="129">
        <v>14.8</v>
      </c>
      <c r="AF42" s="129">
        <v>72</v>
      </c>
      <c r="AG42" s="129">
        <v>35</v>
      </c>
      <c r="AI42" s="129">
        <v>1</v>
      </c>
      <c r="AJ42" s="129">
        <v>0</v>
      </c>
      <c r="AK42" s="129">
        <v>4</v>
      </c>
      <c r="AL42" s="129">
        <v>0</v>
      </c>
      <c r="AO42" s="129">
        <v>0</v>
      </c>
      <c r="AP42" s="129">
        <v>0</v>
      </c>
      <c r="AQ42" s="129">
        <v>0</v>
      </c>
      <c r="AR42" s="129">
        <v>0</v>
      </c>
      <c r="AS42" s="129">
        <v>0</v>
      </c>
      <c r="AT42" s="129">
        <v>0</v>
      </c>
      <c r="AU42" s="129">
        <v>0</v>
      </c>
      <c r="AV42" s="129">
        <v>0</v>
      </c>
      <c r="AW42" s="129">
        <v>62909</v>
      </c>
      <c r="AX42" s="167">
        <v>45351</v>
      </c>
      <c r="AY42" s="162">
        <f t="shared" si="20"/>
        <v>6</v>
      </c>
      <c r="AZ42" s="163" t="s">
        <v>882</v>
      </c>
      <c r="BA42" s="162" t="b">
        <f t="shared" si="0"/>
        <v>0</v>
      </c>
      <c r="BF42" s="164">
        <f t="shared" si="91"/>
        <v>69.7</v>
      </c>
      <c r="BG42" s="164">
        <f t="shared" si="92"/>
        <v>1</v>
      </c>
      <c r="BH42" s="164"/>
      <c r="BI42" s="164">
        <f t="shared" si="93"/>
        <v>8.6</v>
      </c>
      <c r="BJ42" s="164">
        <f t="shared" si="94"/>
        <v>5</v>
      </c>
      <c r="BK42" s="164">
        <f t="shared" si="95"/>
        <v>14.8</v>
      </c>
      <c r="BL42" s="164">
        <f t="shared" si="96"/>
        <v>72</v>
      </c>
      <c r="BM42" s="164">
        <f t="shared" si="97"/>
        <v>35</v>
      </c>
      <c r="BN42" s="164">
        <f t="shared" si="98"/>
        <v>1</v>
      </c>
      <c r="BO42" s="164">
        <f t="shared" si="99"/>
        <v>0</v>
      </c>
      <c r="BP42" s="164">
        <f t="shared" si="100"/>
        <v>4</v>
      </c>
      <c r="BQ42" s="164">
        <f t="shared" si="101"/>
        <v>4</v>
      </c>
      <c r="BR42" s="164">
        <f t="shared" si="102"/>
        <v>0</v>
      </c>
      <c r="BS42" s="129">
        <f>SUMIF('Audit HD AR - School Level'!$A$6:A3516, "=" &amp; A42,'Audit HD AR - School Level'!$Q$6:Q3516)</f>
        <v>2.9</v>
      </c>
      <c r="BT42" s="168">
        <f t="shared" si="103"/>
        <v>0</v>
      </c>
      <c r="BU42" s="168">
        <f t="shared" si="104"/>
        <v>0</v>
      </c>
      <c r="BV42" s="168"/>
      <c r="BW42" s="168">
        <f t="shared" si="16"/>
        <v>0</v>
      </c>
      <c r="BX42" s="164">
        <f t="shared" si="17"/>
        <v>69.7</v>
      </c>
      <c r="BY42" s="164">
        <f t="shared" si="18"/>
        <v>1</v>
      </c>
    </row>
    <row r="43" spans="1:77">
      <c r="A43" s="129" t="s">
        <v>260</v>
      </c>
      <c r="U43" s="129">
        <v>1726.8</v>
      </c>
      <c r="V43" s="129">
        <v>25.5</v>
      </c>
      <c r="X43" s="129">
        <v>1778.5</v>
      </c>
      <c r="AC43" s="129">
        <v>481.3</v>
      </c>
      <c r="AD43" s="129">
        <v>13</v>
      </c>
      <c r="AE43" s="129">
        <v>22.3</v>
      </c>
      <c r="AF43" s="129">
        <v>1791</v>
      </c>
      <c r="AG43" s="129">
        <v>623</v>
      </c>
      <c r="AI43" s="129">
        <v>347</v>
      </c>
      <c r="AJ43" s="129">
        <v>27</v>
      </c>
      <c r="AK43" s="129">
        <v>13</v>
      </c>
      <c r="AL43" s="129">
        <v>0</v>
      </c>
      <c r="AO43" s="129">
        <v>0</v>
      </c>
      <c r="AP43" s="129">
        <v>0</v>
      </c>
      <c r="AQ43" s="129">
        <v>0</v>
      </c>
      <c r="AR43" s="129">
        <v>0</v>
      </c>
      <c r="AS43" s="129">
        <v>0</v>
      </c>
      <c r="AT43" s="129">
        <v>0</v>
      </c>
      <c r="AU43" s="129">
        <v>0</v>
      </c>
      <c r="AV43" s="129">
        <v>0</v>
      </c>
      <c r="AW43" s="129">
        <v>436265</v>
      </c>
      <c r="AX43" s="167">
        <v>45351</v>
      </c>
      <c r="AY43" s="162">
        <f t="shared" si="20"/>
        <v>6</v>
      </c>
      <c r="AZ43" s="163" t="s">
        <v>882</v>
      </c>
      <c r="BA43" s="162" t="b">
        <f t="shared" si="0"/>
        <v>0</v>
      </c>
      <c r="BF43" s="164">
        <f t="shared" si="91"/>
        <v>1726.8</v>
      </c>
      <c r="BG43" s="164">
        <f t="shared" si="92"/>
        <v>25.5</v>
      </c>
      <c r="BH43" s="164"/>
      <c r="BI43" s="164">
        <f t="shared" si="93"/>
        <v>481.3</v>
      </c>
      <c r="BJ43" s="164">
        <f t="shared" si="94"/>
        <v>13</v>
      </c>
      <c r="BK43" s="164">
        <f t="shared" si="95"/>
        <v>22.3</v>
      </c>
      <c r="BL43" s="164">
        <f t="shared" si="96"/>
        <v>1791</v>
      </c>
      <c r="BM43" s="164">
        <f t="shared" si="97"/>
        <v>623</v>
      </c>
      <c r="BN43" s="164">
        <f t="shared" si="98"/>
        <v>347</v>
      </c>
      <c r="BO43" s="164">
        <f t="shared" si="99"/>
        <v>27</v>
      </c>
      <c r="BP43" s="164">
        <f t="shared" si="100"/>
        <v>13</v>
      </c>
      <c r="BQ43" s="164">
        <f t="shared" si="101"/>
        <v>13</v>
      </c>
      <c r="BR43" s="164">
        <f t="shared" si="102"/>
        <v>0</v>
      </c>
      <c r="BS43" s="129">
        <f>SUMIF('Audit HD AR - School Level'!$A$6:A3519, "=" &amp; A43,'Audit HD AR - School Level'!$Q$6:Q3519)</f>
        <v>6.1</v>
      </c>
      <c r="BT43" s="168">
        <f t="shared" si="103"/>
        <v>0</v>
      </c>
      <c r="BU43" s="168">
        <f t="shared" si="104"/>
        <v>0</v>
      </c>
      <c r="BV43" s="168"/>
      <c r="BW43" s="168">
        <f t="shared" si="16"/>
        <v>0</v>
      </c>
      <c r="BX43" s="164">
        <f t="shared" si="17"/>
        <v>1726.8</v>
      </c>
      <c r="BY43" s="164">
        <f t="shared" si="18"/>
        <v>25.5</v>
      </c>
    </row>
    <row r="44" spans="1:77">
      <c r="A44" s="129" t="s">
        <v>269</v>
      </c>
      <c r="U44" s="129">
        <v>293.7</v>
      </c>
      <c r="V44" s="129">
        <v>10.5</v>
      </c>
      <c r="X44" s="129">
        <v>306.2</v>
      </c>
      <c r="AC44" s="129">
        <v>124.7</v>
      </c>
      <c r="AD44" s="129">
        <v>0</v>
      </c>
      <c r="AE44" s="129">
        <v>0</v>
      </c>
      <c r="AF44" s="129">
        <v>319</v>
      </c>
      <c r="AG44" s="129">
        <v>136</v>
      </c>
      <c r="AI44" s="129">
        <v>146</v>
      </c>
      <c r="AJ44" s="129">
        <v>10</v>
      </c>
      <c r="AK44" s="129">
        <v>11</v>
      </c>
      <c r="AL44" s="129">
        <v>0</v>
      </c>
      <c r="AO44" s="129">
        <v>0</v>
      </c>
      <c r="AP44" s="129">
        <v>0</v>
      </c>
      <c r="AQ44" s="129">
        <v>0</v>
      </c>
      <c r="AR44" s="129">
        <v>0</v>
      </c>
      <c r="AS44" s="129">
        <v>0</v>
      </c>
      <c r="AT44" s="129">
        <v>0</v>
      </c>
      <c r="AU44" s="129">
        <v>0</v>
      </c>
      <c r="AV44" s="129">
        <v>0</v>
      </c>
      <c r="AW44" s="129">
        <v>199994</v>
      </c>
      <c r="AX44" s="167">
        <v>45351</v>
      </c>
      <c r="AY44" s="162">
        <f t="shared" si="20"/>
        <v>6</v>
      </c>
      <c r="AZ44" s="163" t="s">
        <v>882</v>
      </c>
      <c r="BA44" s="162" t="b">
        <f t="shared" si="0"/>
        <v>0</v>
      </c>
      <c r="BF44" s="164">
        <f t="shared" si="91"/>
        <v>293.7</v>
      </c>
      <c r="BG44" s="164">
        <f t="shared" si="92"/>
        <v>10.5</v>
      </c>
      <c r="BH44" s="164"/>
      <c r="BI44" s="164">
        <f t="shared" si="93"/>
        <v>124.7</v>
      </c>
      <c r="BJ44" s="164">
        <f t="shared" si="94"/>
        <v>0</v>
      </c>
      <c r="BK44" s="164">
        <f t="shared" si="95"/>
        <v>0</v>
      </c>
      <c r="BL44" s="164">
        <f t="shared" si="96"/>
        <v>319</v>
      </c>
      <c r="BM44" s="164">
        <f t="shared" si="97"/>
        <v>136</v>
      </c>
      <c r="BN44" s="164">
        <f t="shared" si="98"/>
        <v>146</v>
      </c>
      <c r="BO44" s="164">
        <f t="shared" si="99"/>
        <v>10</v>
      </c>
      <c r="BP44" s="164">
        <f t="shared" si="100"/>
        <v>11</v>
      </c>
      <c r="BQ44" s="164">
        <f t="shared" si="101"/>
        <v>11</v>
      </c>
      <c r="BR44" s="164">
        <f t="shared" si="102"/>
        <v>0</v>
      </c>
      <c r="BS44" s="129">
        <f>SUMIF('Audit HD AR - School Level'!$A$6:A3520, "=" &amp; A44,'Audit HD AR - School Level'!$Q$6:Q3520)</f>
        <v>11.7</v>
      </c>
      <c r="BT44" s="168">
        <f t="shared" si="103"/>
        <v>0</v>
      </c>
      <c r="BU44" s="168">
        <f t="shared" si="104"/>
        <v>0</v>
      </c>
      <c r="BV44" s="168"/>
      <c r="BW44" s="168">
        <f t="shared" si="16"/>
        <v>0</v>
      </c>
      <c r="BX44" s="164">
        <f t="shared" si="17"/>
        <v>293.7</v>
      </c>
      <c r="BY44" s="164">
        <f t="shared" si="18"/>
        <v>10.5</v>
      </c>
    </row>
    <row r="45" spans="1:77">
      <c r="A45" s="129" t="s">
        <v>320</v>
      </c>
      <c r="U45" s="129">
        <v>366</v>
      </c>
      <c r="V45" s="129">
        <v>3</v>
      </c>
      <c r="X45" s="129">
        <v>385</v>
      </c>
      <c r="AC45" s="129">
        <v>153.19999999999999</v>
      </c>
      <c r="AD45" s="129">
        <v>0</v>
      </c>
      <c r="AE45" s="129">
        <v>0</v>
      </c>
      <c r="AF45" s="129">
        <v>376</v>
      </c>
      <c r="AG45" s="129">
        <v>108</v>
      </c>
      <c r="AI45" s="129">
        <v>120</v>
      </c>
      <c r="AJ45" s="129">
        <v>4</v>
      </c>
      <c r="AK45" s="129">
        <v>1</v>
      </c>
      <c r="AL45" s="129">
        <v>0</v>
      </c>
      <c r="AO45" s="129">
        <v>0</v>
      </c>
      <c r="AP45" s="129">
        <v>0</v>
      </c>
      <c r="AQ45" s="129">
        <v>0</v>
      </c>
      <c r="AR45" s="129">
        <v>5</v>
      </c>
      <c r="AS45" s="129">
        <v>0</v>
      </c>
      <c r="AT45" s="129">
        <v>0</v>
      </c>
      <c r="AU45" s="129">
        <v>0</v>
      </c>
      <c r="AV45" s="129">
        <v>0</v>
      </c>
      <c r="AW45" s="129">
        <v>154566</v>
      </c>
      <c r="AX45" s="167">
        <v>45351</v>
      </c>
      <c r="AY45" s="162">
        <f t="shared" si="20"/>
        <v>6</v>
      </c>
      <c r="AZ45" s="163" t="s">
        <v>882</v>
      </c>
      <c r="BA45" s="162" t="b">
        <f t="shared" si="0"/>
        <v>0</v>
      </c>
      <c r="BF45" s="164">
        <f t="shared" si="91"/>
        <v>361</v>
      </c>
      <c r="BG45" s="164">
        <f t="shared" si="92"/>
        <v>3</v>
      </c>
      <c r="BH45" s="164"/>
      <c r="BI45" s="164">
        <f t="shared" si="93"/>
        <v>153.19999999999999</v>
      </c>
      <c r="BJ45" s="164">
        <f t="shared" si="94"/>
        <v>0</v>
      </c>
      <c r="BK45" s="164">
        <f t="shared" si="95"/>
        <v>0</v>
      </c>
      <c r="BL45" s="164">
        <f t="shared" si="96"/>
        <v>376</v>
      </c>
      <c r="BM45" s="164">
        <f t="shared" si="97"/>
        <v>108</v>
      </c>
      <c r="BN45" s="164">
        <f t="shared" si="98"/>
        <v>120</v>
      </c>
      <c r="BO45" s="164">
        <f t="shared" si="99"/>
        <v>4</v>
      </c>
      <c r="BP45" s="164">
        <f t="shared" si="100"/>
        <v>1</v>
      </c>
      <c r="BQ45" s="164">
        <f t="shared" si="101"/>
        <v>1</v>
      </c>
      <c r="BR45" s="164">
        <f t="shared" si="102"/>
        <v>0</v>
      </c>
      <c r="BS45" s="129">
        <f>SUMIF('Audit HD AR - School Level'!$A$6:A3522, "=" &amp; A45,'Audit HD AR - School Level'!$Q$6:Q3522)</f>
        <v>0</v>
      </c>
      <c r="BT45" s="168">
        <f t="shared" si="103"/>
        <v>0</v>
      </c>
      <c r="BU45" s="168">
        <f t="shared" si="104"/>
        <v>-3545</v>
      </c>
      <c r="BV45" s="168"/>
      <c r="BW45" s="168">
        <f t="shared" si="16"/>
        <v>-3545</v>
      </c>
      <c r="BX45" s="164">
        <f t="shared" si="17"/>
        <v>366</v>
      </c>
      <c r="BY45" s="164">
        <f t="shared" si="18"/>
        <v>3</v>
      </c>
    </row>
    <row r="46" spans="1:77">
      <c r="A46" s="129" t="s">
        <v>337</v>
      </c>
      <c r="U46" s="129">
        <v>365.1</v>
      </c>
      <c r="V46" s="129">
        <v>4</v>
      </c>
      <c r="X46" s="129">
        <v>392.5</v>
      </c>
      <c r="AC46" s="129">
        <v>102.6</v>
      </c>
      <c r="AD46" s="129">
        <v>0</v>
      </c>
      <c r="AE46" s="129">
        <v>0</v>
      </c>
      <c r="AF46" s="129">
        <v>435</v>
      </c>
      <c r="AG46" s="129">
        <v>115</v>
      </c>
      <c r="AI46" s="129">
        <v>133.19999999999999</v>
      </c>
      <c r="AJ46" s="129">
        <v>44.8</v>
      </c>
      <c r="AK46" s="129">
        <v>33.200000000000003</v>
      </c>
      <c r="AL46" s="129">
        <v>0</v>
      </c>
      <c r="AO46" s="129">
        <v>3</v>
      </c>
      <c r="AP46" s="129">
        <v>0</v>
      </c>
      <c r="AQ46" s="129">
        <v>0</v>
      </c>
      <c r="AR46" s="129">
        <v>0</v>
      </c>
      <c r="AS46" s="129">
        <v>0</v>
      </c>
      <c r="AT46" s="129">
        <v>0</v>
      </c>
      <c r="AU46" s="129">
        <v>0</v>
      </c>
      <c r="AV46" s="129">
        <v>0</v>
      </c>
      <c r="AW46" s="129">
        <v>154885</v>
      </c>
      <c r="AX46" s="167">
        <v>45351</v>
      </c>
      <c r="AY46" s="162">
        <f t="shared" si="20"/>
        <v>6</v>
      </c>
      <c r="AZ46" s="163" t="s">
        <v>882</v>
      </c>
      <c r="BA46" s="162" t="b">
        <f t="shared" si="0"/>
        <v>0</v>
      </c>
      <c r="BF46" s="164">
        <f t="shared" si="91"/>
        <v>362.1</v>
      </c>
      <c r="BG46" s="164">
        <f t="shared" si="92"/>
        <v>4</v>
      </c>
      <c r="BH46" s="164"/>
      <c r="BI46" s="164">
        <f t="shared" si="93"/>
        <v>102.6</v>
      </c>
      <c r="BJ46" s="164">
        <f t="shared" si="94"/>
        <v>0</v>
      </c>
      <c r="BK46" s="164">
        <f t="shared" si="95"/>
        <v>0</v>
      </c>
      <c r="BL46" s="164">
        <f t="shared" si="96"/>
        <v>435</v>
      </c>
      <c r="BM46" s="164">
        <f t="shared" si="97"/>
        <v>115</v>
      </c>
      <c r="BN46" s="164">
        <f t="shared" si="98"/>
        <v>133.19999999999999</v>
      </c>
      <c r="BO46" s="164">
        <f t="shared" si="99"/>
        <v>44.8</v>
      </c>
      <c r="BP46" s="164">
        <f t="shared" si="100"/>
        <v>33.200000000000003</v>
      </c>
      <c r="BQ46" s="164">
        <f t="shared" si="101"/>
        <v>33.200000000000003</v>
      </c>
      <c r="BR46" s="164">
        <f t="shared" si="102"/>
        <v>0</v>
      </c>
      <c r="BS46" s="129">
        <f>SUMIF('Audit HD AR - School Level'!$A$6:A3525, "=" &amp; A46,'Audit HD AR - School Level'!$Q$6:Q3525)</f>
        <v>0</v>
      </c>
      <c r="BT46" s="168">
        <f t="shared" si="103"/>
        <v>0</v>
      </c>
      <c r="BU46" s="168">
        <f t="shared" si="104"/>
        <v>0</v>
      </c>
      <c r="BV46" s="168"/>
      <c r="BW46" s="168">
        <f t="shared" si="16"/>
        <v>0</v>
      </c>
      <c r="BX46" s="164">
        <f t="shared" si="17"/>
        <v>362.1</v>
      </c>
      <c r="BY46" s="164">
        <f t="shared" si="18"/>
        <v>4</v>
      </c>
    </row>
    <row r="47" spans="1:77">
      <c r="A47" s="129" t="s">
        <v>346</v>
      </c>
      <c r="U47" s="129">
        <v>899.5</v>
      </c>
      <c r="V47" s="129">
        <v>14.5</v>
      </c>
      <c r="X47" s="129">
        <v>932</v>
      </c>
      <c r="AC47" s="129">
        <v>220.8</v>
      </c>
      <c r="AD47" s="129">
        <v>1</v>
      </c>
      <c r="AE47" s="129">
        <v>0</v>
      </c>
      <c r="AF47" s="129">
        <v>941</v>
      </c>
      <c r="AG47" s="129">
        <v>398</v>
      </c>
      <c r="AI47" s="129">
        <v>296</v>
      </c>
      <c r="AJ47" s="129">
        <v>39</v>
      </c>
      <c r="AK47" s="129">
        <v>45</v>
      </c>
      <c r="AL47" s="129">
        <v>0</v>
      </c>
      <c r="AO47" s="129">
        <v>0</v>
      </c>
      <c r="AP47" s="129">
        <v>0</v>
      </c>
      <c r="AQ47" s="129">
        <v>0</v>
      </c>
      <c r="AR47" s="129">
        <v>0</v>
      </c>
      <c r="AS47" s="129">
        <v>0</v>
      </c>
      <c r="AT47" s="129">
        <v>0</v>
      </c>
      <c r="AU47" s="129">
        <v>0</v>
      </c>
      <c r="AV47" s="129">
        <v>0</v>
      </c>
      <c r="AW47" s="129">
        <v>642136</v>
      </c>
      <c r="AX47" s="167">
        <v>45351</v>
      </c>
      <c r="AY47" s="162">
        <f t="shared" si="20"/>
        <v>6</v>
      </c>
      <c r="AZ47" s="163" t="s">
        <v>882</v>
      </c>
      <c r="BA47" s="162" t="b">
        <f t="shared" si="0"/>
        <v>0</v>
      </c>
      <c r="BF47" s="164">
        <f t="shared" si="91"/>
        <v>899.5</v>
      </c>
      <c r="BG47" s="164">
        <f t="shared" si="92"/>
        <v>14.5</v>
      </c>
      <c r="BH47" s="164"/>
      <c r="BI47" s="164">
        <f t="shared" si="93"/>
        <v>220.8</v>
      </c>
      <c r="BJ47" s="164">
        <f t="shared" si="94"/>
        <v>1</v>
      </c>
      <c r="BK47" s="164">
        <f t="shared" si="95"/>
        <v>0</v>
      </c>
      <c r="BL47" s="164">
        <f t="shared" si="96"/>
        <v>941</v>
      </c>
      <c r="BM47" s="164">
        <f t="shared" si="97"/>
        <v>398</v>
      </c>
      <c r="BN47" s="164">
        <f t="shared" si="98"/>
        <v>296</v>
      </c>
      <c r="BO47" s="164">
        <f t="shared" si="99"/>
        <v>39</v>
      </c>
      <c r="BP47" s="164">
        <f t="shared" si="100"/>
        <v>45</v>
      </c>
      <c r="BQ47" s="164">
        <f t="shared" si="101"/>
        <v>45</v>
      </c>
      <c r="BR47" s="164">
        <f t="shared" si="102"/>
        <v>0</v>
      </c>
      <c r="BS47" s="129">
        <f>SUMIF('Audit HD AR - School Level'!$A$6:A3526, "=" &amp; A47,'Audit HD AR - School Level'!$Q$6:Q3526)</f>
        <v>24.6</v>
      </c>
      <c r="BT47" s="168">
        <f t="shared" si="103"/>
        <v>0</v>
      </c>
      <c r="BU47" s="168">
        <f t="shared" si="104"/>
        <v>0</v>
      </c>
      <c r="BV47" s="168"/>
      <c r="BW47" s="168">
        <f t="shared" si="16"/>
        <v>0</v>
      </c>
      <c r="BX47" s="164">
        <f t="shared" si="17"/>
        <v>899.5</v>
      </c>
      <c r="BY47" s="164">
        <f t="shared" si="18"/>
        <v>14.5</v>
      </c>
    </row>
    <row r="48" spans="1:77">
      <c r="A48" s="129" t="s">
        <v>352</v>
      </c>
      <c r="U48" s="129">
        <v>663</v>
      </c>
      <c r="V48" s="129">
        <v>8.5</v>
      </c>
      <c r="X48" s="129">
        <v>693</v>
      </c>
      <c r="AC48" s="129">
        <v>128</v>
      </c>
      <c r="AD48" s="129">
        <v>0</v>
      </c>
      <c r="AE48" s="129">
        <v>0</v>
      </c>
      <c r="AF48" s="129">
        <v>684</v>
      </c>
      <c r="AG48" s="129">
        <v>124</v>
      </c>
      <c r="AI48" s="129">
        <v>283</v>
      </c>
      <c r="AJ48" s="129">
        <v>61.5</v>
      </c>
      <c r="AK48" s="129">
        <v>11</v>
      </c>
      <c r="AL48" s="129">
        <v>0</v>
      </c>
      <c r="AO48" s="129">
        <v>0</v>
      </c>
      <c r="AP48" s="129">
        <v>0</v>
      </c>
      <c r="AQ48" s="129">
        <v>0</v>
      </c>
      <c r="AR48" s="129">
        <v>0</v>
      </c>
      <c r="AS48" s="129">
        <v>0</v>
      </c>
      <c r="AT48" s="129">
        <v>0</v>
      </c>
      <c r="AU48" s="129">
        <v>0</v>
      </c>
      <c r="AV48" s="129">
        <v>0</v>
      </c>
      <c r="AW48" s="129">
        <v>231395</v>
      </c>
      <c r="AX48" s="167">
        <v>45351</v>
      </c>
      <c r="AY48" s="162">
        <f t="shared" si="20"/>
        <v>6</v>
      </c>
      <c r="AZ48" s="163" t="s">
        <v>882</v>
      </c>
      <c r="BA48" s="162" t="b">
        <f t="shared" si="0"/>
        <v>0</v>
      </c>
      <c r="BF48" s="164">
        <f t="shared" si="91"/>
        <v>663</v>
      </c>
      <c r="BG48" s="164">
        <f t="shared" si="92"/>
        <v>8.5</v>
      </c>
      <c r="BH48" s="164"/>
      <c r="BI48" s="164">
        <f t="shared" si="93"/>
        <v>128</v>
      </c>
      <c r="BJ48" s="164">
        <f t="shared" si="94"/>
        <v>0</v>
      </c>
      <c r="BK48" s="164">
        <f t="shared" si="95"/>
        <v>0</v>
      </c>
      <c r="BL48" s="164">
        <f t="shared" si="96"/>
        <v>684</v>
      </c>
      <c r="BM48" s="164">
        <f t="shared" si="97"/>
        <v>124</v>
      </c>
      <c r="BN48" s="164">
        <f t="shared" si="98"/>
        <v>283</v>
      </c>
      <c r="BO48" s="164">
        <f t="shared" si="99"/>
        <v>61.5</v>
      </c>
      <c r="BP48" s="164">
        <f t="shared" si="100"/>
        <v>11</v>
      </c>
      <c r="BQ48" s="164">
        <f t="shared" si="101"/>
        <v>11</v>
      </c>
      <c r="BR48" s="164">
        <f t="shared" si="102"/>
        <v>0</v>
      </c>
      <c r="BS48" s="129">
        <f>SUMIF('Audit HD AR - School Level'!$A$6:A3527, "=" &amp; A48,'Audit HD AR - School Level'!$Q$6:Q3527)</f>
        <v>0</v>
      </c>
      <c r="BT48" s="168">
        <f t="shared" si="103"/>
        <v>0</v>
      </c>
      <c r="BU48" s="168">
        <f t="shared" si="104"/>
        <v>0</v>
      </c>
      <c r="BV48" s="168"/>
      <c r="BW48" s="168">
        <f t="shared" si="16"/>
        <v>0</v>
      </c>
      <c r="BX48" s="164">
        <f t="shared" si="17"/>
        <v>663</v>
      </c>
      <c r="BY48" s="164">
        <f t="shared" si="18"/>
        <v>8.5</v>
      </c>
    </row>
    <row r="49" spans="1:78">
      <c r="A49" s="129" t="s">
        <v>359</v>
      </c>
      <c r="U49" s="129">
        <v>1284.5</v>
      </c>
      <c r="V49" s="129">
        <v>14.5</v>
      </c>
      <c r="X49" s="129">
        <v>1306.7</v>
      </c>
      <c r="AC49" s="129">
        <v>438.3</v>
      </c>
      <c r="AD49" s="129">
        <v>5</v>
      </c>
      <c r="AE49" s="129">
        <v>0.3</v>
      </c>
      <c r="AF49" s="129">
        <v>1319</v>
      </c>
      <c r="AG49" s="129">
        <v>492</v>
      </c>
      <c r="AI49" s="129">
        <v>335</v>
      </c>
      <c r="AJ49" s="129">
        <v>49</v>
      </c>
      <c r="AK49" s="129">
        <v>3</v>
      </c>
      <c r="AL49" s="129">
        <v>0</v>
      </c>
      <c r="AO49" s="129">
        <v>0</v>
      </c>
      <c r="AP49" s="129">
        <v>0</v>
      </c>
      <c r="AQ49" s="129">
        <v>0</v>
      </c>
      <c r="AR49" s="129">
        <v>0</v>
      </c>
      <c r="AS49" s="129">
        <v>0</v>
      </c>
      <c r="AT49" s="129">
        <v>0</v>
      </c>
      <c r="AU49" s="129">
        <v>0</v>
      </c>
      <c r="AV49" s="129">
        <v>0</v>
      </c>
      <c r="AW49" s="129">
        <v>671461</v>
      </c>
      <c r="AX49" s="167">
        <v>45351</v>
      </c>
      <c r="AY49" s="162">
        <f t="shared" si="20"/>
        <v>6</v>
      </c>
      <c r="AZ49" s="163" t="s">
        <v>882</v>
      </c>
      <c r="BA49" s="162" t="b">
        <f t="shared" si="0"/>
        <v>0</v>
      </c>
      <c r="BF49" s="164">
        <f t="shared" si="91"/>
        <v>1284.5</v>
      </c>
      <c r="BG49" s="164">
        <f t="shared" si="92"/>
        <v>14.5</v>
      </c>
      <c r="BH49" s="164"/>
      <c r="BI49" s="164">
        <f t="shared" si="93"/>
        <v>438.3</v>
      </c>
      <c r="BJ49" s="164">
        <f t="shared" si="94"/>
        <v>5</v>
      </c>
      <c r="BK49" s="164">
        <f t="shared" si="95"/>
        <v>0.3</v>
      </c>
      <c r="BL49" s="164">
        <f t="shared" si="96"/>
        <v>1319</v>
      </c>
      <c r="BM49" s="164">
        <f t="shared" si="97"/>
        <v>492</v>
      </c>
      <c r="BN49" s="164">
        <f t="shared" si="98"/>
        <v>335</v>
      </c>
      <c r="BO49" s="164">
        <f t="shared" si="99"/>
        <v>49</v>
      </c>
      <c r="BP49" s="164">
        <f t="shared" si="100"/>
        <v>3</v>
      </c>
      <c r="BQ49" s="164">
        <f t="shared" si="101"/>
        <v>3</v>
      </c>
      <c r="BR49" s="164">
        <f t="shared" si="102"/>
        <v>0</v>
      </c>
      <c r="BS49" s="129">
        <f>SUMIF('Audit HD AR - School Level'!$A$6:A3528, "=" &amp; A49,'Audit HD AR - School Level'!$Q$6:Q3528)</f>
        <v>15.9</v>
      </c>
      <c r="BT49" s="168">
        <f t="shared" si="103"/>
        <v>0</v>
      </c>
      <c r="BU49" s="168">
        <f t="shared" si="104"/>
        <v>0</v>
      </c>
      <c r="BV49" s="168"/>
      <c r="BW49" s="168">
        <f t="shared" si="16"/>
        <v>0</v>
      </c>
      <c r="BX49" s="164">
        <f t="shared" si="17"/>
        <v>1284.5</v>
      </c>
      <c r="BY49" s="164">
        <f t="shared" si="18"/>
        <v>14.5</v>
      </c>
    </row>
    <row r="50" spans="1:78">
      <c r="A50" s="129" t="s">
        <v>403</v>
      </c>
      <c r="U50" s="129">
        <v>295.5</v>
      </c>
      <c r="V50" s="129">
        <v>1.5</v>
      </c>
      <c r="X50" s="129">
        <v>319.2</v>
      </c>
      <c r="AC50" s="129">
        <v>105.2</v>
      </c>
      <c r="AD50" s="129">
        <v>0</v>
      </c>
      <c r="AE50" s="129">
        <v>0</v>
      </c>
      <c r="AF50" s="129">
        <v>302</v>
      </c>
      <c r="AG50" s="129">
        <v>71</v>
      </c>
      <c r="AI50" s="129">
        <v>52</v>
      </c>
      <c r="AJ50" s="129">
        <v>23.5</v>
      </c>
      <c r="AK50" s="129">
        <v>4</v>
      </c>
      <c r="AL50" s="129">
        <v>0</v>
      </c>
      <c r="AO50" s="129">
        <v>0</v>
      </c>
      <c r="AP50" s="129">
        <v>0</v>
      </c>
      <c r="AQ50" s="129">
        <v>0</v>
      </c>
      <c r="AR50" s="129">
        <v>0</v>
      </c>
      <c r="AS50" s="129">
        <v>0</v>
      </c>
      <c r="AT50" s="129">
        <v>0</v>
      </c>
      <c r="AU50" s="129">
        <v>0</v>
      </c>
      <c r="AV50" s="129">
        <v>0</v>
      </c>
      <c r="AW50" s="129">
        <v>95603</v>
      </c>
      <c r="AX50" s="167">
        <v>45351</v>
      </c>
      <c r="AY50" s="162">
        <f t="shared" si="20"/>
        <v>6</v>
      </c>
      <c r="AZ50" s="163" t="s">
        <v>882</v>
      </c>
      <c r="BA50" s="162" t="b">
        <f t="shared" si="0"/>
        <v>0</v>
      </c>
      <c r="BF50" s="164">
        <f t="shared" si="91"/>
        <v>295.5</v>
      </c>
      <c r="BG50" s="164">
        <f t="shared" si="92"/>
        <v>1.5</v>
      </c>
      <c r="BH50" s="164"/>
      <c r="BI50" s="164">
        <f t="shared" si="93"/>
        <v>105.2</v>
      </c>
      <c r="BJ50" s="164">
        <f t="shared" si="94"/>
        <v>0</v>
      </c>
      <c r="BK50" s="164">
        <f t="shared" si="95"/>
        <v>0</v>
      </c>
      <c r="BL50" s="164">
        <f t="shared" si="96"/>
        <v>302</v>
      </c>
      <c r="BM50" s="164">
        <f t="shared" si="97"/>
        <v>71</v>
      </c>
      <c r="BN50" s="164">
        <f t="shared" si="98"/>
        <v>52</v>
      </c>
      <c r="BO50" s="164">
        <f t="shared" si="99"/>
        <v>23.5</v>
      </c>
      <c r="BP50" s="164">
        <f t="shared" si="100"/>
        <v>4</v>
      </c>
      <c r="BQ50" s="164">
        <f t="shared" si="101"/>
        <v>4</v>
      </c>
      <c r="BR50" s="164">
        <f t="shared" si="102"/>
        <v>0</v>
      </c>
      <c r="BS50" s="129">
        <f>SUMIF('Audit HD AR - School Level'!$A$6:A3529, "=" &amp; A50,'Audit HD AR - School Level'!$Q$6:Q3529)</f>
        <v>0</v>
      </c>
      <c r="BT50" s="168">
        <f t="shared" si="103"/>
        <v>0</v>
      </c>
      <c r="BU50" s="168">
        <f t="shared" si="104"/>
        <v>0</v>
      </c>
      <c r="BV50" s="168"/>
      <c r="BW50" s="168">
        <f t="shared" si="16"/>
        <v>0</v>
      </c>
      <c r="BX50" s="164">
        <f t="shared" si="17"/>
        <v>295.5</v>
      </c>
      <c r="BY50" s="164">
        <f t="shared" si="18"/>
        <v>1.5</v>
      </c>
    </row>
    <row r="51" spans="1:78">
      <c r="A51" s="129" t="s">
        <v>407</v>
      </c>
      <c r="U51" s="129">
        <v>997.7</v>
      </c>
      <c r="V51" s="129">
        <v>11.5</v>
      </c>
      <c r="X51" s="129">
        <v>1012.5</v>
      </c>
      <c r="AC51" s="129">
        <v>177.5</v>
      </c>
      <c r="AD51" s="129">
        <v>0</v>
      </c>
      <c r="AE51" s="129">
        <v>0</v>
      </c>
      <c r="AF51" s="129">
        <v>1026</v>
      </c>
      <c r="AG51" s="129">
        <v>397</v>
      </c>
      <c r="AI51" s="129">
        <v>669.5</v>
      </c>
      <c r="AJ51" s="129">
        <v>16</v>
      </c>
      <c r="AK51" s="129">
        <v>44.5</v>
      </c>
      <c r="AL51" s="129">
        <v>0</v>
      </c>
      <c r="AO51" s="129">
        <v>6</v>
      </c>
      <c r="AP51" s="129">
        <v>0</v>
      </c>
      <c r="AQ51" s="129">
        <v>7</v>
      </c>
      <c r="AR51" s="129">
        <v>5</v>
      </c>
      <c r="AS51" s="129">
        <v>7</v>
      </c>
      <c r="AT51" s="129">
        <v>3</v>
      </c>
      <c r="AU51" s="129">
        <v>0</v>
      </c>
      <c r="AV51" s="129">
        <v>0</v>
      </c>
      <c r="AW51" s="129">
        <v>1015131</v>
      </c>
      <c r="AX51" s="167">
        <v>45351</v>
      </c>
      <c r="AY51" s="162">
        <f t="shared" si="20"/>
        <v>6</v>
      </c>
      <c r="AZ51" s="163" t="s">
        <v>882</v>
      </c>
      <c r="BA51" s="162" t="b">
        <f t="shared" si="0"/>
        <v>0</v>
      </c>
      <c r="BF51" s="164">
        <f t="shared" si="91"/>
        <v>986.7</v>
      </c>
      <c r="BG51" s="164">
        <f t="shared" si="92"/>
        <v>11.5</v>
      </c>
      <c r="BH51" s="164"/>
      <c r="BI51" s="164">
        <f t="shared" si="93"/>
        <v>177.5</v>
      </c>
      <c r="BJ51" s="164">
        <f t="shared" si="94"/>
        <v>0</v>
      </c>
      <c r="BK51" s="164">
        <f t="shared" si="95"/>
        <v>0</v>
      </c>
      <c r="BL51" s="164">
        <f t="shared" si="96"/>
        <v>1026</v>
      </c>
      <c r="BM51" s="164">
        <f t="shared" si="97"/>
        <v>397</v>
      </c>
      <c r="BN51" s="164">
        <f t="shared" si="98"/>
        <v>669.5</v>
      </c>
      <c r="BO51" s="164">
        <f t="shared" si="99"/>
        <v>16</v>
      </c>
      <c r="BP51" s="164">
        <f t="shared" si="100"/>
        <v>44.5</v>
      </c>
      <c r="BQ51" s="164">
        <f t="shared" si="101"/>
        <v>44.5</v>
      </c>
      <c r="BR51" s="164">
        <f t="shared" si="102"/>
        <v>0</v>
      </c>
      <c r="BS51" s="129">
        <f>SUMIF('Audit HD AR - School Level'!$A$6:A3530, "=" &amp; A51,'Audit HD AR - School Level'!$Q$6:Q3530)</f>
        <v>10.4</v>
      </c>
      <c r="BT51" s="168">
        <f t="shared" si="103"/>
        <v>0</v>
      </c>
      <c r="BU51" s="168">
        <f t="shared" si="104"/>
        <v>-3545</v>
      </c>
      <c r="BV51" s="168"/>
      <c r="BW51" s="168">
        <f t="shared" si="16"/>
        <v>-3545</v>
      </c>
      <c r="BX51" s="164">
        <f t="shared" si="17"/>
        <v>988.7</v>
      </c>
      <c r="BY51" s="164">
        <f t="shared" si="18"/>
        <v>11.5</v>
      </c>
    </row>
    <row r="52" spans="1:78">
      <c r="A52" s="129" t="s">
        <v>470</v>
      </c>
      <c r="U52" s="129">
        <v>1420.4</v>
      </c>
      <c r="V52" s="129">
        <v>21</v>
      </c>
      <c r="X52" s="129">
        <v>1501</v>
      </c>
      <c r="AC52" s="129">
        <v>297.89999999999998</v>
      </c>
      <c r="AD52" s="129">
        <v>0</v>
      </c>
      <c r="AE52" s="129">
        <v>0</v>
      </c>
      <c r="AF52" s="129">
        <v>1444</v>
      </c>
      <c r="AG52" s="129">
        <v>681</v>
      </c>
      <c r="AI52" s="129">
        <v>577</v>
      </c>
      <c r="AJ52" s="129">
        <v>90.5</v>
      </c>
      <c r="AK52" s="129">
        <v>481.5</v>
      </c>
      <c r="AL52" s="129">
        <v>0</v>
      </c>
      <c r="AO52" s="129">
        <v>23</v>
      </c>
      <c r="AP52" s="129">
        <v>0.8</v>
      </c>
      <c r="AQ52" s="129">
        <v>0</v>
      </c>
      <c r="AR52" s="129">
        <v>0</v>
      </c>
      <c r="AS52" s="129">
        <v>0</v>
      </c>
      <c r="AT52" s="129">
        <v>0</v>
      </c>
      <c r="AU52" s="129">
        <v>0</v>
      </c>
      <c r="AV52" s="129">
        <v>0</v>
      </c>
      <c r="AW52" s="129">
        <v>1033461</v>
      </c>
      <c r="AX52" s="167">
        <v>45351</v>
      </c>
      <c r="AY52" s="162">
        <f t="shared" si="20"/>
        <v>6</v>
      </c>
      <c r="AZ52" s="163" t="s">
        <v>882</v>
      </c>
      <c r="BA52" s="162" t="b">
        <f t="shared" si="0"/>
        <v>0</v>
      </c>
      <c r="BF52" s="164">
        <f t="shared" si="91"/>
        <v>1396.6</v>
      </c>
      <c r="BG52" s="164">
        <f t="shared" si="92"/>
        <v>21</v>
      </c>
      <c r="BH52" s="164"/>
      <c r="BI52" s="164">
        <f t="shared" si="93"/>
        <v>297.89999999999998</v>
      </c>
      <c r="BJ52" s="164">
        <f t="shared" si="94"/>
        <v>0</v>
      </c>
      <c r="BK52" s="164">
        <f t="shared" si="95"/>
        <v>0</v>
      </c>
      <c r="BL52" s="164">
        <f t="shared" si="96"/>
        <v>1444</v>
      </c>
      <c r="BM52" s="164">
        <f t="shared" si="97"/>
        <v>681</v>
      </c>
      <c r="BN52" s="164">
        <f t="shared" si="98"/>
        <v>577</v>
      </c>
      <c r="BO52" s="164">
        <f t="shared" si="99"/>
        <v>90.5</v>
      </c>
      <c r="BP52" s="164">
        <f t="shared" si="100"/>
        <v>481.5</v>
      </c>
      <c r="BQ52" s="164">
        <f t="shared" si="101"/>
        <v>481.5</v>
      </c>
      <c r="BR52" s="164">
        <f t="shared" si="102"/>
        <v>0</v>
      </c>
      <c r="BS52" s="129">
        <f>SUMIF('Audit HD AR - School Level'!$A$6:A3533, "=" &amp; A52,'Audit HD AR - School Level'!$Q$6:Q3533)</f>
        <v>54.3</v>
      </c>
      <c r="BT52" s="168">
        <f t="shared" si="103"/>
        <v>0</v>
      </c>
      <c r="BU52" s="168">
        <f t="shared" si="104"/>
        <v>0</v>
      </c>
      <c r="BV52" s="168"/>
      <c r="BW52" s="168">
        <f t="shared" si="16"/>
        <v>0</v>
      </c>
      <c r="BX52" s="164">
        <f t="shared" si="17"/>
        <v>1396.6</v>
      </c>
      <c r="BY52" s="164">
        <f t="shared" si="18"/>
        <v>21</v>
      </c>
    </row>
    <row r="53" spans="1:78">
      <c r="A53" s="129" t="s">
        <v>198</v>
      </c>
      <c r="U53" s="129">
        <v>172.5</v>
      </c>
      <c r="V53" s="129">
        <v>2</v>
      </c>
      <c r="X53" s="129">
        <v>178</v>
      </c>
      <c r="AC53" s="129">
        <v>56.3</v>
      </c>
      <c r="AD53" s="129">
        <v>0</v>
      </c>
      <c r="AE53" s="129">
        <v>0</v>
      </c>
      <c r="AF53" s="129">
        <v>179</v>
      </c>
      <c r="AG53" s="129">
        <v>55</v>
      </c>
      <c r="AI53" s="129">
        <v>111</v>
      </c>
      <c r="AJ53" s="129">
        <v>3</v>
      </c>
      <c r="AK53" s="129">
        <v>1</v>
      </c>
      <c r="AL53" s="129">
        <v>0</v>
      </c>
      <c r="AO53" s="129">
        <v>0</v>
      </c>
      <c r="AP53" s="129">
        <v>0</v>
      </c>
      <c r="AQ53" s="129">
        <v>0</v>
      </c>
      <c r="AR53" s="129">
        <v>0</v>
      </c>
      <c r="AS53" s="129">
        <v>0</v>
      </c>
      <c r="AT53" s="129">
        <v>0</v>
      </c>
      <c r="AU53" s="129">
        <v>0</v>
      </c>
      <c r="AV53" s="129">
        <v>0</v>
      </c>
      <c r="AW53" s="129">
        <v>252121</v>
      </c>
      <c r="AX53" s="167">
        <v>45362</v>
      </c>
      <c r="AY53" s="162">
        <f t="shared" si="20"/>
        <v>7</v>
      </c>
      <c r="AZ53" s="163" t="s">
        <v>882</v>
      </c>
      <c r="BA53" s="162" t="b">
        <f t="shared" si="0"/>
        <v>0</v>
      </c>
      <c r="BF53" s="164">
        <f t="shared" ref="BF53:BF81" si="105">SUM(U53+C53-AO53-AP53-AR53)</f>
        <v>172.5</v>
      </c>
      <c r="BG53" s="164">
        <f t="shared" ref="BG53:BG81" si="106">SUM(E53+F53+V53+W53)</f>
        <v>2</v>
      </c>
      <c r="BH53" s="164"/>
      <c r="BI53" s="164">
        <f t="shared" ref="BI53:BI81" si="107">SUM(AC53+H53)</f>
        <v>56.3</v>
      </c>
      <c r="BJ53" s="164">
        <f t="shared" ref="BJ53:BJ81" si="108">SUM(AD53+I53)</f>
        <v>0</v>
      </c>
      <c r="BK53" s="164">
        <f t="shared" ref="BK53:BK81" si="109">SUM(AE53+J53)</f>
        <v>0</v>
      </c>
      <c r="BL53" s="164">
        <f t="shared" ref="BL53:BL81" si="110">SUM(AF53+K53)</f>
        <v>179</v>
      </c>
      <c r="BM53" s="164">
        <f t="shared" ref="BM53:BM81" si="111">SUM(AG53+L53)</f>
        <v>55</v>
      </c>
      <c r="BN53" s="164">
        <f t="shared" ref="BN53:BN81" si="112">SUM(AI53+M53)</f>
        <v>111</v>
      </c>
      <c r="BO53" s="164">
        <f t="shared" ref="BO53:BO81" si="113">SUM(AJ53+R53)</f>
        <v>3</v>
      </c>
      <c r="BP53" s="164">
        <f t="shared" ref="BP53:BP81" si="114">SUM(AK53+R53)</f>
        <v>1</v>
      </c>
      <c r="BQ53" s="164">
        <f t="shared" ref="BQ53:BQ81" si="115">SUM(S53+AK53)</f>
        <v>1</v>
      </c>
      <c r="BR53" s="164">
        <f t="shared" ref="BR53:BR81" si="116">SUM(T53+AL53)</f>
        <v>0</v>
      </c>
      <c r="BS53" s="129">
        <f>SUMIF('Audit HD AR - School Level'!$A$6:A3535, "=" &amp; A53,'Audit HD AR - School Level'!$Q$6:Q3535)</f>
        <v>0.3</v>
      </c>
      <c r="BT53" s="168">
        <f t="shared" ref="BT53:BT81" si="117">SUM(AS53-AQ53)*$BT$2</f>
        <v>0</v>
      </c>
      <c r="BU53" s="168">
        <f t="shared" ref="BU53:BU81" si="118">SUM(AU53-AR53)*$BT$2</f>
        <v>0</v>
      </c>
      <c r="BV53" s="168"/>
      <c r="BW53" s="168">
        <f t="shared" ref="BW53:BW81" si="119">IF(BT53+BU53+BV53&gt;0,0,BT53+BU53+BV53)</f>
        <v>0</v>
      </c>
      <c r="BX53" s="164">
        <f t="shared" si="17"/>
        <v>172.5</v>
      </c>
      <c r="BY53" s="164">
        <f t="shared" si="18"/>
        <v>2</v>
      </c>
    </row>
    <row r="54" spans="1:78">
      <c r="A54" s="129" t="s">
        <v>217</v>
      </c>
      <c r="U54" s="129">
        <v>604.1</v>
      </c>
      <c r="V54" s="129">
        <v>5</v>
      </c>
      <c r="X54" s="129">
        <v>626.9</v>
      </c>
      <c r="AC54" s="129">
        <v>252.9</v>
      </c>
      <c r="AD54" s="129">
        <v>111</v>
      </c>
      <c r="AE54" s="129">
        <v>332.3</v>
      </c>
      <c r="AF54" s="129">
        <v>615</v>
      </c>
      <c r="AG54" s="129">
        <v>313</v>
      </c>
      <c r="AI54" s="129">
        <v>39</v>
      </c>
      <c r="AJ54" s="129">
        <v>27</v>
      </c>
      <c r="AK54" s="129">
        <v>3</v>
      </c>
      <c r="AL54" s="129">
        <v>0</v>
      </c>
      <c r="AO54" s="129">
        <v>0</v>
      </c>
      <c r="AP54" s="129">
        <v>0</v>
      </c>
      <c r="AQ54" s="129">
        <v>0</v>
      </c>
      <c r="AR54" s="129">
        <v>0</v>
      </c>
      <c r="AS54" s="129">
        <v>0</v>
      </c>
      <c r="AT54" s="129">
        <v>0</v>
      </c>
      <c r="AU54" s="129">
        <v>0</v>
      </c>
      <c r="AV54" s="129">
        <v>0</v>
      </c>
      <c r="AW54" s="129">
        <v>240027</v>
      </c>
      <c r="AX54" s="167">
        <v>45362</v>
      </c>
      <c r="AY54" s="162">
        <f t="shared" si="20"/>
        <v>7</v>
      </c>
      <c r="AZ54" s="163" t="s">
        <v>882</v>
      </c>
      <c r="BA54" s="162" t="b">
        <f t="shared" si="0"/>
        <v>0</v>
      </c>
      <c r="BF54" s="164">
        <f t="shared" si="105"/>
        <v>604.1</v>
      </c>
      <c r="BG54" s="164">
        <f t="shared" si="106"/>
        <v>5</v>
      </c>
      <c r="BH54" s="164"/>
      <c r="BI54" s="164">
        <f t="shared" si="107"/>
        <v>252.9</v>
      </c>
      <c r="BJ54" s="164">
        <f t="shared" si="108"/>
        <v>111</v>
      </c>
      <c r="BK54" s="164">
        <f t="shared" si="109"/>
        <v>332.3</v>
      </c>
      <c r="BL54" s="164">
        <f t="shared" si="110"/>
        <v>615</v>
      </c>
      <c r="BM54" s="164">
        <f t="shared" si="111"/>
        <v>313</v>
      </c>
      <c r="BN54" s="164">
        <f t="shared" si="112"/>
        <v>39</v>
      </c>
      <c r="BO54" s="164">
        <f t="shared" si="113"/>
        <v>27</v>
      </c>
      <c r="BP54" s="164">
        <f t="shared" si="114"/>
        <v>3</v>
      </c>
      <c r="BQ54" s="164">
        <f t="shared" si="115"/>
        <v>3</v>
      </c>
      <c r="BR54" s="164">
        <f t="shared" si="116"/>
        <v>0</v>
      </c>
      <c r="BS54" s="129">
        <f>SUMIF('Audit HD AR - School Level'!$A$6:A3537, "=" &amp; A54,'Audit HD AR - School Level'!$Q$6:Q3537)</f>
        <v>32.200000000000003</v>
      </c>
      <c r="BT54" s="168">
        <f t="shared" si="117"/>
        <v>0</v>
      </c>
      <c r="BU54" s="168">
        <f t="shared" si="118"/>
        <v>0</v>
      </c>
      <c r="BV54" s="168"/>
      <c r="BW54" s="168">
        <f t="shared" si="119"/>
        <v>0</v>
      </c>
      <c r="BX54" s="164">
        <f t="shared" si="17"/>
        <v>604.1</v>
      </c>
      <c r="BY54" s="164">
        <f t="shared" si="18"/>
        <v>5</v>
      </c>
    </row>
    <row r="55" spans="1:78">
      <c r="A55" s="129" t="s">
        <v>227</v>
      </c>
      <c r="U55" s="129">
        <v>268</v>
      </c>
      <c r="V55" s="129">
        <v>0</v>
      </c>
      <c r="X55" s="129">
        <v>287</v>
      </c>
      <c r="AC55" s="129">
        <v>28</v>
      </c>
      <c r="AD55" s="129">
        <v>3</v>
      </c>
      <c r="AE55" s="129">
        <v>1.3</v>
      </c>
      <c r="AF55" s="129">
        <v>273</v>
      </c>
      <c r="AG55" s="129">
        <v>76</v>
      </c>
      <c r="AI55" s="129">
        <v>130</v>
      </c>
      <c r="AJ55" s="129">
        <v>14</v>
      </c>
      <c r="AK55" s="129">
        <v>9.5</v>
      </c>
      <c r="AL55" s="129">
        <v>0</v>
      </c>
      <c r="AO55" s="129">
        <v>0</v>
      </c>
      <c r="AP55" s="129">
        <v>0</v>
      </c>
      <c r="AQ55" s="129">
        <v>0</v>
      </c>
      <c r="AR55" s="129">
        <v>0</v>
      </c>
      <c r="AS55" s="129">
        <v>0</v>
      </c>
      <c r="AT55" s="129">
        <v>0</v>
      </c>
      <c r="AU55" s="129">
        <v>0</v>
      </c>
      <c r="AV55" s="129">
        <v>0</v>
      </c>
      <c r="AW55" s="129">
        <v>229739</v>
      </c>
      <c r="AX55" s="167">
        <v>45362</v>
      </c>
      <c r="AY55" s="162">
        <f t="shared" si="20"/>
        <v>7</v>
      </c>
      <c r="AZ55" s="163" t="s">
        <v>882</v>
      </c>
      <c r="BA55" s="162" t="b">
        <f t="shared" si="0"/>
        <v>0</v>
      </c>
      <c r="BF55" s="164">
        <f t="shared" si="105"/>
        <v>268</v>
      </c>
      <c r="BG55" s="164">
        <f t="shared" si="106"/>
        <v>0</v>
      </c>
      <c r="BH55" s="164"/>
      <c r="BI55" s="164">
        <f t="shared" si="107"/>
        <v>28</v>
      </c>
      <c r="BJ55" s="164">
        <f t="shared" si="108"/>
        <v>3</v>
      </c>
      <c r="BK55" s="164">
        <f t="shared" si="109"/>
        <v>1.3</v>
      </c>
      <c r="BL55" s="164">
        <f t="shared" si="110"/>
        <v>273</v>
      </c>
      <c r="BM55" s="164">
        <f t="shared" si="111"/>
        <v>76</v>
      </c>
      <c r="BN55" s="164">
        <f t="shared" si="112"/>
        <v>130</v>
      </c>
      <c r="BO55" s="164">
        <f t="shared" si="113"/>
        <v>14</v>
      </c>
      <c r="BP55" s="164">
        <f t="shared" si="114"/>
        <v>9.5</v>
      </c>
      <c r="BQ55" s="164">
        <f t="shared" si="115"/>
        <v>9.5</v>
      </c>
      <c r="BR55" s="164">
        <f t="shared" si="116"/>
        <v>0</v>
      </c>
      <c r="BS55" s="129">
        <f>SUMIF('Audit HD AR - School Level'!$A$6:A3538, "=" &amp; A55,'Audit HD AR - School Level'!$Q$6:Q3538)</f>
        <v>0</v>
      </c>
      <c r="BT55" s="168">
        <f t="shared" si="117"/>
        <v>0</v>
      </c>
      <c r="BU55" s="168">
        <f t="shared" si="118"/>
        <v>0</v>
      </c>
      <c r="BV55" s="168"/>
      <c r="BW55" s="168">
        <f t="shared" si="119"/>
        <v>0</v>
      </c>
      <c r="BX55" s="164">
        <f t="shared" si="17"/>
        <v>268</v>
      </c>
      <c r="BY55" s="164">
        <f t="shared" si="18"/>
        <v>0</v>
      </c>
    </row>
    <row r="56" spans="1:78">
      <c r="A56" s="129" t="s">
        <v>239</v>
      </c>
      <c r="U56" s="129">
        <v>116.5</v>
      </c>
      <c r="V56" s="129">
        <v>0</v>
      </c>
      <c r="X56" s="129">
        <v>105.5</v>
      </c>
      <c r="AC56" s="129">
        <v>6.3</v>
      </c>
      <c r="AD56" s="129">
        <v>7</v>
      </c>
      <c r="AE56" s="129">
        <v>18.3</v>
      </c>
      <c r="AF56" s="129">
        <v>125</v>
      </c>
      <c r="AG56" s="129">
        <v>31</v>
      </c>
      <c r="AI56" s="129">
        <v>35</v>
      </c>
      <c r="AJ56" s="129">
        <v>1</v>
      </c>
      <c r="AK56" s="129">
        <v>4</v>
      </c>
      <c r="AL56" s="129">
        <v>0</v>
      </c>
      <c r="AO56" s="129">
        <v>0</v>
      </c>
      <c r="AP56" s="129">
        <v>0</v>
      </c>
      <c r="AQ56" s="129">
        <v>0</v>
      </c>
      <c r="AR56" s="129">
        <v>0</v>
      </c>
      <c r="AS56" s="129">
        <v>0</v>
      </c>
      <c r="AT56" s="129">
        <v>0</v>
      </c>
      <c r="AU56" s="129">
        <v>0</v>
      </c>
      <c r="AV56" s="129">
        <v>0</v>
      </c>
      <c r="AW56" s="129">
        <v>26173</v>
      </c>
      <c r="AX56" s="167">
        <v>45362</v>
      </c>
      <c r="AY56" s="162">
        <f t="shared" si="20"/>
        <v>7</v>
      </c>
      <c r="AZ56" s="163" t="s">
        <v>882</v>
      </c>
      <c r="BA56" s="162" t="b">
        <f t="shared" si="0"/>
        <v>0</v>
      </c>
      <c r="BF56" s="164">
        <f t="shared" si="105"/>
        <v>116.5</v>
      </c>
      <c r="BG56" s="164">
        <f t="shared" si="106"/>
        <v>0</v>
      </c>
      <c r="BH56" s="164"/>
      <c r="BI56" s="164">
        <f t="shared" si="107"/>
        <v>6.3</v>
      </c>
      <c r="BJ56" s="164">
        <f t="shared" si="108"/>
        <v>7</v>
      </c>
      <c r="BK56" s="164">
        <f t="shared" si="109"/>
        <v>18.3</v>
      </c>
      <c r="BL56" s="164">
        <f t="shared" si="110"/>
        <v>125</v>
      </c>
      <c r="BM56" s="164">
        <f t="shared" si="111"/>
        <v>31</v>
      </c>
      <c r="BN56" s="164">
        <f t="shared" si="112"/>
        <v>35</v>
      </c>
      <c r="BO56" s="164">
        <f t="shared" si="113"/>
        <v>1</v>
      </c>
      <c r="BP56" s="164">
        <f t="shared" si="114"/>
        <v>4</v>
      </c>
      <c r="BQ56" s="164">
        <f t="shared" si="115"/>
        <v>4</v>
      </c>
      <c r="BR56" s="164">
        <f t="shared" si="116"/>
        <v>0</v>
      </c>
      <c r="BS56" s="129">
        <f>SUMIF('Audit HD AR - School Level'!$A$6:A3540, "=" &amp; A56,'Audit HD AR - School Level'!$Q$6:Q3540)</f>
        <v>0</v>
      </c>
      <c r="BT56" s="168">
        <f t="shared" si="117"/>
        <v>0</v>
      </c>
      <c r="BU56" s="168">
        <f t="shared" si="118"/>
        <v>0</v>
      </c>
      <c r="BV56" s="168"/>
      <c r="BW56" s="168">
        <f t="shared" si="119"/>
        <v>0</v>
      </c>
      <c r="BX56" s="164">
        <f t="shared" si="17"/>
        <v>116.5</v>
      </c>
      <c r="BY56" s="164">
        <f t="shared" si="18"/>
        <v>0</v>
      </c>
    </row>
    <row r="57" spans="1:78">
      <c r="A57" s="129" t="s">
        <v>253</v>
      </c>
      <c r="U57" s="129">
        <v>255.8</v>
      </c>
      <c r="V57" s="129">
        <v>3.5</v>
      </c>
      <c r="X57" s="129">
        <v>258</v>
      </c>
      <c r="AC57" s="129">
        <v>46.8</v>
      </c>
      <c r="AD57" s="129">
        <v>0</v>
      </c>
      <c r="AE57" s="129">
        <v>0</v>
      </c>
      <c r="AF57" s="129">
        <v>260</v>
      </c>
      <c r="AG57" s="129">
        <v>124</v>
      </c>
      <c r="AI57" s="129">
        <v>94</v>
      </c>
      <c r="AJ57" s="129">
        <v>21</v>
      </c>
      <c r="AK57" s="129">
        <v>71</v>
      </c>
      <c r="AL57" s="129">
        <v>0</v>
      </c>
      <c r="AO57" s="129">
        <v>3</v>
      </c>
      <c r="AP57" s="129">
        <v>0.6</v>
      </c>
      <c r="AQ57" s="129">
        <v>0</v>
      </c>
      <c r="AR57" s="129">
        <v>0</v>
      </c>
      <c r="AS57" s="129">
        <v>0</v>
      </c>
      <c r="AT57" s="129">
        <v>0</v>
      </c>
      <c r="AU57" s="129">
        <v>0</v>
      </c>
      <c r="AV57" s="129">
        <v>0</v>
      </c>
      <c r="AW57" s="129">
        <v>258963</v>
      </c>
      <c r="AX57" s="167">
        <v>45362</v>
      </c>
      <c r="AY57" s="162">
        <f t="shared" si="20"/>
        <v>7</v>
      </c>
      <c r="AZ57" s="163" t="s">
        <v>882</v>
      </c>
      <c r="BA57" s="162" t="b">
        <f t="shared" si="0"/>
        <v>0</v>
      </c>
      <c r="BF57" s="164">
        <f t="shared" si="105"/>
        <v>252.2</v>
      </c>
      <c r="BG57" s="164">
        <f t="shared" si="106"/>
        <v>3.5</v>
      </c>
      <c r="BH57" s="164"/>
      <c r="BI57" s="164">
        <f t="shared" si="107"/>
        <v>46.8</v>
      </c>
      <c r="BJ57" s="164">
        <f t="shared" si="108"/>
        <v>0</v>
      </c>
      <c r="BK57" s="164">
        <f t="shared" si="109"/>
        <v>0</v>
      </c>
      <c r="BL57" s="164">
        <f t="shared" si="110"/>
        <v>260</v>
      </c>
      <c r="BM57" s="164">
        <f t="shared" si="111"/>
        <v>124</v>
      </c>
      <c r="BN57" s="164">
        <f t="shared" si="112"/>
        <v>94</v>
      </c>
      <c r="BO57" s="164">
        <f t="shared" si="113"/>
        <v>21</v>
      </c>
      <c r="BP57" s="164">
        <f t="shared" si="114"/>
        <v>71</v>
      </c>
      <c r="BQ57" s="164">
        <f t="shared" si="115"/>
        <v>71</v>
      </c>
      <c r="BR57" s="164">
        <f t="shared" si="116"/>
        <v>0</v>
      </c>
      <c r="BS57" s="129">
        <f>SUMIF('Audit HD AR - School Level'!$A$6:A3542, "=" &amp; A57,'Audit HD AR - School Level'!$Q$6:Q3542)</f>
        <v>11.1</v>
      </c>
      <c r="BT57" s="168">
        <f t="shared" si="117"/>
        <v>0</v>
      </c>
      <c r="BU57" s="168">
        <f t="shared" si="118"/>
        <v>0</v>
      </c>
      <c r="BV57" s="168"/>
      <c r="BW57" s="168">
        <f t="shared" si="119"/>
        <v>0</v>
      </c>
      <c r="BX57" s="164">
        <f t="shared" si="17"/>
        <v>252.2</v>
      </c>
      <c r="BY57" s="164">
        <f t="shared" si="18"/>
        <v>3.5</v>
      </c>
    </row>
    <row r="58" spans="1:78">
      <c r="A58" s="129" t="s">
        <v>266</v>
      </c>
      <c r="U58" s="129">
        <v>71.5</v>
      </c>
      <c r="V58" s="129">
        <v>2.5</v>
      </c>
      <c r="X58" s="129">
        <v>87.5</v>
      </c>
      <c r="AC58" s="129">
        <v>15.8</v>
      </c>
      <c r="AD58" s="129">
        <v>0</v>
      </c>
      <c r="AE58" s="129">
        <v>0</v>
      </c>
      <c r="AF58" s="129">
        <v>78</v>
      </c>
      <c r="AG58" s="129">
        <v>30</v>
      </c>
      <c r="AI58" s="129">
        <v>37</v>
      </c>
      <c r="AJ58" s="129">
        <v>0</v>
      </c>
      <c r="AK58" s="129">
        <v>3</v>
      </c>
      <c r="AL58" s="129">
        <v>0</v>
      </c>
      <c r="AO58" s="129">
        <v>0</v>
      </c>
      <c r="AP58" s="129">
        <v>0</v>
      </c>
      <c r="AQ58" s="129">
        <v>0</v>
      </c>
      <c r="AR58" s="129">
        <v>0</v>
      </c>
      <c r="AS58" s="129">
        <v>0</v>
      </c>
      <c r="AT58" s="129">
        <v>0</v>
      </c>
      <c r="AU58" s="129">
        <v>0</v>
      </c>
      <c r="AV58" s="129">
        <v>0</v>
      </c>
      <c r="AW58" s="129">
        <v>86690</v>
      </c>
      <c r="AX58" s="167">
        <v>45362</v>
      </c>
      <c r="AY58" s="162">
        <f t="shared" si="20"/>
        <v>7</v>
      </c>
      <c r="AZ58" s="163" t="s">
        <v>882</v>
      </c>
      <c r="BA58" s="162" t="b">
        <f t="shared" si="0"/>
        <v>0</v>
      </c>
      <c r="BF58" s="164">
        <f t="shared" si="105"/>
        <v>71.5</v>
      </c>
      <c r="BG58" s="164">
        <f t="shared" si="106"/>
        <v>2.5</v>
      </c>
      <c r="BH58" s="164"/>
      <c r="BI58" s="164">
        <f t="shared" si="107"/>
        <v>15.8</v>
      </c>
      <c r="BJ58" s="164">
        <f t="shared" si="108"/>
        <v>0</v>
      </c>
      <c r="BK58" s="164">
        <f t="shared" si="109"/>
        <v>0</v>
      </c>
      <c r="BL58" s="164">
        <f t="shared" si="110"/>
        <v>78</v>
      </c>
      <c r="BM58" s="164">
        <f t="shared" si="111"/>
        <v>30</v>
      </c>
      <c r="BN58" s="164">
        <f t="shared" si="112"/>
        <v>37</v>
      </c>
      <c r="BO58" s="164">
        <f t="shared" si="113"/>
        <v>0</v>
      </c>
      <c r="BP58" s="164">
        <f t="shared" si="114"/>
        <v>3</v>
      </c>
      <c r="BQ58" s="164">
        <f t="shared" si="115"/>
        <v>3</v>
      </c>
      <c r="BR58" s="164">
        <f t="shared" si="116"/>
        <v>0</v>
      </c>
      <c r="BS58" s="129">
        <f>SUMIF('Audit HD AR - School Level'!$A$6:A3545, "=" &amp; A58,'Audit HD AR - School Level'!$Q$6:Q3545)</f>
        <v>2.2999999999999998</v>
      </c>
      <c r="BT58" s="168">
        <f t="shared" si="117"/>
        <v>0</v>
      </c>
      <c r="BU58" s="168">
        <f t="shared" si="118"/>
        <v>0</v>
      </c>
      <c r="BV58" s="168"/>
      <c r="BW58" s="168">
        <f t="shared" si="119"/>
        <v>0</v>
      </c>
      <c r="BX58" s="164">
        <f t="shared" si="17"/>
        <v>71.5</v>
      </c>
      <c r="BY58" s="164">
        <f t="shared" ref="BY58:BY111" si="120">BG58</f>
        <v>2.5</v>
      </c>
    </row>
    <row r="59" spans="1:78">
      <c r="A59" s="129" t="s">
        <v>267</v>
      </c>
      <c r="U59" s="129">
        <v>384.5</v>
      </c>
      <c r="V59" s="129">
        <v>9</v>
      </c>
      <c r="X59" s="129">
        <v>389.5</v>
      </c>
      <c r="AC59" s="129">
        <v>147.5</v>
      </c>
      <c r="AD59" s="129">
        <v>0</v>
      </c>
      <c r="AE59" s="129">
        <v>0</v>
      </c>
      <c r="AF59" s="129">
        <v>407</v>
      </c>
      <c r="AG59" s="129">
        <v>150</v>
      </c>
      <c r="AI59" s="129">
        <v>32</v>
      </c>
      <c r="AJ59" s="129">
        <v>10</v>
      </c>
      <c r="AK59" s="129">
        <v>74</v>
      </c>
      <c r="AL59" s="129">
        <v>0</v>
      </c>
      <c r="AO59" s="129">
        <v>0</v>
      </c>
      <c r="AP59" s="129">
        <v>0</v>
      </c>
      <c r="AQ59" s="129">
        <v>0</v>
      </c>
      <c r="AR59" s="129">
        <v>0</v>
      </c>
      <c r="AS59" s="129">
        <v>0</v>
      </c>
      <c r="AT59" s="129">
        <v>0</v>
      </c>
      <c r="AU59" s="129">
        <v>0</v>
      </c>
      <c r="AV59" s="129">
        <v>0</v>
      </c>
      <c r="AW59" s="129">
        <v>69632</v>
      </c>
      <c r="AX59" s="167">
        <v>45362</v>
      </c>
      <c r="AY59" s="162">
        <f t="shared" si="20"/>
        <v>7</v>
      </c>
      <c r="AZ59" s="163" t="s">
        <v>882</v>
      </c>
      <c r="BA59" s="162" t="b">
        <f t="shared" si="0"/>
        <v>0</v>
      </c>
      <c r="BF59" s="164">
        <f t="shared" si="105"/>
        <v>384.5</v>
      </c>
      <c r="BG59" s="164">
        <f t="shared" si="106"/>
        <v>9</v>
      </c>
      <c r="BH59" s="164"/>
      <c r="BI59" s="164">
        <f t="shared" si="107"/>
        <v>147.5</v>
      </c>
      <c r="BJ59" s="164">
        <f t="shared" si="108"/>
        <v>0</v>
      </c>
      <c r="BK59" s="164">
        <f t="shared" si="109"/>
        <v>0</v>
      </c>
      <c r="BL59" s="164">
        <f t="shared" si="110"/>
        <v>407</v>
      </c>
      <c r="BM59" s="164">
        <f t="shared" si="111"/>
        <v>150</v>
      </c>
      <c r="BN59" s="164">
        <f t="shared" si="112"/>
        <v>32</v>
      </c>
      <c r="BO59" s="164">
        <f t="shared" si="113"/>
        <v>10</v>
      </c>
      <c r="BP59" s="164">
        <f t="shared" si="114"/>
        <v>74</v>
      </c>
      <c r="BQ59" s="164">
        <f t="shared" si="115"/>
        <v>74</v>
      </c>
      <c r="BR59" s="164">
        <f t="shared" si="116"/>
        <v>0</v>
      </c>
      <c r="BS59" s="129">
        <f>SUMIF('Audit HD AR - School Level'!$A$6:A3546, "=" &amp; A59,'Audit HD AR - School Level'!$Q$6:Q3546)</f>
        <v>3.5</v>
      </c>
      <c r="BT59" s="168">
        <f t="shared" si="117"/>
        <v>0</v>
      </c>
      <c r="BU59" s="168">
        <f t="shared" si="118"/>
        <v>0</v>
      </c>
      <c r="BV59" s="168"/>
      <c r="BW59" s="168">
        <f t="shared" si="119"/>
        <v>0</v>
      </c>
      <c r="BX59" s="164">
        <f t="shared" si="17"/>
        <v>384.5</v>
      </c>
      <c r="BY59" s="164">
        <f t="shared" si="120"/>
        <v>9</v>
      </c>
    </row>
    <row r="60" spans="1:78">
      <c r="A60" s="129" t="s">
        <v>270</v>
      </c>
      <c r="U60" s="129">
        <v>798.7</v>
      </c>
      <c r="V60" s="129">
        <v>30</v>
      </c>
      <c r="X60" s="129">
        <v>801.9</v>
      </c>
      <c r="AC60" s="129">
        <v>251.4</v>
      </c>
      <c r="AD60" s="129">
        <v>13</v>
      </c>
      <c r="AE60" s="129">
        <v>16.7</v>
      </c>
      <c r="AF60" s="129">
        <v>878</v>
      </c>
      <c r="AG60" s="129">
        <v>300</v>
      </c>
      <c r="AI60" s="129">
        <v>145</v>
      </c>
      <c r="AJ60" s="129">
        <v>46</v>
      </c>
      <c r="AK60" s="129">
        <v>130.5</v>
      </c>
      <c r="AL60" s="129">
        <v>0</v>
      </c>
      <c r="AO60" s="129">
        <v>0</v>
      </c>
      <c r="AP60" s="129">
        <v>0</v>
      </c>
      <c r="AQ60" s="129">
        <v>0</v>
      </c>
      <c r="AR60" s="129">
        <v>0</v>
      </c>
      <c r="AS60" s="129">
        <v>0</v>
      </c>
      <c r="AT60" s="129">
        <v>0</v>
      </c>
      <c r="AU60" s="129">
        <v>0</v>
      </c>
      <c r="AV60" s="129">
        <v>0</v>
      </c>
      <c r="AW60" s="129">
        <v>445409</v>
      </c>
      <c r="AX60" s="167">
        <v>45362</v>
      </c>
      <c r="AY60" s="162">
        <f t="shared" si="20"/>
        <v>7</v>
      </c>
      <c r="AZ60" s="163" t="s">
        <v>882</v>
      </c>
      <c r="BA60" s="162" t="b">
        <f t="shared" si="0"/>
        <v>0</v>
      </c>
      <c r="BF60" s="164">
        <f t="shared" si="105"/>
        <v>798.7</v>
      </c>
      <c r="BG60" s="164">
        <f t="shared" si="106"/>
        <v>30</v>
      </c>
      <c r="BH60" s="164"/>
      <c r="BI60" s="164">
        <f t="shared" si="107"/>
        <v>251.4</v>
      </c>
      <c r="BJ60" s="164">
        <f t="shared" si="108"/>
        <v>13</v>
      </c>
      <c r="BK60" s="164">
        <f t="shared" si="109"/>
        <v>16.7</v>
      </c>
      <c r="BL60" s="164">
        <f t="shared" si="110"/>
        <v>878</v>
      </c>
      <c r="BM60" s="164">
        <f t="shared" si="111"/>
        <v>300</v>
      </c>
      <c r="BN60" s="164">
        <f t="shared" si="112"/>
        <v>145</v>
      </c>
      <c r="BO60" s="164">
        <f t="shared" si="113"/>
        <v>46</v>
      </c>
      <c r="BP60" s="164">
        <f t="shared" si="114"/>
        <v>130.5</v>
      </c>
      <c r="BQ60" s="164">
        <f t="shared" si="115"/>
        <v>130.5</v>
      </c>
      <c r="BR60" s="164">
        <f t="shared" si="116"/>
        <v>0</v>
      </c>
      <c r="BS60" s="129">
        <f>SUMIF('Audit HD AR - School Level'!$A$6:A3547, "=" &amp; A60,'Audit HD AR - School Level'!$Q$6:Q3547)</f>
        <v>0.7</v>
      </c>
      <c r="BT60" s="168">
        <f t="shared" si="117"/>
        <v>0</v>
      </c>
      <c r="BU60" s="168">
        <f t="shared" si="118"/>
        <v>0</v>
      </c>
      <c r="BV60" s="168"/>
      <c r="BW60" s="168">
        <f t="shared" si="119"/>
        <v>0</v>
      </c>
      <c r="BX60" s="164">
        <f t="shared" si="17"/>
        <v>798.7</v>
      </c>
      <c r="BY60" s="164">
        <f t="shared" si="120"/>
        <v>30</v>
      </c>
    </row>
    <row r="61" spans="1:78">
      <c r="A61" s="129" t="s">
        <v>271</v>
      </c>
      <c r="U61" s="129">
        <v>399.3</v>
      </c>
      <c r="V61" s="129">
        <v>0</v>
      </c>
      <c r="X61" s="129">
        <v>425.9</v>
      </c>
      <c r="AC61" s="129">
        <v>132</v>
      </c>
      <c r="AD61" s="129">
        <v>20</v>
      </c>
      <c r="AE61" s="129">
        <v>0.9</v>
      </c>
      <c r="AF61" s="129">
        <v>409</v>
      </c>
      <c r="AG61" s="129">
        <v>137</v>
      </c>
      <c r="AI61" s="129">
        <v>61</v>
      </c>
      <c r="AJ61" s="129">
        <v>6</v>
      </c>
      <c r="AK61" s="129">
        <v>35</v>
      </c>
      <c r="AL61" s="129">
        <v>0</v>
      </c>
      <c r="AO61" s="129">
        <v>0</v>
      </c>
      <c r="AP61" s="129">
        <v>0</v>
      </c>
      <c r="AQ61" s="129">
        <v>0</v>
      </c>
      <c r="AR61" s="129">
        <v>0</v>
      </c>
      <c r="AS61" s="129">
        <v>0</v>
      </c>
      <c r="AT61" s="129">
        <v>0</v>
      </c>
      <c r="AU61" s="129">
        <v>0</v>
      </c>
      <c r="AV61" s="129">
        <v>0</v>
      </c>
      <c r="AW61" s="129">
        <v>141253</v>
      </c>
      <c r="AX61" s="167">
        <v>45362</v>
      </c>
      <c r="AY61" s="162">
        <f t="shared" si="20"/>
        <v>7</v>
      </c>
      <c r="AZ61" s="163" t="s">
        <v>882</v>
      </c>
      <c r="BA61" s="162" t="b">
        <f t="shared" si="0"/>
        <v>0</v>
      </c>
      <c r="BF61" s="164">
        <f t="shared" si="105"/>
        <v>399.3</v>
      </c>
      <c r="BG61" s="164">
        <f t="shared" si="106"/>
        <v>0</v>
      </c>
      <c r="BH61" s="164"/>
      <c r="BI61" s="164">
        <f t="shared" si="107"/>
        <v>132</v>
      </c>
      <c r="BJ61" s="164">
        <f t="shared" si="108"/>
        <v>20</v>
      </c>
      <c r="BK61" s="164">
        <f t="shared" si="109"/>
        <v>0.9</v>
      </c>
      <c r="BL61" s="164">
        <f t="shared" si="110"/>
        <v>409</v>
      </c>
      <c r="BM61" s="164">
        <f t="shared" si="111"/>
        <v>137</v>
      </c>
      <c r="BN61" s="164">
        <f t="shared" si="112"/>
        <v>61</v>
      </c>
      <c r="BO61" s="164">
        <f t="shared" si="113"/>
        <v>6</v>
      </c>
      <c r="BP61" s="164">
        <f t="shared" si="114"/>
        <v>35</v>
      </c>
      <c r="BQ61" s="164">
        <f t="shared" si="115"/>
        <v>35</v>
      </c>
      <c r="BR61" s="164">
        <f t="shared" si="116"/>
        <v>0</v>
      </c>
      <c r="BS61" s="129">
        <f>SUMIF('Audit HD AR - School Level'!$A$6:A3548, "=" &amp; A61,'Audit HD AR - School Level'!$Q$6:Q3548)</f>
        <v>0</v>
      </c>
      <c r="BT61" s="168">
        <f t="shared" si="117"/>
        <v>0</v>
      </c>
      <c r="BU61" s="168">
        <f t="shared" si="118"/>
        <v>0</v>
      </c>
      <c r="BV61" s="168"/>
      <c r="BW61" s="168">
        <f t="shared" si="119"/>
        <v>0</v>
      </c>
      <c r="BX61" s="164">
        <f t="shared" si="17"/>
        <v>399.3</v>
      </c>
      <c r="BY61" s="164">
        <f t="shared" si="120"/>
        <v>0</v>
      </c>
    </row>
    <row r="62" spans="1:78">
      <c r="A62" s="129" t="s">
        <v>273</v>
      </c>
      <c r="U62" s="129">
        <v>363</v>
      </c>
      <c r="V62" s="129">
        <v>5</v>
      </c>
      <c r="X62" s="129">
        <v>389</v>
      </c>
      <c r="AC62" s="129">
        <v>145.69999999999999</v>
      </c>
      <c r="AD62" s="129">
        <v>0</v>
      </c>
      <c r="AE62" s="129">
        <v>0</v>
      </c>
      <c r="AF62" s="129">
        <v>378</v>
      </c>
      <c r="AG62" s="129">
        <v>146</v>
      </c>
      <c r="AI62" s="129">
        <v>99</v>
      </c>
      <c r="AJ62" s="129">
        <v>1</v>
      </c>
      <c r="AK62" s="129">
        <v>2</v>
      </c>
      <c r="AL62" s="129">
        <v>0</v>
      </c>
      <c r="AO62" s="129">
        <v>0</v>
      </c>
      <c r="AP62" s="129">
        <v>0</v>
      </c>
      <c r="AQ62" s="129">
        <v>0</v>
      </c>
      <c r="AR62" s="129">
        <v>0</v>
      </c>
      <c r="AS62" s="129">
        <v>0</v>
      </c>
      <c r="AT62" s="129">
        <v>0</v>
      </c>
      <c r="AU62" s="129">
        <v>0</v>
      </c>
      <c r="AV62" s="129">
        <v>0</v>
      </c>
      <c r="AW62" s="129">
        <v>257049</v>
      </c>
      <c r="AX62" s="167">
        <v>45362</v>
      </c>
      <c r="AY62" s="162">
        <f t="shared" si="20"/>
        <v>7</v>
      </c>
      <c r="AZ62" s="163" t="s">
        <v>882</v>
      </c>
      <c r="BA62" s="162" t="b">
        <f t="shared" si="0"/>
        <v>0</v>
      </c>
      <c r="BF62" s="164">
        <f t="shared" si="105"/>
        <v>363</v>
      </c>
      <c r="BG62" s="164">
        <f t="shared" si="106"/>
        <v>5</v>
      </c>
      <c r="BH62" s="164"/>
      <c r="BI62" s="164">
        <f t="shared" si="107"/>
        <v>145.69999999999999</v>
      </c>
      <c r="BJ62" s="164">
        <f t="shared" si="108"/>
        <v>0</v>
      </c>
      <c r="BK62" s="164">
        <f t="shared" si="109"/>
        <v>0</v>
      </c>
      <c r="BL62" s="164">
        <f t="shared" si="110"/>
        <v>378</v>
      </c>
      <c r="BM62" s="164">
        <f t="shared" si="111"/>
        <v>146</v>
      </c>
      <c r="BN62" s="164">
        <f t="shared" si="112"/>
        <v>99</v>
      </c>
      <c r="BO62" s="164">
        <f t="shared" si="113"/>
        <v>1</v>
      </c>
      <c r="BP62" s="164">
        <f t="shared" si="114"/>
        <v>2</v>
      </c>
      <c r="BQ62" s="164">
        <f t="shared" si="115"/>
        <v>2</v>
      </c>
      <c r="BR62" s="164">
        <f t="shared" si="116"/>
        <v>0</v>
      </c>
      <c r="BS62" s="129">
        <f>SUMIF('Audit HD AR - School Level'!$A$6:A3549, "=" &amp; A62,'Audit HD AR - School Level'!$Q$6:Q3549)</f>
        <v>7.3</v>
      </c>
      <c r="BT62" s="168">
        <f t="shared" si="117"/>
        <v>0</v>
      </c>
      <c r="BU62" s="168">
        <f t="shared" si="118"/>
        <v>0</v>
      </c>
      <c r="BV62" s="168"/>
      <c r="BW62" s="168">
        <f t="shared" si="119"/>
        <v>0</v>
      </c>
      <c r="BX62" s="164">
        <f t="shared" si="17"/>
        <v>363</v>
      </c>
      <c r="BY62" s="164">
        <f t="shared" si="120"/>
        <v>5</v>
      </c>
    </row>
    <row r="63" spans="1:78">
      <c r="A63" s="129" t="s">
        <v>285</v>
      </c>
      <c r="U63" s="129">
        <v>289.2</v>
      </c>
      <c r="V63" s="129">
        <v>4</v>
      </c>
      <c r="X63" s="129">
        <v>311.5</v>
      </c>
      <c r="AC63" s="129">
        <v>129.9</v>
      </c>
      <c r="AD63" s="129">
        <v>5</v>
      </c>
      <c r="AE63" s="129">
        <v>0.4</v>
      </c>
      <c r="AF63" s="129">
        <v>306</v>
      </c>
      <c r="AG63" s="129">
        <v>76</v>
      </c>
      <c r="AI63" s="129">
        <v>83</v>
      </c>
      <c r="AJ63" s="129">
        <v>16</v>
      </c>
      <c r="AK63" s="129">
        <v>0</v>
      </c>
      <c r="AL63" s="129">
        <v>0</v>
      </c>
      <c r="AO63" s="129">
        <v>0</v>
      </c>
      <c r="AP63" s="129">
        <v>0</v>
      </c>
      <c r="AQ63" s="129">
        <v>0</v>
      </c>
      <c r="AR63" s="129">
        <v>0</v>
      </c>
      <c r="AS63" s="129">
        <v>0</v>
      </c>
      <c r="AT63" s="129">
        <v>0</v>
      </c>
      <c r="AU63" s="129">
        <v>0</v>
      </c>
      <c r="AV63" s="129">
        <v>0</v>
      </c>
      <c r="AW63" s="129">
        <v>161913</v>
      </c>
      <c r="AX63" s="167">
        <v>45362</v>
      </c>
      <c r="AY63" s="162">
        <f t="shared" si="20"/>
        <v>7</v>
      </c>
      <c r="AZ63" s="163" t="s">
        <v>882</v>
      </c>
      <c r="BA63" s="162" t="b">
        <f t="shared" si="0"/>
        <v>0</v>
      </c>
      <c r="BF63" s="164">
        <f t="shared" si="105"/>
        <v>289.2</v>
      </c>
      <c r="BG63" s="164">
        <f t="shared" si="106"/>
        <v>4</v>
      </c>
      <c r="BH63" s="164"/>
      <c r="BI63" s="164">
        <f t="shared" si="107"/>
        <v>129.9</v>
      </c>
      <c r="BJ63" s="164">
        <f t="shared" si="108"/>
        <v>5</v>
      </c>
      <c r="BK63" s="164">
        <f t="shared" si="109"/>
        <v>0.4</v>
      </c>
      <c r="BL63" s="164">
        <f t="shared" si="110"/>
        <v>306</v>
      </c>
      <c r="BM63" s="164">
        <f t="shared" si="111"/>
        <v>76</v>
      </c>
      <c r="BN63" s="164">
        <f t="shared" si="112"/>
        <v>83</v>
      </c>
      <c r="BO63" s="164">
        <f t="shared" si="113"/>
        <v>16</v>
      </c>
      <c r="BP63" s="164">
        <f t="shared" si="114"/>
        <v>0</v>
      </c>
      <c r="BQ63" s="164">
        <f t="shared" si="115"/>
        <v>0</v>
      </c>
      <c r="BR63" s="164">
        <f t="shared" si="116"/>
        <v>0</v>
      </c>
      <c r="BS63" s="129">
        <f>SUMIF('Audit HD AR - School Level'!$A$6:A3550, "=" &amp; A63,'Audit HD AR - School Level'!$Q$6:Q3550)</f>
        <v>0</v>
      </c>
      <c r="BT63" s="168">
        <f t="shared" si="117"/>
        <v>0</v>
      </c>
      <c r="BU63" s="168">
        <f t="shared" si="118"/>
        <v>0</v>
      </c>
      <c r="BV63" s="168"/>
      <c r="BW63" s="168">
        <f t="shared" si="119"/>
        <v>0</v>
      </c>
      <c r="BX63" s="164">
        <f t="shared" si="17"/>
        <v>289.2</v>
      </c>
      <c r="BY63" s="164">
        <f t="shared" si="120"/>
        <v>4</v>
      </c>
    </row>
    <row r="64" spans="1:78">
      <c r="A64" s="129" t="s">
        <v>305</v>
      </c>
      <c r="U64" s="129">
        <v>1028</v>
      </c>
      <c r="V64" s="129">
        <v>13</v>
      </c>
      <c r="X64" s="129">
        <v>1033</v>
      </c>
      <c r="AC64" s="129">
        <v>371</v>
      </c>
      <c r="AD64" s="129">
        <v>4</v>
      </c>
      <c r="AE64" s="129">
        <v>0</v>
      </c>
      <c r="AF64" s="129">
        <v>1072</v>
      </c>
      <c r="AG64" s="129">
        <v>331</v>
      </c>
      <c r="AI64" s="129">
        <v>395</v>
      </c>
      <c r="AJ64" s="129">
        <v>1</v>
      </c>
      <c r="AK64" s="129">
        <v>0</v>
      </c>
      <c r="AL64" s="129">
        <v>0</v>
      </c>
      <c r="AO64" s="129">
        <v>0</v>
      </c>
      <c r="AP64" s="129">
        <v>0</v>
      </c>
      <c r="AQ64" s="129">
        <v>0</v>
      </c>
      <c r="AR64" s="129">
        <v>0</v>
      </c>
      <c r="AS64" s="129">
        <v>0</v>
      </c>
      <c r="AT64" s="129">
        <v>0</v>
      </c>
      <c r="AU64" s="129">
        <v>0</v>
      </c>
      <c r="AV64" s="129">
        <v>0</v>
      </c>
      <c r="AW64" s="129">
        <v>263553</v>
      </c>
      <c r="AX64" s="167">
        <v>45362</v>
      </c>
      <c r="AY64" s="162">
        <f t="shared" si="20"/>
        <v>7</v>
      </c>
      <c r="AZ64" s="163" t="s">
        <v>882</v>
      </c>
      <c r="BA64" s="162" t="b">
        <f t="shared" si="0"/>
        <v>0</v>
      </c>
      <c r="BF64" s="164">
        <f t="shared" si="105"/>
        <v>1028</v>
      </c>
      <c r="BG64" s="164">
        <f t="shared" si="106"/>
        <v>13</v>
      </c>
      <c r="BH64" s="164"/>
      <c r="BI64" s="164">
        <f t="shared" si="107"/>
        <v>371</v>
      </c>
      <c r="BJ64" s="164">
        <f t="shared" si="108"/>
        <v>4</v>
      </c>
      <c r="BK64" s="164">
        <f t="shared" si="109"/>
        <v>0</v>
      </c>
      <c r="BL64" s="164">
        <f t="shared" si="110"/>
        <v>1072</v>
      </c>
      <c r="BM64" s="164">
        <f t="shared" si="111"/>
        <v>331</v>
      </c>
      <c r="BN64" s="164">
        <f t="shared" si="112"/>
        <v>395</v>
      </c>
      <c r="BO64" s="164">
        <f t="shared" si="113"/>
        <v>1</v>
      </c>
      <c r="BP64" s="164">
        <f t="shared" si="114"/>
        <v>0</v>
      </c>
      <c r="BQ64" s="164">
        <f t="shared" si="115"/>
        <v>0</v>
      </c>
      <c r="BR64" s="164">
        <f t="shared" si="116"/>
        <v>0</v>
      </c>
      <c r="BS64" s="129">
        <f>SUMIF('Audit HD AR - School Level'!$A$6:A3551, "=" &amp; A64,'Audit HD AR - School Level'!$Q$6:Q3551)</f>
        <v>1.3</v>
      </c>
      <c r="BT64" s="168">
        <f t="shared" si="117"/>
        <v>0</v>
      </c>
      <c r="BU64" s="168">
        <f t="shared" si="118"/>
        <v>0</v>
      </c>
      <c r="BV64" s="168"/>
      <c r="BW64" s="168">
        <f t="shared" si="119"/>
        <v>0</v>
      </c>
      <c r="BX64" s="164">
        <f t="shared" ref="BX64:BX118" si="121">SUM(U64-AO64-AP64-AT64)</f>
        <v>1028</v>
      </c>
      <c r="BY64" s="164">
        <f t="shared" si="120"/>
        <v>13</v>
      </c>
      <c r="BZ64" s="129">
        <v>1</v>
      </c>
    </row>
    <row r="65" spans="1:78">
      <c r="A65" s="129" t="s">
        <v>324</v>
      </c>
      <c r="U65" s="129">
        <v>409.5</v>
      </c>
      <c r="V65" s="129">
        <v>12</v>
      </c>
      <c r="X65" s="129">
        <v>443</v>
      </c>
      <c r="AC65" s="129">
        <v>134.30000000000001</v>
      </c>
      <c r="AD65" s="129">
        <v>0</v>
      </c>
      <c r="AE65" s="129">
        <v>0</v>
      </c>
      <c r="AF65" s="129">
        <v>438</v>
      </c>
      <c r="AG65" s="129">
        <v>172</v>
      </c>
      <c r="AI65" s="129">
        <v>204</v>
      </c>
      <c r="AJ65" s="129">
        <v>0</v>
      </c>
      <c r="AK65" s="129">
        <v>0</v>
      </c>
      <c r="AL65" s="129">
        <v>0</v>
      </c>
      <c r="AO65" s="129">
        <v>0</v>
      </c>
      <c r="AP65" s="129">
        <v>0</v>
      </c>
      <c r="AQ65" s="129">
        <v>0</v>
      </c>
      <c r="AR65" s="129">
        <v>0</v>
      </c>
      <c r="AS65" s="129">
        <v>0</v>
      </c>
      <c r="AT65" s="129">
        <v>0</v>
      </c>
      <c r="AU65" s="129">
        <v>0</v>
      </c>
      <c r="AV65" s="129">
        <v>0</v>
      </c>
      <c r="AW65" s="129">
        <v>288859</v>
      </c>
      <c r="AX65" s="167">
        <v>45362</v>
      </c>
      <c r="AY65" s="162">
        <f t="shared" si="20"/>
        <v>7</v>
      </c>
      <c r="AZ65" s="163" t="s">
        <v>882</v>
      </c>
      <c r="BA65" s="162" t="b">
        <f t="shared" si="0"/>
        <v>0</v>
      </c>
      <c r="BF65" s="164">
        <f t="shared" si="105"/>
        <v>409.5</v>
      </c>
      <c r="BG65" s="164">
        <f t="shared" si="106"/>
        <v>12</v>
      </c>
      <c r="BH65" s="164"/>
      <c r="BI65" s="164">
        <f t="shared" si="107"/>
        <v>134.30000000000001</v>
      </c>
      <c r="BJ65" s="164">
        <f t="shared" si="108"/>
        <v>0</v>
      </c>
      <c r="BK65" s="164">
        <f t="shared" si="109"/>
        <v>0</v>
      </c>
      <c r="BL65" s="164">
        <f t="shared" si="110"/>
        <v>438</v>
      </c>
      <c r="BM65" s="164">
        <f t="shared" si="111"/>
        <v>172</v>
      </c>
      <c r="BN65" s="164">
        <f t="shared" si="112"/>
        <v>204</v>
      </c>
      <c r="BO65" s="164">
        <f t="shared" si="113"/>
        <v>0</v>
      </c>
      <c r="BP65" s="164">
        <f t="shared" si="114"/>
        <v>0</v>
      </c>
      <c r="BQ65" s="164">
        <f t="shared" si="115"/>
        <v>0</v>
      </c>
      <c r="BR65" s="164">
        <f t="shared" si="116"/>
        <v>0</v>
      </c>
      <c r="BS65" s="129">
        <f>SUMIF('Audit HD AR - School Level'!$A$6:A3552, "=" &amp; A65,'Audit HD AR - School Level'!$Q$6:Q3552)</f>
        <v>6.3</v>
      </c>
      <c r="BT65" s="168">
        <f t="shared" si="117"/>
        <v>0</v>
      </c>
      <c r="BU65" s="168">
        <f t="shared" si="118"/>
        <v>0</v>
      </c>
      <c r="BV65" s="168"/>
      <c r="BW65" s="168">
        <f t="shared" si="119"/>
        <v>0</v>
      </c>
      <c r="BX65" s="164">
        <f t="shared" si="121"/>
        <v>409.5</v>
      </c>
      <c r="BY65" s="164">
        <f t="shared" si="120"/>
        <v>12</v>
      </c>
    </row>
    <row r="66" spans="1:78">
      <c r="A66" s="129" t="s">
        <v>325</v>
      </c>
      <c r="U66" s="129">
        <v>765.1</v>
      </c>
      <c r="V66" s="129">
        <v>1.5</v>
      </c>
      <c r="X66" s="129">
        <v>734.6</v>
      </c>
      <c r="AC66" s="129">
        <v>136.80000000000001</v>
      </c>
      <c r="AD66" s="129">
        <v>1</v>
      </c>
      <c r="AE66" s="129">
        <v>0</v>
      </c>
      <c r="AF66" s="129">
        <v>763</v>
      </c>
      <c r="AG66" s="129">
        <v>256</v>
      </c>
      <c r="AI66" s="129">
        <v>427.5</v>
      </c>
      <c r="AJ66" s="129">
        <v>8</v>
      </c>
      <c r="AK66" s="129">
        <v>184.5</v>
      </c>
      <c r="AL66" s="129">
        <v>0</v>
      </c>
      <c r="AO66" s="129">
        <v>14</v>
      </c>
      <c r="AP66" s="129">
        <v>0</v>
      </c>
      <c r="AQ66" s="129">
        <v>0</v>
      </c>
      <c r="AR66" s="129">
        <v>5</v>
      </c>
      <c r="AS66" s="129">
        <v>0</v>
      </c>
      <c r="AT66" s="129">
        <v>0</v>
      </c>
      <c r="AU66" s="129">
        <v>0</v>
      </c>
      <c r="AV66" s="129">
        <v>0</v>
      </c>
      <c r="AW66" s="129">
        <v>553590</v>
      </c>
      <c r="AX66" s="167">
        <v>45362</v>
      </c>
      <c r="AY66" s="162">
        <f t="shared" si="20"/>
        <v>7</v>
      </c>
      <c r="AZ66" s="163" t="s">
        <v>882</v>
      </c>
      <c r="BA66" s="162" t="b">
        <f t="shared" ref="BA66:BA129" si="122">COUNTIF(A:A,A66)&gt;1</f>
        <v>0</v>
      </c>
      <c r="BF66" s="164">
        <f t="shared" si="105"/>
        <v>746.1</v>
      </c>
      <c r="BG66" s="164">
        <f t="shared" si="106"/>
        <v>1.5</v>
      </c>
      <c r="BH66" s="164"/>
      <c r="BI66" s="164">
        <f t="shared" si="107"/>
        <v>136.80000000000001</v>
      </c>
      <c r="BJ66" s="164">
        <f t="shared" si="108"/>
        <v>1</v>
      </c>
      <c r="BK66" s="164">
        <f t="shared" si="109"/>
        <v>0</v>
      </c>
      <c r="BL66" s="164">
        <f t="shared" si="110"/>
        <v>763</v>
      </c>
      <c r="BM66" s="164">
        <f t="shared" si="111"/>
        <v>256</v>
      </c>
      <c r="BN66" s="164">
        <f t="shared" si="112"/>
        <v>427.5</v>
      </c>
      <c r="BO66" s="164">
        <f t="shared" si="113"/>
        <v>8</v>
      </c>
      <c r="BP66" s="164">
        <f t="shared" si="114"/>
        <v>184.5</v>
      </c>
      <c r="BQ66" s="164">
        <f t="shared" si="115"/>
        <v>184.5</v>
      </c>
      <c r="BR66" s="164">
        <f t="shared" si="116"/>
        <v>0</v>
      </c>
      <c r="BS66" s="129">
        <f>SUMIF('Audit HD AR - School Level'!$A$6:A3553, "=" &amp; A66,'Audit HD AR - School Level'!$Q$6:Q3553)</f>
        <v>1.3</v>
      </c>
      <c r="BT66" s="168">
        <f t="shared" si="117"/>
        <v>0</v>
      </c>
      <c r="BU66" s="168">
        <f t="shared" si="118"/>
        <v>-3545</v>
      </c>
      <c r="BV66" s="168"/>
      <c r="BW66" s="168">
        <f t="shared" si="119"/>
        <v>-3545</v>
      </c>
      <c r="BX66" s="164">
        <f t="shared" si="121"/>
        <v>751.1</v>
      </c>
      <c r="BY66" s="164">
        <f t="shared" si="120"/>
        <v>1.5</v>
      </c>
    </row>
    <row r="67" spans="1:78">
      <c r="A67" s="129" t="s">
        <v>343</v>
      </c>
      <c r="U67" s="129">
        <v>836.2</v>
      </c>
      <c r="V67" s="129">
        <v>18</v>
      </c>
      <c r="X67" s="129">
        <v>861.9</v>
      </c>
      <c r="AC67" s="129">
        <v>237.3</v>
      </c>
      <c r="AD67" s="129">
        <v>1</v>
      </c>
      <c r="AE67" s="129">
        <v>0.3</v>
      </c>
      <c r="AF67" s="129">
        <v>874</v>
      </c>
      <c r="AG67" s="129">
        <v>327</v>
      </c>
      <c r="AI67" s="129">
        <v>606</v>
      </c>
      <c r="AJ67" s="129">
        <v>24</v>
      </c>
      <c r="AK67" s="129">
        <v>11</v>
      </c>
      <c r="AL67" s="129">
        <v>0</v>
      </c>
      <c r="AO67" s="129">
        <v>8</v>
      </c>
      <c r="AP67" s="129">
        <v>1.9</v>
      </c>
      <c r="AQ67" s="129">
        <v>0</v>
      </c>
      <c r="AR67" s="129">
        <v>0</v>
      </c>
      <c r="AS67" s="129">
        <v>0</v>
      </c>
      <c r="AT67" s="129">
        <v>0</v>
      </c>
      <c r="AU67" s="129">
        <v>0</v>
      </c>
      <c r="AV67" s="129">
        <v>0</v>
      </c>
      <c r="AW67" s="129">
        <v>706920</v>
      </c>
      <c r="AX67" s="167">
        <v>45362</v>
      </c>
      <c r="AY67" s="162">
        <f t="shared" si="20"/>
        <v>7</v>
      </c>
      <c r="AZ67" s="163" t="s">
        <v>882</v>
      </c>
      <c r="BA67" s="162" t="b">
        <f t="shared" si="122"/>
        <v>0</v>
      </c>
      <c r="BF67" s="164">
        <f t="shared" si="105"/>
        <v>826.3</v>
      </c>
      <c r="BG67" s="164">
        <f t="shared" si="106"/>
        <v>18</v>
      </c>
      <c r="BH67" s="164"/>
      <c r="BI67" s="164">
        <f t="shared" si="107"/>
        <v>237.3</v>
      </c>
      <c r="BJ67" s="164">
        <f t="shared" si="108"/>
        <v>1</v>
      </c>
      <c r="BK67" s="164">
        <f t="shared" si="109"/>
        <v>0.3</v>
      </c>
      <c r="BL67" s="164">
        <f t="shared" si="110"/>
        <v>874</v>
      </c>
      <c r="BM67" s="164">
        <f t="shared" si="111"/>
        <v>327</v>
      </c>
      <c r="BN67" s="164">
        <f t="shared" si="112"/>
        <v>606</v>
      </c>
      <c r="BO67" s="164">
        <f t="shared" si="113"/>
        <v>24</v>
      </c>
      <c r="BP67" s="164">
        <f t="shared" si="114"/>
        <v>11</v>
      </c>
      <c r="BQ67" s="164">
        <f t="shared" si="115"/>
        <v>11</v>
      </c>
      <c r="BR67" s="164">
        <f t="shared" si="116"/>
        <v>0</v>
      </c>
      <c r="BS67" s="129">
        <f>SUMIF('Audit HD AR - School Level'!$A$6:A3555, "=" &amp; A67,'Audit HD AR - School Level'!$Q$6:Q3555)</f>
        <v>8.4</v>
      </c>
      <c r="BT67" s="168">
        <f t="shared" si="117"/>
        <v>0</v>
      </c>
      <c r="BU67" s="168">
        <f t="shared" si="118"/>
        <v>0</v>
      </c>
      <c r="BV67" s="168"/>
      <c r="BW67" s="168">
        <f t="shared" si="119"/>
        <v>0</v>
      </c>
      <c r="BX67" s="164">
        <f t="shared" si="121"/>
        <v>826.3</v>
      </c>
      <c r="BY67" s="164">
        <f t="shared" si="120"/>
        <v>18</v>
      </c>
    </row>
    <row r="68" spans="1:78">
      <c r="A68" s="129" t="s">
        <v>358</v>
      </c>
      <c r="U68" s="129">
        <v>684.5</v>
      </c>
      <c r="V68" s="129">
        <v>3</v>
      </c>
      <c r="X68" s="129">
        <v>674.3</v>
      </c>
      <c r="AC68" s="129">
        <v>176.8</v>
      </c>
      <c r="AD68" s="129">
        <v>0</v>
      </c>
      <c r="AE68" s="129">
        <v>0</v>
      </c>
      <c r="AF68" s="129">
        <v>693</v>
      </c>
      <c r="AG68" s="129">
        <v>139</v>
      </c>
      <c r="AI68" s="129">
        <v>387</v>
      </c>
      <c r="AJ68" s="129">
        <v>29</v>
      </c>
      <c r="AK68" s="129">
        <v>131</v>
      </c>
      <c r="AL68" s="129">
        <v>0</v>
      </c>
      <c r="AO68" s="129">
        <v>0</v>
      </c>
      <c r="AP68" s="129">
        <v>0</v>
      </c>
      <c r="AQ68" s="129">
        <v>0</v>
      </c>
      <c r="AR68" s="129">
        <v>0</v>
      </c>
      <c r="AS68" s="129">
        <v>0</v>
      </c>
      <c r="AT68" s="129">
        <v>0</v>
      </c>
      <c r="AU68" s="129">
        <v>0</v>
      </c>
      <c r="AV68" s="129">
        <v>0</v>
      </c>
      <c r="AW68" s="129">
        <v>444664</v>
      </c>
      <c r="AX68" s="167">
        <v>45362</v>
      </c>
      <c r="AY68" s="162">
        <f t="shared" si="20"/>
        <v>7</v>
      </c>
      <c r="AZ68" s="163" t="s">
        <v>882</v>
      </c>
      <c r="BA68" s="162" t="b">
        <f t="shared" si="122"/>
        <v>0</v>
      </c>
      <c r="BF68" s="164">
        <f t="shared" si="105"/>
        <v>684.5</v>
      </c>
      <c r="BG68" s="164">
        <f t="shared" si="106"/>
        <v>3</v>
      </c>
      <c r="BH68" s="164"/>
      <c r="BI68" s="164">
        <f t="shared" si="107"/>
        <v>176.8</v>
      </c>
      <c r="BJ68" s="164">
        <f t="shared" si="108"/>
        <v>0</v>
      </c>
      <c r="BK68" s="164">
        <f t="shared" si="109"/>
        <v>0</v>
      </c>
      <c r="BL68" s="164">
        <f t="shared" si="110"/>
        <v>693</v>
      </c>
      <c r="BM68" s="164">
        <f t="shared" si="111"/>
        <v>139</v>
      </c>
      <c r="BN68" s="164">
        <f t="shared" si="112"/>
        <v>387</v>
      </c>
      <c r="BO68" s="164">
        <f t="shared" si="113"/>
        <v>29</v>
      </c>
      <c r="BP68" s="164">
        <f t="shared" si="114"/>
        <v>131</v>
      </c>
      <c r="BQ68" s="164">
        <f t="shared" si="115"/>
        <v>131</v>
      </c>
      <c r="BR68" s="164">
        <f t="shared" si="116"/>
        <v>0</v>
      </c>
      <c r="BS68" s="129">
        <f>SUMIF('Audit HD AR - School Level'!$A$6:A3557, "=" &amp; A68,'Audit HD AR - School Level'!$Q$6:Q3557)</f>
        <v>0</v>
      </c>
      <c r="BT68" s="168">
        <f t="shared" si="117"/>
        <v>0</v>
      </c>
      <c r="BU68" s="168">
        <f t="shared" si="118"/>
        <v>0</v>
      </c>
      <c r="BV68" s="168"/>
      <c r="BW68" s="168">
        <f t="shared" si="119"/>
        <v>0</v>
      </c>
      <c r="BX68" s="164">
        <f t="shared" si="121"/>
        <v>684.5</v>
      </c>
      <c r="BY68" s="164">
        <f t="shared" si="120"/>
        <v>3</v>
      </c>
    </row>
    <row r="69" spans="1:78">
      <c r="A69" s="129" t="s">
        <v>386</v>
      </c>
      <c r="U69" s="129">
        <v>493.5</v>
      </c>
      <c r="V69" s="129">
        <v>11.5</v>
      </c>
      <c r="X69" s="129">
        <v>504</v>
      </c>
      <c r="AC69" s="129">
        <v>243.7</v>
      </c>
      <c r="AD69" s="129">
        <v>0</v>
      </c>
      <c r="AE69" s="129">
        <v>0</v>
      </c>
      <c r="AF69" s="129">
        <v>508</v>
      </c>
      <c r="AG69" s="129">
        <v>210</v>
      </c>
      <c r="AI69" s="129">
        <v>168</v>
      </c>
      <c r="AJ69" s="129">
        <v>9</v>
      </c>
      <c r="AK69" s="129">
        <v>33</v>
      </c>
      <c r="AL69" s="129">
        <v>0</v>
      </c>
      <c r="AO69" s="129">
        <v>10</v>
      </c>
      <c r="AP69" s="129">
        <v>1.4</v>
      </c>
      <c r="AQ69" s="129">
        <v>0</v>
      </c>
      <c r="AR69" s="129">
        <v>0</v>
      </c>
      <c r="AS69" s="129">
        <v>0</v>
      </c>
      <c r="AT69" s="129">
        <v>2</v>
      </c>
      <c r="AU69" s="129">
        <v>0</v>
      </c>
      <c r="AV69" s="129">
        <v>1</v>
      </c>
      <c r="AW69" s="129">
        <v>196522</v>
      </c>
      <c r="AX69" s="167">
        <v>45362</v>
      </c>
      <c r="AY69" s="162">
        <f t="shared" si="20"/>
        <v>7</v>
      </c>
      <c r="AZ69" s="163" t="s">
        <v>882</v>
      </c>
      <c r="BA69" s="162" t="b">
        <f t="shared" si="122"/>
        <v>0</v>
      </c>
      <c r="BF69" s="164">
        <f t="shared" si="105"/>
        <v>482.1</v>
      </c>
      <c r="BG69" s="164">
        <f t="shared" si="106"/>
        <v>11.5</v>
      </c>
      <c r="BH69" s="164"/>
      <c r="BI69" s="164">
        <f t="shared" si="107"/>
        <v>243.7</v>
      </c>
      <c r="BJ69" s="164">
        <f t="shared" si="108"/>
        <v>0</v>
      </c>
      <c r="BK69" s="164">
        <f t="shared" si="109"/>
        <v>0</v>
      </c>
      <c r="BL69" s="164">
        <f t="shared" si="110"/>
        <v>508</v>
      </c>
      <c r="BM69" s="164">
        <f t="shared" si="111"/>
        <v>210</v>
      </c>
      <c r="BN69" s="164">
        <f t="shared" si="112"/>
        <v>168</v>
      </c>
      <c r="BO69" s="164">
        <f t="shared" si="113"/>
        <v>9</v>
      </c>
      <c r="BP69" s="164">
        <f t="shared" si="114"/>
        <v>33</v>
      </c>
      <c r="BQ69" s="164">
        <f t="shared" si="115"/>
        <v>33</v>
      </c>
      <c r="BR69" s="164">
        <f t="shared" si="116"/>
        <v>0</v>
      </c>
      <c r="BS69" s="129">
        <f>SUMIF('Audit HD AR - School Level'!$A$6:A3558, "=" &amp; A69,'Audit HD AR - School Level'!$Q$6:Q3558)</f>
        <v>11.6</v>
      </c>
      <c r="BT69" s="168">
        <f t="shared" si="117"/>
        <v>0</v>
      </c>
      <c r="BU69" s="168">
        <f t="shared" si="118"/>
        <v>0</v>
      </c>
      <c r="BV69" s="168"/>
      <c r="BW69" s="168">
        <f t="shared" si="119"/>
        <v>0</v>
      </c>
      <c r="BX69" s="164">
        <f t="shared" si="121"/>
        <v>480.1</v>
      </c>
      <c r="BY69" s="164">
        <f t="shared" si="120"/>
        <v>11.5</v>
      </c>
    </row>
    <row r="70" spans="1:78">
      <c r="A70" s="129" t="s">
        <v>389</v>
      </c>
      <c r="U70" s="129">
        <v>266</v>
      </c>
      <c r="V70" s="129">
        <v>7.5</v>
      </c>
      <c r="X70" s="129">
        <v>289</v>
      </c>
      <c r="AC70" s="129">
        <v>100.8</v>
      </c>
      <c r="AD70" s="129">
        <v>2</v>
      </c>
      <c r="AE70" s="129">
        <v>2.2000000000000002</v>
      </c>
      <c r="AF70" s="129">
        <v>284</v>
      </c>
      <c r="AG70" s="129">
        <v>62</v>
      </c>
      <c r="AI70" s="129">
        <v>89.5</v>
      </c>
      <c r="AJ70" s="129">
        <v>29</v>
      </c>
      <c r="AK70" s="129">
        <v>32.5</v>
      </c>
      <c r="AL70" s="129">
        <v>0</v>
      </c>
      <c r="AO70" s="129">
        <v>0</v>
      </c>
      <c r="AP70" s="129">
        <v>0</v>
      </c>
      <c r="AQ70" s="129">
        <v>0</v>
      </c>
      <c r="AR70" s="129">
        <v>0</v>
      </c>
      <c r="AS70" s="129">
        <v>0</v>
      </c>
      <c r="AT70" s="129">
        <v>0</v>
      </c>
      <c r="AU70" s="129">
        <v>0</v>
      </c>
      <c r="AV70" s="129">
        <v>0</v>
      </c>
      <c r="AW70" s="129">
        <v>165030</v>
      </c>
      <c r="AX70" s="167">
        <v>45362</v>
      </c>
      <c r="AY70" s="162">
        <f t="shared" si="20"/>
        <v>7</v>
      </c>
      <c r="AZ70" s="163" t="s">
        <v>882</v>
      </c>
      <c r="BA70" s="162" t="b">
        <f t="shared" si="122"/>
        <v>0</v>
      </c>
      <c r="BF70" s="164">
        <f t="shared" si="105"/>
        <v>266</v>
      </c>
      <c r="BG70" s="164">
        <f t="shared" si="106"/>
        <v>7.5</v>
      </c>
      <c r="BH70" s="164"/>
      <c r="BI70" s="164">
        <f t="shared" si="107"/>
        <v>100.8</v>
      </c>
      <c r="BJ70" s="164">
        <f t="shared" si="108"/>
        <v>2</v>
      </c>
      <c r="BK70" s="164">
        <f t="shared" si="109"/>
        <v>2.2000000000000002</v>
      </c>
      <c r="BL70" s="164">
        <f t="shared" si="110"/>
        <v>284</v>
      </c>
      <c r="BM70" s="164">
        <f t="shared" si="111"/>
        <v>62</v>
      </c>
      <c r="BN70" s="164">
        <f t="shared" si="112"/>
        <v>89.5</v>
      </c>
      <c r="BO70" s="164">
        <f t="shared" si="113"/>
        <v>29</v>
      </c>
      <c r="BP70" s="164">
        <f t="shared" si="114"/>
        <v>32.5</v>
      </c>
      <c r="BQ70" s="164">
        <f t="shared" si="115"/>
        <v>32.5</v>
      </c>
      <c r="BR70" s="164">
        <f t="shared" si="116"/>
        <v>0</v>
      </c>
      <c r="BS70" s="129">
        <f>SUMIF('Audit HD AR - School Level'!$A$6:A3559, "=" &amp; A70,'Audit HD AR - School Level'!$Q$6:Q3559)</f>
        <v>0</v>
      </c>
      <c r="BT70" s="168">
        <f t="shared" si="117"/>
        <v>0</v>
      </c>
      <c r="BU70" s="168">
        <f t="shared" si="118"/>
        <v>0</v>
      </c>
      <c r="BV70" s="168"/>
      <c r="BW70" s="168">
        <f t="shared" si="119"/>
        <v>0</v>
      </c>
      <c r="BX70" s="164">
        <f t="shared" si="121"/>
        <v>266</v>
      </c>
      <c r="BY70" s="164">
        <f t="shared" si="120"/>
        <v>7.5</v>
      </c>
    </row>
    <row r="71" spans="1:78">
      <c r="A71" s="129" t="s">
        <v>392</v>
      </c>
      <c r="U71" s="129">
        <v>850.3</v>
      </c>
      <c r="V71" s="129">
        <v>6.5</v>
      </c>
      <c r="X71" s="129">
        <v>907</v>
      </c>
      <c r="AC71" s="129">
        <v>214.7</v>
      </c>
      <c r="AD71" s="129">
        <v>5</v>
      </c>
      <c r="AE71" s="129">
        <v>5.9</v>
      </c>
      <c r="AF71" s="129">
        <v>872</v>
      </c>
      <c r="AG71" s="129">
        <v>413</v>
      </c>
      <c r="AI71" s="129">
        <v>232.5</v>
      </c>
      <c r="AJ71" s="129">
        <v>23</v>
      </c>
      <c r="AK71" s="129">
        <v>20</v>
      </c>
      <c r="AL71" s="129">
        <v>0</v>
      </c>
      <c r="AO71" s="129">
        <v>1</v>
      </c>
      <c r="AP71" s="129">
        <v>1.8</v>
      </c>
      <c r="AQ71" s="129">
        <v>0</v>
      </c>
      <c r="AR71" s="129">
        <v>0</v>
      </c>
      <c r="AS71" s="129">
        <v>0</v>
      </c>
      <c r="AT71" s="129">
        <v>0</v>
      </c>
      <c r="AU71" s="129">
        <v>0</v>
      </c>
      <c r="AV71" s="129">
        <v>0</v>
      </c>
      <c r="AW71" s="129">
        <v>418865</v>
      </c>
      <c r="AX71" s="167">
        <v>45362</v>
      </c>
      <c r="AY71" s="162">
        <f t="shared" si="20"/>
        <v>7</v>
      </c>
      <c r="AZ71" s="163" t="s">
        <v>882</v>
      </c>
      <c r="BA71" s="162" t="b">
        <f t="shared" si="122"/>
        <v>0</v>
      </c>
      <c r="BF71" s="164">
        <f t="shared" si="105"/>
        <v>847.5</v>
      </c>
      <c r="BG71" s="164">
        <f t="shared" si="106"/>
        <v>6.5</v>
      </c>
      <c r="BH71" s="164"/>
      <c r="BI71" s="164">
        <f t="shared" si="107"/>
        <v>214.7</v>
      </c>
      <c r="BJ71" s="164">
        <f t="shared" si="108"/>
        <v>5</v>
      </c>
      <c r="BK71" s="164">
        <f t="shared" si="109"/>
        <v>5.9</v>
      </c>
      <c r="BL71" s="164">
        <f t="shared" si="110"/>
        <v>872</v>
      </c>
      <c r="BM71" s="164">
        <f t="shared" si="111"/>
        <v>413</v>
      </c>
      <c r="BN71" s="164">
        <f t="shared" si="112"/>
        <v>232.5</v>
      </c>
      <c r="BO71" s="164">
        <f t="shared" si="113"/>
        <v>23</v>
      </c>
      <c r="BP71" s="164">
        <f t="shared" si="114"/>
        <v>20</v>
      </c>
      <c r="BQ71" s="164">
        <f t="shared" si="115"/>
        <v>20</v>
      </c>
      <c r="BR71" s="164">
        <f t="shared" si="116"/>
        <v>0</v>
      </c>
      <c r="BS71" s="129">
        <f>SUMIF('Audit HD AR - School Level'!$A$6:A3560, "=" &amp; A71,'Audit HD AR - School Level'!$Q$6:Q3560)</f>
        <v>31.9</v>
      </c>
      <c r="BT71" s="168">
        <f t="shared" si="117"/>
        <v>0</v>
      </c>
      <c r="BU71" s="168">
        <f t="shared" si="118"/>
        <v>0</v>
      </c>
      <c r="BV71" s="168"/>
      <c r="BW71" s="168">
        <f t="shared" si="119"/>
        <v>0</v>
      </c>
      <c r="BX71" s="164">
        <f t="shared" si="121"/>
        <v>847.5</v>
      </c>
      <c r="BY71" s="164">
        <f t="shared" si="120"/>
        <v>6.5</v>
      </c>
      <c r="BZ71" s="129">
        <v>1</v>
      </c>
    </row>
    <row r="72" spans="1:78">
      <c r="A72" s="129" t="s">
        <v>393</v>
      </c>
      <c r="U72" s="129">
        <v>1674.2</v>
      </c>
      <c r="V72" s="129">
        <v>7</v>
      </c>
      <c r="X72" s="129">
        <v>1695.6</v>
      </c>
      <c r="AC72" s="129">
        <v>391.5</v>
      </c>
      <c r="AD72" s="129">
        <v>27</v>
      </c>
      <c r="AE72" s="129">
        <v>22.7</v>
      </c>
      <c r="AF72" s="129">
        <v>1692</v>
      </c>
      <c r="AG72" s="129">
        <v>304</v>
      </c>
      <c r="AI72" s="129">
        <v>640</v>
      </c>
      <c r="AJ72" s="129">
        <v>916</v>
      </c>
      <c r="AK72" s="129">
        <v>9</v>
      </c>
      <c r="AL72" s="129">
        <v>0</v>
      </c>
      <c r="AO72" s="129">
        <v>10</v>
      </c>
      <c r="AP72" s="129">
        <v>7.5</v>
      </c>
      <c r="AQ72" s="129">
        <v>1</v>
      </c>
      <c r="AR72" s="129">
        <v>0</v>
      </c>
      <c r="AS72" s="129">
        <v>1</v>
      </c>
      <c r="AT72" s="129">
        <v>0</v>
      </c>
      <c r="AU72" s="129">
        <v>0</v>
      </c>
      <c r="AV72" s="129">
        <v>0</v>
      </c>
      <c r="AW72" s="129">
        <v>463785</v>
      </c>
      <c r="AX72" s="167">
        <v>45362</v>
      </c>
      <c r="AY72" s="162">
        <f t="shared" ref="AY72:AY135" si="123">IF(AX72=AX71,AY71,AY71+1)</f>
        <v>7</v>
      </c>
      <c r="AZ72" s="163" t="s">
        <v>882</v>
      </c>
      <c r="BA72" s="162" t="b">
        <f t="shared" si="122"/>
        <v>0</v>
      </c>
      <c r="BF72" s="164">
        <f t="shared" si="105"/>
        <v>1656.7</v>
      </c>
      <c r="BG72" s="164">
        <f t="shared" si="106"/>
        <v>7</v>
      </c>
      <c r="BH72" s="164"/>
      <c r="BI72" s="164">
        <f t="shared" si="107"/>
        <v>391.5</v>
      </c>
      <c r="BJ72" s="164">
        <f t="shared" si="108"/>
        <v>27</v>
      </c>
      <c r="BK72" s="164">
        <f t="shared" si="109"/>
        <v>22.7</v>
      </c>
      <c r="BL72" s="164">
        <f t="shared" si="110"/>
        <v>1692</v>
      </c>
      <c r="BM72" s="164">
        <f t="shared" si="111"/>
        <v>304</v>
      </c>
      <c r="BN72" s="164">
        <f t="shared" si="112"/>
        <v>640</v>
      </c>
      <c r="BO72" s="164">
        <f t="shared" si="113"/>
        <v>916</v>
      </c>
      <c r="BP72" s="164">
        <f t="shared" si="114"/>
        <v>9</v>
      </c>
      <c r="BQ72" s="164">
        <f t="shared" si="115"/>
        <v>9</v>
      </c>
      <c r="BR72" s="164">
        <f t="shared" si="116"/>
        <v>0</v>
      </c>
      <c r="BS72" s="129">
        <f>SUMIF('Audit HD AR - School Level'!$A$6:A3561, "=" &amp; A72,'Audit HD AR - School Level'!$Q$6:Q3561)</f>
        <v>0</v>
      </c>
      <c r="BT72" s="168">
        <f t="shared" si="117"/>
        <v>0</v>
      </c>
      <c r="BU72" s="168">
        <f t="shared" si="118"/>
        <v>0</v>
      </c>
      <c r="BV72" s="168"/>
      <c r="BW72" s="168">
        <f t="shared" si="119"/>
        <v>0</v>
      </c>
      <c r="BX72" s="164">
        <f t="shared" si="121"/>
        <v>1656.7</v>
      </c>
      <c r="BY72" s="164">
        <f t="shared" si="120"/>
        <v>7</v>
      </c>
    </row>
    <row r="73" spans="1:78">
      <c r="A73" s="129" t="s">
        <v>400</v>
      </c>
      <c r="U73" s="129">
        <v>476.6</v>
      </c>
      <c r="V73" s="129">
        <v>13</v>
      </c>
      <c r="X73" s="129">
        <v>463.1</v>
      </c>
      <c r="AC73" s="129">
        <v>210.4</v>
      </c>
      <c r="AD73" s="129">
        <v>8</v>
      </c>
      <c r="AE73" s="129">
        <v>20.399999999999999</v>
      </c>
      <c r="AF73" s="129">
        <v>507</v>
      </c>
      <c r="AG73" s="129">
        <v>163</v>
      </c>
      <c r="AI73" s="129">
        <v>120</v>
      </c>
      <c r="AJ73" s="129">
        <v>0</v>
      </c>
      <c r="AK73" s="129">
        <v>0</v>
      </c>
      <c r="AL73" s="129">
        <v>0</v>
      </c>
      <c r="AO73" s="129">
        <v>0</v>
      </c>
      <c r="AP73" s="129">
        <v>0</v>
      </c>
      <c r="AQ73" s="129">
        <v>0</v>
      </c>
      <c r="AR73" s="129">
        <v>0</v>
      </c>
      <c r="AS73" s="129">
        <v>0</v>
      </c>
      <c r="AT73" s="129">
        <v>0</v>
      </c>
      <c r="AU73" s="129">
        <v>0</v>
      </c>
      <c r="AV73" s="129">
        <v>0</v>
      </c>
      <c r="AW73" s="129">
        <v>149743</v>
      </c>
      <c r="AX73" s="167">
        <v>45362</v>
      </c>
      <c r="AY73" s="162">
        <f t="shared" si="123"/>
        <v>7</v>
      </c>
      <c r="AZ73" s="163" t="s">
        <v>882</v>
      </c>
      <c r="BA73" s="162" t="b">
        <f t="shared" si="122"/>
        <v>0</v>
      </c>
      <c r="BF73" s="164">
        <f t="shared" si="105"/>
        <v>476.6</v>
      </c>
      <c r="BG73" s="164">
        <f t="shared" si="106"/>
        <v>13</v>
      </c>
      <c r="BH73" s="164"/>
      <c r="BI73" s="164">
        <f t="shared" si="107"/>
        <v>210.4</v>
      </c>
      <c r="BJ73" s="164">
        <f t="shared" si="108"/>
        <v>8</v>
      </c>
      <c r="BK73" s="164">
        <f t="shared" si="109"/>
        <v>20.399999999999999</v>
      </c>
      <c r="BL73" s="164">
        <f t="shared" si="110"/>
        <v>507</v>
      </c>
      <c r="BM73" s="164">
        <f t="shared" si="111"/>
        <v>163</v>
      </c>
      <c r="BN73" s="164">
        <f t="shared" si="112"/>
        <v>120</v>
      </c>
      <c r="BO73" s="164">
        <f t="shared" si="113"/>
        <v>0</v>
      </c>
      <c r="BP73" s="164">
        <f t="shared" si="114"/>
        <v>0</v>
      </c>
      <c r="BQ73" s="164">
        <f t="shared" si="115"/>
        <v>0</v>
      </c>
      <c r="BR73" s="164">
        <f t="shared" si="116"/>
        <v>0</v>
      </c>
      <c r="BS73" s="129">
        <f>SUMIF('Audit HD AR - School Level'!$A$6:A3562, "=" &amp; A73,'Audit HD AR - School Level'!$Q$6:Q3562)</f>
        <v>1</v>
      </c>
      <c r="BT73" s="168">
        <f t="shared" si="117"/>
        <v>0</v>
      </c>
      <c r="BU73" s="168">
        <f t="shared" si="118"/>
        <v>0</v>
      </c>
      <c r="BV73" s="168"/>
      <c r="BW73" s="168">
        <f t="shared" si="119"/>
        <v>0</v>
      </c>
      <c r="BX73" s="164">
        <f t="shared" si="121"/>
        <v>476.6</v>
      </c>
      <c r="BY73" s="164">
        <f t="shared" si="120"/>
        <v>13</v>
      </c>
    </row>
    <row r="74" spans="1:78">
      <c r="A74" s="129" t="s">
        <v>406</v>
      </c>
      <c r="U74" s="129">
        <v>260</v>
      </c>
      <c r="V74" s="129">
        <v>1.5</v>
      </c>
      <c r="X74" s="129">
        <v>274.5</v>
      </c>
      <c r="AC74" s="129">
        <v>136.4</v>
      </c>
      <c r="AD74" s="129">
        <v>0</v>
      </c>
      <c r="AE74" s="129">
        <v>0</v>
      </c>
      <c r="AF74" s="129">
        <v>264</v>
      </c>
      <c r="AG74" s="129">
        <v>60</v>
      </c>
      <c r="AI74" s="129">
        <v>33</v>
      </c>
      <c r="AJ74" s="129">
        <v>0</v>
      </c>
      <c r="AK74" s="129">
        <v>53</v>
      </c>
      <c r="AL74" s="129">
        <v>0</v>
      </c>
      <c r="AO74" s="129">
        <v>0</v>
      </c>
      <c r="AP74" s="129">
        <v>0</v>
      </c>
      <c r="AQ74" s="129">
        <v>0</v>
      </c>
      <c r="AR74" s="129">
        <v>0</v>
      </c>
      <c r="AS74" s="129">
        <v>0</v>
      </c>
      <c r="AT74" s="129">
        <v>0</v>
      </c>
      <c r="AU74" s="129">
        <v>0</v>
      </c>
      <c r="AV74" s="129">
        <v>0</v>
      </c>
      <c r="AW74" s="129">
        <v>54370</v>
      </c>
      <c r="AX74" s="167">
        <v>45362</v>
      </c>
      <c r="AY74" s="162">
        <f t="shared" si="123"/>
        <v>7</v>
      </c>
      <c r="AZ74" s="163" t="s">
        <v>882</v>
      </c>
      <c r="BA74" s="162" t="b">
        <f t="shared" si="122"/>
        <v>0</v>
      </c>
      <c r="BF74" s="164">
        <f t="shared" si="105"/>
        <v>260</v>
      </c>
      <c r="BG74" s="164">
        <f t="shared" si="106"/>
        <v>1.5</v>
      </c>
      <c r="BH74" s="164"/>
      <c r="BI74" s="164">
        <f t="shared" si="107"/>
        <v>136.4</v>
      </c>
      <c r="BJ74" s="164">
        <f t="shared" si="108"/>
        <v>0</v>
      </c>
      <c r="BK74" s="164">
        <f t="shared" si="109"/>
        <v>0</v>
      </c>
      <c r="BL74" s="164">
        <f t="shared" si="110"/>
        <v>264</v>
      </c>
      <c r="BM74" s="164">
        <f t="shared" si="111"/>
        <v>60</v>
      </c>
      <c r="BN74" s="164">
        <f t="shared" si="112"/>
        <v>33</v>
      </c>
      <c r="BO74" s="164">
        <f t="shared" si="113"/>
        <v>0</v>
      </c>
      <c r="BP74" s="164">
        <f t="shared" si="114"/>
        <v>53</v>
      </c>
      <c r="BQ74" s="164">
        <f t="shared" si="115"/>
        <v>53</v>
      </c>
      <c r="BR74" s="164">
        <f t="shared" si="116"/>
        <v>0</v>
      </c>
      <c r="BS74" s="129">
        <f>SUMIF('Audit HD AR - School Level'!$A$6:A3563, "=" &amp; A74,'Audit HD AR - School Level'!$Q$6:Q3563)</f>
        <v>0</v>
      </c>
      <c r="BT74" s="168">
        <f t="shared" si="117"/>
        <v>0</v>
      </c>
      <c r="BU74" s="168">
        <f t="shared" si="118"/>
        <v>0</v>
      </c>
      <c r="BV74" s="168"/>
      <c r="BW74" s="168">
        <f t="shared" si="119"/>
        <v>0</v>
      </c>
      <c r="BX74" s="164">
        <f t="shared" si="121"/>
        <v>260</v>
      </c>
      <c r="BY74" s="164">
        <f t="shared" si="120"/>
        <v>1.5</v>
      </c>
    </row>
    <row r="75" spans="1:78">
      <c r="A75" s="129" t="s">
        <v>411</v>
      </c>
      <c r="U75" s="129">
        <v>307.5</v>
      </c>
      <c r="V75" s="129">
        <v>6.5</v>
      </c>
      <c r="X75" s="129">
        <v>361</v>
      </c>
      <c r="AC75" s="129">
        <v>155.5</v>
      </c>
      <c r="AD75" s="129">
        <v>10</v>
      </c>
      <c r="AE75" s="129">
        <v>2.2999999999999998</v>
      </c>
      <c r="AF75" s="129">
        <v>322</v>
      </c>
      <c r="AG75" s="129">
        <v>150</v>
      </c>
      <c r="AI75" s="129">
        <v>89</v>
      </c>
      <c r="AJ75" s="129">
        <v>3</v>
      </c>
      <c r="AK75" s="129">
        <v>11</v>
      </c>
      <c r="AL75" s="129">
        <v>0</v>
      </c>
      <c r="AO75" s="129">
        <v>0</v>
      </c>
      <c r="AP75" s="129">
        <v>0</v>
      </c>
      <c r="AQ75" s="129">
        <v>0</v>
      </c>
      <c r="AR75" s="129">
        <v>0</v>
      </c>
      <c r="AS75" s="129">
        <v>0</v>
      </c>
      <c r="AT75" s="129">
        <v>0</v>
      </c>
      <c r="AU75" s="129">
        <v>0</v>
      </c>
      <c r="AV75" s="129">
        <v>0</v>
      </c>
      <c r="AW75" s="129">
        <v>256605</v>
      </c>
      <c r="AX75" s="167">
        <v>45362</v>
      </c>
      <c r="AY75" s="162">
        <f t="shared" si="123"/>
        <v>7</v>
      </c>
      <c r="AZ75" s="163" t="s">
        <v>882</v>
      </c>
      <c r="BA75" s="162" t="b">
        <f t="shared" si="122"/>
        <v>0</v>
      </c>
      <c r="BF75" s="164">
        <f t="shared" si="105"/>
        <v>307.5</v>
      </c>
      <c r="BG75" s="164">
        <f t="shared" si="106"/>
        <v>6.5</v>
      </c>
      <c r="BH75" s="164"/>
      <c r="BI75" s="164">
        <f t="shared" si="107"/>
        <v>155.5</v>
      </c>
      <c r="BJ75" s="164">
        <f t="shared" si="108"/>
        <v>10</v>
      </c>
      <c r="BK75" s="164">
        <f t="shared" si="109"/>
        <v>2.2999999999999998</v>
      </c>
      <c r="BL75" s="164">
        <f t="shared" si="110"/>
        <v>322</v>
      </c>
      <c r="BM75" s="164">
        <f t="shared" si="111"/>
        <v>150</v>
      </c>
      <c r="BN75" s="164">
        <f t="shared" si="112"/>
        <v>89</v>
      </c>
      <c r="BO75" s="164">
        <f t="shared" si="113"/>
        <v>3</v>
      </c>
      <c r="BP75" s="164">
        <f t="shared" si="114"/>
        <v>11</v>
      </c>
      <c r="BQ75" s="164">
        <f t="shared" si="115"/>
        <v>11</v>
      </c>
      <c r="BR75" s="164">
        <f t="shared" si="116"/>
        <v>0</v>
      </c>
      <c r="BS75" s="129">
        <f>SUMIF('Audit HD AR - School Level'!$A$6:A3564, "=" &amp; A75,'Audit HD AR - School Level'!$Q$6:Q3564)</f>
        <v>12.5</v>
      </c>
      <c r="BT75" s="168">
        <f t="shared" si="117"/>
        <v>0</v>
      </c>
      <c r="BU75" s="168">
        <f t="shared" si="118"/>
        <v>0</v>
      </c>
      <c r="BV75" s="168"/>
      <c r="BW75" s="168">
        <f t="shared" si="119"/>
        <v>0</v>
      </c>
      <c r="BX75" s="164">
        <f t="shared" si="121"/>
        <v>307.5</v>
      </c>
      <c r="BY75" s="164">
        <f t="shared" si="120"/>
        <v>6.5</v>
      </c>
    </row>
    <row r="76" spans="1:78">
      <c r="A76" s="129" t="s">
        <v>417</v>
      </c>
      <c r="U76" s="129">
        <v>1702.7</v>
      </c>
      <c r="V76" s="129">
        <v>31.5</v>
      </c>
      <c r="X76" s="129">
        <v>1858.4</v>
      </c>
      <c r="AC76" s="129">
        <v>282.60000000000002</v>
      </c>
      <c r="AD76" s="129">
        <v>57</v>
      </c>
      <c r="AE76" s="129">
        <v>79.599999999999994</v>
      </c>
      <c r="AF76" s="129">
        <v>1785</v>
      </c>
      <c r="AG76" s="129">
        <v>1057</v>
      </c>
      <c r="AI76" s="129">
        <v>342</v>
      </c>
      <c r="AJ76" s="129">
        <v>420</v>
      </c>
      <c r="AK76" s="129">
        <v>49</v>
      </c>
      <c r="AL76" s="129">
        <v>0</v>
      </c>
      <c r="AO76" s="129">
        <v>23</v>
      </c>
      <c r="AP76" s="129">
        <v>5.6</v>
      </c>
      <c r="AQ76" s="129">
        <v>0</v>
      </c>
      <c r="AR76" s="129">
        <v>0</v>
      </c>
      <c r="AS76" s="129">
        <v>0</v>
      </c>
      <c r="AT76" s="129">
        <v>0</v>
      </c>
      <c r="AU76" s="129">
        <v>0</v>
      </c>
      <c r="AV76" s="129">
        <v>0</v>
      </c>
      <c r="AW76" s="129">
        <v>1293154</v>
      </c>
      <c r="AX76" s="167">
        <v>45362</v>
      </c>
      <c r="AY76" s="162">
        <f t="shared" si="123"/>
        <v>7</v>
      </c>
      <c r="AZ76" s="163" t="s">
        <v>882</v>
      </c>
      <c r="BA76" s="162" t="b">
        <f t="shared" si="122"/>
        <v>0</v>
      </c>
      <c r="BF76" s="164">
        <f t="shared" si="105"/>
        <v>1674.1</v>
      </c>
      <c r="BG76" s="164">
        <f t="shared" si="106"/>
        <v>31.5</v>
      </c>
      <c r="BH76" s="164"/>
      <c r="BI76" s="164">
        <f t="shared" si="107"/>
        <v>282.60000000000002</v>
      </c>
      <c r="BJ76" s="164">
        <f t="shared" si="108"/>
        <v>57</v>
      </c>
      <c r="BK76" s="164">
        <f t="shared" si="109"/>
        <v>79.599999999999994</v>
      </c>
      <c r="BL76" s="164">
        <f t="shared" si="110"/>
        <v>1785</v>
      </c>
      <c r="BM76" s="164">
        <f t="shared" si="111"/>
        <v>1057</v>
      </c>
      <c r="BN76" s="164">
        <f t="shared" si="112"/>
        <v>342</v>
      </c>
      <c r="BO76" s="164">
        <f t="shared" si="113"/>
        <v>420</v>
      </c>
      <c r="BP76" s="164">
        <f t="shared" si="114"/>
        <v>49</v>
      </c>
      <c r="BQ76" s="164">
        <f t="shared" si="115"/>
        <v>49</v>
      </c>
      <c r="BR76" s="164">
        <f t="shared" si="116"/>
        <v>0</v>
      </c>
      <c r="BS76" s="129">
        <f>SUMIF('Audit HD AR - School Level'!$A$6:A3565, "=" &amp; A76,'Audit HD AR - School Level'!$Q$6:Q3565)</f>
        <v>103.5</v>
      </c>
      <c r="BT76" s="168">
        <f t="shared" si="117"/>
        <v>0</v>
      </c>
      <c r="BU76" s="168">
        <f t="shared" si="118"/>
        <v>0</v>
      </c>
      <c r="BV76" s="168">
        <v>-13272</v>
      </c>
      <c r="BW76" s="168">
        <f t="shared" si="119"/>
        <v>-13272</v>
      </c>
      <c r="BX76" s="164">
        <f t="shared" si="121"/>
        <v>1674.1</v>
      </c>
      <c r="BY76" s="164">
        <f t="shared" si="120"/>
        <v>31.5</v>
      </c>
    </row>
    <row r="77" spans="1:78">
      <c r="A77" s="129" t="s">
        <v>418</v>
      </c>
      <c r="U77" s="129">
        <v>662.8</v>
      </c>
      <c r="V77" s="129">
        <v>12</v>
      </c>
      <c r="X77" s="129">
        <v>723.1</v>
      </c>
      <c r="AC77" s="129">
        <v>230.9</v>
      </c>
      <c r="AD77" s="129">
        <v>4</v>
      </c>
      <c r="AE77" s="129">
        <v>0</v>
      </c>
      <c r="AF77" s="129">
        <v>684</v>
      </c>
      <c r="AG77" s="129">
        <v>400</v>
      </c>
      <c r="AI77" s="129">
        <v>125</v>
      </c>
      <c r="AJ77" s="129">
        <v>78</v>
      </c>
      <c r="AK77" s="129">
        <v>44</v>
      </c>
      <c r="AL77" s="129">
        <v>0</v>
      </c>
      <c r="AO77" s="129">
        <v>3</v>
      </c>
      <c r="AP77" s="129">
        <v>0.8</v>
      </c>
      <c r="AQ77" s="129">
        <v>0</v>
      </c>
      <c r="AR77" s="129">
        <v>5</v>
      </c>
      <c r="AS77" s="129">
        <v>0</v>
      </c>
      <c r="AT77" s="129">
        <v>0</v>
      </c>
      <c r="AU77" s="129">
        <v>0</v>
      </c>
      <c r="AV77" s="129">
        <v>0</v>
      </c>
      <c r="AW77" s="129">
        <v>398383</v>
      </c>
      <c r="AX77" s="167">
        <v>45362</v>
      </c>
      <c r="AY77" s="162">
        <f t="shared" si="123"/>
        <v>7</v>
      </c>
      <c r="AZ77" s="163" t="s">
        <v>882</v>
      </c>
      <c r="BA77" s="162" t="b">
        <f t="shared" si="122"/>
        <v>0</v>
      </c>
      <c r="BF77" s="164">
        <f t="shared" si="105"/>
        <v>654</v>
      </c>
      <c r="BG77" s="164">
        <f t="shared" si="106"/>
        <v>12</v>
      </c>
      <c r="BH77" s="164"/>
      <c r="BI77" s="164">
        <f t="shared" si="107"/>
        <v>230.9</v>
      </c>
      <c r="BJ77" s="164">
        <f t="shared" si="108"/>
        <v>4</v>
      </c>
      <c r="BK77" s="164">
        <f t="shared" si="109"/>
        <v>0</v>
      </c>
      <c r="BL77" s="164">
        <f t="shared" si="110"/>
        <v>684</v>
      </c>
      <c r="BM77" s="164">
        <f t="shared" si="111"/>
        <v>400</v>
      </c>
      <c r="BN77" s="164">
        <f t="shared" si="112"/>
        <v>125</v>
      </c>
      <c r="BO77" s="164">
        <f t="shared" si="113"/>
        <v>78</v>
      </c>
      <c r="BP77" s="164">
        <f t="shared" si="114"/>
        <v>44</v>
      </c>
      <c r="BQ77" s="164">
        <f t="shared" si="115"/>
        <v>44</v>
      </c>
      <c r="BR77" s="164">
        <f t="shared" si="116"/>
        <v>0</v>
      </c>
      <c r="BS77" s="129">
        <f>SUMIF('Audit HD AR - School Level'!$A$6:A3566, "=" &amp; A77,'Audit HD AR - School Level'!$Q$6:Q3566)</f>
        <v>40.4</v>
      </c>
      <c r="BT77" s="168">
        <f t="shared" si="117"/>
        <v>0</v>
      </c>
      <c r="BU77" s="168">
        <f t="shared" si="118"/>
        <v>-3545</v>
      </c>
      <c r="BV77" s="168"/>
      <c r="BW77" s="168">
        <f t="shared" si="119"/>
        <v>-3545</v>
      </c>
      <c r="BX77" s="164">
        <f t="shared" si="121"/>
        <v>659</v>
      </c>
      <c r="BY77" s="164">
        <f t="shared" si="120"/>
        <v>12</v>
      </c>
    </row>
    <row r="78" spans="1:78">
      <c r="A78" s="129" t="s">
        <v>449</v>
      </c>
      <c r="U78" s="129">
        <v>228.5</v>
      </c>
      <c r="V78" s="129">
        <v>3</v>
      </c>
      <c r="X78" s="129">
        <v>237</v>
      </c>
      <c r="AC78" s="129">
        <v>67.599999999999994</v>
      </c>
      <c r="AD78" s="129">
        <v>25</v>
      </c>
      <c r="AE78" s="129">
        <v>53.1</v>
      </c>
      <c r="AF78" s="129">
        <v>236</v>
      </c>
      <c r="AG78" s="129">
        <v>95</v>
      </c>
      <c r="AI78" s="129">
        <v>24.5</v>
      </c>
      <c r="AJ78" s="129">
        <v>6</v>
      </c>
      <c r="AK78" s="129">
        <v>25</v>
      </c>
      <c r="AL78" s="129">
        <v>0</v>
      </c>
      <c r="AO78" s="129">
        <v>0</v>
      </c>
      <c r="AP78" s="129">
        <v>0</v>
      </c>
      <c r="AQ78" s="129">
        <v>0</v>
      </c>
      <c r="AR78" s="129">
        <v>0</v>
      </c>
      <c r="AS78" s="129">
        <v>0</v>
      </c>
      <c r="AT78" s="129">
        <v>0</v>
      </c>
      <c r="AU78" s="129">
        <v>0</v>
      </c>
      <c r="AV78" s="129">
        <v>1</v>
      </c>
      <c r="AW78" s="129">
        <v>141471</v>
      </c>
      <c r="AX78" s="167">
        <v>45362</v>
      </c>
      <c r="AY78" s="162">
        <f t="shared" si="123"/>
        <v>7</v>
      </c>
      <c r="AZ78" s="163" t="s">
        <v>882</v>
      </c>
      <c r="BA78" s="162" t="b">
        <f t="shared" si="122"/>
        <v>0</v>
      </c>
      <c r="BF78" s="164">
        <f t="shared" si="105"/>
        <v>228.5</v>
      </c>
      <c r="BG78" s="164">
        <f t="shared" si="106"/>
        <v>3</v>
      </c>
      <c r="BH78" s="164"/>
      <c r="BI78" s="164">
        <f t="shared" si="107"/>
        <v>67.599999999999994</v>
      </c>
      <c r="BJ78" s="164">
        <f t="shared" si="108"/>
        <v>25</v>
      </c>
      <c r="BK78" s="164">
        <f t="shared" si="109"/>
        <v>53.1</v>
      </c>
      <c r="BL78" s="164">
        <f t="shared" si="110"/>
        <v>236</v>
      </c>
      <c r="BM78" s="164">
        <f t="shared" si="111"/>
        <v>95</v>
      </c>
      <c r="BN78" s="164">
        <f t="shared" si="112"/>
        <v>24.5</v>
      </c>
      <c r="BO78" s="164">
        <f t="shared" si="113"/>
        <v>6</v>
      </c>
      <c r="BP78" s="164">
        <f t="shared" si="114"/>
        <v>25</v>
      </c>
      <c r="BQ78" s="164">
        <f t="shared" si="115"/>
        <v>25</v>
      </c>
      <c r="BR78" s="164">
        <f t="shared" si="116"/>
        <v>0</v>
      </c>
      <c r="BS78" s="129">
        <f>SUMIF('Audit HD AR - School Level'!$A$6:A3567, "=" &amp; A78,'Audit HD AR - School Level'!$Q$6:Q3567)</f>
        <v>4.0999999999999996</v>
      </c>
      <c r="BT78" s="168">
        <f t="shared" si="117"/>
        <v>0</v>
      </c>
      <c r="BU78" s="168">
        <f t="shared" si="118"/>
        <v>0</v>
      </c>
      <c r="BV78" s="168"/>
      <c r="BW78" s="168">
        <f t="shared" si="119"/>
        <v>0</v>
      </c>
      <c r="BX78" s="164">
        <f t="shared" si="121"/>
        <v>228.5</v>
      </c>
      <c r="BY78" s="164">
        <f t="shared" si="120"/>
        <v>3</v>
      </c>
    </row>
    <row r="79" spans="1:78">
      <c r="A79" s="129" t="s">
        <v>450</v>
      </c>
      <c r="U79" s="129">
        <v>530</v>
      </c>
      <c r="V79" s="129">
        <v>20.5</v>
      </c>
      <c r="X79" s="129">
        <v>592.5</v>
      </c>
      <c r="AC79" s="129">
        <v>50.8</v>
      </c>
      <c r="AD79" s="129">
        <v>260</v>
      </c>
      <c r="AE79" s="129">
        <v>1374.7</v>
      </c>
      <c r="AF79" s="129">
        <v>573</v>
      </c>
      <c r="AG79" s="129">
        <v>344</v>
      </c>
      <c r="AI79" s="129">
        <v>454</v>
      </c>
      <c r="AJ79" s="129">
        <v>6</v>
      </c>
      <c r="AK79" s="129">
        <v>1</v>
      </c>
      <c r="AL79" s="129">
        <v>0</v>
      </c>
      <c r="AO79" s="129">
        <v>0</v>
      </c>
      <c r="AP79" s="129">
        <v>0</v>
      </c>
      <c r="AQ79" s="129">
        <v>0</v>
      </c>
      <c r="AR79" s="129">
        <v>0</v>
      </c>
      <c r="AS79" s="129">
        <v>0</v>
      </c>
      <c r="AT79" s="129">
        <v>0</v>
      </c>
      <c r="AU79" s="129">
        <v>0</v>
      </c>
      <c r="AV79" s="129">
        <v>0</v>
      </c>
      <c r="AW79" s="129">
        <v>642063</v>
      </c>
      <c r="AX79" s="167">
        <v>45362</v>
      </c>
      <c r="AY79" s="162">
        <f t="shared" si="123"/>
        <v>7</v>
      </c>
      <c r="AZ79" s="163" t="s">
        <v>882</v>
      </c>
      <c r="BA79" s="162" t="b">
        <f t="shared" si="122"/>
        <v>0</v>
      </c>
      <c r="BF79" s="164">
        <f t="shared" si="105"/>
        <v>530</v>
      </c>
      <c r="BG79" s="164">
        <f t="shared" si="106"/>
        <v>20.5</v>
      </c>
      <c r="BH79" s="164"/>
      <c r="BI79" s="164">
        <f t="shared" si="107"/>
        <v>50.8</v>
      </c>
      <c r="BJ79" s="164">
        <f t="shared" si="108"/>
        <v>260</v>
      </c>
      <c r="BK79" s="164">
        <f t="shared" si="109"/>
        <v>1374.7</v>
      </c>
      <c r="BL79" s="164">
        <f t="shared" si="110"/>
        <v>573</v>
      </c>
      <c r="BM79" s="164">
        <f t="shared" si="111"/>
        <v>344</v>
      </c>
      <c r="BN79" s="164">
        <f t="shared" si="112"/>
        <v>454</v>
      </c>
      <c r="BO79" s="164">
        <f t="shared" si="113"/>
        <v>6</v>
      </c>
      <c r="BP79" s="164">
        <f t="shared" si="114"/>
        <v>1</v>
      </c>
      <c r="BQ79" s="164">
        <f t="shared" si="115"/>
        <v>1</v>
      </c>
      <c r="BR79" s="164">
        <f t="shared" si="116"/>
        <v>0</v>
      </c>
      <c r="BS79" s="129">
        <f>SUMIF('Audit HD AR - School Level'!$A$6:A3568, "=" &amp; A79,'Audit HD AR - School Level'!$Q$6:Q3568)</f>
        <v>36.1</v>
      </c>
      <c r="BT79" s="168">
        <f t="shared" si="117"/>
        <v>0</v>
      </c>
      <c r="BU79" s="168">
        <f t="shared" si="118"/>
        <v>0</v>
      </c>
      <c r="BV79" s="168"/>
      <c r="BW79" s="168">
        <f t="shared" si="119"/>
        <v>0</v>
      </c>
      <c r="BX79" s="164">
        <f t="shared" si="121"/>
        <v>530</v>
      </c>
      <c r="BY79" s="164">
        <f t="shared" si="120"/>
        <v>20.5</v>
      </c>
    </row>
    <row r="80" spans="1:78">
      <c r="A80" s="129" t="s">
        <v>464</v>
      </c>
      <c r="U80" s="129">
        <v>19830.900000000001</v>
      </c>
      <c r="V80" s="129">
        <v>494.5</v>
      </c>
      <c r="X80" s="129">
        <v>20343.2</v>
      </c>
      <c r="AC80" s="129">
        <v>5111.1000000000004</v>
      </c>
      <c r="AD80" s="129">
        <v>8171</v>
      </c>
      <c r="AE80" s="129">
        <v>17445.7</v>
      </c>
      <c r="AF80" s="129">
        <v>20553</v>
      </c>
      <c r="AG80" s="129">
        <v>15095</v>
      </c>
      <c r="AI80" s="129">
        <v>3941.5</v>
      </c>
      <c r="AJ80" s="129">
        <v>7653</v>
      </c>
      <c r="AK80" s="129">
        <v>13</v>
      </c>
      <c r="AL80" s="129">
        <v>0</v>
      </c>
      <c r="AO80" s="129">
        <v>223</v>
      </c>
      <c r="AP80" s="129">
        <v>58.1</v>
      </c>
      <c r="AQ80" s="129">
        <v>116.5</v>
      </c>
      <c r="AR80" s="129">
        <v>10</v>
      </c>
      <c r="AS80" s="129">
        <v>116.5</v>
      </c>
      <c r="AT80" s="129">
        <v>111</v>
      </c>
      <c r="AU80" s="129">
        <v>0</v>
      </c>
      <c r="AV80" s="129">
        <v>0</v>
      </c>
      <c r="AW80" s="129">
        <v>15838021</v>
      </c>
      <c r="AX80" s="167">
        <v>45362</v>
      </c>
      <c r="AY80" s="162">
        <f t="shared" si="123"/>
        <v>7</v>
      </c>
      <c r="AZ80" s="163" t="s">
        <v>882</v>
      </c>
      <c r="BA80" s="162" t="b">
        <f t="shared" si="122"/>
        <v>0</v>
      </c>
      <c r="BF80" s="164">
        <f t="shared" si="105"/>
        <v>19539.8</v>
      </c>
      <c r="BG80" s="164">
        <f t="shared" si="106"/>
        <v>494.5</v>
      </c>
      <c r="BH80" s="164"/>
      <c r="BI80" s="164">
        <f t="shared" si="107"/>
        <v>5111.1000000000004</v>
      </c>
      <c r="BJ80" s="164">
        <f t="shared" si="108"/>
        <v>8171</v>
      </c>
      <c r="BK80" s="164">
        <f t="shared" si="109"/>
        <v>17445.7</v>
      </c>
      <c r="BL80" s="164">
        <f t="shared" si="110"/>
        <v>20553</v>
      </c>
      <c r="BM80" s="164">
        <f t="shared" si="111"/>
        <v>15095</v>
      </c>
      <c r="BN80" s="164">
        <f t="shared" si="112"/>
        <v>3941.5</v>
      </c>
      <c r="BO80" s="164">
        <f t="shared" si="113"/>
        <v>7653</v>
      </c>
      <c r="BP80" s="164">
        <f t="shared" si="114"/>
        <v>13</v>
      </c>
      <c r="BQ80" s="164">
        <f t="shared" si="115"/>
        <v>13</v>
      </c>
      <c r="BR80" s="164">
        <f t="shared" si="116"/>
        <v>0</v>
      </c>
      <c r="BS80" s="129">
        <f>SUMIF('Audit HD AR - School Level'!$A$6:A3570, "=" &amp; A80,'Audit HD AR - School Level'!$Q$6:Q3570)</f>
        <v>1585.2</v>
      </c>
      <c r="BT80" s="168">
        <f t="shared" si="117"/>
        <v>0</v>
      </c>
      <c r="BU80" s="168">
        <f t="shared" si="118"/>
        <v>-7090</v>
      </c>
      <c r="BV80" s="168">
        <v>-50400</v>
      </c>
      <c r="BW80" s="168">
        <f t="shared" si="119"/>
        <v>-57490</v>
      </c>
      <c r="BX80" s="164">
        <f t="shared" si="121"/>
        <v>19438.8</v>
      </c>
      <c r="BY80" s="164">
        <f t="shared" si="120"/>
        <v>494.5</v>
      </c>
    </row>
    <row r="81" spans="1:78">
      <c r="A81" s="129" t="s">
        <v>468</v>
      </c>
      <c r="U81" s="129">
        <v>475.5</v>
      </c>
      <c r="V81" s="129">
        <v>6.5</v>
      </c>
      <c r="X81" s="129">
        <v>486</v>
      </c>
      <c r="AC81" s="129">
        <v>27.9</v>
      </c>
      <c r="AD81" s="129">
        <v>0</v>
      </c>
      <c r="AE81" s="129">
        <v>0</v>
      </c>
      <c r="AF81" s="129">
        <v>493</v>
      </c>
      <c r="AG81" s="129">
        <v>247</v>
      </c>
      <c r="AI81" s="129">
        <v>38</v>
      </c>
      <c r="AJ81" s="129">
        <v>175</v>
      </c>
      <c r="AK81" s="129">
        <v>132</v>
      </c>
      <c r="AL81" s="129">
        <v>0</v>
      </c>
      <c r="AO81" s="129">
        <v>0</v>
      </c>
      <c r="AP81" s="129">
        <v>0</v>
      </c>
      <c r="AQ81" s="129">
        <v>0</v>
      </c>
      <c r="AR81" s="129">
        <v>0</v>
      </c>
      <c r="AS81" s="129">
        <v>0</v>
      </c>
      <c r="AT81" s="129">
        <v>0</v>
      </c>
      <c r="AU81" s="129">
        <v>0</v>
      </c>
      <c r="AV81" s="129">
        <v>0</v>
      </c>
      <c r="AW81" s="129">
        <v>250224</v>
      </c>
      <c r="AX81" s="167">
        <v>45362</v>
      </c>
      <c r="AY81" s="162">
        <f t="shared" si="123"/>
        <v>7</v>
      </c>
      <c r="AZ81" s="163" t="s">
        <v>882</v>
      </c>
      <c r="BA81" s="162" t="b">
        <f t="shared" si="122"/>
        <v>0</v>
      </c>
      <c r="BF81" s="164">
        <f t="shared" si="105"/>
        <v>475.5</v>
      </c>
      <c r="BG81" s="164">
        <f t="shared" si="106"/>
        <v>6.5</v>
      </c>
      <c r="BH81" s="164"/>
      <c r="BI81" s="164">
        <f t="shared" si="107"/>
        <v>27.9</v>
      </c>
      <c r="BJ81" s="164">
        <f t="shared" si="108"/>
        <v>0</v>
      </c>
      <c r="BK81" s="164">
        <f t="shared" si="109"/>
        <v>0</v>
      </c>
      <c r="BL81" s="164">
        <f t="shared" si="110"/>
        <v>493</v>
      </c>
      <c r="BM81" s="164">
        <f t="shared" si="111"/>
        <v>247</v>
      </c>
      <c r="BN81" s="164">
        <f t="shared" si="112"/>
        <v>38</v>
      </c>
      <c r="BO81" s="164">
        <f t="shared" si="113"/>
        <v>175</v>
      </c>
      <c r="BP81" s="164">
        <f t="shared" si="114"/>
        <v>132</v>
      </c>
      <c r="BQ81" s="164">
        <f t="shared" si="115"/>
        <v>132</v>
      </c>
      <c r="BR81" s="164">
        <f t="shared" si="116"/>
        <v>0</v>
      </c>
      <c r="BS81" s="129">
        <f>SUMIF('Audit HD AR - School Level'!$A$6:A3571, "=" &amp; A81,'Audit HD AR - School Level'!$Q$6:Q3571)</f>
        <v>23.5</v>
      </c>
      <c r="BT81" s="168">
        <f t="shared" si="117"/>
        <v>0</v>
      </c>
      <c r="BU81" s="168">
        <f t="shared" si="118"/>
        <v>0</v>
      </c>
      <c r="BV81" s="168"/>
      <c r="BW81" s="168">
        <f t="shared" si="119"/>
        <v>0</v>
      </c>
      <c r="BX81" s="164">
        <f t="shared" si="121"/>
        <v>475.5</v>
      </c>
      <c r="BY81" s="164">
        <f t="shared" si="120"/>
        <v>6.5</v>
      </c>
    </row>
    <row r="82" spans="1:78">
      <c r="A82" s="129" t="s">
        <v>206</v>
      </c>
      <c r="U82" s="129">
        <v>2664.9</v>
      </c>
      <c r="V82" s="129">
        <v>20.5</v>
      </c>
      <c r="X82" s="129">
        <v>2658.5</v>
      </c>
      <c r="AC82" s="129">
        <v>801.8</v>
      </c>
      <c r="AD82" s="129">
        <v>208</v>
      </c>
      <c r="AE82" s="129">
        <v>584.29999999999995</v>
      </c>
      <c r="AF82" s="129">
        <v>2705</v>
      </c>
      <c r="AG82" s="129">
        <v>598</v>
      </c>
      <c r="AI82" s="129">
        <v>1283</v>
      </c>
      <c r="AJ82" s="129">
        <v>7</v>
      </c>
      <c r="AK82" s="129">
        <v>17</v>
      </c>
      <c r="AL82" s="129">
        <v>0</v>
      </c>
      <c r="AO82" s="129">
        <v>13</v>
      </c>
      <c r="AP82" s="129">
        <v>0</v>
      </c>
      <c r="AQ82" s="129">
        <v>0</v>
      </c>
      <c r="AR82" s="129">
        <v>0</v>
      </c>
      <c r="AS82" s="129">
        <v>0</v>
      </c>
      <c r="AT82" s="129">
        <v>0</v>
      </c>
      <c r="AU82" s="129">
        <v>0</v>
      </c>
      <c r="AV82" s="129">
        <v>0</v>
      </c>
      <c r="AW82" s="129">
        <v>1202915</v>
      </c>
      <c r="AX82" s="167">
        <v>45365</v>
      </c>
      <c r="AY82" s="162">
        <f t="shared" si="123"/>
        <v>8</v>
      </c>
      <c r="AZ82" s="163" t="s">
        <v>882</v>
      </c>
      <c r="BA82" s="162" t="b">
        <f t="shared" si="122"/>
        <v>0</v>
      </c>
      <c r="BF82" s="164">
        <f t="shared" ref="BF82:BF97" si="124">SUM(U82+C82-AO82-AP82-AR82)</f>
        <v>2651.9</v>
      </c>
      <c r="BG82" s="164">
        <f t="shared" ref="BG82:BG97" si="125">SUM(E82+F82+V82+W82)</f>
        <v>20.5</v>
      </c>
      <c r="BH82" s="164"/>
      <c r="BI82" s="164">
        <f t="shared" ref="BI82:BI97" si="126">SUM(AC82+H82)</f>
        <v>801.8</v>
      </c>
      <c r="BJ82" s="164">
        <f t="shared" ref="BJ82:BJ97" si="127">SUM(AD82+I82)</f>
        <v>208</v>
      </c>
      <c r="BK82" s="164">
        <f t="shared" ref="BK82:BK97" si="128">SUM(AE82+J82)</f>
        <v>584.29999999999995</v>
      </c>
      <c r="BL82" s="164">
        <f t="shared" ref="BL82:BL97" si="129">SUM(AF82+K82)</f>
        <v>2705</v>
      </c>
      <c r="BM82" s="164">
        <f t="shared" ref="BM82:BM97" si="130">SUM(AG82+L82)</f>
        <v>598</v>
      </c>
      <c r="BN82" s="164">
        <f t="shared" ref="BN82:BN97" si="131">SUM(AI82+M82)</f>
        <v>1283</v>
      </c>
      <c r="BO82" s="164">
        <f t="shared" ref="BO82:BO97" si="132">SUM(AJ82+R82)</f>
        <v>7</v>
      </c>
      <c r="BP82" s="164">
        <f t="shared" ref="BP82:BP97" si="133">SUM(AK82+R82)</f>
        <v>17</v>
      </c>
      <c r="BQ82" s="164">
        <f t="shared" ref="BQ82:BQ97" si="134">SUM(S82+AK82)</f>
        <v>17</v>
      </c>
      <c r="BR82" s="164">
        <f t="shared" ref="BR82:BR97" si="135">SUM(T82+AL82)</f>
        <v>0</v>
      </c>
      <c r="BS82" s="129">
        <f>SUMIF('Audit HD AR - School Level'!$A$6:A3572, "=" &amp; A82,'Audit HD AR - School Level'!$Q$6:Q3572)</f>
        <v>0</v>
      </c>
      <c r="BT82" s="168">
        <f t="shared" ref="BT82:BT97" si="136">SUM(AS82-AQ82)*$BT$2</f>
        <v>0</v>
      </c>
      <c r="BU82" s="168">
        <f t="shared" ref="BU82:BU97" si="137">SUM(AU82-AR82)*$BT$2</f>
        <v>0</v>
      </c>
      <c r="BV82" s="168">
        <v>-16091</v>
      </c>
      <c r="BW82" s="168">
        <f t="shared" ref="BW82:BW97" si="138">IF(BT82+BU82+BV82&gt;0,0,BT82+BU82+BV82)</f>
        <v>-16091</v>
      </c>
      <c r="BX82" s="164">
        <f t="shared" si="121"/>
        <v>2651.9</v>
      </c>
      <c r="BY82" s="164">
        <f t="shared" si="120"/>
        <v>20.5</v>
      </c>
    </row>
    <row r="83" spans="1:78">
      <c r="A83" s="129" t="s">
        <v>213</v>
      </c>
      <c r="U83" s="129">
        <v>951.5</v>
      </c>
      <c r="V83" s="129">
        <v>16.5</v>
      </c>
      <c r="X83" s="129">
        <v>999.5</v>
      </c>
      <c r="AC83" s="129">
        <v>301.60000000000002</v>
      </c>
      <c r="AD83" s="129">
        <v>209</v>
      </c>
      <c r="AE83" s="129">
        <v>660.3</v>
      </c>
      <c r="AF83" s="129">
        <v>978</v>
      </c>
      <c r="AG83" s="129">
        <v>455</v>
      </c>
      <c r="AI83" s="129">
        <v>149</v>
      </c>
      <c r="AJ83" s="129">
        <v>11</v>
      </c>
      <c r="AK83" s="129">
        <v>0</v>
      </c>
      <c r="AL83" s="129">
        <v>0</v>
      </c>
      <c r="AO83" s="129">
        <v>5</v>
      </c>
      <c r="AP83" s="129">
        <v>3.5</v>
      </c>
      <c r="AQ83" s="129">
        <v>18</v>
      </c>
      <c r="AR83" s="129">
        <v>0</v>
      </c>
      <c r="AS83" s="129">
        <v>18</v>
      </c>
      <c r="AT83" s="129">
        <v>0</v>
      </c>
      <c r="AU83" s="129">
        <v>0</v>
      </c>
      <c r="AV83" s="129">
        <v>0</v>
      </c>
      <c r="AW83" s="129">
        <v>509207</v>
      </c>
      <c r="AX83" s="167">
        <v>45365</v>
      </c>
      <c r="AY83" s="162">
        <f t="shared" si="123"/>
        <v>8</v>
      </c>
      <c r="AZ83" s="163" t="s">
        <v>882</v>
      </c>
      <c r="BA83" s="162" t="b">
        <f t="shared" si="122"/>
        <v>0</v>
      </c>
      <c r="BF83" s="164">
        <f t="shared" si="124"/>
        <v>943</v>
      </c>
      <c r="BG83" s="164">
        <f t="shared" si="125"/>
        <v>16.5</v>
      </c>
      <c r="BH83" s="164"/>
      <c r="BI83" s="164">
        <f t="shared" si="126"/>
        <v>301.60000000000002</v>
      </c>
      <c r="BJ83" s="164">
        <f t="shared" si="127"/>
        <v>209</v>
      </c>
      <c r="BK83" s="164">
        <f t="shared" si="128"/>
        <v>660.3</v>
      </c>
      <c r="BL83" s="164">
        <f t="shared" si="129"/>
        <v>978</v>
      </c>
      <c r="BM83" s="164">
        <f t="shared" si="130"/>
        <v>455</v>
      </c>
      <c r="BN83" s="164">
        <f t="shared" si="131"/>
        <v>149</v>
      </c>
      <c r="BO83" s="164">
        <f t="shared" si="132"/>
        <v>11</v>
      </c>
      <c r="BP83" s="164">
        <f t="shared" si="133"/>
        <v>0</v>
      </c>
      <c r="BQ83" s="164">
        <f t="shared" si="134"/>
        <v>0</v>
      </c>
      <c r="BR83" s="164">
        <f t="shared" si="135"/>
        <v>0</v>
      </c>
      <c r="BS83" s="129">
        <f>SUMIF('Audit HD AR - School Level'!$A$6:A3574, "=" &amp; A83,'Audit HD AR - School Level'!$Q$6:Q3574)</f>
        <v>36</v>
      </c>
      <c r="BT83" s="168">
        <f t="shared" si="136"/>
        <v>0</v>
      </c>
      <c r="BU83" s="168">
        <f t="shared" si="137"/>
        <v>0</v>
      </c>
      <c r="BV83" s="168"/>
      <c r="BW83" s="168">
        <f t="shared" si="138"/>
        <v>0</v>
      </c>
      <c r="BX83" s="164">
        <f t="shared" si="121"/>
        <v>943</v>
      </c>
      <c r="BY83" s="164">
        <f t="shared" si="120"/>
        <v>16.5</v>
      </c>
    </row>
    <row r="84" spans="1:78">
      <c r="A84" s="129" t="s">
        <v>234</v>
      </c>
      <c r="U84" s="129">
        <v>439.5</v>
      </c>
      <c r="V84" s="129">
        <v>5</v>
      </c>
      <c r="X84" s="129">
        <v>458.5</v>
      </c>
      <c r="AC84" s="129">
        <v>68.400000000000006</v>
      </c>
      <c r="AD84" s="129">
        <v>0</v>
      </c>
      <c r="AE84" s="129">
        <v>0</v>
      </c>
      <c r="AF84" s="129">
        <v>449</v>
      </c>
      <c r="AG84" s="129">
        <v>266</v>
      </c>
      <c r="AI84" s="129">
        <v>255</v>
      </c>
      <c r="AJ84" s="129">
        <v>105</v>
      </c>
      <c r="AK84" s="129">
        <v>86</v>
      </c>
      <c r="AL84" s="129">
        <v>0</v>
      </c>
      <c r="AO84" s="129">
        <v>3</v>
      </c>
      <c r="AP84" s="129">
        <v>0</v>
      </c>
      <c r="AQ84" s="129">
        <v>0</v>
      </c>
      <c r="AR84" s="129">
        <v>5</v>
      </c>
      <c r="AS84" s="129">
        <v>0</v>
      </c>
      <c r="AT84" s="129">
        <v>0</v>
      </c>
      <c r="AU84" s="129">
        <v>0</v>
      </c>
      <c r="AV84" s="129">
        <v>0</v>
      </c>
      <c r="AW84" s="129">
        <v>308023</v>
      </c>
      <c r="AX84" s="167">
        <v>45365</v>
      </c>
      <c r="AY84" s="162">
        <f t="shared" si="123"/>
        <v>8</v>
      </c>
      <c r="AZ84" s="163" t="s">
        <v>882</v>
      </c>
      <c r="BA84" s="162" t="b">
        <f t="shared" si="122"/>
        <v>0</v>
      </c>
      <c r="BF84" s="164">
        <f t="shared" si="124"/>
        <v>431.5</v>
      </c>
      <c r="BG84" s="164">
        <f t="shared" si="125"/>
        <v>5</v>
      </c>
      <c r="BH84" s="164"/>
      <c r="BI84" s="164">
        <f t="shared" si="126"/>
        <v>68.400000000000006</v>
      </c>
      <c r="BJ84" s="164">
        <f t="shared" si="127"/>
        <v>0</v>
      </c>
      <c r="BK84" s="164">
        <f t="shared" si="128"/>
        <v>0</v>
      </c>
      <c r="BL84" s="164">
        <f t="shared" si="129"/>
        <v>449</v>
      </c>
      <c r="BM84" s="164">
        <f t="shared" si="130"/>
        <v>266</v>
      </c>
      <c r="BN84" s="164">
        <f t="shared" si="131"/>
        <v>255</v>
      </c>
      <c r="BO84" s="164">
        <f t="shared" si="132"/>
        <v>105</v>
      </c>
      <c r="BP84" s="164">
        <f t="shared" si="133"/>
        <v>86</v>
      </c>
      <c r="BQ84" s="164">
        <f t="shared" si="134"/>
        <v>86</v>
      </c>
      <c r="BR84" s="164">
        <f t="shared" si="135"/>
        <v>0</v>
      </c>
      <c r="BS84" s="129">
        <f>SUMIF('Audit HD AR - School Level'!$A$6:A3576, "=" &amp; A84,'Audit HD AR - School Level'!$Q$6:Q3576)</f>
        <v>27.9</v>
      </c>
      <c r="BT84" s="168">
        <f t="shared" si="136"/>
        <v>0</v>
      </c>
      <c r="BU84" s="168">
        <f t="shared" si="137"/>
        <v>-3545</v>
      </c>
      <c r="BV84" s="168"/>
      <c r="BW84" s="168">
        <f t="shared" si="138"/>
        <v>-3545</v>
      </c>
      <c r="BX84" s="164">
        <f t="shared" si="121"/>
        <v>436.5</v>
      </c>
      <c r="BY84" s="164">
        <f t="shared" si="120"/>
        <v>5</v>
      </c>
    </row>
    <row r="85" spans="1:78">
      <c r="A85" s="129" t="s">
        <v>251</v>
      </c>
      <c r="U85" s="129">
        <v>444</v>
      </c>
      <c r="V85" s="129">
        <v>7.5</v>
      </c>
      <c r="X85" s="129">
        <v>460</v>
      </c>
      <c r="AC85" s="129">
        <v>131.4</v>
      </c>
      <c r="AD85" s="129">
        <v>5</v>
      </c>
      <c r="AE85" s="129">
        <v>3.6</v>
      </c>
      <c r="AF85" s="129">
        <v>458</v>
      </c>
      <c r="AG85" s="129">
        <v>205</v>
      </c>
      <c r="AI85" s="129">
        <v>102</v>
      </c>
      <c r="AJ85" s="129">
        <v>22</v>
      </c>
      <c r="AK85" s="129">
        <v>10</v>
      </c>
      <c r="AL85" s="129">
        <v>0</v>
      </c>
      <c r="AO85" s="129">
        <v>5</v>
      </c>
      <c r="AP85" s="129">
        <v>0</v>
      </c>
      <c r="AQ85" s="129">
        <v>0</v>
      </c>
      <c r="AR85" s="129">
        <v>0</v>
      </c>
      <c r="AS85" s="129">
        <v>0</v>
      </c>
      <c r="AT85" s="129">
        <v>0</v>
      </c>
      <c r="AU85" s="129">
        <v>0</v>
      </c>
      <c r="AV85" s="129">
        <v>0</v>
      </c>
      <c r="AW85" s="129">
        <v>324098</v>
      </c>
      <c r="AX85" s="167">
        <v>45365</v>
      </c>
      <c r="AY85" s="162">
        <f t="shared" si="123"/>
        <v>8</v>
      </c>
      <c r="AZ85" s="163" t="s">
        <v>882</v>
      </c>
      <c r="BA85" s="162" t="b">
        <f t="shared" si="122"/>
        <v>0</v>
      </c>
      <c r="BF85" s="164">
        <f t="shared" si="124"/>
        <v>439</v>
      </c>
      <c r="BG85" s="164">
        <f t="shared" si="125"/>
        <v>7.5</v>
      </c>
      <c r="BH85" s="164"/>
      <c r="BI85" s="164">
        <f t="shared" si="126"/>
        <v>131.4</v>
      </c>
      <c r="BJ85" s="164">
        <f t="shared" si="127"/>
        <v>5</v>
      </c>
      <c r="BK85" s="164">
        <f t="shared" si="128"/>
        <v>3.6</v>
      </c>
      <c r="BL85" s="164">
        <f t="shared" si="129"/>
        <v>458</v>
      </c>
      <c r="BM85" s="164">
        <f t="shared" si="130"/>
        <v>205</v>
      </c>
      <c r="BN85" s="164">
        <f t="shared" si="131"/>
        <v>102</v>
      </c>
      <c r="BO85" s="164">
        <f t="shared" si="132"/>
        <v>22</v>
      </c>
      <c r="BP85" s="164">
        <f t="shared" si="133"/>
        <v>10</v>
      </c>
      <c r="BQ85" s="164">
        <f t="shared" si="134"/>
        <v>10</v>
      </c>
      <c r="BR85" s="164">
        <f t="shared" si="135"/>
        <v>0</v>
      </c>
      <c r="BS85" s="129">
        <f>SUMIF('Audit HD AR - School Level'!$A$6:A3578, "=" &amp; A85,'Audit HD AR - School Level'!$Q$6:Q3578)</f>
        <v>14.3</v>
      </c>
      <c r="BT85" s="168">
        <f t="shared" si="136"/>
        <v>0</v>
      </c>
      <c r="BU85" s="168">
        <f t="shared" si="137"/>
        <v>0</v>
      </c>
      <c r="BV85" s="168"/>
      <c r="BW85" s="168">
        <f t="shared" si="138"/>
        <v>0</v>
      </c>
      <c r="BX85" s="164">
        <f t="shared" si="121"/>
        <v>439</v>
      </c>
      <c r="BY85" s="164">
        <f t="shared" si="120"/>
        <v>7.5</v>
      </c>
    </row>
    <row r="86" spans="1:78">
      <c r="A86" s="129" t="s">
        <v>297</v>
      </c>
      <c r="U86" s="129">
        <v>242.5</v>
      </c>
      <c r="V86" s="129">
        <v>13.5</v>
      </c>
      <c r="X86" s="129">
        <v>270</v>
      </c>
      <c r="AC86" s="129">
        <v>69.2</v>
      </c>
      <c r="AD86" s="129">
        <v>3</v>
      </c>
      <c r="AE86" s="129">
        <v>5.0999999999999996</v>
      </c>
      <c r="AF86" s="129">
        <v>272</v>
      </c>
      <c r="AG86" s="129">
        <v>123</v>
      </c>
      <c r="AI86" s="129">
        <v>242</v>
      </c>
      <c r="AJ86" s="129">
        <v>1</v>
      </c>
      <c r="AK86" s="129">
        <v>0</v>
      </c>
      <c r="AL86" s="129">
        <v>0</v>
      </c>
      <c r="AO86" s="129">
        <v>0</v>
      </c>
      <c r="AP86" s="129">
        <v>0</v>
      </c>
      <c r="AQ86" s="129">
        <v>0</v>
      </c>
      <c r="AR86" s="129">
        <v>0</v>
      </c>
      <c r="AS86" s="129">
        <v>0</v>
      </c>
      <c r="AT86" s="129">
        <v>0</v>
      </c>
      <c r="AU86" s="129">
        <v>0</v>
      </c>
      <c r="AV86" s="129">
        <v>0</v>
      </c>
      <c r="AW86" s="129">
        <v>358599</v>
      </c>
      <c r="AX86" s="167">
        <v>45365</v>
      </c>
      <c r="AY86" s="162">
        <f t="shared" si="123"/>
        <v>8</v>
      </c>
      <c r="AZ86" s="163" t="s">
        <v>882</v>
      </c>
      <c r="BA86" s="162" t="b">
        <f t="shared" si="122"/>
        <v>0</v>
      </c>
      <c r="BF86" s="164">
        <f t="shared" si="124"/>
        <v>242.5</v>
      </c>
      <c r="BG86" s="164">
        <f t="shared" si="125"/>
        <v>13.5</v>
      </c>
      <c r="BH86" s="164"/>
      <c r="BI86" s="164">
        <f t="shared" si="126"/>
        <v>69.2</v>
      </c>
      <c r="BJ86" s="164">
        <f t="shared" si="127"/>
        <v>3</v>
      </c>
      <c r="BK86" s="164">
        <f t="shared" si="128"/>
        <v>5.0999999999999996</v>
      </c>
      <c r="BL86" s="164">
        <f t="shared" si="129"/>
        <v>272</v>
      </c>
      <c r="BM86" s="164">
        <f t="shared" si="130"/>
        <v>123</v>
      </c>
      <c r="BN86" s="164">
        <f t="shared" si="131"/>
        <v>242</v>
      </c>
      <c r="BO86" s="164">
        <f t="shared" si="132"/>
        <v>1</v>
      </c>
      <c r="BP86" s="164">
        <f t="shared" si="133"/>
        <v>0</v>
      </c>
      <c r="BQ86" s="164">
        <f t="shared" si="134"/>
        <v>0</v>
      </c>
      <c r="BR86" s="164">
        <f t="shared" si="135"/>
        <v>0</v>
      </c>
      <c r="BS86" s="129">
        <f>SUMIF('Audit HD AR - School Level'!$A$6:A3580, "=" &amp; A86,'Audit HD AR - School Level'!$Q$6:Q3580)</f>
        <v>8.8000000000000007</v>
      </c>
      <c r="BT86" s="168">
        <f t="shared" si="136"/>
        <v>0</v>
      </c>
      <c r="BU86" s="168">
        <f t="shared" si="137"/>
        <v>0</v>
      </c>
      <c r="BV86" s="168"/>
      <c r="BW86" s="168">
        <f t="shared" si="138"/>
        <v>0</v>
      </c>
      <c r="BX86" s="164">
        <f t="shared" si="121"/>
        <v>242.5</v>
      </c>
      <c r="BY86" s="164">
        <f t="shared" si="120"/>
        <v>13.5</v>
      </c>
    </row>
    <row r="87" spans="1:78">
      <c r="A87" s="129" t="s">
        <v>301</v>
      </c>
      <c r="U87" s="129">
        <v>101.9</v>
      </c>
      <c r="V87" s="129">
        <v>1</v>
      </c>
      <c r="X87" s="129">
        <v>115.6</v>
      </c>
      <c r="AC87" s="129">
        <v>0</v>
      </c>
      <c r="AD87" s="129">
        <v>0</v>
      </c>
      <c r="AE87" s="129">
        <v>0</v>
      </c>
      <c r="AF87" s="129">
        <v>100</v>
      </c>
      <c r="AG87" s="129">
        <v>32</v>
      </c>
      <c r="AI87" s="129">
        <v>34</v>
      </c>
      <c r="AJ87" s="129">
        <v>2.5</v>
      </c>
      <c r="AK87" s="129">
        <v>21</v>
      </c>
      <c r="AL87" s="129">
        <v>0</v>
      </c>
      <c r="AO87" s="129">
        <v>5</v>
      </c>
      <c r="AP87" s="129">
        <v>0</v>
      </c>
      <c r="AQ87" s="129">
        <v>0</v>
      </c>
      <c r="AR87" s="129">
        <v>0</v>
      </c>
      <c r="AS87" s="129">
        <v>0</v>
      </c>
      <c r="AT87" s="129">
        <v>0</v>
      </c>
      <c r="AU87" s="129">
        <v>0</v>
      </c>
      <c r="AV87" s="129">
        <v>0</v>
      </c>
      <c r="AW87" s="129">
        <v>82138</v>
      </c>
      <c r="AX87" s="167">
        <v>45365</v>
      </c>
      <c r="AY87" s="162">
        <f t="shared" si="123"/>
        <v>8</v>
      </c>
      <c r="AZ87" s="163" t="s">
        <v>882</v>
      </c>
      <c r="BA87" s="162" t="b">
        <f t="shared" si="122"/>
        <v>0</v>
      </c>
      <c r="BF87" s="164">
        <f t="shared" si="124"/>
        <v>96.9</v>
      </c>
      <c r="BG87" s="164">
        <f t="shared" si="125"/>
        <v>1</v>
      </c>
      <c r="BH87" s="164"/>
      <c r="BI87" s="164">
        <f t="shared" si="126"/>
        <v>0</v>
      </c>
      <c r="BJ87" s="164">
        <f t="shared" si="127"/>
        <v>0</v>
      </c>
      <c r="BK87" s="164">
        <f t="shared" si="128"/>
        <v>0</v>
      </c>
      <c r="BL87" s="164">
        <f t="shared" si="129"/>
        <v>100</v>
      </c>
      <c r="BM87" s="164">
        <f t="shared" si="130"/>
        <v>32</v>
      </c>
      <c r="BN87" s="164">
        <f t="shared" si="131"/>
        <v>34</v>
      </c>
      <c r="BO87" s="164">
        <f t="shared" si="132"/>
        <v>2.5</v>
      </c>
      <c r="BP87" s="164">
        <f t="shared" si="133"/>
        <v>21</v>
      </c>
      <c r="BQ87" s="164">
        <f t="shared" si="134"/>
        <v>21</v>
      </c>
      <c r="BR87" s="164">
        <f t="shared" si="135"/>
        <v>0</v>
      </c>
      <c r="BS87" s="129">
        <f>SUMIF('Audit HD AR - School Level'!$A$6:A3581, "=" &amp; A87,'Audit HD AR - School Level'!$Q$6:Q3581)</f>
        <v>0</v>
      </c>
      <c r="BT87" s="168">
        <f t="shared" si="136"/>
        <v>0</v>
      </c>
      <c r="BU87" s="168">
        <f t="shared" si="137"/>
        <v>0</v>
      </c>
      <c r="BV87" s="168"/>
      <c r="BW87" s="168">
        <f t="shared" si="138"/>
        <v>0</v>
      </c>
      <c r="BX87" s="164">
        <f t="shared" si="121"/>
        <v>96.9</v>
      </c>
      <c r="BY87" s="164">
        <f t="shared" si="120"/>
        <v>1</v>
      </c>
    </row>
    <row r="88" spans="1:78">
      <c r="A88" s="129" t="s">
        <v>304</v>
      </c>
      <c r="U88" s="129">
        <v>1611.5</v>
      </c>
      <c r="V88" s="129">
        <v>0</v>
      </c>
      <c r="X88" s="129">
        <v>1609.3</v>
      </c>
      <c r="AC88" s="129">
        <v>315.2</v>
      </c>
      <c r="AD88" s="129">
        <v>7</v>
      </c>
      <c r="AE88" s="129">
        <v>9.4</v>
      </c>
      <c r="AF88" s="129">
        <v>1614</v>
      </c>
      <c r="AG88" s="129">
        <v>402</v>
      </c>
      <c r="AI88" s="129">
        <v>471</v>
      </c>
      <c r="AJ88" s="129">
        <v>218</v>
      </c>
      <c r="AK88" s="129">
        <v>54</v>
      </c>
      <c r="AL88" s="129">
        <v>34</v>
      </c>
      <c r="AO88" s="129">
        <v>17</v>
      </c>
      <c r="AP88" s="129">
        <v>3</v>
      </c>
      <c r="AQ88" s="129">
        <v>10.5</v>
      </c>
      <c r="AR88" s="129">
        <v>13.5</v>
      </c>
      <c r="AS88" s="129">
        <v>6</v>
      </c>
      <c r="AT88" s="129">
        <v>2</v>
      </c>
      <c r="AU88" s="129">
        <v>0</v>
      </c>
      <c r="AV88" s="129">
        <v>0</v>
      </c>
      <c r="AW88" s="129">
        <v>506763</v>
      </c>
      <c r="AX88" s="167">
        <v>45365</v>
      </c>
      <c r="AY88" s="162">
        <f t="shared" si="123"/>
        <v>8</v>
      </c>
      <c r="AZ88" s="163" t="s">
        <v>882</v>
      </c>
      <c r="BA88" s="162" t="b">
        <f t="shared" si="122"/>
        <v>0</v>
      </c>
      <c r="BF88" s="164">
        <f t="shared" si="124"/>
        <v>1578</v>
      </c>
      <c r="BG88" s="164">
        <f t="shared" si="125"/>
        <v>0</v>
      </c>
      <c r="BH88" s="164"/>
      <c r="BI88" s="164">
        <f t="shared" si="126"/>
        <v>315.2</v>
      </c>
      <c r="BJ88" s="164">
        <f t="shared" si="127"/>
        <v>7</v>
      </c>
      <c r="BK88" s="164">
        <f t="shared" si="128"/>
        <v>9.4</v>
      </c>
      <c r="BL88" s="164">
        <f t="shared" si="129"/>
        <v>1614</v>
      </c>
      <c r="BM88" s="164">
        <f t="shared" si="130"/>
        <v>402</v>
      </c>
      <c r="BN88" s="164">
        <f t="shared" si="131"/>
        <v>471</v>
      </c>
      <c r="BO88" s="164">
        <f t="shared" si="132"/>
        <v>218</v>
      </c>
      <c r="BP88" s="164">
        <f t="shared" si="133"/>
        <v>54</v>
      </c>
      <c r="BQ88" s="164">
        <f t="shared" si="134"/>
        <v>54</v>
      </c>
      <c r="BR88" s="164">
        <f t="shared" si="135"/>
        <v>34</v>
      </c>
      <c r="BS88" s="129">
        <f>SUMIF('Audit HD AR - School Level'!$A$6:A3582, "=" &amp; A88,'Audit HD AR - School Level'!$Q$6:Q3582)</f>
        <v>0</v>
      </c>
      <c r="BT88" s="168">
        <f t="shared" si="136"/>
        <v>-3191</v>
      </c>
      <c r="BU88" s="168">
        <f t="shared" si="137"/>
        <v>-9572</v>
      </c>
      <c r="BV88" s="168"/>
      <c r="BW88" s="168">
        <f t="shared" si="138"/>
        <v>-12763</v>
      </c>
      <c r="BX88" s="164">
        <f t="shared" si="121"/>
        <v>1589.5</v>
      </c>
      <c r="BY88" s="164">
        <f t="shared" si="120"/>
        <v>0</v>
      </c>
    </row>
    <row r="89" spans="1:78">
      <c r="A89" s="129" t="s">
        <v>313</v>
      </c>
      <c r="U89" s="129">
        <v>867.3</v>
      </c>
      <c r="V89" s="129">
        <v>13.5</v>
      </c>
      <c r="X89" s="129">
        <v>852.6</v>
      </c>
      <c r="AC89" s="129">
        <v>331.5</v>
      </c>
      <c r="AD89" s="129">
        <v>11</v>
      </c>
      <c r="AE89" s="129">
        <v>9.9</v>
      </c>
      <c r="AF89" s="129">
        <v>858</v>
      </c>
      <c r="AG89" s="129">
        <v>375</v>
      </c>
      <c r="AI89" s="129">
        <v>232.2</v>
      </c>
      <c r="AJ89" s="129">
        <v>4</v>
      </c>
      <c r="AK89" s="129">
        <v>16.5</v>
      </c>
      <c r="AL89" s="129">
        <v>0</v>
      </c>
      <c r="AO89" s="129">
        <v>15</v>
      </c>
      <c r="AP89" s="129">
        <v>2.6</v>
      </c>
      <c r="AQ89" s="129">
        <v>15</v>
      </c>
      <c r="AR89" s="129">
        <v>0</v>
      </c>
      <c r="AS89" s="129">
        <v>14.5</v>
      </c>
      <c r="AT89" s="129">
        <v>41</v>
      </c>
      <c r="AU89" s="129">
        <v>0</v>
      </c>
      <c r="AV89" s="129">
        <v>0</v>
      </c>
      <c r="AW89" s="129">
        <v>448029</v>
      </c>
      <c r="AX89" s="167">
        <v>45365</v>
      </c>
      <c r="AY89" s="162">
        <f t="shared" si="123"/>
        <v>8</v>
      </c>
      <c r="AZ89" s="163" t="s">
        <v>882</v>
      </c>
      <c r="BA89" s="162" t="b">
        <f t="shared" si="122"/>
        <v>0</v>
      </c>
      <c r="BF89" s="164">
        <f t="shared" si="124"/>
        <v>849.7</v>
      </c>
      <c r="BG89" s="164">
        <f t="shared" si="125"/>
        <v>13.5</v>
      </c>
      <c r="BH89" s="164"/>
      <c r="BI89" s="164">
        <f t="shared" si="126"/>
        <v>331.5</v>
      </c>
      <c r="BJ89" s="164">
        <f t="shared" si="127"/>
        <v>11</v>
      </c>
      <c r="BK89" s="164">
        <f t="shared" si="128"/>
        <v>9.9</v>
      </c>
      <c r="BL89" s="164">
        <f t="shared" si="129"/>
        <v>858</v>
      </c>
      <c r="BM89" s="164">
        <f t="shared" si="130"/>
        <v>375</v>
      </c>
      <c r="BN89" s="164">
        <f t="shared" si="131"/>
        <v>232.2</v>
      </c>
      <c r="BO89" s="164">
        <f t="shared" si="132"/>
        <v>4</v>
      </c>
      <c r="BP89" s="164">
        <f t="shared" si="133"/>
        <v>16.5</v>
      </c>
      <c r="BQ89" s="164">
        <f t="shared" si="134"/>
        <v>16.5</v>
      </c>
      <c r="BR89" s="164">
        <f t="shared" si="135"/>
        <v>0</v>
      </c>
      <c r="BS89" s="129">
        <f>SUMIF('Audit HD AR - School Level'!$A$6:A3583, "=" &amp; A89,'Audit HD AR - School Level'!$Q$6:Q3583)</f>
        <v>25.2</v>
      </c>
      <c r="BT89" s="168">
        <f t="shared" si="136"/>
        <v>-355</v>
      </c>
      <c r="BU89" s="168">
        <f t="shared" si="137"/>
        <v>0</v>
      </c>
      <c r="BV89" s="168"/>
      <c r="BW89" s="168">
        <f t="shared" si="138"/>
        <v>-355</v>
      </c>
      <c r="BX89" s="164">
        <f t="shared" si="121"/>
        <v>808.7</v>
      </c>
      <c r="BY89" s="164">
        <f t="shared" si="120"/>
        <v>13.5</v>
      </c>
    </row>
    <row r="90" spans="1:78">
      <c r="A90" s="129" t="s">
        <v>318</v>
      </c>
      <c r="U90" s="129">
        <v>1068.0999999999999</v>
      </c>
      <c r="V90" s="129">
        <v>14</v>
      </c>
      <c r="X90" s="129">
        <v>1018.6</v>
      </c>
      <c r="AC90" s="129">
        <v>242.5</v>
      </c>
      <c r="AD90" s="129">
        <v>62</v>
      </c>
      <c r="AE90" s="129">
        <v>172.9</v>
      </c>
      <c r="AF90" s="129">
        <v>1045</v>
      </c>
      <c r="AG90" s="129">
        <v>429</v>
      </c>
      <c r="AI90" s="129">
        <v>352</v>
      </c>
      <c r="AJ90" s="129">
        <v>0</v>
      </c>
      <c r="AK90" s="129">
        <v>1</v>
      </c>
      <c r="AL90" s="129">
        <v>15</v>
      </c>
      <c r="AO90" s="129">
        <v>6</v>
      </c>
      <c r="AP90" s="129">
        <v>3.5</v>
      </c>
      <c r="AQ90" s="129">
        <v>17.5</v>
      </c>
      <c r="AR90" s="129">
        <v>14</v>
      </c>
      <c r="AS90" s="129">
        <v>17.5</v>
      </c>
      <c r="AT90" s="129">
        <v>51</v>
      </c>
      <c r="AU90" s="129">
        <v>14</v>
      </c>
      <c r="AV90" s="129">
        <v>1</v>
      </c>
      <c r="AW90" s="129">
        <v>430229</v>
      </c>
      <c r="AX90" s="167">
        <v>45365</v>
      </c>
      <c r="AY90" s="162">
        <f t="shared" si="123"/>
        <v>8</v>
      </c>
      <c r="AZ90" s="163" t="s">
        <v>882</v>
      </c>
      <c r="BA90" s="162" t="b">
        <f t="shared" si="122"/>
        <v>0</v>
      </c>
      <c r="BF90" s="164">
        <f t="shared" si="124"/>
        <v>1044.5999999999999</v>
      </c>
      <c r="BG90" s="164">
        <f t="shared" si="125"/>
        <v>14</v>
      </c>
      <c r="BH90" s="164"/>
      <c r="BI90" s="164">
        <f t="shared" si="126"/>
        <v>242.5</v>
      </c>
      <c r="BJ90" s="164">
        <f t="shared" si="127"/>
        <v>62</v>
      </c>
      <c r="BK90" s="164">
        <f t="shared" si="128"/>
        <v>172.9</v>
      </c>
      <c r="BL90" s="164">
        <f t="shared" si="129"/>
        <v>1045</v>
      </c>
      <c r="BM90" s="164">
        <f t="shared" si="130"/>
        <v>429</v>
      </c>
      <c r="BN90" s="164">
        <f t="shared" si="131"/>
        <v>352</v>
      </c>
      <c r="BO90" s="164">
        <f t="shared" si="132"/>
        <v>0</v>
      </c>
      <c r="BP90" s="164">
        <f t="shared" si="133"/>
        <v>1</v>
      </c>
      <c r="BQ90" s="164">
        <f t="shared" si="134"/>
        <v>1</v>
      </c>
      <c r="BR90" s="164">
        <f t="shared" si="135"/>
        <v>15</v>
      </c>
      <c r="BS90" s="129">
        <f>SUMIF('Audit HD AR - School Level'!$A$6:A3584, "=" &amp; A90,'Audit HD AR - School Level'!$Q$6:Q3584)</f>
        <v>26.3</v>
      </c>
      <c r="BT90" s="168">
        <f t="shared" si="136"/>
        <v>0</v>
      </c>
      <c r="BU90" s="168">
        <f t="shared" si="137"/>
        <v>0</v>
      </c>
      <c r="BV90" s="168"/>
      <c r="BW90" s="168">
        <f t="shared" si="138"/>
        <v>0</v>
      </c>
      <c r="BX90" s="164">
        <f t="shared" si="121"/>
        <v>1007.6</v>
      </c>
      <c r="BY90" s="164">
        <f t="shared" si="120"/>
        <v>14</v>
      </c>
      <c r="BZ90" s="129">
        <v>1</v>
      </c>
    </row>
    <row r="91" spans="1:78">
      <c r="A91" s="129" t="s">
        <v>329</v>
      </c>
      <c r="U91" s="129">
        <v>273</v>
      </c>
      <c r="V91" s="129">
        <v>5</v>
      </c>
      <c r="X91" s="129">
        <v>288.5</v>
      </c>
      <c r="AC91" s="129">
        <v>81.099999999999994</v>
      </c>
      <c r="AD91" s="129">
        <v>21</v>
      </c>
      <c r="AE91" s="129">
        <v>66</v>
      </c>
      <c r="AF91" s="129">
        <v>286</v>
      </c>
      <c r="AG91" s="129">
        <v>129</v>
      </c>
      <c r="AI91" s="129">
        <v>115</v>
      </c>
      <c r="AJ91" s="129">
        <v>135.19999999999999</v>
      </c>
      <c r="AK91" s="129">
        <v>19.5</v>
      </c>
      <c r="AL91" s="129">
        <v>0</v>
      </c>
      <c r="AO91" s="129">
        <v>0</v>
      </c>
      <c r="AP91" s="129">
        <v>0</v>
      </c>
      <c r="AQ91" s="129">
        <v>0</v>
      </c>
      <c r="AR91" s="129">
        <v>0</v>
      </c>
      <c r="AS91" s="129">
        <v>0</v>
      </c>
      <c r="AT91" s="129">
        <v>0</v>
      </c>
      <c r="AU91" s="129">
        <v>0</v>
      </c>
      <c r="AV91" s="129">
        <v>0</v>
      </c>
      <c r="AW91" s="129">
        <v>218386</v>
      </c>
      <c r="AX91" s="167">
        <v>45365</v>
      </c>
      <c r="AY91" s="162">
        <f t="shared" si="123"/>
        <v>8</v>
      </c>
      <c r="AZ91" s="163" t="s">
        <v>882</v>
      </c>
      <c r="BA91" s="162" t="b">
        <f t="shared" si="122"/>
        <v>0</v>
      </c>
      <c r="BF91" s="164">
        <f t="shared" si="124"/>
        <v>273</v>
      </c>
      <c r="BG91" s="164">
        <f t="shared" si="125"/>
        <v>5</v>
      </c>
      <c r="BH91" s="164"/>
      <c r="BI91" s="164">
        <f t="shared" si="126"/>
        <v>81.099999999999994</v>
      </c>
      <c r="BJ91" s="164">
        <f t="shared" si="127"/>
        <v>21</v>
      </c>
      <c r="BK91" s="164">
        <f t="shared" si="128"/>
        <v>66</v>
      </c>
      <c r="BL91" s="164">
        <f t="shared" si="129"/>
        <v>286</v>
      </c>
      <c r="BM91" s="164">
        <f t="shared" si="130"/>
        <v>129</v>
      </c>
      <c r="BN91" s="164">
        <f t="shared" si="131"/>
        <v>115</v>
      </c>
      <c r="BO91" s="164">
        <f t="shared" si="132"/>
        <v>135.19999999999999</v>
      </c>
      <c r="BP91" s="164">
        <f t="shared" si="133"/>
        <v>19.5</v>
      </c>
      <c r="BQ91" s="164">
        <f t="shared" si="134"/>
        <v>19.5</v>
      </c>
      <c r="BR91" s="164">
        <f t="shared" si="135"/>
        <v>0</v>
      </c>
      <c r="BS91" s="129">
        <f>SUMIF('Audit HD AR - School Level'!$A$6:A3585, "=" &amp; A91,'Audit HD AR - School Level'!$Q$6:Q3585)</f>
        <v>8.9</v>
      </c>
      <c r="BT91" s="168">
        <f t="shared" si="136"/>
        <v>0</v>
      </c>
      <c r="BU91" s="168">
        <f t="shared" si="137"/>
        <v>0</v>
      </c>
      <c r="BV91" s="168"/>
      <c r="BW91" s="168">
        <f t="shared" si="138"/>
        <v>0</v>
      </c>
      <c r="BX91" s="164">
        <f t="shared" si="121"/>
        <v>273</v>
      </c>
      <c r="BY91" s="164">
        <f t="shared" si="120"/>
        <v>5</v>
      </c>
      <c r="BZ91" s="129">
        <v>1</v>
      </c>
    </row>
    <row r="92" spans="1:78">
      <c r="A92" s="129" t="s">
        <v>330</v>
      </c>
      <c r="U92" s="129">
        <v>1334.7</v>
      </c>
      <c r="V92" s="129">
        <v>26.5</v>
      </c>
      <c r="X92" s="129">
        <v>1288.2</v>
      </c>
      <c r="AC92" s="129">
        <v>348</v>
      </c>
      <c r="AD92" s="129">
        <v>6</v>
      </c>
      <c r="AE92" s="129">
        <v>0</v>
      </c>
      <c r="AF92" s="129">
        <v>1387</v>
      </c>
      <c r="AG92" s="129">
        <v>327</v>
      </c>
      <c r="AI92" s="129">
        <v>555</v>
      </c>
      <c r="AJ92" s="129">
        <v>62</v>
      </c>
      <c r="AK92" s="129">
        <v>3</v>
      </c>
      <c r="AL92" s="129">
        <v>0</v>
      </c>
      <c r="AO92" s="129">
        <v>18</v>
      </c>
      <c r="AP92" s="129">
        <v>10.4</v>
      </c>
      <c r="AQ92" s="129">
        <v>0</v>
      </c>
      <c r="AR92" s="129">
        <v>5</v>
      </c>
      <c r="AS92" s="129">
        <v>0</v>
      </c>
      <c r="AT92" s="129">
        <v>0</v>
      </c>
      <c r="AU92" s="129">
        <v>5</v>
      </c>
      <c r="AV92" s="129">
        <v>0</v>
      </c>
      <c r="AW92" s="129">
        <v>1054534</v>
      </c>
      <c r="AX92" s="167">
        <v>45365</v>
      </c>
      <c r="AY92" s="162">
        <f t="shared" si="123"/>
        <v>8</v>
      </c>
      <c r="AZ92" s="163" t="s">
        <v>882</v>
      </c>
      <c r="BA92" s="162" t="b">
        <f t="shared" si="122"/>
        <v>0</v>
      </c>
      <c r="BF92" s="164">
        <f t="shared" si="124"/>
        <v>1301.3</v>
      </c>
      <c r="BG92" s="164">
        <f t="shared" si="125"/>
        <v>26.5</v>
      </c>
      <c r="BH92" s="164"/>
      <c r="BI92" s="164">
        <f t="shared" si="126"/>
        <v>348</v>
      </c>
      <c r="BJ92" s="164">
        <f t="shared" si="127"/>
        <v>6</v>
      </c>
      <c r="BK92" s="164">
        <f t="shared" si="128"/>
        <v>0</v>
      </c>
      <c r="BL92" s="164">
        <f t="shared" si="129"/>
        <v>1387</v>
      </c>
      <c r="BM92" s="164">
        <f t="shared" si="130"/>
        <v>327</v>
      </c>
      <c r="BN92" s="164">
        <f t="shared" si="131"/>
        <v>555</v>
      </c>
      <c r="BO92" s="164">
        <f t="shared" si="132"/>
        <v>62</v>
      </c>
      <c r="BP92" s="164">
        <f t="shared" si="133"/>
        <v>3</v>
      </c>
      <c r="BQ92" s="164">
        <f t="shared" si="134"/>
        <v>3</v>
      </c>
      <c r="BR92" s="164">
        <f t="shared" si="135"/>
        <v>0</v>
      </c>
      <c r="BS92" s="129">
        <f>SUMIF('Audit HD AR - School Level'!$A$6:A3586, "=" &amp; A92,'Audit HD AR - School Level'!$Q$6:Q3586)</f>
        <v>0</v>
      </c>
      <c r="BT92" s="168">
        <f t="shared" si="136"/>
        <v>0</v>
      </c>
      <c r="BU92" s="168">
        <f t="shared" si="137"/>
        <v>0</v>
      </c>
      <c r="BV92" s="168">
        <v>-5600</v>
      </c>
      <c r="BW92" s="168">
        <f t="shared" si="138"/>
        <v>-5600</v>
      </c>
      <c r="BX92" s="164">
        <f t="shared" si="121"/>
        <v>1306.3</v>
      </c>
      <c r="BY92" s="164">
        <f t="shared" si="120"/>
        <v>26.5</v>
      </c>
      <c r="BZ92" s="129">
        <v>1</v>
      </c>
    </row>
    <row r="93" spans="1:78">
      <c r="A93" s="129" t="s">
        <v>342</v>
      </c>
      <c r="U93" s="129">
        <v>792.1</v>
      </c>
      <c r="V93" s="129">
        <v>13</v>
      </c>
      <c r="X93" s="129">
        <v>781.1</v>
      </c>
      <c r="AC93" s="129">
        <v>135.69999999999999</v>
      </c>
      <c r="AD93" s="129">
        <v>69</v>
      </c>
      <c r="AE93" s="129">
        <v>153.4</v>
      </c>
      <c r="AF93" s="129">
        <v>819</v>
      </c>
      <c r="AG93" s="129">
        <v>440</v>
      </c>
      <c r="AI93" s="129">
        <v>417.5</v>
      </c>
      <c r="AJ93" s="129">
        <v>38</v>
      </c>
      <c r="AK93" s="129">
        <v>6</v>
      </c>
      <c r="AL93" s="129">
        <v>0</v>
      </c>
      <c r="AO93" s="129">
        <v>3</v>
      </c>
      <c r="AP93" s="129">
        <v>2.2000000000000002</v>
      </c>
      <c r="AQ93" s="129">
        <v>1</v>
      </c>
      <c r="AR93" s="129">
        <v>5</v>
      </c>
      <c r="AS93" s="129">
        <v>1</v>
      </c>
      <c r="AT93" s="129">
        <v>5</v>
      </c>
      <c r="AU93" s="129">
        <v>0</v>
      </c>
      <c r="AV93" s="129">
        <v>0</v>
      </c>
      <c r="AW93" s="129">
        <v>563140</v>
      </c>
      <c r="AX93" s="167">
        <v>45365</v>
      </c>
      <c r="AY93" s="162">
        <f t="shared" si="123"/>
        <v>8</v>
      </c>
      <c r="AZ93" s="163" t="s">
        <v>882</v>
      </c>
      <c r="BA93" s="162" t="b">
        <f t="shared" si="122"/>
        <v>0</v>
      </c>
      <c r="BF93" s="164">
        <f t="shared" si="124"/>
        <v>781.9</v>
      </c>
      <c r="BG93" s="164">
        <f t="shared" si="125"/>
        <v>13</v>
      </c>
      <c r="BH93" s="164"/>
      <c r="BI93" s="164">
        <f t="shared" si="126"/>
        <v>135.69999999999999</v>
      </c>
      <c r="BJ93" s="164">
        <f t="shared" si="127"/>
        <v>69</v>
      </c>
      <c r="BK93" s="164">
        <f t="shared" si="128"/>
        <v>153.4</v>
      </c>
      <c r="BL93" s="164">
        <f t="shared" si="129"/>
        <v>819</v>
      </c>
      <c r="BM93" s="164">
        <f t="shared" si="130"/>
        <v>440</v>
      </c>
      <c r="BN93" s="164">
        <f t="shared" si="131"/>
        <v>417.5</v>
      </c>
      <c r="BO93" s="164">
        <f t="shared" si="132"/>
        <v>38</v>
      </c>
      <c r="BP93" s="164">
        <f t="shared" si="133"/>
        <v>6</v>
      </c>
      <c r="BQ93" s="164">
        <f t="shared" si="134"/>
        <v>6</v>
      </c>
      <c r="BR93" s="164">
        <f t="shared" si="135"/>
        <v>0</v>
      </c>
      <c r="BS93" s="129">
        <f>SUMIF('Audit HD AR - School Level'!$A$6:A3587, "=" &amp; A93,'Audit HD AR - School Level'!$Q$6:Q3587)</f>
        <v>46.2</v>
      </c>
      <c r="BT93" s="168">
        <f t="shared" si="136"/>
        <v>0</v>
      </c>
      <c r="BU93" s="168">
        <f t="shared" si="137"/>
        <v>-3545</v>
      </c>
      <c r="BV93" s="168"/>
      <c r="BW93" s="168">
        <f t="shared" si="138"/>
        <v>-3545</v>
      </c>
      <c r="BX93" s="164">
        <f t="shared" si="121"/>
        <v>781.9</v>
      </c>
      <c r="BY93" s="164">
        <f t="shared" si="120"/>
        <v>13</v>
      </c>
    </row>
    <row r="94" spans="1:78">
      <c r="A94" s="129" t="s">
        <v>383</v>
      </c>
      <c r="U94" s="129">
        <v>663</v>
      </c>
      <c r="V94" s="129">
        <v>8.5</v>
      </c>
      <c r="X94" s="129">
        <v>680</v>
      </c>
      <c r="AC94" s="129">
        <v>244</v>
      </c>
      <c r="AD94" s="129">
        <v>2</v>
      </c>
      <c r="AE94" s="129">
        <v>0</v>
      </c>
      <c r="AF94" s="129">
        <v>688</v>
      </c>
      <c r="AG94" s="129">
        <v>325</v>
      </c>
      <c r="AI94" s="129">
        <v>211</v>
      </c>
      <c r="AJ94" s="129">
        <v>202</v>
      </c>
      <c r="AK94" s="129">
        <v>0</v>
      </c>
      <c r="AL94" s="129">
        <v>0</v>
      </c>
      <c r="AO94" s="129">
        <v>4</v>
      </c>
      <c r="AP94" s="129">
        <v>1.5</v>
      </c>
      <c r="AQ94" s="129">
        <v>0</v>
      </c>
      <c r="AR94" s="129">
        <v>5</v>
      </c>
      <c r="AS94" s="129">
        <v>0</v>
      </c>
      <c r="AT94" s="129">
        <v>0</v>
      </c>
      <c r="AU94" s="129">
        <v>0</v>
      </c>
      <c r="AV94" s="129">
        <v>0</v>
      </c>
      <c r="AW94" s="129">
        <v>210736</v>
      </c>
      <c r="AX94" s="167">
        <v>45365</v>
      </c>
      <c r="AY94" s="162">
        <f t="shared" si="123"/>
        <v>8</v>
      </c>
      <c r="AZ94" s="163" t="s">
        <v>882</v>
      </c>
      <c r="BA94" s="162" t="b">
        <f t="shared" si="122"/>
        <v>0</v>
      </c>
      <c r="BF94" s="164">
        <f t="shared" si="124"/>
        <v>652.5</v>
      </c>
      <c r="BG94" s="164">
        <f t="shared" si="125"/>
        <v>8.5</v>
      </c>
      <c r="BH94" s="164"/>
      <c r="BI94" s="164">
        <f t="shared" si="126"/>
        <v>244</v>
      </c>
      <c r="BJ94" s="164">
        <f t="shared" si="127"/>
        <v>2</v>
      </c>
      <c r="BK94" s="164">
        <f t="shared" si="128"/>
        <v>0</v>
      </c>
      <c r="BL94" s="164">
        <f t="shared" si="129"/>
        <v>688</v>
      </c>
      <c r="BM94" s="164">
        <f t="shared" si="130"/>
        <v>325</v>
      </c>
      <c r="BN94" s="164">
        <f t="shared" si="131"/>
        <v>211</v>
      </c>
      <c r="BO94" s="164">
        <f t="shared" si="132"/>
        <v>202</v>
      </c>
      <c r="BP94" s="164">
        <f t="shared" si="133"/>
        <v>0</v>
      </c>
      <c r="BQ94" s="164">
        <f t="shared" si="134"/>
        <v>0</v>
      </c>
      <c r="BR94" s="164">
        <f t="shared" si="135"/>
        <v>0</v>
      </c>
      <c r="BS94" s="129">
        <f>SUMIF('Audit HD AR - School Level'!$A$6:A3588, "=" &amp; A94,'Audit HD AR - School Level'!$Q$6:Q3588)</f>
        <v>28</v>
      </c>
      <c r="BT94" s="168">
        <f t="shared" si="136"/>
        <v>0</v>
      </c>
      <c r="BU94" s="168">
        <f t="shared" si="137"/>
        <v>-3545</v>
      </c>
      <c r="BV94" s="168"/>
      <c r="BW94" s="168">
        <f t="shared" si="138"/>
        <v>-3545</v>
      </c>
      <c r="BX94" s="164">
        <f t="shared" si="121"/>
        <v>657.5</v>
      </c>
      <c r="BY94" s="164">
        <f t="shared" si="120"/>
        <v>8.5</v>
      </c>
    </row>
    <row r="95" spans="1:78">
      <c r="A95" s="129" t="s">
        <v>436</v>
      </c>
      <c r="U95" s="129">
        <v>368.4</v>
      </c>
      <c r="V95" s="129">
        <v>4</v>
      </c>
      <c r="X95" s="129">
        <v>375.1</v>
      </c>
      <c r="AC95" s="129">
        <v>71.099999999999994</v>
      </c>
      <c r="AD95" s="129">
        <v>73</v>
      </c>
      <c r="AE95" s="129">
        <v>269.10000000000002</v>
      </c>
      <c r="AF95" s="129">
        <v>382</v>
      </c>
      <c r="AG95" s="129">
        <v>139</v>
      </c>
      <c r="AI95" s="129">
        <v>71.5</v>
      </c>
      <c r="AJ95" s="129">
        <v>0</v>
      </c>
      <c r="AK95" s="129">
        <v>0</v>
      </c>
      <c r="AL95" s="129">
        <v>0</v>
      </c>
      <c r="AO95" s="129">
        <v>0</v>
      </c>
      <c r="AP95" s="129">
        <v>0</v>
      </c>
      <c r="AQ95" s="129">
        <v>0</v>
      </c>
      <c r="AR95" s="129">
        <v>0</v>
      </c>
      <c r="AS95" s="129">
        <v>0</v>
      </c>
      <c r="AT95" s="129">
        <v>0</v>
      </c>
      <c r="AU95" s="129">
        <v>0</v>
      </c>
      <c r="AV95" s="129">
        <v>0</v>
      </c>
      <c r="AW95" s="129">
        <v>206700</v>
      </c>
      <c r="AX95" s="167">
        <v>45365</v>
      </c>
      <c r="AY95" s="162">
        <f t="shared" si="123"/>
        <v>8</v>
      </c>
      <c r="AZ95" s="163" t="s">
        <v>882</v>
      </c>
      <c r="BA95" s="162" t="b">
        <f t="shared" si="122"/>
        <v>0</v>
      </c>
      <c r="BF95" s="164">
        <f t="shared" si="124"/>
        <v>368.4</v>
      </c>
      <c r="BG95" s="164">
        <f t="shared" si="125"/>
        <v>4</v>
      </c>
      <c r="BH95" s="164"/>
      <c r="BI95" s="164">
        <f t="shared" si="126"/>
        <v>71.099999999999994</v>
      </c>
      <c r="BJ95" s="164">
        <f t="shared" si="127"/>
        <v>73</v>
      </c>
      <c r="BK95" s="164">
        <f t="shared" si="128"/>
        <v>269.10000000000002</v>
      </c>
      <c r="BL95" s="164">
        <f t="shared" si="129"/>
        <v>382</v>
      </c>
      <c r="BM95" s="164">
        <f t="shared" si="130"/>
        <v>139</v>
      </c>
      <c r="BN95" s="164">
        <f t="shared" si="131"/>
        <v>71.5</v>
      </c>
      <c r="BO95" s="164">
        <f t="shared" si="132"/>
        <v>0</v>
      </c>
      <c r="BP95" s="164">
        <f t="shared" si="133"/>
        <v>0</v>
      </c>
      <c r="BQ95" s="164">
        <f t="shared" si="134"/>
        <v>0</v>
      </c>
      <c r="BR95" s="164">
        <f t="shared" si="135"/>
        <v>0</v>
      </c>
      <c r="BS95" s="129">
        <f>SUMIF('Audit HD AR - School Level'!$A$6:A3589, "=" &amp; A95,'Audit HD AR - School Level'!$Q$6:Q3589)</f>
        <v>3.3</v>
      </c>
      <c r="BT95" s="168">
        <f t="shared" si="136"/>
        <v>0</v>
      </c>
      <c r="BU95" s="168">
        <f t="shared" si="137"/>
        <v>0</v>
      </c>
      <c r="BV95" s="168"/>
      <c r="BW95" s="168">
        <f t="shared" si="138"/>
        <v>0</v>
      </c>
      <c r="BX95" s="164">
        <f t="shared" si="121"/>
        <v>368.4</v>
      </c>
      <c r="BY95" s="164">
        <f t="shared" si="120"/>
        <v>4</v>
      </c>
    </row>
    <row r="96" spans="1:78">
      <c r="A96" s="129" t="s">
        <v>457</v>
      </c>
      <c r="U96" s="129">
        <v>942</v>
      </c>
      <c r="V96" s="129">
        <v>15</v>
      </c>
      <c r="X96" s="129">
        <v>901</v>
      </c>
      <c r="AC96" s="129">
        <v>475.7</v>
      </c>
      <c r="AD96" s="129">
        <v>0</v>
      </c>
      <c r="AE96" s="129">
        <v>0</v>
      </c>
      <c r="AF96" s="129">
        <v>977</v>
      </c>
      <c r="AG96" s="129">
        <v>492</v>
      </c>
      <c r="AI96" s="129">
        <v>287.5</v>
      </c>
      <c r="AJ96" s="129">
        <v>598.5</v>
      </c>
      <c r="AK96" s="129">
        <v>54</v>
      </c>
      <c r="AL96" s="129">
        <v>0</v>
      </c>
      <c r="AO96" s="129">
        <v>1</v>
      </c>
      <c r="AP96" s="129">
        <v>0</v>
      </c>
      <c r="AQ96" s="129">
        <v>0</v>
      </c>
      <c r="AR96" s="129">
        <v>5</v>
      </c>
      <c r="AS96" s="129">
        <v>0</v>
      </c>
      <c r="AT96" s="129">
        <v>0</v>
      </c>
      <c r="AU96" s="129">
        <v>0</v>
      </c>
      <c r="AV96" s="129">
        <v>0</v>
      </c>
      <c r="AW96" s="129">
        <v>527374</v>
      </c>
      <c r="AX96" s="167">
        <v>45365</v>
      </c>
      <c r="AY96" s="162">
        <f t="shared" si="123"/>
        <v>8</v>
      </c>
      <c r="AZ96" s="163" t="s">
        <v>882</v>
      </c>
      <c r="BA96" s="162" t="b">
        <f t="shared" si="122"/>
        <v>0</v>
      </c>
      <c r="BF96" s="164">
        <f t="shared" si="124"/>
        <v>936</v>
      </c>
      <c r="BG96" s="164">
        <f t="shared" si="125"/>
        <v>15</v>
      </c>
      <c r="BH96" s="164"/>
      <c r="BI96" s="164">
        <f t="shared" si="126"/>
        <v>475.7</v>
      </c>
      <c r="BJ96" s="164">
        <f t="shared" si="127"/>
        <v>0</v>
      </c>
      <c r="BK96" s="164">
        <f t="shared" si="128"/>
        <v>0</v>
      </c>
      <c r="BL96" s="164">
        <f t="shared" si="129"/>
        <v>977</v>
      </c>
      <c r="BM96" s="164">
        <f t="shared" si="130"/>
        <v>492</v>
      </c>
      <c r="BN96" s="164">
        <f t="shared" si="131"/>
        <v>287.5</v>
      </c>
      <c r="BO96" s="164">
        <f t="shared" si="132"/>
        <v>598.5</v>
      </c>
      <c r="BP96" s="164">
        <f t="shared" si="133"/>
        <v>54</v>
      </c>
      <c r="BQ96" s="164">
        <f t="shared" si="134"/>
        <v>54</v>
      </c>
      <c r="BR96" s="164">
        <f t="shared" si="135"/>
        <v>0</v>
      </c>
      <c r="BS96" s="129">
        <f>SUMIF('Audit HD AR - School Level'!$A$6:A3590, "=" &amp; A96,'Audit HD AR - School Level'!$Q$6:Q3590)</f>
        <v>48.1</v>
      </c>
      <c r="BT96" s="168">
        <f t="shared" si="136"/>
        <v>0</v>
      </c>
      <c r="BU96" s="168">
        <f t="shared" si="137"/>
        <v>-3545</v>
      </c>
      <c r="BV96" s="168"/>
      <c r="BW96" s="168">
        <f t="shared" si="138"/>
        <v>-3545</v>
      </c>
      <c r="BX96" s="164">
        <f t="shared" si="121"/>
        <v>941</v>
      </c>
      <c r="BY96" s="164">
        <f t="shared" si="120"/>
        <v>15</v>
      </c>
    </row>
    <row r="97" spans="1:77">
      <c r="A97" s="129" t="s">
        <v>474</v>
      </c>
      <c r="U97" s="129">
        <v>147</v>
      </c>
      <c r="V97" s="129">
        <v>4</v>
      </c>
      <c r="X97" s="129">
        <v>167.1</v>
      </c>
      <c r="AC97" s="129">
        <v>24.3</v>
      </c>
      <c r="AD97" s="129">
        <v>0</v>
      </c>
      <c r="AE97" s="129">
        <v>0</v>
      </c>
      <c r="AF97" s="129">
        <v>158</v>
      </c>
      <c r="AG97" s="129">
        <v>61</v>
      </c>
      <c r="AI97" s="129">
        <v>14</v>
      </c>
      <c r="AJ97" s="129">
        <v>5</v>
      </c>
      <c r="AK97" s="129">
        <v>31</v>
      </c>
      <c r="AL97" s="129">
        <v>0</v>
      </c>
      <c r="AO97" s="129">
        <v>0</v>
      </c>
      <c r="AP97" s="129">
        <v>0</v>
      </c>
      <c r="AQ97" s="129">
        <v>0</v>
      </c>
      <c r="AR97" s="129">
        <v>0</v>
      </c>
      <c r="AS97" s="129">
        <v>0</v>
      </c>
      <c r="AT97" s="129">
        <v>0</v>
      </c>
      <c r="AU97" s="129">
        <v>0</v>
      </c>
      <c r="AV97" s="129">
        <v>0</v>
      </c>
      <c r="AW97" s="129">
        <v>83595</v>
      </c>
      <c r="AX97" s="167">
        <v>45365</v>
      </c>
      <c r="AY97" s="162">
        <f t="shared" si="123"/>
        <v>8</v>
      </c>
      <c r="AZ97" s="163" t="s">
        <v>882</v>
      </c>
      <c r="BA97" s="162" t="b">
        <f t="shared" si="122"/>
        <v>0</v>
      </c>
      <c r="BF97" s="164">
        <f t="shared" si="124"/>
        <v>147</v>
      </c>
      <c r="BG97" s="164">
        <f t="shared" si="125"/>
        <v>4</v>
      </c>
      <c r="BH97" s="164"/>
      <c r="BI97" s="164">
        <f t="shared" si="126"/>
        <v>24.3</v>
      </c>
      <c r="BJ97" s="164">
        <f t="shared" si="127"/>
        <v>0</v>
      </c>
      <c r="BK97" s="164">
        <f t="shared" si="128"/>
        <v>0</v>
      </c>
      <c r="BL97" s="164">
        <f t="shared" si="129"/>
        <v>158</v>
      </c>
      <c r="BM97" s="164">
        <f t="shared" si="130"/>
        <v>61</v>
      </c>
      <c r="BN97" s="164">
        <f t="shared" si="131"/>
        <v>14</v>
      </c>
      <c r="BO97" s="164">
        <f t="shared" si="132"/>
        <v>5</v>
      </c>
      <c r="BP97" s="164">
        <f t="shared" si="133"/>
        <v>31</v>
      </c>
      <c r="BQ97" s="164">
        <f t="shared" si="134"/>
        <v>31</v>
      </c>
      <c r="BR97" s="164">
        <f t="shared" si="135"/>
        <v>0</v>
      </c>
      <c r="BS97" s="129">
        <f>SUMIF('Audit HD AR - School Level'!$A$6:A3591, "=" &amp; A97,'Audit HD AR - School Level'!$Q$6:Q3591)</f>
        <v>2.6</v>
      </c>
      <c r="BT97" s="168">
        <f t="shared" si="136"/>
        <v>0</v>
      </c>
      <c r="BU97" s="168">
        <f t="shared" si="137"/>
        <v>0</v>
      </c>
      <c r="BV97" s="168"/>
      <c r="BW97" s="168">
        <f t="shared" si="138"/>
        <v>0</v>
      </c>
      <c r="BX97" s="164">
        <f t="shared" si="121"/>
        <v>147</v>
      </c>
      <c r="BY97" s="164">
        <f t="shared" si="120"/>
        <v>4</v>
      </c>
    </row>
    <row r="98" spans="1:77">
      <c r="A98" s="129" t="s">
        <v>207</v>
      </c>
      <c r="U98" s="129">
        <v>2445.1999999999998</v>
      </c>
      <c r="V98" s="129">
        <v>15.5</v>
      </c>
      <c r="X98" s="129">
        <v>2421.5</v>
      </c>
      <c r="AC98" s="129">
        <v>794.3</v>
      </c>
      <c r="AD98" s="129">
        <v>154</v>
      </c>
      <c r="AE98" s="129">
        <v>311.7</v>
      </c>
      <c r="AF98" s="129">
        <v>2432</v>
      </c>
      <c r="AG98" s="129">
        <v>1190</v>
      </c>
      <c r="AI98" s="129">
        <v>540</v>
      </c>
      <c r="AJ98" s="129">
        <v>404</v>
      </c>
      <c r="AK98" s="129">
        <v>0</v>
      </c>
      <c r="AL98" s="129">
        <v>6</v>
      </c>
      <c r="AO98" s="129">
        <v>43</v>
      </c>
      <c r="AP98" s="129">
        <v>5.8</v>
      </c>
      <c r="AQ98" s="129">
        <v>18.5</v>
      </c>
      <c r="AR98" s="129">
        <v>3</v>
      </c>
      <c r="AS98" s="129">
        <v>18</v>
      </c>
      <c r="AT98" s="129">
        <v>13</v>
      </c>
      <c r="AU98" s="129">
        <v>0</v>
      </c>
      <c r="AV98" s="129">
        <v>0</v>
      </c>
      <c r="AW98" s="129">
        <v>935584</v>
      </c>
      <c r="AX98" s="167">
        <v>45372</v>
      </c>
      <c r="AY98" s="162">
        <f t="shared" si="123"/>
        <v>9</v>
      </c>
      <c r="AZ98" s="163" t="s">
        <v>882</v>
      </c>
      <c r="BA98" s="162" t="b">
        <f t="shared" si="122"/>
        <v>0</v>
      </c>
      <c r="BF98" s="164">
        <f t="shared" ref="BF98:BF108" si="139">SUM(U98+C98-AO98-AP98-AR98)</f>
        <v>2393.4</v>
      </c>
      <c r="BG98" s="164">
        <f t="shared" ref="BG98:BG108" si="140">SUM(E98+F98+V98+W98)</f>
        <v>15.5</v>
      </c>
      <c r="BH98" s="164"/>
      <c r="BI98" s="164">
        <f t="shared" ref="BI98:BI108" si="141">SUM(AC98+H98)</f>
        <v>794.3</v>
      </c>
      <c r="BJ98" s="164">
        <f t="shared" ref="BJ98:BJ108" si="142">SUM(AD98+I98)</f>
        <v>154</v>
      </c>
      <c r="BK98" s="164">
        <f t="shared" ref="BK98:BK108" si="143">SUM(AE98+J98)</f>
        <v>311.7</v>
      </c>
      <c r="BL98" s="164">
        <f t="shared" ref="BL98:BL108" si="144">SUM(AF98+K98)</f>
        <v>2432</v>
      </c>
      <c r="BM98" s="164">
        <f t="shared" ref="BM98:BM108" si="145">SUM(AG98+L98)</f>
        <v>1190</v>
      </c>
      <c r="BN98" s="164">
        <f t="shared" ref="BN98:BN108" si="146">SUM(AI98+M98)</f>
        <v>540</v>
      </c>
      <c r="BO98" s="164">
        <f t="shared" ref="BO98:BO108" si="147">SUM(AJ98+R98)</f>
        <v>404</v>
      </c>
      <c r="BP98" s="164">
        <f t="shared" ref="BP98:BP108" si="148">SUM(AK98+R98)</f>
        <v>0</v>
      </c>
      <c r="BQ98" s="164">
        <f t="shared" ref="BQ98:BQ108" si="149">SUM(S98+AK98)</f>
        <v>0</v>
      </c>
      <c r="BR98" s="164">
        <f t="shared" ref="BR98:BR108" si="150">SUM(T98+AL98)</f>
        <v>6</v>
      </c>
      <c r="BS98" s="129">
        <f>SUMIF('Audit HD AR - School Level'!$A$6:A3592, "=" &amp; A98,'Audit HD AR - School Level'!$Q$6:Q3592)</f>
        <v>102.5</v>
      </c>
      <c r="BT98" s="168">
        <f t="shared" ref="BT98:BT108" si="151">SUM(AS98-AQ98)*$BT$2</f>
        <v>-355</v>
      </c>
      <c r="BU98" s="168">
        <f t="shared" ref="BU98:BU108" si="152">SUM(AU98-AR98)*$BT$2</f>
        <v>-2127</v>
      </c>
      <c r="BV98" s="129">
        <v>-5600</v>
      </c>
      <c r="BW98" s="168">
        <f t="shared" ref="BW98:BW108" si="153">IF(BT98+BU98+BV98&gt;0,0,BT98+BU98+BV98)</f>
        <v>-8082</v>
      </c>
      <c r="BX98" s="164">
        <f t="shared" si="121"/>
        <v>2383.4</v>
      </c>
      <c r="BY98" s="164">
        <f t="shared" si="120"/>
        <v>15.5</v>
      </c>
    </row>
    <row r="99" spans="1:77">
      <c r="A99" s="129" t="s">
        <v>258</v>
      </c>
      <c r="U99" s="129">
        <v>5279</v>
      </c>
      <c r="V99" s="129">
        <v>88</v>
      </c>
      <c r="X99" s="129">
        <v>5565.4</v>
      </c>
      <c r="AC99" s="129">
        <v>1066.5</v>
      </c>
      <c r="AD99" s="129">
        <v>279</v>
      </c>
      <c r="AE99" s="129">
        <v>748.1</v>
      </c>
      <c r="AF99" s="129">
        <v>5420</v>
      </c>
      <c r="AG99" s="129">
        <v>2780</v>
      </c>
      <c r="AI99" s="129">
        <v>2309</v>
      </c>
      <c r="AJ99" s="129">
        <v>0</v>
      </c>
      <c r="AK99" s="129">
        <v>0</v>
      </c>
      <c r="AL99" s="129">
        <v>0</v>
      </c>
      <c r="AO99" s="129">
        <v>86</v>
      </c>
      <c r="AP99" s="129">
        <v>7</v>
      </c>
      <c r="AQ99" s="129">
        <v>0</v>
      </c>
      <c r="AR99" s="129">
        <v>0</v>
      </c>
      <c r="AS99" s="129">
        <v>0</v>
      </c>
      <c r="AT99" s="129">
        <v>0</v>
      </c>
      <c r="AU99" s="129">
        <v>0</v>
      </c>
      <c r="AV99" s="129">
        <v>0</v>
      </c>
      <c r="AW99" s="129">
        <v>1620795</v>
      </c>
      <c r="AX99" s="167">
        <v>45372</v>
      </c>
      <c r="AY99" s="162">
        <f t="shared" si="123"/>
        <v>9</v>
      </c>
      <c r="AZ99" s="163" t="s">
        <v>882</v>
      </c>
      <c r="BA99" s="162" t="b">
        <f t="shared" si="122"/>
        <v>0</v>
      </c>
      <c r="BF99" s="164">
        <f t="shared" si="139"/>
        <v>5186</v>
      </c>
      <c r="BG99" s="164">
        <f t="shared" si="140"/>
        <v>88</v>
      </c>
      <c r="BH99" s="164"/>
      <c r="BI99" s="164">
        <f t="shared" si="141"/>
        <v>1066.5</v>
      </c>
      <c r="BJ99" s="164">
        <f t="shared" si="142"/>
        <v>279</v>
      </c>
      <c r="BK99" s="164">
        <f t="shared" si="143"/>
        <v>748.1</v>
      </c>
      <c r="BL99" s="164">
        <f t="shared" si="144"/>
        <v>5420</v>
      </c>
      <c r="BM99" s="164">
        <f t="shared" si="145"/>
        <v>2780</v>
      </c>
      <c r="BN99" s="164">
        <f t="shared" si="146"/>
        <v>2309</v>
      </c>
      <c r="BO99" s="164">
        <f t="shared" si="147"/>
        <v>0</v>
      </c>
      <c r="BP99" s="164">
        <f t="shared" si="148"/>
        <v>0</v>
      </c>
      <c r="BQ99" s="164">
        <f t="shared" si="149"/>
        <v>0</v>
      </c>
      <c r="BR99" s="164">
        <f t="shared" si="150"/>
        <v>0</v>
      </c>
      <c r="BS99" s="129">
        <f>SUMIF('Audit HD AR - School Level'!$A$6:A3593, "=" &amp; A99,'Audit HD AR - School Level'!$Q$6:Q3593)</f>
        <v>253</v>
      </c>
      <c r="BT99" s="168">
        <f t="shared" si="151"/>
        <v>0</v>
      </c>
      <c r="BU99" s="168">
        <f t="shared" si="152"/>
        <v>0</v>
      </c>
      <c r="BW99" s="168">
        <f t="shared" si="153"/>
        <v>0</v>
      </c>
      <c r="BX99" s="164">
        <f t="shared" si="121"/>
        <v>5186</v>
      </c>
      <c r="BY99" s="164">
        <f t="shared" si="120"/>
        <v>88</v>
      </c>
    </row>
    <row r="100" spans="1:77">
      <c r="A100" s="129" t="s">
        <v>284</v>
      </c>
      <c r="U100" s="129">
        <v>116.5</v>
      </c>
      <c r="V100" s="129">
        <v>0</v>
      </c>
      <c r="X100" s="129">
        <v>109.5</v>
      </c>
      <c r="AC100" s="129">
        <v>31.4</v>
      </c>
      <c r="AD100" s="129">
        <v>1</v>
      </c>
      <c r="AE100" s="129">
        <v>0</v>
      </c>
      <c r="AF100" s="129">
        <v>117</v>
      </c>
      <c r="AG100" s="129">
        <v>55</v>
      </c>
      <c r="AI100" s="129">
        <v>62</v>
      </c>
      <c r="AJ100" s="129">
        <v>0</v>
      </c>
      <c r="AK100" s="129">
        <v>2</v>
      </c>
      <c r="AL100" s="129">
        <v>0</v>
      </c>
      <c r="AO100" s="129">
        <v>0</v>
      </c>
      <c r="AP100" s="129">
        <v>0</v>
      </c>
      <c r="AQ100" s="129">
        <v>0</v>
      </c>
      <c r="AR100" s="129">
        <v>0</v>
      </c>
      <c r="AS100" s="129">
        <v>0</v>
      </c>
      <c r="AT100" s="129">
        <v>0</v>
      </c>
      <c r="AU100" s="129">
        <v>0</v>
      </c>
      <c r="AV100" s="129">
        <v>0</v>
      </c>
      <c r="AW100" s="129">
        <v>139041</v>
      </c>
      <c r="AX100" s="167">
        <v>45372</v>
      </c>
      <c r="AY100" s="162">
        <f t="shared" si="123"/>
        <v>9</v>
      </c>
      <c r="AZ100" s="163" t="s">
        <v>882</v>
      </c>
      <c r="BA100" s="162" t="b">
        <f t="shared" si="122"/>
        <v>0</v>
      </c>
      <c r="BF100" s="164">
        <f t="shared" si="139"/>
        <v>116.5</v>
      </c>
      <c r="BG100" s="164">
        <f t="shared" si="140"/>
        <v>0</v>
      </c>
      <c r="BH100" s="164"/>
      <c r="BI100" s="164">
        <f t="shared" si="141"/>
        <v>31.4</v>
      </c>
      <c r="BJ100" s="164">
        <f t="shared" si="142"/>
        <v>1</v>
      </c>
      <c r="BK100" s="164">
        <f t="shared" si="143"/>
        <v>0</v>
      </c>
      <c r="BL100" s="164">
        <f t="shared" si="144"/>
        <v>117</v>
      </c>
      <c r="BM100" s="164">
        <f t="shared" si="145"/>
        <v>55</v>
      </c>
      <c r="BN100" s="164">
        <f t="shared" si="146"/>
        <v>62</v>
      </c>
      <c r="BO100" s="164">
        <f t="shared" si="147"/>
        <v>0</v>
      </c>
      <c r="BP100" s="164">
        <f t="shared" si="148"/>
        <v>2</v>
      </c>
      <c r="BQ100" s="164">
        <f t="shared" si="149"/>
        <v>2</v>
      </c>
      <c r="BR100" s="164">
        <f t="shared" si="150"/>
        <v>0</v>
      </c>
      <c r="BS100" s="129">
        <f>SUMIF('Audit HD AR - School Level'!$A$6:A3594, "=" &amp; A100,'Audit HD AR - School Level'!$Q$6:Q3594)</f>
        <v>2.2000000000000002</v>
      </c>
      <c r="BT100" s="168">
        <f t="shared" si="151"/>
        <v>0</v>
      </c>
      <c r="BU100" s="168">
        <f t="shared" si="152"/>
        <v>0</v>
      </c>
      <c r="BW100" s="168">
        <f t="shared" si="153"/>
        <v>0</v>
      </c>
      <c r="BX100" s="164">
        <f t="shared" si="121"/>
        <v>116.5</v>
      </c>
      <c r="BY100" s="164">
        <f t="shared" si="120"/>
        <v>0</v>
      </c>
    </row>
    <row r="101" spans="1:77">
      <c r="A101" s="129" t="s">
        <v>335</v>
      </c>
      <c r="U101" s="129">
        <v>1444.6</v>
      </c>
      <c r="V101" s="129">
        <v>10</v>
      </c>
      <c r="X101" s="129">
        <v>1462</v>
      </c>
      <c r="AC101" s="129">
        <v>481.5</v>
      </c>
      <c r="AD101" s="129">
        <v>26</v>
      </c>
      <c r="AE101" s="129">
        <v>8.4</v>
      </c>
      <c r="AF101" s="129">
        <v>1471</v>
      </c>
      <c r="AG101" s="129">
        <v>806</v>
      </c>
      <c r="AI101" s="129">
        <v>174</v>
      </c>
      <c r="AJ101" s="129">
        <v>5</v>
      </c>
      <c r="AK101" s="129">
        <v>15</v>
      </c>
      <c r="AL101" s="129">
        <v>0</v>
      </c>
      <c r="AO101" s="129">
        <v>6</v>
      </c>
      <c r="AP101" s="129">
        <v>3</v>
      </c>
      <c r="AQ101" s="129">
        <v>0</v>
      </c>
      <c r="AR101" s="129">
        <v>0</v>
      </c>
      <c r="AS101" s="129">
        <v>0</v>
      </c>
      <c r="AT101" s="129">
        <v>0</v>
      </c>
      <c r="AU101" s="129">
        <v>0</v>
      </c>
      <c r="AV101" s="129">
        <v>0</v>
      </c>
      <c r="AW101" s="129">
        <v>345720</v>
      </c>
      <c r="AX101" s="167">
        <v>45372</v>
      </c>
      <c r="AY101" s="162">
        <f t="shared" si="123"/>
        <v>9</v>
      </c>
      <c r="AZ101" s="163" t="s">
        <v>882</v>
      </c>
      <c r="BA101" s="162" t="b">
        <f t="shared" si="122"/>
        <v>0</v>
      </c>
      <c r="BF101" s="164">
        <f t="shared" si="139"/>
        <v>1435.6</v>
      </c>
      <c r="BG101" s="164">
        <f t="shared" si="140"/>
        <v>10</v>
      </c>
      <c r="BH101" s="164"/>
      <c r="BI101" s="164">
        <f t="shared" si="141"/>
        <v>481.5</v>
      </c>
      <c r="BJ101" s="164">
        <f t="shared" si="142"/>
        <v>26</v>
      </c>
      <c r="BK101" s="164">
        <f t="shared" si="143"/>
        <v>8.4</v>
      </c>
      <c r="BL101" s="164">
        <f t="shared" si="144"/>
        <v>1471</v>
      </c>
      <c r="BM101" s="164">
        <f t="shared" si="145"/>
        <v>806</v>
      </c>
      <c r="BN101" s="164">
        <f t="shared" si="146"/>
        <v>174</v>
      </c>
      <c r="BO101" s="164">
        <f t="shared" si="147"/>
        <v>5</v>
      </c>
      <c r="BP101" s="164">
        <f t="shared" si="148"/>
        <v>15</v>
      </c>
      <c r="BQ101" s="164">
        <f t="shared" si="149"/>
        <v>15</v>
      </c>
      <c r="BR101" s="164">
        <f t="shared" si="150"/>
        <v>0</v>
      </c>
      <c r="BS101" s="129">
        <f>SUMIF('Audit HD AR - School Level'!$A$6:A3598, "=" &amp; A101,'Audit HD AR - School Level'!$Q$6:Q3598)</f>
        <v>77.099999999999994</v>
      </c>
      <c r="BT101" s="168">
        <f t="shared" si="151"/>
        <v>0</v>
      </c>
      <c r="BU101" s="168">
        <f t="shared" si="152"/>
        <v>0</v>
      </c>
      <c r="BW101" s="168">
        <f t="shared" si="153"/>
        <v>0</v>
      </c>
      <c r="BX101" s="164">
        <f t="shared" si="121"/>
        <v>1435.6</v>
      </c>
      <c r="BY101" s="164">
        <f t="shared" si="120"/>
        <v>10</v>
      </c>
    </row>
    <row r="102" spans="1:77">
      <c r="A102" s="129" t="s">
        <v>413</v>
      </c>
      <c r="U102" s="129">
        <v>755</v>
      </c>
      <c r="V102" s="129">
        <v>16</v>
      </c>
      <c r="X102" s="129">
        <v>798.1</v>
      </c>
      <c r="AC102" s="129">
        <v>254.7</v>
      </c>
      <c r="AD102" s="129">
        <v>14</v>
      </c>
      <c r="AE102" s="129">
        <v>29.2</v>
      </c>
      <c r="AF102" s="129">
        <v>793</v>
      </c>
      <c r="AG102" s="129">
        <v>280</v>
      </c>
      <c r="AI102" s="129">
        <v>316</v>
      </c>
      <c r="AJ102" s="129">
        <v>3</v>
      </c>
      <c r="AK102" s="129">
        <v>11</v>
      </c>
      <c r="AL102" s="129">
        <v>0</v>
      </c>
      <c r="AO102" s="129">
        <v>1</v>
      </c>
      <c r="AP102" s="129">
        <v>0</v>
      </c>
      <c r="AQ102" s="129">
        <v>0</v>
      </c>
      <c r="AR102" s="129">
        <v>0</v>
      </c>
      <c r="AS102" s="129">
        <v>0</v>
      </c>
      <c r="AT102" s="129">
        <v>0</v>
      </c>
      <c r="AU102" s="129">
        <v>0</v>
      </c>
      <c r="AV102" s="129">
        <v>0</v>
      </c>
      <c r="AW102" s="129">
        <v>433550</v>
      </c>
      <c r="AX102" s="167">
        <v>45372</v>
      </c>
      <c r="AY102" s="162">
        <f t="shared" si="123"/>
        <v>9</v>
      </c>
      <c r="AZ102" s="163" t="s">
        <v>882</v>
      </c>
      <c r="BA102" s="162" t="b">
        <f t="shared" si="122"/>
        <v>0</v>
      </c>
      <c r="BF102" s="164">
        <f t="shared" si="139"/>
        <v>754</v>
      </c>
      <c r="BG102" s="164">
        <f t="shared" si="140"/>
        <v>16</v>
      </c>
      <c r="BH102" s="164"/>
      <c r="BI102" s="164">
        <f t="shared" si="141"/>
        <v>254.7</v>
      </c>
      <c r="BJ102" s="164">
        <f t="shared" si="142"/>
        <v>14</v>
      </c>
      <c r="BK102" s="164">
        <f t="shared" si="143"/>
        <v>29.2</v>
      </c>
      <c r="BL102" s="164">
        <f t="shared" si="144"/>
        <v>793</v>
      </c>
      <c r="BM102" s="164">
        <f t="shared" si="145"/>
        <v>280</v>
      </c>
      <c r="BN102" s="164">
        <f t="shared" si="146"/>
        <v>316</v>
      </c>
      <c r="BO102" s="164">
        <f t="shared" si="147"/>
        <v>3</v>
      </c>
      <c r="BP102" s="164">
        <f t="shared" si="148"/>
        <v>11</v>
      </c>
      <c r="BQ102" s="164">
        <f t="shared" si="149"/>
        <v>11</v>
      </c>
      <c r="BR102" s="164">
        <f t="shared" si="150"/>
        <v>0</v>
      </c>
      <c r="BS102" s="129">
        <f>SUMIF('Audit HD AR - School Level'!$A$6:A3601, "=" &amp; A102,'Audit HD AR - School Level'!$Q$6:Q3601)</f>
        <v>4.2</v>
      </c>
      <c r="BT102" s="168">
        <f t="shared" si="151"/>
        <v>0</v>
      </c>
      <c r="BU102" s="168">
        <f t="shared" si="152"/>
        <v>0</v>
      </c>
      <c r="BW102" s="168">
        <f t="shared" si="153"/>
        <v>0</v>
      </c>
      <c r="BX102" s="164">
        <f t="shared" si="121"/>
        <v>754</v>
      </c>
      <c r="BY102" s="164">
        <f t="shared" si="120"/>
        <v>16</v>
      </c>
    </row>
    <row r="103" spans="1:77">
      <c r="A103" s="129" t="s">
        <v>416</v>
      </c>
      <c r="U103" s="129">
        <v>1626.9</v>
      </c>
      <c r="V103" s="129">
        <v>56</v>
      </c>
      <c r="X103" s="129">
        <v>1676.7</v>
      </c>
      <c r="AC103" s="129">
        <v>239.2</v>
      </c>
      <c r="AD103" s="129">
        <v>268</v>
      </c>
      <c r="AE103" s="129">
        <v>287.10000000000002</v>
      </c>
      <c r="AF103" s="129">
        <v>1718</v>
      </c>
      <c r="AG103" s="129">
        <v>1068</v>
      </c>
      <c r="AI103" s="129">
        <v>368</v>
      </c>
      <c r="AJ103" s="129">
        <v>0</v>
      </c>
      <c r="AK103" s="129">
        <v>1</v>
      </c>
      <c r="AL103" s="129">
        <v>0</v>
      </c>
      <c r="AO103" s="129">
        <v>15</v>
      </c>
      <c r="AP103" s="129">
        <v>12.1</v>
      </c>
      <c r="AQ103" s="129">
        <v>95</v>
      </c>
      <c r="AR103" s="129">
        <v>0</v>
      </c>
      <c r="AS103" s="129">
        <v>87</v>
      </c>
      <c r="AT103" s="129">
        <v>0</v>
      </c>
      <c r="AU103" s="129">
        <v>0</v>
      </c>
      <c r="AV103" s="129">
        <v>0</v>
      </c>
      <c r="AW103" s="129">
        <v>675181</v>
      </c>
      <c r="AX103" s="167">
        <v>45372</v>
      </c>
      <c r="AY103" s="162">
        <f t="shared" si="123"/>
        <v>9</v>
      </c>
      <c r="AZ103" s="163" t="s">
        <v>882</v>
      </c>
      <c r="BA103" s="162" t="b">
        <f t="shared" si="122"/>
        <v>0</v>
      </c>
      <c r="BF103" s="164">
        <f t="shared" si="139"/>
        <v>1599.8</v>
      </c>
      <c r="BG103" s="164">
        <f t="shared" si="140"/>
        <v>56</v>
      </c>
      <c r="BH103" s="164"/>
      <c r="BI103" s="164">
        <f t="shared" si="141"/>
        <v>239.2</v>
      </c>
      <c r="BJ103" s="164">
        <f t="shared" si="142"/>
        <v>268</v>
      </c>
      <c r="BK103" s="164">
        <f t="shared" si="143"/>
        <v>287.10000000000002</v>
      </c>
      <c r="BL103" s="164">
        <f t="shared" si="144"/>
        <v>1718</v>
      </c>
      <c r="BM103" s="164">
        <f t="shared" si="145"/>
        <v>1068</v>
      </c>
      <c r="BN103" s="164">
        <f t="shared" si="146"/>
        <v>368</v>
      </c>
      <c r="BO103" s="164">
        <f t="shared" si="147"/>
        <v>0</v>
      </c>
      <c r="BP103" s="164">
        <f t="shared" si="148"/>
        <v>1</v>
      </c>
      <c r="BQ103" s="164">
        <f t="shared" si="149"/>
        <v>1</v>
      </c>
      <c r="BR103" s="164">
        <f t="shared" si="150"/>
        <v>0</v>
      </c>
      <c r="BS103" s="129">
        <f>SUMIF('Audit HD AR - School Level'!$A$6:A3602, "=" &amp; A103,'Audit HD AR - School Level'!$Q$6:Q3602)</f>
        <v>108.9</v>
      </c>
      <c r="BT103" s="168">
        <f t="shared" si="151"/>
        <v>-5672</v>
      </c>
      <c r="BU103" s="168">
        <f t="shared" si="152"/>
        <v>0</v>
      </c>
      <c r="BV103" s="129">
        <v>-40191</v>
      </c>
      <c r="BW103" s="168">
        <f t="shared" si="153"/>
        <v>-45863</v>
      </c>
      <c r="BX103" s="164">
        <f t="shared" si="121"/>
        <v>1599.8</v>
      </c>
      <c r="BY103" s="164">
        <f t="shared" si="120"/>
        <v>56</v>
      </c>
    </row>
    <row r="104" spans="1:77">
      <c r="A104" s="129" t="s">
        <v>424</v>
      </c>
      <c r="U104" s="129">
        <v>267</v>
      </c>
      <c r="V104" s="129">
        <v>2.5</v>
      </c>
      <c r="X104" s="129">
        <v>286.8</v>
      </c>
      <c r="AC104" s="129">
        <v>11</v>
      </c>
      <c r="AD104" s="129">
        <v>1</v>
      </c>
      <c r="AE104" s="129">
        <v>0.5</v>
      </c>
      <c r="AF104" s="129">
        <v>278</v>
      </c>
      <c r="AG104" s="129">
        <v>122</v>
      </c>
      <c r="AI104" s="129">
        <v>44</v>
      </c>
      <c r="AJ104" s="129">
        <v>34</v>
      </c>
      <c r="AK104" s="129">
        <v>2</v>
      </c>
      <c r="AL104" s="129">
        <v>0</v>
      </c>
      <c r="AO104" s="129">
        <v>0</v>
      </c>
      <c r="AP104" s="129">
        <v>0</v>
      </c>
      <c r="AQ104" s="129">
        <v>0</v>
      </c>
      <c r="AR104" s="129">
        <v>0</v>
      </c>
      <c r="AS104" s="129">
        <v>0</v>
      </c>
      <c r="AT104" s="129">
        <v>0</v>
      </c>
      <c r="AU104" s="129">
        <v>0</v>
      </c>
      <c r="AV104" s="129">
        <v>0</v>
      </c>
      <c r="AW104" s="129">
        <v>128562</v>
      </c>
      <c r="AX104" s="167">
        <v>45372</v>
      </c>
      <c r="AY104" s="162">
        <f t="shared" si="123"/>
        <v>9</v>
      </c>
      <c r="AZ104" s="163" t="s">
        <v>882</v>
      </c>
      <c r="BA104" s="162" t="b">
        <f t="shared" si="122"/>
        <v>0</v>
      </c>
      <c r="BF104" s="164">
        <f t="shared" si="139"/>
        <v>267</v>
      </c>
      <c r="BG104" s="164">
        <f t="shared" si="140"/>
        <v>2.5</v>
      </c>
      <c r="BH104" s="164"/>
      <c r="BI104" s="164">
        <f t="shared" si="141"/>
        <v>11</v>
      </c>
      <c r="BJ104" s="164">
        <f t="shared" si="142"/>
        <v>1</v>
      </c>
      <c r="BK104" s="164">
        <f t="shared" si="143"/>
        <v>0.5</v>
      </c>
      <c r="BL104" s="164">
        <f t="shared" si="144"/>
        <v>278</v>
      </c>
      <c r="BM104" s="164">
        <f t="shared" si="145"/>
        <v>122</v>
      </c>
      <c r="BN104" s="164">
        <f t="shared" si="146"/>
        <v>44</v>
      </c>
      <c r="BO104" s="164">
        <f t="shared" si="147"/>
        <v>34</v>
      </c>
      <c r="BP104" s="164">
        <f t="shared" si="148"/>
        <v>2</v>
      </c>
      <c r="BQ104" s="164">
        <f t="shared" si="149"/>
        <v>2</v>
      </c>
      <c r="BR104" s="164">
        <f t="shared" si="150"/>
        <v>0</v>
      </c>
      <c r="BS104" s="129">
        <f>SUMIF('Audit HD AR - School Level'!$A$6:A3603, "=" &amp; A104,'Audit HD AR - School Level'!$Q$6:Q3603)</f>
        <v>8</v>
      </c>
      <c r="BT104" s="168">
        <f t="shared" si="151"/>
        <v>0</v>
      </c>
      <c r="BU104" s="168">
        <f t="shared" si="152"/>
        <v>0</v>
      </c>
      <c r="BW104" s="168">
        <f t="shared" si="153"/>
        <v>0</v>
      </c>
      <c r="BX104" s="164">
        <f t="shared" si="121"/>
        <v>267</v>
      </c>
      <c r="BY104" s="164">
        <f t="shared" si="120"/>
        <v>2.5</v>
      </c>
    </row>
    <row r="105" spans="1:77">
      <c r="A105" s="129" t="s">
        <v>446</v>
      </c>
      <c r="U105" s="129">
        <v>237.5</v>
      </c>
      <c r="V105" s="129">
        <v>4</v>
      </c>
      <c r="X105" s="129">
        <v>240</v>
      </c>
      <c r="AC105" s="129">
        <v>117.9</v>
      </c>
      <c r="AD105" s="129">
        <v>3</v>
      </c>
      <c r="AE105" s="129">
        <v>0</v>
      </c>
      <c r="AF105" s="129">
        <v>246</v>
      </c>
      <c r="AG105" s="129">
        <v>121</v>
      </c>
      <c r="AI105" s="129">
        <v>101</v>
      </c>
      <c r="AJ105" s="129">
        <v>15</v>
      </c>
      <c r="AK105" s="129">
        <v>41</v>
      </c>
      <c r="AL105" s="129">
        <v>0</v>
      </c>
      <c r="AO105" s="129">
        <v>0</v>
      </c>
      <c r="AP105" s="129">
        <v>0</v>
      </c>
      <c r="AQ105" s="129">
        <v>0</v>
      </c>
      <c r="AR105" s="129">
        <v>5</v>
      </c>
      <c r="AS105" s="129">
        <v>0</v>
      </c>
      <c r="AT105" s="129">
        <v>0</v>
      </c>
      <c r="AU105" s="129">
        <v>0</v>
      </c>
      <c r="AV105" s="129">
        <v>0</v>
      </c>
      <c r="AW105" s="129">
        <v>152762</v>
      </c>
      <c r="AX105" s="167">
        <v>45372</v>
      </c>
      <c r="AY105" s="162">
        <f t="shared" si="123"/>
        <v>9</v>
      </c>
      <c r="AZ105" s="163" t="s">
        <v>882</v>
      </c>
      <c r="BA105" s="162" t="b">
        <f t="shared" si="122"/>
        <v>0</v>
      </c>
      <c r="BF105" s="164">
        <f t="shared" si="139"/>
        <v>232.5</v>
      </c>
      <c r="BG105" s="164">
        <f t="shared" si="140"/>
        <v>4</v>
      </c>
      <c r="BH105" s="164"/>
      <c r="BI105" s="164">
        <f t="shared" si="141"/>
        <v>117.9</v>
      </c>
      <c r="BJ105" s="164">
        <f t="shared" si="142"/>
        <v>3</v>
      </c>
      <c r="BK105" s="164">
        <f t="shared" si="143"/>
        <v>0</v>
      </c>
      <c r="BL105" s="164">
        <f t="shared" si="144"/>
        <v>246</v>
      </c>
      <c r="BM105" s="164">
        <f t="shared" si="145"/>
        <v>121</v>
      </c>
      <c r="BN105" s="164">
        <f t="shared" si="146"/>
        <v>101</v>
      </c>
      <c r="BO105" s="164">
        <f t="shared" si="147"/>
        <v>15</v>
      </c>
      <c r="BP105" s="164">
        <f t="shared" si="148"/>
        <v>41</v>
      </c>
      <c r="BQ105" s="164">
        <f t="shared" si="149"/>
        <v>41</v>
      </c>
      <c r="BR105" s="164">
        <f t="shared" si="150"/>
        <v>0</v>
      </c>
      <c r="BS105" s="129">
        <f>SUMIF('Audit HD AR - School Level'!$A$6:A3604, "=" &amp; A105,'Audit HD AR - School Level'!$Q$6:Q3604)</f>
        <v>10.1</v>
      </c>
      <c r="BT105" s="168">
        <f t="shared" si="151"/>
        <v>0</v>
      </c>
      <c r="BU105" s="168">
        <f t="shared" si="152"/>
        <v>-3545</v>
      </c>
      <c r="BW105" s="168">
        <f t="shared" si="153"/>
        <v>-3545</v>
      </c>
      <c r="BX105" s="164">
        <f t="shared" si="121"/>
        <v>237.5</v>
      </c>
      <c r="BY105" s="164">
        <f t="shared" si="120"/>
        <v>4</v>
      </c>
    </row>
    <row r="106" spans="1:77">
      <c r="A106" s="129" t="s">
        <v>451</v>
      </c>
      <c r="U106" s="129">
        <v>598</v>
      </c>
      <c r="V106" s="129">
        <v>7.5</v>
      </c>
      <c r="X106" s="129">
        <v>635</v>
      </c>
      <c r="AC106" s="129">
        <v>170.5</v>
      </c>
      <c r="AD106" s="129">
        <v>0</v>
      </c>
      <c r="AE106" s="129">
        <v>0</v>
      </c>
      <c r="AF106" s="129">
        <v>612</v>
      </c>
      <c r="AG106" s="129">
        <v>267</v>
      </c>
      <c r="AI106" s="129">
        <v>195</v>
      </c>
      <c r="AJ106" s="129">
        <v>37</v>
      </c>
      <c r="AK106" s="129">
        <v>37</v>
      </c>
      <c r="AL106" s="129">
        <v>0</v>
      </c>
      <c r="AO106" s="129">
        <v>0</v>
      </c>
      <c r="AP106" s="129">
        <v>0</v>
      </c>
      <c r="AQ106" s="129">
        <v>0</v>
      </c>
      <c r="AR106" s="129">
        <v>0</v>
      </c>
      <c r="AS106" s="129">
        <v>0</v>
      </c>
      <c r="AT106" s="129">
        <v>1</v>
      </c>
      <c r="AU106" s="129">
        <v>0</v>
      </c>
      <c r="AV106" s="129">
        <v>0</v>
      </c>
      <c r="AW106" s="129">
        <v>381244</v>
      </c>
      <c r="AX106" s="167">
        <v>45372</v>
      </c>
      <c r="AY106" s="162">
        <f t="shared" si="123"/>
        <v>9</v>
      </c>
      <c r="AZ106" s="163" t="s">
        <v>882</v>
      </c>
      <c r="BA106" s="162" t="b">
        <f t="shared" si="122"/>
        <v>0</v>
      </c>
      <c r="BF106" s="164">
        <f t="shared" si="139"/>
        <v>598</v>
      </c>
      <c r="BG106" s="164">
        <f t="shared" si="140"/>
        <v>7.5</v>
      </c>
      <c r="BH106" s="164"/>
      <c r="BI106" s="164">
        <f t="shared" si="141"/>
        <v>170.5</v>
      </c>
      <c r="BJ106" s="164">
        <f t="shared" si="142"/>
        <v>0</v>
      </c>
      <c r="BK106" s="164">
        <f t="shared" si="143"/>
        <v>0</v>
      </c>
      <c r="BL106" s="164">
        <f t="shared" si="144"/>
        <v>612</v>
      </c>
      <c r="BM106" s="164">
        <f t="shared" si="145"/>
        <v>267</v>
      </c>
      <c r="BN106" s="164">
        <f t="shared" si="146"/>
        <v>195</v>
      </c>
      <c r="BO106" s="164">
        <f t="shared" si="147"/>
        <v>37</v>
      </c>
      <c r="BP106" s="164">
        <f t="shared" si="148"/>
        <v>37</v>
      </c>
      <c r="BQ106" s="164">
        <f t="shared" si="149"/>
        <v>37</v>
      </c>
      <c r="BR106" s="164">
        <f t="shared" si="150"/>
        <v>0</v>
      </c>
      <c r="BS106" s="129">
        <f>SUMIF('Audit HD AR - School Level'!$A$6:A3605, "=" &amp; A106,'Audit HD AR - School Level'!$Q$6:Q3605)</f>
        <v>16.3</v>
      </c>
      <c r="BT106" s="168">
        <f t="shared" si="151"/>
        <v>0</v>
      </c>
      <c r="BU106" s="168">
        <f t="shared" si="152"/>
        <v>0</v>
      </c>
      <c r="BW106" s="168">
        <f t="shared" si="153"/>
        <v>0</v>
      </c>
      <c r="BX106" s="164">
        <f t="shared" si="121"/>
        <v>597</v>
      </c>
      <c r="BY106" s="164">
        <f t="shared" si="120"/>
        <v>7.5</v>
      </c>
    </row>
    <row r="107" spans="1:77">
      <c r="A107" s="129" t="s">
        <v>453</v>
      </c>
      <c r="U107" s="129">
        <v>3193.5</v>
      </c>
      <c r="V107" s="129">
        <v>43</v>
      </c>
      <c r="X107" s="129">
        <v>3152.4</v>
      </c>
      <c r="AC107" s="129">
        <v>808.7</v>
      </c>
      <c r="AD107" s="129">
        <v>158</v>
      </c>
      <c r="AE107" s="129">
        <v>490.4</v>
      </c>
      <c r="AF107" s="129">
        <v>3245</v>
      </c>
      <c r="AG107" s="129">
        <v>1156</v>
      </c>
      <c r="AI107" s="129">
        <v>721</v>
      </c>
      <c r="AJ107" s="129">
        <v>46</v>
      </c>
      <c r="AK107" s="129">
        <v>12</v>
      </c>
      <c r="AL107" s="129">
        <v>5</v>
      </c>
      <c r="AO107" s="129">
        <v>37</v>
      </c>
      <c r="AP107" s="129">
        <v>26.4</v>
      </c>
      <c r="AQ107" s="129">
        <v>18</v>
      </c>
      <c r="AR107" s="129">
        <v>0</v>
      </c>
      <c r="AS107" s="129">
        <v>16</v>
      </c>
      <c r="AT107" s="129">
        <v>25</v>
      </c>
      <c r="AU107" s="129">
        <v>0.5</v>
      </c>
      <c r="AV107" s="129">
        <v>3</v>
      </c>
      <c r="AW107" s="129">
        <v>945797</v>
      </c>
      <c r="AX107" s="167">
        <v>45372</v>
      </c>
      <c r="AY107" s="162">
        <f t="shared" si="123"/>
        <v>9</v>
      </c>
      <c r="AZ107" s="163" t="s">
        <v>882</v>
      </c>
      <c r="BA107" s="162" t="b">
        <f t="shared" si="122"/>
        <v>0</v>
      </c>
      <c r="BF107" s="164">
        <f t="shared" si="139"/>
        <v>3130.1</v>
      </c>
      <c r="BG107" s="164">
        <f t="shared" si="140"/>
        <v>43</v>
      </c>
      <c r="BH107" s="164"/>
      <c r="BI107" s="164">
        <f t="shared" si="141"/>
        <v>808.7</v>
      </c>
      <c r="BJ107" s="164">
        <f t="shared" si="142"/>
        <v>158</v>
      </c>
      <c r="BK107" s="164">
        <f t="shared" si="143"/>
        <v>490.4</v>
      </c>
      <c r="BL107" s="164">
        <f t="shared" si="144"/>
        <v>3245</v>
      </c>
      <c r="BM107" s="164">
        <f t="shared" si="145"/>
        <v>1156</v>
      </c>
      <c r="BN107" s="164">
        <f t="shared" si="146"/>
        <v>721</v>
      </c>
      <c r="BO107" s="164">
        <f t="shared" si="147"/>
        <v>46</v>
      </c>
      <c r="BP107" s="164">
        <f t="shared" si="148"/>
        <v>12</v>
      </c>
      <c r="BQ107" s="164">
        <f t="shared" si="149"/>
        <v>12</v>
      </c>
      <c r="BR107" s="164">
        <f t="shared" si="150"/>
        <v>5</v>
      </c>
      <c r="BS107" s="129">
        <f>SUMIF('Audit HD AR - School Level'!$A$6:A3606, "=" &amp; A107,'Audit HD AR - School Level'!$Q$6:Q3606)</f>
        <v>16.100000000000001</v>
      </c>
      <c r="BT107" s="168">
        <f t="shared" si="151"/>
        <v>-1418</v>
      </c>
      <c r="BU107" s="168">
        <f t="shared" si="152"/>
        <v>355</v>
      </c>
      <c r="BV107" s="129">
        <v>-8009</v>
      </c>
      <c r="BW107" s="168">
        <f t="shared" si="153"/>
        <v>-9072</v>
      </c>
      <c r="BX107" s="164">
        <f t="shared" si="121"/>
        <v>3105.1</v>
      </c>
      <c r="BY107" s="164">
        <f t="shared" si="120"/>
        <v>43</v>
      </c>
    </row>
    <row r="108" spans="1:77">
      <c r="A108" s="129" t="s">
        <v>472</v>
      </c>
      <c r="U108" s="129">
        <v>783.3</v>
      </c>
      <c r="V108" s="129">
        <v>21.3</v>
      </c>
      <c r="X108" s="129">
        <v>807.8</v>
      </c>
      <c r="AC108" s="129">
        <v>166.7</v>
      </c>
      <c r="AD108" s="129">
        <v>1</v>
      </c>
      <c r="AE108" s="129">
        <v>0.6</v>
      </c>
      <c r="AF108" s="129">
        <v>810</v>
      </c>
      <c r="AG108" s="129">
        <v>455</v>
      </c>
      <c r="AI108" s="129">
        <v>76</v>
      </c>
      <c r="AJ108" s="129">
        <v>28</v>
      </c>
      <c r="AK108" s="129">
        <v>1</v>
      </c>
      <c r="AL108" s="129">
        <v>0</v>
      </c>
      <c r="AO108" s="129">
        <v>29</v>
      </c>
      <c r="AP108" s="129">
        <v>5.3</v>
      </c>
      <c r="AQ108" s="129">
        <v>19</v>
      </c>
      <c r="AR108" s="129">
        <v>5</v>
      </c>
      <c r="AS108" s="129">
        <v>19.25</v>
      </c>
      <c r="AT108" s="129">
        <v>2</v>
      </c>
      <c r="AU108" s="129">
        <v>0</v>
      </c>
      <c r="AV108" s="129">
        <v>0</v>
      </c>
      <c r="AW108" s="129">
        <v>192098</v>
      </c>
      <c r="AX108" s="167">
        <v>45372</v>
      </c>
      <c r="AY108" s="162">
        <f t="shared" si="123"/>
        <v>9</v>
      </c>
      <c r="AZ108" s="163" t="s">
        <v>882</v>
      </c>
      <c r="BA108" s="162" t="b">
        <f t="shared" si="122"/>
        <v>0</v>
      </c>
      <c r="BF108" s="164">
        <f t="shared" si="139"/>
        <v>744</v>
      </c>
      <c r="BG108" s="164">
        <f t="shared" si="140"/>
        <v>21.3</v>
      </c>
      <c r="BH108" s="164"/>
      <c r="BI108" s="164">
        <f t="shared" si="141"/>
        <v>166.7</v>
      </c>
      <c r="BJ108" s="164">
        <f t="shared" si="142"/>
        <v>1</v>
      </c>
      <c r="BK108" s="164">
        <f t="shared" si="143"/>
        <v>0.6</v>
      </c>
      <c r="BL108" s="164">
        <f t="shared" si="144"/>
        <v>810</v>
      </c>
      <c r="BM108" s="164">
        <f t="shared" si="145"/>
        <v>455</v>
      </c>
      <c r="BN108" s="164">
        <f t="shared" si="146"/>
        <v>76</v>
      </c>
      <c r="BO108" s="164">
        <f t="shared" si="147"/>
        <v>28</v>
      </c>
      <c r="BP108" s="164">
        <f t="shared" si="148"/>
        <v>1</v>
      </c>
      <c r="BQ108" s="164">
        <f t="shared" si="149"/>
        <v>1</v>
      </c>
      <c r="BR108" s="164">
        <f t="shared" si="150"/>
        <v>0</v>
      </c>
      <c r="BS108" s="129">
        <f>SUMIF('Audit HD AR - School Level'!$A$6:A3607, "=" &amp; A108,'Audit HD AR - School Level'!$Q$6:Q3607)</f>
        <v>47.8</v>
      </c>
      <c r="BT108" s="168">
        <f t="shared" si="151"/>
        <v>177</v>
      </c>
      <c r="BU108" s="168">
        <f t="shared" si="152"/>
        <v>-3545</v>
      </c>
      <c r="BW108" s="168">
        <f t="shared" si="153"/>
        <v>-3368</v>
      </c>
      <c r="BX108" s="164">
        <f t="shared" si="121"/>
        <v>747</v>
      </c>
      <c r="BY108" s="164">
        <f t="shared" si="120"/>
        <v>21.3</v>
      </c>
    </row>
    <row r="109" spans="1:77">
      <c r="A109" s="129" t="s">
        <v>315</v>
      </c>
      <c r="U109" s="129">
        <v>1082.4000000000001</v>
      </c>
      <c r="V109" s="129">
        <v>15.5</v>
      </c>
      <c r="X109" s="129">
        <v>1117.3</v>
      </c>
      <c r="AC109" s="129">
        <v>222.1</v>
      </c>
      <c r="AD109" s="129">
        <v>15</v>
      </c>
      <c r="AE109" s="129">
        <v>7.2</v>
      </c>
      <c r="AF109" s="129">
        <v>1111</v>
      </c>
      <c r="AG109" s="129">
        <v>504</v>
      </c>
      <c r="AI109" s="129">
        <v>200</v>
      </c>
      <c r="AJ109" s="129">
        <v>32</v>
      </c>
      <c r="AK109" s="129">
        <v>27</v>
      </c>
      <c r="AL109" s="129">
        <v>0</v>
      </c>
      <c r="AO109" s="129">
        <v>9</v>
      </c>
      <c r="AP109" s="129">
        <v>1.2</v>
      </c>
      <c r="AQ109" s="129">
        <v>0</v>
      </c>
      <c r="AR109" s="129">
        <v>5</v>
      </c>
      <c r="AS109" s="129">
        <v>0</v>
      </c>
      <c r="AT109" s="129">
        <v>0</v>
      </c>
      <c r="AU109" s="129">
        <v>0</v>
      </c>
      <c r="AV109" s="129">
        <v>0</v>
      </c>
      <c r="AW109" s="129">
        <v>472445</v>
      </c>
      <c r="AX109" s="167">
        <v>45377</v>
      </c>
      <c r="AY109" s="162">
        <f t="shared" si="123"/>
        <v>10</v>
      </c>
      <c r="AZ109" s="163" t="s">
        <v>882</v>
      </c>
      <c r="BA109" s="162" t="b">
        <f t="shared" si="122"/>
        <v>0</v>
      </c>
      <c r="BF109" s="164">
        <f t="shared" ref="BF109:BF111" si="154">SUM(U109+C109-AO109-AP109-AR109)</f>
        <v>1067.2</v>
      </c>
      <c r="BG109" s="164">
        <f t="shared" ref="BG109:BG111" si="155">SUM(E109+F109+V109+W109)</f>
        <v>15.5</v>
      </c>
      <c r="BH109" s="164"/>
      <c r="BI109" s="164">
        <f t="shared" ref="BI109:BI111" si="156">SUM(AC109+H109)</f>
        <v>222.1</v>
      </c>
      <c r="BJ109" s="164">
        <f t="shared" ref="BJ109:BJ111" si="157">SUM(AD109+I109)</f>
        <v>15</v>
      </c>
      <c r="BK109" s="164">
        <f t="shared" ref="BK109:BK111" si="158">SUM(AE109+J109)</f>
        <v>7.2</v>
      </c>
      <c r="BL109" s="164">
        <f t="shared" ref="BL109:BL111" si="159">SUM(AF109+K109)</f>
        <v>1111</v>
      </c>
      <c r="BM109" s="164">
        <f t="shared" ref="BM109:BM111" si="160">SUM(AG109+L109)</f>
        <v>504</v>
      </c>
      <c r="BN109" s="164">
        <f t="shared" ref="BN109:BN111" si="161">SUM(AI109+M109)</f>
        <v>200</v>
      </c>
      <c r="BO109" s="164">
        <f t="shared" ref="BO109:BO111" si="162">SUM(AJ109+R109)</f>
        <v>32</v>
      </c>
      <c r="BP109" s="164">
        <f t="shared" ref="BP109:BP111" si="163">SUM(AK109+R109)</f>
        <v>27</v>
      </c>
      <c r="BQ109" s="164">
        <f t="shared" ref="BQ109:BQ111" si="164">SUM(S109+AK109)</f>
        <v>27</v>
      </c>
      <c r="BR109" s="164">
        <f t="shared" ref="BR109:BR111" si="165">SUM(T109+AL109)</f>
        <v>0</v>
      </c>
      <c r="BS109" s="129">
        <f>SUMIF('Audit HD AR - School Level'!$A$6:A3608, "=" &amp; A109,'Audit HD AR - School Level'!$Q$6:Q3608)</f>
        <v>37.4</v>
      </c>
      <c r="BT109" s="168">
        <f t="shared" ref="BT109:BT111" si="166">SUM(AS109-AQ109)*$BT$2</f>
        <v>0</v>
      </c>
      <c r="BU109" s="168">
        <f t="shared" ref="BU109:BU111" si="167">SUM(AU109-AR109)*$BT$2</f>
        <v>-3545</v>
      </c>
      <c r="BW109" s="168">
        <f t="shared" ref="BW109:BW111" si="168">IF(BT109+BU109+BV109&gt;0,0,BT109+BU109+BV109)</f>
        <v>-3545</v>
      </c>
      <c r="BX109" s="164">
        <f t="shared" si="121"/>
        <v>1072.2</v>
      </c>
      <c r="BY109" s="164">
        <f t="shared" si="120"/>
        <v>15.5</v>
      </c>
    </row>
    <row r="110" spans="1:77">
      <c r="A110" s="129" t="s">
        <v>391</v>
      </c>
      <c r="U110" s="129">
        <v>1648.6</v>
      </c>
      <c r="V110" s="129">
        <v>39</v>
      </c>
      <c r="X110" s="129">
        <v>1736.5</v>
      </c>
      <c r="AC110" s="129">
        <v>521.70000000000005</v>
      </c>
      <c r="AD110" s="129">
        <v>47</v>
      </c>
      <c r="AE110" s="129">
        <v>69.8</v>
      </c>
      <c r="AF110" s="129">
        <v>1746</v>
      </c>
      <c r="AG110" s="129">
        <v>944</v>
      </c>
      <c r="AI110" s="129">
        <v>569</v>
      </c>
      <c r="AJ110" s="129">
        <v>1016</v>
      </c>
      <c r="AK110" s="129">
        <v>12</v>
      </c>
      <c r="AL110" s="129">
        <v>0</v>
      </c>
      <c r="AO110" s="129">
        <v>0</v>
      </c>
      <c r="AP110" s="129">
        <v>0</v>
      </c>
      <c r="AQ110" s="129">
        <v>0</v>
      </c>
      <c r="AR110" s="129">
        <v>0</v>
      </c>
      <c r="AS110" s="129">
        <v>0</v>
      </c>
      <c r="AT110" s="129">
        <v>0</v>
      </c>
      <c r="AU110" s="129">
        <v>0</v>
      </c>
      <c r="AV110" s="129">
        <v>0</v>
      </c>
      <c r="AW110" s="129">
        <v>1002223</v>
      </c>
      <c r="AX110" s="167">
        <v>45377</v>
      </c>
      <c r="AY110" s="162">
        <f t="shared" si="123"/>
        <v>10</v>
      </c>
      <c r="AZ110" s="163" t="s">
        <v>882</v>
      </c>
      <c r="BA110" s="162" t="b">
        <f t="shared" si="122"/>
        <v>0</v>
      </c>
      <c r="BF110" s="164">
        <f t="shared" si="154"/>
        <v>1648.6</v>
      </c>
      <c r="BG110" s="164">
        <f t="shared" si="155"/>
        <v>39</v>
      </c>
      <c r="BH110" s="164"/>
      <c r="BI110" s="164">
        <f t="shared" si="156"/>
        <v>521.70000000000005</v>
      </c>
      <c r="BJ110" s="164">
        <f t="shared" si="157"/>
        <v>47</v>
      </c>
      <c r="BK110" s="164">
        <f t="shared" si="158"/>
        <v>69.8</v>
      </c>
      <c r="BL110" s="164">
        <f t="shared" si="159"/>
        <v>1746</v>
      </c>
      <c r="BM110" s="164">
        <f t="shared" si="160"/>
        <v>944</v>
      </c>
      <c r="BN110" s="164">
        <f t="shared" si="161"/>
        <v>569</v>
      </c>
      <c r="BO110" s="164">
        <f t="shared" si="162"/>
        <v>1016</v>
      </c>
      <c r="BP110" s="164">
        <f t="shared" si="163"/>
        <v>12</v>
      </c>
      <c r="BQ110" s="164">
        <f t="shared" si="164"/>
        <v>12</v>
      </c>
      <c r="BR110" s="164">
        <f t="shared" si="165"/>
        <v>0</v>
      </c>
      <c r="BS110" s="129">
        <f>SUMIF('Audit HD AR - School Level'!$A$6:A3610, "=" &amp; A110,'Audit HD AR - School Level'!$Q$6:Q3610)</f>
        <v>87.3</v>
      </c>
      <c r="BT110" s="168">
        <f t="shared" si="166"/>
        <v>0</v>
      </c>
      <c r="BU110" s="168">
        <f t="shared" si="167"/>
        <v>0</v>
      </c>
      <c r="BW110" s="168">
        <f t="shared" si="168"/>
        <v>0</v>
      </c>
      <c r="BX110" s="164">
        <f t="shared" si="121"/>
        <v>1648.6</v>
      </c>
      <c r="BY110" s="164">
        <f t="shared" si="120"/>
        <v>39</v>
      </c>
    </row>
    <row r="111" spans="1:77">
      <c r="A111" s="129" t="s">
        <v>433</v>
      </c>
      <c r="U111" s="129">
        <v>1913.9</v>
      </c>
      <c r="V111" s="129">
        <v>14.5</v>
      </c>
      <c r="X111" s="129">
        <v>1912.3</v>
      </c>
      <c r="AC111" s="129">
        <v>491.3</v>
      </c>
      <c r="AD111" s="129">
        <v>29</v>
      </c>
      <c r="AE111" s="129">
        <v>38.9</v>
      </c>
      <c r="AF111" s="129">
        <v>1940</v>
      </c>
      <c r="AG111" s="129">
        <v>444</v>
      </c>
      <c r="AI111" s="129">
        <v>605</v>
      </c>
      <c r="AJ111" s="129">
        <v>144</v>
      </c>
      <c r="AK111" s="129">
        <v>32</v>
      </c>
      <c r="AL111" s="129">
        <v>0</v>
      </c>
      <c r="AO111" s="129">
        <v>14</v>
      </c>
      <c r="AP111" s="129">
        <v>1.7</v>
      </c>
      <c r="AQ111" s="129">
        <v>0</v>
      </c>
      <c r="AR111" s="129">
        <v>0</v>
      </c>
      <c r="AS111" s="129">
        <v>0</v>
      </c>
      <c r="AT111" s="129">
        <v>0</v>
      </c>
      <c r="AU111" s="129">
        <v>0</v>
      </c>
      <c r="AV111" s="129">
        <v>1</v>
      </c>
      <c r="AW111" s="129">
        <v>594217</v>
      </c>
      <c r="AX111" s="167">
        <v>45377</v>
      </c>
      <c r="AY111" s="162">
        <f t="shared" si="123"/>
        <v>10</v>
      </c>
      <c r="AZ111" s="163" t="s">
        <v>882</v>
      </c>
      <c r="BA111" s="162" t="b">
        <f t="shared" si="122"/>
        <v>0</v>
      </c>
      <c r="BF111" s="164">
        <f t="shared" si="154"/>
        <v>1898.2</v>
      </c>
      <c r="BG111" s="164">
        <f t="shared" si="155"/>
        <v>14.5</v>
      </c>
      <c r="BH111" s="164"/>
      <c r="BI111" s="164">
        <f t="shared" si="156"/>
        <v>491.3</v>
      </c>
      <c r="BJ111" s="164">
        <f t="shared" si="157"/>
        <v>29</v>
      </c>
      <c r="BK111" s="164">
        <f t="shared" si="158"/>
        <v>38.9</v>
      </c>
      <c r="BL111" s="164">
        <f t="shared" si="159"/>
        <v>1940</v>
      </c>
      <c r="BM111" s="164">
        <f t="shared" si="160"/>
        <v>444</v>
      </c>
      <c r="BN111" s="164">
        <f t="shared" si="161"/>
        <v>605</v>
      </c>
      <c r="BO111" s="164">
        <f t="shared" si="162"/>
        <v>144</v>
      </c>
      <c r="BP111" s="164">
        <f t="shared" si="163"/>
        <v>32</v>
      </c>
      <c r="BQ111" s="164">
        <f t="shared" si="164"/>
        <v>32</v>
      </c>
      <c r="BR111" s="164">
        <f t="shared" si="165"/>
        <v>0</v>
      </c>
      <c r="BS111" s="129">
        <f>SUMIF('Audit HD AR - School Level'!$A$6:A3611, "=" &amp; A111,'Audit HD AR - School Level'!$Q$6:Q3611)</f>
        <v>0</v>
      </c>
      <c r="BT111" s="168">
        <f t="shared" si="166"/>
        <v>0</v>
      </c>
      <c r="BU111" s="168">
        <f t="shared" si="167"/>
        <v>0</v>
      </c>
      <c r="BV111" s="129">
        <v>-5600</v>
      </c>
      <c r="BW111" s="168">
        <f t="shared" si="168"/>
        <v>-5600</v>
      </c>
      <c r="BX111" s="164">
        <f t="shared" si="121"/>
        <v>1898.2</v>
      </c>
      <c r="BY111" s="164">
        <f t="shared" si="120"/>
        <v>14.5</v>
      </c>
    </row>
    <row r="112" spans="1:77">
      <c r="A112" s="129" t="s">
        <v>212</v>
      </c>
      <c r="U112" s="129">
        <v>133.1</v>
      </c>
      <c r="V112" s="129">
        <v>3</v>
      </c>
      <c r="X112" s="129">
        <v>134</v>
      </c>
      <c r="AC112" s="129">
        <v>0</v>
      </c>
      <c r="AD112" s="129">
        <v>31</v>
      </c>
      <c r="AE112" s="129">
        <v>131.19999999999999</v>
      </c>
      <c r="AF112" s="129">
        <v>140</v>
      </c>
      <c r="AG112" s="129">
        <v>65</v>
      </c>
      <c r="AI112" s="129">
        <v>22</v>
      </c>
      <c r="AJ112" s="129">
        <v>4</v>
      </c>
      <c r="AK112" s="129">
        <v>34.5</v>
      </c>
      <c r="AL112" s="129">
        <v>0</v>
      </c>
      <c r="AO112" s="129">
        <v>0</v>
      </c>
      <c r="AP112" s="129">
        <v>0</v>
      </c>
      <c r="AQ112" s="129">
        <v>0</v>
      </c>
      <c r="AR112" s="129">
        <v>0</v>
      </c>
      <c r="AS112" s="129">
        <v>0</v>
      </c>
      <c r="AT112" s="129">
        <v>0</v>
      </c>
      <c r="AU112" s="129">
        <v>0</v>
      </c>
      <c r="AV112" s="129">
        <v>0</v>
      </c>
      <c r="AW112" s="129">
        <v>93602</v>
      </c>
      <c r="AX112" s="167">
        <v>45377</v>
      </c>
      <c r="AY112" s="162">
        <f t="shared" si="123"/>
        <v>10</v>
      </c>
      <c r="AZ112" s="163" t="s">
        <v>882</v>
      </c>
      <c r="BA112" s="162" t="b">
        <f t="shared" si="122"/>
        <v>0</v>
      </c>
      <c r="BF112" s="164">
        <f t="shared" ref="BF112:BF113" si="169">SUM(U112+C112-AO112-AP112-AR112)</f>
        <v>133.1</v>
      </c>
      <c r="BG112" s="164">
        <f t="shared" ref="BG112:BG113" si="170">SUM(E112+F112+V112+W112)</f>
        <v>3</v>
      </c>
      <c r="BH112" s="164"/>
      <c r="BI112" s="164">
        <f t="shared" ref="BI112:BI113" si="171">SUM(AC112+H112)</f>
        <v>0</v>
      </c>
      <c r="BJ112" s="164">
        <f t="shared" ref="BJ112:BJ113" si="172">SUM(AD112+I112)</f>
        <v>31</v>
      </c>
      <c r="BK112" s="164">
        <f t="shared" ref="BK112:BK113" si="173">SUM(AE112+J112)</f>
        <v>131.19999999999999</v>
      </c>
      <c r="BL112" s="164">
        <f t="shared" ref="BL112:BL113" si="174">SUM(AF112+K112)</f>
        <v>140</v>
      </c>
      <c r="BM112" s="164">
        <f t="shared" ref="BM112:BM113" si="175">SUM(AG112+L112)</f>
        <v>65</v>
      </c>
      <c r="BN112" s="164">
        <f t="shared" ref="BN112:BN113" si="176">SUM(AI112+M112)</f>
        <v>22</v>
      </c>
      <c r="BO112" s="164">
        <f t="shared" ref="BO112:BO113" si="177">SUM(AJ112+R112)</f>
        <v>4</v>
      </c>
      <c r="BP112" s="164">
        <f t="shared" ref="BP112:BP113" si="178">SUM(AK112+R112)</f>
        <v>34.5</v>
      </c>
      <c r="BQ112" s="164">
        <f t="shared" ref="BQ112:BQ113" si="179">SUM(S112+AK112)</f>
        <v>34.5</v>
      </c>
      <c r="BR112" s="164">
        <f t="shared" ref="BR112:BR113" si="180">SUM(T112+AL112)</f>
        <v>0</v>
      </c>
      <c r="BS112" s="129">
        <f>SUMIF('Audit HD AR - School Level'!$A$6:A3613, "=" &amp; A112,'Audit HD AR - School Level'!$Q$6:Q3613)</f>
        <v>4.7</v>
      </c>
      <c r="BT112" s="168">
        <f t="shared" ref="BT112:BT113" si="181">SUM(AS112-AQ112)*$BT$2</f>
        <v>0</v>
      </c>
      <c r="BU112" s="168">
        <f t="shared" ref="BU112:BU113" si="182">SUM(AU112-AR112)*$BT$2</f>
        <v>0</v>
      </c>
      <c r="BW112" s="168">
        <f t="shared" ref="BW112:BW113" si="183">IF(BT112+BU112+BV112&gt;0,0,BT112+BU112+BV112)</f>
        <v>0</v>
      </c>
      <c r="BX112" s="164">
        <f t="shared" si="121"/>
        <v>133.1</v>
      </c>
      <c r="BY112" s="164">
        <f t="shared" ref="BY112:BY119" si="184">BG112</f>
        <v>3</v>
      </c>
    </row>
    <row r="113" spans="1:78">
      <c r="A113" s="129" t="s">
        <v>345</v>
      </c>
      <c r="U113" s="129">
        <v>719.2</v>
      </c>
      <c r="V113" s="129">
        <v>17.5</v>
      </c>
      <c r="X113" s="129">
        <v>768.5</v>
      </c>
      <c r="AC113" s="129">
        <v>362.1</v>
      </c>
      <c r="AD113" s="129">
        <v>2</v>
      </c>
      <c r="AE113" s="129">
        <v>1.7</v>
      </c>
      <c r="AF113" s="129">
        <v>772</v>
      </c>
      <c r="AG113" s="129">
        <v>337</v>
      </c>
      <c r="AI113" s="129">
        <v>216.5</v>
      </c>
      <c r="AJ113" s="129">
        <v>58</v>
      </c>
      <c r="AK113" s="129">
        <v>26.5</v>
      </c>
      <c r="AL113" s="129">
        <v>0</v>
      </c>
      <c r="AO113" s="129">
        <v>0</v>
      </c>
      <c r="AP113" s="129">
        <v>0</v>
      </c>
      <c r="AQ113" s="129">
        <v>0</v>
      </c>
      <c r="AR113" s="129">
        <v>0</v>
      </c>
      <c r="AS113" s="129">
        <v>0</v>
      </c>
      <c r="AT113" s="129">
        <v>0</v>
      </c>
      <c r="AU113" s="129">
        <v>0</v>
      </c>
      <c r="AV113" s="129">
        <v>0</v>
      </c>
      <c r="AW113" s="129">
        <v>279860</v>
      </c>
      <c r="AX113" s="167">
        <v>45377</v>
      </c>
      <c r="AY113" s="162">
        <f t="shared" si="123"/>
        <v>10</v>
      </c>
      <c r="AZ113" s="163" t="s">
        <v>882</v>
      </c>
      <c r="BA113" s="162" t="b">
        <f t="shared" si="122"/>
        <v>0</v>
      </c>
      <c r="BF113" s="164">
        <f t="shared" si="169"/>
        <v>719.2</v>
      </c>
      <c r="BG113" s="164">
        <f t="shared" si="170"/>
        <v>17.5</v>
      </c>
      <c r="BH113" s="164"/>
      <c r="BI113" s="164">
        <f t="shared" si="171"/>
        <v>362.1</v>
      </c>
      <c r="BJ113" s="164">
        <f t="shared" si="172"/>
        <v>2</v>
      </c>
      <c r="BK113" s="164">
        <f t="shared" si="173"/>
        <v>1.7</v>
      </c>
      <c r="BL113" s="164">
        <f t="shared" si="174"/>
        <v>772</v>
      </c>
      <c r="BM113" s="164">
        <f t="shared" si="175"/>
        <v>337</v>
      </c>
      <c r="BN113" s="164">
        <f t="shared" si="176"/>
        <v>216.5</v>
      </c>
      <c r="BO113" s="164">
        <f t="shared" si="177"/>
        <v>58</v>
      </c>
      <c r="BP113" s="164">
        <f t="shared" si="178"/>
        <v>26.5</v>
      </c>
      <c r="BQ113" s="164">
        <f t="shared" si="179"/>
        <v>26.5</v>
      </c>
      <c r="BR113" s="164">
        <f t="shared" si="180"/>
        <v>0</v>
      </c>
      <c r="BS113" s="129">
        <f>SUMIF('Audit HD AR - School Level'!$A$6:A3614, "=" &amp; A113,'Audit HD AR - School Level'!$Q$6:Q3614)</f>
        <v>22.5</v>
      </c>
      <c r="BT113" s="168">
        <f t="shared" si="181"/>
        <v>0</v>
      </c>
      <c r="BU113" s="168">
        <f t="shared" si="182"/>
        <v>0</v>
      </c>
      <c r="BW113" s="168">
        <f t="shared" si="183"/>
        <v>0</v>
      </c>
      <c r="BX113" s="164">
        <f t="shared" si="121"/>
        <v>719.2</v>
      </c>
      <c r="BY113" s="164">
        <f t="shared" si="184"/>
        <v>17.5</v>
      </c>
    </row>
    <row r="114" spans="1:78">
      <c r="A114" s="129" t="s">
        <v>222</v>
      </c>
      <c r="U114" s="129">
        <v>192.3</v>
      </c>
      <c r="V114" s="129">
        <v>2</v>
      </c>
      <c r="X114" s="129">
        <v>198.8</v>
      </c>
      <c r="AC114" s="129">
        <v>56.2</v>
      </c>
      <c r="AD114" s="129">
        <v>15</v>
      </c>
      <c r="AE114" s="129">
        <v>24.5</v>
      </c>
      <c r="AF114" s="129">
        <v>199</v>
      </c>
      <c r="AG114" s="129">
        <v>77</v>
      </c>
      <c r="AI114" s="129">
        <v>26.5</v>
      </c>
      <c r="AJ114" s="129">
        <v>5</v>
      </c>
      <c r="AK114" s="129">
        <v>2</v>
      </c>
      <c r="AL114" s="129">
        <v>0</v>
      </c>
      <c r="AO114" s="129">
        <v>0</v>
      </c>
      <c r="AP114" s="129">
        <v>0</v>
      </c>
      <c r="AQ114" s="129">
        <v>0</v>
      </c>
      <c r="AR114" s="129">
        <v>0</v>
      </c>
      <c r="AS114" s="129">
        <v>0</v>
      </c>
      <c r="AT114" s="129">
        <v>0</v>
      </c>
      <c r="AU114" s="129">
        <v>0</v>
      </c>
      <c r="AV114" s="129">
        <v>0</v>
      </c>
      <c r="AW114" s="129">
        <v>161728</v>
      </c>
      <c r="AX114" s="167">
        <v>45379</v>
      </c>
      <c r="AY114" s="162">
        <f t="shared" si="123"/>
        <v>11</v>
      </c>
      <c r="AZ114" s="163" t="s">
        <v>882</v>
      </c>
      <c r="BA114" s="162" t="b">
        <f t="shared" si="122"/>
        <v>0</v>
      </c>
      <c r="BF114" s="164">
        <f t="shared" ref="BF114:BF119" si="185">SUM(U114+C114-AO114-AP114-AR114)</f>
        <v>192.3</v>
      </c>
      <c r="BG114" s="164">
        <f t="shared" ref="BG114:BG119" si="186">SUM(E114+F114+V114+W114)</f>
        <v>2</v>
      </c>
      <c r="BH114" s="164"/>
      <c r="BI114" s="164">
        <f t="shared" ref="BI114:BI119" si="187">SUM(AC114+H114)</f>
        <v>56.2</v>
      </c>
      <c r="BJ114" s="164">
        <f t="shared" ref="BJ114:BJ119" si="188">SUM(AD114+I114)</f>
        <v>15</v>
      </c>
      <c r="BK114" s="164">
        <f t="shared" ref="BK114:BK119" si="189">SUM(AE114+J114)</f>
        <v>24.5</v>
      </c>
      <c r="BL114" s="164">
        <f t="shared" ref="BL114:BL119" si="190">SUM(AF114+K114)</f>
        <v>199</v>
      </c>
      <c r="BM114" s="164">
        <f t="shared" ref="BM114:BM119" si="191">SUM(AG114+L114)</f>
        <v>77</v>
      </c>
      <c r="BN114" s="164">
        <f t="shared" ref="BN114:BN119" si="192">SUM(AI114+M114)</f>
        <v>26.5</v>
      </c>
      <c r="BO114" s="164">
        <f t="shared" ref="BO114:BO119" si="193">SUM(AJ114+R114)</f>
        <v>5</v>
      </c>
      <c r="BP114" s="164">
        <f t="shared" ref="BP114:BP119" si="194">SUM(AK114+R114)</f>
        <v>2</v>
      </c>
      <c r="BQ114" s="164">
        <f t="shared" ref="BQ114:BQ119" si="195">SUM(S114+AK114)</f>
        <v>2</v>
      </c>
      <c r="BR114" s="164">
        <f t="shared" ref="BR114:BR119" si="196">SUM(T114+AL114)</f>
        <v>0</v>
      </c>
      <c r="BS114" s="129">
        <f>SUMIF('Audit HD AR - School Level'!$A$6:A3615, "=" &amp; A114,'Audit HD AR - School Level'!$Q$6:Q3615)</f>
        <v>3.3</v>
      </c>
      <c r="BT114" s="168">
        <f t="shared" ref="BT114:BT119" si="197">SUM(AS114-AQ114)*$BT$2</f>
        <v>0</v>
      </c>
      <c r="BU114" s="168">
        <f t="shared" ref="BU114:BU119" si="198">SUM(AU114-AR114)*$BT$2</f>
        <v>0</v>
      </c>
      <c r="BW114" s="168">
        <f t="shared" ref="BW114:BW119" si="199">IF(BT114+BU114+BV114&gt;0,0,BT114+BU114+BV114)</f>
        <v>0</v>
      </c>
      <c r="BX114" s="164">
        <f t="shared" si="121"/>
        <v>192.3</v>
      </c>
      <c r="BY114" s="164">
        <f t="shared" si="184"/>
        <v>2</v>
      </c>
    </row>
    <row r="115" spans="1:78">
      <c r="A115" s="129" t="s">
        <v>276</v>
      </c>
      <c r="U115" s="129">
        <v>364.2</v>
      </c>
      <c r="V115" s="129">
        <v>4.5</v>
      </c>
      <c r="X115" s="129">
        <v>364.5</v>
      </c>
      <c r="AC115" s="129">
        <v>61.7</v>
      </c>
      <c r="AD115" s="129">
        <v>2</v>
      </c>
      <c r="AE115" s="129">
        <v>6</v>
      </c>
      <c r="AF115" s="129">
        <v>367</v>
      </c>
      <c r="AG115" s="129">
        <v>122</v>
      </c>
      <c r="AI115" s="129">
        <v>146</v>
      </c>
      <c r="AJ115" s="129">
        <v>95.5</v>
      </c>
      <c r="AK115" s="129">
        <v>34.5</v>
      </c>
      <c r="AL115" s="129">
        <v>0</v>
      </c>
      <c r="AO115" s="129">
        <v>3</v>
      </c>
      <c r="AP115" s="129">
        <v>5.3</v>
      </c>
      <c r="AQ115" s="129">
        <v>0</v>
      </c>
      <c r="AR115" s="129">
        <v>5</v>
      </c>
      <c r="AS115" s="129">
        <v>0</v>
      </c>
      <c r="AT115" s="129">
        <v>0</v>
      </c>
      <c r="AU115" s="129">
        <v>0</v>
      </c>
      <c r="AV115" s="129">
        <v>0</v>
      </c>
      <c r="AW115" s="129">
        <v>370887</v>
      </c>
      <c r="AX115" s="167">
        <v>45379</v>
      </c>
      <c r="AY115" s="162">
        <f t="shared" si="123"/>
        <v>11</v>
      </c>
      <c r="AZ115" s="163" t="s">
        <v>882</v>
      </c>
      <c r="BA115" s="162" t="b">
        <f t="shared" si="122"/>
        <v>0</v>
      </c>
      <c r="BF115" s="164">
        <f t="shared" si="185"/>
        <v>350.9</v>
      </c>
      <c r="BG115" s="164">
        <f t="shared" si="186"/>
        <v>4.5</v>
      </c>
      <c r="BH115" s="164"/>
      <c r="BI115" s="164">
        <f t="shared" si="187"/>
        <v>61.7</v>
      </c>
      <c r="BJ115" s="164">
        <f t="shared" si="188"/>
        <v>2</v>
      </c>
      <c r="BK115" s="164">
        <f t="shared" si="189"/>
        <v>6</v>
      </c>
      <c r="BL115" s="164">
        <f t="shared" si="190"/>
        <v>367</v>
      </c>
      <c r="BM115" s="164">
        <f t="shared" si="191"/>
        <v>122</v>
      </c>
      <c r="BN115" s="164">
        <f t="shared" si="192"/>
        <v>146</v>
      </c>
      <c r="BO115" s="164">
        <f t="shared" si="193"/>
        <v>95.5</v>
      </c>
      <c r="BP115" s="164">
        <f t="shared" si="194"/>
        <v>34.5</v>
      </c>
      <c r="BQ115" s="164">
        <f t="shared" si="195"/>
        <v>34.5</v>
      </c>
      <c r="BR115" s="164">
        <f t="shared" si="196"/>
        <v>0</v>
      </c>
      <c r="BS115" s="129">
        <f>SUMIF('Audit HD AR - School Level'!$A$6:A3616, "=" &amp; A115,'Audit HD AR - School Level'!$Q$6:Q3616)</f>
        <v>0.1</v>
      </c>
      <c r="BT115" s="168">
        <f t="shared" si="197"/>
        <v>0</v>
      </c>
      <c r="BU115" s="168">
        <f t="shared" si="198"/>
        <v>-3545</v>
      </c>
      <c r="BW115" s="168">
        <f t="shared" si="199"/>
        <v>-3545</v>
      </c>
      <c r="BX115" s="164">
        <f t="shared" si="121"/>
        <v>355.9</v>
      </c>
      <c r="BY115" s="164">
        <f t="shared" si="184"/>
        <v>4.5</v>
      </c>
    </row>
    <row r="116" spans="1:78">
      <c r="A116" s="129" t="s">
        <v>293</v>
      </c>
      <c r="U116" s="129">
        <v>667.5</v>
      </c>
      <c r="V116" s="129">
        <v>0</v>
      </c>
      <c r="X116" s="129">
        <v>678.5</v>
      </c>
      <c r="AC116" s="129">
        <v>207.6</v>
      </c>
      <c r="AD116" s="129">
        <v>0</v>
      </c>
      <c r="AE116" s="129">
        <v>0</v>
      </c>
      <c r="AF116" s="129">
        <v>672</v>
      </c>
      <c r="AG116" s="129">
        <v>153</v>
      </c>
      <c r="AI116" s="129">
        <v>449</v>
      </c>
      <c r="AJ116" s="129">
        <v>19</v>
      </c>
      <c r="AK116" s="129">
        <v>1</v>
      </c>
      <c r="AL116" s="129">
        <v>0</v>
      </c>
      <c r="AO116" s="129">
        <v>0</v>
      </c>
      <c r="AP116" s="129">
        <v>0</v>
      </c>
      <c r="AQ116" s="129">
        <v>0</v>
      </c>
      <c r="AR116" s="129">
        <v>0</v>
      </c>
      <c r="AS116" s="129">
        <v>0</v>
      </c>
      <c r="AT116" s="129">
        <v>0</v>
      </c>
      <c r="AU116" s="129">
        <v>0</v>
      </c>
      <c r="AV116" s="129">
        <v>0</v>
      </c>
      <c r="AW116" s="129">
        <v>409311</v>
      </c>
      <c r="AX116" s="167">
        <v>45379</v>
      </c>
      <c r="AY116" s="162">
        <f t="shared" si="123"/>
        <v>11</v>
      </c>
      <c r="AZ116" s="163" t="s">
        <v>882</v>
      </c>
      <c r="BA116" s="162" t="b">
        <f t="shared" si="122"/>
        <v>0</v>
      </c>
      <c r="BF116" s="164">
        <f t="shared" si="185"/>
        <v>667.5</v>
      </c>
      <c r="BG116" s="164">
        <f t="shared" si="186"/>
        <v>0</v>
      </c>
      <c r="BH116" s="164"/>
      <c r="BI116" s="164">
        <f t="shared" si="187"/>
        <v>207.6</v>
      </c>
      <c r="BJ116" s="164">
        <f t="shared" si="188"/>
        <v>0</v>
      </c>
      <c r="BK116" s="164">
        <f t="shared" si="189"/>
        <v>0</v>
      </c>
      <c r="BL116" s="164">
        <f t="shared" si="190"/>
        <v>672</v>
      </c>
      <c r="BM116" s="164">
        <f t="shared" si="191"/>
        <v>153</v>
      </c>
      <c r="BN116" s="164">
        <f t="shared" si="192"/>
        <v>449</v>
      </c>
      <c r="BO116" s="164">
        <f t="shared" si="193"/>
        <v>19</v>
      </c>
      <c r="BP116" s="164">
        <f t="shared" si="194"/>
        <v>1</v>
      </c>
      <c r="BQ116" s="164">
        <f t="shared" si="195"/>
        <v>1</v>
      </c>
      <c r="BR116" s="164">
        <f t="shared" si="196"/>
        <v>0</v>
      </c>
      <c r="BS116" s="129">
        <f>SUMIF('Audit HD AR - School Level'!$A$6:A3617, "=" &amp; A116,'Audit HD AR - School Level'!$Q$6:Q3617)</f>
        <v>0</v>
      </c>
      <c r="BT116" s="168">
        <f t="shared" si="197"/>
        <v>0</v>
      </c>
      <c r="BU116" s="168">
        <f t="shared" si="198"/>
        <v>0</v>
      </c>
      <c r="BW116" s="168">
        <f t="shared" si="199"/>
        <v>0</v>
      </c>
      <c r="BX116" s="164">
        <f t="shared" si="121"/>
        <v>667.5</v>
      </c>
      <c r="BY116" s="164">
        <f t="shared" si="184"/>
        <v>0</v>
      </c>
    </row>
    <row r="117" spans="1:78">
      <c r="A117" s="129" t="s">
        <v>298</v>
      </c>
      <c r="U117" s="129">
        <v>272.89999999999998</v>
      </c>
      <c r="V117" s="129">
        <v>13</v>
      </c>
      <c r="X117" s="129">
        <v>312.10000000000002</v>
      </c>
      <c r="AC117" s="129">
        <v>36</v>
      </c>
      <c r="AD117" s="129">
        <v>0</v>
      </c>
      <c r="AE117" s="129">
        <v>0</v>
      </c>
      <c r="AF117" s="129">
        <v>298</v>
      </c>
      <c r="AG117" s="129">
        <v>119</v>
      </c>
      <c r="AI117" s="129">
        <v>117</v>
      </c>
      <c r="AJ117" s="129">
        <v>0</v>
      </c>
      <c r="AK117" s="129">
        <v>17</v>
      </c>
      <c r="AL117" s="129">
        <v>0</v>
      </c>
      <c r="AO117" s="129">
        <v>3</v>
      </c>
      <c r="AP117" s="129">
        <v>0</v>
      </c>
      <c r="AQ117" s="129">
        <v>0</v>
      </c>
      <c r="AR117" s="129">
        <v>0</v>
      </c>
      <c r="AS117" s="129">
        <v>0</v>
      </c>
      <c r="AT117" s="129">
        <v>0</v>
      </c>
      <c r="AU117" s="129">
        <v>0</v>
      </c>
      <c r="AV117" s="129">
        <v>0</v>
      </c>
      <c r="AW117" s="129">
        <v>96539</v>
      </c>
      <c r="AX117" s="167">
        <v>45379</v>
      </c>
      <c r="AY117" s="162">
        <f t="shared" si="123"/>
        <v>11</v>
      </c>
      <c r="AZ117" s="163" t="s">
        <v>882</v>
      </c>
      <c r="BA117" s="162" t="b">
        <f t="shared" si="122"/>
        <v>0</v>
      </c>
      <c r="BF117" s="164">
        <f t="shared" si="185"/>
        <v>269.89999999999998</v>
      </c>
      <c r="BG117" s="164">
        <f t="shared" si="186"/>
        <v>13</v>
      </c>
      <c r="BH117" s="164"/>
      <c r="BI117" s="164">
        <f t="shared" si="187"/>
        <v>36</v>
      </c>
      <c r="BJ117" s="164">
        <f t="shared" si="188"/>
        <v>0</v>
      </c>
      <c r="BK117" s="164">
        <f t="shared" si="189"/>
        <v>0</v>
      </c>
      <c r="BL117" s="164">
        <f t="shared" si="190"/>
        <v>298</v>
      </c>
      <c r="BM117" s="164">
        <f t="shared" si="191"/>
        <v>119</v>
      </c>
      <c r="BN117" s="164">
        <f t="shared" si="192"/>
        <v>117</v>
      </c>
      <c r="BO117" s="164">
        <f t="shared" si="193"/>
        <v>0</v>
      </c>
      <c r="BP117" s="164">
        <f t="shared" si="194"/>
        <v>17</v>
      </c>
      <c r="BQ117" s="164">
        <f t="shared" si="195"/>
        <v>17</v>
      </c>
      <c r="BR117" s="164">
        <f t="shared" si="196"/>
        <v>0</v>
      </c>
      <c r="BS117" s="129">
        <f>SUMIF('Audit HD AR - School Level'!$A$6:A3618, "=" &amp; A117,'Audit HD AR - School Level'!$Q$6:Q3618)</f>
        <v>5.0999999999999996</v>
      </c>
      <c r="BT117" s="168">
        <f t="shared" si="197"/>
        <v>0</v>
      </c>
      <c r="BU117" s="168">
        <f t="shared" si="198"/>
        <v>0</v>
      </c>
      <c r="BW117" s="168">
        <f t="shared" si="199"/>
        <v>0</v>
      </c>
      <c r="BX117" s="164">
        <f t="shared" si="121"/>
        <v>269.89999999999998</v>
      </c>
      <c r="BY117" s="164">
        <f t="shared" si="184"/>
        <v>13</v>
      </c>
      <c r="BZ117" s="129">
        <v>1</v>
      </c>
    </row>
    <row r="118" spans="1:78">
      <c r="A118" s="129" t="s">
        <v>302</v>
      </c>
      <c r="U118" s="129">
        <v>908.1</v>
      </c>
      <c r="V118" s="129">
        <v>9</v>
      </c>
      <c r="X118" s="129">
        <v>950</v>
      </c>
      <c r="AC118" s="129">
        <v>262.2</v>
      </c>
      <c r="AD118" s="129">
        <v>64</v>
      </c>
      <c r="AE118" s="129">
        <v>117.8</v>
      </c>
      <c r="AF118" s="129">
        <v>937</v>
      </c>
      <c r="AG118" s="129">
        <v>274</v>
      </c>
      <c r="AI118" s="129">
        <v>174</v>
      </c>
      <c r="AJ118" s="129">
        <v>0</v>
      </c>
      <c r="AK118" s="129">
        <v>23</v>
      </c>
      <c r="AL118" s="129">
        <v>0</v>
      </c>
      <c r="AO118" s="129">
        <v>0</v>
      </c>
      <c r="AP118" s="129">
        <v>0</v>
      </c>
      <c r="AQ118" s="129">
        <v>0</v>
      </c>
      <c r="AR118" s="129">
        <v>0</v>
      </c>
      <c r="AS118" s="129">
        <v>0</v>
      </c>
      <c r="AT118" s="129">
        <v>0</v>
      </c>
      <c r="AU118" s="129">
        <v>0</v>
      </c>
      <c r="AV118" s="129">
        <v>0</v>
      </c>
      <c r="AW118" s="129">
        <v>242850</v>
      </c>
      <c r="AX118" s="167">
        <v>45379</v>
      </c>
      <c r="AY118" s="162">
        <f t="shared" si="123"/>
        <v>11</v>
      </c>
      <c r="AZ118" s="163" t="s">
        <v>882</v>
      </c>
      <c r="BA118" s="162" t="b">
        <f t="shared" si="122"/>
        <v>0</v>
      </c>
      <c r="BF118" s="164">
        <f t="shared" si="185"/>
        <v>908.1</v>
      </c>
      <c r="BG118" s="164">
        <f t="shared" si="186"/>
        <v>9</v>
      </c>
      <c r="BH118" s="164"/>
      <c r="BI118" s="164">
        <f t="shared" si="187"/>
        <v>262.2</v>
      </c>
      <c r="BJ118" s="164">
        <f t="shared" si="188"/>
        <v>64</v>
      </c>
      <c r="BK118" s="164">
        <f t="shared" si="189"/>
        <v>117.8</v>
      </c>
      <c r="BL118" s="164">
        <f t="shared" si="190"/>
        <v>937</v>
      </c>
      <c r="BM118" s="164">
        <f t="shared" si="191"/>
        <v>274</v>
      </c>
      <c r="BN118" s="164">
        <f t="shared" si="192"/>
        <v>174</v>
      </c>
      <c r="BO118" s="164">
        <f t="shared" si="193"/>
        <v>0</v>
      </c>
      <c r="BP118" s="164">
        <f t="shared" si="194"/>
        <v>23</v>
      </c>
      <c r="BQ118" s="164">
        <f t="shared" si="195"/>
        <v>23</v>
      </c>
      <c r="BR118" s="164">
        <f t="shared" si="196"/>
        <v>0</v>
      </c>
      <c r="BS118" s="129">
        <f>SUMIF('Audit HD AR - School Level'!$A$6:A3619, "=" &amp; A118,'Audit HD AR - School Level'!$Q$6:Q3619)</f>
        <v>0</v>
      </c>
      <c r="BT118" s="168">
        <f t="shared" si="197"/>
        <v>0</v>
      </c>
      <c r="BU118" s="168">
        <f t="shared" si="198"/>
        <v>0</v>
      </c>
      <c r="BW118" s="168">
        <f t="shared" si="199"/>
        <v>0</v>
      </c>
      <c r="BX118" s="164">
        <f t="shared" si="121"/>
        <v>908.1</v>
      </c>
      <c r="BY118" s="164">
        <f t="shared" si="184"/>
        <v>9</v>
      </c>
    </row>
    <row r="119" spans="1:78">
      <c r="A119" s="129" t="s">
        <v>398</v>
      </c>
      <c r="U119" s="129">
        <v>395</v>
      </c>
      <c r="V119" s="129">
        <v>5.5</v>
      </c>
      <c r="X119" s="129">
        <v>427.5</v>
      </c>
      <c r="AC119" s="129">
        <v>33.299999999999997</v>
      </c>
      <c r="AD119" s="129">
        <v>0</v>
      </c>
      <c r="AE119" s="129">
        <v>0</v>
      </c>
      <c r="AF119" s="129">
        <v>411</v>
      </c>
      <c r="AG119" s="129">
        <v>124</v>
      </c>
      <c r="AI119" s="129">
        <v>148</v>
      </c>
      <c r="AJ119" s="129">
        <v>8</v>
      </c>
      <c r="AK119" s="129">
        <v>20</v>
      </c>
      <c r="AL119" s="129">
        <v>0</v>
      </c>
      <c r="AO119" s="129">
        <v>1</v>
      </c>
      <c r="AP119" s="129">
        <v>0</v>
      </c>
      <c r="AQ119" s="129">
        <v>0</v>
      </c>
      <c r="AR119" s="129">
        <v>0</v>
      </c>
      <c r="AS119" s="129">
        <v>0</v>
      </c>
      <c r="AT119" s="129">
        <v>0</v>
      </c>
      <c r="AU119" s="129">
        <v>0</v>
      </c>
      <c r="AV119" s="129">
        <v>0</v>
      </c>
      <c r="AW119" s="129">
        <v>167344</v>
      </c>
      <c r="AX119" s="167">
        <v>45379</v>
      </c>
      <c r="AY119" s="162">
        <f t="shared" si="123"/>
        <v>11</v>
      </c>
      <c r="AZ119" s="163" t="s">
        <v>882</v>
      </c>
      <c r="BA119" s="162" t="b">
        <f t="shared" si="122"/>
        <v>0</v>
      </c>
      <c r="BF119" s="164">
        <f t="shared" si="185"/>
        <v>394</v>
      </c>
      <c r="BG119" s="164">
        <f t="shared" si="186"/>
        <v>5.5</v>
      </c>
      <c r="BH119" s="164"/>
      <c r="BI119" s="164">
        <f t="shared" si="187"/>
        <v>33.299999999999997</v>
      </c>
      <c r="BJ119" s="164">
        <f t="shared" si="188"/>
        <v>0</v>
      </c>
      <c r="BK119" s="164">
        <f t="shared" si="189"/>
        <v>0</v>
      </c>
      <c r="BL119" s="164">
        <f t="shared" si="190"/>
        <v>411</v>
      </c>
      <c r="BM119" s="164">
        <f t="shared" si="191"/>
        <v>124</v>
      </c>
      <c r="BN119" s="164">
        <f t="shared" si="192"/>
        <v>148</v>
      </c>
      <c r="BO119" s="164">
        <f t="shared" si="193"/>
        <v>8</v>
      </c>
      <c r="BP119" s="164">
        <f t="shared" si="194"/>
        <v>20</v>
      </c>
      <c r="BQ119" s="164">
        <f t="shared" si="195"/>
        <v>20</v>
      </c>
      <c r="BR119" s="164">
        <f t="shared" si="196"/>
        <v>0</v>
      </c>
      <c r="BS119" s="129">
        <f>SUMIF('Audit HD AR - School Level'!$A$6:A3621, "=" &amp; A119,'Audit HD AR - School Level'!$Q$6:Q3621)</f>
        <v>0</v>
      </c>
      <c r="BT119" s="168">
        <f t="shared" si="197"/>
        <v>0</v>
      </c>
      <c r="BU119" s="168">
        <f t="shared" si="198"/>
        <v>0</v>
      </c>
      <c r="BW119" s="168">
        <f t="shared" si="199"/>
        <v>0</v>
      </c>
      <c r="BX119" s="164">
        <f t="shared" ref="BX119:BX178" si="200">SUM(U119-AO119-AP119-AT119)</f>
        <v>394</v>
      </c>
      <c r="BY119" s="164">
        <f t="shared" si="184"/>
        <v>5.5</v>
      </c>
    </row>
    <row r="120" spans="1:78">
      <c r="A120" s="129" t="s">
        <v>228</v>
      </c>
      <c r="U120" s="129">
        <v>21913.4</v>
      </c>
      <c r="V120" s="129">
        <v>0</v>
      </c>
      <c r="X120" s="129">
        <v>21823.200000000001</v>
      </c>
      <c r="AC120" s="129">
        <v>5032.6000000000004</v>
      </c>
      <c r="AD120" s="129">
        <v>685</v>
      </c>
      <c r="AE120" s="129">
        <v>935.6</v>
      </c>
      <c r="AF120" s="129">
        <v>22144</v>
      </c>
      <c r="AG120" s="129">
        <v>1975</v>
      </c>
      <c r="AI120" s="129">
        <v>3926</v>
      </c>
      <c r="AJ120" s="129">
        <v>7</v>
      </c>
      <c r="AK120" s="129">
        <v>0</v>
      </c>
      <c r="AL120" s="129">
        <v>0</v>
      </c>
      <c r="AO120" s="129">
        <v>20</v>
      </c>
      <c r="AP120" s="129">
        <v>39.6</v>
      </c>
      <c r="AQ120" s="129">
        <v>0</v>
      </c>
      <c r="AR120" s="129">
        <v>0</v>
      </c>
      <c r="AS120" s="129">
        <v>0</v>
      </c>
      <c r="AT120" s="129">
        <v>0</v>
      </c>
      <c r="AU120" s="129">
        <v>0</v>
      </c>
      <c r="AV120" s="129">
        <v>0</v>
      </c>
      <c r="AW120" s="129">
        <v>2812059</v>
      </c>
      <c r="AX120" s="167">
        <v>45386</v>
      </c>
      <c r="AY120" s="162">
        <f t="shared" si="123"/>
        <v>12</v>
      </c>
      <c r="AZ120" s="163" t="s">
        <v>882</v>
      </c>
      <c r="BA120" s="162" t="b">
        <f t="shared" si="122"/>
        <v>0</v>
      </c>
      <c r="BF120" s="164">
        <f t="shared" ref="BF120:BF125" si="201">SUM(U120+C120-AO120-AP120-AR120)</f>
        <v>21853.8</v>
      </c>
      <c r="BG120" s="164">
        <f t="shared" ref="BG120:BG125" si="202">SUM(E120+F120+V120+W120)</f>
        <v>0</v>
      </c>
      <c r="BH120" s="164"/>
      <c r="BI120" s="164">
        <f t="shared" ref="BI120:BI125" si="203">SUM(AC120+H120)</f>
        <v>5032.6000000000004</v>
      </c>
      <c r="BJ120" s="164">
        <f t="shared" ref="BJ120:BJ125" si="204">SUM(AD120+I120)</f>
        <v>685</v>
      </c>
      <c r="BK120" s="164">
        <f t="shared" ref="BK120:BK125" si="205">SUM(AE120+J120)</f>
        <v>935.6</v>
      </c>
      <c r="BL120" s="164">
        <f t="shared" ref="BL120:BL125" si="206">SUM(AF120+K120)</f>
        <v>22144</v>
      </c>
      <c r="BM120" s="164">
        <f t="shared" ref="BM120:BM125" si="207">SUM(AG120+L120)</f>
        <v>1975</v>
      </c>
      <c r="BN120" s="164">
        <f t="shared" ref="BN120:BN125" si="208">SUM(AI120+M120)</f>
        <v>3926</v>
      </c>
      <c r="BO120" s="164">
        <f t="shared" ref="BO120:BO125" si="209">SUM(AJ120+R120)</f>
        <v>7</v>
      </c>
      <c r="BP120" s="164">
        <f t="shared" ref="BP120:BP125" si="210">SUM(AK120+R120)</f>
        <v>0</v>
      </c>
      <c r="BQ120" s="164">
        <f t="shared" ref="BQ120:BQ125" si="211">SUM(S120+AK120)</f>
        <v>0</v>
      </c>
      <c r="BR120" s="164">
        <f t="shared" ref="BR120:BR125" si="212">SUM(T120+AL120)</f>
        <v>0</v>
      </c>
      <c r="BS120" s="129">
        <f>SUMIF('Audit HD AR - School Level'!$A$6:A3623, "=" &amp; A120,'Audit HD AR - School Level'!$Q$6:Q3623)</f>
        <v>0</v>
      </c>
      <c r="BT120" s="168">
        <f t="shared" ref="BT120:BT125" si="213">SUM(AS120-AQ120)*$BT$2</f>
        <v>0</v>
      </c>
      <c r="BU120" s="168">
        <f t="shared" ref="BU120:BU125" si="214">SUM(AU120-AR120)*$BT$2</f>
        <v>0</v>
      </c>
      <c r="BW120" s="168">
        <f t="shared" ref="BW120:BW125" si="215">IF(BT120+BU120+BV120&gt;0,0,BT120+BU120+BV120)</f>
        <v>0</v>
      </c>
      <c r="BX120" s="164">
        <f t="shared" si="200"/>
        <v>21853.8</v>
      </c>
      <c r="BY120" s="164">
        <f t="shared" ref="BY120:BY125" si="216">BG120</f>
        <v>0</v>
      </c>
    </row>
    <row r="121" spans="1:78">
      <c r="A121" s="129" t="s">
        <v>316</v>
      </c>
      <c r="U121" s="129">
        <v>124</v>
      </c>
      <c r="V121" s="129">
        <v>0</v>
      </c>
      <c r="X121" s="129">
        <v>154.5</v>
      </c>
      <c r="AC121" s="129">
        <v>32.799999999999997</v>
      </c>
      <c r="AD121" s="129">
        <v>0</v>
      </c>
      <c r="AE121" s="129">
        <v>0</v>
      </c>
      <c r="AF121" s="129">
        <v>122</v>
      </c>
      <c r="AG121" s="129">
        <v>81</v>
      </c>
      <c r="AI121" s="129">
        <v>17</v>
      </c>
      <c r="AJ121" s="129">
        <v>2</v>
      </c>
      <c r="AK121" s="129">
        <v>18</v>
      </c>
      <c r="AL121" s="129">
        <v>0</v>
      </c>
      <c r="AO121" s="129">
        <v>4</v>
      </c>
      <c r="AP121" s="129">
        <v>0</v>
      </c>
      <c r="AQ121" s="129">
        <v>31</v>
      </c>
      <c r="AR121" s="129">
        <v>0</v>
      </c>
      <c r="AS121" s="129">
        <v>31</v>
      </c>
      <c r="AT121" s="129">
        <v>0</v>
      </c>
      <c r="AU121" s="129">
        <v>0</v>
      </c>
      <c r="AV121" s="129">
        <v>0</v>
      </c>
      <c r="AW121" s="129">
        <v>86423</v>
      </c>
      <c r="AX121" s="167">
        <v>45386</v>
      </c>
      <c r="AY121" s="162">
        <f t="shared" si="123"/>
        <v>12</v>
      </c>
      <c r="AZ121" s="163" t="s">
        <v>882</v>
      </c>
      <c r="BA121" s="162" t="b">
        <f t="shared" si="122"/>
        <v>0</v>
      </c>
      <c r="BF121" s="164">
        <f t="shared" si="201"/>
        <v>120</v>
      </c>
      <c r="BG121" s="164">
        <f t="shared" si="202"/>
        <v>0</v>
      </c>
      <c r="BH121" s="164"/>
      <c r="BI121" s="164">
        <f t="shared" si="203"/>
        <v>32.799999999999997</v>
      </c>
      <c r="BJ121" s="164">
        <f t="shared" si="204"/>
        <v>0</v>
      </c>
      <c r="BK121" s="164">
        <f t="shared" si="205"/>
        <v>0</v>
      </c>
      <c r="BL121" s="164">
        <f t="shared" si="206"/>
        <v>122</v>
      </c>
      <c r="BM121" s="164">
        <f t="shared" si="207"/>
        <v>81</v>
      </c>
      <c r="BN121" s="164">
        <f t="shared" si="208"/>
        <v>17</v>
      </c>
      <c r="BO121" s="164">
        <f t="shared" si="209"/>
        <v>2</v>
      </c>
      <c r="BP121" s="164">
        <f t="shared" si="210"/>
        <v>18</v>
      </c>
      <c r="BQ121" s="164">
        <f t="shared" si="211"/>
        <v>18</v>
      </c>
      <c r="BR121" s="164">
        <f t="shared" si="212"/>
        <v>0</v>
      </c>
      <c r="BS121" s="129">
        <f>SUMIF('Audit HD AR - School Level'!$A$6:A3626, "=" &amp; A121,'Audit HD AR - School Level'!$Q$6:Q3626)</f>
        <v>8.1999999999999993</v>
      </c>
      <c r="BT121" s="168">
        <f t="shared" si="213"/>
        <v>0</v>
      </c>
      <c r="BU121" s="168">
        <f t="shared" si="214"/>
        <v>0</v>
      </c>
      <c r="BV121" s="129">
        <v>-4536</v>
      </c>
      <c r="BW121" s="168">
        <f t="shared" si="215"/>
        <v>-4536</v>
      </c>
      <c r="BX121" s="164">
        <f t="shared" si="200"/>
        <v>120</v>
      </c>
      <c r="BY121" s="164">
        <f t="shared" si="216"/>
        <v>0</v>
      </c>
    </row>
    <row r="122" spans="1:78">
      <c r="A122" s="129" t="s">
        <v>374</v>
      </c>
      <c r="U122" s="129">
        <v>280.5</v>
      </c>
      <c r="V122" s="129">
        <v>0</v>
      </c>
      <c r="X122" s="129">
        <v>292.10000000000002</v>
      </c>
      <c r="AC122" s="129">
        <v>170.2</v>
      </c>
      <c r="AD122" s="129">
        <v>0</v>
      </c>
      <c r="AE122" s="129">
        <v>0</v>
      </c>
      <c r="AF122" s="129">
        <v>282</v>
      </c>
      <c r="AG122" s="129">
        <v>116</v>
      </c>
      <c r="AI122" s="129">
        <v>62</v>
      </c>
      <c r="AJ122" s="129">
        <v>2</v>
      </c>
      <c r="AK122" s="129">
        <v>3</v>
      </c>
      <c r="AL122" s="129">
        <v>0</v>
      </c>
      <c r="AO122" s="129">
        <v>0</v>
      </c>
      <c r="AP122" s="129">
        <v>0</v>
      </c>
      <c r="AQ122" s="129">
        <v>0</v>
      </c>
      <c r="AR122" s="129">
        <v>0</v>
      </c>
      <c r="AS122" s="129">
        <v>0</v>
      </c>
      <c r="AT122" s="129">
        <v>0</v>
      </c>
      <c r="AU122" s="129">
        <v>0</v>
      </c>
      <c r="AV122" s="129">
        <v>0</v>
      </c>
      <c r="AW122" s="129">
        <v>225852</v>
      </c>
      <c r="AX122" s="167">
        <v>45386</v>
      </c>
      <c r="AY122" s="162">
        <f t="shared" si="123"/>
        <v>12</v>
      </c>
      <c r="AZ122" s="163" t="s">
        <v>882</v>
      </c>
      <c r="BA122" s="162" t="b">
        <f t="shared" si="122"/>
        <v>0</v>
      </c>
      <c r="BF122" s="164">
        <f t="shared" si="201"/>
        <v>280.5</v>
      </c>
      <c r="BG122" s="164">
        <f t="shared" si="202"/>
        <v>0</v>
      </c>
      <c r="BH122" s="164"/>
      <c r="BI122" s="164">
        <f t="shared" si="203"/>
        <v>170.2</v>
      </c>
      <c r="BJ122" s="164">
        <f t="shared" si="204"/>
        <v>0</v>
      </c>
      <c r="BK122" s="164">
        <f t="shared" si="205"/>
        <v>0</v>
      </c>
      <c r="BL122" s="164">
        <f t="shared" si="206"/>
        <v>282</v>
      </c>
      <c r="BM122" s="164">
        <f t="shared" si="207"/>
        <v>116</v>
      </c>
      <c r="BN122" s="164">
        <f t="shared" si="208"/>
        <v>62</v>
      </c>
      <c r="BO122" s="164">
        <f t="shared" si="209"/>
        <v>2</v>
      </c>
      <c r="BP122" s="164">
        <f t="shared" si="210"/>
        <v>3</v>
      </c>
      <c r="BQ122" s="164">
        <f t="shared" si="211"/>
        <v>3</v>
      </c>
      <c r="BR122" s="164">
        <f t="shared" si="212"/>
        <v>0</v>
      </c>
      <c r="BS122" s="129">
        <f>SUMIF('Audit HD AR - School Level'!$A$6:A3627, "=" &amp; A122,'Audit HD AR - School Level'!$Q$6:Q3627)</f>
        <v>5</v>
      </c>
      <c r="BT122" s="168">
        <f t="shared" si="213"/>
        <v>0</v>
      </c>
      <c r="BU122" s="168">
        <f t="shared" si="214"/>
        <v>0</v>
      </c>
      <c r="BW122" s="168">
        <f t="shared" si="215"/>
        <v>0</v>
      </c>
      <c r="BX122" s="164">
        <f t="shared" si="200"/>
        <v>280.5</v>
      </c>
      <c r="BY122" s="164">
        <f t="shared" si="216"/>
        <v>0</v>
      </c>
    </row>
    <row r="123" spans="1:78">
      <c r="A123" s="129" t="s">
        <v>435</v>
      </c>
      <c r="U123" s="129">
        <v>929.6</v>
      </c>
      <c r="V123" s="129">
        <v>7</v>
      </c>
      <c r="X123" s="129">
        <v>939.3</v>
      </c>
      <c r="AC123" s="129">
        <v>231.1</v>
      </c>
      <c r="AD123" s="129">
        <v>166</v>
      </c>
      <c r="AE123" s="129">
        <v>326.8</v>
      </c>
      <c r="AF123" s="129">
        <v>957</v>
      </c>
      <c r="AG123" s="129">
        <v>413</v>
      </c>
      <c r="AI123" s="129">
        <v>98</v>
      </c>
      <c r="AJ123" s="129">
        <v>11</v>
      </c>
      <c r="AK123" s="129">
        <v>41</v>
      </c>
      <c r="AL123" s="129">
        <v>3</v>
      </c>
      <c r="AO123" s="129">
        <v>4</v>
      </c>
      <c r="AP123" s="129">
        <v>0</v>
      </c>
      <c r="AQ123" s="129">
        <v>5</v>
      </c>
      <c r="AR123" s="129">
        <v>6</v>
      </c>
      <c r="AS123" s="129">
        <v>5</v>
      </c>
      <c r="AT123" s="129">
        <v>0</v>
      </c>
      <c r="AU123" s="129">
        <v>0</v>
      </c>
      <c r="AV123" s="129">
        <v>0</v>
      </c>
      <c r="AW123" s="129">
        <v>344977</v>
      </c>
      <c r="AX123" s="167">
        <v>45386</v>
      </c>
      <c r="AY123" s="162">
        <f t="shared" si="123"/>
        <v>12</v>
      </c>
      <c r="AZ123" s="163" t="s">
        <v>882</v>
      </c>
      <c r="BA123" s="162" t="b">
        <f t="shared" si="122"/>
        <v>0</v>
      </c>
      <c r="BF123" s="164">
        <f t="shared" si="201"/>
        <v>919.6</v>
      </c>
      <c r="BG123" s="164">
        <f t="shared" si="202"/>
        <v>7</v>
      </c>
      <c r="BH123" s="164"/>
      <c r="BI123" s="164">
        <f t="shared" si="203"/>
        <v>231.1</v>
      </c>
      <c r="BJ123" s="164">
        <f t="shared" si="204"/>
        <v>166</v>
      </c>
      <c r="BK123" s="164">
        <f t="shared" si="205"/>
        <v>326.8</v>
      </c>
      <c r="BL123" s="164">
        <f t="shared" si="206"/>
        <v>957</v>
      </c>
      <c r="BM123" s="164">
        <f t="shared" si="207"/>
        <v>413</v>
      </c>
      <c r="BN123" s="164">
        <f t="shared" si="208"/>
        <v>98</v>
      </c>
      <c r="BO123" s="164">
        <f t="shared" si="209"/>
        <v>11</v>
      </c>
      <c r="BP123" s="164">
        <f t="shared" si="210"/>
        <v>41</v>
      </c>
      <c r="BQ123" s="164">
        <f t="shared" si="211"/>
        <v>41</v>
      </c>
      <c r="BR123" s="164">
        <f t="shared" si="212"/>
        <v>3</v>
      </c>
      <c r="BS123" s="129">
        <f>SUMIF('Audit HD AR - School Level'!$A$6:A3629, "=" &amp; A123,'Audit HD AR - School Level'!$Q$6:Q3629)</f>
        <v>24.1</v>
      </c>
      <c r="BT123" s="168">
        <f t="shared" si="213"/>
        <v>0</v>
      </c>
      <c r="BU123" s="168">
        <f t="shared" si="214"/>
        <v>-4254</v>
      </c>
      <c r="BW123" s="168">
        <f t="shared" si="215"/>
        <v>-4254</v>
      </c>
      <c r="BX123" s="164">
        <f t="shared" si="200"/>
        <v>925.6</v>
      </c>
      <c r="BY123" s="164">
        <f t="shared" si="216"/>
        <v>7</v>
      </c>
    </row>
    <row r="124" spans="1:78">
      <c r="A124" s="129" t="s">
        <v>437</v>
      </c>
      <c r="U124" s="129">
        <v>20</v>
      </c>
      <c r="V124" s="129">
        <v>0</v>
      </c>
      <c r="X124" s="129">
        <v>40</v>
      </c>
      <c r="AC124" s="129">
        <v>6.7</v>
      </c>
      <c r="AD124" s="129">
        <v>5</v>
      </c>
      <c r="AE124" s="129">
        <v>8.1</v>
      </c>
      <c r="AF124" s="129">
        <v>20</v>
      </c>
      <c r="AG124" s="129">
        <v>14</v>
      </c>
      <c r="AI124" s="129">
        <v>2.5</v>
      </c>
      <c r="AJ124" s="129">
        <v>0</v>
      </c>
      <c r="AK124" s="129">
        <v>1</v>
      </c>
      <c r="AL124" s="129">
        <v>0</v>
      </c>
      <c r="AO124" s="129">
        <v>0</v>
      </c>
      <c r="AP124" s="129">
        <v>0</v>
      </c>
      <c r="AQ124" s="129">
        <v>0</v>
      </c>
      <c r="AR124" s="129">
        <v>0</v>
      </c>
      <c r="AS124" s="129">
        <v>0</v>
      </c>
      <c r="AT124" s="129">
        <v>0</v>
      </c>
      <c r="AU124" s="129">
        <v>0</v>
      </c>
      <c r="AV124" s="129">
        <v>0</v>
      </c>
      <c r="AW124" s="129">
        <v>40038</v>
      </c>
      <c r="AX124" s="167">
        <v>45386</v>
      </c>
      <c r="AY124" s="162">
        <f t="shared" si="123"/>
        <v>12</v>
      </c>
      <c r="AZ124" s="163" t="s">
        <v>882</v>
      </c>
      <c r="BA124" s="162" t="b">
        <f t="shared" si="122"/>
        <v>0</v>
      </c>
      <c r="BF124" s="164">
        <f t="shared" si="201"/>
        <v>20</v>
      </c>
      <c r="BG124" s="164">
        <f t="shared" si="202"/>
        <v>0</v>
      </c>
      <c r="BH124" s="164"/>
      <c r="BI124" s="164">
        <f t="shared" si="203"/>
        <v>6.7</v>
      </c>
      <c r="BJ124" s="164">
        <f t="shared" si="204"/>
        <v>5</v>
      </c>
      <c r="BK124" s="164">
        <f t="shared" si="205"/>
        <v>8.1</v>
      </c>
      <c r="BL124" s="164">
        <f t="shared" si="206"/>
        <v>20</v>
      </c>
      <c r="BM124" s="164">
        <f t="shared" si="207"/>
        <v>14</v>
      </c>
      <c r="BN124" s="164">
        <f t="shared" si="208"/>
        <v>2.5</v>
      </c>
      <c r="BO124" s="164">
        <f t="shared" si="209"/>
        <v>0</v>
      </c>
      <c r="BP124" s="164">
        <f t="shared" si="210"/>
        <v>1</v>
      </c>
      <c r="BQ124" s="164">
        <f t="shared" si="211"/>
        <v>1</v>
      </c>
      <c r="BR124" s="164">
        <f t="shared" si="212"/>
        <v>0</v>
      </c>
      <c r="BS124" s="129">
        <f>SUMIF('Audit HD AR - School Level'!$A$6:A3630, "=" &amp; A124,'Audit HD AR - School Level'!$Q$6:Q3630)</f>
        <v>1.4</v>
      </c>
      <c r="BT124" s="168">
        <f t="shared" si="213"/>
        <v>0</v>
      </c>
      <c r="BU124" s="168">
        <f t="shared" si="214"/>
        <v>0</v>
      </c>
      <c r="BW124" s="168">
        <f t="shared" si="215"/>
        <v>0</v>
      </c>
      <c r="BX124" s="164">
        <f t="shared" si="200"/>
        <v>20</v>
      </c>
      <c r="BY124" s="164">
        <f t="shared" si="216"/>
        <v>0</v>
      </c>
    </row>
    <row r="125" spans="1:78">
      <c r="A125" s="129" t="s">
        <v>463</v>
      </c>
      <c r="U125" s="129">
        <v>709.3</v>
      </c>
      <c r="V125" s="129">
        <v>12.6</v>
      </c>
      <c r="X125" s="129">
        <v>772.4</v>
      </c>
      <c r="AC125" s="129">
        <v>194.5</v>
      </c>
      <c r="AD125" s="129">
        <v>0</v>
      </c>
      <c r="AE125" s="129">
        <v>0</v>
      </c>
      <c r="AF125" s="129">
        <v>758</v>
      </c>
      <c r="AG125" s="129">
        <v>446</v>
      </c>
      <c r="AI125" s="129">
        <v>10</v>
      </c>
      <c r="AJ125" s="129">
        <v>162.5</v>
      </c>
      <c r="AK125" s="129">
        <v>8</v>
      </c>
      <c r="AL125" s="129">
        <v>0</v>
      </c>
      <c r="AO125" s="129">
        <v>10</v>
      </c>
      <c r="AP125" s="129">
        <v>1.7</v>
      </c>
      <c r="AQ125" s="129">
        <v>0</v>
      </c>
      <c r="AR125" s="129">
        <v>0</v>
      </c>
      <c r="AS125" s="129">
        <v>0</v>
      </c>
      <c r="AT125" s="129">
        <v>2</v>
      </c>
      <c r="AU125" s="129">
        <v>0</v>
      </c>
      <c r="AV125" s="129">
        <v>0</v>
      </c>
      <c r="AW125" s="129">
        <v>213394</v>
      </c>
      <c r="AX125" s="167">
        <v>45386</v>
      </c>
      <c r="AY125" s="162">
        <f t="shared" si="123"/>
        <v>12</v>
      </c>
      <c r="AZ125" s="163" t="s">
        <v>882</v>
      </c>
      <c r="BA125" s="162" t="b">
        <f t="shared" si="122"/>
        <v>0</v>
      </c>
      <c r="BF125" s="164">
        <f t="shared" si="201"/>
        <v>697.6</v>
      </c>
      <c r="BG125" s="164">
        <f t="shared" si="202"/>
        <v>12.6</v>
      </c>
      <c r="BH125" s="164"/>
      <c r="BI125" s="164">
        <f t="shared" si="203"/>
        <v>194.5</v>
      </c>
      <c r="BJ125" s="164">
        <f t="shared" si="204"/>
        <v>0</v>
      </c>
      <c r="BK125" s="164">
        <f t="shared" si="205"/>
        <v>0</v>
      </c>
      <c r="BL125" s="164">
        <f t="shared" si="206"/>
        <v>758</v>
      </c>
      <c r="BM125" s="164">
        <f t="shared" si="207"/>
        <v>446</v>
      </c>
      <c r="BN125" s="164">
        <f t="shared" si="208"/>
        <v>10</v>
      </c>
      <c r="BO125" s="164">
        <f t="shared" si="209"/>
        <v>162.5</v>
      </c>
      <c r="BP125" s="164">
        <f t="shared" si="210"/>
        <v>8</v>
      </c>
      <c r="BQ125" s="164">
        <f t="shared" si="211"/>
        <v>8</v>
      </c>
      <c r="BR125" s="164">
        <f t="shared" si="212"/>
        <v>0</v>
      </c>
      <c r="BS125" s="129">
        <f>SUMIF('Audit HD AR - School Level'!$A$6:A3631, "=" &amp; A125,'Audit HD AR - School Level'!$Q$6:Q3631)</f>
        <v>46.9</v>
      </c>
      <c r="BT125" s="168">
        <f t="shared" si="213"/>
        <v>0</v>
      </c>
      <c r="BU125" s="168">
        <f t="shared" si="214"/>
        <v>0</v>
      </c>
      <c r="BV125" s="129">
        <v>-24604</v>
      </c>
      <c r="BW125" s="168">
        <f t="shared" si="215"/>
        <v>-24604</v>
      </c>
      <c r="BX125" s="164">
        <f t="shared" si="200"/>
        <v>695.6</v>
      </c>
      <c r="BY125" s="164">
        <f t="shared" si="216"/>
        <v>12.6</v>
      </c>
    </row>
    <row r="126" spans="1:78">
      <c r="A126" s="129" t="s">
        <v>202</v>
      </c>
      <c r="U126" s="129">
        <v>608.79999999999995</v>
      </c>
      <c r="V126" s="129">
        <v>9</v>
      </c>
      <c r="X126" s="129">
        <v>603.70000000000005</v>
      </c>
      <c r="AC126" s="129">
        <v>203.3</v>
      </c>
      <c r="AD126" s="129">
        <v>0</v>
      </c>
      <c r="AE126" s="129">
        <v>0</v>
      </c>
      <c r="AF126" s="129">
        <v>632</v>
      </c>
      <c r="AG126" s="129">
        <v>280</v>
      </c>
      <c r="AI126" s="129">
        <v>316</v>
      </c>
      <c r="AJ126" s="129">
        <v>156</v>
      </c>
      <c r="AK126" s="129">
        <v>1</v>
      </c>
      <c r="AL126" s="129">
        <v>0</v>
      </c>
      <c r="AO126" s="129">
        <v>1</v>
      </c>
      <c r="AP126" s="129">
        <v>2.6</v>
      </c>
      <c r="AQ126" s="129">
        <v>10</v>
      </c>
      <c r="AR126" s="129">
        <v>0</v>
      </c>
      <c r="AS126" s="129">
        <v>0</v>
      </c>
      <c r="AT126" s="129">
        <v>0</v>
      </c>
      <c r="AU126" s="129">
        <v>0</v>
      </c>
      <c r="AV126" s="129">
        <v>0</v>
      </c>
      <c r="AW126" s="129">
        <v>189513</v>
      </c>
      <c r="AX126" s="167">
        <v>45392</v>
      </c>
      <c r="AY126" s="162">
        <f t="shared" si="123"/>
        <v>13</v>
      </c>
      <c r="AZ126" s="163" t="s">
        <v>882</v>
      </c>
      <c r="BA126" s="162" t="b">
        <f t="shared" si="122"/>
        <v>0</v>
      </c>
      <c r="BF126" s="164">
        <f t="shared" ref="BF126:BF135" si="217">SUM(U126+C126-AO126-AP126-AR126)</f>
        <v>605.20000000000005</v>
      </c>
      <c r="BG126" s="164">
        <f t="shared" ref="BG126:BG135" si="218">SUM(E126+F126+V126+W126)</f>
        <v>9</v>
      </c>
      <c r="BH126" s="164"/>
      <c r="BI126" s="164">
        <f t="shared" ref="BI126:BI135" si="219">SUM(AC126+H126)</f>
        <v>203.3</v>
      </c>
      <c r="BJ126" s="164">
        <f t="shared" ref="BJ126:BJ135" si="220">SUM(AD126+I126)</f>
        <v>0</v>
      </c>
      <c r="BK126" s="164">
        <f t="shared" ref="BK126:BK135" si="221">SUM(AE126+J126)</f>
        <v>0</v>
      </c>
      <c r="BL126" s="164">
        <f t="shared" ref="BL126:BL135" si="222">SUM(AF126+K126)</f>
        <v>632</v>
      </c>
      <c r="BM126" s="164">
        <f t="shared" ref="BM126:BM135" si="223">SUM(AG126+L126)</f>
        <v>280</v>
      </c>
      <c r="BN126" s="164">
        <f t="shared" ref="BN126:BN135" si="224">SUM(AI126+M126)</f>
        <v>316</v>
      </c>
      <c r="BO126" s="164">
        <f t="shared" ref="BO126:BO135" si="225">SUM(AJ126+R126)</f>
        <v>156</v>
      </c>
      <c r="BP126" s="164">
        <f t="shared" ref="BP126:BP135" si="226">SUM(AK126+R126)</f>
        <v>1</v>
      </c>
      <c r="BQ126" s="164">
        <f t="shared" ref="BQ126:BQ135" si="227">SUM(S126+AK126)</f>
        <v>1</v>
      </c>
      <c r="BR126" s="164">
        <f t="shared" ref="BR126:BR135" si="228">SUM(T126+AL126)</f>
        <v>0</v>
      </c>
      <c r="BS126" s="129">
        <f>SUMIF('Audit HD AR - School Level'!$A$6:A3633, "=" &amp; A126,'Audit HD AR - School Level'!$Q$6:Q3633)</f>
        <v>19</v>
      </c>
      <c r="BT126" s="168">
        <f t="shared" ref="BT126:BT135" si="229">SUM(AS126-AQ126)*$BT$2</f>
        <v>-7090</v>
      </c>
      <c r="BU126" s="168">
        <f t="shared" ref="BU126:BU135" si="230">SUM(AU126-AR126)*$BT$2</f>
        <v>0</v>
      </c>
      <c r="BW126" s="168">
        <f t="shared" ref="BW126:BW135" si="231">IF(BT126+BU126+BV126&gt;0,0,BT126+BU126+BV126)</f>
        <v>-7090</v>
      </c>
      <c r="BX126" s="164">
        <f t="shared" si="200"/>
        <v>605.20000000000005</v>
      </c>
      <c r="BY126" s="164">
        <f t="shared" ref="BY126:BY135" si="232">BG126</f>
        <v>9</v>
      </c>
    </row>
    <row r="127" spans="1:78">
      <c r="A127" s="129" t="s">
        <v>230</v>
      </c>
      <c r="U127" s="129">
        <v>5676.4</v>
      </c>
      <c r="V127" s="129">
        <v>20.5</v>
      </c>
      <c r="X127" s="129">
        <v>5783.2</v>
      </c>
      <c r="AC127" s="129">
        <v>1309.2</v>
      </c>
      <c r="AD127" s="129">
        <v>166</v>
      </c>
      <c r="AE127" s="129">
        <v>318.60000000000002</v>
      </c>
      <c r="AF127" s="129">
        <v>5780</v>
      </c>
      <c r="AG127" s="129">
        <v>1869</v>
      </c>
      <c r="AI127" s="129">
        <v>1068</v>
      </c>
      <c r="AJ127" s="129">
        <v>1942</v>
      </c>
      <c r="AK127" s="129">
        <v>3</v>
      </c>
      <c r="AL127" s="129">
        <v>0</v>
      </c>
      <c r="AO127" s="129">
        <v>0</v>
      </c>
      <c r="AP127" s="129">
        <v>0</v>
      </c>
      <c r="AQ127" s="129">
        <v>0</v>
      </c>
      <c r="AR127" s="129">
        <v>0</v>
      </c>
      <c r="AS127" s="129">
        <v>0</v>
      </c>
      <c r="AT127" s="129">
        <v>0</v>
      </c>
      <c r="AU127" s="129">
        <v>0</v>
      </c>
      <c r="AV127" s="129">
        <v>0</v>
      </c>
      <c r="AW127" s="129">
        <v>4629459</v>
      </c>
      <c r="AX127" s="167">
        <v>45392</v>
      </c>
      <c r="AY127" s="162">
        <f t="shared" si="123"/>
        <v>13</v>
      </c>
      <c r="AZ127" s="163" t="s">
        <v>882</v>
      </c>
      <c r="BA127" s="162" t="b">
        <f t="shared" si="122"/>
        <v>0</v>
      </c>
      <c r="BF127" s="164">
        <f t="shared" si="217"/>
        <v>5676.4</v>
      </c>
      <c r="BG127" s="164">
        <f t="shared" si="218"/>
        <v>20.5</v>
      </c>
      <c r="BH127" s="164"/>
      <c r="BI127" s="164">
        <f t="shared" si="219"/>
        <v>1309.2</v>
      </c>
      <c r="BJ127" s="164">
        <f t="shared" si="220"/>
        <v>166</v>
      </c>
      <c r="BK127" s="164">
        <f t="shared" si="221"/>
        <v>318.60000000000002</v>
      </c>
      <c r="BL127" s="164">
        <f t="shared" si="222"/>
        <v>5780</v>
      </c>
      <c r="BM127" s="164">
        <f t="shared" si="223"/>
        <v>1869</v>
      </c>
      <c r="BN127" s="164">
        <f t="shared" si="224"/>
        <v>1068</v>
      </c>
      <c r="BO127" s="164">
        <f t="shared" si="225"/>
        <v>1942</v>
      </c>
      <c r="BP127" s="164">
        <f t="shared" si="226"/>
        <v>3</v>
      </c>
      <c r="BQ127" s="164">
        <f t="shared" si="227"/>
        <v>3</v>
      </c>
      <c r="BR127" s="164">
        <f t="shared" si="228"/>
        <v>0</v>
      </c>
      <c r="BS127" s="129">
        <f>SUMIF('Audit HD AR - School Level'!$A$6:A3634, "=" &amp; A127,'Audit HD AR - School Level'!$Q$6:Q3634)</f>
        <v>34.799999999999997</v>
      </c>
      <c r="BT127" s="168">
        <f t="shared" si="229"/>
        <v>0</v>
      </c>
      <c r="BU127" s="168">
        <f t="shared" si="230"/>
        <v>0</v>
      </c>
      <c r="BW127" s="168">
        <f t="shared" si="231"/>
        <v>0</v>
      </c>
      <c r="BX127" s="164">
        <f t="shared" si="200"/>
        <v>5676.4</v>
      </c>
      <c r="BY127" s="164">
        <f t="shared" si="232"/>
        <v>20.5</v>
      </c>
    </row>
    <row r="128" spans="1:78">
      <c r="A128" s="129" t="s">
        <v>246</v>
      </c>
      <c r="U128" s="129">
        <v>928.5</v>
      </c>
      <c r="V128" s="129">
        <v>3</v>
      </c>
      <c r="X128" s="129">
        <v>928.5</v>
      </c>
      <c r="AC128" s="129">
        <v>238.4</v>
      </c>
      <c r="AD128" s="129">
        <v>25</v>
      </c>
      <c r="AE128" s="129">
        <v>72.5</v>
      </c>
      <c r="AF128" s="129">
        <v>936</v>
      </c>
      <c r="AG128" s="129">
        <v>331</v>
      </c>
      <c r="AI128" s="129">
        <v>74</v>
      </c>
      <c r="AJ128" s="129">
        <v>159.6</v>
      </c>
      <c r="AK128" s="129">
        <v>8</v>
      </c>
      <c r="AL128" s="129">
        <v>0</v>
      </c>
      <c r="AO128" s="129">
        <v>4</v>
      </c>
      <c r="AP128" s="129">
        <v>0</v>
      </c>
      <c r="AQ128" s="129">
        <v>0</v>
      </c>
      <c r="AR128" s="129">
        <v>5</v>
      </c>
      <c r="AS128" s="129">
        <v>0</v>
      </c>
      <c r="AT128" s="129">
        <v>0</v>
      </c>
      <c r="AU128" s="129">
        <v>0</v>
      </c>
      <c r="AV128" s="129">
        <v>0</v>
      </c>
      <c r="AW128" s="129">
        <v>116880</v>
      </c>
      <c r="AX128" s="167">
        <v>45392</v>
      </c>
      <c r="AY128" s="162">
        <f t="shared" si="123"/>
        <v>13</v>
      </c>
      <c r="AZ128" s="163" t="s">
        <v>882</v>
      </c>
      <c r="BA128" s="162" t="b">
        <f t="shared" si="122"/>
        <v>0</v>
      </c>
      <c r="BF128" s="164">
        <f t="shared" si="217"/>
        <v>919.5</v>
      </c>
      <c r="BG128" s="164">
        <f t="shared" si="218"/>
        <v>3</v>
      </c>
      <c r="BH128" s="164"/>
      <c r="BI128" s="164">
        <f t="shared" si="219"/>
        <v>238.4</v>
      </c>
      <c r="BJ128" s="164">
        <f t="shared" si="220"/>
        <v>25</v>
      </c>
      <c r="BK128" s="164">
        <f t="shared" si="221"/>
        <v>72.5</v>
      </c>
      <c r="BL128" s="164">
        <f t="shared" si="222"/>
        <v>936</v>
      </c>
      <c r="BM128" s="164">
        <f t="shared" si="223"/>
        <v>331</v>
      </c>
      <c r="BN128" s="164">
        <f t="shared" si="224"/>
        <v>74</v>
      </c>
      <c r="BO128" s="164">
        <f t="shared" si="225"/>
        <v>159.6</v>
      </c>
      <c r="BP128" s="164">
        <f t="shared" si="226"/>
        <v>8</v>
      </c>
      <c r="BQ128" s="164">
        <f t="shared" si="227"/>
        <v>8</v>
      </c>
      <c r="BR128" s="164">
        <f t="shared" si="228"/>
        <v>0</v>
      </c>
      <c r="BS128" s="129">
        <f>SUMIF('Audit HD AR - School Level'!$A$6:A3635, "=" &amp; A128,'Audit HD AR - School Level'!$Q$6:Q3635)</f>
        <v>10.9</v>
      </c>
      <c r="BT128" s="168">
        <f t="shared" si="229"/>
        <v>0</v>
      </c>
      <c r="BU128" s="168">
        <f t="shared" si="230"/>
        <v>-3545</v>
      </c>
      <c r="BV128" s="129">
        <v>-4536</v>
      </c>
      <c r="BW128" s="168">
        <f t="shared" si="231"/>
        <v>-8081</v>
      </c>
      <c r="BX128" s="164">
        <f t="shared" si="200"/>
        <v>924.5</v>
      </c>
      <c r="BY128" s="164">
        <f t="shared" si="232"/>
        <v>3</v>
      </c>
    </row>
    <row r="129" spans="1:78">
      <c r="A129" s="129" t="s">
        <v>256</v>
      </c>
      <c r="U129" s="129">
        <v>43658.8</v>
      </c>
      <c r="V129" s="129">
        <v>850.5</v>
      </c>
      <c r="X129" s="129">
        <v>44247.5</v>
      </c>
      <c r="AC129" s="129">
        <v>9739.2999999999993</v>
      </c>
      <c r="AD129" s="129">
        <v>8819</v>
      </c>
      <c r="AE129" s="129">
        <v>28378.7</v>
      </c>
      <c r="AF129" s="129">
        <v>45474</v>
      </c>
      <c r="AG129" s="129">
        <v>32685</v>
      </c>
      <c r="AI129" s="129">
        <v>15222</v>
      </c>
      <c r="AJ129" s="129">
        <v>2360</v>
      </c>
      <c r="AK129" s="129">
        <v>543</v>
      </c>
      <c r="AL129" s="129">
        <v>0</v>
      </c>
      <c r="AO129" s="129">
        <v>486</v>
      </c>
      <c r="AP129" s="129">
        <v>30.3</v>
      </c>
      <c r="AQ129" s="129">
        <v>82</v>
      </c>
      <c r="AR129" s="129">
        <v>5.5</v>
      </c>
      <c r="AS129" s="129">
        <v>26</v>
      </c>
      <c r="AT129" s="129">
        <v>0</v>
      </c>
      <c r="AU129" s="129">
        <v>0</v>
      </c>
      <c r="AV129" s="129">
        <v>1</v>
      </c>
      <c r="AW129" s="129">
        <v>18040790</v>
      </c>
      <c r="AX129" s="167">
        <v>45392</v>
      </c>
      <c r="AY129" s="162">
        <f t="shared" si="123"/>
        <v>13</v>
      </c>
      <c r="AZ129" s="163" t="s">
        <v>882</v>
      </c>
      <c r="BA129" s="162" t="b">
        <f t="shared" si="122"/>
        <v>0</v>
      </c>
      <c r="BF129" s="164">
        <f t="shared" si="217"/>
        <v>43137</v>
      </c>
      <c r="BG129" s="164">
        <f t="shared" si="218"/>
        <v>850.5</v>
      </c>
      <c r="BH129" s="164"/>
      <c r="BI129" s="164">
        <f t="shared" si="219"/>
        <v>9739.2999999999993</v>
      </c>
      <c r="BJ129" s="164">
        <f t="shared" si="220"/>
        <v>8819</v>
      </c>
      <c r="BK129" s="164">
        <f t="shared" si="221"/>
        <v>28378.7</v>
      </c>
      <c r="BL129" s="164">
        <f t="shared" si="222"/>
        <v>45474</v>
      </c>
      <c r="BM129" s="164">
        <f t="shared" si="223"/>
        <v>32685</v>
      </c>
      <c r="BN129" s="164">
        <f t="shared" si="224"/>
        <v>15222</v>
      </c>
      <c r="BO129" s="164">
        <f t="shared" si="225"/>
        <v>2360</v>
      </c>
      <c r="BP129" s="164">
        <f t="shared" si="226"/>
        <v>543</v>
      </c>
      <c r="BQ129" s="164">
        <f t="shared" si="227"/>
        <v>543</v>
      </c>
      <c r="BR129" s="164">
        <f t="shared" si="228"/>
        <v>0</v>
      </c>
      <c r="BS129" s="129">
        <f>SUMIF('Audit HD AR - School Level'!$A$6:A3636, "=" &amp; A129,'Audit HD AR - School Level'!$Q$6:Q3636)</f>
        <v>3351</v>
      </c>
      <c r="BT129" s="168">
        <f t="shared" si="229"/>
        <v>-39704</v>
      </c>
      <c r="BU129" s="168">
        <f t="shared" si="230"/>
        <v>-3900</v>
      </c>
      <c r="BV129" s="129">
        <v>-327417</v>
      </c>
      <c r="BW129" s="168">
        <f t="shared" si="231"/>
        <v>-371021</v>
      </c>
      <c r="BX129" s="164">
        <f t="shared" si="200"/>
        <v>43142.5</v>
      </c>
      <c r="BY129" s="164">
        <f t="shared" si="232"/>
        <v>850.5</v>
      </c>
    </row>
    <row r="130" spans="1:78">
      <c r="A130" s="129" t="s">
        <v>261</v>
      </c>
      <c r="U130" s="129">
        <v>1047.2</v>
      </c>
      <c r="V130" s="129">
        <v>8</v>
      </c>
      <c r="X130" s="129">
        <v>1109.0999999999999</v>
      </c>
      <c r="AC130" s="129">
        <v>247.2</v>
      </c>
      <c r="AD130" s="129">
        <v>5</v>
      </c>
      <c r="AE130" s="129">
        <v>2.7</v>
      </c>
      <c r="AF130" s="129">
        <v>1071</v>
      </c>
      <c r="AG130" s="129">
        <v>307</v>
      </c>
      <c r="AI130" s="129">
        <v>414</v>
      </c>
      <c r="AJ130" s="129">
        <v>0</v>
      </c>
      <c r="AK130" s="129">
        <v>2</v>
      </c>
      <c r="AL130" s="129">
        <v>0</v>
      </c>
      <c r="AO130" s="129">
        <v>0</v>
      </c>
      <c r="AP130" s="129">
        <v>0</v>
      </c>
      <c r="AQ130" s="129">
        <v>0</v>
      </c>
      <c r="AR130" s="129">
        <v>0</v>
      </c>
      <c r="AS130" s="129">
        <v>0</v>
      </c>
      <c r="AT130" s="129">
        <v>0</v>
      </c>
      <c r="AU130" s="129">
        <v>0</v>
      </c>
      <c r="AV130" s="129">
        <v>0</v>
      </c>
      <c r="AW130" s="129">
        <v>454918</v>
      </c>
      <c r="AX130" s="167">
        <v>45392</v>
      </c>
      <c r="AY130" s="162">
        <f t="shared" si="123"/>
        <v>13</v>
      </c>
      <c r="AZ130" s="163" t="s">
        <v>882</v>
      </c>
      <c r="BA130" s="162" t="b">
        <f t="shared" ref="BA130:BA193" si="233">COUNTIF(A:A,A130)&gt;1</f>
        <v>0</v>
      </c>
      <c r="BF130" s="164">
        <f t="shared" si="217"/>
        <v>1047.2</v>
      </c>
      <c r="BG130" s="164">
        <f t="shared" si="218"/>
        <v>8</v>
      </c>
      <c r="BH130" s="164"/>
      <c r="BI130" s="164">
        <f t="shared" si="219"/>
        <v>247.2</v>
      </c>
      <c r="BJ130" s="164">
        <f t="shared" si="220"/>
        <v>5</v>
      </c>
      <c r="BK130" s="164">
        <f t="shared" si="221"/>
        <v>2.7</v>
      </c>
      <c r="BL130" s="164">
        <f t="shared" si="222"/>
        <v>1071</v>
      </c>
      <c r="BM130" s="164">
        <f t="shared" si="223"/>
        <v>307</v>
      </c>
      <c r="BN130" s="164">
        <f t="shared" si="224"/>
        <v>414</v>
      </c>
      <c r="BO130" s="164">
        <f t="shared" si="225"/>
        <v>0</v>
      </c>
      <c r="BP130" s="164">
        <f t="shared" si="226"/>
        <v>2</v>
      </c>
      <c r="BQ130" s="164">
        <f t="shared" si="227"/>
        <v>2</v>
      </c>
      <c r="BR130" s="164">
        <f t="shared" si="228"/>
        <v>0</v>
      </c>
      <c r="BS130" s="129">
        <f>SUMIF('Audit HD AR - School Level'!$A$6:A3637, "=" &amp; A130,'Audit HD AR - School Level'!$Q$6:Q3637)</f>
        <v>0</v>
      </c>
      <c r="BT130" s="168">
        <f t="shared" si="229"/>
        <v>0</v>
      </c>
      <c r="BU130" s="168">
        <f t="shared" si="230"/>
        <v>0</v>
      </c>
      <c r="BW130" s="168">
        <f t="shared" si="231"/>
        <v>0</v>
      </c>
      <c r="BX130" s="164">
        <f t="shared" si="200"/>
        <v>1047.2</v>
      </c>
      <c r="BY130" s="164">
        <f t="shared" si="232"/>
        <v>8</v>
      </c>
    </row>
    <row r="131" spans="1:78">
      <c r="A131" s="129" t="s">
        <v>303</v>
      </c>
      <c r="U131" s="129">
        <v>143.5</v>
      </c>
      <c r="V131" s="129">
        <v>3.5</v>
      </c>
      <c r="X131" s="129">
        <v>169.5</v>
      </c>
      <c r="AC131" s="129">
        <v>17</v>
      </c>
      <c r="AD131" s="129">
        <v>19</v>
      </c>
      <c r="AE131" s="129">
        <v>9.5</v>
      </c>
      <c r="AF131" s="129">
        <v>151</v>
      </c>
      <c r="AG131" s="129">
        <v>92</v>
      </c>
      <c r="AI131" s="129">
        <v>47</v>
      </c>
      <c r="AJ131" s="129">
        <v>3</v>
      </c>
      <c r="AK131" s="129">
        <v>36</v>
      </c>
      <c r="AL131" s="129">
        <v>0</v>
      </c>
      <c r="AO131" s="129">
        <v>0</v>
      </c>
      <c r="AP131" s="129">
        <v>0</v>
      </c>
      <c r="AQ131" s="129">
        <v>0</v>
      </c>
      <c r="AR131" s="129">
        <v>0</v>
      </c>
      <c r="AS131" s="129">
        <v>0</v>
      </c>
      <c r="AT131" s="129">
        <v>0</v>
      </c>
      <c r="AU131" s="129">
        <v>0</v>
      </c>
      <c r="AV131" s="129">
        <v>0</v>
      </c>
      <c r="AW131" s="129">
        <v>158016</v>
      </c>
      <c r="AX131" s="167">
        <v>45392</v>
      </c>
      <c r="AY131" s="162">
        <f t="shared" si="123"/>
        <v>13</v>
      </c>
      <c r="AZ131" s="163" t="s">
        <v>882</v>
      </c>
      <c r="BA131" s="162" t="b">
        <f t="shared" si="233"/>
        <v>0</v>
      </c>
      <c r="BF131" s="164">
        <f t="shared" si="217"/>
        <v>143.5</v>
      </c>
      <c r="BG131" s="164">
        <f t="shared" si="218"/>
        <v>3.5</v>
      </c>
      <c r="BH131" s="164"/>
      <c r="BI131" s="164">
        <f t="shared" si="219"/>
        <v>17</v>
      </c>
      <c r="BJ131" s="164">
        <f t="shared" si="220"/>
        <v>19</v>
      </c>
      <c r="BK131" s="164">
        <f t="shared" si="221"/>
        <v>9.5</v>
      </c>
      <c r="BL131" s="164">
        <f t="shared" si="222"/>
        <v>151</v>
      </c>
      <c r="BM131" s="164">
        <f t="shared" si="223"/>
        <v>92</v>
      </c>
      <c r="BN131" s="164">
        <f t="shared" si="224"/>
        <v>47</v>
      </c>
      <c r="BO131" s="164">
        <f t="shared" si="225"/>
        <v>3</v>
      </c>
      <c r="BP131" s="164">
        <f t="shared" si="226"/>
        <v>36</v>
      </c>
      <c r="BQ131" s="164">
        <f t="shared" si="227"/>
        <v>36</v>
      </c>
      <c r="BR131" s="164">
        <f t="shared" si="228"/>
        <v>0</v>
      </c>
      <c r="BS131" s="129">
        <f>SUMIF('Audit HD AR - School Level'!$A$6:A3638, "=" &amp; A131,'Audit HD AR - School Level'!$Q$6:Q3638)</f>
        <v>9.5</v>
      </c>
      <c r="BT131" s="168">
        <f t="shared" si="229"/>
        <v>0</v>
      </c>
      <c r="BU131" s="168">
        <f t="shared" si="230"/>
        <v>0</v>
      </c>
      <c r="BW131" s="168">
        <f t="shared" si="231"/>
        <v>0</v>
      </c>
      <c r="BX131" s="164">
        <f t="shared" si="200"/>
        <v>143.5</v>
      </c>
      <c r="BY131" s="164">
        <f t="shared" si="232"/>
        <v>3.5</v>
      </c>
    </row>
    <row r="132" spans="1:78">
      <c r="A132" s="129" t="s">
        <v>368</v>
      </c>
      <c r="U132" s="129">
        <v>331.2</v>
      </c>
      <c r="V132" s="129">
        <v>3</v>
      </c>
      <c r="X132" s="129">
        <v>337.3</v>
      </c>
      <c r="AC132" s="129">
        <v>159.6</v>
      </c>
      <c r="AD132" s="129">
        <v>0</v>
      </c>
      <c r="AE132" s="129">
        <v>0</v>
      </c>
      <c r="AF132" s="129">
        <v>384</v>
      </c>
      <c r="AG132" s="129">
        <v>92</v>
      </c>
      <c r="AI132" s="129">
        <v>27</v>
      </c>
      <c r="AJ132" s="129">
        <v>16</v>
      </c>
      <c r="AK132" s="129">
        <v>14</v>
      </c>
      <c r="AL132" s="129">
        <v>0</v>
      </c>
      <c r="AO132" s="129">
        <v>0</v>
      </c>
      <c r="AP132" s="129">
        <v>0</v>
      </c>
      <c r="AQ132" s="129">
        <v>0</v>
      </c>
      <c r="AR132" s="129">
        <v>0</v>
      </c>
      <c r="AS132" s="129">
        <v>0</v>
      </c>
      <c r="AT132" s="129">
        <v>0</v>
      </c>
      <c r="AU132" s="129">
        <v>0</v>
      </c>
      <c r="AV132" s="129">
        <v>0</v>
      </c>
      <c r="AW132" s="129">
        <v>110508</v>
      </c>
      <c r="AX132" s="167">
        <v>45392</v>
      </c>
      <c r="AY132" s="162">
        <f t="shared" si="123"/>
        <v>13</v>
      </c>
      <c r="AZ132" s="163" t="s">
        <v>882</v>
      </c>
      <c r="BA132" s="162" t="b">
        <f t="shared" si="233"/>
        <v>0</v>
      </c>
      <c r="BF132" s="164">
        <f t="shared" si="217"/>
        <v>331.2</v>
      </c>
      <c r="BG132" s="164">
        <f t="shared" si="218"/>
        <v>3</v>
      </c>
      <c r="BH132" s="164"/>
      <c r="BI132" s="164">
        <f t="shared" si="219"/>
        <v>159.6</v>
      </c>
      <c r="BJ132" s="164">
        <f t="shared" si="220"/>
        <v>0</v>
      </c>
      <c r="BK132" s="164">
        <f t="shared" si="221"/>
        <v>0</v>
      </c>
      <c r="BL132" s="164">
        <f t="shared" si="222"/>
        <v>384</v>
      </c>
      <c r="BM132" s="164">
        <f t="shared" si="223"/>
        <v>92</v>
      </c>
      <c r="BN132" s="164">
        <f t="shared" si="224"/>
        <v>27</v>
      </c>
      <c r="BO132" s="164">
        <f t="shared" si="225"/>
        <v>16</v>
      </c>
      <c r="BP132" s="164">
        <f t="shared" si="226"/>
        <v>14</v>
      </c>
      <c r="BQ132" s="164">
        <f t="shared" si="227"/>
        <v>14</v>
      </c>
      <c r="BR132" s="164">
        <f t="shared" si="228"/>
        <v>0</v>
      </c>
      <c r="BS132" s="129">
        <f>SUMIF('Audit HD AR - School Level'!$A$6:A3641, "=" &amp; A132,'Audit HD AR - School Level'!$Q$6:Q3641)</f>
        <v>0</v>
      </c>
      <c r="BT132" s="168">
        <f t="shared" si="229"/>
        <v>0</v>
      </c>
      <c r="BU132" s="168">
        <f t="shared" si="230"/>
        <v>0</v>
      </c>
      <c r="BW132" s="168">
        <f t="shared" si="231"/>
        <v>0</v>
      </c>
      <c r="BX132" s="164">
        <f t="shared" si="200"/>
        <v>331.2</v>
      </c>
      <c r="BY132" s="164">
        <f t="shared" si="232"/>
        <v>3</v>
      </c>
    </row>
    <row r="133" spans="1:78">
      <c r="A133" s="129" t="s">
        <v>377</v>
      </c>
      <c r="U133" s="129">
        <v>194.2</v>
      </c>
      <c r="V133" s="129">
        <v>7</v>
      </c>
      <c r="X133" s="129">
        <v>206.5</v>
      </c>
      <c r="AC133" s="129">
        <v>37.4</v>
      </c>
      <c r="AD133" s="129">
        <v>0</v>
      </c>
      <c r="AE133" s="129">
        <v>0</v>
      </c>
      <c r="AF133" s="129">
        <v>203</v>
      </c>
      <c r="AG133" s="129">
        <v>106</v>
      </c>
      <c r="AI133" s="129">
        <v>50</v>
      </c>
      <c r="AJ133" s="129">
        <v>19</v>
      </c>
      <c r="AK133" s="129">
        <v>0</v>
      </c>
      <c r="AL133" s="129">
        <v>0</v>
      </c>
      <c r="AO133" s="129">
        <v>4</v>
      </c>
      <c r="AP133" s="129">
        <v>1.2</v>
      </c>
      <c r="AQ133" s="129">
        <v>7</v>
      </c>
      <c r="AR133" s="129">
        <v>0</v>
      </c>
      <c r="AS133" s="129">
        <v>6.5</v>
      </c>
      <c r="AT133" s="129">
        <v>2</v>
      </c>
      <c r="AU133" s="129">
        <v>0</v>
      </c>
      <c r="AV133" s="129">
        <v>0</v>
      </c>
      <c r="AW133" s="129">
        <v>167804</v>
      </c>
      <c r="AX133" s="167">
        <v>45392</v>
      </c>
      <c r="AY133" s="162">
        <f t="shared" si="123"/>
        <v>13</v>
      </c>
      <c r="AZ133" s="163" t="s">
        <v>882</v>
      </c>
      <c r="BA133" s="162" t="b">
        <f t="shared" si="233"/>
        <v>0</v>
      </c>
      <c r="BF133" s="164">
        <f t="shared" si="217"/>
        <v>189</v>
      </c>
      <c r="BG133" s="164">
        <f t="shared" si="218"/>
        <v>7</v>
      </c>
      <c r="BH133" s="164"/>
      <c r="BI133" s="164">
        <f t="shared" si="219"/>
        <v>37.4</v>
      </c>
      <c r="BJ133" s="164">
        <f t="shared" si="220"/>
        <v>0</v>
      </c>
      <c r="BK133" s="164">
        <f t="shared" si="221"/>
        <v>0</v>
      </c>
      <c r="BL133" s="164">
        <f t="shared" si="222"/>
        <v>203</v>
      </c>
      <c r="BM133" s="164">
        <f t="shared" si="223"/>
        <v>106</v>
      </c>
      <c r="BN133" s="164">
        <f t="shared" si="224"/>
        <v>50</v>
      </c>
      <c r="BO133" s="164">
        <f t="shared" si="225"/>
        <v>19</v>
      </c>
      <c r="BP133" s="164">
        <f t="shared" si="226"/>
        <v>0</v>
      </c>
      <c r="BQ133" s="164">
        <f t="shared" si="227"/>
        <v>0</v>
      </c>
      <c r="BR133" s="164">
        <f t="shared" si="228"/>
        <v>0</v>
      </c>
      <c r="BS133" s="129">
        <f>SUMIF('Audit HD AR - School Level'!$A$6:A3642, "=" &amp; A133,'Audit HD AR - School Level'!$Q$6:Q3642)</f>
        <v>8.8000000000000007</v>
      </c>
      <c r="BT133" s="168">
        <f t="shared" si="229"/>
        <v>-355</v>
      </c>
      <c r="BU133" s="168">
        <f t="shared" si="230"/>
        <v>0</v>
      </c>
      <c r="BW133" s="168">
        <f t="shared" si="231"/>
        <v>-355</v>
      </c>
      <c r="BX133" s="164">
        <f t="shared" si="200"/>
        <v>187</v>
      </c>
      <c r="BY133" s="164">
        <f t="shared" si="232"/>
        <v>7</v>
      </c>
    </row>
    <row r="134" spans="1:78">
      <c r="A134" s="129" t="s">
        <v>440</v>
      </c>
      <c r="U134" s="129">
        <v>273</v>
      </c>
      <c r="V134" s="129">
        <v>0</v>
      </c>
      <c r="X134" s="129">
        <v>263</v>
      </c>
      <c r="AC134" s="129">
        <v>57.9</v>
      </c>
      <c r="AD134" s="129">
        <v>0</v>
      </c>
      <c r="AE134" s="129">
        <v>0</v>
      </c>
      <c r="AF134" s="129">
        <v>275</v>
      </c>
      <c r="AG134" s="129">
        <v>101</v>
      </c>
      <c r="AI134" s="129">
        <v>54</v>
      </c>
      <c r="AJ134" s="129">
        <v>8</v>
      </c>
      <c r="AK134" s="129">
        <v>154</v>
      </c>
      <c r="AL134" s="129">
        <v>0</v>
      </c>
      <c r="AO134" s="129">
        <v>0</v>
      </c>
      <c r="AP134" s="129">
        <v>0</v>
      </c>
      <c r="AQ134" s="129">
        <v>0</v>
      </c>
      <c r="AR134" s="129">
        <v>0</v>
      </c>
      <c r="AS134" s="129">
        <v>0</v>
      </c>
      <c r="AT134" s="129">
        <v>0</v>
      </c>
      <c r="AU134" s="129">
        <v>0</v>
      </c>
      <c r="AV134" s="129">
        <v>1</v>
      </c>
      <c r="AW134" s="129">
        <v>94689</v>
      </c>
      <c r="AX134" s="167">
        <v>45392</v>
      </c>
      <c r="AY134" s="162">
        <f t="shared" si="123"/>
        <v>13</v>
      </c>
      <c r="AZ134" s="163" t="s">
        <v>882</v>
      </c>
      <c r="BA134" s="162" t="b">
        <f t="shared" si="233"/>
        <v>0</v>
      </c>
      <c r="BF134" s="164">
        <f t="shared" si="217"/>
        <v>273</v>
      </c>
      <c r="BG134" s="164">
        <f t="shared" si="218"/>
        <v>0</v>
      </c>
      <c r="BH134" s="164"/>
      <c r="BI134" s="164">
        <f t="shared" si="219"/>
        <v>57.9</v>
      </c>
      <c r="BJ134" s="164">
        <f t="shared" si="220"/>
        <v>0</v>
      </c>
      <c r="BK134" s="164">
        <f t="shared" si="221"/>
        <v>0</v>
      </c>
      <c r="BL134" s="164">
        <f t="shared" si="222"/>
        <v>275</v>
      </c>
      <c r="BM134" s="164">
        <f t="shared" si="223"/>
        <v>101</v>
      </c>
      <c r="BN134" s="164">
        <f t="shared" si="224"/>
        <v>54</v>
      </c>
      <c r="BO134" s="164">
        <f t="shared" si="225"/>
        <v>8</v>
      </c>
      <c r="BP134" s="164">
        <f t="shared" si="226"/>
        <v>154</v>
      </c>
      <c r="BQ134" s="164">
        <f t="shared" si="227"/>
        <v>154</v>
      </c>
      <c r="BR134" s="164">
        <f t="shared" si="228"/>
        <v>0</v>
      </c>
      <c r="BS134" s="129">
        <f>SUMIF('Audit HD AR - School Level'!$A$6:A3645, "=" &amp; A134,'Audit HD AR - School Level'!$Q$6:Q3645)</f>
        <v>2.1</v>
      </c>
      <c r="BT134" s="168">
        <f t="shared" si="229"/>
        <v>0</v>
      </c>
      <c r="BU134" s="168">
        <f t="shared" si="230"/>
        <v>0</v>
      </c>
      <c r="BW134" s="168">
        <f t="shared" si="231"/>
        <v>0</v>
      </c>
      <c r="BX134" s="164">
        <f t="shared" si="200"/>
        <v>273</v>
      </c>
      <c r="BY134" s="164">
        <f t="shared" si="232"/>
        <v>0</v>
      </c>
    </row>
    <row r="135" spans="1:78">
      <c r="A135" s="129" t="s">
        <v>456</v>
      </c>
      <c r="U135" s="129">
        <v>258</v>
      </c>
      <c r="V135" s="129">
        <v>5</v>
      </c>
      <c r="X135" s="129">
        <v>284</v>
      </c>
      <c r="AC135" s="129">
        <v>92.7</v>
      </c>
      <c r="AD135" s="129">
        <v>0</v>
      </c>
      <c r="AE135" s="129">
        <v>0</v>
      </c>
      <c r="AF135" s="129">
        <v>264</v>
      </c>
      <c r="AG135" s="129">
        <v>112</v>
      </c>
      <c r="AI135" s="129">
        <v>141</v>
      </c>
      <c r="AJ135" s="129">
        <v>1</v>
      </c>
      <c r="AK135" s="129">
        <v>79</v>
      </c>
      <c r="AL135" s="129">
        <v>0</v>
      </c>
      <c r="AO135" s="129">
        <v>4</v>
      </c>
      <c r="AP135" s="129">
        <v>0</v>
      </c>
      <c r="AQ135" s="129">
        <v>0</v>
      </c>
      <c r="AR135" s="129">
        <v>0</v>
      </c>
      <c r="AS135" s="129">
        <v>0</v>
      </c>
      <c r="AT135" s="129">
        <v>0</v>
      </c>
      <c r="AU135" s="129">
        <v>0</v>
      </c>
      <c r="AV135" s="129">
        <v>0</v>
      </c>
      <c r="AW135" s="129">
        <v>287123</v>
      </c>
      <c r="AX135" s="167">
        <v>45392</v>
      </c>
      <c r="AY135" s="162">
        <f t="shared" si="123"/>
        <v>13</v>
      </c>
      <c r="AZ135" s="163" t="s">
        <v>882</v>
      </c>
      <c r="BA135" s="162" t="b">
        <f t="shared" si="233"/>
        <v>0</v>
      </c>
      <c r="BF135" s="164">
        <f t="shared" si="217"/>
        <v>254</v>
      </c>
      <c r="BG135" s="164">
        <f t="shared" si="218"/>
        <v>5</v>
      </c>
      <c r="BH135" s="164"/>
      <c r="BI135" s="164">
        <f t="shared" si="219"/>
        <v>92.7</v>
      </c>
      <c r="BJ135" s="164">
        <f t="shared" si="220"/>
        <v>0</v>
      </c>
      <c r="BK135" s="164">
        <f t="shared" si="221"/>
        <v>0</v>
      </c>
      <c r="BL135" s="164">
        <f t="shared" si="222"/>
        <v>264</v>
      </c>
      <c r="BM135" s="164">
        <f t="shared" si="223"/>
        <v>112</v>
      </c>
      <c r="BN135" s="164">
        <f t="shared" si="224"/>
        <v>141</v>
      </c>
      <c r="BO135" s="164">
        <f t="shared" si="225"/>
        <v>1</v>
      </c>
      <c r="BP135" s="164">
        <f t="shared" si="226"/>
        <v>79</v>
      </c>
      <c r="BQ135" s="164">
        <f t="shared" si="227"/>
        <v>79</v>
      </c>
      <c r="BR135" s="164">
        <f t="shared" si="228"/>
        <v>0</v>
      </c>
      <c r="BS135" s="129">
        <f>SUMIF('Audit HD AR - School Level'!$A$6:A3646, "=" &amp; A135,'Audit HD AR - School Level'!$Q$6:Q3646)</f>
        <v>6.4</v>
      </c>
      <c r="BT135" s="168">
        <f t="shared" si="229"/>
        <v>0</v>
      </c>
      <c r="BU135" s="168">
        <f t="shared" si="230"/>
        <v>0</v>
      </c>
      <c r="BW135" s="168">
        <f t="shared" si="231"/>
        <v>0</v>
      </c>
      <c r="BX135" s="164">
        <f t="shared" si="200"/>
        <v>254</v>
      </c>
      <c r="BY135" s="164">
        <f t="shared" si="232"/>
        <v>5</v>
      </c>
    </row>
    <row r="136" spans="1:78">
      <c r="A136" s="129" t="s">
        <v>221</v>
      </c>
      <c r="U136" s="129">
        <v>234.5</v>
      </c>
      <c r="V136" s="129">
        <v>2</v>
      </c>
      <c r="X136" s="129">
        <v>247.5</v>
      </c>
      <c r="AC136" s="129">
        <v>0</v>
      </c>
      <c r="AD136" s="129">
        <v>5</v>
      </c>
      <c r="AE136" s="129">
        <v>3.7</v>
      </c>
      <c r="AF136" s="129">
        <v>239</v>
      </c>
      <c r="AG136" s="129">
        <v>114</v>
      </c>
      <c r="AI136" s="129">
        <v>48</v>
      </c>
      <c r="AJ136" s="129">
        <v>9</v>
      </c>
      <c r="AK136" s="129">
        <v>43</v>
      </c>
      <c r="AL136" s="129">
        <v>0</v>
      </c>
      <c r="AO136" s="129">
        <v>0</v>
      </c>
      <c r="AP136" s="129">
        <v>0</v>
      </c>
      <c r="AQ136" s="129">
        <v>0</v>
      </c>
      <c r="AR136" s="129">
        <v>0</v>
      </c>
      <c r="AS136" s="129">
        <v>0</v>
      </c>
      <c r="AT136" s="129">
        <v>0</v>
      </c>
      <c r="AU136" s="129">
        <v>0</v>
      </c>
      <c r="AV136" s="129">
        <v>0</v>
      </c>
      <c r="AW136" s="129">
        <v>91016</v>
      </c>
      <c r="AX136" s="167">
        <v>45400</v>
      </c>
      <c r="AY136" s="162">
        <f t="shared" ref="AY136:AY199" si="234">IF(AX136=AX135,AY135,AY135+1)</f>
        <v>14</v>
      </c>
      <c r="AZ136" s="163" t="s">
        <v>882</v>
      </c>
      <c r="BA136" s="162" t="b">
        <f t="shared" si="233"/>
        <v>0</v>
      </c>
      <c r="BF136" s="164">
        <f t="shared" ref="BF136:BF156" si="235">SUM(U136+C136-AO136-AP136-AR136)</f>
        <v>234.5</v>
      </c>
      <c r="BG136" s="164">
        <f t="shared" ref="BG136:BG156" si="236">SUM(E136+F136+V136+W136)</f>
        <v>2</v>
      </c>
      <c r="BH136" s="164"/>
      <c r="BI136" s="164">
        <f t="shared" ref="BI136:BI156" si="237">SUM(AC136+H136)</f>
        <v>0</v>
      </c>
      <c r="BJ136" s="164">
        <f t="shared" ref="BJ136:BJ156" si="238">SUM(AD136+I136)</f>
        <v>5</v>
      </c>
      <c r="BK136" s="164">
        <f t="shared" ref="BK136:BK156" si="239">SUM(AE136+J136)</f>
        <v>3.7</v>
      </c>
      <c r="BL136" s="164">
        <f t="shared" ref="BL136:BL156" si="240">SUM(AF136+K136)</f>
        <v>239</v>
      </c>
      <c r="BM136" s="164">
        <f t="shared" ref="BM136:BM156" si="241">SUM(AG136+L136)</f>
        <v>114</v>
      </c>
      <c r="BN136" s="164">
        <f t="shared" ref="BN136:BN156" si="242">SUM(AI136+M136)</f>
        <v>48</v>
      </c>
      <c r="BO136" s="164">
        <f t="shared" ref="BO136:BO156" si="243">SUM(AJ136+R136)</f>
        <v>9</v>
      </c>
      <c r="BP136" s="164">
        <f t="shared" ref="BP136:BP156" si="244">SUM(AK136+R136)</f>
        <v>43</v>
      </c>
      <c r="BQ136" s="164">
        <f t="shared" ref="BQ136:BQ156" si="245">SUM(S136+AK136)</f>
        <v>43</v>
      </c>
      <c r="BR136" s="164">
        <f t="shared" ref="BR136:BR156" si="246">SUM(T136+AL136)</f>
        <v>0</v>
      </c>
      <c r="BS136" s="129">
        <f>SUMIF('Audit HD AR - School Level'!$A$6:A3647, "=" &amp; A136,'Audit HD AR - School Level'!$Q$6:Q3647)</f>
        <v>10</v>
      </c>
      <c r="BT136" s="168">
        <f t="shared" ref="BT136:BT156" si="247">SUM(AS136-AQ136)*$BT$2</f>
        <v>0</v>
      </c>
      <c r="BU136" s="168">
        <f t="shared" ref="BU136:BU156" si="248">SUM(AU136-AR136)*$BT$2</f>
        <v>0</v>
      </c>
      <c r="BW136" s="168">
        <f t="shared" ref="BW136:BW156" si="249">IF(BT136+BU136+BV136&gt;0,0,BT136+BU136+BV136)</f>
        <v>0</v>
      </c>
      <c r="BX136" s="164">
        <f t="shared" si="200"/>
        <v>234.5</v>
      </c>
    </row>
    <row r="137" spans="1:78">
      <c r="A137" s="129" t="s">
        <v>240</v>
      </c>
      <c r="U137" s="129">
        <v>435.5</v>
      </c>
      <c r="V137" s="129">
        <v>10.5</v>
      </c>
      <c r="X137" s="129">
        <v>457.6</v>
      </c>
      <c r="AC137" s="129">
        <v>53.7</v>
      </c>
      <c r="AD137" s="129">
        <v>0</v>
      </c>
      <c r="AE137" s="129">
        <v>0</v>
      </c>
      <c r="AF137" s="129">
        <v>475</v>
      </c>
      <c r="AG137" s="129">
        <v>176</v>
      </c>
      <c r="AI137" s="129">
        <v>85.5</v>
      </c>
      <c r="AJ137" s="129">
        <v>31.5</v>
      </c>
      <c r="AK137" s="129">
        <v>87.5</v>
      </c>
      <c r="AL137" s="129">
        <v>0</v>
      </c>
      <c r="AO137" s="129">
        <v>0</v>
      </c>
      <c r="AP137" s="129">
        <v>0</v>
      </c>
      <c r="AQ137" s="129">
        <v>0</v>
      </c>
      <c r="AR137" s="129">
        <v>0</v>
      </c>
      <c r="AS137" s="129">
        <v>0</v>
      </c>
      <c r="AT137" s="129">
        <v>0</v>
      </c>
      <c r="AU137" s="129">
        <v>0</v>
      </c>
      <c r="AV137" s="129">
        <v>0</v>
      </c>
      <c r="AW137" s="129">
        <v>338786</v>
      </c>
      <c r="AX137" s="167">
        <v>45400</v>
      </c>
      <c r="AY137" s="162">
        <f t="shared" si="234"/>
        <v>14</v>
      </c>
      <c r="AZ137" s="163" t="s">
        <v>882</v>
      </c>
      <c r="BA137" s="162" t="b">
        <f t="shared" si="233"/>
        <v>0</v>
      </c>
      <c r="BF137" s="164">
        <f t="shared" si="235"/>
        <v>435.5</v>
      </c>
      <c r="BG137" s="164">
        <f t="shared" si="236"/>
        <v>10.5</v>
      </c>
      <c r="BH137" s="164"/>
      <c r="BI137" s="164">
        <f t="shared" si="237"/>
        <v>53.7</v>
      </c>
      <c r="BJ137" s="164">
        <f t="shared" si="238"/>
        <v>0</v>
      </c>
      <c r="BK137" s="164">
        <f t="shared" si="239"/>
        <v>0</v>
      </c>
      <c r="BL137" s="164">
        <f t="shared" si="240"/>
        <v>475</v>
      </c>
      <c r="BM137" s="164">
        <f t="shared" si="241"/>
        <v>176</v>
      </c>
      <c r="BN137" s="164">
        <f t="shared" si="242"/>
        <v>85.5</v>
      </c>
      <c r="BO137" s="164">
        <f t="shared" si="243"/>
        <v>31.5</v>
      </c>
      <c r="BP137" s="164">
        <f t="shared" si="244"/>
        <v>87.5</v>
      </c>
      <c r="BQ137" s="164">
        <f t="shared" si="245"/>
        <v>87.5</v>
      </c>
      <c r="BR137" s="164">
        <f t="shared" si="246"/>
        <v>0</v>
      </c>
      <c r="BS137" s="129">
        <f>SUMIF('Audit HD AR - School Level'!$A$6:A3648, "=" &amp; A137,'Audit HD AR - School Level'!$Q$6:Q3648)</f>
        <v>4.4000000000000004</v>
      </c>
      <c r="BT137" s="168">
        <f t="shared" si="247"/>
        <v>0</v>
      </c>
      <c r="BU137" s="168">
        <f t="shared" si="248"/>
        <v>0</v>
      </c>
      <c r="BW137" s="168">
        <f t="shared" si="249"/>
        <v>0</v>
      </c>
      <c r="BX137" s="164">
        <f t="shared" si="200"/>
        <v>435.5</v>
      </c>
    </row>
    <row r="138" spans="1:78">
      <c r="A138" s="129" t="s">
        <v>241</v>
      </c>
      <c r="U138" s="129">
        <v>778.5</v>
      </c>
      <c r="V138" s="129">
        <v>8.5</v>
      </c>
      <c r="X138" s="129">
        <v>800.5</v>
      </c>
      <c r="AC138" s="129">
        <v>287.39999999999998</v>
      </c>
      <c r="AD138" s="129">
        <v>6</v>
      </c>
      <c r="AE138" s="129">
        <v>1.8</v>
      </c>
      <c r="AF138" s="129">
        <v>801</v>
      </c>
      <c r="AG138" s="129">
        <v>291</v>
      </c>
      <c r="AI138" s="129">
        <v>199</v>
      </c>
      <c r="AJ138" s="129">
        <v>505</v>
      </c>
      <c r="AK138" s="129">
        <v>0</v>
      </c>
      <c r="AL138" s="129">
        <v>0</v>
      </c>
      <c r="AO138" s="129">
        <v>0</v>
      </c>
      <c r="AP138" s="129">
        <v>0</v>
      </c>
      <c r="AQ138" s="129">
        <v>0</v>
      </c>
      <c r="AR138" s="129">
        <v>0</v>
      </c>
      <c r="AS138" s="129">
        <v>0</v>
      </c>
      <c r="AT138" s="129">
        <v>0</v>
      </c>
      <c r="AU138" s="129">
        <v>0</v>
      </c>
      <c r="AV138" s="129">
        <v>0</v>
      </c>
      <c r="AW138" s="129">
        <v>278039</v>
      </c>
      <c r="AX138" s="167">
        <v>45400</v>
      </c>
      <c r="AY138" s="162">
        <f t="shared" si="234"/>
        <v>14</v>
      </c>
      <c r="AZ138" s="163" t="s">
        <v>882</v>
      </c>
      <c r="BA138" s="162" t="b">
        <f t="shared" si="233"/>
        <v>0</v>
      </c>
      <c r="BF138" s="164">
        <f t="shared" si="235"/>
        <v>778.5</v>
      </c>
      <c r="BG138" s="164">
        <f t="shared" si="236"/>
        <v>8.5</v>
      </c>
      <c r="BH138" s="164"/>
      <c r="BI138" s="164">
        <f t="shared" si="237"/>
        <v>287.39999999999998</v>
      </c>
      <c r="BJ138" s="164">
        <f t="shared" si="238"/>
        <v>6</v>
      </c>
      <c r="BK138" s="164">
        <f t="shared" si="239"/>
        <v>1.8</v>
      </c>
      <c r="BL138" s="164">
        <f t="shared" si="240"/>
        <v>801</v>
      </c>
      <c r="BM138" s="164">
        <f t="shared" si="241"/>
        <v>291</v>
      </c>
      <c r="BN138" s="164">
        <f t="shared" si="242"/>
        <v>199</v>
      </c>
      <c r="BO138" s="164">
        <f t="shared" si="243"/>
        <v>505</v>
      </c>
      <c r="BP138" s="164">
        <f t="shared" si="244"/>
        <v>0</v>
      </c>
      <c r="BQ138" s="164">
        <f t="shared" si="245"/>
        <v>0</v>
      </c>
      <c r="BR138" s="164">
        <f t="shared" si="246"/>
        <v>0</v>
      </c>
      <c r="BS138" s="129">
        <f>SUMIF('Audit HD AR - School Level'!$A$6:A3649, "=" &amp; A138,'Audit HD AR - School Level'!$Q$6:Q3649)</f>
        <v>5.8</v>
      </c>
      <c r="BT138" s="168">
        <f t="shared" si="247"/>
        <v>0</v>
      </c>
      <c r="BU138" s="168">
        <f t="shared" si="248"/>
        <v>0</v>
      </c>
      <c r="BW138" s="168">
        <f t="shared" si="249"/>
        <v>0</v>
      </c>
      <c r="BX138" s="164">
        <f t="shared" si="200"/>
        <v>778.5</v>
      </c>
    </row>
    <row r="139" spans="1:78">
      <c r="A139" s="129" t="s">
        <v>283</v>
      </c>
      <c r="U139" s="129">
        <v>67</v>
      </c>
      <c r="V139" s="129">
        <v>1</v>
      </c>
      <c r="X139" s="129">
        <v>64</v>
      </c>
      <c r="AC139" s="129">
        <v>10.199999999999999</v>
      </c>
      <c r="AD139" s="129">
        <v>0</v>
      </c>
      <c r="AE139" s="129">
        <v>0</v>
      </c>
      <c r="AF139" s="129">
        <v>70</v>
      </c>
      <c r="AG139" s="129">
        <v>27</v>
      </c>
      <c r="AI139" s="129">
        <v>24</v>
      </c>
      <c r="AJ139" s="129">
        <v>3</v>
      </c>
      <c r="AK139" s="129">
        <v>17</v>
      </c>
      <c r="AL139" s="129">
        <v>0</v>
      </c>
      <c r="AO139" s="129">
        <v>0</v>
      </c>
      <c r="AP139" s="129">
        <v>0</v>
      </c>
      <c r="AQ139" s="129">
        <v>0</v>
      </c>
      <c r="AR139" s="129">
        <v>0</v>
      </c>
      <c r="AS139" s="129">
        <v>0</v>
      </c>
      <c r="AT139" s="129">
        <v>0</v>
      </c>
      <c r="AU139" s="129">
        <v>0</v>
      </c>
      <c r="AV139" s="129">
        <v>0</v>
      </c>
      <c r="AW139" s="129">
        <v>64477</v>
      </c>
      <c r="AX139" s="167">
        <v>45400</v>
      </c>
      <c r="AY139" s="162">
        <f t="shared" si="234"/>
        <v>14</v>
      </c>
      <c r="AZ139" s="163" t="s">
        <v>882</v>
      </c>
      <c r="BA139" s="162" t="b">
        <f t="shared" si="233"/>
        <v>0</v>
      </c>
      <c r="BF139" s="164">
        <f t="shared" si="235"/>
        <v>67</v>
      </c>
      <c r="BG139" s="164">
        <f t="shared" si="236"/>
        <v>1</v>
      </c>
      <c r="BH139" s="164"/>
      <c r="BI139" s="164">
        <f t="shared" si="237"/>
        <v>10.199999999999999</v>
      </c>
      <c r="BJ139" s="164">
        <f t="shared" si="238"/>
        <v>0</v>
      </c>
      <c r="BK139" s="164">
        <f t="shared" si="239"/>
        <v>0</v>
      </c>
      <c r="BL139" s="164">
        <f t="shared" si="240"/>
        <v>70</v>
      </c>
      <c r="BM139" s="164">
        <f t="shared" si="241"/>
        <v>27</v>
      </c>
      <c r="BN139" s="164">
        <f t="shared" si="242"/>
        <v>24</v>
      </c>
      <c r="BO139" s="164">
        <f t="shared" si="243"/>
        <v>3</v>
      </c>
      <c r="BP139" s="164">
        <f t="shared" si="244"/>
        <v>17</v>
      </c>
      <c r="BQ139" s="164">
        <f t="shared" si="245"/>
        <v>17</v>
      </c>
      <c r="BR139" s="164">
        <f t="shared" si="246"/>
        <v>0</v>
      </c>
      <c r="BS139" s="129">
        <f>SUMIF('Audit HD AR - School Level'!$A$6:A3651, "=" &amp; A139,'Audit HD AR - School Level'!$Q$6:Q3651)</f>
        <v>0.1</v>
      </c>
      <c r="BT139" s="168">
        <f t="shared" si="247"/>
        <v>0</v>
      </c>
      <c r="BU139" s="168">
        <f t="shared" si="248"/>
        <v>0</v>
      </c>
      <c r="BW139" s="168">
        <f t="shared" si="249"/>
        <v>0</v>
      </c>
      <c r="BX139" s="164">
        <f t="shared" si="200"/>
        <v>67</v>
      </c>
    </row>
    <row r="140" spans="1:78">
      <c r="A140" s="129" t="s">
        <v>317</v>
      </c>
      <c r="U140" s="129">
        <v>455.7</v>
      </c>
      <c r="V140" s="129">
        <v>17.5</v>
      </c>
      <c r="X140" s="129">
        <v>380.4</v>
      </c>
      <c r="AC140" s="129">
        <v>170.3</v>
      </c>
      <c r="AD140" s="129">
        <v>0</v>
      </c>
      <c r="AE140" s="129">
        <v>0</v>
      </c>
      <c r="AF140" s="129">
        <v>495</v>
      </c>
      <c r="AG140" s="129">
        <v>196</v>
      </c>
      <c r="AI140" s="129">
        <v>245</v>
      </c>
      <c r="AJ140" s="129">
        <v>7</v>
      </c>
      <c r="AK140" s="129">
        <v>4</v>
      </c>
      <c r="AL140" s="129">
        <v>0</v>
      </c>
      <c r="AO140" s="129">
        <v>0</v>
      </c>
      <c r="AP140" s="129">
        <v>0</v>
      </c>
      <c r="AQ140" s="129">
        <v>0</v>
      </c>
      <c r="AR140" s="129">
        <v>0</v>
      </c>
      <c r="AS140" s="129">
        <v>0</v>
      </c>
      <c r="AT140" s="129">
        <v>0</v>
      </c>
      <c r="AU140" s="129">
        <v>0</v>
      </c>
      <c r="AV140" s="129">
        <v>0</v>
      </c>
      <c r="AW140" s="129">
        <v>264202</v>
      </c>
      <c r="AX140" s="167">
        <v>45400</v>
      </c>
      <c r="AY140" s="162">
        <f t="shared" si="234"/>
        <v>14</v>
      </c>
      <c r="AZ140" s="163" t="s">
        <v>882</v>
      </c>
      <c r="BA140" s="162" t="b">
        <f t="shared" si="233"/>
        <v>0</v>
      </c>
      <c r="BF140" s="164">
        <f t="shared" si="235"/>
        <v>455.7</v>
      </c>
      <c r="BG140" s="164">
        <f t="shared" si="236"/>
        <v>17.5</v>
      </c>
      <c r="BH140" s="164"/>
      <c r="BI140" s="164">
        <f t="shared" si="237"/>
        <v>170.3</v>
      </c>
      <c r="BJ140" s="164">
        <f t="shared" si="238"/>
        <v>0</v>
      </c>
      <c r="BK140" s="164">
        <f t="shared" si="239"/>
        <v>0</v>
      </c>
      <c r="BL140" s="164">
        <f t="shared" si="240"/>
        <v>495</v>
      </c>
      <c r="BM140" s="164">
        <f t="shared" si="241"/>
        <v>196</v>
      </c>
      <c r="BN140" s="164">
        <f t="shared" si="242"/>
        <v>245</v>
      </c>
      <c r="BO140" s="164">
        <f t="shared" si="243"/>
        <v>7</v>
      </c>
      <c r="BP140" s="164">
        <f t="shared" si="244"/>
        <v>4</v>
      </c>
      <c r="BQ140" s="164">
        <f t="shared" si="245"/>
        <v>4</v>
      </c>
      <c r="BR140" s="164">
        <f t="shared" si="246"/>
        <v>0</v>
      </c>
      <c r="BS140" s="129">
        <f>SUMIF('Audit HD AR - School Level'!$A$6:A3652, "=" &amp; A140,'Audit HD AR - School Level'!$Q$6:Q3652)</f>
        <v>6.5</v>
      </c>
      <c r="BT140" s="168">
        <f t="shared" si="247"/>
        <v>0</v>
      </c>
      <c r="BU140" s="168">
        <f t="shared" si="248"/>
        <v>0</v>
      </c>
      <c r="BW140" s="168">
        <f t="shared" si="249"/>
        <v>0</v>
      </c>
      <c r="BX140" s="164">
        <f t="shared" si="200"/>
        <v>455.7</v>
      </c>
      <c r="BZ140" s="129">
        <v>1</v>
      </c>
    </row>
    <row r="141" spans="1:78">
      <c r="A141" s="129" t="s">
        <v>322</v>
      </c>
      <c r="U141" s="129">
        <v>1651.6</v>
      </c>
      <c r="V141" s="129">
        <v>0</v>
      </c>
      <c r="X141" s="129">
        <v>817.5</v>
      </c>
      <c r="AC141" s="129">
        <v>222</v>
      </c>
      <c r="AD141" s="129">
        <v>1</v>
      </c>
      <c r="AE141" s="129">
        <v>0</v>
      </c>
      <c r="AF141" s="129">
        <v>846</v>
      </c>
      <c r="AG141" s="129">
        <v>212</v>
      </c>
      <c r="AI141" s="129">
        <v>438</v>
      </c>
      <c r="AJ141" s="129">
        <v>35</v>
      </c>
      <c r="AK141" s="129">
        <v>4</v>
      </c>
      <c r="AL141" s="129">
        <v>0</v>
      </c>
      <c r="AO141" s="129">
        <v>742</v>
      </c>
      <c r="AP141" s="129">
        <v>35.200000000000003</v>
      </c>
      <c r="AQ141" s="129">
        <v>0</v>
      </c>
      <c r="AR141" s="129">
        <v>1.5</v>
      </c>
      <c r="AS141" s="129">
        <v>0</v>
      </c>
      <c r="AT141" s="129">
        <v>39</v>
      </c>
      <c r="AU141" s="129">
        <v>0</v>
      </c>
      <c r="AV141" s="129">
        <v>0</v>
      </c>
      <c r="AW141" s="129">
        <v>443364</v>
      </c>
      <c r="AX141" s="167">
        <v>45400</v>
      </c>
      <c r="AY141" s="162">
        <f t="shared" si="234"/>
        <v>14</v>
      </c>
      <c r="AZ141" s="163" t="s">
        <v>882</v>
      </c>
      <c r="BA141" s="162" t="b">
        <f t="shared" si="233"/>
        <v>0</v>
      </c>
      <c r="BF141" s="164">
        <f t="shared" si="235"/>
        <v>872.9</v>
      </c>
      <c r="BG141" s="164">
        <f t="shared" si="236"/>
        <v>0</v>
      </c>
      <c r="BH141" s="164"/>
      <c r="BI141" s="164">
        <f t="shared" si="237"/>
        <v>222</v>
      </c>
      <c r="BJ141" s="164">
        <f t="shared" si="238"/>
        <v>1</v>
      </c>
      <c r="BK141" s="164">
        <f t="shared" si="239"/>
        <v>0</v>
      </c>
      <c r="BL141" s="164">
        <f t="shared" si="240"/>
        <v>846</v>
      </c>
      <c r="BM141" s="164">
        <f t="shared" si="241"/>
        <v>212</v>
      </c>
      <c r="BN141" s="164">
        <f t="shared" si="242"/>
        <v>438</v>
      </c>
      <c r="BO141" s="164">
        <f t="shared" si="243"/>
        <v>35</v>
      </c>
      <c r="BP141" s="164">
        <f t="shared" si="244"/>
        <v>4</v>
      </c>
      <c r="BQ141" s="164">
        <f t="shared" si="245"/>
        <v>4</v>
      </c>
      <c r="BR141" s="164">
        <f t="shared" si="246"/>
        <v>0</v>
      </c>
      <c r="BS141" s="129">
        <f>SUMIF('Audit HD AR - School Level'!$A$6:A3653, "=" &amp; A141,'Audit HD AR - School Level'!$Q$6:Q3653)</f>
        <v>0</v>
      </c>
      <c r="BT141" s="168">
        <f t="shared" si="247"/>
        <v>0</v>
      </c>
      <c r="BU141" s="168">
        <f t="shared" si="248"/>
        <v>-1064</v>
      </c>
      <c r="BW141" s="168">
        <f t="shared" si="249"/>
        <v>-1064</v>
      </c>
      <c r="BX141" s="164">
        <f t="shared" si="200"/>
        <v>835.4</v>
      </c>
    </row>
    <row r="142" spans="1:78">
      <c r="A142" s="129" t="s">
        <v>326</v>
      </c>
      <c r="U142" s="129">
        <v>321.2</v>
      </c>
      <c r="V142" s="129">
        <v>10</v>
      </c>
      <c r="X142" s="129">
        <v>353</v>
      </c>
      <c r="AC142" s="129">
        <v>84</v>
      </c>
      <c r="AD142" s="129">
        <v>0</v>
      </c>
      <c r="AE142" s="129">
        <v>0</v>
      </c>
      <c r="AF142" s="129">
        <v>349</v>
      </c>
      <c r="AG142" s="129">
        <v>161</v>
      </c>
      <c r="AI142" s="129">
        <v>50</v>
      </c>
      <c r="AJ142" s="129">
        <v>5</v>
      </c>
      <c r="AK142" s="129">
        <v>25</v>
      </c>
      <c r="AL142" s="129">
        <v>0</v>
      </c>
      <c r="AO142" s="129">
        <v>0</v>
      </c>
      <c r="AP142" s="129">
        <v>0</v>
      </c>
      <c r="AQ142" s="129">
        <v>0</v>
      </c>
      <c r="AR142" s="129">
        <v>0</v>
      </c>
      <c r="AS142" s="129">
        <v>0</v>
      </c>
      <c r="AT142" s="129">
        <v>0</v>
      </c>
      <c r="AU142" s="129">
        <v>0</v>
      </c>
      <c r="AV142" s="129">
        <v>0</v>
      </c>
      <c r="AW142" s="129">
        <v>62418</v>
      </c>
      <c r="AX142" s="167">
        <v>45400</v>
      </c>
      <c r="AY142" s="162">
        <f t="shared" si="234"/>
        <v>14</v>
      </c>
      <c r="AZ142" s="163" t="s">
        <v>882</v>
      </c>
      <c r="BA142" s="162" t="b">
        <f t="shared" si="233"/>
        <v>0</v>
      </c>
      <c r="BF142" s="164">
        <f t="shared" si="235"/>
        <v>321.2</v>
      </c>
      <c r="BG142" s="164">
        <f t="shared" si="236"/>
        <v>10</v>
      </c>
      <c r="BH142" s="164"/>
      <c r="BI142" s="164">
        <f t="shared" si="237"/>
        <v>84</v>
      </c>
      <c r="BJ142" s="164">
        <f t="shared" si="238"/>
        <v>0</v>
      </c>
      <c r="BK142" s="164">
        <f t="shared" si="239"/>
        <v>0</v>
      </c>
      <c r="BL142" s="164">
        <f t="shared" si="240"/>
        <v>349</v>
      </c>
      <c r="BM142" s="164">
        <f t="shared" si="241"/>
        <v>161</v>
      </c>
      <c r="BN142" s="164">
        <f t="shared" si="242"/>
        <v>50</v>
      </c>
      <c r="BO142" s="164">
        <f t="shared" si="243"/>
        <v>5</v>
      </c>
      <c r="BP142" s="164">
        <f t="shared" si="244"/>
        <v>25</v>
      </c>
      <c r="BQ142" s="164">
        <f t="shared" si="245"/>
        <v>25</v>
      </c>
      <c r="BR142" s="164">
        <f t="shared" si="246"/>
        <v>0</v>
      </c>
      <c r="BS142" s="129">
        <f>SUMIF('Audit HD AR - School Level'!$A$6:A3654, "=" &amp; A142,'Audit HD AR - School Level'!$Q$6:Q3654)</f>
        <v>12</v>
      </c>
      <c r="BT142" s="168">
        <f t="shared" si="247"/>
        <v>0</v>
      </c>
      <c r="BU142" s="168">
        <f t="shared" si="248"/>
        <v>0</v>
      </c>
      <c r="BW142" s="168">
        <f t="shared" si="249"/>
        <v>0</v>
      </c>
      <c r="BX142" s="164">
        <f t="shared" si="200"/>
        <v>321.2</v>
      </c>
      <c r="BZ142" s="129">
        <v>1</v>
      </c>
    </row>
    <row r="143" spans="1:78">
      <c r="A143" s="129" t="s">
        <v>327</v>
      </c>
      <c r="U143" s="129">
        <v>3597.7</v>
      </c>
      <c r="V143" s="129">
        <v>59.5</v>
      </c>
      <c r="X143" s="129">
        <v>3726.6</v>
      </c>
      <c r="AC143" s="129">
        <v>1292.5999999999999</v>
      </c>
      <c r="AD143" s="129">
        <v>20</v>
      </c>
      <c r="AE143" s="129">
        <v>12.1</v>
      </c>
      <c r="AF143" s="129">
        <v>3722</v>
      </c>
      <c r="AG143" s="129">
        <v>1231</v>
      </c>
      <c r="AI143" s="129">
        <v>1573</v>
      </c>
      <c r="AJ143" s="129">
        <v>1174</v>
      </c>
      <c r="AK143" s="129">
        <v>106</v>
      </c>
      <c r="AL143" s="129">
        <v>0</v>
      </c>
      <c r="AO143" s="129">
        <v>26</v>
      </c>
      <c r="AP143" s="129">
        <v>1.5</v>
      </c>
      <c r="AQ143" s="129">
        <v>0.5</v>
      </c>
      <c r="AR143" s="129">
        <v>0</v>
      </c>
      <c r="AS143" s="129">
        <v>0</v>
      </c>
      <c r="AT143" s="129">
        <v>1</v>
      </c>
      <c r="AU143" s="129">
        <v>0</v>
      </c>
      <c r="AV143" s="129">
        <v>0</v>
      </c>
      <c r="AW143" s="129">
        <v>1594908</v>
      </c>
      <c r="AX143" s="167">
        <v>45400</v>
      </c>
      <c r="AY143" s="162">
        <f t="shared" si="234"/>
        <v>14</v>
      </c>
      <c r="AZ143" s="163" t="s">
        <v>882</v>
      </c>
      <c r="BA143" s="162" t="b">
        <f t="shared" si="233"/>
        <v>0</v>
      </c>
      <c r="BF143" s="164">
        <f t="shared" si="235"/>
        <v>3570.2</v>
      </c>
      <c r="BG143" s="164">
        <f t="shared" si="236"/>
        <v>59.5</v>
      </c>
      <c r="BH143" s="164"/>
      <c r="BI143" s="164">
        <f t="shared" si="237"/>
        <v>1292.5999999999999</v>
      </c>
      <c r="BJ143" s="164">
        <f t="shared" si="238"/>
        <v>20</v>
      </c>
      <c r="BK143" s="164">
        <f t="shared" si="239"/>
        <v>12.1</v>
      </c>
      <c r="BL143" s="164">
        <f t="shared" si="240"/>
        <v>3722</v>
      </c>
      <c r="BM143" s="164">
        <f t="shared" si="241"/>
        <v>1231</v>
      </c>
      <c r="BN143" s="164">
        <f t="shared" si="242"/>
        <v>1573</v>
      </c>
      <c r="BO143" s="164">
        <f t="shared" si="243"/>
        <v>1174</v>
      </c>
      <c r="BP143" s="164">
        <f t="shared" si="244"/>
        <v>106</v>
      </c>
      <c r="BQ143" s="164">
        <f t="shared" si="245"/>
        <v>106</v>
      </c>
      <c r="BR143" s="164">
        <f t="shared" si="246"/>
        <v>0</v>
      </c>
      <c r="BS143" s="129">
        <f>SUMIF('Audit HD AR - School Level'!$A$6:A3655, "=" &amp; A143,'Audit HD AR - School Level'!$Q$6:Q3655)</f>
        <v>35.4</v>
      </c>
      <c r="BT143" s="168">
        <f t="shared" si="247"/>
        <v>-355</v>
      </c>
      <c r="BU143" s="168">
        <f t="shared" si="248"/>
        <v>0</v>
      </c>
      <c r="BW143" s="168">
        <f t="shared" si="249"/>
        <v>-355</v>
      </c>
      <c r="BX143" s="164">
        <f t="shared" si="200"/>
        <v>3569.2</v>
      </c>
    </row>
    <row r="144" spans="1:78">
      <c r="A144" s="129" t="s">
        <v>328</v>
      </c>
      <c r="U144" s="129">
        <v>557.6</v>
      </c>
      <c r="V144" s="129">
        <v>11</v>
      </c>
      <c r="X144" s="129">
        <v>550.79999999999995</v>
      </c>
      <c r="AC144" s="129">
        <v>211.1</v>
      </c>
      <c r="AD144" s="129">
        <v>4</v>
      </c>
      <c r="AE144" s="129">
        <v>0.3</v>
      </c>
      <c r="AF144" s="129">
        <v>582</v>
      </c>
      <c r="AG144" s="129">
        <v>296</v>
      </c>
      <c r="AI144" s="129">
        <v>315</v>
      </c>
      <c r="AJ144" s="129">
        <v>13</v>
      </c>
      <c r="AK144" s="129">
        <v>9</v>
      </c>
      <c r="AL144" s="129">
        <v>0</v>
      </c>
      <c r="AO144" s="129">
        <v>1</v>
      </c>
      <c r="AP144" s="129">
        <v>0.8</v>
      </c>
      <c r="AQ144" s="129">
        <v>0</v>
      </c>
      <c r="AR144" s="129">
        <v>5</v>
      </c>
      <c r="AS144" s="129">
        <v>0</v>
      </c>
      <c r="AT144" s="129">
        <v>0</v>
      </c>
      <c r="AU144" s="129">
        <v>0</v>
      </c>
      <c r="AV144" s="129">
        <v>0</v>
      </c>
      <c r="AW144" s="129">
        <v>375758</v>
      </c>
      <c r="AX144" s="167">
        <v>45400</v>
      </c>
      <c r="AY144" s="162">
        <f t="shared" si="234"/>
        <v>14</v>
      </c>
      <c r="AZ144" s="163" t="s">
        <v>882</v>
      </c>
      <c r="BA144" s="162" t="b">
        <f t="shared" si="233"/>
        <v>0</v>
      </c>
      <c r="BF144" s="164">
        <f t="shared" si="235"/>
        <v>550.79999999999995</v>
      </c>
      <c r="BG144" s="164">
        <f t="shared" si="236"/>
        <v>11</v>
      </c>
      <c r="BH144" s="164"/>
      <c r="BI144" s="164">
        <f t="shared" si="237"/>
        <v>211.1</v>
      </c>
      <c r="BJ144" s="164">
        <f t="shared" si="238"/>
        <v>4</v>
      </c>
      <c r="BK144" s="164">
        <f t="shared" si="239"/>
        <v>0.3</v>
      </c>
      <c r="BL144" s="164">
        <f t="shared" si="240"/>
        <v>582</v>
      </c>
      <c r="BM144" s="164">
        <f t="shared" si="241"/>
        <v>296</v>
      </c>
      <c r="BN144" s="164">
        <f t="shared" si="242"/>
        <v>315</v>
      </c>
      <c r="BO144" s="164">
        <f t="shared" si="243"/>
        <v>13</v>
      </c>
      <c r="BP144" s="164">
        <f t="shared" si="244"/>
        <v>9</v>
      </c>
      <c r="BQ144" s="164">
        <f t="shared" si="245"/>
        <v>9</v>
      </c>
      <c r="BR144" s="164">
        <f t="shared" si="246"/>
        <v>0</v>
      </c>
      <c r="BS144" s="129">
        <f>SUMIF('Audit HD AR - School Level'!$A$6:A3656, "=" &amp; A144,'Audit HD AR - School Level'!$Q$6:Q3656)</f>
        <v>25.5</v>
      </c>
      <c r="BT144" s="168">
        <f t="shared" si="247"/>
        <v>0</v>
      </c>
      <c r="BU144" s="168">
        <f t="shared" si="248"/>
        <v>-3545</v>
      </c>
      <c r="BW144" s="168">
        <f t="shared" si="249"/>
        <v>-3545</v>
      </c>
      <c r="BX144" s="164">
        <f t="shared" si="200"/>
        <v>555.79999999999995</v>
      </c>
    </row>
    <row r="145" spans="1:78">
      <c r="A145" s="129" t="s">
        <v>357</v>
      </c>
      <c r="U145" s="129">
        <v>492.5</v>
      </c>
      <c r="V145" s="129">
        <v>6</v>
      </c>
      <c r="X145" s="129">
        <v>494.5</v>
      </c>
      <c r="AC145" s="129">
        <v>106.6</v>
      </c>
      <c r="AD145" s="129">
        <v>1</v>
      </c>
      <c r="AE145" s="129">
        <v>0</v>
      </c>
      <c r="AF145" s="129">
        <v>503</v>
      </c>
      <c r="AG145" s="129">
        <v>208</v>
      </c>
      <c r="AI145" s="129">
        <v>296</v>
      </c>
      <c r="AJ145" s="129">
        <v>128</v>
      </c>
      <c r="AK145" s="129">
        <v>10</v>
      </c>
      <c r="AL145" s="129">
        <v>0</v>
      </c>
      <c r="AO145" s="129">
        <v>2</v>
      </c>
      <c r="AP145" s="129">
        <v>0</v>
      </c>
      <c r="AQ145" s="129">
        <v>0</v>
      </c>
      <c r="AR145" s="129">
        <v>0</v>
      </c>
      <c r="AS145" s="129">
        <v>0</v>
      </c>
      <c r="AT145" s="129">
        <v>0</v>
      </c>
      <c r="AU145" s="129">
        <v>0</v>
      </c>
      <c r="AV145" s="129">
        <v>0</v>
      </c>
      <c r="AW145" s="129">
        <v>445688</v>
      </c>
      <c r="AX145" s="167">
        <v>45400</v>
      </c>
      <c r="AY145" s="162">
        <f t="shared" si="234"/>
        <v>14</v>
      </c>
      <c r="AZ145" s="163" t="s">
        <v>882</v>
      </c>
      <c r="BA145" s="162" t="b">
        <f t="shared" si="233"/>
        <v>0</v>
      </c>
      <c r="BF145" s="164">
        <f t="shared" si="235"/>
        <v>490.5</v>
      </c>
      <c r="BG145" s="164">
        <f t="shared" si="236"/>
        <v>6</v>
      </c>
      <c r="BH145" s="164"/>
      <c r="BI145" s="164">
        <f t="shared" si="237"/>
        <v>106.6</v>
      </c>
      <c r="BJ145" s="164">
        <f t="shared" si="238"/>
        <v>1</v>
      </c>
      <c r="BK145" s="164">
        <f t="shared" si="239"/>
        <v>0</v>
      </c>
      <c r="BL145" s="164">
        <f t="shared" si="240"/>
        <v>503</v>
      </c>
      <c r="BM145" s="164">
        <f t="shared" si="241"/>
        <v>208</v>
      </c>
      <c r="BN145" s="164">
        <f t="shared" si="242"/>
        <v>296</v>
      </c>
      <c r="BO145" s="164">
        <f t="shared" si="243"/>
        <v>128</v>
      </c>
      <c r="BP145" s="164">
        <f t="shared" si="244"/>
        <v>10</v>
      </c>
      <c r="BQ145" s="164">
        <f t="shared" si="245"/>
        <v>10</v>
      </c>
      <c r="BR145" s="164">
        <f t="shared" si="246"/>
        <v>0</v>
      </c>
      <c r="BS145" s="129">
        <f>SUMIF('Audit HD AR - School Level'!$A$6:A3658, "=" &amp; A145,'Audit HD AR - School Level'!$Q$6:Q3658)</f>
        <v>9.8000000000000007</v>
      </c>
      <c r="BT145" s="168">
        <f t="shared" si="247"/>
        <v>0</v>
      </c>
      <c r="BU145" s="168">
        <f t="shared" si="248"/>
        <v>0</v>
      </c>
      <c r="BW145" s="168">
        <f t="shared" si="249"/>
        <v>0</v>
      </c>
      <c r="BX145" s="164">
        <f t="shared" si="200"/>
        <v>490.5</v>
      </c>
      <c r="BZ145" s="129">
        <v>1</v>
      </c>
    </row>
    <row r="146" spans="1:78">
      <c r="A146" s="129" t="s">
        <v>387</v>
      </c>
      <c r="U146" s="129">
        <v>1413.5</v>
      </c>
      <c r="V146" s="129">
        <v>17.3</v>
      </c>
      <c r="X146" s="129">
        <v>1531.4</v>
      </c>
      <c r="AC146" s="129">
        <v>258.10000000000002</v>
      </c>
      <c r="AD146" s="129">
        <v>5</v>
      </c>
      <c r="AE146" s="129">
        <v>2</v>
      </c>
      <c r="AF146" s="129">
        <v>1470</v>
      </c>
      <c r="AG146" s="129">
        <v>840</v>
      </c>
      <c r="AI146" s="129">
        <v>170</v>
      </c>
      <c r="AJ146" s="129">
        <v>514</v>
      </c>
      <c r="AK146" s="129">
        <v>86</v>
      </c>
      <c r="AL146" s="129">
        <v>0</v>
      </c>
      <c r="AO146" s="129">
        <v>0</v>
      </c>
      <c r="AP146" s="129">
        <v>0</v>
      </c>
      <c r="AQ146" s="129">
        <v>0</v>
      </c>
      <c r="AR146" s="129">
        <v>0</v>
      </c>
      <c r="AS146" s="129">
        <v>0</v>
      </c>
      <c r="AT146" s="129">
        <v>0</v>
      </c>
      <c r="AU146" s="129">
        <v>0</v>
      </c>
      <c r="AV146" s="129">
        <v>0</v>
      </c>
      <c r="AW146" s="129">
        <v>548257</v>
      </c>
      <c r="AX146" s="167">
        <v>45400</v>
      </c>
      <c r="AY146" s="162">
        <f t="shared" si="234"/>
        <v>14</v>
      </c>
      <c r="AZ146" s="163" t="s">
        <v>882</v>
      </c>
      <c r="BA146" s="162" t="b">
        <f t="shared" si="233"/>
        <v>0</v>
      </c>
      <c r="BF146" s="164">
        <f t="shared" si="235"/>
        <v>1413.5</v>
      </c>
      <c r="BG146" s="164">
        <f t="shared" si="236"/>
        <v>17.3</v>
      </c>
      <c r="BH146" s="164"/>
      <c r="BI146" s="164">
        <f t="shared" si="237"/>
        <v>258.10000000000002</v>
      </c>
      <c r="BJ146" s="164">
        <f t="shared" si="238"/>
        <v>5</v>
      </c>
      <c r="BK146" s="164">
        <f t="shared" si="239"/>
        <v>2</v>
      </c>
      <c r="BL146" s="164">
        <f t="shared" si="240"/>
        <v>1470</v>
      </c>
      <c r="BM146" s="164">
        <f t="shared" si="241"/>
        <v>840</v>
      </c>
      <c r="BN146" s="164">
        <f t="shared" si="242"/>
        <v>170</v>
      </c>
      <c r="BO146" s="164">
        <f t="shared" si="243"/>
        <v>514</v>
      </c>
      <c r="BP146" s="164">
        <f t="shared" si="244"/>
        <v>86</v>
      </c>
      <c r="BQ146" s="164">
        <f t="shared" si="245"/>
        <v>86</v>
      </c>
      <c r="BR146" s="164">
        <f t="shared" si="246"/>
        <v>0</v>
      </c>
      <c r="BS146" s="129">
        <f>SUMIF('Audit HD AR - School Level'!$A$6:A3659, "=" &amp; A146,'Audit HD AR - School Level'!$Q$6:Q3659)</f>
        <v>87.5</v>
      </c>
      <c r="BT146" s="168">
        <f t="shared" si="247"/>
        <v>0</v>
      </c>
      <c r="BU146" s="168">
        <f t="shared" si="248"/>
        <v>0</v>
      </c>
      <c r="BW146" s="168">
        <f t="shared" si="249"/>
        <v>0</v>
      </c>
      <c r="BX146" s="164">
        <f t="shared" si="200"/>
        <v>1413.5</v>
      </c>
    </row>
    <row r="147" spans="1:78">
      <c r="A147" s="129" t="s">
        <v>390</v>
      </c>
      <c r="U147" s="129">
        <v>395.5</v>
      </c>
      <c r="V147" s="129">
        <v>6</v>
      </c>
      <c r="X147" s="129">
        <v>419.2</v>
      </c>
      <c r="AC147" s="129">
        <v>90.3</v>
      </c>
      <c r="AD147" s="129">
        <v>13</v>
      </c>
      <c r="AE147" s="129">
        <v>0</v>
      </c>
      <c r="AF147" s="129">
        <v>411</v>
      </c>
      <c r="AG147" s="129">
        <v>104</v>
      </c>
      <c r="AI147" s="129">
        <v>100</v>
      </c>
      <c r="AJ147" s="129">
        <v>3</v>
      </c>
      <c r="AK147" s="129">
        <v>33</v>
      </c>
      <c r="AL147" s="129">
        <v>0</v>
      </c>
      <c r="AO147" s="129">
        <v>0</v>
      </c>
      <c r="AP147" s="129">
        <v>0</v>
      </c>
      <c r="AQ147" s="129">
        <v>0</v>
      </c>
      <c r="AR147" s="129">
        <v>0</v>
      </c>
      <c r="AS147" s="129">
        <v>0</v>
      </c>
      <c r="AT147" s="129">
        <v>0</v>
      </c>
      <c r="AU147" s="129">
        <v>0</v>
      </c>
      <c r="AV147" s="129">
        <v>0</v>
      </c>
      <c r="AW147" s="129">
        <v>286005</v>
      </c>
      <c r="AX147" s="167">
        <v>45400</v>
      </c>
      <c r="AY147" s="162">
        <f t="shared" si="234"/>
        <v>14</v>
      </c>
      <c r="AZ147" s="163" t="s">
        <v>882</v>
      </c>
      <c r="BA147" s="162" t="b">
        <f t="shared" si="233"/>
        <v>0</v>
      </c>
      <c r="BF147" s="164">
        <f t="shared" si="235"/>
        <v>395.5</v>
      </c>
      <c r="BG147" s="164">
        <f t="shared" si="236"/>
        <v>6</v>
      </c>
      <c r="BH147" s="164"/>
      <c r="BI147" s="164">
        <f t="shared" si="237"/>
        <v>90.3</v>
      </c>
      <c r="BJ147" s="164">
        <f t="shared" si="238"/>
        <v>13</v>
      </c>
      <c r="BK147" s="164">
        <f t="shared" si="239"/>
        <v>0</v>
      </c>
      <c r="BL147" s="164">
        <f t="shared" si="240"/>
        <v>411</v>
      </c>
      <c r="BM147" s="164">
        <f t="shared" si="241"/>
        <v>104</v>
      </c>
      <c r="BN147" s="164">
        <f t="shared" si="242"/>
        <v>100</v>
      </c>
      <c r="BO147" s="164">
        <f t="shared" si="243"/>
        <v>3</v>
      </c>
      <c r="BP147" s="164">
        <f t="shared" si="244"/>
        <v>33</v>
      </c>
      <c r="BQ147" s="164">
        <f t="shared" si="245"/>
        <v>33</v>
      </c>
      <c r="BR147" s="164">
        <f t="shared" si="246"/>
        <v>0</v>
      </c>
      <c r="BS147" s="129">
        <f>SUMIF('Audit HD AR - School Level'!$A$6:A3660, "=" &amp; A147,'Audit HD AR - School Level'!$Q$6:Q3660)</f>
        <v>0</v>
      </c>
      <c r="BT147" s="168">
        <f t="shared" si="247"/>
        <v>0</v>
      </c>
      <c r="BU147" s="168">
        <f t="shared" si="248"/>
        <v>0</v>
      </c>
      <c r="BW147" s="168">
        <f t="shared" si="249"/>
        <v>0</v>
      </c>
      <c r="BX147" s="164">
        <f t="shared" si="200"/>
        <v>395.5</v>
      </c>
    </row>
    <row r="148" spans="1:78">
      <c r="A148" s="129" t="s">
        <v>397</v>
      </c>
      <c r="U148" s="129">
        <v>655.8</v>
      </c>
      <c r="V148" s="129">
        <v>11.5</v>
      </c>
      <c r="X148" s="129">
        <v>682.5</v>
      </c>
      <c r="AC148" s="129">
        <v>79</v>
      </c>
      <c r="AD148" s="129">
        <v>2</v>
      </c>
      <c r="AE148" s="129">
        <v>0</v>
      </c>
      <c r="AF148" s="129">
        <v>686</v>
      </c>
      <c r="AG148" s="129">
        <v>330</v>
      </c>
      <c r="AI148" s="129">
        <v>103</v>
      </c>
      <c r="AJ148" s="129">
        <v>61.5</v>
      </c>
      <c r="AK148" s="129">
        <v>36.5</v>
      </c>
      <c r="AL148" s="129">
        <v>0</v>
      </c>
      <c r="AO148" s="129">
        <v>2</v>
      </c>
      <c r="AP148" s="129">
        <v>0.8</v>
      </c>
      <c r="AQ148" s="129">
        <v>1</v>
      </c>
      <c r="AR148" s="129">
        <v>0</v>
      </c>
      <c r="AS148" s="129">
        <v>1</v>
      </c>
      <c r="AT148" s="129">
        <v>1</v>
      </c>
      <c r="AU148" s="129">
        <v>0</v>
      </c>
      <c r="AV148" s="129">
        <v>0</v>
      </c>
      <c r="AW148" s="129">
        <v>178200</v>
      </c>
      <c r="AX148" s="167">
        <v>45400</v>
      </c>
      <c r="AY148" s="162">
        <f t="shared" si="234"/>
        <v>14</v>
      </c>
      <c r="AZ148" s="163" t="s">
        <v>882</v>
      </c>
      <c r="BA148" s="162" t="b">
        <f t="shared" si="233"/>
        <v>0</v>
      </c>
      <c r="BF148" s="164">
        <f t="shared" si="235"/>
        <v>653</v>
      </c>
      <c r="BG148" s="164">
        <f t="shared" si="236"/>
        <v>11.5</v>
      </c>
      <c r="BH148" s="164"/>
      <c r="BI148" s="164">
        <f t="shared" si="237"/>
        <v>79</v>
      </c>
      <c r="BJ148" s="164">
        <f t="shared" si="238"/>
        <v>2</v>
      </c>
      <c r="BK148" s="164">
        <f t="shared" si="239"/>
        <v>0</v>
      </c>
      <c r="BL148" s="164">
        <f t="shared" si="240"/>
        <v>686</v>
      </c>
      <c r="BM148" s="164">
        <f t="shared" si="241"/>
        <v>330</v>
      </c>
      <c r="BN148" s="164">
        <f t="shared" si="242"/>
        <v>103</v>
      </c>
      <c r="BO148" s="164">
        <f t="shared" si="243"/>
        <v>61.5</v>
      </c>
      <c r="BP148" s="164">
        <f t="shared" si="244"/>
        <v>36.5</v>
      </c>
      <c r="BQ148" s="164">
        <f t="shared" si="245"/>
        <v>36.5</v>
      </c>
      <c r="BR148" s="164">
        <f t="shared" si="246"/>
        <v>0</v>
      </c>
      <c r="BS148" s="129">
        <f>SUMIF('Audit HD AR - School Level'!$A$6:A3661, "=" &amp; A148,'Audit HD AR - School Level'!$Q$6:Q3661)</f>
        <v>25.8</v>
      </c>
      <c r="BT148" s="168">
        <f t="shared" si="247"/>
        <v>0</v>
      </c>
      <c r="BU148" s="168">
        <f t="shared" si="248"/>
        <v>0</v>
      </c>
      <c r="BW148" s="168">
        <f t="shared" si="249"/>
        <v>0</v>
      </c>
      <c r="BX148" s="164">
        <f t="shared" si="200"/>
        <v>652</v>
      </c>
    </row>
    <row r="149" spans="1:78">
      <c r="A149" s="129" t="s">
        <v>408</v>
      </c>
      <c r="U149" s="129">
        <v>1344.3</v>
      </c>
      <c r="V149" s="129">
        <v>18</v>
      </c>
      <c r="X149" s="129">
        <v>1406.5</v>
      </c>
      <c r="AC149" s="129">
        <v>570.1</v>
      </c>
      <c r="AD149" s="129">
        <v>24</v>
      </c>
      <c r="AE149" s="129">
        <v>31.8</v>
      </c>
      <c r="AF149" s="129">
        <v>1455</v>
      </c>
      <c r="AG149" s="129">
        <v>569</v>
      </c>
      <c r="AI149" s="129">
        <v>227</v>
      </c>
      <c r="AJ149" s="129">
        <v>1034</v>
      </c>
      <c r="AK149" s="129">
        <v>175</v>
      </c>
      <c r="AL149" s="129">
        <v>0</v>
      </c>
      <c r="AO149" s="129">
        <v>6</v>
      </c>
      <c r="AP149" s="129">
        <v>10.199999999999999</v>
      </c>
      <c r="AQ149" s="129">
        <v>13.5</v>
      </c>
      <c r="AR149" s="129">
        <v>2</v>
      </c>
      <c r="AS149" s="129">
        <v>9.5</v>
      </c>
      <c r="AT149" s="129">
        <v>0</v>
      </c>
      <c r="AU149" s="129">
        <v>0</v>
      </c>
      <c r="AV149" s="129">
        <v>0</v>
      </c>
      <c r="AW149" s="129">
        <v>412155</v>
      </c>
      <c r="AX149" s="167">
        <v>45400</v>
      </c>
      <c r="AY149" s="162">
        <f t="shared" si="234"/>
        <v>14</v>
      </c>
      <c r="AZ149" s="163" t="s">
        <v>882</v>
      </c>
      <c r="BA149" s="162" t="b">
        <f t="shared" si="233"/>
        <v>0</v>
      </c>
      <c r="BF149" s="164">
        <f t="shared" si="235"/>
        <v>1326.1</v>
      </c>
      <c r="BG149" s="164">
        <f t="shared" si="236"/>
        <v>18</v>
      </c>
      <c r="BH149" s="164"/>
      <c r="BI149" s="164">
        <f t="shared" si="237"/>
        <v>570.1</v>
      </c>
      <c r="BJ149" s="164">
        <f t="shared" si="238"/>
        <v>24</v>
      </c>
      <c r="BK149" s="164">
        <f t="shared" si="239"/>
        <v>31.8</v>
      </c>
      <c r="BL149" s="164">
        <f t="shared" si="240"/>
        <v>1455</v>
      </c>
      <c r="BM149" s="164">
        <f t="shared" si="241"/>
        <v>569</v>
      </c>
      <c r="BN149" s="164">
        <f t="shared" si="242"/>
        <v>227</v>
      </c>
      <c r="BO149" s="164">
        <f t="shared" si="243"/>
        <v>1034</v>
      </c>
      <c r="BP149" s="164">
        <f t="shared" si="244"/>
        <v>175</v>
      </c>
      <c r="BQ149" s="164">
        <f t="shared" si="245"/>
        <v>175</v>
      </c>
      <c r="BR149" s="164">
        <f t="shared" si="246"/>
        <v>0</v>
      </c>
      <c r="BS149" s="129">
        <f>SUMIF('Audit HD AR - School Level'!$A$6:A3662, "=" &amp; A149,'Audit HD AR - School Level'!$Q$6:Q3662)</f>
        <v>21.8</v>
      </c>
      <c r="BT149" s="168">
        <f t="shared" si="247"/>
        <v>-2836</v>
      </c>
      <c r="BU149" s="168">
        <f t="shared" si="248"/>
        <v>-1418</v>
      </c>
      <c r="BW149" s="168">
        <f t="shared" si="249"/>
        <v>-4254</v>
      </c>
      <c r="BX149" s="164">
        <f t="shared" si="200"/>
        <v>1328.1</v>
      </c>
    </row>
    <row r="150" spans="1:78">
      <c r="A150" s="129" t="s">
        <v>430</v>
      </c>
      <c r="U150" s="129">
        <v>732</v>
      </c>
      <c r="V150" s="129">
        <v>12.5</v>
      </c>
      <c r="X150" s="129">
        <v>726</v>
      </c>
      <c r="AC150" s="129">
        <v>235</v>
      </c>
      <c r="AD150" s="129">
        <v>1</v>
      </c>
      <c r="AE150" s="129">
        <v>0.7</v>
      </c>
      <c r="AF150" s="129">
        <v>756</v>
      </c>
      <c r="AG150" s="129">
        <v>346</v>
      </c>
      <c r="AI150" s="129">
        <v>36.5</v>
      </c>
      <c r="AJ150" s="129">
        <v>16.5</v>
      </c>
      <c r="AK150" s="129">
        <v>20.5</v>
      </c>
      <c r="AL150" s="129">
        <v>0</v>
      </c>
      <c r="AO150" s="129">
        <v>2</v>
      </c>
      <c r="AP150" s="129">
        <v>2</v>
      </c>
      <c r="AQ150" s="129">
        <v>0</v>
      </c>
      <c r="AR150" s="129">
        <v>5</v>
      </c>
      <c r="AS150" s="129">
        <v>0</v>
      </c>
      <c r="AT150" s="129">
        <v>0</v>
      </c>
      <c r="AU150" s="129">
        <v>0</v>
      </c>
      <c r="AV150" s="129">
        <v>0</v>
      </c>
      <c r="AW150" s="129">
        <v>392899</v>
      </c>
      <c r="AX150" s="167">
        <v>45400</v>
      </c>
      <c r="AY150" s="162">
        <f t="shared" si="234"/>
        <v>14</v>
      </c>
      <c r="AZ150" s="163" t="s">
        <v>882</v>
      </c>
      <c r="BA150" s="162" t="b">
        <f t="shared" si="233"/>
        <v>0</v>
      </c>
      <c r="BF150" s="164">
        <f t="shared" si="235"/>
        <v>723</v>
      </c>
      <c r="BG150" s="164">
        <f t="shared" si="236"/>
        <v>12.5</v>
      </c>
      <c r="BH150" s="164"/>
      <c r="BI150" s="164">
        <f t="shared" si="237"/>
        <v>235</v>
      </c>
      <c r="BJ150" s="164">
        <f t="shared" si="238"/>
        <v>1</v>
      </c>
      <c r="BK150" s="164">
        <f t="shared" si="239"/>
        <v>0.7</v>
      </c>
      <c r="BL150" s="164">
        <f t="shared" si="240"/>
        <v>756</v>
      </c>
      <c r="BM150" s="164">
        <f t="shared" si="241"/>
        <v>346</v>
      </c>
      <c r="BN150" s="164">
        <f t="shared" si="242"/>
        <v>36.5</v>
      </c>
      <c r="BO150" s="164">
        <f t="shared" si="243"/>
        <v>16.5</v>
      </c>
      <c r="BP150" s="164">
        <f t="shared" si="244"/>
        <v>20.5</v>
      </c>
      <c r="BQ150" s="164">
        <f t="shared" si="245"/>
        <v>20.5</v>
      </c>
      <c r="BR150" s="164">
        <f t="shared" si="246"/>
        <v>0</v>
      </c>
      <c r="BS150" s="129">
        <f>SUMIF('Audit HD AR - School Level'!$A$6:A3663, "=" &amp; A150,'Audit HD AR - School Level'!$Q$6:Q3663)</f>
        <v>26.4</v>
      </c>
      <c r="BT150" s="168">
        <f t="shared" si="247"/>
        <v>0</v>
      </c>
      <c r="BU150" s="168">
        <f t="shared" si="248"/>
        <v>-3545</v>
      </c>
      <c r="BW150" s="168">
        <f t="shared" si="249"/>
        <v>-3545</v>
      </c>
      <c r="BX150" s="164">
        <f t="shared" si="200"/>
        <v>728</v>
      </c>
    </row>
    <row r="151" spans="1:78">
      <c r="A151" s="129" t="s">
        <v>431</v>
      </c>
      <c r="U151" s="129">
        <v>271.3</v>
      </c>
      <c r="V151" s="129">
        <v>5</v>
      </c>
      <c r="X151" s="129">
        <v>283</v>
      </c>
      <c r="AC151" s="129">
        <v>165.3</v>
      </c>
      <c r="AD151" s="129">
        <v>0</v>
      </c>
      <c r="AE151" s="129">
        <v>0</v>
      </c>
      <c r="AF151" s="129">
        <v>274</v>
      </c>
      <c r="AG151" s="129">
        <v>139</v>
      </c>
      <c r="AI151" s="129">
        <v>99</v>
      </c>
      <c r="AJ151" s="129">
        <v>68</v>
      </c>
      <c r="AK151" s="129">
        <v>28</v>
      </c>
      <c r="AL151" s="129">
        <v>0</v>
      </c>
      <c r="AO151" s="129">
        <v>9</v>
      </c>
      <c r="AP151" s="129">
        <v>0.6</v>
      </c>
      <c r="AQ151" s="129">
        <v>0</v>
      </c>
      <c r="AR151" s="129">
        <v>5</v>
      </c>
      <c r="AS151" s="129">
        <v>0</v>
      </c>
      <c r="AT151" s="129">
        <v>0</v>
      </c>
      <c r="AU151" s="129">
        <v>6</v>
      </c>
      <c r="AV151" s="129">
        <v>0</v>
      </c>
      <c r="AW151" s="129">
        <v>252073</v>
      </c>
      <c r="AX151" s="167">
        <v>45400</v>
      </c>
      <c r="AY151" s="162">
        <f t="shared" si="234"/>
        <v>14</v>
      </c>
      <c r="AZ151" s="163" t="s">
        <v>882</v>
      </c>
      <c r="BA151" s="162" t="b">
        <f t="shared" si="233"/>
        <v>0</v>
      </c>
      <c r="BF151" s="164">
        <f t="shared" si="235"/>
        <v>256.7</v>
      </c>
      <c r="BG151" s="164">
        <f t="shared" si="236"/>
        <v>5</v>
      </c>
      <c r="BH151" s="164"/>
      <c r="BI151" s="164">
        <f t="shared" si="237"/>
        <v>165.3</v>
      </c>
      <c r="BJ151" s="164">
        <f t="shared" si="238"/>
        <v>0</v>
      </c>
      <c r="BK151" s="164">
        <f t="shared" si="239"/>
        <v>0</v>
      </c>
      <c r="BL151" s="164">
        <f t="shared" si="240"/>
        <v>274</v>
      </c>
      <c r="BM151" s="164">
        <f t="shared" si="241"/>
        <v>139</v>
      </c>
      <c r="BN151" s="164">
        <f t="shared" si="242"/>
        <v>99</v>
      </c>
      <c r="BO151" s="164">
        <f t="shared" si="243"/>
        <v>68</v>
      </c>
      <c r="BP151" s="164">
        <f t="shared" si="244"/>
        <v>28</v>
      </c>
      <c r="BQ151" s="164">
        <f t="shared" si="245"/>
        <v>28</v>
      </c>
      <c r="BR151" s="164">
        <f t="shared" si="246"/>
        <v>0</v>
      </c>
      <c r="BS151" s="129">
        <f>SUMIF('Audit HD AR - School Level'!$A$6:A3664, "=" &amp; A151,'Audit HD AR - School Level'!$Q$6:Q3664)</f>
        <v>13.5</v>
      </c>
      <c r="BT151" s="168">
        <f t="shared" si="247"/>
        <v>0</v>
      </c>
      <c r="BU151" s="168">
        <f t="shared" si="248"/>
        <v>709</v>
      </c>
      <c r="BW151" s="168">
        <f t="shared" si="249"/>
        <v>0</v>
      </c>
      <c r="BX151" s="164">
        <f t="shared" si="200"/>
        <v>261.7</v>
      </c>
    </row>
    <row r="152" spans="1:78">
      <c r="A152" s="129" t="s">
        <v>441</v>
      </c>
      <c r="U152" s="129">
        <v>1094</v>
      </c>
      <c r="V152" s="129">
        <v>4</v>
      </c>
      <c r="X152" s="129">
        <v>1130.5</v>
      </c>
      <c r="AC152" s="129">
        <v>464.8</v>
      </c>
      <c r="AD152" s="129">
        <v>2</v>
      </c>
      <c r="AE152" s="129">
        <v>1</v>
      </c>
      <c r="AF152" s="129">
        <v>1107</v>
      </c>
      <c r="AG152" s="129">
        <v>365</v>
      </c>
      <c r="AI152" s="129">
        <v>442.5</v>
      </c>
      <c r="AJ152" s="129">
        <v>71</v>
      </c>
      <c r="AK152" s="129">
        <v>46</v>
      </c>
      <c r="AL152" s="129">
        <v>0</v>
      </c>
      <c r="AO152" s="129">
        <v>0</v>
      </c>
      <c r="AP152" s="129">
        <v>0</v>
      </c>
      <c r="AQ152" s="129">
        <v>0</v>
      </c>
      <c r="AR152" s="129">
        <v>0</v>
      </c>
      <c r="AS152" s="129">
        <v>0</v>
      </c>
      <c r="AT152" s="129">
        <v>0</v>
      </c>
      <c r="AU152" s="129">
        <v>0</v>
      </c>
      <c r="AV152" s="129">
        <v>0</v>
      </c>
      <c r="AW152" s="129">
        <v>1049753</v>
      </c>
      <c r="AX152" s="167">
        <v>45400</v>
      </c>
      <c r="AY152" s="162">
        <f t="shared" si="234"/>
        <v>14</v>
      </c>
      <c r="AZ152" s="163" t="s">
        <v>882</v>
      </c>
      <c r="BA152" s="162" t="b">
        <f t="shared" si="233"/>
        <v>0</v>
      </c>
      <c r="BF152" s="164">
        <f t="shared" si="235"/>
        <v>1094</v>
      </c>
      <c r="BG152" s="164">
        <f t="shared" si="236"/>
        <v>4</v>
      </c>
      <c r="BH152" s="164"/>
      <c r="BI152" s="164">
        <f t="shared" si="237"/>
        <v>464.8</v>
      </c>
      <c r="BJ152" s="164">
        <f t="shared" si="238"/>
        <v>2</v>
      </c>
      <c r="BK152" s="164">
        <f t="shared" si="239"/>
        <v>1</v>
      </c>
      <c r="BL152" s="164">
        <f t="shared" si="240"/>
        <v>1107</v>
      </c>
      <c r="BM152" s="164">
        <f t="shared" si="241"/>
        <v>365</v>
      </c>
      <c r="BN152" s="164">
        <f t="shared" si="242"/>
        <v>442.5</v>
      </c>
      <c r="BO152" s="164">
        <f t="shared" si="243"/>
        <v>71</v>
      </c>
      <c r="BP152" s="164">
        <f t="shared" si="244"/>
        <v>46</v>
      </c>
      <c r="BQ152" s="164">
        <f t="shared" si="245"/>
        <v>46</v>
      </c>
      <c r="BR152" s="164">
        <f t="shared" si="246"/>
        <v>0</v>
      </c>
      <c r="BS152" s="129">
        <f>SUMIF('Audit HD AR - School Level'!$A$6:A3665, "=" &amp; A152,'Audit HD AR - School Level'!$Q$6:Q3665)</f>
        <v>5.0999999999999996</v>
      </c>
      <c r="BT152" s="168">
        <f t="shared" si="247"/>
        <v>0</v>
      </c>
      <c r="BU152" s="168">
        <f t="shared" si="248"/>
        <v>0</v>
      </c>
      <c r="BW152" s="168">
        <f t="shared" si="249"/>
        <v>0</v>
      </c>
      <c r="BX152" s="164">
        <f t="shared" si="200"/>
        <v>1094</v>
      </c>
    </row>
    <row r="153" spans="1:78">
      <c r="A153" s="129" t="s">
        <v>447</v>
      </c>
      <c r="U153" s="129">
        <v>4463</v>
      </c>
      <c r="V153" s="129">
        <v>82.5</v>
      </c>
      <c r="X153" s="129">
        <v>4518.3999999999996</v>
      </c>
      <c r="AC153" s="129">
        <v>1041.3</v>
      </c>
      <c r="AD153" s="129">
        <v>2189</v>
      </c>
      <c r="AE153" s="129">
        <v>6216.2</v>
      </c>
      <c r="AF153" s="129">
        <v>4660</v>
      </c>
      <c r="AG153" s="129">
        <v>3486</v>
      </c>
      <c r="AI153" s="129">
        <v>164.5</v>
      </c>
      <c r="AJ153" s="129">
        <v>461.5</v>
      </c>
      <c r="AK153" s="129">
        <v>1</v>
      </c>
      <c r="AL153" s="129">
        <v>0</v>
      </c>
      <c r="AO153" s="129">
        <v>0</v>
      </c>
      <c r="AP153" s="129">
        <v>0</v>
      </c>
      <c r="AQ153" s="129">
        <v>0</v>
      </c>
      <c r="AR153" s="129">
        <v>0</v>
      </c>
      <c r="AS153" s="129">
        <v>0</v>
      </c>
      <c r="AT153" s="129">
        <v>0</v>
      </c>
      <c r="AU153" s="129">
        <v>0</v>
      </c>
      <c r="AV153" s="129">
        <v>0</v>
      </c>
      <c r="AW153" s="129">
        <v>921136</v>
      </c>
      <c r="AX153" s="167">
        <v>45400</v>
      </c>
      <c r="AY153" s="162">
        <f t="shared" si="234"/>
        <v>14</v>
      </c>
      <c r="AZ153" s="163" t="s">
        <v>882</v>
      </c>
      <c r="BA153" s="162" t="b">
        <f t="shared" si="233"/>
        <v>0</v>
      </c>
      <c r="BF153" s="164">
        <f t="shared" si="235"/>
        <v>4463</v>
      </c>
      <c r="BG153" s="164">
        <f t="shared" si="236"/>
        <v>82.5</v>
      </c>
      <c r="BH153" s="164"/>
      <c r="BI153" s="164">
        <f t="shared" si="237"/>
        <v>1041.3</v>
      </c>
      <c r="BJ153" s="164">
        <f t="shared" si="238"/>
        <v>2189</v>
      </c>
      <c r="BK153" s="164">
        <f t="shared" si="239"/>
        <v>6216.2</v>
      </c>
      <c r="BL153" s="164">
        <f t="shared" si="240"/>
        <v>4660</v>
      </c>
      <c r="BM153" s="164">
        <f t="shared" si="241"/>
        <v>3486</v>
      </c>
      <c r="BN153" s="164">
        <f t="shared" si="242"/>
        <v>164.5</v>
      </c>
      <c r="BO153" s="164">
        <f t="shared" si="243"/>
        <v>461.5</v>
      </c>
      <c r="BP153" s="164">
        <f t="shared" si="244"/>
        <v>1</v>
      </c>
      <c r="BQ153" s="164">
        <f t="shared" si="245"/>
        <v>1</v>
      </c>
      <c r="BR153" s="164">
        <f t="shared" si="246"/>
        <v>0</v>
      </c>
      <c r="BS153" s="129">
        <f>SUMIF('Audit HD AR - School Level'!$A$6:A3666, "=" &amp; A153,'Audit HD AR - School Level'!$Q$6:Q3666)</f>
        <v>366</v>
      </c>
      <c r="BT153" s="168">
        <f t="shared" si="247"/>
        <v>0</v>
      </c>
      <c r="BU153" s="168">
        <f t="shared" si="248"/>
        <v>0</v>
      </c>
      <c r="BW153" s="168">
        <f t="shared" si="249"/>
        <v>0</v>
      </c>
      <c r="BX153" s="164">
        <f t="shared" si="200"/>
        <v>4463</v>
      </c>
    </row>
    <row r="154" spans="1:78">
      <c r="A154" s="129" t="s">
        <v>462</v>
      </c>
      <c r="U154" s="129">
        <v>373.5</v>
      </c>
      <c r="V154" s="129">
        <v>6</v>
      </c>
      <c r="X154" s="129">
        <v>404.9</v>
      </c>
      <c r="AC154" s="129">
        <v>127.9</v>
      </c>
      <c r="AD154" s="129">
        <v>4</v>
      </c>
      <c r="AE154" s="129">
        <v>0</v>
      </c>
      <c r="AF154" s="129">
        <v>392</v>
      </c>
      <c r="AG154" s="129">
        <v>156</v>
      </c>
      <c r="AI154" s="129">
        <v>263</v>
      </c>
      <c r="AJ154" s="129">
        <v>6</v>
      </c>
      <c r="AK154" s="129">
        <v>0</v>
      </c>
      <c r="AL154" s="129">
        <v>0</v>
      </c>
      <c r="AO154" s="129">
        <v>0</v>
      </c>
      <c r="AP154" s="129">
        <v>0</v>
      </c>
      <c r="AQ154" s="129">
        <v>0</v>
      </c>
      <c r="AR154" s="129">
        <v>0</v>
      </c>
      <c r="AS154" s="129">
        <v>0</v>
      </c>
      <c r="AT154" s="129">
        <v>0</v>
      </c>
      <c r="AU154" s="129">
        <v>0</v>
      </c>
      <c r="AV154" s="129">
        <v>0</v>
      </c>
      <c r="AW154" s="129">
        <v>275222</v>
      </c>
      <c r="AX154" s="167">
        <v>45400</v>
      </c>
      <c r="AY154" s="162">
        <f t="shared" si="234"/>
        <v>14</v>
      </c>
      <c r="AZ154" s="163" t="s">
        <v>882</v>
      </c>
      <c r="BA154" s="162" t="b">
        <f t="shared" si="233"/>
        <v>0</v>
      </c>
      <c r="BF154" s="164">
        <f t="shared" si="235"/>
        <v>373.5</v>
      </c>
      <c r="BG154" s="164">
        <f t="shared" si="236"/>
        <v>6</v>
      </c>
      <c r="BH154" s="164"/>
      <c r="BI154" s="164">
        <f t="shared" si="237"/>
        <v>127.9</v>
      </c>
      <c r="BJ154" s="164">
        <f t="shared" si="238"/>
        <v>4</v>
      </c>
      <c r="BK154" s="164">
        <f t="shared" si="239"/>
        <v>0</v>
      </c>
      <c r="BL154" s="164">
        <f t="shared" si="240"/>
        <v>392</v>
      </c>
      <c r="BM154" s="164">
        <f t="shared" si="241"/>
        <v>156</v>
      </c>
      <c r="BN154" s="164">
        <f t="shared" si="242"/>
        <v>263</v>
      </c>
      <c r="BO154" s="164">
        <f t="shared" si="243"/>
        <v>6</v>
      </c>
      <c r="BP154" s="164">
        <f t="shared" si="244"/>
        <v>0</v>
      </c>
      <c r="BQ154" s="164">
        <f t="shared" si="245"/>
        <v>0</v>
      </c>
      <c r="BR154" s="164">
        <f t="shared" si="246"/>
        <v>0</v>
      </c>
      <c r="BS154" s="129">
        <f>SUMIF('Audit HD AR - School Level'!$A$6:A3667, "=" &amp; A154,'Audit HD AR - School Level'!$Q$6:Q3667)</f>
        <v>7.2</v>
      </c>
      <c r="BT154" s="168">
        <f t="shared" si="247"/>
        <v>0</v>
      </c>
      <c r="BU154" s="168">
        <f t="shared" si="248"/>
        <v>0</v>
      </c>
      <c r="BW154" s="168">
        <f t="shared" si="249"/>
        <v>0</v>
      </c>
      <c r="BX154" s="164">
        <f t="shared" si="200"/>
        <v>373.5</v>
      </c>
    </row>
    <row r="155" spans="1:78">
      <c r="A155" s="129" t="s">
        <v>210</v>
      </c>
      <c r="D155" s="164">
        <v>42</v>
      </c>
      <c r="E155" s="164"/>
      <c r="F155" s="164"/>
      <c r="G155" s="164"/>
      <c r="H155" s="164"/>
      <c r="I155" s="164">
        <v>1</v>
      </c>
      <c r="J155" s="164">
        <v>0.1</v>
      </c>
      <c r="K155" s="164">
        <v>44</v>
      </c>
      <c r="L155" s="164">
        <v>2</v>
      </c>
      <c r="M155" s="164"/>
      <c r="N155" s="164"/>
      <c r="O155" s="164"/>
      <c r="P155" s="164"/>
      <c r="Q155" s="164"/>
      <c r="R155" s="164">
        <v>12</v>
      </c>
      <c r="S155" s="164"/>
      <c r="U155" s="129">
        <v>1449</v>
      </c>
      <c r="V155" s="129">
        <v>0</v>
      </c>
      <c r="X155" s="129">
        <v>1575.6</v>
      </c>
      <c r="AC155" s="129">
        <v>0</v>
      </c>
      <c r="AD155" s="129">
        <v>87</v>
      </c>
      <c r="AE155" s="129">
        <v>31.5</v>
      </c>
      <c r="AF155" s="129">
        <v>1466</v>
      </c>
      <c r="AG155" s="129">
        <v>58</v>
      </c>
      <c r="AI155" s="129">
        <v>185</v>
      </c>
      <c r="AJ155" s="129">
        <v>385</v>
      </c>
      <c r="AK155" s="129">
        <v>5</v>
      </c>
      <c r="AL155" s="129">
        <v>0</v>
      </c>
      <c r="AO155" s="129">
        <v>0</v>
      </c>
      <c r="AP155" s="129">
        <v>0</v>
      </c>
      <c r="AQ155" s="129">
        <v>0</v>
      </c>
      <c r="AR155" s="129">
        <v>0</v>
      </c>
      <c r="AS155" s="129">
        <v>0</v>
      </c>
      <c r="AT155" s="129">
        <v>0</v>
      </c>
      <c r="AU155" s="129">
        <v>0</v>
      </c>
      <c r="AV155" s="129">
        <v>0</v>
      </c>
      <c r="AW155" s="129">
        <v>402560</v>
      </c>
      <c r="AX155" s="167">
        <v>45400</v>
      </c>
      <c r="AY155" s="162">
        <f t="shared" si="234"/>
        <v>14</v>
      </c>
      <c r="AZ155" s="163" t="s">
        <v>882</v>
      </c>
      <c r="BA155" s="162" t="b">
        <f t="shared" si="233"/>
        <v>0</v>
      </c>
      <c r="BF155" s="164">
        <f t="shared" si="235"/>
        <v>1449</v>
      </c>
      <c r="BG155" s="164">
        <f t="shared" si="236"/>
        <v>0</v>
      </c>
      <c r="BH155" s="164"/>
      <c r="BI155" s="164">
        <f t="shared" si="237"/>
        <v>0</v>
      </c>
      <c r="BJ155" s="164">
        <f t="shared" si="238"/>
        <v>88</v>
      </c>
      <c r="BK155" s="164">
        <f t="shared" si="239"/>
        <v>31.6</v>
      </c>
      <c r="BL155" s="164">
        <f t="shared" si="240"/>
        <v>1510</v>
      </c>
      <c r="BM155" s="164">
        <f t="shared" si="241"/>
        <v>60</v>
      </c>
      <c r="BN155" s="164">
        <f t="shared" si="242"/>
        <v>185</v>
      </c>
      <c r="BO155" s="164">
        <f t="shared" si="243"/>
        <v>397</v>
      </c>
      <c r="BP155" s="164">
        <f t="shared" si="244"/>
        <v>17</v>
      </c>
      <c r="BQ155" s="164">
        <f t="shared" si="245"/>
        <v>5</v>
      </c>
      <c r="BR155" s="164">
        <f t="shared" si="246"/>
        <v>0</v>
      </c>
      <c r="BS155" s="129">
        <f>SUMIF('Audit HD AR - School Level'!$A$6:A3668, "=" &amp; A155,'Audit HD AR - School Level'!$Q$6:Q3668)</f>
        <v>0</v>
      </c>
      <c r="BT155" s="168">
        <f t="shared" si="247"/>
        <v>0</v>
      </c>
      <c r="BU155" s="168">
        <f t="shared" si="248"/>
        <v>0</v>
      </c>
      <c r="BW155" s="168">
        <f t="shared" si="249"/>
        <v>0</v>
      </c>
      <c r="BX155" s="164">
        <f t="shared" si="200"/>
        <v>1449</v>
      </c>
    </row>
    <row r="156" spans="1:78">
      <c r="A156" s="129" t="s">
        <v>264</v>
      </c>
      <c r="U156" s="129">
        <v>1862.7</v>
      </c>
      <c r="V156" s="129">
        <v>46.5</v>
      </c>
      <c r="X156" s="129">
        <v>1884.5</v>
      </c>
      <c r="AC156" s="129">
        <v>953.7</v>
      </c>
      <c r="AD156" s="129">
        <v>0</v>
      </c>
      <c r="AE156" s="129">
        <v>0</v>
      </c>
      <c r="AF156" s="129">
        <v>1965</v>
      </c>
      <c r="AG156" s="129">
        <v>241</v>
      </c>
      <c r="AI156" s="129">
        <v>691.5</v>
      </c>
      <c r="AJ156" s="129">
        <v>520</v>
      </c>
      <c r="AK156" s="129">
        <v>17.5</v>
      </c>
      <c r="AL156" s="129">
        <v>0</v>
      </c>
      <c r="AO156" s="129">
        <v>5</v>
      </c>
      <c r="AP156" s="129">
        <v>0</v>
      </c>
      <c r="AQ156" s="129">
        <v>0</v>
      </c>
      <c r="AR156" s="129">
        <v>5</v>
      </c>
      <c r="AS156" s="129">
        <v>0</v>
      </c>
      <c r="AT156" s="129">
        <v>0</v>
      </c>
      <c r="AU156" s="129">
        <v>0</v>
      </c>
      <c r="AV156" s="129">
        <v>0</v>
      </c>
      <c r="AW156" s="129">
        <v>663703</v>
      </c>
      <c r="AX156" s="167">
        <v>45400</v>
      </c>
      <c r="AY156" s="162">
        <f t="shared" si="234"/>
        <v>14</v>
      </c>
      <c r="AZ156" s="163" t="s">
        <v>882</v>
      </c>
      <c r="BA156" s="162" t="b">
        <f t="shared" si="233"/>
        <v>0</v>
      </c>
      <c r="BF156" s="164">
        <f t="shared" si="235"/>
        <v>1852.7</v>
      </c>
      <c r="BG156" s="164">
        <f t="shared" si="236"/>
        <v>46.5</v>
      </c>
      <c r="BH156" s="164"/>
      <c r="BI156" s="164">
        <f t="shared" si="237"/>
        <v>953.7</v>
      </c>
      <c r="BJ156" s="164">
        <f t="shared" si="238"/>
        <v>0</v>
      </c>
      <c r="BK156" s="164">
        <f t="shared" si="239"/>
        <v>0</v>
      </c>
      <c r="BL156" s="164">
        <f t="shared" si="240"/>
        <v>1965</v>
      </c>
      <c r="BM156" s="164">
        <f t="shared" si="241"/>
        <v>241</v>
      </c>
      <c r="BN156" s="164">
        <f t="shared" si="242"/>
        <v>691.5</v>
      </c>
      <c r="BO156" s="164">
        <f t="shared" si="243"/>
        <v>520</v>
      </c>
      <c r="BP156" s="164">
        <f t="shared" si="244"/>
        <v>17.5</v>
      </c>
      <c r="BQ156" s="164">
        <f t="shared" si="245"/>
        <v>17.5</v>
      </c>
      <c r="BR156" s="164">
        <f t="shared" si="246"/>
        <v>0</v>
      </c>
      <c r="BS156" s="129">
        <f>SUMIF('Audit HD AR - School Level'!$A$6:A3669, "=" &amp; A156,'Audit HD AR - School Level'!$Q$6:Q3669)</f>
        <v>0</v>
      </c>
      <c r="BT156" s="168">
        <f t="shared" si="247"/>
        <v>0</v>
      </c>
      <c r="BU156" s="168">
        <f t="shared" si="248"/>
        <v>-3545</v>
      </c>
      <c r="BV156" s="129">
        <v>-1400</v>
      </c>
      <c r="BW156" s="168">
        <f t="shared" si="249"/>
        <v>-4945</v>
      </c>
      <c r="BX156" s="164">
        <f t="shared" si="200"/>
        <v>1857.7</v>
      </c>
    </row>
    <row r="157" spans="1:78">
      <c r="A157" s="129" t="s">
        <v>195</v>
      </c>
      <c r="U157" s="129">
        <v>348</v>
      </c>
      <c r="V157" s="129">
        <v>9</v>
      </c>
      <c r="X157" s="129">
        <v>383</v>
      </c>
      <c r="AC157" s="129">
        <v>136.5</v>
      </c>
      <c r="AD157" s="129">
        <v>2</v>
      </c>
      <c r="AE157" s="129">
        <v>0</v>
      </c>
      <c r="AF157" s="129">
        <v>369</v>
      </c>
      <c r="AG157" s="129">
        <v>163</v>
      </c>
      <c r="AI157" s="129">
        <v>162</v>
      </c>
      <c r="AJ157" s="129">
        <v>1</v>
      </c>
      <c r="AK157" s="129">
        <v>3</v>
      </c>
      <c r="AL157" s="129">
        <v>0</v>
      </c>
      <c r="AO157" s="129">
        <v>0</v>
      </c>
      <c r="AP157" s="129">
        <v>0</v>
      </c>
      <c r="AQ157" s="129">
        <v>0</v>
      </c>
      <c r="AR157" s="129">
        <v>0</v>
      </c>
      <c r="AS157" s="129">
        <v>0</v>
      </c>
      <c r="AT157" s="129">
        <v>0</v>
      </c>
      <c r="AU157" s="129">
        <v>0</v>
      </c>
      <c r="AV157" s="129">
        <v>1</v>
      </c>
      <c r="AW157" s="129">
        <v>292915</v>
      </c>
      <c r="AX157" s="167">
        <v>45411</v>
      </c>
      <c r="AY157" s="162">
        <f t="shared" si="234"/>
        <v>15</v>
      </c>
      <c r="AZ157" s="163" t="s">
        <v>882</v>
      </c>
      <c r="BA157" s="162" t="b">
        <f t="shared" si="233"/>
        <v>0</v>
      </c>
      <c r="BF157" s="164">
        <f t="shared" ref="BF157:BF175" si="250">SUM(U157+C157-AO157-AP157-AR157)</f>
        <v>348</v>
      </c>
      <c r="BG157" s="164">
        <f t="shared" ref="BG157:BG175" si="251">SUM(E157+F157+V157+W157)</f>
        <v>9</v>
      </c>
      <c r="BH157" s="164"/>
      <c r="BI157" s="164">
        <f t="shared" ref="BI157:BI175" si="252">SUM(AC157+H157)</f>
        <v>136.5</v>
      </c>
      <c r="BJ157" s="164">
        <f t="shared" ref="BJ157:BJ175" si="253">SUM(AD157+I157)</f>
        <v>2</v>
      </c>
      <c r="BK157" s="164">
        <f t="shared" ref="BK157:BK175" si="254">SUM(AE157+J157)</f>
        <v>0</v>
      </c>
      <c r="BL157" s="164">
        <f t="shared" ref="BL157:BL175" si="255">SUM(AF157+K157)</f>
        <v>369</v>
      </c>
      <c r="BM157" s="164">
        <f t="shared" ref="BM157:BM175" si="256">SUM(AG157+L157)</f>
        <v>163</v>
      </c>
      <c r="BN157" s="164">
        <f t="shared" ref="BN157:BN175" si="257">SUM(AI157+M157)</f>
        <v>162</v>
      </c>
      <c r="BO157" s="164">
        <f t="shared" ref="BO157:BO175" si="258">SUM(AJ157+R157)</f>
        <v>1</v>
      </c>
      <c r="BP157" s="164">
        <f t="shared" ref="BP157:BP175" si="259">SUM(AK157+R157)</f>
        <v>3</v>
      </c>
      <c r="BQ157" s="164">
        <f t="shared" ref="BQ157:BQ175" si="260">SUM(S157+AK157)</f>
        <v>3</v>
      </c>
      <c r="BR157" s="164">
        <f t="shared" ref="BR157:BR175" si="261">SUM(T157+AL157)</f>
        <v>0</v>
      </c>
      <c r="BS157" s="129">
        <f>SUMIF('Audit HD AR - School Level'!$A$6:A3670, "=" &amp; A157,'Audit HD AR - School Level'!$Q$6:Q3670)</f>
        <v>11</v>
      </c>
      <c r="BT157" s="168">
        <f t="shared" ref="BT157:BT175" si="262">SUM(AS157-AQ157)*$BT$2</f>
        <v>0</v>
      </c>
      <c r="BU157" s="168">
        <f t="shared" ref="BU157:BU175" si="263">SUM(AU157-AR157)*$BT$2</f>
        <v>0</v>
      </c>
      <c r="BW157" s="168">
        <f t="shared" ref="BW157:BW175" si="264">IF(BT157+BU157+BV157&gt;0,0,BT157+BU157+BV157)</f>
        <v>0</v>
      </c>
      <c r="BX157" s="164">
        <f t="shared" si="200"/>
        <v>348</v>
      </c>
    </row>
    <row r="158" spans="1:78">
      <c r="A158" s="129" t="s">
        <v>201</v>
      </c>
      <c r="U158" s="129">
        <v>898.5</v>
      </c>
      <c r="V158" s="129">
        <v>10</v>
      </c>
      <c r="X158" s="129">
        <v>1043.0999999999999</v>
      </c>
      <c r="AC158" s="129">
        <v>208.1</v>
      </c>
      <c r="AD158" s="129">
        <v>0</v>
      </c>
      <c r="AE158" s="129">
        <v>0</v>
      </c>
      <c r="AF158" s="129">
        <v>921</v>
      </c>
      <c r="AG158" s="129">
        <v>243</v>
      </c>
      <c r="AI158" s="129">
        <v>306</v>
      </c>
      <c r="AJ158" s="129">
        <v>29</v>
      </c>
      <c r="AK158" s="129">
        <v>120</v>
      </c>
      <c r="AL158" s="129">
        <v>0</v>
      </c>
      <c r="AO158" s="129">
        <v>0</v>
      </c>
      <c r="AP158" s="129">
        <v>0</v>
      </c>
      <c r="AQ158" s="129">
        <v>0</v>
      </c>
      <c r="AR158" s="129">
        <v>5</v>
      </c>
      <c r="AS158" s="129">
        <v>0</v>
      </c>
      <c r="AT158" s="129">
        <v>0</v>
      </c>
      <c r="AU158" s="129">
        <v>0</v>
      </c>
      <c r="AV158" s="129">
        <v>0</v>
      </c>
      <c r="AW158" s="129">
        <v>427748</v>
      </c>
      <c r="AX158" s="167">
        <v>45411</v>
      </c>
      <c r="AY158" s="162">
        <f t="shared" si="234"/>
        <v>15</v>
      </c>
      <c r="AZ158" s="163" t="s">
        <v>882</v>
      </c>
      <c r="BA158" s="162" t="b">
        <f t="shared" si="233"/>
        <v>0</v>
      </c>
      <c r="BF158" s="164">
        <f t="shared" si="250"/>
        <v>893.5</v>
      </c>
      <c r="BG158" s="164">
        <f t="shared" si="251"/>
        <v>10</v>
      </c>
      <c r="BH158" s="164"/>
      <c r="BI158" s="164">
        <f t="shared" si="252"/>
        <v>208.1</v>
      </c>
      <c r="BJ158" s="164">
        <f t="shared" si="253"/>
        <v>0</v>
      </c>
      <c r="BK158" s="164">
        <f t="shared" si="254"/>
        <v>0</v>
      </c>
      <c r="BL158" s="164">
        <f t="shared" si="255"/>
        <v>921</v>
      </c>
      <c r="BM158" s="164">
        <f t="shared" si="256"/>
        <v>243</v>
      </c>
      <c r="BN158" s="164">
        <f t="shared" si="257"/>
        <v>306</v>
      </c>
      <c r="BO158" s="164">
        <f t="shared" si="258"/>
        <v>29</v>
      </c>
      <c r="BP158" s="164">
        <f t="shared" si="259"/>
        <v>120</v>
      </c>
      <c r="BQ158" s="164">
        <f t="shared" si="260"/>
        <v>120</v>
      </c>
      <c r="BR158" s="164">
        <f t="shared" si="261"/>
        <v>0</v>
      </c>
      <c r="BS158" s="129">
        <f>SUMIF('Audit HD AR - School Level'!$A$6:A3671, "=" &amp; A158,'Audit HD AR - School Level'!$Q$6:Q3671)</f>
        <v>0</v>
      </c>
      <c r="BT158" s="168">
        <f t="shared" si="262"/>
        <v>0</v>
      </c>
      <c r="BU158" s="168">
        <f t="shared" si="263"/>
        <v>-3545</v>
      </c>
      <c r="BW158" s="168">
        <f t="shared" si="264"/>
        <v>-3545</v>
      </c>
      <c r="BX158" s="164">
        <f t="shared" si="200"/>
        <v>898.5</v>
      </c>
    </row>
    <row r="159" spans="1:78">
      <c r="A159" s="129" t="s">
        <v>209</v>
      </c>
      <c r="U159" s="129">
        <v>482.6</v>
      </c>
      <c r="V159" s="129">
        <v>5.5</v>
      </c>
      <c r="X159" s="129">
        <v>470</v>
      </c>
      <c r="AC159" s="129">
        <v>246</v>
      </c>
      <c r="AD159" s="129">
        <v>10</v>
      </c>
      <c r="AE159" s="129">
        <v>24.5</v>
      </c>
      <c r="AF159" s="129">
        <v>496</v>
      </c>
      <c r="AG159" s="129">
        <v>175</v>
      </c>
      <c r="AI159" s="129">
        <v>237</v>
      </c>
      <c r="AJ159" s="129">
        <v>3</v>
      </c>
      <c r="AK159" s="129">
        <v>14</v>
      </c>
      <c r="AL159" s="129">
        <v>0</v>
      </c>
      <c r="AO159" s="129">
        <v>0</v>
      </c>
      <c r="AP159" s="129">
        <v>0</v>
      </c>
      <c r="AQ159" s="129">
        <v>0</v>
      </c>
      <c r="AR159" s="129">
        <v>0</v>
      </c>
      <c r="AS159" s="129">
        <v>0</v>
      </c>
      <c r="AT159" s="129">
        <v>0</v>
      </c>
      <c r="AU159" s="129">
        <v>0</v>
      </c>
      <c r="AV159" s="129">
        <v>0</v>
      </c>
      <c r="AW159" s="129">
        <v>310932</v>
      </c>
      <c r="AX159" s="167">
        <v>45411</v>
      </c>
      <c r="AY159" s="162">
        <f t="shared" si="234"/>
        <v>15</v>
      </c>
      <c r="AZ159" s="163" t="s">
        <v>882</v>
      </c>
      <c r="BA159" s="162" t="b">
        <f t="shared" si="233"/>
        <v>0</v>
      </c>
      <c r="BF159" s="164">
        <f t="shared" si="250"/>
        <v>482.6</v>
      </c>
      <c r="BG159" s="164">
        <f t="shared" si="251"/>
        <v>5.5</v>
      </c>
      <c r="BH159" s="164"/>
      <c r="BI159" s="164">
        <f t="shared" si="252"/>
        <v>246</v>
      </c>
      <c r="BJ159" s="164">
        <f t="shared" si="253"/>
        <v>10</v>
      </c>
      <c r="BK159" s="164">
        <f t="shared" si="254"/>
        <v>24.5</v>
      </c>
      <c r="BL159" s="164">
        <f t="shared" si="255"/>
        <v>496</v>
      </c>
      <c r="BM159" s="164">
        <f t="shared" si="256"/>
        <v>175</v>
      </c>
      <c r="BN159" s="164">
        <f t="shared" si="257"/>
        <v>237</v>
      </c>
      <c r="BO159" s="164">
        <f t="shared" si="258"/>
        <v>3</v>
      </c>
      <c r="BP159" s="164">
        <f t="shared" si="259"/>
        <v>14</v>
      </c>
      <c r="BQ159" s="164">
        <f t="shared" si="260"/>
        <v>14</v>
      </c>
      <c r="BR159" s="164">
        <f t="shared" si="261"/>
        <v>0</v>
      </c>
      <c r="BS159" s="129">
        <f>SUMIF('Audit HD AR - School Level'!$A$6:A3672, "=" &amp; A159,'Audit HD AR - School Level'!$Q$6:Q3672)</f>
        <v>3.3</v>
      </c>
      <c r="BT159" s="168">
        <f t="shared" si="262"/>
        <v>0</v>
      </c>
      <c r="BU159" s="168">
        <f t="shared" si="263"/>
        <v>0</v>
      </c>
      <c r="BW159" s="168">
        <f t="shared" si="264"/>
        <v>0</v>
      </c>
      <c r="BX159" s="164">
        <f t="shared" si="200"/>
        <v>482.6</v>
      </c>
    </row>
    <row r="160" spans="1:78">
      <c r="A160" s="129" t="s">
        <v>214</v>
      </c>
      <c r="U160" s="129">
        <v>650.5</v>
      </c>
      <c r="V160" s="129">
        <v>10</v>
      </c>
      <c r="X160" s="129">
        <v>655.9</v>
      </c>
      <c r="AC160" s="129">
        <v>154.6</v>
      </c>
      <c r="AD160" s="129">
        <v>10</v>
      </c>
      <c r="AE160" s="129">
        <v>0</v>
      </c>
      <c r="AF160" s="129">
        <v>676</v>
      </c>
      <c r="AG160" s="129">
        <v>296</v>
      </c>
      <c r="AI160" s="129">
        <v>108</v>
      </c>
      <c r="AJ160" s="129">
        <v>52.5</v>
      </c>
      <c r="AK160" s="129">
        <v>56.5</v>
      </c>
      <c r="AL160" s="129">
        <v>0</v>
      </c>
      <c r="AO160" s="129">
        <v>0</v>
      </c>
      <c r="AP160" s="129">
        <v>0</v>
      </c>
      <c r="AQ160" s="129">
        <v>0</v>
      </c>
      <c r="AR160" s="129">
        <v>0</v>
      </c>
      <c r="AS160" s="129">
        <v>0</v>
      </c>
      <c r="AT160" s="129">
        <v>0</v>
      </c>
      <c r="AU160" s="129">
        <v>0</v>
      </c>
      <c r="AV160" s="129">
        <v>0</v>
      </c>
      <c r="AW160" s="129">
        <v>307413</v>
      </c>
      <c r="AX160" s="167">
        <v>45411</v>
      </c>
      <c r="AY160" s="162">
        <f t="shared" si="234"/>
        <v>15</v>
      </c>
      <c r="AZ160" s="163" t="s">
        <v>882</v>
      </c>
      <c r="BA160" s="162" t="b">
        <f t="shared" si="233"/>
        <v>0</v>
      </c>
      <c r="BF160" s="164">
        <f t="shared" si="250"/>
        <v>650.5</v>
      </c>
      <c r="BG160" s="164">
        <f t="shared" si="251"/>
        <v>10</v>
      </c>
      <c r="BH160" s="164"/>
      <c r="BI160" s="164">
        <f t="shared" si="252"/>
        <v>154.6</v>
      </c>
      <c r="BJ160" s="164">
        <f t="shared" si="253"/>
        <v>10</v>
      </c>
      <c r="BK160" s="164">
        <f t="shared" si="254"/>
        <v>0</v>
      </c>
      <c r="BL160" s="164">
        <f t="shared" si="255"/>
        <v>676</v>
      </c>
      <c r="BM160" s="164">
        <f t="shared" si="256"/>
        <v>296</v>
      </c>
      <c r="BN160" s="164">
        <f t="shared" si="257"/>
        <v>108</v>
      </c>
      <c r="BO160" s="164">
        <f t="shared" si="258"/>
        <v>52.5</v>
      </c>
      <c r="BP160" s="164">
        <f t="shared" si="259"/>
        <v>56.5</v>
      </c>
      <c r="BQ160" s="164">
        <f t="shared" si="260"/>
        <v>56.5</v>
      </c>
      <c r="BR160" s="164">
        <f t="shared" si="261"/>
        <v>0</v>
      </c>
      <c r="BS160" s="129">
        <f>SUMIF('Audit HD AR - School Level'!$A$6:A3673, "=" &amp; A160,'Audit HD AR - School Level'!$Q$6:Q3673)</f>
        <v>20</v>
      </c>
      <c r="BT160" s="168">
        <f t="shared" si="262"/>
        <v>0</v>
      </c>
      <c r="BU160" s="168">
        <f t="shared" si="263"/>
        <v>0</v>
      </c>
      <c r="BW160" s="168">
        <f t="shared" si="264"/>
        <v>0</v>
      </c>
      <c r="BX160" s="164">
        <f t="shared" si="200"/>
        <v>650.5</v>
      </c>
    </row>
    <row r="161" spans="1:78">
      <c r="A161" s="129" t="s">
        <v>215</v>
      </c>
      <c r="U161" s="129">
        <v>143.1</v>
      </c>
      <c r="V161" s="129">
        <v>3</v>
      </c>
      <c r="X161" s="129">
        <v>142.6</v>
      </c>
      <c r="AC161" s="129">
        <v>65.400000000000006</v>
      </c>
      <c r="AD161" s="129">
        <v>1</v>
      </c>
      <c r="AE161" s="129">
        <v>0</v>
      </c>
      <c r="AF161" s="129">
        <v>153</v>
      </c>
      <c r="AG161" s="129">
        <v>79</v>
      </c>
      <c r="AI161" s="129">
        <v>68</v>
      </c>
      <c r="AJ161" s="129">
        <v>2</v>
      </c>
      <c r="AK161" s="129">
        <v>22.5</v>
      </c>
      <c r="AL161" s="129">
        <v>0</v>
      </c>
      <c r="AO161" s="129">
        <v>0</v>
      </c>
      <c r="AP161" s="129">
        <v>0</v>
      </c>
      <c r="AQ161" s="129">
        <v>0</v>
      </c>
      <c r="AR161" s="129">
        <v>0</v>
      </c>
      <c r="AS161" s="129">
        <v>0</v>
      </c>
      <c r="AT161" s="129">
        <v>0</v>
      </c>
      <c r="AU161" s="129">
        <v>0</v>
      </c>
      <c r="AV161" s="129">
        <v>0</v>
      </c>
      <c r="AW161" s="129">
        <v>105181</v>
      </c>
      <c r="AX161" s="167">
        <v>45411</v>
      </c>
      <c r="AY161" s="162">
        <f t="shared" si="234"/>
        <v>15</v>
      </c>
      <c r="AZ161" s="163" t="s">
        <v>882</v>
      </c>
      <c r="BA161" s="162" t="b">
        <f t="shared" si="233"/>
        <v>0</v>
      </c>
      <c r="BF161" s="164">
        <f t="shared" si="250"/>
        <v>143.1</v>
      </c>
      <c r="BG161" s="164">
        <f t="shared" si="251"/>
        <v>3</v>
      </c>
      <c r="BH161" s="164"/>
      <c r="BI161" s="164">
        <f t="shared" si="252"/>
        <v>65.400000000000006</v>
      </c>
      <c r="BJ161" s="164">
        <f t="shared" si="253"/>
        <v>1</v>
      </c>
      <c r="BK161" s="164">
        <f t="shared" si="254"/>
        <v>0</v>
      </c>
      <c r="BL161" s="164">
        <f t="shared" si="255"/>
        <v>153</v>
      </c>
      <c r="BM161" s="164">
        <f t="shared" si="256"/>
        <v>79</v>
      </c>
      <c r="BN161" s="164">
        <f t="shared" si="257"/>
        <v>68</v>
      </c>
      <c r="BO161" s="164">
        <f t="shared" si="258"/>
        <v>2</v>
      </c>
      <c r="BP161" s="164">
        <f t="shared" si="259"/>
        <v>22.5</v>
      </c>
      <c r="BQ161" s="164">
        <f t="shared" si="260"/>
        <v>22.5</v>
      </c>
      <c r="BR161" s="164">
        <f t="shared" si="261"/>
        <v>0</v>
      </c>
      <c r="BS161" s="129">
        <f>SUMIF('Audit HD AR - School Level'!$A$6:A3674, "=" &amp; A161,'Audit HD AR - School Level'!$Q$6:Q3674)</f>
        <v>7.2</v>
      </c>
      <c r="BT161" s="168">
        <f t="shared" si="262"/>
        <v>0</v>
      </c>
      <c r="BU161" s="168">
        <f t="shared" si="263"/>
        <v>0</v>
      </c>
      <c r="BW161" s="168">
        <f t="shared" si="264"/>
        <v>0</v>
      </c>
      <c r="BX161" s="164">
        <f t="shared" si="200"/>
        <v>143.1</v>
      </c>
    </row>
    <row r="162" spans="1:78">
      <c r="A162" s="129" t="s">
        <v>224</v>
      </c>
      <c r="U162" s="129">
        <v>293.10000000000002</v>
      </c>
      <c r="V162" s="129">
        <v>3</v>
      </c>
      <c r="X162" s="129">
        <v>295.2</v>
      </c>
      <c r="AC162" s="129">
        <v>144.69999999999999</v>
      </c>
      <c r="AD162" s="129">
        <v>5</v>
      </c>
      <c r="AE162" s="129">
        <v>4.5</v>
      </c>
      <c r="AF162" s="129">
        <v>302</v>
      </c>
      <c r="AG162" s="129">
        <v>86</v>
      </c>
      <c r="AI162" s="129">
        <v>160</v>
      </c>
      <c r="AJ162" s="129">
        <v>5</v>
      </c>
      <c r="AK162" s="129">
        <v>28</v>
      </c>
      <c r="AL162" s="129">
        <v>0</v>
      </c>
      <c r="AO162" s="129">
        <v>0</v>
      </c>
      <c r="AP162" s="129">
        <v>0</v>
      </c>
      <c r="AQ162" s="129">
        <v>0</v>
      </c>
      <c r="AR162" s="129">
        <v>0</v>
      </c>
      <c r="AS162" s="129">
        <v>0</v>
      </c>
      <c r="AT162" s="129">
        <v>0</v>
      </c>
      <c r="AU162" s="129">
        <v>0</v>
      </c>
      <c r="AV162" s="129">
        <v>0</v>
      </c>
      <c r="AW162" s="129">
        <v>271614</v>
      </c>
      <c r="AX162" s="167">
        <v>45411</v>
      </c>
      <c r="AY162" s="162">
        <f t="shared" si="234"/>
        <v>15</v>
      </c>
      <c r="AZ162" s="163" t="s">
        <v>882</v>
      </c>
      <c r="BA162" s="162" t="b">
        <f t="shared" si="233"/>
        <v>0</v>
      </c>
      <c r="BF162" s="164">
        <f t="shared" si="250"/>
        <v>293.10000000000002</v>
      </c>
      <c r="BG162" s="164">
        <f t="shared" si="251"/>
        <v>3</v>
      </c>
      <c r="BH162" s="164"/>
      <c r="BI162" s="164">
        <f t="shared" si="252"/>
        <v>144.69999999999999</v>
      </c>
      <c r="BJ162" s="164">
        <f t="shared" si="253"/>
        <v>5</v>
      </c>
      <c r="BK162" s="164">
        <f t="shared" si="254"/>
        <v>4.5</v>
      </c>
      <c r="BL162" s="164">
        <f t="shared" si="255"/>
        <v>302</v>
      </c>
      <c r="BM162" s="164">
        <f t="shared" si="256"/>
        <v>86</v>
      </c>
      <c r="BN162" s="164">
        <f t="shared" si="257"/>
        <v>160</v>
      </c>
      <c r="BO162" s="164">
        <f t="shared" si="258"/>
        <v>5</v>
      </c>
      <c r="BP162" s="164">
        <f t="shared" si="259"/>
        <v>28</v>
      </c>
      <c r="BQ162" s="164">
        <f t="shared" si="260"/>
        <v>28</v>
      </c>
      <c r="BR162" s="164">
        <f t="shared" si="261"/>
        <v>0</v>
      </c>
      <c r="BS162" s="129">
        <f>SUMIF('Audit HD AR - School Level'!$A$6:A3675, "=" &amp; A162,'Audit HD AR - School Level'!$Q$6:Q3675)</f>
        <v>0</v>
      </c>
      <c r="BT162" s="168">
        <f t="shared" si="262"/>
        <v>0</v>
      </c>
      <c r="BU162" s="168">
        <f t="shared" si="263"/>
        <v>0</v>
      </c>
      <c r="BW162" s="168">
        <f t="shared" si="264"/>
        <v>0</v>
      </c>
      <c r="BX162" s="164">
        <f t="shared" si="200"/>
        <v>293.10000000000002</v>
      </c>
    </row>
    <row r="163" spans="1:78">
      <c r="A163" s="129" t="s">
        <v>229</v>
      </c>
      <c r="U163" s="129">
        <v>5524.4</v>
      </c>
      <c r="V163" s="129">
        <v>18.5</v>
      </c>
      <c r="X163" s="129">
        <v>3672.5</v>
      </c>
      <c r="AC163" s="129">
        <v>716.6</v>
      </c>
      <c r="AD163" s="129">
        <v>72</v>
      </c>
      <c r="AE163" s="129">
        <v>34.5</v>
      </c>
      <c r="AF163" s="129">
        <v>3903</v>
      </c>
      <c r="AG163" s="129">
        <v>539</v>
      </c>
      <c r="AI163" s="129">
        <v>1443</v>
      </c>
      <c r="AJ163" s="129">
        <v>548</v>
      </c>
      <c r="AK163" s="129">
        <v>7</v>
      </c>
      <c r="AL163" s="129">
        <v>0</v>
      </c>
      <c r="AO163" s="129">
        <v>1632</v>
      </c>
      <c r="AP163" s="129">
        <v>9</v>
      </c>
      <c r="AQ163" s="129">
        <v>100</v>
      </c>
      <c r="AR163" s="129">
        <v>0</v>
      </c>
      <c r="AS163" s="129">
        <v>94.5</v>
      </c>
      <c r="AT163" s="129">
        <v>43</v>
      </c>
      <c r="AU163" s="129">
        <v>0</v>
      </c>
      <c r="AV163" s="129">
        <v>0</v>
      </c>
      <c r="AW163" s="129">
        <v>1749314</v>
      </c>
      <c r="AX163" s="167">
        <v>45411</v>
      </c>
      <c r="AY163" s="162">
        <f t="shared" si="234"/>
        <v>15</v>
      </c>
      <c r="AZ163" s="163" t="s">
        <v>882</v>
      </c>
      <c r="BA163" s="162" t="b">
        <f t="shared" si="233"/>
        <v>0</v>
      </c>
      <c r="BF163" s="164">
        <f t="shared" si="250"/>
        <v>3883.4</v>
      </c>
      <c r="BG163" s="164">
        <f t="shared" si="251"/>
        <v>18.5</v>
      </c>
      <c r="BH163" s="164"/>
      <c r="BI163" s="164">
        <f t="shared" si="252"/>
        <v>716.6</v>
      </c>
      <c r="BJ163" s="164">
        <f t="shared" si="253"/>
        <v>72</v>
      </c>
      <c r="BK163" s="164">
        <f t="shared" si="254"/>
        <v>34.5</v>
      </c>
      <c r="BL163" s="164">
        <f t="shared" si="255"/>
        <v>3903</v>
      </c>
      <c r="BM163" s="164">
        <f t="shared" si="256"/>
        <v>539</v>
      </c>
      <c r="BN163" s="164">
        <f t="shared" si="257"/>
        <v>1443</v>
      </c>
      <c r="BO163" s="164">
        <f t="shared" si="258"/>
        <v>548</v>
      </c>
      <c r="BP163" s="164">
        <f t="shared" si="259"/>
        <v>7</v>
      </c>
      <c r="BQ163" s="164">
        <f t="shared" si="260"/>
        <v>7</v>
      </c>
      <c r="BR163" s="164">
        <f t="shared" si="261"/>
        <v>0</v>
      </c>
      <c r="BS163" s="129">
        <f>SUMIF('Audit HD AR - School Level'!$A$6:A3676, "=" &amp; A163,'Audit HD AR - School Level'!$Q$6:Q3676)</f>
        <v>0</v>
      </c>
      <c r="BT163" s="168">
        <f t="shared" si="262"/>
        <v>-3900</v>
      </c>
      <c r="BU163" s="168">
        <f t="shared" si="263"/>
        <v>0</v>
      </c>
      <c r="BV163" s="129">
        <v>-16090</v>
      </c>
      <c r="BW163" s="168">
        <f t="shared" si="264"/>
        <v>-19990</v>
      </c>
      <c r="BX163" s="164">
        <f t="shared" si="200"/>
        <v>3840.4</v>
      </c>
    </row>
    <row r="164" spans="1:78">
      <c r="A164" s="129" t="s">
        <v>233</v>
      </c>
      <c r="U164" s="129">
        <v>1674.3</v>
      </c>
      <c r="V164" s="129">
        <v>22</v>
      </c>
      <c r="X164" s="129">
        <v>1770.2</v>
      </c>
      <c r="AC164" s="129">
        <v>493.1</v>
      </c>
      <c r="AD164" s="129">
        <v>22</v>
      </c>
      <c r="AE164" s="129">
        <v>7</v>
      </c>
      <c r="AF164" s="129">
        <v>1735</v>
      </c>
      <c r="AG164" s="129">
        <v>960</v>
      </c>
      <c r="AI164" s="129">
        <v>471</v>
      </c>
      <c r="AJ164" s="129">
        <v>1069</v>
      </c>
      <c r="AK164" s="129">
        <v>12</v>
      </c>
      <c r="AL164" s="129">
        <v>0</v>
      </c>
      <c r="AO164" s="129">
        <v>14</v>
      </c>
      <c r="AP164" s="129">
        <v>0.4</v>
      </c>
      <c r="AQ164" s="129">
        <v>0</v>
      </c>
      <c r="AR164" s="129">
        <v>0</v>
      </c>
      <c r="AS164" s="129">
        <v>0</v>
      </c>
      <c r="AT164" s="129">
        <v>0</v>
      </c>
      <c r="AU164" s="129">
        <v>0</v>
      </c>
      <c r="AV164" s="129">
        <v>0</v>
      </c>
      <c r="AW164" s="129">
        <v>1096508</v>
      </c>
      <c r="AX164" s="167">
        <v>45411</v>
      </c>
      <c r="AY164" s="162">
        <f t="shared" si="234"/>
        <v>15</v>
      </c>
      <c r="AZ164" s="163" t="s">
        <v>882</v>
      </c>
      <c r="BA164" s="162" t="b">
        <f t="shared" si="233"/>
        <v>0</v>
      </c>
      <c r="BF164" s="164">
        <f t="shared" si="250"/>
        <v>1659.9</v>
      </c>
      <c r="BG164" s="164">
        <f t="shared" si="251"/>
        <v>22</v>
      </c>
      <c r="BH164" s="164"/>
      <c r="BI164" s="164">
        <f t="shared" si="252"/>
        <v>493.1</v>
      </c>
      <c r="BJ164" s="164">
        <f t="shared" si="253"/>
        <v>22</v>
      </c>
      <c r="BK164" s="164">
        <f t="shared" si="254"/>
        <v>7</v>
      </c>
      <c r="BL164" s="164">
        <f t="shared" si="255"/>
        <v>1735</v>
      </c>
      <c r="BM164" s="164">
        <f t="shared" si="256"/>
        <v>960</v>
      </c>
      <c r="BN164" s="164">
        <f t="shared" si="257"/>
        <v>471</v>
      </c>
      <c r="BO164" s="164">
        <f t="shared" si="258"/>
        <v>1069</v>
      </c>
      <c r="BP164" s="164">
        <f t="shared" si="259"/>
        <v>12</v>
      </c>
      <c r="BQ164" s="164">
        <f t="shared" si="260"/>
        <v>12</v>
      </c>
      <c r="BR164" s="164">
        <f t="shared" si="261"/>
        <v>0</v>
      </c>
      <c r="BS164" s="129">
        <f>SUMIF('Audit HD AR - School Level'!$A$6:A3677, "=" &amp; A164,'Audit HD AR - School Level'!$Q$6:Q3677)</f>
        <v>100.8</v>
      </c>
      <c r="BT164" s="168">
        <f t="shared" si="262"/>
        <v>0</v>
      </c>
      <c r="BU164" s="168">
        <f t="shared" si="263"/>
        <v>0</v>
      </c>
      <c r="BW164" s="168">
        <f t="shared" si="264"/>
        <v>0</v>
      </c>
      <c r="BX164" s="164">
        <f t="shared" si="200"/>
        <v>1659.9</v>
      </c>
    </row>
    <row r="165" spans="1:78">
      <c r="A165" s="129" t="s">
        <v>242</v>
      </c>
      <c r="U165" s="129">
        <v>148.5</v>
      </c>
      <c r="V165" s="129">
        <v>5</v>
      </c>
      <c r="X165" s="129">
        <v>161.5</v>
      </c>
      <c r="AC165" s="129">
        <v>33.700000000000003</v>
      </c>
      <c r="AD165" s="129">
        <v>0</v>
      </c>
      <c r="AE165" s="129">
        <v>0</v>
      </c>
      <c r="AF165" s="129">
        <v>160</v>
      </c>
      <c r="AG165" s="129">
        <v>83</v>
      </c>
      <c r="AI165" s="129">
        <v>90</v>
      </c>
      <c r="AJ165" s="129">
        <v>10</v>
      </c>
      <c r="AK165" s="129">
        <v>13</v>
      </c>
      <c r="AL165" s="129">
        <v>0</v>
      </c>
      <c r="AO165" s="129">
        <v>0</v>
      </c>
      <c r="AP165" s="129">
        <v>0</v>
      </c>
      <c r="AQ165" s="129">
        <v>0</v>
      </c>
      <c r="AR165" s="129">
        <v>0</v>
      </c>
      <c r="AS165" s="129">
        <v>0</v>
      </c>
      <c r="AT165" s="129">
        <v>0</v>
      </c>
      <c r="AU165" s="129">
        <v>0</v>
      </c>
      <c r="AV165" s="129">
        <v>0</v>
      </c>
      <c r="AW165" s="129">
        <v>278400</v>
      </c>
      <c r="AX165" s="167">
        <v>45411</v>
      </c>
      <c r="AY165" s="162">
        <f t="shared" si="234"/>
        <v>15</v>
      </c>
      <c r="AZ165" s="163" t="s">
        <v>882</v>
      </c>
      <c r="BA165" s="162" t="b">
        <f t="shared" si="233"/>
        <v>0</v>
      </c>
      <c r="BF165" s="164">
        <f t="shared" si="250"/>
        <v>148.5</v>
      </c>
      <c r="BG165" s="164">
        <f t="shared" si="251"/>
        <v>5</v>
      </c>
      <c r="BH165" s="164"/>
      <c r="BI165" s="164">
        <f t="shared" si="252"/>
        <v>33.700000000000003</v>
      </c>
      <c r="BJ165" s="164">
        <f t="shared" si="253"/>
        <v>0</v>
      </c>
      <c r="BK165" s="164">
        <f t="shared" si="254"/>
        <v>0</v>
      </c>
      <c r="BL165" s="164">
        <f t="shared" si="255"/>
        <v>160</v>
      </c>
      <c r="BM165" s="164">
        <f t="shared" si="256"/>
        <v>83</v>
      </c>
      <c r="BN165" s="164">
        <f t="shared" si="257"/>
        <v>90</v>
      </c>
      <c r="BO165" s="164">
        <f t="shared" si="258"/>
        <v>10</v>
      </c>
      <c r="BP165" s="164">
        <f t="shared" si="259"/>
        <v>13</v>
      </c>
      <c r="BQ165" s="164">
        <f t="shared" si="260"/>
        <v>13</v>
      </c>
      <c r="BR165" s="164">
        <f t="shared" si="261"/>
        <v>0</v>
      </c>
      <c r="BS165" s="129">
        <f>SUMIF('Audit HD AR - School Level'!$A$6:A3678, "=" &amp; A165,'Audit HD AR - School Level'!$Q$6:Q3678)</f>
        <v>7.4</v>
      </c>
      <c r="BT165" s="168">
        <f t="shared" si="262"/>
        <v>0</v>
      </c>
      <c r="BU165" s="168">
        <f t="shared" si="263"/>
        <v>0</v>
      </c>
      <c r="BW165" s="168">
        <f t="shared" si="264"/>
        <v>0</v>
      </c>
      <c r="BX165" s="164">
        <f t="shared" si="200"/>
        <v>148.5</v>
      </c>
    </row>
    <row r="166" spans="1:78">
      <c r="A166" s="129" t="s">
        <v>268</v>
      </c>
      <c r="U166" s="129">
        <v>266.3</v>
      </c>
      <c r="V166" s="129">
        <v>8</v>
      </c>
      <c r="X166" s="129">
        <v>315</v>
      </c>
      <c r="AC166" s="129">
        <v>71.2</v>
      </c>
      <c r="AD166" s="129">
        <v>2</v>
      </c>
      <c r="AE166" s="129">
        <v>0</v>
      </c>
      <c r="AF166" s="129">
        <v>288</v>
      </c>
      <c r="AG166" s="129">
        <v>142</v>
      </c>
      <c r="AI166" s="129">
        <v>41</v>
      </c>
      <c r="AJ166" s="129">
        <v>18</v>
      </c>
      <c r="AK166" s="129">
        <v>3</v>
      </c>
      <c r="AL166" s="129">
        <v>0</v>
      </c>
      <c r="AO166" s="129">
        <v>0</v>
      </c>
      <c r="AP166" s="129">
        <v>0</v>
      </c>
      <c r="AQ166" s="129">
        <v>0</v>
      </c>
      <c r="AR166" s="129">
        <v>0</v>
      </c>
      <c r="AS166" s="129">
        <v>0</v>
      </c>
      <c r="AT166" s="129">
        <v>0</v>
      </c>
      <c r="AU166" s="129">
        <v>0</v>
      </c>
      <c r="AV166" s="129">
        <v>0</v>
      </c>
      <c r="AW166" s="129">
        <v>105546</v>
      </c>
      <c r="AX166" s="167">
        <v>45411</v>
      </c>
      <c r="AY166" s="162">
        <f t="shared" si="234"/>
        <v>15</v>
      </c>
      <c r="AZ166" s="163" t="s">
        <v>882</v>
      </c>
      <c r="BA166" s="162" t="b">
        <f t="shared" si="233"/>
        <v>0</v>
      </c>
      <c r="BF166" s="164">
        <f t="shared" si="250"/>
        <v>266.3</v>
      </c>
      <c r="BG166" s="164">
        <f t="shared" si="251"/>
        <v>8</v>
      </c>
      <c r="BH166" s="164"/>
      <c r="BI166" s="164">
        <f t="shared" si="252"/>
        <v>71.2</v>
      </c>
      <c r="BJ166" s="164">
        <f t="shared" si="253"/>
        <v>2</v>
      </c>
      <c r="BK166" s="164">
        <f t="shared" si="254"/>
        <v>0</v>
      </c>
      <c r="BL166" s="164">
        <f t="shared" si="255"/>
        <v>288</v>
      </c>
      <c r="BM166" s="164">
        <f t="shared" si="256"/>
        <v>142</v>
      </c>
      <c r="BN166" s="164">
        <f t="shared" si="257"/>
        <v>41</v>
      </c>
      <c r="BO166" s="164">
        <f t="shared" si="258"/>
        <v>18</v>
      </c>
      <c r="BP166" s="164">
        <f t="shared" si="259"/>
        <v>3</v>
      </c>
      <c r="BQ166" s="164">
        <f t="shared" si="260"/>
        <v>3</v>
      </c>
      <c r="BR166" s="164">
        <f t="shared" si="261"/>
        <v>0</v>
      </c>
      <c r="BS166" s="129">
        <f>SUMIF('Audit HD AR - School Level'!$A$6:A3679, "=" &amp; A166,'Audit HD AR - School Level'!$Q$6:Q3679)</f>
        <v>13</v>
      </c>
      <c r="BT166" s="168">
        <f t="shared" si="262"/>
        <v>0</v>
      </c>
      <c r="BU166" s="168">
        <f t="shared" si="263"/>
        <v>0</v>
      </c>
      <c r="BW166" s="168">
        <f t="shared" si="264"/>
        <v>0</v>
      </c>
      <c r="BX166" s="164">
        <f t="shared" si="200"/>
        <v>266.3</v>
      </c>
    </row>
    <row r="167" spans="1:78">
      <c r="A167" s="129" t="s">
        <v>277</v>
      </c>
      <c r="U167" s="129">
        <v>124.5</v>
      </c>
      <c r="V167" s="129">
        <v>1</v>
      </c>
      <c r="X167" s="129">
        <v>135.5</v>
      </c>
      <c r="AC167" s="129">
        <v>7.5</v>
      </c>
      <c r="AD167" s="129">
        <v>0</v>
      </c>
      <c r="AE167" s="129">
        <v>0</v>
      </c>
      <c r="AF167" s="129">
        <v>128</v>
      </c>
      <c r="AG167" s="129">
        <v>66</v>
      </c>
      <c r="AI167" s="129">
        <v>21</v>
      </c>
      <c r="AJ167" s="129">
        <v>13</v>
      </c>
      <c r="AK167" s="129">
        <v>0</v>
      </c>
      <c r="AL167" s="129">
        <v>0</v>
      </c>
      <c r="AO167" s="129">
        <v>0</v>
      </c>
      <c r="AP167" s="129">
        <v>0</v>
      </c>
      <c r="AQ167" s="129">
        <v>0</v>
      </c>
      <c r="AR167" s="129">
        <v>0</v>
      </c>
      <c r="AS167" s="129">
        <v>0</v>
      </c>
      <c r="AT167" s="129">
        <v>1</v>
      </c>
      <c r="AU167" s="129">
        <v>0</v>
      </c>
      <c r="AV167" s="129">
        <v>0</v>
      </c>
      <c r="AW167" s="129">
        <v>46311</v>
      </c>
      <c r="AX167" s="167">
        <v>45411</v>
      </c>
      <c r="AY167" s="162">
        <f t="shared" si="234"/>
        <v>15</v>
      </c>
      <c r="AZ167" s="163" t="s">
        <v>882</v>
      </c>
      <c r="BA167" s="162" t="b">
        <f t="shared" si="233"/>
        <v>0</v>
      </c>
      <c r="BF167" s="164">
        <f t="shared" si="250"/>
        <v>124.5</v>
      </c>
      <c r="BG167" s="164">
        <f t="shared" si="251"/>
        <v>1</v>
      </c>
      <c r="BH167" s="164"/>
      <c r="BI167" s="164">
        <f t="shared" si="252"/>
        <v>7.5</v>
      </c>
      <c r="BJ167" s="164">
        <f t="shared" si="253"/>
        <v>0</v>
      </c>
      <c r="BK167" s="164">
        <f t="shared" si="254"/>
        <v>0</v>
      </c>
      <c r="BL167" s="164">
        <f t="shared" si="255"/>
        <v>128</v>
      </c>
      <c r="BM167" s="164">
        <f t="shared" si="256"/>
        <v>66</v>
      </c>
      <c r="BN167" s="164">
        <f t="shared" si="257"/>
        <v>21</v>
      </c>
      <c r="BO167" s="164">
        <f t="shared" si="258"/>
        <v>13</v>
      </c>
      <c r="BP167" s="164">
        <f t="shared" si="259"/>
        <v>0</v>
      </c>
      <c r="BQ167" s="164">
        <f t="shared" si="260"/>
        <v>0</v>
      </c>
      <c r="BR167" s="164">
        <f t="shared" si="261"/>
        <v>0</v>
      </c>
      <c r="BS167" s="129">
        <f>SUMIF('Audit HD AR - School Level'!$A$6:A3680, "=" &amp; A167,'Audit HD AR - School Level'!$Q$6:Q3680)</f>
        <v>6</v>
      </c>
      <c r="BT167" s="168">
        <f t="shared" si="262"/>
        <v>0</v>
      </c>
      <c r="BU167" s="168">
        <f t="shared" si="263"/>
        <v>0</v>
      </c>
      <c r="BW167" s="168">
        <f t="shared" si="264"/>
        <v>0</v>
      </c>
      <c r="BX167" s="164">
        <f t="shared" si="200"/>
        <v>123.5</v>
      </c>
    </row>
    <row r="168" spans="1:78">
      <c r="A168" s="129" t="s">
        <v>281</v>
      </c>
      <c r="U168" s="129">
        <v>747.4</v>
      </c>
      <c r="V168" s="129">
        <v>13</v>
      </c>
      <c r="X168" s="129">
        <v>787.5</v>
      </c>
      <c r="AC168" s="129">
        <v>242.3</v>
      </c>
      <c r="AD168" s="129">
        <v>0</v>
      </c>
      <c r="AE168" s="129">
        <v>0</v>
      </c>
      <c r="AF168" s="129">
        <v>781</v>
      </c>
      <c r="AG168" s="129">
        <v>207</v>
      </c>
      <c r="AI168" s="129">
        <v>213</v>
      </c>
      <c r="AJ168" s="129">
        <v>6</v>
      </c>
      <c r="AK168" s="129">
        <v>0</v>
      </c>
      <c r="AL168" s="129">
        <v>0</v>
      </c>
      <c r="AO168" s="129">
        <v>2</v>
      </c>
      <c r="AP168" s="129">
        <v>0.9</v>
      </c>
      <c r="AQ168" s="129">
        <v>0</v>
      </c>
      <c r="AR168" s="129">
        <v>5</v>
      </c>
      <c r="AS168" s="129">
        <v>0</v>
      </c>
      <c r="AT168" s="129">
        <v>0</v>
      </c>
      <c r="AU168" s="129">
        <v>0</v>
      </c>
      <c r="AV168" s="129">
        <v>0</v>
      </c>
      <c r="AW168" s="129">
        <v>324267</v>
      </c>
      <c r="AX168" s="167">
        <v>45411</v>
      </c>
      <c r="AY168" s="162">
        <f t="shared" si="234"/>
        <v>15</v>
      </c>
      <c r="AZ168" s="163" t="s">
        <v>882</v>
      </c>
      <c r="BA168" s="162" t="b">
        <f t="shared" si="233"/>
        <v>0</v>
      </c>
      <c r="BF168" s="164">
        <f t="shared" si="250"/>
        <v>739.5</v>
      </c>
      <c r="BG168" s="164">
        <f t="shared" si="251"/>
        <v>13</v>
      </c>
      <c r="BH168" s="164"/>
      <c r="BI168" s="164">
        <f t="shared" si="252"/>
        <v>242.3</v>
      </c>
      <c r="BJ168" s="164">
        <f t="shared" si="253"/>
        <v>0</v>
      </c>
      <c r="BK168" s="164">
        <f t="shared" si="254"/>
        <v>0</v>
      </c>
      <c r="BL168" s="164">
        <f t="shared" si="255"/>
        <v>781</v>
      </c>
      <c r="BM168" s="164">
        <f t="shared" si="256"/>
        <v>207</v>
      </c>
      <c r="BN168" s="164">
        <f t="shared" si="257"/>
        <v>213</v>
      </c>
      <c r="BO168" s="164">
        <f t="shared" si="258"/>
        <v>6</v>
      </c>
      <c r="BP168" s="164">
        <f t="shared" si="259"/>
        <v>0</v>
      </c>
      <c r="BQ168" s="164">
        <f t="shared" si="260"/>
        <v>0</v>
      </c>
      <c r="BR168" s="164">
        <f t="shared" si="261"/>
        <v>0</v>
      </c>
      <c r="BS168" s="129">
        <f>SUMIF('Audit HD AR - School Level'!$A$6:A3681, "=" &amp; A168,'Audit HD AR - School Level'!$Q$6:Q3681)</f>
        <v>0</v>
      </c>
      <c r="BT168" s="168">
        <f t="shared" si="262"/>
        <v>0</v>
      </c>
      <c r="BU168" s="168">
        <f t="shared" si="263"/>
        <v>-3545</v>
      </c>
      <c r="BW168" s="168">
        <f t="shared" si="264"/>
        <v>-3545</v>
      </c>
      <c r="BX168" s="164">
        <f t="shared" si="200"/>
        <v>744.5</v>
      </c>
    </row>
    <row r="169" spans="1:78">
      <c r="A169" s="129" t="s">
        <v>294</v>
      </c>
      <c r="U169" s="129">
        <v>408.5</v>
      </c>
      <c r="V169" s="129">
        <v>2</v>
      </c>
      <c r="X169" s="129">
        <v>419</v>
      </c>
      <c r="AC169" s="129">
        <v>98.8</v>
      </c>
      <c r="AD169" s="129">
        <v>12</v>
      </c>
      <c r="AE169" s="129">
        <v>13.6</v>
      </c>
      <c r="AF169" s="129">
        <v>414</v>
      </c>
      <c r="AG169" s="129">
        <v>131</v>
      </c>
      <c r="AI169" s="129">
        <v>188</v>
      </c>
      <c r="AJ169" s="129">
        <v>0</v>
      </c>
      <c r="AK169" s="129">
        <v>1</v>
      </c>
      <c r="AL169" s="129">
        <v>0</v>
      </c>
      <c r="AO169" s="129">
        <v>0</v>
      </c>
      <c r="AP169" s="129">
        <v>0</v>
      </c>
      <c r="AQ169" s="129">
        <v>0</v>
      </c>
      <c r="AR169" s="129">
        <v>0</v>
      </c>
      <c r="AS169" s="129">
        <v>0</v>
      </c>
      <c r="AT169" s="129">
        <v>0</v>
      </c>
      <c r="AU169" s="129">
        <v>0</v>
      </c>
      <c r="AV169" s="129">
        <v>0</v>
      </c>
      <c r="AW169" s="129">
        <v>391680</v>
      </c>
      <c r="AX169" s="167">
        <v>45411</v>
      </c>
      <c r="AY169" s="162">
        <f t="shared" si="234"/>
        <v>15</v>
      </c>
      <c r="AZ169" s="163" t="s">
        <v>882</v>
      </c>
      <c r="BA169" s="162" t="b">
        <f t="shared" si="233"/>
        <v>0</v>
      </c>
      <c r="BF169" s="164">
        <f t="shared" si="250"/>
        <v>408.5</v>
      </c>
      <c r="BG169" s="164">
        <f t="shared" si="251"/>
        <v>2</v>
      </c>
      <c r="BH169" s="164"/>
      <c r="BI169" s="164">
        <f t="shared" si="252"/>
        <v>98.8</v>
      </c>
      <c r="BJ169" s="164">
        <f t="shared" si="253"/>
        <v>12</v>
      </c>
      <c r="BK169" s="164">
        <f t="shared" si="254"/>
        <v>13.6</v>
      </c>
      <c r="BL169" s="164">
        <f t="shared" si="255"/>
        <v>414</v>
      </c>
      <c r="BM169" s="164">
        <f t="shared" si="256"/>
        <v>131</v>
      </c>
      <c r="BN169" s="164">
        <f t="shared" si="257"/>
        <v>188</v>
      </c>
      <c r="BO169" s="164">
        <f t="shared" si="258"/>
        <v>0</v>
      </c>
      <c r="BP169" s="164">
        <f t="shared" si="259"/>
        <v>1</v>
      </c>
      <c r="BQ169" s="164">
        <f t="shared" si="260"/>
        <v>1</v>
      </c>
      <c r="BR169" s="164">
        <f t="shared" si="261"/>
        <v>0</v>
      </c>
      <c r="BS169" s="129">
        <f>SUMIF('Audit HD AR - School Level'!$A$6:A3682, "=" &amp; A169,'Audit HD AR - School Level'!$Q$6:Q3682)</f>
        <v>0.5</v>
      </c>
      <c r="BT169" s="168">
        <f t="shared" si="262"/>
        <v>0</v>
      </c>
      <c r="BU169" s="168">
        <f t="shared" si="263"/>
        <v>0</v>
      </c>
      <c r="BW169" s="168">
        <f t="shared" si="264"/>
        <v>0</v>
      </c>
      <c r="BX169" s="164">
        <f t="shared" si="200"/>
        <v>408.5</v>
      </c>
    </row>
    <row r="170" spans="1:78">
      <c r="A170" s="129" t="s">
        <v>296</v>
      </c>
      <c r="U170" s="129">
        <v>976.1</v>
      </c>
      <c r="V170" s="129">
        <v>11.5</v>
      </c>
      <c r="X170" s="129">
        <v>966.2</v>
      </c>
      <c r="AC170" s="129">
        <v>148.5</v>
      </c>
      <c r="AD170" s="129">
        <v>15</v>
      </c>
      <c r="AE170" s="129">
        <v>54.8</v>
      </c>
      <c r="AF170" s="129">
        <v>918</v>
      </c>
      <c r="AG170" s="129">
        <v>402</v>
      </c>
      <c r="AI170" s="129">
        <v>337</v>
      </c>
      <c r="AJ170" s="129">
        <v>69</v>
      </c>
      <c r="AK170" s="129">
        <v>111</v>
      </c>
      <c r="AL170" s="129">
        <v>0</v>
      </c>
      <c r="AO170" s="129">
        <v>80</v>
      </c>
      <c r="AP170" s="129">
        <v>3.3</v>
      </c>
      <c r="AQ170" s="129">
        <v>6</v>
      </c>
      <c r="AR170" s="129">
        <v>0</v>
      </c>
      <c r="AS170" s="129">
        <v>6</v>
      </c>
      <c r="AT170" s="129">
        <v>1</v>
      </c>
      <c r="AU170" s="129">
        <v>0</v>
      </c>
      <c r="AV170" s="129">
        <v>0</v>
      </c>
      <c r="AW170" s="129">
        <v>643402</v>
      </c>
      <c r="AX170" s="167">
        <v>45411</v>
      </c>
      <c r="AY170" s="162">
        <f t="shared" si="234"/>
        <v>15</v>
      </c>
      <c r="AZ170" s="163" t="s">
        <v>882</v>
      </c>
      <c r="BA170" s="162" t="b">
        <f t="shared" si="233"/>
        <v>0</v>
      </c>
      <c r="BF170" s="164">
        <f t="shared" si="250"/>
        <v>892.8</v>
      </c>
      <c r="BG170" s="164">
        <f t="shared" si="251"/>
        <v>11.5</v>
      </c>
      <c r="BH170" s="164"/>
      <c r="BI170" s="164">
        <f t="shared" si="252"/>
        <v>148.5</v>
      </c>
      <c r="BJ170" s="164">
        <f t="shared" si="253"/>
        <v>15</v>
      </c>
      <c r="BK170" s="164">
        <f t="shared" si="254"/>
        <v>54.8</v>
      </c>
      <c r="BL170" s="164">
        <f t="shared" si="255"/>
        <v>918</v>
      </c>
      <c r="BM170" s="164">
        <f t="shared" si="256"/>
        <v>402</v>
      </c>
      <c r="BN170" s="164">
        <f t="shared" si="257"/>
        <v>337</v>
      </c>
      <c r="BO170" s="164">
        <f t="shared" si="258"/>
        <v>69</v>
      </c>
      <c r="BP170" s="164">
        <f t="shared" si="259"/>
        <v>111</v>
      </c>
      <c r="BQ170" s="164">
        <f t="shared" si="260"/>
        <v>111</v>
      </c>
      <c r="BR170" s="164">
        <f t="shared" si="261"/>
        <v>0</v>
      </c>
      <c r="BS170" s="129">
        <f>SUMIF('Audit HD AR - School Level'!$A$6:A3683, "=" &amp; A170,'Audit HD AR - School Level'!$Q$6:Q3683)</f>
        <v>26.2</v>
      </c>
      <c r="BT170" s="168">
        <f t="shared" si="262"/>
        <v>0</v>
      </c>
      <c r="BU170" s="168">
        <f t="shared" si="263"/>
        <v>0</v>
      </c>
      <c r="BW170" s="168">
        <f t="shared" si="264"/>
        <v>0</v>
      </c>
      <c r="BX170" s="164">
        <f t="shared" si="200"/>
        <v>891.8</v>
      </c>
      <c r="BZ170" s="129">
        <v>1</v>
      </c>
    </row>
    <row r="171" spans="1:78">
      <c r="A171" s="129" t="s">
        <v>306</v>
      </c>
      <c r="U171" s="129">
        <v>311</v>
      </c>
      <c r="V171" s="129">
        <v>6</v>
      </c>
      <c r="X171" s="129">
        <v>305.3</v>
      </c>
      <c r="AC171" s="129">
        <v>131.5</v>
      </c>
      <c r="AD171" s="129">
        <v>3</v>
      </c>
      <c r="AE171" s="129">
        <v>0.3</v>
      </c>
      <c r="AF171" s="129">
        <v>327</v>
      </c>
      <c r="AG171" s="129">
        <v>116</v>
      </c>
      <c r="AI171" s="129">
        <v>164</v>
      </c>
      <c r="AJ171" s="129">
        <v>38</v>
      </c>
      <c r="AK171" s="129">
        <v>8</v>
      </c>
      <c r="AL171" s="129">
        <v>0</v>
      </c>
      <c r="AO171" s="129">
        <v>0</v>
      </c>
      <c r="AP171" s="129">
        <v>0</v>
      </c>
      <c r="AQ171" s="129">
        <v>0</v>
      </c>
      <c r="AR171" s="129">
        <v>5</v>
      </c>
      <c r="AS171" s="129">
        <v>0</v>
      </c>
      <c r="AT171" s="129">
        <v>0</v>
      </c>
      <c r="AU171" s="129">
        <v>0</v>
      </c>
      <c r="AV171" s="129">
        <v>0</v>
      </c>
      <c r="AW171" s="129">
        <v>163445</v>
      </c>
      <c r="AX171" s="167">
        <v>45411</v>
      </c>
      <c r="AY171" s="162">
        <f t="shared" si="234"/>
        <v>15</v>
      </c>
      <c r="AZ171" s="163" t="s">
        <v>882</v>
      </c>
      <c r="BA171" s="162" t="b">
        <f t="shared" si="233"/>
        <v>0</v>
      </c>
      <c r="BF171" s="164">
        <f t="shared" si="250"/>
        <v>306</v>
      </c>
      <c r="BG171" s="164">
        <f t="shared" si="251"/>
        <v>6</v>
      </c>
      <c r="BH171" s="164"/>
      <c r="BI171" s="164">
        <f t="shared" si="252"/>
        <v>131.5</v>
      </c>
      <c r="BJ171" s="164">
        <f t="shared" si="253"/>
        <v>3</v>
      </c>
      <c r="BK171" s="164">
        <f t="shared" si="254"/>
        <v>0.3</v>
      </c>
      <c r="BL171" s="164">
        <f t="shared" si="255"/>
        <v>327</v>
      </c>
      <c r="BM171" s="164">
        <f t="shared" si="256"/>
        <v>116</v>
      </c>
      <c r="BN171" s="164">
        <f t="shared" si="257"/>
        <v>164</v>
      </c>
      <c r="BO171" s="164">
        <f t="shared" si="258"/>
        <v>38</v>
      </c>
      <c r="BP171" s="164">
        <f t="shared" si="259"/>
        <v>8</v>
      </c>
      <c r="BQ171" s="164">
        <f t="shared" si="260"/>
        <v>8</v>
      </c>
      <c r="BR171" s="164">
        <f t="shared" si="261"/>
        <v>0</v>
      </c>
      <c r="BS171" s="129">
        <f>SUMIF('Audit HD AR - School Level'!$A$6:A3684, "=" &amp; A171,'Audit HD AR - School Level'!$Q$6:Q3684)</f>
        <v>3.3</v>
      </c>
      <c r="BT171" s="168">
        <f t="shared" si="262"/>
        <v>0</v>
      </c>
      <c r="BU171" s="168">
        <f t="shared" si="263"/>
        <v>-3545</v>
      </c>
      <c r="BW171" s="168">
        <f t="shared" si="264"/>
        <v>-3545</v>
      </c>
      <c r="BX171" s="164">
        <f t="shared" si="200"/>
        <v>311</v>
      </c>
      <c r="BZ171" s="129">
        <v>1</v>
      </c>
    </row>
    <row r="172" spans="1:78">
      <c r="A172" s="129" t="s">
        <v>336</v>
      </c>
      <c r="U172" s="129">
        <v>431.7</v>
      </c>
      <c r="V172" s="129">
        <v>0.5</v>
      </c>
      <c r="X172" s="129">
        <v>428.6</v>
      </c>
      <c r="AC172" s="129">
        <v>182.5</v>
      </c>
      <c r="AD172" s="129">
        <v>0</v>
      </c>
      <c r="AE172" s="129">
        <v>0</v>
      </c>
      <c r="AF172" s="129">
        <v>474</v>
      </c>
      <c r="AG172" s="129">
        <v>160</v>
      </c>
      <c r="AI172" s="129">
        <v>53</v>
      </c>
      <c r="AJ172" s="129">
        <v>12.3</v>
      </c>
      <c r="AK172" s="129">
        <v>19.100000000000001</v>
      </c>
      <c r="AL172" s="129">
        <v>0</v>
      </c>
      <c r="AO172" s="129">
        <v>0</v>
      </c>
      <c r="AP172" s="129">
        <v>0</v>
      </c>
      <c r="AQ172" s="129">
        <v>0</v>
      </c>
      <c r="AR172" s="129">
        <v>0</v>
      </c>
      <c r="AS172" s="129">
        <v>0</v>
      </c>
      <c r="AT172" s="129">
        <v>0</v>
      </c>
      <c r="AU172" s="129">
        <v>0</v>
      </c>
      <c r="AV172" s="129">
        <v>1</v>
      </c>
      <c r="AW172" s="129">
        <v>113853</v>
      </c>
      <c r="AX172" s="167">
        <v>45411</v>
      </c>
      <c r="AY172" s="162">
        <f t="shared" si="234"/>
        <v>15</v>
      </c>
      <c r="AZ172" s="163" t="s">
        <v>882</v>
      </c>
      <c r="BA172" s="162" t="b">
        <f t="shared" si="233"/>
        <v>0</v>
      </c>
      <c r="BF172" s="164">
        <f t="shared" si="250"/>
        <v>431.7</v>
      </c>
      <c r="BG172" s="164">
        <f t="shared" si="251"/>
        <v>0.5</v>
      </c>
      <c r="BH172" s="164"/>
      <c r="BI172" s="164">
        <f t="shared" si="252"/>
        <v>182.5</v>
      </c>
      <c r="BJ172" s="164">
        <f t="shared" si="253"/>
        <v>0</v>
      </c>
      <c r="BK172" s="164">
        <f t="shared" si="254"/>
        <v>0</v>
      </c>
      <c r="BL172" s="164">
        <f t="shared" si="255"/>
        <v>474</v>
      </c>
      <c r="BM172" s="164">
        <f t="shared" si="256"/>
        <v>160</v>
      </c>
      <c r="BN172" s="164">
        <f t="shared" si="257"/>
        <v>53</v>
      </c>
      <c r="BO172" s="164">
        <f t="shared" si="258"/>
        <v>12.3</v>
      </c>
      <c r="BP172" s="164">
        <f t="shared" si="259"/>
        <v>19.100000000000001</v>
      </c>
      <c r="BQ172" s="164">
        <f t="shared" si="260"/>
        <v>19.100000000000001</v>
      </c>
      <c r="BR172" s="164">
        <f t="shared" si="261"/>
        <v>0</v>
      </c>
      <c r="BS172" s="129">
        <f>SUMIF('Audit HD AR - School Level'!$A$6:A3685, "=" &amp; A172,'Audit HD AR - School Level'!$Q$6:Q3685)</f>
        <v>1</v>
      </c>
      <c r="BT172" s="168">
        <f t="shared" si="262"/>
        <v>0</v>
      </c>
      <c r="BU172" s="168">
        <f t="shared" si="263"/>
        <v>0</v>
      </c>
      <c r="BW172" s="168">
        <f t="shared" si="264"/>
        <v>0</v>
      </c>
      <c r="BX172" s="164">
        <f t="shared" si="200"/>
        <v>431.7</v>
      </c>
      <c r="BZ172" s="129">
        <v>1</v>
      </c>
    </row>
    <row r="173" spans="1:78">
      <c r="A173" s="129" t="s">
        <v>344</v>
      </c>
      <c r="U173" s="129">
        <v>926</v>
      </c>
      <c r="V173" s="129">
        <v>20.5</v>
      </c>
      <c r="X173" s="129">
        <v>950.5</v>
      </c>
      <c r="AC173" s="129">
        <v>326.8</v>
      </c>
      <c r="AD173" s="129">
        <v>90</v>
      </c>
      <c r="AE173" s="129">
        <v>364.2</v>
      </c>
      <c r="AF173" s="129">
        <v>964</v>
      </c>
      <c r="AG173" s="129">
        <v>456</v>
      </c>
      <c r="AI173" s="129">
        <v>51</v>
      </c>
      <c r="AJ173" s="129">
        <v>643</v>
      </c>
      <c r="AK173" s="129">
        <v>1</v>
      </c>
      <c r="AL173" s="129">
        <v>0</v>
      </c>
      <c r="AO173" s="129">
        <v>4</v>
      </c>
      <c r="AP173" s="129">
        <v>0</v>
      </c>
      <c r="AQ173" s="129">
        <v>0</v>
      </c>
      <c r="AR173" s="129">
        <v>0</v>
      </c>
      <c r="AS173" s="129">
        <v>0</v>
      </c>
      <c r="AT173" s="129">
        <v>0</v>
      </c>
      <c r="AU173" s="129">
        <v>0</v>
      </c>
      <c r="AV173" s="129">
        <v>0</v>
      </c>
      <c r="AW173" s="129">
        <v>166647</v>
      </c>
      <c r="AX173" s="167">
        <v>45411</v>
      </c>
      <c r="AY173" s="162">
        <f t="shared" si="234"/>
        <v>15</v>
      </c>
      <c r="AZ173" s="163" t="s">
        <v>882</v>
      </c>
      <c r="BA173" s="162" t="b">
        <f t="shared" si="233"/>
        <v>0</v>
      </c>
      <c r="BF173" s="164">
        <f t="shared" si="250"/>
        <v>922</v>
      </c>
      <c r="BG173" s="164">
        <f t="shared" si="251"/>
        <v>20.5</v>
      </c>
      <c r="BH173" s="164"/>
      <c r="BI173" s="164">
        <f t="shared" si="252"/>
        <v>326.8</v>
      </c>
      <c r="BJ173" s="164">
        <f t="shared" si="253"/>
        <v>90</v>
      </c>
      <c r="BK173" s="164">
        <f t="shared" si="254"/>
        <v>364.2</v>
      </c>
      <c r="BL173" s="164">
        <f t="shared" si="255"/>
        <v>964</v>
      </c>
      <c r="BM173" s="164">
        <f t="shared" si="256"/>
        <v>456</v>
      </c>
      <c r="BN173" s="164">
        <f t="shared" si="257"/>
        <v>51</v>
      </c>
      <c r="BO173" s="164">
        <f t="shared" si="258"/>
        <v>643</v>
      </c>
      <c r="BP173" s="164">
        <f t="shared" si="259"/>
        <v>1</v>
      </c>
      <c r="BQ173" s="164">
        <f t="shared" si="260"/>
        <v>1</v>
      </c>
      <c r="BR173" s="164">
        <f t="shared" si="261"/>
        <v>0</v>
      </c>
      <c r="BS173" s="129">
        <f>SUMIF('Audit HD AR - School Level'!$A$6:A3686, "=" &amp; A173,'Audit HD AR - School Level'!$Q$6:Q3686)</f>
        <v>38.299999999999997</v>
      </c>
      <c r="BT173" s="168">
        <f t="shared" si="262"/>
        <v>0</v>
      </c>
      <c r="BU173" s="168">
        <f t="shared" si="263"/>
        <v>0</v>
      </c>
      <c r="BW173" s="168">
        <f t="shared" si="264"/>
        <v>0</v>
      </c>
      <c r="BX173" s="164">
        <f t="shared" si="200"/>
        <v>922</v>
      </c>
    </row>
    <row r="174" spans="1:78">
      <c r="A174" s="129" t="s">
        <v>422</v>
      </c>
      <c r="U174" s="129">
        <v>401.9</v>
      </c>
      <c r="V174" s="129">
        <v>8.5</v>
      </c>
      <c r="X174" s="129">
        <v>415.5</v>
      </c>
      <c r="AC174" s="129">
        <v>167.5</v>
      </c>
      <c r="AD174" s="129">
        <v>142</v>
      </c>
      <c r="AE174" s="129">
        <v>564</v>
      </c>
      <c r="AF174" s="129">
        <v>422</v>
      </c>
      <c r="AG174" s="129">
        <v>207</v>
      </c>
      <c r="AI174" s="129">
        <v>58.5</v>
      </c>
      <c r="AJ174" s="129">
        <v>22</v>
      </c>
      <c r="AK174" s="129">
        <v>1</v>
      </c>
      <c r="AL174" s="129">
        <v>0</v>
      </c>
      <c r="AO174" s="129">
        <v>0</v>
      </c>
      <c r="AP174" s="129">
        <v>0</v>
      </c>
      <c r="AQ174" s="129">
        <v>0</v>
      </c>
      <c r="AR174" s="129">
        <v>0</v>
      </c>
      <c r="AS174" s="129">
        <v>0</v>
      </c>
      <c r="AT174" s="129">
        <v>0</v>
      </c>
      <c r="AU174" s="129">
        <v>0</v>
      </c>
      <c r="AV174" s="129">
        <v>0</v>
      </c>
      <c r="AW174" s="129">
        <v>219025</v>
      </c>
      <c r="AX174" s="167">
        <v>45411</v>
      </c>
      <c r="AY174" s="162">
        <f t="shared" si="234"/>
        <v>15</v>
      </c>
      <c r="AZ174" s="163" t="s">
        <v>882</v>
      </c>
      <c r="BA174" s="162" t="b">
        <f t="shared" si="233"/>
        <v>0</v>
      </c>
      <c r="BF174" s="164">
        <f t="shared" si="250"/>
        <v>401.9</v>
      </c>
      <c r="BG174" s="164">
        <f t="shared" si="251"/>
        <v>8.5</v>
      </c>
      <c r="BH174" s="164"/>
      <c r="BI174" s="164">
        <f t="shared" si="252"/>
        <v>167.5</v>
      </c>
      <c r="BJ174" s="164">
        <f t="shared" si="253"/>
        <v>142</v>
      </c>
      <c r="BK174" s="164">
        <f t="shared" si="254"/>
        <v>564</v>
      </c>
      <c r="BL174" s="164">
        <f t="shared" si="255"/>
        <v>422</v>
      </c>
      <c r="BM174" s="164">
        <f t="shared" si="256"/>
        <v>207</v>
      </c>
      <c r="BN174" s="164">
        <f t="shared" si="257"/>
        <v>58.5</v>
      </c>
      <c r="BO174" s="164">
        <f t="shared" si="258"/>
        <v>22</v>
      </c>
      <c r="BP174" s="164">
        <f t="shared" si="259"/>
        <v>1</v>
      </c>
      <c r="BQ174" s="164">
        <f t="shared" si="260"/>
        <v>1</v>
      </c>
      <c r="BR174" s="164">
        <f t="shared" si="261"/>
        <v>0</v>
      </c>
      <c r="BS174" s="129">
        <f>SUMIF('Audit HD AR - School Level'!$A$6:A3688, "=" &amp; A174,'Audit HD AR - School Level'!$Q$6:Q3688)</f>
        <v>20.3</v>
      </c>
      <c r="BT174" s="168">
        <f t="shared" si="262"/>
        <v>0</v>
      </c>
      <c r="BU174" s="168">
        <f t="shared" si="263"/>
        <v>0</v>
      </c>
      <c r="BW174" s="168">
        <f t="shared" si="264"/>
        <v>0</v>
      </c>
      <c r="BX174" s="164">
        <f t="shared" si="200"/>
        <v>401.9</v>
      </c>
    </row>
    <row r="175" spans="1:78">
      <c r="A175" s="129" t="s">
        <v>458</v>
      </c>
      <c r="U175" s="129">
        <v>507.8</v>
      </c>
      <c r="V175" s="129">
        <v>7</v>
      </c>
      <c r="X175" s="129">
        <v>543.5</v>
      </c>
      <c r="AC175" s="129">
        <v>170</v>
      </c>
      <c r="AD175" s="129">
        <v>231</v>
      </c>
      <c r="AE175" s="129">
        <v>698.9</v>
      </c>
      <c r="AF175" s="129">
        <v>526</v>
      </c>
      <c r="AG175" s="129">
        <v>326</v>
      </c>
      <c r="AI175" s="129">
        <v>106</v>
      </c>
      <c r="AJ175" s="129">
        <v>0</v>
      </c>
      <c r="AK175" s="129">
        <v>0</v>
      </c>
      <c r="AL175" s="129">
        <v>0</v>
      </c>
      <c r="AO175" s="129">
        <v>0</v>
      </c>
      <c r="AP175" s="129">
        <v>0</v>
      </c>
      <c r="AQ175" s="129">
        <v>0</v>
      </c>
      <c r="AR175" s="129">
        <v>0</v>
      </c>
      <c r="AS175" s="129">
        <v>0</v>
      </c>
      <c r="AT175" s="129">
        <v>0</v>
      </c>
      <c r="AU175" s="129">
        <v>0</v>
      </c>
      <c r="AV175" s="129">
        <v>0</v>
      </c>
      <c r="AW175" s="129">
        <v>238389</v>
      </c>
      <c r="AX175" s="167">
        <v>45411</v>
      </c>
      <c r="AY175" s="162">
        <f t="shared" si="234"/>
        <v>15</v>
      </c>
      <c r="AZ175" s="163" t="s">
        <v>882</v>
      </c>
      <c r="BA175" s="162" t="b">
        <f t="shared" si="233"/>
        <v>0</v>
      </c>
      <c r="BF175" s="164">
        <f t="shared" si="250"/>
        <v>507.8</v>
      </c>
      <c r="BG175" s="164">
        <f t="shared" si="251"/>
        <v>7</v>
      </c>
      <c r="BH175" s="164"/>
      <c r="BI175" s="164">
        <f t="shared" si="252"/>
        <v>170</v>
      </c>
      <c r="BJ175" s="164">
        <f t="shared" si="253"/>
        <v>231</v>
      </c>
      <c r="BK175" s="164">
        <f t="shared" si="254"/>
        <v>698.9</v>
      </c>
      <c r="BL175" s="164">
        <f t="shared" si="255"/>
        <v>526</v>
      </c>
      <c r="BM175" s="164">
        <f t="shared" si="256"/>
        <v>326</v>
      </c>
      <c r="BN175" s="164">
        <f t="shared" si="257"/>
        <v>106</v>
      </c>
      <c r="BO175" s="164">
        <f t="shared" si="258"/>
        <v>0</v>
      </c>
      <c r="BP175" s="164">
        <f t="shared" si="259"/>
        <v>0</v>
      </c>
      <c r="BQ175" s="164">
        <f t="shared" si="260"/>
        <v>0</v>
      </c>
      <c r="BR175" s="164">
        <f t="shared" si="261"/>
        <v>0</v>
      </c>
      <c r="BS175" s="129">
        <f>SUMIF('Audit HD AR - School Level'!$A$6:A3689, "=" &amp; A175,'Audit HD AR - School Level'!$Q$6:Q3689)</f>
        <v>34.200000000000003</v>
      </c>
      <c r="BT175" s="168">
        <f t="shared" si="262"/>
        <v>0</v>
      </c>
      <c r="BU175" s="168">
        <f t="shared" si="263"/>
        <v>0</v>
      </c>
      <c r="BW175" s="168">
        <f t="shared" si="264"/>
        <v>0</v>
      </c>
      <c r="BX175" s="164">
        <f t="shared" si="200"/>
        <v>507.8</v>
      </c>
    </row>
    <row r="176" spans="1:78">
      <c r="A176" s="129" t="s">
        <v>191</v>
      </c>
      <c r="U176" s="129">
        <v>579.6</v>
      </c>
      <c r="V176" s="129">
        <v>8</v>
      </c>
      <c r="X176" s="129">
        <v>634.5</v>
      </c>
      <c r="AC176" s="129">
        <v>163.4</v>
      </c>
      <c r="AD176" s="129">
        <v>121</v>
      </c>
      <c r="AE176" s="129">
        <v>542.9</v>
      </c>
      <c r="AF176" s="129">
        <v>601</v>
      </c>
      <c r="AG176" s="129">
        <v>194</v>
      </c>
      <c r="AI176" s="129">
        <v>73</v>
      </c>
      <c r="AJ176" s="129">
        <v>5</v>
      </c>
      <c r="AK176" s="129">
        <v>22</v>
      </c>
      <c r="AL176" s="129">
        <v>0</v>
      </c>
      <c r="AO176" s="129">
        <v>0</v>
      </c>
      <c r="AP176" s="129">
        <v>0</v>
      </c>
      <c r="AQ176" s="129">
        <v>0</v>
      </c>
      <c r="AR176" s="129">
        <v>0</v>
      </c>
      <c r="AS176" s="129">
        <v>0</v>
      </c>
      <c r="AT176" s="129">
        <v>0</v>
      </c>
      <c r="AU176" s="129">
        <v>0</v>
      </c>
      <c r="AV176" s="129">
        <v>0</v>
      </c>
      <c r="AW176" s="129">
        <v>219329</v>
      </c>
      <c r="AX176" s="167">
        <v>45413</v>
      </c>
      <c r="AY176" s="162">
        <f t="shared" si="234"/>
        <v>16</v>
      </c>
      <c r="AZ176" s="163" t="s">
        <v>882</v>
      </c>
      <c r="BA176" s="162" t="b">
        <f t="shared" si="233"/>
        <v>0</v>
      </c>
      <c r="BF176" s="164">
        <f t="shared" ref="BF176:BF204" si="265">SUM(U176+C176-AO176-AP176-AR176)</f>
        <v>579.6</v>
      </c>
      <c r="BG176" s="164">
        <f t="shared" ref="BG176:BG204" si="266">SUM(E176+F176+V176+W176)</f>
        <v>8</v>
      </c>
      <c r="BH176" s="164"/>
      <c r="BI176" s="164">
        <f t="shared" ref="BI176:BI204" si="267">SUM(AC176+H176)</f>
        <v>163.4</v>
      </c>
      <c r="BJ176" s="164">
        <f t="shared" ref="BJ176:BJ204" si="268">SUM(AD176+I176)</f>
        <v>121</v>
      </c>
      <c r="BK176" s="164">
        <f t="shared" ref="BK176:BK204" si="269">SUM(AE176+J176)</f>
        <v>542.9</v>
      </c>
      <c r="BL176" s="164">
        <f t="shared" ref="BL176:BL204" si="270">SUM(AF176+K176)</f>
        <v>601</v>
      </c>
      <c r="BM176" s="164">
        <f t="shared" ref="BM176:BM204" si="271">SUM(AG176+L176)</f>
        <v>194</v>
      </c>
      <c r="BN176" s="164">
        <f t="shared" ref="BN176:BN204" si="272">SUM(AI176+M176)</f>
        <v>73</v>
      </c>
      <c r="BO176" s="164">
        <f t="shared" ref="BO176:BO204" si="273">SUM(AJ176+R176)</f>
        <v>5</v>
      </c>
      <c r="BP176" s="164">
        <f t="shared" ref="BP176:BP204" si="274">SUM(AK176+R176)</f>
        <v>22</v>
      </c>
      <c r="BQ176" s="164">
        <f t="shared" ref="BQ176:BQ204" si="275">SUM(S176+AK176)</f>
        <v>22</v>
      </c>
      <c r="BR176" s="164">
        <f t="shared" ref="BR176:BR204" si="276">SUM(T176+AL176)</f>
        <v>0</v>
      </c>
      <c r="BS176" s="129">
        <f>SUMIF('Audit HD AR - School Level'!$A$6:A3690, "=" &amp; A176,'Audit HD AR - School Level'!$Q$6:Q3690)</f>
        <v>0</v>
      </c>
      <c r="BT176" s="168">
        <f t="shared" ref="BT176:BT204" si="277">SUM(AS176-AQ176)*$BT$2</f>
        <v>0</v>
      </c>
      <c r="BU176" s="168">
        <f t="shared" ref="BU176:BU204" si="278">SUM(AU176-AR176)*$BT$2</f>
        <v>0</v>
      </c>
      <c r="BW176" s="168">
        <f t="shared" ref="BW176:BW204" si="279">IF(BT176+BU176+BV176&gt;0,0,BT176+BU176+BV176)</f>
        <v>0</v>
      </c>
      <c r="BX176" s="164">
        <f t="shared" si="200"/>
        <v>579.6</v>
      </c>
    </row>
    <row r="177" spans="1:78">
      <c r="A177" s="129" t="s">
        <v>192</v>
      </c>
      <c r="U177" s="129">
        <v>149.5</v>
      </c>
      <c r="V177" s="129">
        <v>0</v>
      </c>
      <c r="X177" s="129">
        <v>147</v>
      </c>
      <c r="AC177" s="129">
        <v>73.8</v>
      </c>
      <c r="AD177" s="129">
        <v>20</v>
      </c>
      <c r="AE177" s="129">
        <v>80.5</v>
      </c>
      <c r="AF177" s="129">
        <v>151</v>
      </c>
      <c r="AG177" s="129">
        <v>65</v>
      </c>
      <c r="AI177" s="129">
        <v>44</v>
      </c>
      <c r="AJ177" s="129">
        <v>0</v>
      </c>
      <c r="AK177" s="129">
        <v>15</v>
      </c>
      <c r="AL177" s="129">
        <v>0</v>
      </c>
      <c r="AO177" s="129">
        <v>0</v>
      </c>
      <c r="AP177" s="129">
        <v>0</v>
      </c>
      <c r="AQ177" s="129">
        <v>0</v>
      </c>
      <c r="AR177" s="129">
        <v>0</v>
      </c>
      <c r="AS177" s="129">
        <v>0</v>
      </c>
      <c r="AT177" s="129">
        <v>0</v>
      </c>
      <c r="AU177" s="129">
        <v>0</v>
      </c>
      <c r="AV177" s="129">
        <v>0</v>
      </c>
      <c r="AW177" s="129">
        <v>128133</v>
      </c>
      <c r="AX177" s="167">
        <v>45413</v>
      </c>
      <c r="AY177" s="162">
        <f t="shared" si="234"/>
        <v>16</v>
      </c>
      <c r="AZ177" s="163" t="s">
        <v>882</v>
      </c>
      <c r="BA177" s="162" t="b">
        <f t="shared" si="233"/>
        <v>0</v>
      </c>
      <c r="BF177" s="164">
        <f t="shared" si="265"/>
        <v>149.5</v>
      </c>
      <c r="BG177" s="164">
        <f t="shared" si="266"/>
        <v>0</v>
      </c>
      <c r="BH177" s="164"/>
      <c r="BI177" s="164">
        <f t="shared" si="267"/>
        <v>73.8</v>
      </c>
      <c r="BJ177" s="164">
        <f t="shared" si="268"/>
        <v>20</v>
      </c>
      <c r="BK177" s="164">
        <f t="shared" si="269"/>
        <v>80.5</v>
      </c>
      <c r="BL177" s="164">
        <f t="shared" si="270"/>
        <v>151</v>
      </c>
      <c r="BM177" s="164">
        <f t="shared" si="271"/>
        <v>65</v>
      </c>
      <c r="BN177" s="164">
        <f t="shared" si="272"/>
        <v>44</v>
      </c>
      <c r="BO177" s="164">
        <f t="shared" si="273"/>
        <v>0</v>
      </c>
      <c r="BP177" s="164">
        <f t="shared" si="274"/>
        <v>15</v>
      </c>
      <c r="BQ177" s="164">
        <f t="shared" si="275"/>
        <v>15</v>
      </c>
      <c r="BR177" s="164">
        <f t="shared" si="276"/>
        <v>0</v>
      </c>
      <c r="BS177" s="129">
        <f>SUMIF('Audit HD AR - School Level'!$A$6:A3691, "=" &amp; A177,'Audit HD AR - School Level'!$Q$6:Q3691)</f>
        <v>4.5999999999999996</v>
      </c>
      <c r="BT177" s="168">
        <f t="shared" si="277"/>
        <v>0</v>
      </c>
      <c r="BU177" s="168">
        <f t="shared" si="278"/>
        <v>0</v>
      </c>
      <c r="BW177" s="168">
        <f t="shared" si="279"/>
        <v>0</v>
      </c>
      <c r="BX177" s="164">
        <f t="shared" si="200"/>
        <v>149.5</v>
      </c>
    </row>
    <row r="178" spans="1:78">
      <c r="A178" s="129" t="s">
        <v>193</v>
      </c>
      <c r="U178" s="129">
        <v>359.5</v>
      </c>
      <c r="V178" s="129">
        <v>0</v>
      </c>
      <c r="X178" s="129">
        <v>374.5</v>
      </c>
      <c r="AC178" s="129">
        <v>114.8</v>
      </c>
      <c r="AD178" s="129">
        <v>24</v>
      </c>
      <c r="AE178" s="129">
        <v>38.4</v>
      </c>
      <c r="AF178" s="129">
        <v>361</v>
      </c>
      <c r="AG178" s="129">
        <v>118</v>
      </c>
      <c r="AI178" s="129">
        <v>133.5</v>
      </c>
      <c r="AJ178" s="129">
        <v>12</v>
      </c>
      <c r="AK178" s="129">
        <v>28</v>
      </c>
      <c r="AL178" s="129">
        <v>0</v>
      </c>
      <c r="AO178" s="129">
        <v>0</v>
      </c>
      <c r="AP178" s="129">
        <v>0</v>
      </c>
      <c r="AQ178" s="129">
        <v>0</v>
      </c>
      <c r="AR178" s="129">
        <v>0</v>
      </c>
      <c r="AS178" s="129">
        <v>0</v>
      </c>
      <c r="AT178" s="129">
        <v>0</v>
      </c>
      <c r="AU178" s="129">
        <v>0</v>
      </c>
      <c r="AV178" s="129">
        <v>1</v>
      </c>
      <c r="AW178" s="129">
        <v>248097</v>
      </c>
      <c r="AX178" s="167">
        <v>45413</v>
      </c>
      <c r="AY178" s="162">
        <f t="shared" si="234"/>
        <v>16</v>
      </c>
      <c r="AZ178" s="163" t="s">
        <v>882</v>
      </c>
      <c r="BA178" s="162" t="b">
        <f t="shared" si="233"/>
        <v>0</v>
      </c>
      <c r="BF178" s="164">
        <f t="shared" si="265"/>
        <v>359.5</v>
      </c>
      <c r="BG178" s="164">
        <f t="shared" si="266"/>
        <v>0</v>
      </c>
      <c r="BH178" s="164"/>
      <c r="BI178" s="164">
        <f t="shared" si="267"/>
        <v>114.8</v>
      </c>
      <c r="BJ178" s="164">
        <f t="shared" si="268"/>
        <v>24</v>
      </c>
      <c r="BK178" s="164">
        <f t="shared" si="269"/>
        <v>38.4</v>
      </c>
      <c r="BL178" s="164">
        <f t="shared" si="270"/>
        <v>361</v>
      </c>
      <c r="BM178" s="164">
        <f t="shared" si="271"/>
        <v>118</v>
      </c>
      <c r="BN178" s="164">
        <f t="shared" si="272"/>
        <v>133.5</v>
      </c>
      <c r="BO178" s="164">
        <f t="shared" si="273"/>
        <v>12</v>
      </c>
      <c r="BP178" s="164">
        <f t="shared" si="274"/>
        <v>28</v>
      </c>
      <c r="BQ178" s="164">
        <f t="shared" si="275"/>
        <v>28</v>
      </c>
      <c r="BR178" s="164">
        <f t="shared" si="276"/>
        <v>0</v>
      </c>
      <c r="BS178" s="129">
        <f>SUMIF('Audit HD AR - School Level'!$A$6:A3692, "=" &amp; A178,'Audit HD AR - School Level'!$Q$6:Q3692)</f>
        <v>1.1000000000000001</v>
      </c>
      <c r="BT178" s="168">
        <f t="shared" si="277"/>
        <v>0</v>
      </c>
      <c r="BU178" s="168">
        <f t="shared" si="278"/>
        <v>0</v>
      </c>
      <c r="BW178" s="168">
        <f t="shared" si="279"/>
        <v>0</v>
      </c>
      <c r="BX178" s="164">
        <f t="shared" si="200"/>
        <v>359.5</v>
      </c>
    </row>
    <row r="179" spans="1:78">
      <c r="A179" s="129" t="s">
        <v>197</v>
      </c>
      <c r="U179" s="129">
        <v>504.8</v>
      </c>
      <c r="V179" s="129">
        <v>4</v>
      </c>
      <c r="X179" s="129">
        <v>502.8</v>
      </c>
      <c r="AC179" s="129">
        <v>126.6</v>
      </c>
      <c r="AD179" s="129">
        <v>2</v>
      </c>
      <c r="AE179" s="129">
        <v>0</v>
      </c>
      <c r="AF179" s="129">
        <v>515</v>
      </c>
      <c r="AG179" s="129">
        <v>231</v>
      </c>
      <c r="AI179" s="129">
        <v>164</v>
      </c>
      <c r="AJ179" s="129">
        <v>23</v>
      </c>
      <c r="AK179" s="129">
        <v>29</v>
      </c>
      <c r="AL179" s="129">
        <v>0</v>
      </c>
      <c r="AO179" s="129">
        <v>0</v>
      </c>
      <c r="AP179" s="129">
        <v>0</v>
      </c>
      <c r="AQ179" s="129">
        <v>0</v>
      </c>
      <c r="AR179" s="129">
        <v>0</v>
      </c>
      <c r="AS179" s="129">
        <v>0</v>
      </c>
      <c r="AT179" s="129">
        <v>0</v>
      </c>
      <c r="AU179" s="129">
        <v>0</v>
      </c>
      <c r="AV179" s="129">
        <v>0</v>
      </c>
      <c r="AW179" s="129">
        <v>277872</v>
      </c>
      <c r="AX179" s="167">
        <v>45413</v>
      </c>
      <c r="AY179" s="162">
        <f t="shared" si="234"/>
        <v>16</v>
      </c>
      <c r="AZ179" s="163" t="s">
        <v>882</v>
      </c>
      <c r="BA179" s="162" t="b">
        <f t="shared" si="233"/>
        <v>0</v>
      </c>
      <c r="BF179" s="164">
        <f t="shared" si="265"/>
        <v>504.8</v>
      </c>
      <c r="BG179" s="164">
        <f t="shared" si="266"/>
        <v>4</v>
      </c>
      <c r="BH179" s="164"/>
      <c r="BI179" s="164">
        <f t="shared" si="267"/>
        <v>126.6</v>
      </c>
      <c r="BJ179" s="164">
        <f t="shared" si="268"/>
        <v>2</v>
      </c>
      <c r="BK179" s="164">
        <f t="shared" si="269"/>
        <v>0</v>
      </c>
      <c r="BL179" s="164">
        <f t="shared" si="270"/>
        <v>515</v>
      </c>
      <c r="BM179" s="164">
        <f t="shared" si="271"/>
        <v>231</v>
      </c>
      <c r="BN179" s="164">
        <f t="shared" si="272"/>
        <v>164</v>
      </c>
      <c r="BO179" s="164">
        <f t="shared" si="273"/>
        <v>23</v>
      </c>
      <c r="BP179" s="164">
        <f t="shared" si="274"/>
        <v>29</v>
      </c>
      <c r="BQ179" s="164">
        <f t="shared" si="275"/>
        <v>29</v>
      </c>
      <c r="BR179" s="164">
        <f t="shared" si="276"/>
        <v>0</v>
      </c>
      <c r="BS179" s="129">
        <f>SUMIF('Audit HD AR - School Level'!$A$6:A3693, "=" &amp; A179,'Audit HD AR - School Level'!$Q$6:Q3693)</f>
        <v>16.100000000000001</v>
      </c>
      <c r="BT179" s="168">
        <f t="shared" si="277"/>
        <v>0</v>
      </c>
      <c r="BU179" s="168">
        <f t="shared" si="278"/>
        <v>0</v>
      </c>
      <c r="BW179" s="168">
        <f t="shared" si="279"/>
        <v>0</v>
      </c>
      <c r="BX179" s="164">
        <f t="shared" ref="BX179:BX241" si="280">SUM(U179-AO179-AP179-AT179)</f>
        <v>504.8</v>
      </c>
    </row>
    <row r="180" spans="1:78">
      <c r="A180" s="129" t="s">
        <v>203</v>
      </c>
      <c r="U180" s="129">
        <v>662.8</v>
      </c>
      <c r="V180" s="129">
        <v>19</v>
      </c>
      <c r="X180" s="129">
        <v>711</v>
      </c>
      <c r="AC180" s="129">
        <v>215.3</v>
      </c>
      <c r="AD180" s="129">
        <v>11</v>
      </c>
      <c r="AE180" s="129">
        <v>9.5</v>
      </c>
      <c r="AF180" s="129">
        <v>756</v>
      </c>
      <c r="AG180" s="129">
        <v>172</v>
      </c>
      <c r="AI180" s="129">
        <v>203.5</v>
      </c>
      <c r="AJ180" s="129">
        <v>11</v>
      </c>
      <c r="AK180" s="129">
        <v>78</v>
      </c>
      <c r="AL180" s="129">
        <v>0</v>
      </c>
      <c r="AO180" s="129">
        <v>0</v>
      </c>
      <c r="AP180" s="129">
        <v>0</v>
      </c>
      <c r="AQ180" s="129">
        <v>0</v>
      </c>
      <c r="AR180" s="129">
        <v>0</v>
      </c>
      <c r="AS180" s="129">
        <v>0</v>
      </c>
      <c r="AT180" s="129">
        <v>0</v>
      </c>
      <c r="AU180" s="129">
        <v>0</v>
      </c>
      <c r="AV180" s="129">
        <v>0</v>
      </c>
      <c r="AW180" s="129">
        <v>257311</v>
      </c>
      <c r="AX180" s="167">
        <v>45413</v>
      </c>
      <c r="AY180" s="162">
        <f t="shared" si="234"/>
        <v>16</v>
      </c>
      <c r="AZ180" s="163" t="s">
        <v>882</v>
      </c>
      <c r="BA180" s="162" t="b">
        <f t="shared" si="233"/>
        <v>0</v>
      </c>
      <c r="BF180" s="164">
        <f t="shared" si="265"/>
        <v>662.8</v>
      </c>
      <c r="BG180" s="164">
        <f t="shared" si="266"/>
        <v>19</v>
      </c>
      <c r="BH180" s="164"/>
      <c r="BI180" s="164">
        <f t="shared" si="267"/>
        <v>215.3</v>
      </c>
      <c r="BJ180" s="164">
        <f t="shared" si="268"/>
        <v>11</v>
      </c>
      <c r="BK180" s="164">
        <f t="shared" si="269"/>
        <v>9.5</v>
      </c>
      <c r="BL180" s="164">
        <f t="shared" si="270"/>
        <v>756</v>
      </c>
      <c r="BM180" s="164">
        <f t="shared" si="271"/>
        <v>172</v>
      </c>
      <c r="BN180" s="164">
        <f t="shared" si="272"/>
        <v>203.5</v>
      </c>
      <c r="BO180" s="164">
        <f t="shared" si="273"/>
        <v>11</v>
      </c>
      <c r="BP180" s="164">
        <f t="shared" si="274"/>
        <v>78</v>
      </c>
      <c r="BQ180" s="164">
        <f t="shared" si="275"/>
        <v>78</v>
      </c>
      <c r="BR180" s="164">
        <f t="shared" si="276"/>
        <v>0</v>
      </c>
      <c r="BS180" s="129">
        <f>SUMIF('Audit HD AR - School Level'!$A$6:A3694, "=" &amp; A180,'Audit HD AR - School Level'!$Q$6:Q3694)</f>
        <v>0</v>
      </c>
      <c r="BT180" s="168">
        <f t="shared" si="277"/>
        <v>0</v>
      </c>
      <c r="BU180" s="168">
        <f t="shared" si="278"/>
        <v>0</v>
      </c>
      <c r="BW180" s="168">
        <f t="shared" si="279"/>
        <v>0</v>
      </c>
      <c r="BX180" s="164">
        <f t="shared" si="280"/>
        <v>662.8</v>
      </c>
      <c r="BZ180" s="129">
        <v>1</v>
      </c>
    </row>
    <row r="181" spans="1:78">
      <c r="A181" s="129" t="s">
        <v>223</v>
      </c>
      <c r="U181" s="129">
        <v>366.7</v>
      </c>
      <c r="V181" s="129">
        <v>16</v>
      </c>
      <c r="X181" s="129">
        <v>373.5</v>
      </c>
      <c r="AC181" s="129">
        <v>144</v>
      </c>
      <c r="AD181" s="129">
        <v>26</v>
      </c>
      <c r="AE181" s="129">
        <v>42.8</v>
      </c>
      <c r="AF181" s="129">
        <v>504</v>
      </c>
      <c r="AG181" s="129">
        <v>110</v>
      </c>
      <c r="AI181" s="129">
        <v>122.3</v>
      </c>
      <c r="AJ181" s="129">
        <v>16.3</v>
      </c>
      <c r="AK181" s="129">
        <v>19.2</v>
      </c>
      <c r="AL181" s="129">
        <v>0</v>
      </c>
      <c r="AO181" s="129">
        <v>0</v>
      </c>
      <c r="AP181" s="129">
        <v>0</v>
      </c>
      <c r="AQ181" s="129">
        <v>0</v>
      </c>
      <c r="AR181" s="129">
        <v>0</v>
      </c>
      <c r="AS181" s="129">
        <v>0</v>
      </c>
      <c r="AT181" s="129">
        <v>0</v>
      </c>
      <c r="AU181" s="129">
        <v>0</v>
      </c>
      <c r="AV181" s="129">
        <v>0</v>
      </c>
      <c r="AW181" s="129">
        <v>246552</v>
      </c>
      <c r="AX181" s="167">
        <v>45413</v>
      </c>
      <c r="AY181" s="162">
        <f t="shared" si="234"/>
        <v>16</v>
      </c>
      <c r="AZ181" s="163" t="s">
        <v>882</v>
      </c>
      <c r="BA181" s="162" t="b">
        <f t="shared" si="233"/>
        <v>0</v>
      </c>
      <c r="BF181" s="164">
        <f t="shared" si="265"/>
        <v>366.7</v>
      </c>
      <c r="BG181" s="164">
        <f t="shared" si="266"/>
        <v>16</v>
      </c>
      <c r="BH181" s="164"/>
      <c r="BI181" s="164">
        <f t="shared" si="267"/>
        <v>144</v>
      </c>
      <c r="BJ181" s="164">
        <f t="shared" si="268"/>
        <v>26</v>
      </c>
      <c r="BK181" s="164">
        <f t="shared" si="269"/>
        <v>42.8</v>
      </c>
      <c r="BL181" s="164">
        <f t="shared" si="270"/>
        <v>504</v>
      </c>
      <c r="BM181" s="164">
        <f t="shared" si="271"/>
        <v>110</v>
      </c>
      <c r="BN181" s="164">
        <f t="shared" si="272"/>
        <v>122.3</v>
      </c>
      <c r="BO181" s="164">
        <f t="shared" si="273"/>
        <v>16.3</v>
      </c>
      <c r="BP181" s="164">
        <f t="shared" si="274"/>
        <v>19.2</v>
      </c>
      <c r="BQ181" s="164">
        <f t="shared" si="275"/>
        <v>19.2</v>
      </c>
      <c r="BR181" s="164">
        <f t="shared" si="276"/>
        <v>0</v>
      </c>
      <c r="BS181" s="129">
        <f>SUMIF('Audit HD AR - School Level'!$A$6:A3695, "=" &amp; A181,'Audit HD AR - School Level'!$Q$6:Q3695)</f>
        <v>0</v>
      </c>
      <c r="BT181" s="168">
        <f t="shared" si="277"/>
        <v>0</v>
      </c>
      <c r="BU181" s="168">
        <f t="shared" si="278"/>
        <v>0</v>
      </c>
      <c r="BW181" s="168">
        <f t="shared" si="279"/>
        <v>0</v>
      </c>
      <c r="BX181" s="164">
        <f t="shared" si="280"/>
        <v>366.7</v>
      </c>
    </row>
    <row r="182" spans="1:78">
      <c r="A182" s="129" t="s">
        <v>235</v>
      </c>
      <c r="U182" s="129">
        <v>425.5</v>
      </c>
      <c r="V182" s="129">
        <v>11</v>
      </c>
      <c r="X182" s="129">
        <v>444</v>
      </c>
      <c r="AC182" s="129">
        <v>172</v>
      </c>
      <c r="AD182" s="129">
        <v>4</v>
      </c>
      <c r="AE182" s="129">
        <v>8</v>
      </c>
      <c r="AF182" s="129">
        <v>450</v>
      </c>
      <c r="AG182" s="129">
        <v>176</v>
      </c>
      <c r="AI182" s="129">
        <v>131</v>
      </c>
      <c r="AJ182" s="129">
        <v>17</v>
      </c>
      <c r="AK182" s="129">
        <v>3</v>
      </c>
      <c r="AL182" s="129">
        <v>0</v>
      </c>
      <c r="AO182" s="129">
        <v>0</v>
      </c>
      <c r="AP182" s="129">
        <v>0</v>
      </c>
      <c r="AQ182" s="129">
        <v>0</v>
      </c>
      <c r="AR182" s="129">
        <v>0</v>
      </c>
      <c r="AS182" s="129">
        <v>0</v>
      </c>
      <c r="AT182" s="129">
        <v>0</v>
      </c>
      <c r="AU182" s="129">
        <v>0</v>
      </c>
      <c r="AV182" s="129">
        <v>0</v>
      </c>
      <c r="AW182" s="129">
        <v>195071</v>
      </c>
      <c r="AX182" s="167">
        <v>45413</v>
      </c>
      <c r="AY182" s="162">
        <f t="shared" si="234"/>
        <v>16</v>
      </c>
      <c r="AZ182" s="163" t="s">
        <v>882</v>
      </c>
      <c r="BA182" s="162" t="b">
        <f t="shared" si="233"/>
        <v>0</v>
      </c>
      <c r="BF182" s="164">
        <f t="shared" si="265"/>
        <v>425.5</v>
      </c>
      <c r="BG182" s="164">
        <f t="shared" si="266"/>
        <v>11</v>
      </c>
      <c r="BH182" s="164"/>
      <c r="BI182" s="164">
        <f t="shared" si="267"/>
        <v>172</v>
      </c>
      <c r="BJ182" s="164">
        <f t="shared" si="268"/>
        <v>4</v>
      </c>
      <c r="BK182" s="164">
        <f t="shared" si="269"/>
        <v>8</v>
      </c>
      <c r="BL182" s="164">
        <f t="shared" si="270"/>
        <v>450</v>
      </c>
      <c r="BM182" s="164">
        <f t="shared" si="271"/>
        <v>176</v>
      </c>
      <c r="BN182" s="164">
        <f t="shared" si="272"/>
        <v>131</v>
      </c>
      <c r="BO182" s="164">
        <f t="shared" si="273"/>
        <v>17</v>
      </c>
      <c r="BP182" s="164">
        <f t="shared" si="274"/>
        <v>3</v>
      </c>
      <c r="BQ182" s="164">
        <f t="shared" si="275"/>
        <v>3</v>
      </c>
      <c r="BR182" s="164">
        <f t="shared" si="276"/>
        <v>0</v>
      </c>
      <c r="BS182" s="129">
        <f>SUMIF('Audit HD AR - School Level'!$A$6:A3696, "=" &amp; A182,'Audit HD AR - School Level'!$Q$6:Q3696)</f>
        <v>5.0999999999999996</v>
      </c>
      <c r="BT182" s="168">
        <f t="shared" si="277"/>
        <v>0</v>
      </c>
      <c r="BU182" s="168">
        <f t="shared" si="278"/>
        <v>0</v>
      </c>
      <c r="BW182" s="168">
        <f t="shared" si="279"/>
        <v>0</v>
      </c>
      <c r="BX182" s="164">
        <f t="shared" si="280"/>
        <v>425.5</v>
      </c>
    </row>
    <row r="183" spans="1:78">
      <c r="A183" s="129" t="s">
        <v>244</v>
      </c>
      <c r="U183" s="129">
        <v>436</v>
      </c>
      <c r="V183" s="129">
        <v>7</v>
      </c>
      <c r="X183" s="129">
        <v>443.5</v>
      </c>
      <c r="AC183" s="129">
        <v>265.39999999999998</v>
      </c>
      <c r="AD183" s="129">
        <v>0</v>
      </c>
      <c r="AE183" s="129">
        <v>0</v>
      </c>
      <c r="AF183" s="129">
        <v>453</v>
      </c>
      <c r="AG183" s="129">
        <v>301</v>
      </c>
      <c r="AI183" s="129">
        <v>228</v>
      </c>
      <c r="AJ183" s="129">
        <v>105</v>
      </c>
      <c r="AK183" s="129">
        <v>113</v>
      </c>
      <c r="AL183" s="129">
        <v>0</v>
      </c>
      <c r="AO183" s="129">
        <v>0</v>
      </c>
      <c r="AP183" s="129">
        <v>0</v>
      </c>
      <c r="AQ183" s="129">
        <v>0</v>
      </c>
      <c r="AR183" s="129">
        <v>1</v>
      </c>
      <c r="AS183" s="129">
        <v>0</v>
      </c>
      <c r="AT183" s="129">
        <v>0</v>
      </c>
      <c r="AU183" s="129">
        <v>0</v>
      </c>
      <c r="AV183" s="129">
        <v>0</v>
      </c>
      <c r="AW183" s="129">
        <v>266652</v>
      </c>
      <c r="AX183" s="167">
        <v>45413</v>
      </c>
      <c r="AY183" s="162">
        <f t="shared" si="234"/>
        <v>16</v>
      </c>
      <c r="AZ183" s="163" t="s">
        <v>882</v>
      </c>
      <c r="BA183" s="162" t="b">
        <f t="shared" si="233"/>
        <v>0</v>
      </c>
      <c r="BF183" s="164">
        <f t="shared" si="265"/>
        <v>435</v>
      </c>
      <c r="BG183" s="164">
        <f t="shared" si="266"/>
        <v>7</v>
      </c>
      <c r="BH183" s="164"/>
      <c r="BI183" s="164">
        <f t="shared" si="267"/>
        <v>265.39999999999998</v>
      </c>
      <c r="BJ183" s="164">
        <f t="shared" si="268"/>
        <v>0</v>
      </c>
      <c r="BK183" s="164">
        <f t="shared" si="269"/>
        <v>0</v>
      </c>
      <c r="BL183" s="164">
        <f t="shared" si="270"/>
        <v>453</v>
      </c>
      <c r="BM183" s="164">
        <f t="shared" si="271"/>
        <v>301</v>
      </c>
      <c r="BN183" s="164">
        <f t="shared" si="272"/>
        <v>228</v>
      </c>
      <c r="BO183" s="164">
        <f t="shared" si="273"/>
        <v>105</v>
      </c>
      <c r="BP183" s="164">
        <f t="shared" si="274"/>
        <v>113</v>
      </c>
      <c r="BQ183" s="164">
        <f t="shared" si="275"/>
        <v>113</v>
      </c>
      <c r="BR183" s="164">
        <f t="shared" si="276"/>
        <v>0</v>
      </c>
      <c r="BS183" s="129">
        <f>SUMIF('Audit HD AR - School Level'!$A$6:A3697, "=" &amp; A183,'Audit HD AR - School Level'!$Q$6:Q3697)</f>
        <v>31.6</v>
      </c>
      <c r="BT183" s="168">
        <f t="shared" si="277"/>
        <v>0</v>
      </c>
      <c r="BU183" s="168">
        <f t="shared" si="278"/>
        <v>-709</v>
      </c>
      <c r="BW183" s="168">
        <f t="shared" si="279"/>
        <v>-709</v>
      </c>
      <c r="BX183" s="164">
        <f t="shared" si="280"/>
        <v>436</v>
      </c>
    </row>
    <row r="184" spans="1:78">
      <c r="A184" s="129" t="s">
        <v>247</v>
      </c>
      <c r="U184" s="129">
        <v>3209</v>
      </c>
      <c r="V184" s="129">
        <v>58</v>
      </c>
      <c r="X184" s="129">
        <v>3211.4</v>
      </c>
      <c r="AC184" s="129">
        <v>597.29999999999995</v>
      </c>
      <c r="AD184" s="129">
        <v>378</v>
      </c>
      <c r="AE184" s="129">
        <v>1381</v>
      </c>
      <c r="AF184" s="129">
        <v>3332</v>
      </c>
      <c r="AG184" s="129">
        <v>2064</v>
      </c>
      <c r="AI184" s="129">
        <v>497</v>
      </c>
      <c r="AJ184" s="129">
        <v>863.5</v>
      </c>
      <c r="AK184" s="129">
        <v>16</v>
      </c>
      <c r="AL184" s="129">
        <v>0</v>
      </c>
      <c r="AO184" s="129">
        <v>16</v>
      </c>
      <c r="AP184" s="129">
        <v>8.8000000000000007</v>
      </c>
      <c r="AQ184" s="129">
        <v>19.5</v>
      </c>
      <c r="AR184" s="129">
        <v>0</v>
      </c>
      <c r="AS184" s="129">
        <v>22</v>
      </c>
      <c r="AT184" s="129">
        <v>20</v>
      </c>
      <c r="AU184" s="129">
        <v>0</v>
      </c>
      <c r="AV184" s="129">
        <v>0</v>
      </c>
      <c r="AW184" s="129">
        <v>712521</v>
      </c>
      <c r="AX184" s="167">
        <v>45413</v>
      </c>
      <c r="AY184" s="162">
        <f t="shared" si="234"/>
        <v>16</v>
      </c>
      <c r="AZ184" s="163" t="s">
        <v>882</v>
      </c>
      <c r="BA184" s="162" t="b">
        <f t="shared" si="233"/>
        <v>0</v>
      </c>
      <c r="BF184" s="164">
        <f t="shared" si="265"/>
        <v>3184.2</v>
      </c>
      <c r="BG184" s="164">
        <f t="shared" si="266"/>
        <v>58</v>
      </c>
      <c r="BH184" s="164"/>
      <c r="BI184" s="164">
        <f t="shared" si="267"/>
        <v>597.29999999999995</v>
      </c>
      <c r="BJ184" s="164">
        <f t="shared" si="268"/>
        <v>378</v>
      </c>
      <c r="BK184" s="164">
        <f t="shared" si="269"/>
        <v>1381</v>
      </c>
      <c r="BL184" s="164">
        <f t="shared" si="270"/>
        <v>3332</v>
      </c>
      <c r="BM184" s="164">
        <f t="shared" si="271"/>
        <v>2064</v>
      </c>
      <c r="BN184" s="164">
        <f t="shared" si="272"/>
        <v>497</v>
      </c>
      <c r="BO184" s="164">
        <f t="shared" si="273"/>
        <v>863.5</v>
      </c>
      <c r="BP184" s="164">
        <f t="shared" si="274"/>
        <v>16</v>
      </c>
      <c r="BQ184" s="164">
        <f t="shared" si="275"/>
        <v>16</v>
      </c>
      <c r="BR184" s="164">
        <f t="shared" si="276"/>
        <v>0</v>
      </c>
      <c r="BS184" s="129">
        <f>SUMIF('Audit HD AR - School Level'!$A$6:A3698, "=" &amp; A184,'Audit HD AR - School Level'!$Q$6:Q3698)</f>
        <v>216.7</v>
      </c>
      <c r="BT184" s="168">
        <f t="shared" si="277"/>
        <v>1773</v>
      </c>
      <c r="BU184" s="168">
        <f t="shared" si="278"/>
        <v>0</v>
      </c>
      <c r="BW184" s="168">
        <f t="shared" si="279"/>
        <v>0</v>
      </c>
      <c r="BX184" s="164">
        <f t="shared" si="280"/>
        <v>3164.2</v>
      </c>
    </row>
    <row r="185" spans="1:78">
      <c r="A185" s="129" t="s">
        <v>249</v>
      </c>
      <c r="U185" s="129">
        <v>512.1</v>
      </c>
      <c r="V185" s="129">
        <v>11.5</v>
      </c>
      <c r="X185" s="129">
        <v>509.4</v>
      </c>
      <c r="AC185" s="129">
        <v>150.5</v>
      </c>
      <c r="AD185" s="129">
        <v>0</v>
      </c>
      <c r="AE185" s="129">
        <v>0</v>
      </c>
      <c r="AF185" s="129">
        <v>540</v>
      </c>
      <c r="AG185" s="129">
        <v>167</v>
      </c>
      <c r="AI185" s="129">
        <v>175</v>
      </c>
      <c r="AJ185" s="129">
        <v>140</v>
      </c>
      <c r="AK185" s="129">
        <v>120</v>
      </c>
      <c r="AL185" s="129">
        <v>0</v>
      </c>
      <c r="AO185" s="129">
        <v>0</v>
      </c>
      <c r="AP185" s="129">
        <v>0</v>
      </c>
      <c r="AQ185" s="129">
        <v>0</v>
      </c>
      <c r="AR185" s="129">
        <v>0</v>
      </c>
      <c r="AS185" s="129">
        <v>0</v>
      </c>
      <c r="AT185" s="129">
        <v>0</v>
      </c>
      <c r="AU185" s="129">
        <v>0</v>
      </c>
      <c r="AV185" s="129">
        <v>0</v>
      </c>
      <c r="AW185" s="129">
        <v>254675</v>
      </c>
      <c r="AX185" s="167">
        <v>45413</v>
      </c>
      <c r="AY185" s="162">
        <f t="shared" si="234"/>
        <v>16</v>
      </c>
      <c r="AZ185" s="163" t="s">
        <v>882</v>
      </c>
      <c r="BA185" s="162" t="b">
        <f t="shared" si="233"/>
        <v>0</v>
      </c>
      <c r="BF185" s="164">
        <f t="shared" si="265"/>
        <v>512.1</v>
      </c>
      <c r="BG185" s="164">
        <f t="shared" si="266"/>
        <v>11.5</v>
      </c>
      <c r="BH185" s="164"/>
      <c r="BI185" s="164">
        <f t="shared" si="267"/>
        <v>150.5</v>
      </c>
      <c r="BJ185" s="164">
        <f t="shared" si="268"/>
        <v>0</v>
      </c>
      <c r="BK185" s="164">
        <f t="shared" si="269"/>
        <v>0</v>
      </c>
      <c r="BL185" s="164">
        <f t="shared" si="270"/>
        <v>540</v>
      </c>
      <c r="BM185" s="164">
        <f t="shared" si="271"/>
        <v>167</v>
      </c>
      <c r="BN185" s="164">
        <f t="shared" si="272"/>
        <v>175</v>
      </c>
      <c r="BO185" s="164">
        <f t="shared" si="273"/>
        <v>140</v>
      </c>
      <c r="BP185" s="164">
        <f t="shared" si="274"/>
        <v>120</v>
      </c>
      <c r="BQ185" s="164">
        <f t="shared" si="275"/>
        <v>120</v>
      </c>
      <c r="BR185" s="164">
        <f t="shared" si="276"/>
        <v>0</v>
      </c>
      <c r="BS185" s="129">
        <f>SUMIF('Audit HD AR - School Level'!$A$6:A3699, "=" &amp; A185,'Audit HD AR - School Level'!$Q$6:Q3699)</f>
        <v>7.9</v>
      </c>
      <c r="BT185" s="168">
        <f t="shared" si="277"/>
        <v>0</v>
      </c>
      <c r="BU185" s="168">
        <f t="shared" si="278"/>
        <v>0</v>
      </c>
      <c r="BW185" s="168">
        <f t="shared" si="279"/>
        <v>0</v>
      </c>
      <c r="BX185" s="164">
        <f t="shared" si="280"/>
        <v>512.1</v>
      </c>
    </row>
    <row r="186" spans="1:78">
      <c r="A186" s="129" t="s">
        <v>272</v>
      </c>
      <c r="U186" s="129">
        <v>72</v>
      </c>
      <c r="V186" s="129">
        <v>0</v>
      </c>
      <c r="X186" s="129">
        <v>73.3</v>
      </c>
      <c r="AC186" s="129">
        <v>4.7</v>
      </c>
      <c r="AD186" s="129">
        <v>0</v>
      </c>
      <c r="AE186" s="129">
        <v>0</v>
      </c>
      <c r="AF186" s="129">
        <v>73</v>
      </c>
      <c r="AG186" s="129">
        <v>32</v>
      </c>
      <c r="AI186" s="129">
        <v>29</v>
      </c>
      <c r="AJ186" s="129">
        <v>0</v>
      </c>
      <c r="AK186" s="129">
        <v>1</v>
      </c>
      <c r="AL186" s="129">
        <v>0</v>
      </c>
      <c r="AO186" s="129">
        <v>0</v>
      </c>
      <c r="AP186" s="129">
        <v>0</v>
      </c>
      <c r="AQ186" s="129">
        <v>0</v>
      </c>
      <c r="AR186" s="129">
        <v>0</v>
      </c>
      <c r="AS186" s="129">
        <v>0</v>
      </c>
      <c r="AT186" s="129">
        <v>0</v>
      </c>
      <c r="AU186" s="129">
        <v>0</v>
      </c>
      <c r="AV186" s="129">
        <v>0</v>
      </c>
      <c r="AW186" s="129">
        <v>86825</v>
      </c>
      <c r="AX186" s="167">
        <v>45413</v>
      </c>
      <c r="AY186" s="162">
        <f t="shared" si="234"/>
        <v>16</v>
      </c>
      <c r="AZ186" s="163" t="s">
        <v>882</v>
      </c>
      <c r="BA186" s="162" t="b">
        <f t="shared" si="233"/>
        <v>0</v>
      </c>
      <c r="BF186" s="164">
        <f t="shared" si="265"/>
        <v>72</v>
      </c>
      <c r="BG186" s="164">
        <f t="shared" si="266"/>
        <v>0</v>
      </c>
      <c r="BH186" s="164"/>
      <c r="BI186" s="164">
        <f t="shared" si="267"/>
        <v>4.7</v>
      </c>
      <c r="BJ186" s="164">
        <f t="shared" si="268"/>
        <v>0</v>
      </c>
      <c r="BK186" s="164">
        <f t="shared" si="269"/>
        <v>0</v>
      </c>
      <c r="BL186" s="164">
        <f t="shared" si="270"/>
        <v>73</v>
      </c>
      <c r="BM186" s="164">
        <f t="shared" si="271"/>
        <v>32</v>
      </c>
      <c r="BN186" s="164">
        <f t="shared" si="272"/>
        <v>29</v>
      </c>
      <c r="BO186" s="164">
        <f t="shared" si="273"/>
        <v>0</v>
      </c>
      <c r="BP186" s="164">
        <f t="shared" si="274"/>
        <v>1</v>
      </c>
      <c r="BQ186" s="164">
        <f t="shared" si="275"/>
        <v>1</v>
      </c>
      <c r="BR186" s="164">
        <f t="shared" si="276"/>
        <v>0</v>
      </c>
      <c r="BS186" s="129">
        <f>SUMIF('Audit HD AR - School Level'!$A$6:A3700, "=" &amp; A186,'Audit HD AR - School Level'!$Q$6:Q3700)</f>
        <v>2.1</v>
      </c>
      <c r="BT186" s="168">
        <f t="shared" si="277"/>
        <v>0</v>
      </c>
      <c r="BU186" s="168">
        <f t="shared" si="278"/>
        <v>0</v>
      </c>
      <c r="BW186" s="168">
        <f t="shared" si="279"/>
        <v>0</v>
      </c>
      <c r="BX186" s="164">
        <f t="shared" si="280"/>
        <v>72</v>
      </c>
    </row>
    <row r="187" spans="1:78">
      <c r="A187" s="129" t="s">
        <v>287</v>
      </c>
      <c r="U187" s="129">
        <v>298.5</v>
      </c>
      <c r="V187" s="129">
        <v>0</v>
      </c>
      <c r="X187" s="129">
        <v>299</v>
      </c>
      <c r="AC187" s="129">
        <v>61.6</v>
      </c>
      <c r="AD187" s="129">
        <v>17</v>
      </c>
      <c r="AE187" s="129">
        <v>15.5</v>
      </c>
      <c r="AF187" s="129">
        <v>300</v>
      </c>
      <c r="AG187" s="129">
        <v>95</v>
      </c>
      <c r="AI187" s="129">
        <v>76</v>
      </c>
      <c r="AJ187" s="129">
        <v>10</v>
      </c>
      <c r="AK187" s="129">
        <v>12</v>
      </c>
      <c r="AL187" s="129">
        <v>0</v>
      </c>
      <c r="AO187" s="129">
        <v>0</v>
      </c>
      <c r="AP187" s="129">
        <v>0</v>
      </c>
      <c r="AQ187" s="129">
        <v>0</v>
      </c>
      <c r="AR187" s="129">
        <v>0</v>
      </c>
      <c r="AS187" s="129">
        <v>0</v>
      </c>
      <c r="AT187" s="129">
        <v>0</v>
      </c>
      <c r="AU187" s="129">
        <v>0</v>
      </c>
      <c r="AV187" s="129">
        <v>0</v>
      </c>
      <c r="AW187" s="129">
        <v>146475</v>
      </c>
      <c r="AX187" s="167">
        <v>45413</v>
      </c>
      <c r="AY187" s="162">
        <f t="shared" si="234"/>
        <v>16</v>
      </c>
      <c r="AZ187" s="163" t="s">
        <v>882</v>
      </c>
      <c r="BA187" s="162" t="b">
        <f t="shared" si="233"/>
        <v>0</v>
      </c>
      <c r="BF187" s="164">
        <f t="shared" si="265"/>
        <v>298.5</v>
      </c>
      <c r="BG187" s="164">
        <f t="shared" si="266"/>
        <v>0</v>
      </c>
      <c r="BH187" s="164"/>
      <c r="BI187" s="164">
        <f t="shared" si="267"/>
        <v>61.6</v>
      </c>
      <c r="BJ187" s="164">
        <f t="shared" si="268"/>
        <v>17</v>
      </c>
      <c r="BK187" s="164">
        <f t="shared" si="269"/>
        <v>15.5</v>
      </c>
      <c r="BL187" s="164">
        <f t="shared" si="270"/>
        <v>300</v>
      </c>
      <c r="BM187" s="164">
        <f t="shared" si="271"/>
        <v>95</v>
      </c>
      <c r="BN187" s="164">
        <f t="shared" si="272"/>
        <v>76</v>
      </c>
      <c r="BO187" s="164">
        <f t="shared" si="273"/>
        <v>10</v>
      </c>
      <c r="BP187" s="164">
        <f t="shared" si="274"/>
        <v>12</v>
      </c>
      <c r="BQ187" s="164">
        <f t="shared" si="275"/>
        <v>12</v>
      </c>
      <c r="BR187" s="164">
        <f t="shared" si="276"/>
        <v>0</v>
      </c>
      <c r="BS187" s="129">
        <f>SUMIF('Audit HD AR - School Level'!$A$6:A3701, "=" &amp; A187,'Audit HD AR - School Level'!$Q$6:Q3701)</f>
        <v>0</v>
      </c>
      <c r="BT187" s="168">
        <f t="shared" si="277"/>
        <v>0</v>
      </c>
      <c r="BU187" s="168">
        <f t="shared" si="278"/>
        <v>0</v>
      </c>
      <c r="BW187" s="168">
        <f t="shared" si="279"/>
        <v>0</v>
      </c>
      <c r="BX187" s="164">
        <f t="shared" si="280"/>
        <v>298.5</v>
      </c>
    </row>
    <row r="188" spans="1:78">
      <c r="A188" s="129" t="s">
        <v>299</v>
      </c>
      <c r="U188" s="129">
        <v>756.5</v>
      </c>
      <c r="V188" s="129">
        <v>17.5</v>
      </c>
      <c r="X188" s="129">
        <v>746.5</v>
      </c>
      <c r="AC188" s="129">
        <v>397.8</v>
      </c>
      <c r="AD188" s="129">
        <v>13</v>
      </c>
      <c r="AE188" s="129">
        <v>42.5</v>
      </c>
      <c r="AF188" s="129">
        <v>763</v>
      </c>
      <c r="AG188" s="129">
        <v>289</v>
      </c>
      <c r="AI188" s="129">
        <v>379</v>
      </c>
      <c r="AJ188" s="129">
        <v>229</v>
      </c>
      <c r="AK188" s="129">
        <v>13</v>
      </c>
      <c r="AL188" s="129">
        <v>0</v>
      </c>
      <c r="AO188" s="129">
        <v>24</v>
      </c>
      <c r="AP188" s="129">
        <v>0</v>
      </c>
      <c r="AQ188" s="129">
        <v>24</v>
      </c>
      <c r="AR188" s="129">
        <v>0</v>
      </c>
      <c r="AS188" s="129">
        <v>24</v>
      </c>
      <c r="AT188" s="129">
        <v>8</v>
      </c>
      <c r="AU188" s="129">
        <v>0</v>
      </c>
      <c r="AV188" s="129">
        <v>0</v>
      </c>
      <c r="AW188" s="129">
        <v>320337</v>
      </c>
      <c r="AX188" s="167">
        <v>45413</v>
      </c>
      <c r="AY188" s="162">
        <f t="shared" si="234"/>
        <v>16</v>
      </c>
      <c r="AZ188" s="163" t="s">
        <v>882</v>
      </c>
      <c r="BA188" s="162" t="b">
        <f t="shared" si="233"/>
        <v>0</v>
      </c>
      <c r="BF188" s="164">
        <f t="shared" si="265"/>
        <v>732.5</v>
      </c>
      <c r="BG188" s="164">
        <f t="shared" si="266"/>
        <v>17.5</v>
      </c>
      <c r="BH188" s="164"/>
      <c r="BI188" s="164">
        <f t="shared" si="267"/>
        <v>397.8</v>
      </c>
      <c r="BJ188" s="164">
        <f t="shared" si="268"/>
        <v>13</v>
      </c>
      <c r="BK188" s="164">
        <f t="shared" si="269"/>
        <v>42.5</v>
      </c>
      <c r="BL188" s="164">
        <f t="shared" si="270"/>
        <v>763</v>
      </c>
      <c r="BM188" s="164">
        <f t="shared" si="271"/>
        <v>289</v>
      </c>
      <c r="BN188" s="164">
        <f t="shared" si="272"/>
        <v>379</v>
      </c>
      <c r="BO188" s="164">
        <f t="shared" si="273"/>
        <v>229</v>
      </c>
      <c r="BP188" s="164">
        <f t="shared" si="274"/>
        <v>13</v>
      </c>
      <c r="BQ188" s="164">
        <f t="shared" si="275"/>
        <v>13</v>
      </c>
      <c r="BR188" s="164">
        <f t="shared" si="276"/>
        <v>0</v>
      </c>
      <c r="BS188" s="129">
        <f>SUMIF('Audit HD AR - School Level'!$A$6:A3702, "=" &amp; A188,'Audit HD AR - School Level'!$Q$6:Q3702)</f>
        <v>9.9</v>
      </c>
      <c r="BT188" s="168">
        <f t="shared" si="277"/>
        <v>0</v>
      </c>
      <c r="BU188" s="168">
        <f t="shared" si="278"/>
        <v>0</v>
      </c>
      <c r="BW188" s="168">
        <f t="shared" si="279"/>
        <v>0</v>
      </c>
      <c r="BX188" s="164">
        <f t="shared" si="280"/>
        <v>724.5</v>
      </c>
      <c r="BZ188" s="129">
        <v>1</v>
      </c>
    </row>
    <row r="189" spans="1:78">
      <c r="A189" s="129" t="s">
        <v>314</v>
      </c>
      <c r="U189" s="129">
        <v>206.1</v>
      </c>
      <c r="V189" s="129">
        <v>7</v>
      </c>
      <c r="X189" s="129">
        <v>216</v>
      </c>
      <c r="AC189" s="129">
        <v>52.9</v>
      </c>
      <c r="AD189" s="129">
        <v>0</v>
      </c>
      <c r="AE189" s="129">
        <v>0</v>
      </c>
      <c r="AF189" s="129">
        <v>222</v>
      </c>
      <c r="AG189" s="129">
        <v>55</v>
      </c>
      <c r="AI189" s="129">
        <v>92</v>
      </c>
      <c r="AJ189" s="129">
        <v>0</v>
      </c>
      <c r="AK189" s="129">
        <v>0</v>
      </c>
      <c r="AL189" s="129">
        <v>0</v>
      </c>
      <c r="AO189" s="129">
        <v>0</v>
      </c>
      <c r="AP189" s="129">
        <v>0</v>
      </c>
      <c r="AQ189" s="129">
        <v>0</v>
      </c>
      <c r="AR189" s="129">
        <v>0</v>
      </c>
      <c r="AS189" s="129">
        <v>0</v>
      </c>
      <c r="AT189" s="129">
        <v>0</v>
      </c>
      <c r="AU189" s="129">
        <v>0</v>
      </c>
      <c r="AV189" s="129">
        <v>0</v>
      </c>
      <c r="AW189" s="129">
        <v>276555</v>
      </c>
      <c r="AX189" s="167">
        <v>45413</v>
      </c>
      <c r="AY189" s="162">
        <f t="shared" si="234"/>
        <v>16</v>
      </c>
      <c r="AZ189" s="163" t="s">
        <v>882</v>
      </c>
      <c r="BA189" s="162" t="b">
        <f t="shared" si="233"/>
        <v>0</v>
      </c>
      <c r="BF189" s="164">
        <f t="shared" si="265"/>
        <v>206.1</v>
      </c>
      <c r="BG189" s="164">
        <f t="shared" si="266"/>
        <v>7</v>
      </c>
      <c r="BH189" s="164"/>
      <c r="BI189" s="164">
        <f t="shared" si="267"/>
        <v>52.9</v>
      </c>
      <c r="BJ189" s="164">
        <f t="shared" si="268"/>
        <v>0</v>
      </c>
      <c r="BK189" s="164">
        <f t="shared" si="269"/>
        <v>0</v>
      </c>
      <c r="BL189" s="164">
        <f t="shared" si="270"/>
        <v>222</v>
      </c>
      <c r="BM189" s="164">
        <f t="shared" si="271"/>
        <v>55</v>
      </c>
      <c r="BN189" s="164">
        <f t="shared" si="272"/>
        <v>92</v>
      </c>
      <c r="BO189" s="164">
        <f t="shared" si="273"/>
        <v>0</v>
      </c>
      <c r="BP189" s="164">
        <f t="shared" si="274"/>
        <v>0</v>
      </c>
      <c r="BQ189" s="164">
        <f t="shared" si="275"/>
        <v>0</v>
      </c>
      <c r="BR189" s="164">
        <f t="shared" si="276"/>
        <v>0</v>
      </c>
      <c r="BS189" s="129">
        <f>SUMIF('Audit HD AR - School Level'!$A$6:A3703, "=" &amp; A189,'Audit HD AR - School Level'!$Q$6:Q3703)</f>
        <v>0</v>
      </c>
      <c r="BT189" s="168">
        <f t="shared" si="277"/>
        <v>0</v>
      </c>
      <c r="BU189" s="168">
        <f t="shared" si="278"/>
        <v>0</v>
      </c>
      <c r="BW189" s="168">
        <f t="shared" si="279"/>
        <v>0</v>
      </c>
      <c r="BX189" s="164">
        <f t="shared" si="280"/>
        <v>206.1</v>
      </c>
    </row>
    <row r="190" spans="1:78">
      <c r="A190" s="129" t="s">
        <v>360</v>
      </c>
      <c r="U190" s="129">
        <v>584.1</v>
      </c>
      <c r="V190" s="129">
        <v>19.5</v>
      </c>
      <c r="X190" s="129">
        <v>601.4</v>
      </c>
      <c r="AC190" s="129">
        <v>190.6</v>
      </c>
      <c r="AD190" s="129">
        <v>2</v>
      </c>
      <c r="AE190" s="129">
        <v>0</v>
      </c>
      <c r="AF190" s="129">
        <v>632</v>
      </c>
      <c r="AG190" s="129">
        <v>138</v>
      </c>
      <c r="AI190" s="129">
        <v>312</v>
      </c>
      <c r="AJ190" s="129">
        <v>46</v>
      </c>
      <c r="AK190" s="129">
        <v>72</v>
      </c>
      <c r="AL190" s="129">
        <v>0</v>
      </c>
      <c r="AO190" s="129">
        <v>0</v>
      </c>
      <c r="AP190" s="129">
        <v>0</v>
      </c>
      <c r="AQ190" s="129">
        <v>0</v>
      </c>
      <c r="AR190" s="129">
        <v>0</v>
      </c>
      <c r="AS190" s="129">
        <v>0</v>
      </c>
      <c r="AT190" s="129">
        <v>0</v>
      </c>
      <c r="AU190" s="129">
        <v>0</v>
      </c>
      <c r="AV190" s="129">
        <v>0</v>
      </c>
      <c r="AW190" s="129">
        <v>441698</v>
      </c>
      <c r="AX190" s="167">
        <v>45413</v>
      </c>
      <c r="AY190" s="162">
        <f t="shared" si="234"/>
        <v>16</v>
      </c>
      <c r="AZ190" s="163" t="s">
        <v>882</v>
      </c>
      <c r="BA190" s="162" t="b">
        <f t="shared" si="233"/>
        <v>0</v>
      </c>
      <c r="BF190" s="164">
        <f t="shared" si="265"/>
        <v>584.1</v>
      </c>
      <c r="BG190" s="164">
        <f t="shared" si="266"/>
        <v>19.5</v>
      </c>
      <c r="BH190" s="164"/>
      <c r="BI190" s="164">
        <f t="shared" si="267"/>
        <v>190.6</v>
      </c>
      <c r="BJ190" s="164">
        <f t="shared" si="268"/>
        <v>2</v>
      </c>
      <c r="BK190" s="164">
        <f t="shared" si="269"/>
        <v>0</v>
      </c>
      <c r="BL190" s="164">
        <f t="shared" si="270"/>
        <v>632</v>
      </c>
      <c r="BM190" s="164">
        <f t="shared" si="271"/>
        <v>138</v>
      </c>
      <c r="BN190" s="164">
        <f t="shared" si="272"/>
        <v>312</v>
      </c>
      <c r="BO190" s="164">
        <f t="shared" si="273"/>
        <v>46</v>
      </c>
      <c r="BP190" s="164">
        <f t="shared" si="274"/>
        <v>72</v>
      </c>
      <c r="BQ190" s="164">
        <f t="shared" si="275"/>
        <v>72</v>
      </c>
      <c r="BR190" s="164">
        <f t="shared" si="276"/>
        <v>0</v>
      </c>
      <c r="BS190" s="129">
        <f>SUMIF('Audit HD AR - School Level'!$A$6:A3704, "=" &amp; A190,'Audit HD AR - School Level'!$Q$6:Q3704)</f>
        <v>0</v>
      </c>
      <c r="BT190" s="168">
        <f t="shared" si="277"/>
        <v>0</v>
      </c>
      <c r="BU190" s="168">
        <f t="shared" si="278"/>
        <v>0</v>
      </c>
      <c r="BW190" s="168">
        <f t="shared" si="279"/>
        <v>0</v>
      </c>
      <c r="BX190" s="164">
        <f t="shared" si="280"/>
        <v>584.1</v>
      </c>
      <c r="BZ190" s="129">
        <v>1</v>
      </c>
    </row>
    <row r="191" spans="1:78">
      <c r="A191" s="129" t="s">
        <v>385</v>
      </c>
      <c r="U191" s="129">
        <v>753</v>
      </c>
      <c r="V191" s="129">
        <v>9.5</v>
      </c>
      <c r="X191" s="129">
        <v>802</v>
      </c>
      <c r="AC191" s="129">
        <v>226.2</v>
      </c>
      <c r="AD191" s="129">
        <v>10</v>
      </c>
      <c r="AE191" s="129">
        <v>12.3</v>
      </c>
      <c r="AF191" s="129">
        <v>776</v>
      </c>
      <c r="AG191" s="129">
        <v>348</v>
      </c>
      <c r="AI191" s="129">
        <v>103</v>
      </c>
      <c r="AJ191" s="129">
        <v>0</v>
      </c>
      <c r="AK191" s="129">
        <v>0</v>
      </c>
      <c r="AL191" s="129">
        <v>0</v>
      </c>
      <c r="AO191" s="129">
        <v>0</v>
      </c>
      <c r="AP191" s="129">
        <v>0</v>
      </c>
      <c r="AQ191" s="129">
        <v>0</v>
      </c>
      <c r="AR191" s="129">
        <v>0</v>
      </c>
      <c r="AS191" s="129">
        <v>0</v>
      </c>
      <c r="AT191" s="129">
        <v>0</v>
      </c>
      <c r="AU191" s="129">
        <v>0</v>
      </c>
      <c r="AV191" s="129">
        <v>0</v>
      </c>
      <c r="AW191" s="129">
        <v>200223</v>
      </c>
      <c r="AX191" s="167">
        <v>45413</v>
      </c>
      <c r="AY191" s="162">
        <f t="shared" si="234"/>
        <v>16</v>
      </c>
      <c r="AZ191" s="163" t="s">
        <v>882</v>
      </c>
      <c r="BA191" s="162" t="b">
        <f t="shared" si="233"/>
        <v>0</v>
      </c>
      <c r="BF191" s="164">
        <f t="shared" si="265"/>
        <v>753</v>
      </c>
      <c r="BG191" s="164">
        <f t="shared" si="266"/>
        <v>9.5</v>
      </c>
      <c r="BH191" s="164"/>
      <c r="BI191" s="164">
        <f t="shared" si="267"/>
        <v>226.2</v>
      </c>
      <c r="BJ191" s="164">
        <f t="shared" si="268"/>
        <v>10</v>
      </c>
      <c r="BK191" s="164">
        <f t="shared" si="269"/>
        <v>12.3</v>
      </c>
      <c r="BL191" s="164">
        <f t="shared" si="270"/>
        <v>776</v>
      </c>
      <c r="BM191" s="164">
        <f t="shared" si="271"/>
        <v>348</v>
      </c>
      <c r="BN191" s="164">
        <f t="shared" si="272"/>
        <v>103</v>
      </c>
      <c r="BO191" s="164">
        <f t="shared" si="273"/>
        <v>0</v>
      </c>
      <c r="BP191" s="164">
        <f t="shared" si="274"/>
        <v>0</v>
      </c>
      <c r="BQ191" s="164">
        <f t="shared" si="275"/>
        <v>0</v>
      </c>
      <c r="BR191" s="164">
        <f t="shared" si="276"/>
        <v>0</v>
      </c>
      <c r="BS191" s="129">
        <f>SUMIF('Audit HD AR - School Level'!$A$6:A3705, "=" &amp; A191,'Audit HD AR - School Level'!$Q$6:Q3705)</f>
        <v>24.6</v>
      </c>
      <c r="BT191" s="168">
        <f t="shared" si="277"/>
        <v>0</v>
      </c>
      <c r="BU191" s="168">
        <f t="shared" si="278"/>
        <v>0</v>
      </c>
      <c r="BW191" s="168">
        <f t="shared" si="279"/>
        <v>0</v>
      </c>
      <c r="BX191" s="164">
        <f t="shared" si="280"/>
        <v>753</v>
      </c>
      <c r="BZ191" s="129">
        <v>1</v>
      </c>
    </row>
    <row r="192" spans="1:78">
      <c r="A192" s="129" t="s">
        <v>396</v>
      </c>
      <c r="U192" s="129">
        <v>336.5</v>
      </c>
      <c r="V192" s="129">
        <v>6.5</v>
      </c>
      <c r="X192" s="129">
        <v>323.3</v>
      </c>
      <c r="AC192" s="129">
        <v>29.7</v>
      </c>
      <c r="AD192" s="129">
        <v>1</v>
      </c>
      <c r="AE192" s="129">
        <v>0</v>
      </c>
      <c r="AF192" s="129">
        <v>353</v>
      </c>
      <c r="AG192" s="129">
        <v>106</v>
      </c>
      <c r="AI192" s="129">
        <v>174</v>
      </c>
      <c r="AJ192" s="129">
        <v>9</v>
      </c>
      <c r="AK192" s="129">
        <v>2</v>
      </c>
      <c r="AL192" s="129">
        <v>0</v>
      </c>
      <c r="AO192" s="129">
        <v>0</v>
      </c>
      <c r="AP192" s="129">
        <v>0</v>
      </c>
      <c r="AQ192" s="129">
        <v>0</v>
      </c>
      <c r="AR192" s="129">
        <v>0</v>
      </c>
      <c r="AS192" s="129">
        <v>0</v>
      </c>
      <c r="AT192" s="129">
        <v>0</v>
      </c>
      <c r="AU192" s="129">
        <v>0</v>
      </c>
      <c r="AV192" s="129">
        <v>0</v>
      </c>
      <c r="AW192" s="129">
        <v>162938</v>
      </c>
      <c r="AX192" s="167">
        <v>45413</v>
      </c>
      <c r="AY192" s="162">
        <f t="shared" si="234"/>
        <v>16</v>
      </c>
      <c r="AZ192" s="163" t="s">
        <v>882</v>
      </c>
      <c r="BA192" s="162" t="b">
        <f t="shared" si="233"/>
        <v>0</v>
      </c>
      <c r="BF192" s="164">
        <f t="shared" si="265"/>
        <v>336.5</v>
      </c>
      <c r="BG192" s="164">
        <f t="shared" si="266"/>
        <v>6.5</v>
      </c>
      <c r="BH192" s="164"/>
      <c r="BI192" s="164">
        <f t="shared" si="267"/>
        <v>29.7</v>
      </c>
      <c r="BJ192" s="164">
        <f t="shared" si="268"/>
        <v>1</v>
      </c>
      <c r="BK192" s="164">
        <f t="shared" si="269"/>
        <v>0</v>
      </c>
      <c r="BL192" s="164">
        <f t="shared" si="270"/>
        <v>353</v>
      </c>
      <c r="BM192" s="164">
        <f t="shared" si="271"/>
        <v>106</v>
      </c>
      <c r="BN192" s="164">
        <f t="shared" si="272"/>
        <v>174</v>
      </c>
      <c r="BO192" s="164">
        <f t="shared" si="273"/>
        <v>9</v>
      </c>
      <c r="BP192" s="164">
        <f t="shared" si="274"/>
        <v>2</v>
      </c>
      <c r="BQ192" s="164">
        <f t="shared" si="275"/>
        <v>2</v>
      </c>
      <c r="BR192" s="164">
        <f t="shared" si="276"/>
        <v>0</v>
      </c>
      <c r="BS192" s="129">
        <f>SUMIF('Audit HD AR - School Level'!$A$6:A3706, "=" &amp; A192,'Audit HD AR - School Level'!$Q$6:Q3706)</f>
        <v>1</v>
      </c>
      <c r="BT192" s="168">
        <f t="shared" si="277"/>
        <v>0</v>
      </c>
      <c r="BU192" s="168">
        <f t="shared" si="278"/>
        <v>0</v>
      </c>
      <c r="BW192" s="168">
        <f t="shared" si="279"/>
        <v>0</v>
      </c>
      <c r="BX192" s="164">
        <f t="shared" si="280"/>
        <v>336.5</v>
      </c>
    </row>
    <row r="193" spans="1:78">
      <c r="A193" s="129" t="s">
        <v>401</v>
      </c>
      <c r="U193" s="129">
        <v>203.5</v>
      </c>
      <c r="V193" s="129">
        <v>5.5</v>
      </c>
      <c r="X193" s="129">
        <v>208.2</v>
      </c>
      <c r="AC193" s="129">
        <v>69.599999999999994</v>
      </c>
      <c r="AD193" s="129">
        <v>0</v>
      </c>
      <c r="AE193" s="129">
        <v>0</v>
      </c>
      <c r="AF193" s="129">
        <v>217</v>
      </c>
      <c r="AG193" s="129">
        <v>58</v>
      </c>
      <c r="AI193" s="129">
        <v>100</v>
      </c>
      <c r="AJ193" s="129">
        <v>0</v>
      </c>
      <c r="AK193" s="129">
        <v>40.5</v>
      </c>
      <c r="AL193" s="129">
        <v>0</v>
      </c>
      <c r="AO193" s="129">
        <v>0</v>
      </c>
      <c r="AP193" s="129">
        <v>0</v>
      </c>
      <c r="AQ193" s="129">
        <v>0</v>
      </c>
      <c r="AR193" s="129">
        <v>0</v>
      </c>
      <c r="AS193" s="129">
        <v>0</v>
      </c>
      <c r="AT193" s="129">
        <v>0</v>
      </c>
      <c r="AU193" s="129">
        <v>0</v>
      </c>
      <c r="AV193" s="129">
        <v>0</v>
      </c>
      <c r="AW193" s="129">
        <v>240700</v>
      </c>
      <c r="AX193" s="167">
        <v>45413</v>
      </c>
      <c r="AY193" s="162">
        <f t="shared" si="234"/>
        <v>16</v>
      </c>
      <c r="AZ193" s="163" t="s">
        <v>882</v>
      </c>
      <c r="BA193" s="162" t="b">
        <f t="shared" si="233"/>
        <v>0</v>
      </c>
      <c r="BF193" s="164">
        <f t="shared" si="265"/>
        <v>203.5</v>
      </c>
      <c r="BG193" s="164">
        <f t="shared" si="266"/>
        <v>5.5</v>
      </c>
      <c r="BH193" s="164"/>
      <c r="BI193" s="164">
        <f t="shared" si="267"/>
        <v>69.599999999999994</v>
      </c>
      <c r="BJ193" s="164">
        <f t="shared" si="268"/>
        <v>0</v>
      </c>
      <c r="BK193" s="164">
        <f t="shared" si="269"/>
        <v>0</v>
      </c>
      <c r="BL193" s="164">
        <f t="shared" si="270"/>
        <v>217</v>
      </c>
      <c r="BM193" s="164">
        <f t="shared" si="271"/>
        <v>58</v>
      </c>
      <c r="BN193" s="164">
        <f t="shared" si="272"/>
        <v>100</v>
      </c>
      <c r="BO193" s="164">
        <f t="shared" si="273"/>
        <v>0</v>
      </c>
      <c r="BP193" s="164">
        <f t="shared" si="274"/>
        <v>40.5</v>
      </c>
      <c r="BQ193" s="164">
        <f t="shared" si="275"/>
        <v>40.5</v>
      </c>
      <c r="BR193" s="164">
        <f t="shared" si="276"/>
        <v>0</v>
      </c>
      <c r="BS193" s="129">
        <f>SUMIF('Audit HD AR - School Level'!$A$6:A3707, "=" &amp; A193,'Audit HD AR - School Level'!$Q$6:Q3707)</f>
        <v>0</v>
      </c>
      <c r="BT193" s="168">
        <f t="shared" si="277"/>
        <v>0</v>
      </c>
      <c r="BU193" s="168">
        <f t="shared" si="278"/>
        <v>0</v>
      </c>
      <c r="BW193" s="168">
        <f t="shared" si="279"/>
        <v>0</v>
      </c>
      <c r="BX193" s="164">
        <f t="shared" si="280"/>
        <v>203.5</v>
      </c>
    </row>
    <row r="194" spans="1:78">
      <c r="A194" s="129" t="s">
        <v>404</v>
      </c>
      <c r="U194" s="129">
        <v>493.5</v>
      </c>
      <c r="V194" s="129">
        <v>5</v>
      </c>
      <c r="X194" s="129">
        <v>520.5</v>
      </c>
      <c r="AC194" s="129">
        <v>121.9</v>
      </c>
      <c r="AD194" s="129">
        <v>4</v>
      </c>
      <c r="AE194" s="129">
        <v>11.1</v>
      </c>
      <c r="AF194" s="129">
        <v>515</v>
      </c>
      <c r="AG194" s="129">
        <v>274</v>
      </c>
      <c r="AI194" s="129">
        <v>184.5</v>
      </c>
      <c r="AJ194" s="129">
        <v>20</v>
      </c>
      <c r="AK194" s="129">
        <v>37</v>
      </c>
      <c r="AL194" s="129">
        <v>0</v>
      </c>
      <c r="AO194" s="129">
        <v>0</v>
      </c>
      <c r="AP194" s="129">
        <v>0</v>
      </c>
      <c r="AQ194" s="129">
        <v>0</v>
      </c>
      <c r="AR194" s="129">
        <v>0</v>
      </c>
      <c r="AS194" s="129">
        <v>0</v>
      </c>
      <c r="AT194" s="129">
        <v>0</v>
      </c>
      <c r="AU194" s="129">
        <v>0</v>
      </c>
      <c r="AV194" s="129">
        <v>0</v>
      </c>
      <c r="AW194" s="129">
        <v>296039</v>
      </c>
      <c r="AX194" s="167">
        <v>45413</v>
      </c>
      <c r="AY194" s="162">
        <f t="shared" si="234"/>
        <v>16</v>
      </c>
      <c r="AZ194" s="163" t="s">
        <v>882</v>
      </c>
      <c r="BA194" s="162" t="b">
        <f t="shared" ref="BA194:BA257" si="281">COUNTIF(A:A,A194)&gt;1</f>
        <v>0</v>
      </c>
      <c r="BF194" s="164">
        <f t="shared" si="265"/>
        <v>493.5</v>
      </c>
      <c r="BG194" s="164">
        <f t="shared" si="266"/>
        <v>5</v>
      </c>
      <c r="BH194" s="164"/>
      <c r="BI194" s="164">
        <f t="shared" si="267"/>
        <v>121.9</v>
      </c>
      <c r="BJ194" s="164">
        <f t="shared" si="268"/>
        <v>4</v>
      </c>
      <c r="BK194" s="164">
        <f t="shared" si="269"/>
        <v>11.1</v>
      </c>
      <c r="BL194" s="164">
        <f t="shared" si="270"/>
        <v>515</v>
      </c>
      <c r="BM194" s="164">
        <f t="shared" si="271"/>
        <v>274</v>
      </c>
      <c r="BN194" s="164">
        <f t="shared" si="272"/>
        <v>184.5</v>
      </c>
      <c r="BO194" s="164">
        <f t="shared" si="273"/>
        <v>20</v>
      </c>
      <c r="BP194" s="164">
        <f t="shared" si="274"/>
        <v>37</v>
      </c>
      <c r="BQ194" s="164">
        <f t="shared" si="275"/>
        <v>37</v>
      </c>
      <c r="BR194" s="164">
        <f t="shared" si="276"/>
        <v>0</v>
      </c>
      <c r="BS194" s="129">
        <f>SUMIF('Audit HD AR - School Level'!$A$6:A3708, "=" &amp; A194,'Audit HD AR - School Level'!$Q$6:Q3708)</f>
        <v>28.8</v>
      </c>
      <c r="BT194" s="168">
        <f t="shared" si="277"/>
        <v>0</v>
      </c>
      <c r="BU194" s="168">
        <f t="shared" si="278"/>
        <v>0</v>
      </c>
      <c r="BW194" s="168">
        <f t="shared" si="279"/>
        <v>0</v>
      </c>
      <c r="BX194" s="164">
        <f t="shared" si="280"/>
        <v>493.5</v>
      </c>
    </row>
    <row r="195" spans="1:78">
      <c r="A195" s="129" t="s">
        <v>405</v>
      </c>
      <c r="U195" s="129">
        <v>666.3</v>
      </c>
      <c r="V195" s="129">
        <v>10.5</v>
      </c>
      <c r="X195" s="129">
        <v>743.4</v>
      </c>
      <c r="AC195" s="129">
        <v>368.7</v>
      </c>
      <c r="AD195" s="129">
        <v>0</v>
      </c>
      <c r="AE195" s="129">
        <v>0</v>
      </c>
      <c r="AF195" s="129">
        <v>702</v>
      </c>
      <c r="AG195" s="129">
        <v>307</v>
      </c>
      <c r="AI195" s="129">
        <v>71</v>
      </c>
      <c r="AJ195" s="129">
        <v>14.5</v>
      </c>
      <c r="AK195" s="129">
        <v>30</v>
      </c>
      <c r="AL195" s="129">
        <v>0</v>
      </c>
      <c r="AO195" s="129">
        <v>0</v>
      </c>
      <c r="AP195" s="129">
        <v>0</v>
      </c>
      <c r="AQ195" s="129">
        <v>0</v>
      </c>
      <c r="AR195" s="129">
        <v>0</v>
      </c>
      <c r="AS195" s="129">
        <v>0</v>
      </c>
      <c r="AT195" s="129">
        <v>0</v>
      </c>
      <c r="AU195" s="129">
        <v>0</v>
      </c>
      <c r="AV195" s="129">
        <v>0</v>
      </c>
      <c r="AW195" s="129">
        <v>116582</v>
      </c>
      <c r="AX195" s="167">
        <v>45413</v>
      </c>
      <c r="AY195" s="162">
        <f t="shared" si="234"/>
        <v>16</v>
      </c>
      <c r="AZ195" s="163" t="s">
        <v>882</v>
      </c>
      <c r="BA195" s="162" t="b">
        <f t="shared" si="281"/>
        <v>0</v>
      </c>
      <c r="BF195" s="164">
        <f t="shared" si="265"/>
        <v>666.3</v>
      </c>
      <c r="BG195" s="164">
        <f t="shared" si="266"/>
        <v>10.5</v>
      </c>
      <c r="BH195" s="164"/>
      <c r="BI195" s="164">
        <f t="shared" si="267"/>
        <v>368.7</v>
      </c>
      <c r="BJ195" s="164">
        <f t="shared" si="268"/>
        <v>0</v>
      </c>
      <c r="BK195" s="164">
        <f t="shared" si="269"/>
        <v>0</v>
      </c>
      <c r="BL195" s="164">
        <f t="shared" si="270"/>
        <v>702</v>
      </c>
      <c r="BM195" s="164">
        <f t="shared" si="271"/>
        <v>307</v>
      </c>
      <c r="BN195" s="164">
        <f t="shared" si="272"/>
        <v>71</v>
      </c>
      <c r="BO195" s="164">
        <f t="shared" si="273"/>
        <v>14.5</v>
      </c>
      <c r="BP195" s="164">
        <f t="shared" si="274"/>
        <v>30</v>
      </c>
      <c r="BQ195" s="164">
        <f t="shared" si="275"/>
        <v>30</v>
      </c>
      <c r="BR195" s="164">
        <f t="shared" si="276"/>
        <v>0</v>
      </c>
      <c r="BS195" s="129">
        <f>SUMIF('Audit HD AR - School Level'!$A$6:A3709, "=" &amp; A195,'Audit HD AR - School Level'!$Q$6:Q3709)</f>
        <v>19.600000000000001</v>
      </c>
      <c r="BT195" s="168">
        <f t="shared" si="277"/>
        <v>0</v>
      </c>
      <c r="BU195" s="168">
        <f t="shared" si="278"/>
        <v>0</v>
      </c>
      <c r="BW195" s="168">
        <f t="shared" si="279"/>
        <v>0</v>
      </c>
      <c r="BX195" s="164">
        <f t="shared" si="280"/>
        <v>666.3</v>
      </c>
    </row>
    <row r="196" spans="1:78">
      <c r="A196" s="129" t="s">
        <v>409</v>
      </c>
      <c r="U196" s="129">
        <v>747.7</v>
      </c>
      <c r="V196" s="129">
        <v>7</v>
      </c>
      <c r="X196" s="129">
        <v>754.1</v>
      </c>
      <c r="AC196" s="129">
        <v>235.7</v>
      </c>
      <c r="AD196" s="129">
        <v>5</v>
      </c>
      <c r="AE196" s="129">
        <v>3.7</v>
      </c>
      <c r="AF196" s="129">
        <v>771</v>
      </c>
      <c r="AG196" s="129">
        <v>309</v>
      </c>
      <c r="AI196" s="129">
        <v>253.5</v>
      </c>
      <c r="AJ196" s="129">
        <v>50.5</v>
      </c>
      <c r="AK196" s="129">
        <v>64</v>
      </c>
      <c r="AL196" s="129">
        <v>0</v>
      </c>
      <c r="AO196" s="129">
        <v>0</v>
      </c>
      <c r="AP196" s="129">
        <v>0.9</v>
      </c>
      <c r="AQ196" s="129">
        <v>3</v>
      </c>
      <c r="AR196" s="129">
        <v>0</v>
      </c>
      <c r="AS196" s="129">
        <v>0</v>
      </c>
      <c r="AT196" s="129">
        <v>0</v>
      </c>
      <c r="AU196" s="129">
        <v>0</v>
      </c>
      <c r="AV196" s="129">
        <v>0</v>
      </c>
      <c r="AW196" s="129">
        <v>289594</v>
      </c>
      <c r="AX196" s="167">
        <v>45413</v>
      </c>
      <c r="AY196" s="162">
        <f t="shared" si="234"/>
        <v>16</v>
      </c>
      <c r="AZ196" s="163" t="s">
        <v>882</v>
      </c>
      <c r="BA196" s="162" t="b">
        <f t="shared" si="281"/>
        <v>0</v>
      </c>
      <c r="BF196" s="164">
        <f t="shared" si="265"/>
        <v>746.8</v>
      </c>
      <c r="BG196" s="164">
        <f t="shared" si="266"/>
        <v>7</v>
      </c>
      <c r="BH196" s="164"/>
      <c r="BI196" s="164">
        <f t="shared" si="267"/>
        <v>235.7</v>
      </c>
      <c r="BJ196" s="164">
        <f t="shared" si="268"/>
        <v>5</v>
      </c>
      <c r="BK196" s="164">
        <f t="shared" si="269"/>
        <v>3.7</v>
      </c>
      <c r="BL196" s="164">
        <f t="shared" si="270"/>
        <v>771</v>
      </c>
      <c r="BM196" s="164">
        <f t="shared" si="271"/>
        <v>309</v>
      </c>
      <c r="BN196" s="164">
        <f t="shared" si="272"/>
        <v>253.5</v>
      </c>
      <c r="BO196" s="164">
        <f t="shared" si="273"/>
        <v>50.5</v>
      </c>
      <c r="BP196" s="164">
        <f t="shared" si="274"/>
        <v>64</v>
      </c>
      <c r="BQ196" s="164">
        <f t="shared" si="275"/>
        <v>64</v>
      </c>
      <c r="BR196" s="164">
        <f t="shared" si="276"/>
        <v>0</v>
      </c>
      <c r="BS196" s="129">
        <f>SUMIF('Audit HD AR - School Level'!$A$6:A3710, "=" &amp; A196,'Audit HD AR - School Level'!$Q$6:Q3710)</f>
        <v>11.2</v>
      </c>
      <c r="BT196" s="168">
        <f t="shared" si="277"/>
        <v>-2127</v>
      </c>
      <c r="BU196" s="168">
        <f t="shared" si="278"/>
        <v>0</v>
      </c>
      <c r="BW196" s="168">
        <f t="shared" si="279"/>
        <v>-2127</v>
      </c>
      <c r="BX196" s="164">
        <f t="shared" si="280"/>
        <v>746.8</v>
      </c>
    </row>
    <row r="197" spans="1:78">
      <c r="A197" s="129" t="s">
        <v>412</v>
      </c>
      <c r="U197" s="129">
        <v>480.5</v>
      </c>
      <c r="V197" s="129">
        <v>9.5</v>
      </c>
      <c r="X197" s="129">
        <v>497</v>
      </c>
      <c r="AC197" s="129">
        <v>152.1</v>
      </c>
      <c r="AD197" s="129">
        <v>1</v>
      </c>
      <c r="AE197" s="129">
        <v>0</v>
      </c>
      <c r="AF197" s="129">
        <v>502</v>
      </c>
      <c r="AG197" s="129">
        <v>151</v>
      </c>
      <c r="AI197" s="129">
        <v>42</v>
      </c>
      <c r="AJ197" s="129">
        <v>33</v>
      </c>
      <c r="AK197" s="129">
        <v>23</v>
      </c>
      <c r="AL197" s="129">
        <v>0</v>
      </c>
      <c r="AO197" s="129">
        <v>0</v>
      </c>
      <c r="AP197" s="129">
        <v>0</v>
      </c>
      <c r="AQ197" s="129">
        <v>0</v>
      </c>
      <c r="AR197" s="129">
        <v>0</v>
      </c>
      <c r="AS197" s="129">
        <v>0</v>
      </c>
      <c r="AT197" s="129">
        <v>0</v>
      </c>
      <c r="AU197" s="129">
        <v>0</v>
      </c>
      <c r="AV197" s="129">
        <v>0</v>
      </c>
      <c r="AW197" s="129">
        <v>127743</v>
      </c>
      <c r="AX197" s="167">
        <v>45413</v>
      </c>
      <c r="AY197" s="162">
        <f t="shared" si="234"/>
        <v>16</v>
      </c>
      <c r="AZ197" s="163" t="s">
        <v>882</v>
      </c>
      <c r="BA197" s="162" t="b">
        <f t="shared" si="281"/>
        <v>0</v>
      </c>
      <c r="BF197" s="164">
        <f t="shared" si="265"/>
        <v>480.5</v>
      </c>
      <c r="BG197" s="164">
        <f t="shared" si="266"/>
        <v>9.5</v>
      </c>
      <c r="BH197" s="164"/>
      <c r="BI197" s="164">
        <f t="shared" si="267"/>
        <v>152.1</v>
      </c>
      <c r="BJ197" s="164">
        <f t="shared" si="268"/>
        <v>1</v>
      </c>
      <c r="BK197" s="164">
        <f t="shared" si="269"/>
        <v>0</v>
      </c>
      <c r="BL197" s="164">
        <f t="shared" si="270"/>
        <v>502</v>
      </c>
      <c r="BM197" s="164">
        <f t="shared" si="271"/>
        <v>151</v>
      </c>
      <c r="BN197" s="164">
        <f t="shared" si="272"/>
        <v>42</v>
      </c>
      <c r="BO197" s="164">
        <f t="shared" si="273"/>
        <v>33</v>
      </c>
      <c r="BP197" s="164">
        <f t="shared" si="274"/>
        <v>23</v>
      </c>
      <c r="BQ197" s="164">
        <f t="shared" si="275"/>
        <v>23</v>
      </c>
      <c r="BR197" s="164">
        <f t="shared" si="276"/>
        <v>0</v>
      </c>
      <c r="BS197" s="129">
        <f>SUMIF('Audit HD AR - School Level'!$A$6:A3711, "=" &amp; A197,'Audit HD AR - School Level'!$Q$6:Q3711)</f>
        <v>0.4</v>
      </c>
      <c r="BT197" s="168">
        <f t="shared" si="277"/>
        <v>0</v>
      </c>
      <c r="BU197" s="168">
        <f t="shared" si="278"/>
        <v>0</v>
      </c>
      <c r="BW197" s="168">
        <f t="shared" si="279"/>
        <v>0</v>
      </c>
      <c r="BX197" s="164">
        <f t="shared" si="280"/>
        <v>480.5</v>
      </c>
    </row>
    <row r="198" spans="1:78">
      <c r="A198" s="129" t="s">
        <v>432</v>
      </c>
      <c r="U198" s="129">
        <v>283</v>
      </c>
      <c r="V198" s="129">
        <v>5</v>
      </c>
      <c r="X198" s="129">
        <v>325.5</v>
      </c>
      <c r="AC198" s="129">
        <v>100.4</v>
      </c>
      <c r="AD198" s="129">
        <v>2</v>
      </c>
      <c r="AE198" s="129">
        <v>2.2000000000000002</v>
      </c>
      <c r="AF198" s="129">
        <v>296</v>
      </c>
      <c r="AG198" s="129">
        <v>121</v>
      </c>
      <c r="AI198" s="129">
        <v>125</v>
      </c>
      <c r="AJ198" s="129">
        <v>21</v>
      </c>
      <c r="AK198" s="129">
        <v>13</v>
      </c>
      <c r="AL198" s="129">
        <v>0</v>
      </c>
      <c r="AO198" s="129">
        <v>1</v>
      </c>
      <c r="AP198" s="129">
        <v>0.5</v>
      </c>
      <c r="AQ198" s="129">
        <v>0</v>
      </c>
      <c r="AR198" s="129">
        <v>0</v>
      </c>
      <c r="AS198" s="129">
        <v>0</v>
      </c>
      <c r="AT198" s="129">
        <v>0</v>
      </c>
      <c r="AU198" s="129">
        <v>0</v>
      </c>
      <c r="AV198" s="129">
        <v>0</v>
      </c>
      <c r="AW198" s="129">
        <v>175910</v>
      </c>
      <c r="AX198" s="167">
        <v>45413</v>
      </c>
      <c r="AY198" s="162">
        <f t="shared" si="234"/>
        <v>16</v>
      </c>
      <c r="AZ198" s="163" t="s">
        <v>882</v>
      </c>
      <c r="BA198" s="162" t="b">
        <f t="shared" si="281"/>
        <v>0</v>
      </c>
      <c r="BF198" s="164">
        <f t="shared" si="265"/>
        <v>281.5</v>
      </c>
      <c r="BG198" s="164">
        <f t="shared" si="266"/>
        <v>5</v>
      </c>
      <c r="BH198" s="164"/>
      <c r="BI198" s="164">
        <f t="shared" si="267"/>
        <v>100.4</v>
      </c>
      <c r="BJ198" s="164">
        <f t="shared" si="268"/>
        <v>2</v>
      </c>
      <c r="BK198" s="164">
        <f t="shared" si="269"/>
        <v>2.2000000000000002</v>
      </c>
      <c r="BL198" s="164">
        <f t="shared" si="270"/>
        <v>296</v>
      </c>
      <c r="BM198" s="164">
        <f t="shared" si="271"/>
        <v>121</v>
      </c>
      <c r="BN198" s="164">
        <f t="shared" si="272"/>
        <v>125</v>
      </c>
      <c r="BO198" s="164">
        <f t="shared" si="273"/>
        <v>21</v>
      </c>
      <c r="BP198" s="164">
        <f t="shared" si="274"/>
        <v>13</v>
      </c>
      <c r="BQ198" s="164">
        <f t="shared" si="275"/>
        <v>13</v>
      </c>
      <c r="BR198" s="164">
        <f t="shared" si="276"/>
        <v>0</v>
      </c>
      <c r="BS198" s="129">
        <f>SUMIF('Audit HD AR - School Level'!$A$6:A3713, "=" &amp; A198,'Audit HD AR - School Level'!$Q$6:Q3713)</f>
        <v>7.1</v>
      </c>
      <c r="BT198" s="168">
        <f t="shared" si="277"/>
        <v>0</v>
      </c>
      <c r="BU198" s="168">
        <f t="shared" si="278"/>
        <v>0</v>
      </c>
      <c r="BW198" s="168">
        <f t="shared" si="279"/>
        <v>0</v>
      </c>
      <c r="BX198" s="164">
        <f t="shared" si="280"/>
        <v>281.5</v>
      </c>
    </row>
    <row r="199" spans="1:78">
      <c r="A199" s="129" t="s">
        <v>439</v>
      </c>
      <c r="U199" s="129">
        <v>2708.9</v>
      </c>
      <c r="V199" s="129">
        <v>62</v>
      </c>
      <c r="X199" s="129">
        <v>2714.5</v>
      </c>
      <c r="AC199" s="129">
        <v>768.7</v>
      </c>
      <c r="AD199" s="129">
        <v>569</v>
      </c>
      <c r="AE199" s="129">
        <v>1287</v>
      </c>
      <c r="AF199" s="129">
        <v>2868</v>
      </c>
      <c r="AG199" s="129">
        <v>1889</v>
      </c>
      <c r="AI199" s="129">
        <v>682</v>
      </c>
      <c r="AJ199" s="129">
        <v>1</v>
      </c>
      <c r="AK199" s="129">
        <v>1</v>
      </c>
      <c r="AL199" s="129">
        <v>0</v>
      </c>
      <c r="AO199" s="129">
        <v>30</v>
      </c>
      <c r="AP199" s="129">
        <v>1.3</v>
      </c>
      <c r="AQ199" s="129">
        <v>0</v>
      </c>
      <c r="AR199" s="129">
        <v>5</v>
      </c>
      <c r="AS199" s="129">
        <v>0</v>
      </c>
      <c r="AT199" s="129">
        <v>0</v>
      </c>
      <c r="AU199" s="129">
        <v>0</v>
      </c>
      <c r="AV199" s="129">
        <v>0</v>
      </c>
      <c r="AW199" s="129">
        <v>824288</v>
      </c>
      <c r="AX199" s="167">
        <v>45413</v>
      </c>
      <c r="AY199" s="162">
        <f t="shared" si="234"/>
        <v>16</v>
      </c>
      <c r="AZ199" s="163" t="s">
        <v>882</v>
      </c>
      <c r="BA199" s="162" t="b">
        <f t="shared" si="281"/>
        <v>0</v>
      </c>
      <c r="BF199" s="164">
        <f t="shared" si="265"/>
        <v>2672.6</v>
      </c>
      <c r="BG199" s="164">
        <f t="shared" si="266"/>
        <v>62</v>
      </c>
      <c r="BH199" s="164"/>
      <c r="BI199" s="164">
        <f t="shared" si="267"/>
        <v>768.7</v>
      </c>
      <c r="BJ199" s="164">
        <f t="shared" si="268"/>
        <v>569</v>
      </c>
      <c r="BK199" s="164">
        <f t="shared" si="269"/>
        <v>1287</v>
      </c>
      <c r="BL199" s="164">
        <f t="shared" si="270"/>
        <v>2868</v>
      </c>
      <c r="BM199" s="164">
        <f t="shared" si="271"/>
        <v>1889</v>
      </c>
      <c r="BN199" s="164">
        <f t="shared" si="272"/>
        <v>682</v>
      </c>
      <c r="BO199" s="164">
        <f t="shared" si="273"/>
        <v>1</v>
      </c>
      <c r="BP199" s="164">
        <f t="shared" si="274"/>
        <v>1</v>
      </c>
      <c r="BQ199" s="164">
        <f t="shared" si="275"/>
        <v>1</v>
      </c>
      <c r="BR199" s="164">
        <f t="shared" si="276"/>
        <v>0</v>
      </c>
      <c r="BS199" s="129">
        <f>SUMIF('Audit HD AR - School Level'!$A$6:A3714, "=" &amp; A199,'Audit HD AR - School Level'!$Q$6:Q3714)</f>
        <v>194.7</v>
      </c>
      <c r="BT199" s="168">
        <f t="shared" si="277"/>
        <v>0</v>
      </c>
      <c r="BU199" s="168">
        <f t="shared" si="278"/>
        <v>-3545</v>
      </c>
      <c r="BW199" s="168">
        <f t="shared" si="279"/>
        <v>-3545</v>
      </c>
      <c r="BX199" s="164">
        <f t="shared" si="280"/>
        <v>2677.6</v>
      </c>
    </row>
    <row r="200" spans="1:78">
      <c r="A200" s="129" t="s">
        <v>448</v>
      </c>
      <c r="U200" s="129">
        <v>269</v>
      </c>
      <c r="V200" s="129">
        <v>4.5</v>
      </c>
      <c r="X200" s="129">
        <v>262.7</v>
      </c>
      <c r="AC200" s="129">
        <v>89.3</v>
      </c>
      <c r="AD200" s="129">
        <v>1</v>
      </c>
      <c r="AE200" s="129">
        <v>0</v>
      </c>
      <c r="AF200" s="129">
        <v>281</v>
      </c>
      <c r="AG200" s="129">
        <v>109</v>
      </c>
      <c r="AI200" s="129">
        <v>91.5</v>
      </c>
      <c r="AJ200" s="129">
        <v>14</v>
      </c>
      <c r="AK200" s="129">
        <v>65</v>
      </c>
      <c r="AL200" s="129">
        <v>0</v>
      </c>
      <c r="AO200" s="129">
        <v>0</v>
      </c>
      <c r="AP200" s="129">
        <v>0</v>
      </c>
      <c r="AQ200" s="129">
        <v>0</v>
      </c>
      <c r="AR200" s="129">
        <v>0</v>
      </c>
      <c r="AS200" s="129">
        <v>0</v>
      </c>
      <c r="AT200" s="129">
        <v>0</v>
      </c>
      <c r="AU200" s="129">
        <v>0</v>
      </c>
      <c r="AV200" s="129">
        <v>1</v>
      </c>
      <c r="AW200" s="129">
        <v>215671</v>
      </c>
      <c r="AX200" s="167">
        <v>45413</v>
      </c>
      <c r="AY200" s="162">
        <f t="shared" ref="AY200:AY263" si="282">IF(AX200=AX199,AY199,AY199+1)</f>
        <v>16</v>
      </c>
      <c r="AZ200" s="163" t="s">
        <v>882</v>
      </c>
      <c r="BA200" s="162" t="b">
        <f t="shared" si="281"/>
        <v>0</v>
      </c>
      <c r="BF200" s="164">
        <f t="shared" si="265"/>
        <v>269</v>
      </c>
      <c r="BG200" s="164">
        <f t="shared" si="266"/>
        <v>4.5</v>
      </c>
      <c r="BH200" s="164"/>
      <c r="BI200" s="164">
        <f t="shared" si="267"/>
        <v>89.3</v>
      </c>
      <c r="BJ200" s="164">
        <f t="shared" si="268"/>
        <v>1</v>
      </c>
      <c r="BK200" s="164">
        <f t="shared" si="269"/>
        <v>0</v>
      </c>
      <c r="BL200" s="164">
        <f t="shared" si="270"/>
        <v>281</v>
      </c>
      <c r="BM200" s="164">
        <f t="shared" si="271"/>
        <v>109</v>
      </c>
      <c r="BN200" s="164">
        <f t="shared" si="272"/>
        <v>91.5</v>
      </c>
      <c r="BO200" s="164">
        <f t="shared" si="273"/>
        <v>14</v>
      </c>
      <c r="BP200" s="164">
        <f t="shared" si="274"/>
        <v>65</v>
      </c>
      <c r="BQ200" s="164">
        <f t="shared" si="275"/>
        <v>65</v>
      </c>
      <c r="BR200" s="164">
        <f t="shared" si="276"/>
        <v>0</v>
      </c>
      <c r="BS200" s="129">
        <f>SUMIF('Audit HD AR - School Level'!$A$6:A3715, "=" &amp; A200,'Audit HD AR - School Level'!$Q$6:Q3715)</f>
        <v>4</v>
      </c>
      <c r="BT200" s="168">
        <f t="shared" si="277"/>
        <v>0</v>
      </c>
      <c r="BU200" s="168">
        <f t="shared" si="278"/>
        <v>0</v>
      </c>
      <c r="BW200" s="168">
        <f t="shared" si="279"/>
        <v>0</v>
      </c>
      <c r="BX200" s="164">
        <f t="shared" si="280"/>
        <v>269</v>
      </c>
    </row>
    <row r="201" spans="1:78">
      <c r="A201" s="129" t="s">
        <v>452</v>
      </c>
      <c r="U201" s="129">
        <v>388.8</v>
      </c>
      <c r="V201" s="129">
        <v>8</v>
      </c>
      <c r="X201" s="129">
        <v>415.5</v>
      </c>
      <c r="AC201" s="129">
        <v>155.1</v>
      </c>
      <c r="AD201" s="129">
        <v>6</v>
      </c>
      <c r="AE201" s="129">
        <v>0</v>
      </c>
      <c r="AF201" s="129">
        <v>397</v>
      </c>
      <c r="AG201" s="129">
        <v>250</v>
      </c>
      <c r="AI201" s="129">
        <v>25</v>
      </c>
      <c r="AJ201" s="129">
        <v>331.5</v>
      </c>
      <c r="AK201" s="129">
        <v>39</v>
      </c>
      <c r="AL201" s="129">
        <v>9</v>
      </c>
      <c r="AO201" s="129">
        <v>7</v>
      </c>
      <c r="AP201" s="129">
        <v>1.7</v>
      </c>
      <c r="AQ201" s="129">
        <v>0</v>
      </c>
      <c r="AR201" s="129">
        <v>0</v>
      </c>
      <c r="AS201" s="129">
        <v>0</v>
      </c>
      <c r="AT201" s="129">
        <v>1</v>
      </c>
      <c r="AU201" s="129">
        <v>0</v>
      </c>
      <c r="AV201" s="129">
        <v>0</v>
      </c>
      <c r="AW201" s="129">
        <v>186251</v>
      </c>
      <c r="AX201" s="167">
        <v>45413</v>
      </c>
      <c r="AY201" s="162">
        <f t="shared" si="282"/>
        <v>16</v>
      </c>
      <c r="AZ201" s="163" t="s">
        <v>882</v>
      </c>
      <c r="BA201" s="162" t="b">
        <f t="shared" si="281"/>
        <v>0</v>
      </c>
      <c r="BF201" s="164">
        <f t="shared" si="265"/>
        <v>380.1</v>
      </c>
      <c r="BG201" s="164">
        <f t="shared" si="266"/>
        <v>8</v>
      </c>
      <c r="BH201" s="164"/>
      <c r="BI201" s="164">
        <f t="shared" si="267"/>
        <v>155.1</v>
      </c>
      <c r="BJ201" s="164">
        <f t="shared" si="268"/>
        <v>6</v>
      </c>
      <c r="BK201" s="164">
        <f t="shared" si="269"/>
        <v>0</v>
      </c>
      <c r="BL201" s="164">
        <f t="shared" si="270"/>
        <v>397</v>
      </c>
      <c r="BM201" s="164">
        <f t="shared" si="271"/>
        <v>250</v>
      </c>
      <c r="BN201" s="164">
        <f t="shared" si="272"/>
        <v>25</v>
      </c>
      <c r="BO201" s="164">
        <f t="shared" si="273"/>
        <v>331.5</v>
      </c>
      <c r="BP201" s="164">
        <f t="shared" si="274"/>
        <v>39</v>
      </c>
      <c r="BQ201" s="164">
        <f t="shared" si="275"/>
        <v>39</v>
      </c>
      <c r="BR201" s="164">
        <f t="shared" si="276"/>
        <v>9</v>
      </c>
      <c r="BS201" s="129">
        <f>SUMIF('Audit HD AR - School Level'!$A$6:A3716, "=" &amp; A201,'Audit HD AR - School Level'!$Q$6:Q3716)</f>
        <v>26.3</v>
      </c>
      <c r="BT201" s="168">
        <f t="shared" si="277"/>
        <v>0</v>
      </c>
      <c r="BU201" s="168">
        <f t="shared" si="278"/>
        <v>0</v>
      </c>
      <c r="BW201" s="168">
        <f t="shared" si="279"/>
        <v>0</v>
      </c>
      <c r="BX201" s="164">
        <f t="shared" si="280"/>
        <v>379.1</v>
      </c>
    </row>
    <row r="202" spans="1:78">
      <c r="A202" s="129" t="s">
        <v>459</v>
      </c>
      <c r="U202" s="129">
        <v>776</v>
      </c>
      <c r="V202" s="129">
        <v>33.5</v>
      </c>
      <c r="X202" s="129">
        <v>824.8</v>
      </c>
      <c r="AC202" s="129">
        <v>357.8</v>
      </c>
      <c r="AD202" s="129">
        <v>20</v>
      </c>
      <c r="AE202" s="129">
        <v>20.6</v>
      </c>
      <c r="AF202" s="129">
        <v>853</v>
      </c>
      <c r="AG202" s="129">
        <v>395</v>
      </c>
      <c r="AI202" s="129">
        <v>152</v>
      </c>
      <c r="AJ202" s="129">
        <v>512</v>
      </c>
      <c r="AK202" s="129">
        <v>5</v>
      </c>
      <c r="AL202" s="129">
        <v>0</v>
      </c>
      <c r="AO202" s="129">
        <v>0</v>
      </c>
      <c r="AP202" s="129">
        <v>0</v>
      </c>
      <c r="AQ202" s="129">
        <v>0</v>
      </c>
      <c r="AR202" s="129">
        <v>0</v>
      </c>
      <c r="AS202" s="129">
        <v>0</v>
      </c>
      <c r="AT202" s="129">
        <v>0</v>
      </c>
      <c r="AU202" s="129">
        <v>0</v>
      </c>
      <c r="AV202" s="129">
        <v>2</v>
      </c>
      <c r="AW202" s="129">
        <v>355054</v>
      </c>
      <c r="AX202" s="167">
        <v>45413</v>
      </c>
      <c r="AY202" s="162">
        <f t="shared" si="282"/>
        <v>16</v>
      </c>
      <c r="AZ202" s="163" t="s">
        <v>882</v>
      </c>
      <c r="BA202" s="162" t="b">
        <f t="shared" si="281"/>
        <v>0</v>
      </c>
      <c r="BF202" s="164">
        <f t="shared" si="265"/>
        <v>776</v>
      </c>
      <c r="BG202" s="164">
        <f t="shared" si="266"/>
        <v>33.5</v>
      </c>
      <c r="BH202" s="164"/>
      <c r="BI202" s="164">
        <f t="shared" si="267"/>
        <v>357.8</v>
      </c>
      <c r="BJ202" s="164">
        <f t="shared" si="268"/>
        <v>20</v>
      </c>
      <c r="BK202" s="164">
        <f t="shared" si="269"/>
        <v>20.6</v>
      </c>
      <c r="BL202" s="164">
        <f t="shared" si="270"/>
        <v>853</v>
      </c>
      <c r="BM202" s="164">
        <f t="shared" si="271"/>
        <v>395</v>
      </c>
      <c r="BN202" s="164">
        <f t="shared" si="272"/>
        <v>152</v>
      </c>
      <c r="BO202" s="164">
        <f t="shared" si="273"/>
        <v>512</v>
      </c>
      <c r="BP202" s="164">
        <f t="shared" si="274"/>
        <v>5</v>
      </c>
      <c r="BQ202" s="164">
        <f t="shared" si="275"/>
        <v>5</v>
      </c>
      <c r="BR202" s="164">
        <f t="shared" si="276"/>
        <v>0</v>
      </c>
      <c r="BS202" s="129">
        <f>SUMIF('Audit HD AR - School Level'!$A$6:A3717, "=" &amp; A202,'Audit HD AR - School Level'!$Q$6:Q3717)</f>
        <v>29.9</v>
      </c>
      <c r="BT202" s="168">
        <f t="shared" si="277"/>
        <v>0</v>
      </c>
      <c r="BU202" s="168">
        <f t="shared" si="278"/>
        <v>0</v>
      </c>
      <c r="BW202" s="168">
        <f t="shared" si="279"/>
        <v>0</v>
      </c>
      <c r="BX202" s="164">
        <f t="shared" si="280"/>
        <v>776</v>
      </c>
    </row>
    <row r="203" spans="1:78">
      <c r="A203" s="129" t="s">
        <v>466</v>
      </c>
      <c r="U203" s="129">
        <v>110</v>
      </c>
      <c r="V203" s="129">
        <v>4</v>
      </c>
      <c r="X203" s="129">
        <v>125</v>
      </c>
      <c r="AC203" s="129">
        <v>7.5</v>
      </c>
      <c r="AD203" s="129">
        <v>25</v>
      </c>
      <c r="AE203" s="129">
        <v>74.2</v>
      </c>
      <c r="AF203" s="129">
        <v>120</v>
      </c>
      <c r="AG203" s="129">
        <v>65</v>
      </c>
      <c r="AI203" s="129">
        <v>56</v>
      </c>
      <c r="AJ203" s="129">
        <v>0</v>
      </c>
      <c r="AK203" s="129">
        <v>5</v>
      </c>
      <c r="AL203" s="129">
        <v>0</v>
      </c>
      <c r="AO203" s="129">
        <v>0</v>
      </c>
      <c r="AP203" s="129">
        <v>0</v>
      </c>
      <c r="AQ203" s="129">
        <v>0</v>
      </c>
      <c r="AR203" s="129">
        <v>0</v>
      </c>
      <c r="AS203" s="129">
        <v>0</v>
      </c>
      <c r="AT203" s="129">
        <v>0</v>
      </c>
      <c r="AU203" s="129">
        <v>0</v>
      </c>
      <c r="AV203" s="129">
        <v>0</v>
      </c>
      <c r="AW203" s="129">
        <v>96264</v>
      </c>
      <c r="AX203" s="167">
        <v>45413</v>
      </c>
      <c r="AY203" s="162">
        <f t="shared" si="282"/>
        <v>16</v>
      </c>
      <c r="AZ203" s="163" t="s">
        <v>882</v>
      </c>
      <c r="BA203" s="162" t="b">
        <f t="shared" si="281"/>
        <v>0</v>
      </c>
      <c r="BF203" s="164">
        <f t="shared" si="265"/>
        <v>110</v>
      </c>
      <c r="BG203" s="164">
        <f t="shared" si="266"/>
        <v>4</v>
      </c>
      <c r="BH203" s="164"/>
      <c r="BI203" s="164">
        <f t="shared" si="267"/>
        <v>7.5</v>
      </c>
      <c r="BJ203" s="164">
        <f t="shared" si="268"/>
        <v>25</v>
      </c>
      <c r="BK203" s="164">
        <f t="shared" si="269"/>
        <v>74.2</v>
      </c>
      <c r="BL203" s="164">
        <f t="shared" si="270"/>
        <v>120</v>
      </c>
      <c r="BM203" s="164">
        <f t="shared" si="271"/>
        <v>65</v>
      </c>
      <c r="BN203" s="164">
        <f t="shared" si="272"/>
        <v>56</v>
      </c>
      <c r="BO203" s="164">
        <f t="shared" si="273"/>
        <v>0</v>
      </c>
      <c r="BP203" s="164">
        <f t="shared" si="274"/>
        <v>5</v>
      </c>
      <c r="BQ203" s="164">
        <f t="shared" si="275"/>
        <v>5</v>
      </c>
      <c r="BR203" s="164">
        <f t="shared" si="276"/>
        <v>0</v>
      </c>
      <c r="BS203" s="129">
        <f>SUMIF('Audit HD AR - School Level'!$A$6:A3718, "=" &amp; A203,'Audit HD AR - School Level'!$Q$6:Q3718)</f>
        <v>4</v>
      </c>
      <c r="BT203" s="168">
        <f t="shared" si="277"/>
        <v>0</v>
      </c>
      <c r="BU203" s="168">
        <f t="shared" si="278"/>
        <v>0</v>
      </c>
      <c r="BW203" s="168">
        <f t="shared" si="279"/>
        <v>0</v>
      </c>
      <c r="BX203" s="164">
        <f t="shared" si="280"/>
        <v>110</v>
      </c>
      <c r="BZ203" s="129">
        <v>1</v>
      </c>
    </row>
    <row r="204" spans="1:78">
      <c r="A204" s="129" t="s">
        <v>473</v>
      </c>
      <c r="U204" s="129">
        <v>198</v>
      </c>
      <c r="V204" s="129">
        <v>2.8</v>
      </c>
      <c r="X204" s="129">
        <v>200.5</v>
      </c>
      <c r="AC204" s="129">
        <v>72.8</v>
      </c>
      <c r="AD204" s="129">
        <v>0</v>
      </c>
      <c r="AE204" s="129">
        <v>0</v>
      </c>
      <c r="AF204" s="129">
        <v>208</v>
      </c>
      <c r="AG204" s="129">
        <v>76</v>
      </c>
      <c r="AI204" s="129">
        <v>51</v>
      </c>
      <c r="AJ204" s="129">
        <v>0</v>
      </c>
      <c r="AK204" s="129">
        <v>9</v>
      </c>
      <c r="AL204" s="129">
        <v>0</v>
      </c>
      <c r="AO204" s="129">
        <v>0</v>
      </c>
      <c r="AP204" s="129">
        <v>0</v>
      </c>
      <c r="AQ204" s="129">
        <v>0</v>
      </c>
      <c r="AR204" s="129">
        <v>0</v>
      </c>
      <c r="AS204" s="129">
        <v>0</v>
      </c>
      <c r="AT204" s="129">
        <v>0</v>
      </c>
      <c r="AU204" s="129">
        <v>0</v>
      </c>
      <c r="AV204" s="129">
        <v>0</v>
      </c>
      <c r="AW204" s="129">
        <v>92523</v>
      </c>
      <c r="AX204" s="167">
        <v>45413</v>
      </c>
      <c r="AY204" s="162">
        <f t="shared" si="282"/>
        <v>16</v>
      </c>
      <c r="AZ204" s="163" t="s">
        <v>882</v>
      </c>
      <c r="BA204" s="162" t="b">
        <f t="shared" si="281"/>
        <v>0</v>
      </c>
      <c r="BF204" s="164">
        <f t="shared" si="265"/>
        <v>198</v>
      </c>
      <c r="BG204" s="164">
        <f t="shared" si="266"/>
        <v>2.8</v>
      </c>
      <c r="BH204" s="164"/>
      <c r="BI204" s="164">
        <f t="shared" si="267"/>
        <v>72.8</v>
      </c>
      <c r="BJ204" s="164">
        <f t="shared" si="268"/>
        <v>0</v>
      </c>
      <c r="BK204" s="164">
        <f t="shared" si="269"/>
        <v>0</v>
      </c>
      <c r="BL204" s="164">
        <f t="shared" si="270"/>
        <v>208</v>
      </c>
      <c r="BM204" s="164">
        <f t="shared" si="271"/>
        <v>76</v>
      </c>
      <c r="BN204" s="164">
        <f t="shared" si="272"/>
        <v>51</v>
      </c>
      <c r="BO204" s="164">
        <f t="shared" si="273"/>
        <v>0</v>
      </c>
      <c r="BP204" s="164">
        <f t="shared" si="274"/>
        <v>9</v>
      </c>
      <c r="BQ204" s="164">
        <f t="shared" si="275"/>
        <v>9</v>
      </c>
      <c r="BR204" s="164">
        <f t="shared" si="276"/>
        <v>0</v>
      </c>
      <c r="BS204" s="129">
        <f>SUMIF('Audit HD AR - School Level'!$A$6:A3719, "=" &amp; A204,'Audit HD AR - School Level'!$Q$6:Q3719)</f>
        <v>1</v>
      </c>
      <c r="BT204" s="168">
        <f t="shared" si="277"/>
        <v>0</v>
      </c>
      <c r="BU204" s="168">
        <f t="shared" si="278"/>
        <v>0</v>
      </c>
      <c r="BW204" s="168">
        <f t="shared" si="279"/>
        <v>0</v>
      </c>
      <c r="BX204" s="164">
        <f t="shared" si="280"/>
        <v>198</v>
      </c>
    </row>
    <row r="205" spans="1:78">
      <c r="A205" s="129" t="s">
        <v>196</v>
      </c>
      <c r="U205" s="129">
        <v>351.4</v>
      </c>
      <c r="V205" s="129">
        <v>1.5</v>
      </c>
      <c r="X205" s="129">
        <v>349</v>
      </c>
      <c r="AC205" s="129">
        <v>124.9</v>
      </c>
      <c r="AD205" s="129">
        <v>19</v>
      </c>
      <c r="AE205" s="129">
        <v>19.3</v>
      </c>
      <c r="AF205" s="129">
        <v>356</v>
      </c>
      <c r="AG205" s="129">
        <v>149</v>
      </c>
      <c r="AI205" s="129">
        <v>157</v>
      </c>
      <c r="AJ205" s="129">
        <v>16</v>
      </c>
      <c r="AK205" s="129">
        <v>18</v>
      </c>
      <c r="AL205" s="129">
        <v>0</v>
      </c>
      <c r="AO205" s="129">
        <v>0</v>
      </c>
      <c r="AP205" s="129">
        <v>0</v>
      </c>
      <c r="AQ205" s="129">
        <v>0</v>
      </c>
      <c r="AR205" s="129">
        <v>0</v>
      </c>
      <c r="AS205" s="129">
        <v>0</v>
      </c>
      <c r="AT205" s="129">
        <v>0</v>
      </c>
      <c r="AU205" s="129">
        <v>0</v>
      </c>
      <c r="AV205" s="129">
        <v>0</v>
      </c>
      <c r="AW205" s="129">
        <v>235474</v>
      </c>
      <c r="AX205" s="167">
        <v>45420</v>
      </c>
      <c r="AY205" s="162">
        <f t="shared" si="282"/>
        <v>17</v>
      </c>
      <c r="AZ205" s="163" t="s">
        <v>882</v>
      </c>
      <c r="BA205" s="162" t="b">
        <f t="shared" si="281"/>
        <v>0</v>
      </c>
      <c r="BF205" s="164">
        <f t="shared" ref="BF205:BF230" si="283">SUM(U205+C205-AO205-AP205-AR205)</f>
        <v>351.4</v>
      </c>
      <c r="BG205" s="164">
        <f t="shared" ref="BG205:BG230" si="284">SUM(E205+F205+V205+W205)</f>
        <v>1.5</v>
      </c>
      <c r="BH205" s="164"/>
      <c r="BI205" s="164">
        <f t="shared" ref="BI205:BI230" si="285">SUM(AC205+H205)</f>
        <v>124.9</v>
      </c>
      <c r="BJ205" s="164">
        <f t="shared" ref="BJ205:BJ230" si="286">SUM(AD205+I205)</f>
        <v>19</v>
      </c>
      <c r="BK205" s="164">
        <f t="shared" ref="BK205:BK230" si="287">SUM(AE205+J205)</f>
        <v>19.3</v>
      </c>
      <c r="BL205" s="164">
        <f t="shared" ref="BL205:BL230" si="288">SUM(AF205+K205)</f>
        <v>356</v>
      </c>
      <c r="BM205" s="164">
        <f t="shared" ref="BM205:BM230" si="289">SUM(AG205+L205)</f>
        <v>149</v>
      </c>
      <c r="BN205" s="164">
        <f t="shared" ref="BN205:BN230" si="290">SUM(AI205+M205)</f>
        <v>157</v>
      </c>
      <c r="BO205" s="164">
        <f t="shared" ref="BO205:BO230" si="291">SUM(AJ205+R205)</f>
        <v>16</v>
      </c>
      <c r="BP205" s="164">
        <f t="shared" ref="BP205:BP230" si="292">SUM(AK205+R205)</f>
        <v>18</v>
      </c>
      <c r="BQ205" s="164">
        <f t="shared" ref="BQ205:BQ230" si="293">SUM(S205+AK205)</f>
        <v>18</v>
      </c>
      <c r="BR205" s="164">
        <f t="shared" ref="BR205:BR230" si="294">SUM(T205+AL205)</f>
        <v>0</v>
      </c>
      <c r="BS205" s="129">
        <f>SUMIF('Audit HD AR - School Level'!$A$6:A3720, "=" &amp; A205,'Audit HD AR - School Level'!$Q$6:Q3720)</f>
        <v>7.1</v>
      </c>
      <c r="BT205" s="168">
        <f t="shared" ref="BT205:BT230" si="295">SUM(AS205-AQ205)*$BT$2</f>
        <v>0</v>
      </c>
      <c r="BU205" s="168">
        <f t="shared" ref="BU205:BU230" si="296">SUM(AU205-AR205)*$BT$2</f>
        <v>0</v>
      </c>
      <c r="BW205" s="168">
        <f t="shared" ref="BW205:BW230" si="297">IF(BT205+BU205+BV205&gt;0,0,BT205+BU205+BV205)</f>
        <v>0</v>
      </c>
      <c r="BX205" s="164">
        <f t="shared" si="280"/>
        <v>351.4</v>
      </c>
    </row>
    <row r="206" spans="1:78">
      <c r="A206" s="129" t="s">
        <v>218</v>
      </c>
      <c r="U206" s="129">
        <v>228</v>
      </c>
      <c r="V206" s="129">
        <v>7.5</v>
      </c>
      <c r="X206" s="129">
        <v>224</v>
      </c>
      <c r="AC206" s="129">
        <v>58.5</v>
      </c>
      <c r="AD206" s="129">
        <v>84</v>
      </c>
      <c r="AE206" s="129">
        <v>338</v>
      </c>
      <c r="AF206" s="129">
        <v>245</v>
      </c>
      <c r="AG206" s="129">
        <v>145</v>
      </c>
      <c r="AI206" s="129">
        <v>11</v>
      </c>
      <c r="AJ206" s="129">
        <v>87</v>
      </c>
      <c r="AK206" s="129">
        <v>7</v>
      </c>
      <c r="AL206" s="129">
        <v>0</v>
      </c>
      <c r="AO206" s="129">
        <v>0</v>
      </c>
      <c r="AP206" s="129">
        <v>0</v>
      </c>
      <c r="AQ206" s="129">
        <v>0</v>
      </c>
      <c r="AR206" s="129">
        <v>0</v>
      </c>
      <c r="AS206" s="129">
        <v>0</v>
      </c>
      <c r="AT206" s="129">
        <v>0</v>
      </c>
      <c r="AU206" s="129">
        <v>0</v>
      </c>
      <c r="AV206" s="129">
        <v>0</v>
      </c>
      <c r="AW206" s="129">
        <v>82000</v>
      </c>
      <c r="AX206" s="167">
        <v>45420</v>
      </c>
      <c r="AY206" s="162">
        <f t="shared" si="282"/>
        <v>17</v>
      </c>
      <c r="AZ206" s="163" t="s">
        <v>882</v>
      </c>
      <c r="BA206" s="162" t="b">
        <f t="shared" si="281"/>
        <v>0</v>
      </c>
      <c r="BF206" s="164">
        <f t="shared" si="283"/>
        <v>228</v>
      </c>
      <c r="BG206" s="164">
        <f t="shared" si="284"/>
        <v>7.5</v>
      </c>
      <c r="BH206" s="164"/>
      <c r="BI206" s="164">
        <f t="shared" si="285"/>
        <v>58.5</v>
      </c>
      <c r="BJ206" s="164">
        <f t="shared" si="286"/>
        <v>84</v>
      </c>
      <c r="BK206" s="164">
        <f t="shared" si="287"/>
        <v>338</v>
      </c>
      <c r="BL206" s="164">
        <f t="shared" si="288"/>
        <v>245</v>
      </c>
      <c r="BM206" s="164">
        <f t="shared" si="289"/>
        <v>145</v>
      </c>
      <c r="BN206" s="164">
        <f t="shared" si="290"/>
        <v>11</v>
      </c>
      <c r="BO206" s="164">
        <f t="shared" si="291"/>
        <v>87</v>
      </c>
      <c r="BP206" s="164">
        <f t="shared" si="292"/>
        <v>7</v>
      </c>
      <c r="BQ206" s="164">
        <f t="shared" si="293"/>
        <v>7</v>
      </c>
      <c r="BR206" s="164">
        <f t="shared" si="294"/>
        <v>0</v>
      </c>
      <c r="BS206" s="129">
        <f>SUMIF('Audit HD AR - School Level'!$A$6:A3721, "=" &amp; A206,'Audit HD AR - School Level'!$Q$6:Q3721)</f>
        <v>15.3</v>
      </c>
      <c r="BT206" s="168">
        <f t="shared" si="295"/>
        <v>0</v>
      </c>
      <c r="BU206" s="168">
        <f t="shared" si="296"/>
        <v>0</v>
      </c>
      <c r="BW206" s="168">
        <f t="shared" si="297"/>
        <v>0</v>
      </c>
      <c r="BX206" s="164">
        <f t="shared" si="280"/>
        <v>228</v>
      </c>
    </row>
    <row r="207" spans="1:78">
      <c r="A207" s="129" t="s">
        <v>248</v>
      </c>
      <c r="U207" s="129">
        <v>315</v>
      </c>
      <c r="V207" s="129">
        <v>6.5</v>
      </c>
      <c r="X207" s="129">
        <v>330.5</v>
      </c>
      <c r="AC207" s="129">
        <v>106.2</v>
      </c>
      <c r="AD207" s="129">
        <v>3</v>
      </c>
      <c r="AE207" s="129">
        <v>0</v>
      </c>
      <c r="AF207" s="129">
        <v>327</v>
      </c>
      <c r="AG207" s="129">
        <v>106</v>
      </c>
      <c r="AI207" s="129">
        <v>185</v>
      </c>
      <c r="AJ207" s="129">
        <v>4</v>
      </c>
      <c r="AK207" s="129">
        <v>2</v>
      </c>
      <c r="AL207" s="129">
        <v>0</v>
      </c>
      <c r="AO207" s="129">
        <v>2</v>
      </c>
      <c r="AP207" s="129">
        <v>0</v>
      </c>
      <c r="AQ207" s="129">
        <v>0</v>
      </c>
      <c r="AR207" s="129">
        <v>0</v>
      </c>
      <c r="AS207" s="129">
        <v>0</v>
      </c>
      <c r="AT207" s="129">
        <v>0</v>
      </c>
      <c r="AU207" s="129">
        <v>0</v>
      </c>
      <c r="AV207" s="129">
        <v>0</v>
      </c>
      <c r="AW207" s="129">
        <v>508491</v>
      </c>
      <c r="AX207" s="167">
        <v>45420</v>
      </c>
      <c r="AY207" s="162">
        <f t="shared" si="282"/>
        <v>17</v>
      </c>
      <c r="AZ207" s="163" t="s">
        <v>882</v>
      </c>
      <c r="BA207" s="162" t="b">
        <f t="shared" si="281"/>
        <v>0</v>
      </c>
      <c r="BF207" s="164">
        <f t="shared" si="283"/>
        <v>313</v>
      </c>
      <c r="BG207" s="164">
        <f t="shared" si="284"/>
        <v>6.5</v>
      </c>
      <c r="BH207" s="164"/>
      <c r="BI207" s="164">
        <f t="shared" si="285"/>
        <v>106.2</v>
      </c>
      <c r="BJ207" s="164">
        <f t="shared" si="286"/>
        <v>3</v>
      </c>
      <c r="BK207" s="164">
        <f t="shared" si="287"/>
        <v>0</v>
      </c>
      <c r="BL207" s="164">
        <f t="shared" si="288"/>
        <v>327</v>
      </c>
      <c r="BM207" s="164">
        <f t="shared" si="289"/>
        <v>106</v>
      </c>
      <c r="BN207" s="164">
        <f t="shared" si="290"/>
        <v>185</v>
      </c>
      <c r="BO207" s="164">
        <f t="shared" si="291"/>
        <v>4</v>
      </c>
      <c r="BP207" s="164">
        <f t="shared" si="292"/>
        <v>2</v>
      </c>
      <c r="BQ207" s="164">
        <f t="shared" si="293"/>
        <v>2</v>
      </c>
      <c r="BR207" s="164">
        <f t="shared" si="294"/>
        <v>0</v>
      </c>
      <c r="BS207" s="129">
        <f>SUMIF('Audit HD AR - School Level'!$A$6:A3722, "=" &amp; A207,'Audit HD AR - School Level'!$Q$6:Q3722)</f>
        <v>0</v>
      </c>
      <c r="BT207" s="168">
        <f t="shared" si="295"/>
        <v>0</v>
      </c>
      <c r="BU207" s="168">
        <f t="shared" si="296"/>
        <v>0</v>
      </c>
      <c r="BW207" s="168">
        <f t="shared" si="297"/>
        <v>0</v>
      </c>
      <c r="BX207" s="164">
        <f t="shared" si="280"/>
        <v>313</v>
      </c>
    </row>
    <row r="208" spans="1:78">
      <c r="A208" s="129" t="s">
        <v>275</v>
      </c>
      <c r="U208" s="129">
        <v>114</v>
      </c>
      <c r="V208" s="129">
        <v>2</v>
      </c>
      <c r="X208" s="129">
        <v>100</v>
      </c>
      <c r="AC208" s="129">
        <v>25.1</v>
      </c>
      <c r="AD208" s="129">
        <v>0</v>
      </c>
      <c r="AE208" s="129">
        <v>0</v>
      </c>
      <c r="AF208" s="129">
        <v>120</v>
      </c>
      <c r="AG208" s="129">
        <v>93</v>
      </c>
      <c r="AI208" s="129">
        <v>18</v>
      </c>
      <c r="AJ208" s="129">
        <v>0</v>
      </c>
      <c r="AK208" s="129">
        <v>65</v>
      </c>
      <c r="AL208" s="129">
        <v>0</v>
      </c>
      <c r="AO208" s="129">
        <v>0</v>
      </c>
      <c r="AP208" s="129">
        <v>0</v>
      </c>
      <c r="AQ208" s="129">
        <v>0</v>
      </c>
      <c r="AR208" s="129">
        <v>0</v>
      </c>
      <c r="AS208" s="129">
        <v>0</v>
      </c>
      <c r="AT208" s="129">
        <v>0</v>
      </c>
      <c r="AU208" s="129">
        <v>0</v>
      </c>
      <c r="AV208" s="129">
        <v>0</v>
      </c>
      <c r="AW208" s="129">
        <v>121747</v>
      </c>
      <c r="AX208" s="167">
        <v>45420</v>
      </c>
      <c r="AY208" s="162">
        <f t="shared" si="282"/>
        <v>17</v>
      </c>
      <c r="AZ208" s="163" t="s">
        <v>882</v>
      </c>
      <c r="BA208" s="162" t="b">
        <f t="shared" si="281"/>
        <v>0</v>
      </c>
      <c r="BF208" s="164">
        <f t="shared" si="283"/>
        <v>114</v>
      </c>
      <c r="BG208" s="164">
        <f t="shared" si="284"/>
        <v>2</v>
      </c>
      <c r="BH208" s="164"/>
      <c r="BI208" s="164">
        <f t="shared" si="285"/>
        <v>25.1</v>
      </c>
      <c r="BJ208" s="164">
        <f t="shared" si="286"/>
        <v>0</v>
      </c>
      <c r="BK208" s="164">
        <f t="shared" si="287"/>
        <v>0</v>
      </c>
      <c r="BL208" s="164">
        <f t="shared" si="288"/>
        <v>120</v>
      </c>
      <c r="BM208" s="164">
        <f t="shared" si="289"/>
        <v>93</v>
      </c>
      <c r="BN208" s="164">
        <f t="shared" si="290"/>
        <v>18</v>
      </c>
      <c r="BO208" s="164">
        <f t="shared" si="291"/>
        <v>0</v>
      </c>
      <c r="BP208" s="164">
        <f t="shared" si="292"/>
        <v>65</v>
      </c>
      <c r="BQ208" s="164">
        <f t="shared" si="293"/>
        <v>65</v>
      </c>
      <c r="BR208" s="164">
        <f t="shared" si="294"/>
        <v>0</v>
      </c>
      <c r="BS208" s="129">
        <f>SUMIF('Audit HD AR - School Level'!$A$6:A3723, "=" &amp; A208,'Audit HD AR - School Level'!$Q$6:Q3723)</f>
        <v>9.6999999999999993</v>
      </c>
      <c r="BT208" s="168">
        <f t="shared" si="295"/>
        <v>0</v>
      </c>
      <c r="BU208" s="168">
        <f t="shared" si="296"/>
        <v>0</v>
      </c>
      <c r="BW208" s="168">
        <f t="shared" si="297"/>
        <v>0</v>
      </c>
      <c r="BX208" s="164">
        <f t="shared" si="280"/>
        <v>114</v>
      </c>
    </row>
    <row r="209" spans="1:78">
      <c r="A209" s="129" t="s">
        <v>280</v>
      </c>
      <c r="U209" s="129">
        <v>540</v>
      </c>
      <c r="V209" s="129">
        <v>5.5</v>
      </c>
      <c r="X209" s="129">
        <v>520.79999999999995</v>
      </c>
      <c r="AC209" s="129">
        <v>252.1</v>
      </c>
      <c r="AD209" s="129">
        <v>3</v>
      </c>
      <c r="AE209" s="129">
        <v>0</v>
      </c>
      <c r="AF209" s="129">
        <v>554</v>
      </c>
      <c r="AG209" s="129">
        <v>257</v>
      </c>
      <c r="AI209" s="129">
        <v>370</v>
      </c>
      <c r="AJ209" s="129">
        <v>18</v>
      </c>
      <c r="AK209" s="129">
        <v>2</v>
      </c>
      <c r="AL209" s="129">
        <v>0</v>
      </c>
      <c r="AO209" s="129">
        <v>0</v>
      </c>
      <c r="AP209" s="129">
        <v>0</v>
      </c>
      <c r="AQ209" s="129">
        <v>0</v>
      </c>
      <c r="AR209" s="129">
        <v>0</v>
      </c>
      <c r="AS209" s="129">
        <v>0</v>
      </c>
      <c r="AT209" s="129">
        <v>0</v>
      </c>
      <c r="AU209" s="129">
        <v>0</v>
      </c>
      <c r="AV209" s="129">
        <v>0</v>
      </c>
      <c r="AW209" s="129">
        <v>372146</v>
      </c>
      <c r="AX209" s="167">
        <v>45420</v>
      </c>
      <c r="AY209" s="162">
        <f t="shared" si="282"/>
        <v>17</v>
      </c>
      <c r="AZ209" s="163" t="s">
        <v>882</v>
      </c>
      <c r="BA209" s="162" t="b">
        <f t="shared" si="281"/>
        <v>0</v>
      </c>
      <c r="BF209" s="164">
        <f t="shared" si="283"/>
        <v>540</v>
      </c>
      <c r="BG209" s="164">
        <f t="shared" si="284"/>
        <v>5.5</v>
      </c>
      <c r="BH209" s="164"/>
      <c r="BI209" s="164">
        <f t="shared" si="285"/>
        <v>252.1</v>
      </c>
      <c r="BJ209" s="164">
        <f t="shared" si="286"/>
        <v>3</v>
      </c>
      <c r="BK209" s="164">
        <f t="shared" si="287"/>
        <v>0</v>
      </c>
      <c r="BL209" s="164">
        <f t="shared" si="288"/>
        <v>554</v>
      </c>
      <c r="BM209" s="164">
        <f t="shared" si="289"/>
        <v>257</v>
      </c>
      <c r="BN209" s="164">
        <f t="shared" si="290"/>
        <v>370</v>
      </c>
      <c r="BO209" s="164">
        <f t="shared" si="291"/>
        <v>18</v>
      </c>
      <c r="BP209" s="164">
        <f t="shared" si="292"/>
        <v>2</v>
      </c>
      <c r="BQ209" s="164">
        <f t="shared" si="293"/>
        <v>2</v>
      </c>
      <c r="BR209" s="164">
        <f t="shared" si="294"/>
        <v>0</v>
      </c>
      <c r="BS209" s="129">
        <f>SUMIF('Audit HD AR - School Level'!$A$6:A3724, "=" &amp; A209,'Audit HD AR - School Level'!$Q$6:Q3724)</f>
        <v>20.7</v>
      </c>
      <c r="BT209" s="168">
        <f t="shared" si="295"/>
        <v>0</v>
      </c>
      <c r="BU209" s="168">
        <f t="shared" si="296"/>
        <v>0</v>
      </c>
      <c r="BW209" s="168">
        <f t="shared" si="297"/>
        <v>0</v>
      </c>
      <c r="BX209" s="164">
        <f t="shared" si="280"/>
        <v>540</v>
      </c>
    </row>
    <row r="210" spans="1:78">
      <c r="A210" s="129" t="s">
        <v>286</v>
      </c>
      <c r="U210" s="129">
        <v>367.5</v>
      </c>
      <c r="V210" s="129">
        <v>8.5</v>
      </c>
      <c r="X210" s="129">
        <v>380.3</v>
      </c>
      <c r="AC210" s="129">
        <v>93.9</v>
      </c>
      <c r="AD210" s="129">
        <v>0</v>
      </c>
      <c r="AE210" s="129">
        <v>0</v>
      </c>
      <c r="AF210" s="129">
        <v>391</v>
      </c>
      <c r="AG210" s="129">
        <v>191</v>
      </c>
      <c r="AI210" s="129">
        <v>95</v>
      </c>
      <c r="AJ210" s="129">
        <v>12</v>
      </c>
      <c r="AK210" s="129">
        <v>8.5</v>
      </c>
      <c r="AL210" s="129">
        <v>0</v>
      </c>
      <c r="AO210" s="129">
        <v>0</v>
      </c>
      <c r="AP210" s="129">
        <v>0</v>
      </c>
      <c r="AQ210" s="129">
        <v>0</v>
      </c>
      <c r="AR210" s="129">
        <v>0</v>
      </c>
      <c r="AS210" s="129">
        <v>0</v>
      </c>
      <c r="AT210" s="129">
        <v>0</v>
      </c>
      <c r="AU210" s="129">
        <v>0</v>
      </c>
      <c r="AV210" s="129">
        <v>0</v>
      </c>
      <c r="AW210" s="129">
        <v>246901</v>
      </c>
      <c r="AX210" s="167">
        <v>45420</v>
      </c>
      <c r="AY210" s="162">
        <f t="shared" si="282"/>
        <v>17</v>
      </c>
      <c r="AZ210" s="163" t="s">
        <v>882</v>
      </c>
      <c r="BA210" s="162" t="b">
        <f t="shared" si="281"/>
        <v>0</v>
      </c>
      <c r="BF210" s="164">
        <f t="shared" si="283"/>
        <v>367.5</v>
      </c>
      <c r="BG210" s="164">
        <f t="shared" si="284"/>
        <v>8.5</v>
      </c>
      <c r="BH210" s="164"/>
      <c r="BI210" s="164">
        <f t="shared" si="285"/>
        <v>93.9</v>
      </c>
      <c r="BJ210" s="164">
        <f t="shared" si="286"/>
        <v>0</v>
      </c>
      <c r="BK210" s="164">
        <f t="shared" si="287"/>
        <v>0</v>
      </c>
      <c r="BL210" s="164">
        <f t="shared" si="288"/>
        <v>391</v>
      </c>
      <c r="BM210" s="164">
        <f t="shared" si="289"/>
        <v>191</v>
      </c>
      <c r="BN210" s="164">
        <f t="shared" si="290"/>
        <v>95</v>
      </c>
      <c r="BO210" s="164">
        <f t="shared" si="291"/>
        <v>12</v>
      </c>
      <c r="BP210" s="164">
        <f t="shared" si="292"/>
        <v>8.5</v>
      </c>
      <c r="BQ210" s="164">
        <f t="shared" si="293"/>
        <v>8.5</v>
      </c>
      <c r="BR210" s="164">
        <f t="shared" si="294"/>
        <v>0</v>
      </c>
      <c r="BS210" s="129">
        <f>SUMIF('Audit HD AR - School Level'!$A$6:A3725, "=" &amp; A210,'Audit HD AR - School Level'!$Q$6:Q3725)</f>
        <v>17.3</v>
      </c>
      <c r="BT210" s="168">
        <f t="shared" si="295"/>
        <v>0</v>
      </c>
      <c r="BU210" s="168">
        <f t="shared" si="296"/>
        <v>0</v>
      </c>
      <c r="BW210" s="168">
        <f t="shared" si="297"/>
        <v>0</v>
      </c>
      <c r="BX210" s="164">
        <f t="shared" si="280"/>
        <v>367.5</v>
      </c>
    </row>
    <row r="211" spans="1:78">
      <c r="A211" s="129" t="s">
        <v>323</v>
      </c>
      <c r="U211" s="129">
        <v>508.5</v>
      </c>
      <c r="V211" s="129">
        <v>12</v>
      </c>
      <c r="X211" s="129">
        <v>581</v>
      </c>
      <c r="AC211" s="129">
        <v>16.2</v>
      </c>
      <c r="AD211" s="129">
        <v>0</v>
      </c>
      <c r="AE211" s="129">
        <v>0</v>
      </c>
      <c r="AF211" s="129">
        <v>534</v>
      </c>
      <c r="AG211" s="129">
        <v>196</v>
      </c>
      <c r="AI211" s="129">
        <v>234.5</v>
      </c>
      <c r="AJ211" s="129">
        <v>26</v>
      </c>
      <c r="AK211" s="129">
        <v>6</v>
      </c>
      <c r="AL211" s="129">
        <v>0</v>
      </c>
      <c r="AO211" s="129">
        <v>0</v>
      </c>
      <c r="AP211" s="129">
        <v>0</v>
      </c>
      <c r="AQ211" s="129">
        <v>0</v>
      </c>
      <c r="AR211" s="129">
        <v>0</v>
      </c>
      <c r="AS211" s="129">
        <v>0</v>
      </c>
      <c r="AT211" s="129">
        <v>0</v>
      </c>
      <c r="AU211" s="129">
        <v>0</v>
      </c>
      <c r="AV211" s="129">
        <v>0</v>
      </c>
      <c r="AW211" s="129">
        <v>517035</v>
      </c>
      <c r="AX211" s="167">
        <v>45420</v>
      </c>
      <c r="AY211" s="162">
        <f t="shared" si="282"/>
        <v>17</v>
      </c>
      <c r="AZ211" s="163" t="s">
        <v>882</v>
      </c>
      <c r="BA211" s="162" t="b">
        <f t="shared" si="281"/>
        <v>0</v>
      </c>
      <c r="BF211" s="164">
        <f t="shared" si="283"/>
        <v>508.5</v>
      </c>
      <c r="BG211" s="164">
        <f t="shared" si="284"/>
        <v>12</v>
      </c>
      <c r="BH211" s="164"/>
      <c r="BI211" s="164">
        <f t="shared" si="285"/>
        <v>16.2</v>
      </c>
      <c r="BJ211" s="164">
        <f t="shared" si="286"/>
        <v>0</v>
      </c>
      <c r="BK211" s="164">
        <f t="shared" si="287"/>
        <v>0</v>
      </c>
      <c r="BL211" s="164">
        <f t="shared" si="288"/>
        <v>534</v>
      </c>
      <c r="BM211" s="164">
        <f t="shared" si="289"/>
        <v>196</v>
      </c>
      <c r="BN211" s="164">
        <f t="shared" si="290"/>
        <v>234.5</v>
      </c>
      <c r="BO211" s="164">
        <f t="shared" si="291"/>
        <v>26</v>
      </c>
      <c r="BP211" s="164">
        <f t="shared" si="292"/>
        <v>6</v>
      </c>
      <c r="BQ211" s="164">
        <f t="shared" si="293"/>
        <v>6</v>
      </c>
      <c r="BR211" s="164">
        <f t="shared" si="294"/>
        <v>0</v>
      </c>
      <c r="BS211" s="129">
        <f>SUMIF('Audit HD AR - School Level'!$A$6:A3726, "=" &amp; A211,'Audit HD AR - School Level'!$Q$6:Q3726)</f>
        <v>2.6</v>
      </c>
      <c r="BT211" s="168">
        <f t="shared" si="295"/>
        <v>0</v>
      </c>
      <c r="BU211" s="168">
        <f t="shared" si="296"/>
        <v>0</v>
      </c>
      <c r="BW211" s="168">
        <f t="shared" si="297"/>
        <v>0</v>
      </c>
      <c r="BX211" s="164">
        <f t="shared" si="280"/>
        <v>508.5</v>
      </c>
    </row>
    <row r="212" spans="1:78">
      <c r="A212" s="129" t="s">
        <v>331</v>
      </c>
      <c r="U212" s="129">
        <v>235.2</v>
      </c>
      <c r="V212" s="129">
        <v>6.5</v>
      </c>
      <c r="X212" s="129">
        <v>260</v>
      </c>
      <c r="AC212" s="129">
        <v>103.6</v>
      </c>
      <c r="AD212" s="129">
        <v>18</v>
      </c>
      <c r="AE212" s="129">
        <v>29.1</v>
      </c>
      <c r="AF212" s="129">
        <v>253</v>
      </c>
      <c r="AG212" s="129">
        <v>131</v>
      </c>
      <c r="AI212" s="129">
        <v>24</v>
      </c>
      <c r="AJ212" s="129">
        <v>1</v>
      </c>
      <c r="AK212" s="129">
        <v>0</v>
      </c>
      <c r="AL212" s="129">
        <v>0</v>
      </c>
      <c r="AO212" s="129">
        <v>0</v>
      </c>
      <c r="AP212" s="129">
        <v>0</v>
      </c>
      <c r="AQ212" s="129">
        <v>0</v>
      </c>
      <c r="AR212" s="129">
        <v>0</v>
      </c>
      <c r="AS212" s="129">
        <v>0</v>
      </c>
      <c r="AT212" s="129">
        <v>0</v>
      </c>
      <c r="AU212" s="129">
        <v>0</v>
      </c>
      <c r="AV212" s="129">
        <v>0</v>
      </c>
      <c r="AW212" s="129">
        <v>40730</v>
      </c>
      <c r="AX212" s="167">
        <v>45420</v>
      </c>
      <c r="AY212" s="162">
        <f t="shared" si="282"/>
        <v>17</v>
      </c>
      <c r="AZ212" s="163" t="s">
        <v>882</v>
      </c>
      <c r="BA212" s="162" t="b">
        <f t="shared" si="281"/>
        <v>0</v>
      </c>
      <c r="BF212" s="164">
        <f t="shared" si="283"/>
        <v>235.2</v>
      </c>
      <c r="BG212" s="164">
        <f t="shared" si="284"/>
        <v>6.5</v>
      </c>
      <c r="BH212" s="164"/>
      <c r="BI212" s="164">
        <f t="shared" si="285"/>
        <v>103.6</v>
      </c>
      <c r="BJ212" s="164">
        <f t="shared" si="286"/>
        <v>18</v>
      </c>
      <c r="BK212" s="164">
        <f t="shared" si="287"/>
        <v>29.1</v>
      </c>
      <c r="BL212" s="164">
        <f t="shared" si="288"/>
        <v>253</v>
      </c>
      <c r="BM212" s="164">
        <f t="shared" si="289"/>
        <v>131</v>
      </c>
      <c r="BN212" s="164">
        <f t="shared" si="290"/>
        <v>24</v>
      </c>
      <c r="BO212" s="164">
        <f t="shared" si="291"/>
        <v>1</v>
      </c>
      <c r="BP212" s="164">
        <f t="shared" si="292"/>
        <v>0</v>
      </c>
      <c r="BQ212" s="164">
        <f t="shared" si="293"/>
        <v>0</v>
      </c>
      <c r="BR212" s="164">
        <f t="shared" si="294"/>
        <v>0</v>
      </c>
      <c r="BS212" s="129">
        <f>SUMIF('Audit HD AR - School Level'!$A$6:A3727, "=" &amp; A212,'Audit HD AR - School Level'!$Q$6:Q3727)</f>
        <v>13.7</v>
      </c>
      <c r="BT212" s="168">
        <f t="shared" si="295"/>
        <v>0</v>
      </c>
      <c r="BU212" s="168">
        <f t="shared" si="296"/>
        <v>0</v>
      </c>
      <c r="BW212" s="168">
        <f t="shared" si="297"/>
        <v>0</v>
      </c>
      <c r="BX212" s="164">
        <f t="shared" si="280"/>
        <v>235.2</v>
      </c>
    </row>
    <row r="213" spans="1:78">
      <c r="A213" s="129" t="s">
        <v>332</v>
      </c>
      <c r="U213" s="129">
        <v>308.60000000000002</v>
      </c>
      <c r="V213" s="129">
        <v>5</v>
      </c>
      <c r="X213" s="129">
        <v>309</v>
      </c>
      <c r="AC213" s="129">
        <v>111.6</v>
      </c>
      <c r="AD213" s="129">
        <v>26</v>
      </c>
      <c r="AE213" s="129">
        <v>83.6</v>
      </c>
      <c r="AF213" s="129">
        <v>326</v>
      </c>
      <c r="AG213" s="129">
        <v>129</v>
      </c>
      <c r="AI213" s="129">
        <v>55.5</v>
      </c>
      <c r="AJ213" s="129">
        <v>1</v>
      </c>
      <c r="AK213" s="129">
        <v>19</v>
      </c>
      <c r="AL213" s="129">
        <v>0</v>
      </c>
      <c r="AO213" s="129">
        <v>0</v>
      </c>
      <c r="AP213" s="129">
        <v>0</v>
      </c>
      <c r="AQ213" s="129">
        <v>0</v>
      </c>
      <c r="AR213" s="129">
        <v>0</v>
      </c>
      <c r="AS213" s="129">
        <v>0</v>
      </c>
      <c r="AT213" s="129">
        <v>0</v>
      </c>
      <c r="AU213" s="129">
        <v>0</v>
      </c>
      <c r="AV213" s="129">
        <v>0</v>
      </c>
      <c r="AW213" s="129">
        <v>103045</v>
      </c>
      <c r="AX213" s="167">
        <v>45420</v>
      </c>
      <c r="AY213" s="162">
        <f t="shared" si="282"/>
        <v>17</v>
      </c>
      <c r="AZ213" s="163" t="s">
        <v>882</v>
      </c>
      <c r="BA213" s="162" t="b">
        <f t="shared" si="281"/>
        <v>0</v>
      </c>
      <c r="BF213" s="164">
        <f t="shared" si="283"/>
        <v>308.60000000000002</v>
      </c>
      <c r="BG213" s="164">
        <f t="shared" si="284"/>
        <v>5</v>
      </c>
      <c r="BH213" s="164"/>
      <c r="BI213" s="164">
        <f t="shared" si="285"/>
        <v>111.6</v>
      </c>
      <c r="BJ213" s="164">
        <f t="shared" si="286"/>
        <v>26</v>
      </c>
      <c r="BK213" s="164">
        <f t="shared" si="287"/>
        <v>83.6</v>
      </c>
      <c r="BL213" s="164">
        <f t="shared" si="288"/>
        <v>326</v>
      </c>
      <c r="BM213" s="164">
        <f t="shared" si="289"/>
        <v>129</v>
      </c>
      <c r="BN213" s="164">
        <f t="shared" si="290"/>
        <v>55.5</v>
      </c>
      <c r="BO213" s="164">
        <f t="shared" si="291"/>
        <v>1</v>
      </c>
      <c r="BP213" s="164">
        <f t="shared" si="292"/>
        <v>19</v>
      </c>
      <c r="BQ213" s="164">
        <f t="shared" si="293"/>
        <v>19</v>
      </c>
      <c r="BR213" s="164">
        <f t="shared" si="294"/>
        <v>0</v>
      </c>
      <c r="BS213" s="129">
        <f>SUMIF('Audit HD AR - School Level'!$A$6:A3728, "=" &amp; A213,'Audit HD AR - School Level'!$Q$6:Q3728)</f>
        <v>4.2</v>
      </c>
      <c r="BT213" s="168">
        <f t="shared" si="295"/>
        <v>0</v>
      </c>
      <c r="BU213" s="168">
        <f t="shared" si="296"/>
        <v>0</v>
      </c>
      <c r="BW213" s="168">
        <f t="shared" si="297"/>
        <v>0</v>
      </c>
      <c r="BX213" s="164">
        <f t="shared" si="280"/>
        <v>308.60000000000002</v>
      </c>
    </row>
    <row r="214" spans="1:78">
      <c r="A214" s="129" t="s">
        <v>333</v>
      </c>
      <c r="U214" s="129">
        <v>164.5</v>
      </c>
      <c r="V214" s="129">
        <v>5.5</v>
      </c>
      <c r="X214" s="129">
        <v>191.5</v>
      </c>
      <c r="AC214" s="129">
        <v>5.9</v>
      </c>
      <c r="AD214" s="129">
        <v>28</v>
      </c>
      <c r="AE214" s="129">
        <v>68.099999999999994</v>
      </c>
      <c r="AF214" s="129">
        <v>178</v>
      </c>
      <c r="AG214" s="129">
        <v>98</v>
      </c>
      <c r="AI214" s="129">
        <v>49</v>
      </c>
      <c r="AJ214" s="129">
        <v>0</v>
      </c>
      <c r="AK214" s="129">
        <v>15</v>
      </c>
      <c r="AL214" s="129">
        <v>0</v>
      </c>
      <c r="AO214" s="129">
        <v>0</v>
      </c>
      <c r="AP214" s="129">
        <v>0</v>
      </c>
      <c r="AQ214" s="129">
        <v>0</v>
      </c>
      <c r="AR214" s="129">
        <v>0</v>
      </c>
      <c r="AS214" s="129">
        <v>0</v>
      </c>
      <c r="AT214" s="129">
        <v>0</v>
      </c>
      <c r="AU214" s="129">
        <v>0</v>
      </c>
      <c r="AV214" s="129">
        <v>0</v>
      </c>
      <c r="AW214" s="129">
        <v>140605</v>
      </c>
      <c r="AX214" s="167">
        <v>45420</v>
      </c>
      <c r="AY214" s="162">
        <f t="shared" si="282"/>
        <v>17</v>
      </c>
      <c r="AZ214" s="163" t="s">
        <v>882</v>
      </c>
      <c r="BA214" s="162" t="b">
        <f t="shared" si="281"/>
        <v>0</v>
      </c>
      <c r="BF214" s="164">
        <f t="shared" si="283"/>
        <v>164.5</v>
      </c>
      <c r="BG214" s="164">
        <f t="shared" si="284"/>
        <v>5.5</v>
      </c>
      <c r="BH214" s="164"/>
      <c r="BI214" s="164">
        <f t="shared" si="285"/>
        <v>5.9</v>
      </c>
      <c r="BJ214" s="164">
        <f t="shared" si="286"/>
        <v>28</v>
      </c>
      <c r="BK214" s="164">
        <f t="shared" si="287"/>
        <v>68.099999999999994</v>
      </c>
      <c r="BL214" s="164">
        <f t="shared" si="288"/>
        <v>178</v>
      </c>
      <c r="BM214" s="164">
        <f t="shared" si="289"/>
        <v>98</v>
      </c>
      <c r="BN214" s="164">
        <f t="shared" si="290"/>
        <v>49</v>
      </c>
      <c r="BO214" s="164">
        <f t="shared" si="291"/>
        <v>0</v>
      </c>
      <c r="BP214" s="164">
        <f t="shared" si="292"/>
        <v>15</v>
      </c>
      <c r="BQ214" s="164">
        <f t="shared" si="293"/>
        <v>15</v>
      </c>
      <c r="BR214" s="164">
        <f t="shared" si="294"/>
        <v>0</v>
      </c>
      <c r="BS214" s="129">
        <f>SUMIF('Audit HD AR - School Level'!$A$6:A3729, "=" &amp; A214,'Audit HD AR - School Level'!$Q$6:Q3729)</f>
        <v>10.3</v>
      </c>
      <c r="BT214" s="168">
        <f t="shared" si="295"/>
        <v>0</v>
      </c>
      <c r="BU214" s="168">
        <f t="shared" si="296"/>
        <v>0</v>
      </c>
      <c r="BW214" s="168">
        <f t="shared" si="297"/>
        <v>0</v>
      </c>
      <c r="BX214" s="164">
        <f t="shared" si="280"/>
        <v>164.5</v>
      </c>
    </row>
    <row r="215" spans="1:78">
      <c r="A215" s="129" t="s">
        <v>340</v>
      </c>
      <c r="U215" s="129">
        <v>129.5</v>
      </c>
      <c r="V215" s="129">
        <v>2.5</v>
      </c>
      <c r="X215" s="129">
        <v>164</v>
      </c>
      <c r="AC215" s="129">
        <v>39.9</v>
      </c>
      <c r="AD215" s="129">
        <v>0</v>
      </c>
      <c r="AE215" s="129">
        <v>0</v>
      </c>
      <c r="AF215" s="129">
        <v>135</v>
      </c>
      <c r="AG215" s="129">
        <v>52</v>
      </c>
      <c r="AI215" s="129">
        <v>29.5</v>
      </c>
      <c r="AJ215" s="129">
        <v>6</v>
      </c>
      <c r="AK215" s="129">
        <v>6.5</v>
      </c>
      <c r="AL215" s="129">
        <v>0</v>
      </c>
      <c r="AO215" s="129">
        <v>0</v>
      </c>
      <c r="AP215" s="129">
        <v>0</v>
      </c>
      <c r="AQ215" s="129">
        <v>0</v>
      </c>
      <c r="AR215" s="129">
        <v>0</v>
      </c>
      <c r="AS215" s="129">
        <v>0</v>
      </c>
      <c r="AT215" s="129">
        <v>0</v>
      </c>
      <c r="AU215" s="129">
        <v>0</v>
      </c>
      <c r="AV215" s="129">
        <v>0</v>
      </c>
      <c r="AW215" s="129">
        <v>88047</v>
      </c>
      <c r="AX215" s="167">
        <v>45420</v>
      </c>
      <c r="AY215" s="162">
        <f t="shared" si="282"/>
        <v>17</v>
      </c>
      <c r="AZ215" s="163" t="s">
        <v>882</v>
      </c>
      <c r="BA215" s="162" t="b">
        <f t="shared" si="281"/>
        <v>0</v>
      </c>
      <c r="BF215" s="164">
        <f t="shared" si="283"/>
        <v>129.5</v>
      </c>
      <c r="BG215" s="164">
        <f t="shared" si="284"/>
        <v>2.5</v>
      </c>
      <c r="BH215" s="164"/>
      <c r="BI215" s="164">
        <f t="shared" si="285"/>
        <v>39.9</v>
      </c>
      <c r="BJ215" s="164">
        <f t="shared" si="286"/>
        <v>0</v>
      </c>
      <c r="BK215" s="164">
        <f t="shared" si="287"/>
        <v>0</v>
      </c>
      <c r="BL215" s="164">
        <f t="shared" si="288"/>
        <v>135</v>
      </c>
      <c r="BM215" s="164">
        <f t="shared" si="289"/>
        <v>52</v>
      </c>
      <c r="BN215" s="164">
        <f t="shared" si="290"/>
        <v>29.5</v>
      </c>
      <c r="BO215" s="164">
        <f t="shared" si="291"/>
        <v>6</v>
      </c>
      <c r="BP215" s="164">
        <f t="shared" si="292"/>
        <v>6.5</v>
      </c>
      <c r="BQ215" s="164">
        <f t="shared" si="293"/>
        <v>6.5</v>
      </c>
      <c r="BR215" s="164">
        <f t="shared" si="294"/>
        <v>0</v>
      </c>
      <c r="BS215" s="129">
        <f>SUMIF('Audit HD AR - School Level'!$A$6:A3730, "=" &amp; A215,'Audit HD AR - School Level'!$Q$6:Q3730)</f>
        <v>2.7</v>
      </c>
      <c r="BT215" s="168">
        <f t="shared" si="295"/>
        <v>0</v>
      </c>
      <c r="BU215" s="168">
        <f t="shared" si="296"/>
        <v>0</v>
      </c>
      <c r="BW215" s="168">
        <f t="shared" si="297"/>
        <v>0</v>
      </c>
      <c r="BX215" s="164">
        <f t="shared" si="280"/>
        <v>129.5</v>
      </c>
    </row>
    <row r="216" spans="1:78">
      <c r="A216" s="129" t="s">
        <v>341</v>
      </c>
      <c r="U216" s="129">
        <v>223.5</v>
      </c>
      <c r="V216" s="129">
        <v>3.5</v>
      </c>
      <c r="X216" s="129">
        <v>229.4</v>
      </c>
      <c r="AC216" s="129">
        <v>29.4</v>
      </c>
      <c r="AD216" s="129">
        <v>0</v>
      </c>
      <c r="AE216" s="129">
        <v>0</v>
      </c>
      <c r="AF216" s="129">
        <v>233</v>
      </c>
      <c r="AG216" s="129">
        <v>140</v>
      </c>
      <c r="AI216" s="129">
        <v>42</v>
      </c>
      <c r="AJ216" s="129">
        <v>0</v>
      </c>
      <c r="AK216" s="129">
        <v>4</v>
      </c>
      <c r="AL216" s="129">
        <v>0</v>
      </c>
      <c r="AO216" s="129">
        <v>1</v>
      </c>
      <c r="AP216" s="129">
        <v>0</v>
      </c>
      <c r="AQ216" s="129">
        <v>0</v>
      </c>
      <c r="AR216" s="129">
        <v>0</v>
      </c>
      <c r="AS216" s="129">
        <v>0</v>
      </c>
      <c r="AT216" s="129">
        <v>0</v>
      </c>
      <c r="AU216" s="129">
        <v>0</v>
      </c>
      <c r="AV216" s="129">
        <v>0</v>
      </c>
      <c r="AW216" s="129">
        <v>41289</v>
      </c>
      <c r="AX216" s="167">
        <v>45420</v>
      </c>
      <c r="AY216" s="162">
        <f t="shared" si="282"/>
        <v>17</v>
      </c>
      <c r="AZ216" s="163" t="s">
        <v>882</v>
      </c>
      <c r="BA216" s="162" t="b">
        <f t="shared" si="281"/>
        <v>0</v>
      </c>
      <c r="BF216" s="164">
        <f t="shared" si="283"/>
        <v>222.5</v>
      </c>
      <c r="BG216" s="164">
        <f t="shared" si="284"/>
        <v>3.5</v>
      </c>
      <c r="BH216" s="164"/>
      <c r="BI216" s="164">
        <f t="shared" si="285"/>
        <v>29.4</v>
      </c>
      <c r="BJ216" s="164">
        <f t="shared" si="286"/>
        <v>0</v>
      </c>
      <c r="BK216" s="164">
        <f t="shared" si="287"/>
        <v>0</v>
      </c>
      <c r="BL216" s="164">
        <f t="shared" si="288"/>
        <v>233</v>
      </c>
      <c r="BM216" s="164">
        <f t="shared" si="289"/>
        <v>140</v>
      </c>
      <c r="BN216" s="164">
        <f t="shared" si="290"/>
        <v>42</v>
      </c>
      <c r="BO216" s="164">
        <f t="shared" si="291"/>
        <v>0</v>
      </c>
      <c r="BP216" s="164">
        <f t="shared" si="292"/>
        <v>4</v>
      </c>
      <c r="BQ216" s="164">
        <f t="shared" si="293"/>
        <v>4</v>
      </c>
      <c r="BR216" s="164">
        <f t="shared" si="294"/>
        <v>0</v>
      </c>
      <c r="BS216" s="129">
        <f>SUMIF('Audit HD AR - School Level'!$A$6:A3731, "=" &amp; A216,'Audit HD AR - School Level'!$Q$6:Q3731)</f>
        <v>14.7</v>
      </c>
      <c r="BT216" s="168">
        <f t="shared" si="295"/>
        <v>0</v>
      </c>
      <c r="BU216" s="168">
        <f t="shared" si="296"/>
        <v>0</v>
      </c>
      <c r="BW216" s="168">
        <f t="shared" si="297"/>
        <v>0</v>
      </c>
      <c r="BX216" s="164">
        <f t="shared" si="280"/>
        <v>222.5</v>
      </c>
    </row>
    <row r="217" spans="1:78">
      <c r="A217" s="129" t="s">
        <v>348</v>
      </c>
      <c r="U217" s="129">
        <v>959.8</v>
      </c>
      <c r="V217" s="129">
        <v>20</v>
      </c>
      <c r="X217" s="129">
        <v>1026</v>
      </c>
      <c r="AC217" s="129">
        <v>188.7</v>
      </c>
      <c r="AD217" s="129">
        <v>12</v>
      </c>
      <c r="AE217" s="129">
        <v>0</v>
      </c>
      <c r="AF217" s="129">
        <v>1006</v>
      </c>
      <c r="AG217" s="129">
        <v>545</v>
      </c>
      <c r="AI217" s="129">
        <v>165</v>
      </c>
      <c r="AJ217" s="129">
        <v>6</v>
      </c>
      <c r="AK217" s="129">
        <v>0</v>
      </c>
      <c r="AL217" s="129">
        <v>0</v>
      </c>
      <c r="AO217" s="129">
        <v>15</v>
      </c>
      <c r="AP217" s="129">
        <v>0</v>
      </c>
      <c r="AQ217" s="129">
        <v>0</v>
      </c>
      <c r="AR217" s="129">
        <v>0</v>
      </c>
      <c r="AS217" s="129">
        <v>0</v>
      </c>
      <c r="AT217" s="129">
        <v>0</v>
      </c>
      <c r="AU217" s="129">
        <v>0</v>
      </c>
      <c r="AV217" s="129">
        <v>0</v>
      </c>
      <c r="AW217" s="129">
        <v>500151</v>
      </c>
      <c r="AX217" s="167">
        <v>45420</v>
      </c>
      <c r="AY217" s="162">
        <f t="shared" si="282"/>
        <v>17</v>
      </c>
      <c r="AZ217" s="163" t="s">
        <v>882</v>
      </c>
      <c r="BA217" s="162" t="b">
        <f t="shared" si="281"/>
        <v>0</v>
      </c>
      <c r="BF217" s="164">
        <f t="shared" si="283"/>
        <v>944.8</v>
      </c>
      <c r="BG217" s="164">
        <f t="shared" si="284"/>
        <v>20</v>
      </c>
      <c r="BH217" s="164"/>
      <c r="BI217" s="164">
        <f t="shared" si="285"/>
        <v>188.7</v>
      </c>
      <c r="BJ217" s="164">
        <f t="shared" si="286"/>
        <v>12</v>
      </c>
      <c r="BK217" s="164">
        <f t="shared" si="287"/>
        <v>0</v>
      </c>
      <c r="BL217" s="164">
        <f t="shared" si="288"/>
        <v>1006</v>
      </c>
      <c r="BM217" s="164">
        <f t="shared" si="289"/>
        <v>545</v>
      </c>
      <c r="BN217" s="164">
        <f t="shared" si="290"/>
        <v>165</v>
      </c>
      <c r="BO217" s="164">
        <f t="shared" si="291"/>
        <v>6</v>
      </c>
      <c r="BP217" s="164">
        <f t="shared" si="292"/>
        <v>0</v>
      </c>
      <c r="BQ217" s="164">
        <f t="shared" si="293"/>
        <v>0</v>
      </c>
      <c r="BR217" s="164">
        <f t="shared" si="294"/>
        <v>0</v>
      </c>
      <c r="BS217" s="129">
        <f>SUMIF('Audit HD AR - School Level'!$A$6:A3733, "=" &amp; A217,'Audit HD AR - School Level'!$Q$6:Q3733)</f>
        <v>52.8</v>
      </c>
      <c r="BT217" s="168">
        <f t="shared" si="295"/>
        <v>0</v>
      </c>
      <c r="BU217" s="168">
        <f t="shared" si="296"/>
        <v>0</v>
      </c>
      <c r="BW217" s="168">
        <f t="shared" si="297"/>
        <v>0</v>
      </c>
      <c r="BX217" s="164">
        <f t="shared" si="280"/>
        <v>944.8</v>
      </c>
    </row>
    <row r="218" spans="1:78">
      <c r="A218" s="129" t="s">
        <v>356</v>
      </c>
      <c r="U218" s="129">
        <v>485</v>
      </c>
      <c r="V218" s="129">
        <v>4.5</v>
      </c>
      <c r="X218" s="129">
        <v>472.5</v>
      </c>
      <c r="AC218" s="129">
        <v>75.5</v>
      </c>
      <c r="AD218" s="129">
        <v>0</v>
      </c>
      <c r="AE218" s="129">
        <v>0</v>
      </c>
      <c r="AF218" s="129">
        <v>496</v>
      </c>
      <c r="AG218" s="129">
        <v>149</v>
      </c>
      <c r="AI218" s="129">
        <v>76</v>
      </c>
      <c r="AJ218" s="129">
        <v>35.5</v>
      </c>
      <c r="AK218" s="129">
        <v>36.5</v>
      </c>
      <c r="AL218" s="129">
        <v>0</v>
      </c>
      <c r="AO218" s="129">
        <v>0</v>
      </c>
      <c r="AP218" s="129">
        <v>0</v>
      </c>
      <c r="AQ218" s="129">
        <v>0</v>
      </c>
      <c r="AR218" s="129">
        <v>0</v>
      </c>
      <c r="AS218" s="129">
        <v>0</v>
      </c>
      <c r="AT218" s="129">
        <v>0</v>
      </c>
      <c r="AU218" s="129">
        <v>0</v>
      </c>
      <c r="AV218" s="129">
        <v>0</v>
      </c>
      <c r="AW218" s="129">
        <v>191570</v>
      </c>
      <c r="AX218" s="167">
        <v>45420</v>
      </c>
      <c r="AY218" s="162">
        <f t="shared" si="282"/>
        <v>17</v>
      </c>
      <c r="AZ218" s="163" t="s">
        <v>882</v>
      </c>
      <c r="BA218" s="162" t="b">
        <f t="shared" si="281"/>
        <v>0</v>
      </c>
      <c r="BF218" s="164">
        <f t="shared" si="283"/>
        <v>485</v>
      </c>
      <c r="BG218" s="164">
        <f t="shared" si="284"/>
        <v>4.5</v>
      </c>
      <c r="BH218" s="164"/>
      <c r="BI218" s="164">
        <f t="shared" si="285"/>
        <v>75.5</v>
      </c>
      <c r="BJ218" s="164">
        <f t="shared" si="286"/>
        <v>0</v>
      </c>
      <c r="BK218" s="164">
        <f t="shared" si="287"/>
        <v>0</v>
      </c>
      <c r="BL218" s="164">
        <f t="shared" si="288"/>
        <v>496</v>
      </c>
      <c r="BM218" s="164">
        <f t="shared" si="289"/>
        <v>149</v>
      </c>
      <c r="BN218" s="164">
        <f t="shared" si="290"/>
        <v>76</v>
      </c>
      <c r="BO218" s="164">
        <f t="shared" si="291"/>
        <v>35.5</v>
      </c>
      <c r="BP218" s="164">
        <f t="shared" si="292"/>
        <v>36.5</v>
      </c>
      <c r="BQ218" s="164">
        <f t="shared" si="293"/>
        <v>36.5</v>
      </c>
      <c r="BR218" s="164">
        <f t="shared" si="294"/>
        <v>0</v>
      </c>
      <c r="BS218" s="129">
        <f>SUMIF('Audit HD AR - School Level'!$A$6:A3734, "=" &amp; A218,'Audit HD AR - School Level'!$Q$6:Q3734)</f>
        <v>0</v>
      </c>
      <c r="BT218" s="168">
        <f t="shared" si="295"/>
        <v>0</v>
      </c>
      <c r="BU218" s="168">
        <f t="shared" si="296"/>
        <v>0</v>
      </c>
      <c r="BW218" s="168">
        <f t="shared" si="297"/>
        <v>0</v>
      </c>
      <c r="BX218" s="164">
        <f t="shared" si="280"/>
        <v>485</v>
      </c>
    </row>
    <row r="219" spans="1:78">
      <c r="A219" s="129" t="s">
        <v>362</v>
      </c>
      <c r="U219" s="129">
        <v>1174.0999999999999</v>
      </c>
      <c r="V219" s="129">
        <v>15.5</v>
      </c>
      <c r="X219" s="129">
        <v>1122.5</v>
      </c>
      <c r="AC219" s="129">
        <v>176.8</v>
      </c>
      <c r="AD219" s="129">
        <v>53</v>
      </c>
      <c r="AE219" s="129">
        <v>241.1</v>
      </c>
      <c r="AF219" s="129">
        <v>1195</v>
      </c>
      <c r="AG219" s="129">
        <v>516</v>
      </c>
      <c r="AI219" s="129">
        <v>128</v>
      </c>
      <c r="AJ219" s="129">
        <v>282</v>
      </c>
      <c r="AK219" s="129">
        <v>10</v>
      </c>
      <c r="AL219" s="129">
        <v>0</v>
      </c>
      <c r="AO219" s="129">
        <v>13</v>
      </c>
      <c r="AP219" s="129">
        <v>0</v>
      </c>
      <c r="AQ219" s="129">
        <v>86.5</v>
      </c>
      <c r="AR219" s="129">
        <v>88</v>
      </c>
      <c r="AS219" s="129">
        <v>73</v>
      </c>
      <c r="AT219" s="129">
        <v>15</v>
      </c>
      <c r="AU219" s="129">
        <v>0</v>
      </c>
      <c r="AV219" s="129">
        <v>0</v>
      </c>
      <c r="AW219" s="129">
        <v>299956</v>
      </c>
      <c r="AX219" s="167">
        <v>45420</v>
      </c>
      <c r="AY219" s="162">
        <f t="shared" si="282"/>
        <v>17</v>
      </c>
      <c r="AZ219" s="163" t="s">
        <v>882</v>
      </c>
      <c r="BA219" s="162" t="b">
        <f t="shared" si="281"/>
        <v>0</v>
      </c>
      <c r="BF219" s="164">
        <f t="shared" si="283"/>
        <v>1073.0999999999999</v>
      </c>
      <c r="BG219" s="164">
        <f t="shared" si="284"/>
        <v>15.5</v>
      </c>
      <c r="BH219" s="164"/>
      <c r="BI219" s="164">
        <f t="shared" si="285"/>
        <v>176.8</v>
      </c>
      <c r="BJ219" s="164">
        <f t="shared" si="286"/>
        <v>53</v>
      </c>
      <c r="BK219" s="164">
        <f t="shared" si="287"/>
        <v>241.1</v>
      </c>
      <c r="BL219" s="164">
        <f t="shared" si="288"/>
        <v>1195</v>
      </c>
      <c r="BM219" s="164">
        <f t="shared" si="289"/>
        <v>516</v>
      </c>
      <c r="BN219" s="164">
        <f t="shared" si="290"/>
        <v>128</v>
      </c>
      <c r="BO219" s="164">
        <f t="shared" si="291"/>
        <v>282</v>
      </c>
      <c r="BP219" s="164">
        <f t="shared" si="292"/>
        <v>10</v>
      </c>
      <c r="BQ219" s="164">
        <f t="shared" si="293"/>
        <v>10</v>
      </c>
      <c r="BR219" s="164">
        <f t="shared" si="294"/>
        <v>0</v>
      </c>
      <c r="BS219" s="129">
        <f>SUMIF('Audit HD AR - School Level'!$A$6:A3735, "=" &amp; A219,'Audit HD AR - School Level'!$Q$6:Q3735)</f>
        <v>30.3</v>
      </c>
      <c r="BT219" s="168">
        <f t="shared" si="295"/>
        <v>-9572</v>
      </c>
      <c r="BU219" s="168">
        <f t="shared" si="296"/>
        <v>-62392</v>
      </c>
      <c r="BV219" s="129">
        <v>-5882</v>
      </c>
      <c r="BW219" s="168">
        <f t="shared" si="297"/>
        <v>-77846</v>
      </c>
      <c r="BX219" s="164">
        <f t="shared" si="280"/>
        <v>1146.0999999999999</v>
      </c>
      <c r="BZ219" s="129">
        <v>1</v>
      </c>
    </row>
    <row r="220" spans="1:78">
      <c r="A220" s="129" t="s">
        <v>367</v>
      </c>
      <c r="U220" s="129">
        <v>138</v>
      </c>
      <c r="V220" s="129">
        <v>4.5</v>
      </c>
      <c r="X220" s="129">
        <v>154.5</v>
      </c>
      <c r="AC220" s="129">
        <v>46.1</v>
      </c>
      <c r="AD220" s="129">
        <v>0</v>
      </c>
      <c r="AE220" s="129">
        <v>0</v>
      </c>
      <c r="AF220" s="129">
        <v>147</v>
      </c>
      <c r="AG220" s="129">
        <v>95</v>
      </c>
      <c r="AI220" s="129">
        <v>97</v>
      </c>
      <c r="AJ220" s="129">
        <v>21.5</v>
      </c>
      <c r="AK220" s="129">
        <v>21</v>
      </c>
      <c r="AL220" s="129">
        <v>0</v>
      </c>
      <c r="AO220" s="129">
        <v>0</v>
      </c>
      <c r="AP220" s="129">
        <v>0</v>
      </c>
      <c r="AQ220" s="129">
        <v>0</v>
      </c>
      <c r="AR220" s="129">
        <v>0</v>
      </c>
      <c r="AS220" s="129">
        <v>0</v>
      </c>
      <c r="AT220" s="129">
        <v>0</v>
      </c>
      <c r="AU220" s="129">
        <v>0</v>
      </c>
      <c r="AV220" s="129">
        <v>0</v>
      </c>
      <c r="AW220" s="129">
        <v>127605</v>
      </c>
      <c r="AX220" s="167">
        <v>45420</v>
      </c>
      <c r="AY220" s="162">
        <f t="shared" si="282"/>
        <v>17</v>
      </c>
      <c r="AZ220" s="163" t="s">
        <v>882</v>
      </c>
      <c r="BA220" s="162" t="b">
        <f t="shared" si="281"/>
        <v>0</v>
      </c>
      <c r="BF220" s="164">
        <f t="shared" si="283"/>
        <v>138</v>
      </c>
      <c r="BG220" s="164">
        <f t="shared" si="284"/>
        <v>4.5</v>
      </c>
      <c r="BH220" s="164"/>
      <c r="BI220" s="164">
        <f t="shared" si="285"/>
        <v>46.1</v>
      </c>
      <c r="BJ220" s="164">
        <f t="shared" si="286"/>
        <v>0</v>
      </c>
      <c r="BK220" s="164">
        <f t="shared" si="287"/>
        <v>0</v>
      </c>
      <c r="BL220" s="164">
        <f t="shared" si="288"/>
        <v>147</v>
      </c>
      <c r="BM220" s="164">
        <f t="shared" si="289"/>
        <v>95</v>
      </c>
      <c r="BN220" s="164">
        <f t="shared" si="290"/>
        <v>97</v>
      </c>
      <c r="BO220" s="164">
        <f t="shared" si="291"/>
        <v>21.5</v>
      </c>
      <c r="BP220" s="164">
        <f t="shared" si="292"/>
        <v>21</v>
      </c>
      <c r="BQ220" s="164">
        <f t="shared" si="293"/>
        <v>21</v>
      </c>
      <c r="BR220" s="164">
        <f t="shared" si="294"/>
        <v>0</v>
      </c>
      <c r="BS220" s="129">
        <f>SUMIF('Audit HD AR - School Level'!$A$6:A3736, "=" &amp; A220,'Audit HD AR - School Level'!$Q$6:Q3736)</f>
        <v>9.9</v>
      </c>
      <c r="BT220" s="168">
        <f t="shared" si="295"/>
        <v>0</v>
      </c>
      <c r="BU220" s="168">
        <f t="shared" si="296"/>
        <v>0</v>
      </c>
      <c r="BW220" s="168">
        <f t="shared" si="297"/>
        <v>0</v>
      </c>
      <c r="BX220" s="164">
        <f t="shared" si="280"/>
        <v>138</v>
      </c>
    </row>
    <row r="221" spans="1:78">
      <c r="A221" s="129" t="s">
        <v>369</v>
      </c>
      <c r="U221" s="129">
        <v>526.20000000000005</v>
      </c>
      <c r="V221" s="129">
        <v>6</v>
      </c>
      <c r="X221" s="129">
        <v>572</v>
      </c>
      <c r="AC221" s="129">
        <v>112.8</v>
      </c>
      <c r="AD221" s="129">
        <v>0</v>
      </c>
      <c r="AE221" s="129">
        <v>0</v>
      </c>
      <c r="AF221" s="129">
        <v>546</v>
      </c>
      <c r="AG221" s="129">
        <v>332</v>
      </c>
      <c r="AI221" s="129">
        <v>136</v>
      </c>
      <c r="AJ221" s="129">
        <v>376</v>
      </c>
      <c r="AK221" s="129">
        <v>32</v>
      </c>
      <c r="AL221" s="129">
        <v>0</v>
      </c>
      <c r="AO221" s="129">
        <v>0</v>
      </c>
      <c r="AP221" s="129">
        <v>0.7</v>
      </c>
      <c r="AQ221" s="129">
        <v>0</v>
      </c>
      <c r="AR221" s="129">
        <v>5</v>
      </c>
      <c r="AS221" s="129">
        <v>0</v>
      </c>
      <c r="AT221" s="129">
        <v>0</v>
      </c>
      <c r="AU221" s="129">
        <v>0</v>
      </c>
      <c r="AV221" s="129">
        <v>0</v>
      </c>
      <c r="AW221" s="129">
        <v>274443</v>
      </c>
      <c r="AX221" s="167">
        <v>45420</v>
      </c>
      <c r="AY221" s="162">
        <f t="shared" si="282"/>
        <v>17</v>
      </c>
      <c r="AZ221" s="163" t="s">
        <v>882</v>
      </c>
      <c r="BA221" s="162" t="b">
        <f t="shared" si="281"/>
        <v>0</v>
      </c>
      <c r="BF221" s="164">
        <f t="shared" si="283"/>
        <v>520.5</v>
      </c>
      <c r="BG221" s="164">
        <f t="shared" si="284"/>
        <v>6</v>
      </c>
      <c r="BH221" s="164"/>
      <c r="BI221" s="164">
        <f t="shared" si="285"/>
        <v>112.8</v>
      </c>
      <c r="BJ221" s="164">
        <f t="shared" si="286"/>
        <v>0</v>
      </c>
      <c r="BK221" s="164">
        <f t="shared" si="287"/>
        <v>0</v>
      </c>
      <c r="BL221" s="164">
        <f t="shared" si="288"/>
        <v>546</v>
      </c>
      <c r="BM221" s="164">
        <f t="shared" si="289"/>
        <v>332</v>
      </c>
      <c r="BN221" s="164">
        <f t="shared" si="290"/>
        <v>136</v>
      </c>
      <c r="BO221" s="164">
        <f t="shared" si="291"/>
        <v>376</v>
      </c>
      <c r="BP221" s="164">
        <f t="shared" si="292"/>
        <v>32</v>
      </c>
      <c r="BQ221" s="164">
        <f t="shared" si="293"/>
        <v>32</v>
      </c>
      <c r="BR221" s="164">
        <f t="shared" si="294"/>
        <v>0</v>
      </c>
      <c r="BS221" s="129">
        <f>SUMIF('Audit HD AR - School Level'!$A$6:A3737, "=" &amp; A221,'Audit HD AR - School Level'!$Q$6:Q3737)</f>
        <v>34.799999999999997</v>
      </c>
      <c r="BT221" s="168">
        <f t="shared" si="295"/>
        <v>0</v>
      </c>
      <c r="BU221" s="168">
        <f t="shared" si="296"/>
        <v>-3545</v>
      </c>
      <c r="BW221" s="168">
        <f t="shared" si="297"/>
        <v>-3545</v>
      </c>
      <c r="BX221" s="164">
        <f t="shared" si="280"/>
        <v>525.5</v>
      </c>
    </row>
    <row r="222" spans="1:78">
      <c r="A222" s="129" t="s">
        <v>371</v>
      </c>
      <c r="U222" s="129">
        <v>308.60000000000002</v>
      </c>
      <c r="V222" s="129">
        <v>14</v>
      </c>
      <c r="X222" s="129">
        <v>341.1</v>
      </c>
      <c r="AC222" s="129">
        <v>81</v>
      </c>
      <c r="AD222" s="129">
        <v>0</v>
      </c>
      <c r="AE222" s="129">
        <v>0</v>
      </c>
      <c r="AF222" s="129">
        <v>341</v>
      </c>
      <c r="AG222" s="129">
        <v>132</v>
      </c>
      <c r="AI222" s="129">
        <v>98.5</v>
      </c>
      <c r="AJ222" s="129">
        <v>23.5</v>
      </c>
      <c r="AK222" s="129">
        <v>7.5</v>
      </c>
      <c r="AL222" s="129">
        <v>0</v>
      </c>
      <c r="AO222" s="129">
        <v>0</v>
      </c>
      <c r="AP222" s="129">
        <v>0</v>
      </c>
      <c r="AQ222" s="129">
        <v>0</v>
      </c>
      <c r="AR222" s="129">
        <v>0</v>
      </c>
      <c r="AS222" s="129">
        <v>0</v>
      </c>
      <c r="AT222" s="129">
        <v>0</v>
      </c>
      <c r="AU222" s="129">
        <v>0</v>
      </c>
      <c r="AV222" s="129">
        <v>0</v>
      </c>
      <c r="AW222" s="129">
        <v>143493</v>
      </c>
      <c r="AX222" s="167">
        <v>45420</v>
      </c>
      <c r="AY222" s="162">
        <f t="shared" si="282"/>
        <v>17</v>
      </c>
      <c r="AZ222" s="163" t="s">
        <v>882</v>
      </c>
      <c r="BA222" s="162" t="b">
        <f t="shared" si="281"/>
        <v>0</v>
      </c>
      <c r="BF222" s="164">
        <f t="shared" si="283"/>
        <v>308.60000000000002</v>
      </c>
      <c r="BG222" s="164">
        <f t="shared" si="284"/>
        <v>14</v>
      </c>
      <c r="BH222" s="164"/>
      <c r="BI222" s="164">
        <f t="shared" si="285"/>
        <v>81</v>
      </c>
      <c r="BJ222" s="164">
        <f t="shared" si="286"/>
        <v>0</v>
      </c>
      <c r="BK222" s="164">
        <f t="shared" si="287"/>
        <v>0</v>
      </c>
      <c r="BL222" s="164">
        <f t="shared" si="288"/>
        <v>341</v>
      </c>
      <c r="BM222" s="164">
        <f t="shared" si="289"/>
        <v>132</v>
      </c>
      <c r="BN222" s="164">
        <f t="shared" si="290"/>
        <v>98.5</v>
      </c>
      <c r="BO222" s="164">
        <f t="shared" si="291"/>
        <v>23.5</v>
      </c>
      <c r="BP222" s="164">
        <f t="shared" si="292"/>
        <v>7.5</v>
      </c>
      <c r="BQ222" s="164">
        <f t="shared" si="293"/>
        <v>7.5</v>
      </c>
      <c r="BR222" s="164">
        <f t="shared" si="294"/>
        <v>0</v>
      </c>
      <c r="BS222" s="129">
        <f>SUMIF('Audit HD AR - School Level'!$A$6:A3738, "=" &amp; A222,'Audit HD AR - School Level'!$Q$6:Q3738)</f>
        <v>4.7</v>
      </c>
      <c r="BT222" s="168">
        <f t="shared" si="295"/>
        <v>0</v>
      </c>
      <c r="BU222" s="168">
        <f t="shared" si="296"/>
        <v>0</v>
      </c>
      <c r="BW222" s="168">
        <f t="shared" si="297"/>
        <v>0</v>
      </c>
      <c r="BX222" s="164">
        <f t="shared" si="280"/>
        <v>308.60000000000002</v>
      </c>
    </row>
    <row r="223" spans="1:78">
      <c r="A223" s="129" t="s">
        <v>378</v>
      </c>
      <c r="U223" s="129">
        <v>91</v>
      </c>
      <c r="V223" s="129">
        <v>1</v>
      </c>
      <c r="X223" s="129">
        <v>120</v>
      </c>
      <c r="AC223" s="129">
        <v>28.4</v>
      </c>
      <c r="AD223" s="129">
        <v>0</v>
      </c>
      <c r="AE223" s="129">
        <v>0</v>
      </c>
      <c r="AF223" s="129">
        <v>93</v>
      </c>
      <c r="AG223" s="129">
        <v>39</v>
      </c>
      <c r="AI223" s="129">
        <v>15</v>
      </c>
      <c r="AJ223" s="129">
        <v>0</v>
      </c>
      <c r="AK223" s="129">
        <v>36</v>
      </c>
      <c r="AL223" s="129">
        <v>0</v>
      </c>
      <c r="AO223" s="129">
        <v>0</v>
      </c>
      <c r="AP223" s="129">
        <v>0</v>
      </c>
      <c r="AQ223" s="129">
        <v>0</v>
      </c>
      <c r="AR223" s="129">
        <v>0</v>
      </c>
      <c r="AS223" s="129">
        <v>0</v>
      </c>
      <c r="AT223" s="129">
        <v>0</v>
      </c>
      <c r="AU223" s="129">
        <v>0</v>
      </c>
      <c r="AV223" s="129">
        <v>1</v>
      </c>
      <c r="AW223" s="129">
        <v>81572</v>
      </c>
      <c r="AX223" s="167">
        <v>45420</v>
      </c>
      <c r="AY223" s="162">
        <f t="shared" si="282"/>
        <v>17</v>
      </c>
      <c r="AZ223" s="163" t="s">
        <v>882</v>
      </c>
      <c r="BA223" s="162" t="b">
        <f t="shared" si="281"/>
        <v>0</v>
      </c>
      <c r="BF223" s="164">
        <f t="shared" si="283"/>
        <v>91</v>
      </c>
      <c r="BG223" s="164">
        <f t="shared" si="284"/>
        <v>1</v>
      </c>
      <c r="BH223" s="164"/>
      <c r="BI223" s="164">
        <f t="shared" si="285"/>
        <v>28.4</v>
      </c>
      <c r="BJ223" s="164">
        <f t="shared" si="286"/>
        <v>0</v>
      </c>
      <c r="BK223" s="164">
        <f t="shared" si="287"/>
        <v>0</v>
      </c>
      <c r="BL223" s="164">
        <f t="shared" si="288"/>
        <v>93</v>
      </c>
      <c r="BM223" s="164">
        <f t="shared" si="289"/>
        <v>39</v>
      </c>
      <c r="BN223" s="164">
        <f t="shared" si="290"/>
        <v>15</v>
      </c>
      <c r="BO223" s="164">
        <f t="shared" si="291"/>
        <v>0</v>
      </c>
      <c r="BP223" s="164">
        <f t="shared" si="292"/>
        <v>36</v>
      </c>
      <c r="BQ223" s="164">
        <f t="shared" si="293"/>
        <v>36</v>
      </c>
      <c r="BR223" s="164">
        <f t="shared" si="294"/>
        <v>0</v>
      </c>
      <c r="BS223" s="129">
        <f>SUMIF('Audit HD AR - School Level'!$A$6:A3739, "=" &amp; A223,'Audit HD AR - School Level'!$Q$6:Q3739)</f>
        <v>1.9</v>
      </c>
      <c r="BT223" s="168">
        <f t="shared" si="295"/>
        <v>0</v>
      </c>
      <c r="BU223" s="168">
        <f t="shared" si="296"/>
        <v>0</v>
      </c>
      <c r="BW223" s="168">
        <f t="shared" si="297"/>
        <v>0</v>
      </c>
      <c r="BX223" s="164">
        <f t="shared" si="280"/>
        <v>91</v>
      </c>
    </row>
    <row r="224" spans="1:78">
      <c r="A224" s="129" t="s">
        <v>380</v>
      </c>
      <c r="U224" s="129">
        <v>114</v>
      </c>
      <c r="V224" s="129">
        <v>5.5</v>
      </c>
      <c r="X224" s="129">
        <v>143.5</v>
      </c>
      <c r="AC224" s="129">
        <v>48.8</v>
      </c>
      <c r="AD224" s="129">
        <v>10</v>
      </c>
      <c r="AE224" s="129">
        <v>14.4</v>
      </c>
      <c r="AF224" s="129">
        <v>125</v>
      </c>
      <c r="AG224" s="129">
        <v>95</v>
      </c>
      <c r="AI224" s="129">
        <v>11</v>
      </c>
      <c r="AJ224" s="129">
        <v>2</v>
      </c>
      <c r="AK224" s="129">
        <v>4</v>
      </c>
      <c r="AL224" s="129">
        <v>0</v>
      </c>
      <c r="AO224" s="129">
        <v>0</v>
      </c>
      <c r="AP224" s="129">
        <v>0</v>
      </c>
      <c r="AQ224" s="129">
        <v>0</v>
      </c>
      <c r="AR224" s="129">
        <v>0</v>
      </c>
      <c r="AS224" s="129">
        <v>0</v>
      </c>
      <c r="AT224" s="129">
        <v>0</v>
      </c>
      <c r="AU224" s="129">
        <v>0</v>
      </c>
      <c r="AV224" s="129">
        <v>0</v>
      </c>
      <c r="AW224" s="129">
        <v>58787</v>
      </c>
      <c r="AX224" s="167">
        <v>45420</v>
      </c>
      <c r="AY224" s="162">
        <f t="shared" si="282"/>
        <v>17</v>
      </c>
      <c r="AZ224" s="163" t="s">
        <v>882</v>
      </c>
      <c r="BA224" s="162" t="b">
        <f t="shared" si="281"/>
        <v>0</v>
      </c>
      <c r="BF224" s="164">
        <f t="shared" si="283"/>
        <v>114</v>
      </c>
      <c r="BG224" s="164">
        <f t="shared" si="284"/>
        <v>5.5</v>
      </c>
      <c r="BH224" s="164"/>
      <c r="BI224" s="164">
        <f t="shared" si="285"/>
        <v>48.8</v>
      </c>
      <c r="BJ224" s="164">
        <f t="shared" si="286"/>
        <v>10</v>
      </c>
      <c r="BK224" s="164">
        <f t="shared" si="287"/>
        <v>14.4</v>
      </c>
      <c r="BL224" s="164">
        <f t="shared" si="288"/>
        <v>125</v>
      </c>
      <c r="BM224" s="164">
        <f t="shared" si="289"/>
        <v>95</v>
      </c>
      <c r="BN224" s="164">
        <f t="shared" si="290"/>
        <v>11</v>
      </c>
      <c r="BO224" s="164">
        <f t="shared" si="291"/>
        <v>2</v>
      </c>
      <c r="BP224" s="164">
        <f t="shared" si="292"/>
        <v>4</v>
      </c>
      <c r="BQ224" s="164">
        <f t="shared" si="293"/>
        <v>4</v>
      </c>
      <c r="BR224" s="164">
        <f t="shared" si="294"/>
        <v>0</v>
      </c>
      <c r="BS224" s="129">
        <f>SUMIF('Audit HD AR - School Level'!$A$6:A3740, "=" &amp; A224,'Audit HD AR - School Level'!$Q$6:Q3740)</f>
        <v>10</v>
      </c>
      <c r="BT224" s="168">
        <f t="shared" si="295"/>
        <v>0</v>
      </c>
      <c r="BU224" s="168">
        <f t="shared" si="296"/>
        <v>0</v>
      </c>
      <c r="BW224" s="168">
        <f t="shared" si="297"/>
        <v>0</v>
      </c>
      <c r="BX224" s="164">
        <f t="shared" si="280"/>
        <v>114</v>
      </c>
    </row>
    <row r="225" spans="1:78">
      <c r="A225" s="129" t="s">
        <v>384</v>
      </c>
      <c r="U225" s="129">
        <v>695.9</v>
      </c>
      <c r="V225" s="129">
        <v>10</v>
      </c>
      <c r="X225" s="129">
        <v>758.2</v>
      </c>
      <c r="AC225" s="129">
        <v>113.3</v>
      </c>
      <c r="AD225" s="129">
        <v>148</v>
      </c>
      <c r="AE225" s="129">
        <v>559</v>
      </c>
      <c r="AF225" s="129">
        <v>722</v>
      </c>
      <c r="AG225" s="129">
        <v>464</v>
      </c>
      <c r="AI225" s="129">
        <v>20</v>
      </c>
      <c r="AJ225" s="129">
        <v>4</v>
      </c>
      <c r="AK225" s="129">
        <v>6</v>
      </c>
      <c r="AL225" s="129">
        <v>0</v>
      </c>
      <c r="AO225" s="129">
        <v>0</v>
      </c>
      <c r="AP225" s="129">
        <v>0</v>
      </c>
      <c r="AQ225" s="129">
        <v>0</v>
      </c>
      <c r="AR225" s="129">
        <v>0</v>
      </c>
      <c r="AS225" s="129">
        <v>0</v>
      </c>
      <c r="AT225" s="129">
        <v>0</v>
      </c>
      <c r="AU225" s="129">
        <v>0</v>
      </c>
      <c r="AV225" s="129">
        <v>0</v>
      </c>
      <c r="AW225" s="129">
        <v>85961</v>
      </c>
      <c r="AX225" s="167">
        <v>45420</v>
      </c>
      <c r="AY225" s="162">
        <f t="shared" si="282"/>
        <v>17</v>
      </c>
      <c r="AZ225" s="163" t="s">
        <v>882</v>
      </c>
      <c r="BA225" s="162" t="b">
        <f t="shared" si="281"/>
        <v>0</v>
      </c>
      <c r="BF225" s="164">
        <f t="shared" si="283"/>
        <v>695.9</v>
      </c>
      <c r="BG225" s="164">
        <f t="shared" si="284"/>
        <v>10</v>
      </c>
      <c r="BH225" s="164"/>
      <c r="BI225" s="164">
        <f t="shared" si="285"/>
        <v>113.3</v>
      </c>
      <c r="BJ225" s="164">
        <f t="shared" si="286"/>
        <v>148</v>
      </c>
      <c r="BK225" s="164">
        <f t="shared" si="287"/>
        <v>559</v>
      </c>
      <c r="BL225" s="164">
        <f t="shared" si="288"/>
        <v>722</v>
      </c>
      <c r="BM225" s="164">
        <f t="shared" si="289"/>
        <v>464</v>
      </c>
      <c r="BN225" s="164">
        <f t="shared" si="290"/>
        <v>20</v>
      </c>
      <c r="BO225" s="164">
        <f t="shared" si="291"/>
        <v>4</v>
      </c>
      <c r="BP225" s="164">
        <f t="shared" si="292"/>
        <v>6</v>
      </c>
      <c r="BQ225" s="164">
        <f t="shared" si="293"/>
        <v>6</v>
      </c>
      <c r="BR225" s="164">
        <f t="shared" si="294"/>
        <v>0</v>
      </c>
      <c r="BS225" s="129">
        <f>SUMIF('Audit HD AR - School Level'!$A$6:A3741, "=" &amp; A225,'Audit HD AR - School Level'!$Q$6:Q3741)</f>
        <v>48.7</v>
      </c>
      <c r="BT225" s="168">
        <f t="shared" si="295"/>
        <v>0</v>
      </c>
      <c r="BU225" s="168">
        <f t="shared" si="296"/>
        <v>0</v>
      </c>
      <c r="BW225" s="168">
        <f t="shared" si="297"/>
        <v>0</v>
      </c>
      <c r="BX225" s="164">
        <f t="shared" si="280"/>
        <v>695.9</v>
      </c>
      <c r="BZ225" s="129">
        <v>1</v>
      </c>
    </row>
    <row r="226" spans="1:78">
      <c r="A226" s="129" t="s">
        <v>399</v>
      </c>
      <c r="U226" s="129">
        <v>260.5</v>
      </c>
      <c r="V226" s="129">
        <v>5</v>
      </c>
      <c r="X226" s="129">
        <v>296</v>
      </c>
      <c r="AC226" s="129">
        <v>49.2</v>
      </c>
      <c r="AD226" s="129">
        <v>21</v>
      </c>
      <c r="AE226" s="129">
        <v>0</v>
      </c>
      <c r="AF226" s="129">
        <v>273</v>
      </c>
      <c r="AG226" s="129">
        <v>100</v>
      </c>
      <c r="AI226" s="129">
        <v>93</v>
      </c>
      <c r="AJ226" s="129">
        <v>0</v>
      </c>
      <c r="AK226" s="129">
        <v>21</v>
      </c>
      <c r="AL226" s="129">
        <v>0</v>
      </c>
      <c r="AO226" s="129">
        <v>0</v>
      </c>
      <c r="AP226" s="129">
        <v>0</v>
      </c>
      <c r="AQ226" s="129">
        <v>41</v>
      </c>
      <c r="AR226" s="129">
        <v>1</v>
      </c>
      <c r="AS226" s="129">
        <v>41</v>
      </c>
      <c r="AT226" s="129">
        <v>0</v>
      </c>
      <c r="AU226" s="129">
        <v>0</v>
      </c>
      <c r="AV226" s="129">
        <v>0</v>
      </c>
      <c r="AW226" s="129">
        <v>188693</v>
      </c>
      <c r="AX226" s="167">
        <v>45420</v>
      </c>
      <c r="AY226" s="162">
        <f t="shared" si="282"/>
        <v>17</v>
      </c>
      <c r="AZ226" s="163" t="s">
        <v>882</v>
      </c>
      <c r="BA226" s="162" t="b">
        <f t="shared" si="281"/>
        <v>0</v>
      </c>
      <c r="BF226" s="164">
        <f t="shared" si="283"/>
        <v>259.5</v>
      </c>
      <c r="BG226" s="164">
        <f t="shared" si="284"/>
        <v>5</v>
      </c>
      <c r="BH226" s="164"/>
      <c r="BI226" s="164">
        <f t="shared" si="285"/>
        <v>49.2</v>
      </c>
      <c r="BJ226" s="164">
        <f t="shared" si="286"/>
        <v>21</v>
      </c>
      <c r="BK226" s="164">
        <f t="shared" si="287"/>
        <v>0</v>
      </c>
      <c r="BL226" s="164">
        <f t="shared" si="288"/>
        <v>273</v>
      </c>
      <c r="BM226" s="164">
        <f t="shared" si="289"/>
        <v>100</v>
      </c>
      <c r="BN226" s="164">
        <f t="shared" si="290"/>
        <v>93</v>
      </c>
      <c r="BO226" s="164">
        <f t="shared" si="291"/>
        <v>0</v>
      </c>
      <c r="BP226" s="164">
        <f t="shared" si="292"/>
        <v>21</v>
      </c>
      <c r="BQ226" s="164">
        <f t="shared" si="293"/>
        <v>21</v>
      </c>
      <c r="BR226" s="164">
        <f t="shared" si="294"/>
        <v>0</v>
      </c>
      <c r="BS226" s="129">
        <f>SUMIF('Audit HD AR - School Level'!$A$6:A3742, "=" &amp; A226,'Audit HD AR - School Level'!$Q$6:Q3742)</f>
        <v>3.4</v>
      </c>
      <c r="BT226" s="168">
        <f t="shared" si="295"/>
        <v>0</v>
      </c>
      <c r="BU226" s="168">
        <f t="shared" si="296"/>
        <v>-709</v>
      </c>
      <c r="BV226" s="129">
        <v>-33527</v>
      </c>
      <c r="BW226" s="168">
        <f t="shared" si="297"/>
        <v>-34236</v>
      </c>
      <c r="BX226" s="164">
        <f t="shared" si="280"/>
        <v>260.5</v>
      </c>
    </row>
    <row r="227" spans="1:78">
      <c r="A227" s="129" t="s">
        <v>402</v>
      </c>
      <c r="U227" s="129">
        <v>2789.7</v>
      </c>
      <c r="V227" s="129">
        <v>49.5</v>
      </c>
      <c r="X227" s="129">
        <v>2819.7</v>
      </c>
      <c r="AC227" s="129">
        <v>590.5</v>
      </c>
      <c r="AD227" s="129">
        <v>488</v>
      </c>
      <c r="AE227" s="129">
        <v>1499.4</v>
      </c>
      <c r="AF227" s="129">
        <v>2902</v>
      </c>
      <c r="AG227" s="129">
        <v>1725</v>
      </c>
      <c r="AI227" s="129">
        <v>170</v>
      </c>
      <c r="AJ227" s="129">
        <v>5</v>
      </c>
      <c r="AK227" s="129">
        <v>2</v>
      </c>
      <c r="AL227" s="129">
        <v>0</v>
      </c>
      <c r="AO227" s="129">
        <v>11</v>
      </c>
      <c r="AP227" s="129">
        <v>0.8</v>
      </c>
      <c r="AQ227" s="129">
        <v>0</v>
      </c>
      <c r="AR227" s="129">
        <v>0</v>
      </c>
      <c r="AS227" s="129">
        <v>0</v>
      </c>
      <c r="AT227" s="129">
        <v>0</v>
      </c>
      <c r="AU227" s="129">
        <v>0</v>
      </c>
      <c r="AV227" s="129">
        <v>0</v>
      </c>
      <c r="AW227" s="129">
        <v>112705</v>
      </c>
      <c r="AX227" s="167">
        <v>45420</v>
      </c>
      <c r="AY227" s="162">
        <f t="shared" si="282"/>
        <v>17</v>
      </c>
      <c r="AZ227" s="163" t="s">
        <v>882</v>
      </c>
      <c r="BA227" s="162" t="b">
        <f t="shared" si="281"/>
        <v>0</v>
      </c>
      <c r="BF227" s="164">
        <f t="shared" si="283"/>
        <v>2777.9</v>
      </c>
      <c r="BG227" s="164">
        <f t="shared" si="284"/>
        <v>49.5</v>
      </c>
      <c r="BH227" s="164"/>
      <c r="BI227" s="164">
        <f t="shared" si="285"/>
        <v>590.5</v>
      </c>
      <c r="BJ227" s="164">
        <f t="shared" si="286"/>
        <v>488</v>
      </c>
      <c r="BK227" s="164">
        <f t="shared" si="287"/>
        <v>1499.4</v>
      </c>
      <c r="BL227" s="164">
        <f t="shared" si="288"/>
        <v>2902</v>
      </c>
      <c r="BM227" s="164">
        <f t="shared" si="289"/>
        <v>1725</v>
      </c>
      <c r="BN227" s="164">
        <f t="shared" si="290"/>
        <v>170</v>
      </c>
      <c r="BO227" s="164">
        <f t="shared" si="291"/>
        <v>5</v>
      </c>
      <c r="BP227" s="164">
        <f t="shared" si="292"/>
        <v>2</v>
      </c>
      <c r="BQ227" s="164">
        <f t="shared" si="293"/>
        <v>2</v>
      </c>
      <c r="BR227" s="164">
        <f t="shared" si="294"/>
        <v>0</v>
      </c>
      <c r="BS227" s="129">
        <f>SUMIF('Audit HD AR - School Level'!$A$6:A3743, "=" &amp; A227,'Audit HD AR - School Level'!$Q$6:Q3743)</f>
        <v>173.3</v>
      </c>
      <c r="BT227" s="168">
        <f t="shared" si="295"/>
        <v>0</v>
      </c>
      <c r="BU227" s="168">
        <f t="shared" si="296"/>
        <v>0</v>
      </c>
      <c r="BW227" s="168">
        <f t="shared" si="297"/>
        <v>0</v>
      </c>
      <c r="BX227" s="164">
        <f t="shared" si="280"/>
        <v>2777.9</v>
      </c>
    </row>
    <row r="228" spans="1:78">
      <c r="A228" s="129" t="s">
        <v>415</v>
      </c>
      <c r="U228" s="129">
        <v>273</v>
      </c>
      <c r="V228" s="129">
        <v>4</v>
      </c>
      <c r="X228" s="129">
        <v>277.5</v>
      </c>
      <c r="AC228" s="129">
        <v>102.1</v>
      </c>
      <c r="AD228" s="129">
        <v>0</v>
      </c>
      <c r="AE228" s="129">
        <v>0</v>
      </c>
      <c r="AF228" s="129">
        <v>282</v>
      </c>
      <c r="AG228" s="129">
        <v>71</v>
      </c>
      <c r="AI228" s="129">
        <v>139.5</v>
      </c>
      <c r="AJ228" s="129">
        <v>14</v>
      </c>
      <c r="AK228" s="129">
        <v>67</v>
      </c>
      <c r="AL228" s="129">
        <v>0</v>
      </c>
      <c r="AO228" s="129">
        <v>0</v>
      </c>
      <c r="AP228" s="129">
        <v>0</v>
      </c>
      <c r="AQ228" s="129">
        <v>0</v>
      </c>
      <c r="AR228" s="129">
        <v>0</v>
      </c>
      <c r="AS228" s="129">
        <v>0</v>
      </c>
      <c r="AT228" s="129">
        <v>0</v>
      </c>
      <c r="AU228" s="129">
        <v>0</v>
      </c>
      <c r="AV228" s="129">
        <v>0</v>
      </c>
      <c r="AW228" s="129">
        <v>178828</v>
      </c>
      <c r="AX228" s="167">
        <v>45420</v>
      </c>
      <c r="AY228" s="162">
        <f t="shared" si="282"/>
        <v>17</v>
      </c>
      <c r="AZ228" s="163" t="s">
        <v>882</v>
      </c>
      <c r="BA228" s="162" t="b">
        <f t="shared" si="281"/>
        <v>0</v>
      </c>
      <c r="BF228" s="164">
        <f t="shared" si="283"/>
        <v>273</v>
      </c>
      <c r="BG228" s="164">
        <f t="shared" si="284"/>
        <v>4</v>
      </c>
      <c r="BH228" s="164"/>
      <c r="BI228" s="164">
        <f t="shared" si="285"/>
        <v>102.1</v>
      </c>
      <c r="BJ228" s="164">
        <f t="shared" si="286"/>
        <v>0</v>
      </c>
      <c r="BK228" s="164">
        <f t="shared" si="287"/>
        <v>0</v>
      </c>
      <c r="BL228" s="164">
        <f t="shared" si="288"/>
        <v>282</v>
      </c>
      <c r="BM228" s="164">
        <f t="shared" si="289"/>
        <v>71</v>
      </c>
      <c r="BN228" s="164">
        <f t="shared" si="290"/>
        <v>139.5</v>
      </c>
      <c r="BO228" s="164">
        <f t="shared" si="291"/>
        <v>14</v>
      </c>
      <c r="BP228" s="164">
        <f t="shared" si="292"/>
        <v>67</v>
      </c>
      <c r="BQ228" s="164">
        <f t="shared" si="293"/>
        <v>67</v>
      </c>
      <c r="BR228" s="164">
        <f t="shared" si="294"/>
        <v>0</v>
      </c>
      <c r="BS228" s="129">
        <f>SUMIF('Audit HD AR - School Level'!$A$6:A3744, "=" &amp; A228,'Audit HD AR - School Level'!$Q$6:Q3744)</f>
        <v>0</v>
      </c>
      <c r="BT228" s="168">
        <f t="shared" si="295"/>
        <v>0</v>
      </c>
      <c r="BU228" s="168">
        <f t="shared" si="296"/>
        <v>0</v>
      </c>
      <c r="BW228" s="168">
        <f t="shared" si="297"/>
        <v>0</v>
      </c>
      <c r="BX228" s="164">
        <f t="shared" si="280"/>
        <v>273</v>
      </c>
      <c r="BZ228" s="129">
        <v>1</v>
      </c>
    </row>
    <row r="229" spans="1:78">
      <c r="A229" s="129" t="s">
        <v>423</v>
      </c>
      <c r="U229" s="129">
        <v>3359.6</v>
      </c>
      <c r="V229" s="129">
        <v>26.5</v>
      </c>
      <c r="X229" s="129">
        <v>3492.7</v>
      </c>
      <c r="AC229" s="129">
        <v>539.9</v>
      </c>
      <c r="AD229" s="129">
        <v>33</v>
      </c>
      <c r="AE229" s="129">
        <v>21</v>
      </c>
      <c r="AF229" s="129">
        <v>3430</v>
      </c>
      <c r="AG229" s="129">
        <v>1699</v>
      </c>
      <c r="AI229" s="129">
        <v>728</v>
      </c>
      <c r="AJ229" s="129">
        <v>6</v>
      </c>
      <c r="AK229" s="129">
        <v>5</v>
      </c>
      <c r="AL229" s="129">
        <v>0</v>
      </c>
      <c r="AO229" s="129">
        <v>22</v>
      </c>
      <c r="AP229" s="129">
        <v>0.9</v>
      </c>
      <c r="AQ229" s="129">
        <v>0</v>
      </c>
      <c r="AR229" s="129">
        <v>0</v>
      </c>
      <c r="AS229" s="129">
        <v>0</v>
      </c>
      <c r="AT229" s="129">
        <v>0</v>
      </c>
      <c r="AU229" s="129">
        <v>0</v>
      </c>
      <c r="AV229" s="129">
        <v>0</v>
      </c>
      <c r="AW229" s="129">
        <v>800468</v>
      </c>
      <c r="AX229" s="167">
        <v>45420</v>
      </c>
      <c r="AY229" s="162">
        <f t="shared" si="282"/>
        <v>17</v>
      </c>
      <c r="AZ229" s="163" t="s">
        <v>882</v>
      </c>
      <c r="BA229" s="162" t="b">
        <f t="shared" si="281"/>
        <v>0</v>
      </c>
      <c r="BF229" s="164">
        <f t="shared" si="283"/>
        <v>3336.7</v>
      </c>
      <c r="BG229" s="164">
        <f t="shared" si="284"/>
        <v>26.5</v>
      </c>
      <c r="BH229" s="164"/>
      <c r="BI229" s="164">
        <f t="shared" si="285"/>
        <v>539.9</v>
      </c>
      <c r="BJ229" s="164">
        <f t="shared" si="286"/>
        <v>33</v>
      </c>
      <c r="BK229" s="164">
        <f t="shared" si="287"/>
        <v>21</v>
      </c>
      <c r="BL229" s="164">
        <f t="shared" si="288"/>
        <v>3430</v>
      </c>
      <c r="BM229" s="164">
        <f t="shared" si="289"/>
        <v>1699</v>
      </c>
      <c r="BN229" s="164">
        <f t="shared" si="290"/>
        <v>728</v>
      </c>
      <c r="BO229" s="164">
        <f t="shared" si="291"/>
        <v>6</v>
      </c>
      <c r="BP229" s="164">
        <f t="shared" si="292"/>
        <v>5</v>
      </c>
      <c r="BQ229" s="164">
        <f t="shared" si="293"/>
        <v>5</v>
      </c>
      <c r="BR229" s="164">
        <f t="shared" si="294"/>
        <v>0</v>
      </c>
      <c r="BS229" s="129">
        <f>SUMIF('Audit HD AR - School Level'!$A$6:A3745, "=" &amp; A229,'Audit HD AR - School Level'!$Q$6:Q3745)</f>
        <v>133.9</v>
      </c>
      <c r="BT229" s="168">
        <f t="shared" si="295"/>
        <v>0</v>
      </c>
      <c r="BU229" s="168">
        <f t="shared" si="296"/>
        <v>0</v>
      </c>
      <c r="BW229" s="168">
        <f t="shared" si="297"/>
        <v>0</v>
      </c>
      <c r="BX229" s="164">
        <f t="shared" si="280"/>
        <v>3336.7</v>
      </c>
    </row>
    <row r="230" spans="1:78">
      <c r="A230" s="129" t="s">
        <v>438</v>
      </c>
      <c r="U230" s="129">
        <v>2470</v>
      </c>
      <c r="V230" s="129">
        <v>10</v>
      </c>
      <c r="X230" s="129">
        <v>2584.3000000000002</v>
      </c>
      <c r="AC230" s="129">
        <v>252.8</v>
      </c>
      <c r="AD230" s="129">
        <v>25</v>
      </c>
      <c r="AE230" s="129">
        <v>32.5</v>
      </c>
      <c r="AF230" s="129">
        <v>2490</v>
      </c>
      <c r="AG230" s="129">
        <v>725</v>
      </c>
      <c r="AI230" s="129">
        <v>773</v>
      </c>
      <c r="AJ230" s="129">
        <v>14</v>
      </c>
      <c r="AK230" s="129">
        <v>17</v>
      </c>
      <c r="AL230" s="129">
        <v>0</v>
      </c>
      <c r="AO230" s="129">
        <v>18</v>
      </c>
      <c r="AP230" s="129">
        <v>1.4</v>
      </c>
      <c r="AQ230" s="129">
        <v>0</v>
      </c>
      <c r="AR230" s="129">
        <v>5</v>
      </c>
      <c r="AS230" s="129">
        <v>0</v>
      </c>
      <c r="AT230" s="129">
        <v>0</v>
      </c>
      <c r="AU230" s="129">
        <v>0</v>
      </c>
      <c r="AV230" s="129">
        <v>0</v>
      </c>
      <c r="AW230" s="129">
        <v>735227</v>
      </c>
      <c r="AX230" s="167">
        <v>45420</v>
      </c>
      <c r="AY230" s="162">
        <f t="shared" si="282"/>
        <v>17</v>
      </c>
      <c r="AZ230" s="163" t="s">
        <v>882</v>
      </c>
      <c r="BA230" s="162" t="b">
        <f t="shared" si="281"/>
        <v>0</v>
      </c>
      <c r="BF230" s="164">
        <f t="shared" si="283"/>
        <v>2445.6</v>
      </c>
      <c r="BG230" s="164">
        <f t="shared" si="284"/>
        <v>10</v>
      </c>
      <c r="BH230" s="164"/>
      <c r="BI230" s="164">
        <f t="shared" si="285"/>
        <v>252.8</v>
      </c>
      <c r="BJ230" s="164">
        <f t="shared" si="286"/>
        <v>25</v>
      </c>
      <c r="BK230" s="164">
        <f t="shared" si="287"/>
        <v>32.5</v>
      </c>
      <c r="BL230" s="164">
        <f t="shared" si="288"/>
        <v>2490</v>
      </c>
      <c r="BM230" s="164">
        <f t="shared" si="289"/>
        <v>725</v>
      </c>
      <c r="BN230" s="164">
        <f t="shared" si="290"/>
        <v>773</v>
      </c>
      <c r="BO230" s="164">
        <f t="shared" si="291"/>
        <v>14</v>
      </c>
      <c r="BP230" s="164">
        <f t="shared" si="292"/>
        <v>17</v>
      </c>
      <c r="BQ230" s="164">
        <f t="shared" si="293"/>
        <v>17</v>
      </c>
      <c r="BR230" s="164">
        <f t="shared" si="294"/>
        <v>0</v>
      </c>
      <c r="BS230" s="129">
        <f>SUMIF('Audit HD AR - School Level'!$A$6:A3746, "=" &amp; A230,'Audit HD AR - School Level'!$Q$6:Q3746)</f>
        <v>3</v>
      </c>
      <c r="BT230" s="168">
        <f t="shared" si="295"/>
        <v>0</v>
      </c>
      <c r="BU230" s="168">
        <f t="shared" si="296"/>
        <v>-3545</v>
      </c>
      <c r="BV230" s="129">
        <v>-7665</v>
      </c>
      <c r="BW230" s="168">
        <f t="shared" si="297"/>
        <v>-11210</v>
      </c>
      <c r="BX230" s="164">
        <f t="shared" si="280"/>
        <v>2450.6</v>
      </c>
    </row>
    <row r="231" spans="1:78">
      <c r="A231" s="129" t="s">
        <v>208</v>
      </c>
      <c r="U231" s="129">
        <v>492.9</v>
      </c>
      <c r="V231" s="129">
        <v>9.5</v>
      </c>
      <c r="X231" s="129">
        <v>514.5</v>
      </c>
      <c r="AC231" s="129">
        <v>266</v>
      </c>
      <c r="AD231" s="129">
        <v>4</v>
      </c>
      <c r="AE231" s="129">
        <v>8</v>
      </c>
      <c r="AF231" s="129">
        <v>520</v>
      </c>
      <c r="AG231" s="129">
        <v>181</v>
      </c>
      <c r="AI231" s="129">
        <v>290</v>
      </c>
      <c r="AJ231" s="129">
        <v>16</v>
      </c>
      <c r="AK231" s="129">
        <v>3</v>
      </c>
      <c r="AL231" s="129">
        <v>0</v>
      </c>
      <c r="AO231" s="129">
        <v>0</v>
      </c>
      <c r="AP231" s="129">
        <v>0</v>
      </c>
      <c r="AQ231" s="129">
        <v>0</v>
      </c>
      <c r="AR231" s="129">
        <v>0</v>
      </c>
      <c r="AS231" s="129">
        <v>0</v>
      </c>
      <c r="AT231" s="129">
        <v>0</v>
      </c>
      <c r="AU231" s="129">
        <v>0</v>
      </c>
      <c r="AV231" s="129">
        <v>0</v>
      </c>
      <c r="AW231" s="129">
        <v>361747</v>
      </c>
      <c r="AX231" s="167">
        <v>45425</v>
      </c>
      <c r="AY231" s="162">
        <f t="shared" si="282"/>
        <v>18</v>
      </c>
      <c r="AZ231" s="163" t="s">
        <v>882</v>
      </c>
      <c r="BA231" s="162" t="b">
        <f t="shared" si="281"/>
        <v>0</v>
      </c>
      <c r="BF231" s="164">
        <f t="shared" ref="BF231:BF249" si="298">SUM(U231+C231-AO231-AP231-AR231)</f>
        <v>492.9</v>
      </c>
      <c r="BG231" s="164">
        <f t="shared" ref="BG231:BG249" si="299">SUM(E231+F231+V231+W231)</f>
        <v>9.5</v>
      </c>
      <c r="BH231" s="164"/>
      <c r="BI231" s="164">
        <f t="shared" ref="BI231:BI249" si="300">SUM(AC231+H231)</f>
        <v>266</v>
      </c>
      <c r="BJ231" s="164">
        <f t="shared" ref="BJ231:BJ249" si="301">SUM(AD231+I231)</f>
        <v>4</v>
      </c>
      <c r="BK231" s="164">
        <f t="shared" ref="BK231:BK249" si="302">SUM(AE231+J231)</f>
        <v>8</v>
      </c>
      <c r="BL231" s="164">
        <f t="shared" ref="BL231:BL249" si="303">SUM(AF231+K231)</f>
        <v>520</v>
      </c>
      <c r="BM231" s="164">
        <f t="shared" ref="BM231:BM249" si="304">SUM(AG231+L231)</f>
        <v>181</v>
      </c>
      <c r="BN231" s="164">
        <f t="shared" ref="BN231:BN249" si="305">SUM(AI231+Q231)</f>
        <v>290</v>
      </c>
      <c r="BO231" s="164">
        <f t="shared" ref="BO231:BO249" si="306">SUM(AJ231+R231)</f>
        <v>16</v>
      </c>
      <c r="BP231" s="164">
        <f t="shared" ref="BP231:BP249" si="307">SUM(AK231+R231)</f>
        <v>3</v>
      </c>
      <c r="BQ231" s="164">
        <f t="shared" ref="BQ231:BQ249" si="308">SUM(S231+AK231)</f>
        <v>3</v>
      </c>
      <c r="BR231" s="164">
        <f t="shared" ref="BR231:BR249" si="309">SUM(T231+AL231)</f>
        <v>0</v>
      </c>
      <c r="BS231" s="129">
        <f>SUMIF('Audit HD AR - School Level'!$A$6:A3749, "=" &amp; A231,'Audit HD AR - School Level'!$Q$6:Q3749)</f>
        <v>0.9</v>
      </c>
      <c r="BT231" s="168">
        <f t="shared" ref="BT231:BT249" si="310">SUM(AS231-AQ231)*$BT$2</f>
        <v>0</v>
      </c>
      <c r="BU231" s="168">
        <f t="shared" ref="BU231:BU249" si="311">SUM(AU231-AR231)*$BT$2</f>
        <v>0</v>
      </c>
      <c r="BW231" s="168">
        <f t="shared" ref="BW231:BW249" si="312">IF(BT231+BU231+BV231&gt;0,0,BT231+BU231+BV231)</f>
        <v>0</v>
      </c>
      <c r="BX231" s="164">
        <f t="shared" si="280"/>
        <v>492.9</v>
      </c>
    </row>
    <row r="232" spans="1:78">
      <c r="A232" s="129" t="s">
        <v>216</v>
      </c>
      <c r="U232" s="129">
        <v>1453.4</v>
      </c>
      <c r="V232" s="129">
        <v>19.5</v>
      </c>
      <c r="X232" s="129">
        <v>1454</v>
      </c>
      <c r="AC232" s="129">
        <v>533.29999999999995</v>
      </c>
      <c r="AD232" s="129">
        <v>380</v>
      </c>
      <c r="AE232" s="129">
        <v>1471.4</v>
      </c>
      <c r="AF232" s="129">
        <v>1430</v>
      </c>
      <c r="AG232" s="129">
        <v>846</v>
      </c>
      <c r="AI232" s="129">
        <v>205</v>
      </c>
      <c r="AJ232" s="129">
        <v>153</v>
      </c>
      <c r="AK232" s="129">
        <v>0</v>
      </c>
      <c r="AL232" s="129">
        <v>20</v>
      </c>
      <c r="AO232" s="129">
        <v>34</v>
      </c>
      <c r="AP232" s="129">
        <v>13</v>
      </c>
      <c r="AQ232" s="129">
        <v>75</v>
      </c>
      <c r="AR232" s="129">
        <v>0</v>
      </c>
      <c r="AS232" s="129">
        <v>57</v>
      </c>
      <c r="AT232" s="129">
        <v>28</v>
      </c>
      <c r="AU232" s="129">
        <v>0</v>
      </c>
      <c r="AV232" s="129">
        <v>0</v>
      </c>
      <c r="AW232" s="129">
        <v>325871</v>
      </c>
      <c r="AX232" s="167">
        <v>45425</v>
      </c>
      <c r="AY232" s="162">
        <f t="shared" si="282"/>
        <v>18</v>
      </c>
      <c r="AZ232" s="163" t="s">
        <v>882</v>
      </c>
      <c r="BA232" s="162" t="b">
        <f t="shared" si="281"/>
        <v>0</v>
      </c>
      <c r="BF232" s="164">
        <f t="shared" si="298"/>
        <v>1406.4</v>
      </c>
      <c r="BG232" s="164">
        <f t="shared" si="299"/>
        <v>19.5</v>
      </c>
      <c r="BH232" s="164"/>
      <c r="BI232" s="164">
        <f t="shared" si="300"/>
        <v>533.29999999999995</v>
      </c>
      <c r="BJ232" s="164">
        <f t="shared" si="301"/>
        <v>380</v>
      </c>
      <c r="BK232" s="164">
        <f t="shared" si="302"/>
        <v>1471.4</v>
      </c>
      <c r="BL232" s="164">
        <f t="shared" si="303"/>
        <v>1430</v>
      </c>
      <c r="BM232" s="164">
        <f t="shared" si="304"/>
        <v>846</v>
      </c>
      <c r="BN232" s="164">
        <f t="shared" si="305"/>
        <v>205</v>
      </c>
      <c r="BO232" s="164">
        <f t="shared" si="306"/>
        <v>153</v>
      </c>
      <c r="BP232" s="164">
        <f t="shared" si="307"/>
        <v>0</v>
      </c>
      <c r="BQ232" s="164">
        <f t="shared" si="308"/>
        <v>0</v>
      </c>
      <c r="BR232" s="164">
        <f t="shared" si="309"/>
        <v>20</v>
      </c>
      <c r="BS232" s="129">
        <f>SUMIF('Audit HD AR - School Level'!$A$6:A3750, "=" &amp; A232,'Audit HD AR - School Level'!$Q$6:Q3750)</f>
        <v>86.9</v>
      </c>
      <c r="BT232" s="168">
        <f t="shared" si="310"/>
        <v>-12762</v>
      </c>
      <c r="BU232" s="168">
        <f t="shared" si="311"/>
        <v>0</v>
      </c>
      <c r="BW232" s="168">
        <f t="shared" si="312"/>
        <v>-12762</v>
      </c>
      <c r="BX232" s="164">
        <f t="shared" si="280"/>
        <v>1378.4</v>
      </c>
    </row>
    <row r="233" spans="1:78">
      <c r="A233" s="129" t="s">
        <v>255</v>
      </c>
      <c r="U233" s="129">
        <v>974.5</v>
      </c>
      <c r="V233" s="129">
        <v>7.5</v>
      </c>
      <c r="X233" s="129">
        <v>637.5</v>
      </c>
      <c r="AC233" s="129">
        <v>257</v>
      </c>
      <c r="AD233" s="129">
        <v>0</v>
      </c>
      <c r="AE233" s="129">
        <v>0</v>
      </c>
      <c r="AF233" s="129">
        <v>601</v>
      </c>
      <c r="AG233" s="129">
        <v>270</v>
      </c>
      <c r="AI233" s="129">
        <v>100</v>
      </c>
      <c r="AJ233" s="129">
        <v>34</v>
      </c>
      <c r="AK233" s="129">
        <v>32</v>
      </c>
      <c r="AL233" s="129">
        <v>0</v>
      </c>
      <c r="AO233" s="129">
        <v>303</v>
      </c>
      <c r="AP233" s="129">
        <v>0</v>
      </c>
      <c r="AQ233" s="129">
        <v>330</v>
      </c>
      <c r="AR233" s="129">
        <v>0</v>
      </c>
      <c r="AS233" s="129">
        <v>326</v>
      </c>
      <c r="AT233" s="129">
        <v>92</v>
      </c>
      <c r="AU233" s="129">
        <v>0</v>
      </c>
      <c r="AV233" s="129">
        <v>0</v>
      </c>
      <c r="AW233" s="129">
        <v>128913</v>
      </c>
      <c r="AX233" s="167">
        <v>45425</v>
      </c>
      <c r="AY233" s="162">
        <f t="shared" si="282"/>
        <v>18</v>
      </c>
      <c r="AZ233" s="163" t="s">
        <v>882</v>
      </c>
      <c r="BA233" s="162" t="b">
        <f t="shared" si="281"/>
        <v>0</v>
      </c>
      <c r="BF233" s="164">
        <f t="shared" si="298"/>
        <v>671.5</v>
      </c>
      <c r="BG233" s="164">
        <f t="shared" si="299"/>
        <v>7.5</v>
      </c>
      <c r="BH233" s="164"/>
      <c r="BI233" s="164">
        <f t="shared" si="300"/>
        <v>257</v>
      </c>
      <c r="BJ233" s="164">
        <f t="shared" si="301"/>
        <v>0</v>
      </c>
      <c r="BK233" s="164">
        <f t="shared" si="302"/>
        <v>0</v>
      </c>
      <c r="BL233" s="164">
        <f t="shared" si="303"/>
        <v>601</v>
      </c>
      <c r="BM233" s="164">
        <f t="shared" si="304"/>
        <v>270</v>
      </c>
      <c r="BN233" s="164">
        <f t="shared" si="305"/>
        <v>100</v>
      </c>
      <c r="BO233" s="164">
        <f t="shared" si="306"/>
        <v>34</v>
      </c>
      <c r="BP233" s="164">
        <f t="shared" si="307"/>
        <v>32</v>
      </c>
      <c r="BQ233" s="164">
        <f t="shared" si="308"/>
        <v>32</v>
      </c>
      <c r="BR233" s="164">
        <f t="shared" si="309"/>
        <v>0</v>
      </c>
      <c r="BS233" s="129">
        <f>SUMIF('Audit HD AR - School Level'!$A$6:A3752, "=" &amp; A233,'Audit HD AR - School Level'!$Q$6:Q3752)</f>
        <v>18.7</v>
      </c>
      <c r="BT233" s="168">
        <f t="shared" si="310"/>
        <v>-2836</v>
      </c>
      <c r="BU233" s="168">
        <f t="shared" si="311"/>
        <v>0</v>
      </c>
      <c r="BW233" s="168">
        <f t="shared" si="312"/>
        <v>-2836</v>
      </c>
      <c r="BX233" s="164">
        <f t="shared" si="280"/>
        <v>579.5</v>
      </c>
    </row>
    <row r="234" spans="1:78">
      <c r="A234" s="129" t="s">
        <v>263</v>
      </c>
      <c r="U234" s="129">
        <v>7783.5</v>
      </c>
      <c r="V234" s="129">
        <v>48</v>
      </c>
      <c r="X234" s="129">
        <v>7345.6</v>
      </c>
      <c r="AC234" s="129">
        <v>2514.6</v>
      </c>
      <c r="AD234" s="129">
        <v>234</v>
      </c>
      <c r="AE234" s="129">
        <v>507.2</v>
      </c>
      <c r="AF234" s="129">
        <v>7464</v>
      </c>
      <c r="AG234" s="129">
        <v>1806</v>
      </c>
      <c r="AI234" s="129">
        <v>4443</v>
      </c>
      <c r="AJ234" s="129">
        <v>24</v>
      </c>
      <c r="AK234" s="129">
        <v>107</v>
      </c>
      <c r="AL234" s="129">
        <v>0</v>
      </c>
      <c r="AO234" s="129">
        <v>472</v>
      </c>
      <c r="AP234" s="129">
        <v>0</v>
      </c>
      <c r="AQ234" s="129">
        <v>0</v>
      </c>
      <c r="AR234" s="129">
        <v>0</v>
      </c>
      <c r="AS234" s="129">
        <v>0</v>
      </c>
      <c r="AT234" s="129">
        <v>0</v>
      </c>
      <c r="AU234" s="129">
        <v>0</v>
      </c>
      <c r="AV234" s="129">
        <v>3</v>
      </c>
      <c r="AW234" s="129">
        <v>2753644</v>
      </c>
      <c r="AX234" s="167">
        <v>45425</v>
      </c>
      <c r="AY234" s="162">
        <f t="shared" si="282"/>
        <v>18</v>
      </c>
      <c r="AZ234" s="163" t="s">
        <v>882</v>
      </c>
      <c r="BA234" s="162" t="b">
        <f t="shared" si="281"/>
        <v>0</v>
      </c>
      <c r="BF234" s="164">
        <f t="shared" si="298"/>
        <v>7311.5</v>
      </c>
      <c r="BG234" s="164">
        <f t="shared" si="299"/>
        <v>48</v>
      </c>
      <c r="BH234" s="164"/>
      <c r="BI234" s="164">
        <f t="shared" si="300"/>
        <v>2514.6</v>
      </c>
      <c r="BJ234" s="164">
        <f t="shared" si="301"/>
        <v>234</v>
      </c>
      <c r="BK234" s="164">
        <f t="shared" si="302"/>
        <v>507.2</v>
      </c>
      <c r="BL234" s="164">
        <f t="shared" si="303"/>
        <v>7464</v>
      </c>
      <c r="BM234" s="164">
        <f t="shared" si="304"/>
        <v>1806</v>
      </c>
      <c r="BN234" s="164">
        <f t="shared" si="305"/>
        <v>4443</v>
      </c>
      <c r="BO234" s="164">
        <f t="shared" si="306"/>
        <v>24</v>
      </c>
      <c r="BP234" s="164">
        <f t="shared" si="307"/>
        <v>107</v>
      </c>
      <c r="BQ234" s="164">
        <f t="shared" si="308"/>
        <v>107</v>
      </c>
      <c r="BR234" s="164">
        <f t="shared" si="309"/>
        <v>0</v>
      </c>
      <c r="BS234" s="129">
        <f>SUMIF('Audit HD AR - School Level'!$A$6:A3753, "=" &amp; A234,'Audit HD AR - School Level'!$Q$6:Q3753)</f>
        <v>0</v>
      </c>
      <c r="BT234" s="168">
        <f t="shared" si="310"/>
        <v>0</v>
      </c>
      <c r="BU234" s="168">
        <f t="shared" si="311"/>
        <v>0</v>
      </c>
      <c r="BW234" s="168">
        <f t="shared" si="312"/>
        <v>0</v>
      </c>
      <c r="BX234" s="164">
        <f t="shared" si="280"/>
        <v>7311.5</v>
      </c>
    </row>
    <row r="235" spans="1:78">
      <c r="A235" s="129" t="s">
        <v>278</v>
      </c>
      <c r="U235" s="129">
        <v>340.1</v>
      </c>
      <c r="V235" s="129">
        <v>6.5</v>
      </c>
      <c r="X235" s="129">
        <v>375.8</v>
      </c>
      <c r="AC235" s="129">
        <v>77.5</v>
      </c>
      <c r="AD235" s="129">
        <v>6</v>
      </c>
      <c r="AE235" s="129">
        <v>0</v>
      </c>
      <c r="AF235" s="129">
        <v>361</v>
      </c>
      <c r="AG235" s="129">
        <v>221</v>
      </c>
      <c r="AI235" s="129">
        <v>95</v>
      </c>
      <c r="AJ235" s="129">
        <v>2</v>
      </c>
      <c r="AK235" s="129">
        <v>1</v>
      </c>
      <c r="AL235" s="129">
        <v>0</v>
      </c>
      <c r="AO235" s="129">
        <v>0</v>
      </c>
      <c r="AP235" s="129">
        <v>0</v>
      </c>
      <c r="AQ235" s="129">
        <v>0</v>
      </c>
      <c r="AR235" s="129">
        <v>0</v>
      </c>
      <c r="AS235" s="129">
        <v>0</v>
      </c>
      <c r="AT235" s="129">
        <v>0</v>
      </c>
      <c r="AU235" s="129">
        <v>0</v>
      </c>
      <c r="AV235" s="129">
        <v>0</v>
      </c>
      <c r="AW235" s="129">
        <v>267194</v>
      </c>
      <c r="AX235" s="167">
        <v>45425</v>
      </c>
      <c r="AY235" s="162">
        <f t="shared" si="282"/>
        <v>18</v>
      </c>
      <c r="AZ235" s="163" t="s">
        <v>882</v>
      </c>
      <c r="BA235" s="162" t="b">
        <f t="shared" si="281"/>
        <v>0</v>
      </c>
      <c r="BF235" s="164">
        <f t="shared" si="298"/>
        <v>340.1</v>
      </c>
      <c r="BG235" s="164">
        <f t="shared" si="299"/>
        <v>6.5</v>
      </c>
      <c r="BH235" s="164"/>
      <c r="BI235" s="164">
        <f t="shared" si="300"/>
        <v>77.5</v>
      </c>
      <c r="BJ235" s="164">
        <f t="shared" si="301"/>
        <v>6</v>
      </c>
      <c r="BK235" s="164">
        <f t="shared" si="302"/>
        <v>0</v>
      </c>
      <c r="BL235" s="164">
        <f t="shared" si="303"/>
        <v>361</v>
      </c>
      <c r="BM235" s="164">
        <f t="shared" si="304"/>
        <v>221</v>
      </c>
      <c r="BN235" s="164">
        <f t="shared" si="305"/>
        <v>95</v>
      </c>
      <c r="BO235" s="164">
        <f t="shared" si="306"/>
        <v>2</v>
      </c>
      <c r="BP235" s="164">
        <f t="shared" si="307"/>
        <v>1</v>
      </c>
      <c r="BQ235" s="164">
        <f t="shared" si="308"/>
        <v>1</v>
      </c>
      <c r="BR235" s="164">
        <f t="shared" si="309"/>
        <v>0</v>
      </c>
      <c r="BS235" s="129">
        <f>SUMIF('Audit HD AR - School Level'!$A$6:A3754, "=" &amp; A235,'Audit HD AR - School Level'!$Q$6:Q3754)</f>
        <v>23.3</v>
      </c>
      <c r="BT235" s="168">
        <f t="shared" si="310"/>
        <v>0</v>
      </c>
      <c r="BU235" s="168">
        <f t="shared" si="311"/>
        <v>0</v>
      </c>
      <c r="BW235" s="168">
        <f t="shared" si="312"/>
        <v>0</v>
      </c>
      <c r="BX235" s="164">
        <f t="shared" si="280"/>
        <v>340.1</v>
      </c>
    </row>
    <row r="236" spans="1:78">
      <c r="A236" s="129" t="s">
        <v>292</v>
      </c>
      <c r="U236" s="129">
        <v>6509.1</v>
      </c>
      <c r="V236" s="129">
        <v>69.5</v>
      </c>
      <c r="X236" s="129">
        <v>6586.9</v>
      </c>
      <c r="AC236" s="129">
        <v>1679</v>
      </c>
      <c r="AD236" s="129">
        <v>559</v>
      </c>
      <c r="AE236" s="129">
        <v>1527.1</v>
      </c>
      <c r="AF236" s="129">
        <v>6686</v>
      </c>
      <c r="AG236" s="129">
        <v>3456</v>
      </c>
      <c r="AI236" s="129">
        <v>1243</v>
      </c>
      <c r="AJ236" s="129">
        <v>378</v>
      </c>
      <c r="AK236" s="129">
        <v>18</v>
      </c>
      <c r="AL236" s="129">
        <v>0</v>
      </c>
      <c r="AO236" s="129">
        <v>40</v>
      </c>
      <c r="AP236" s="129">
        <v>10.199999999999999</v>
      </c>
      <c r="AQ236" s="129">
        <v>20</v>
      </c>
      <c r="AR236" s="129">
        <v>0</v>
      </c>
      <c r="AS236" s="129">
        <v>18</v>
      </c>
      <c r="AT236" s="129">
        <v>14</v>
      </c>
      <c r="AU236" s="129">
        <v>0</v>
      </c>
      <c r="AV236" s="129">
        <v>1</v>
      </c>
      <c r="AW236" s="129">
        <v>934215</v>
      </c>
      <c r="AX236" s="167">
        <v>45425</v>
      </c>
      <c r="AY236" s="162">
        <f t="shared" si="282"/>
        <v>18</v>
      </c>
      <c r="AZ236" s="163" t="s">
        <v>882</v>
      </c>
      <c r="BA236" s="162" t="b">
        <f t="shared" si="281"/>
        <v>0</v>
      </c>
      <c r="BF236" s="164">
        <f t="shared" si="298"/>
        <v>6458.9</v>
      </c>
      <c r="BG236" s="164">
        <f t="shared" si="299"/>
        <v>69.5</v>
      </c>
      <c r="BH236" s="164"/>
      <c r="BI236" s="164">
        <f t="shared" si="300"/>
        <v>1679</v>
      </c>
      <c r="BJ236" s="164">
        <f t="shared" si="301"/>
        <v>559</v>
      </c>
      <c r="BK236" s="164">
        <f t="shared" si="302"/>
        <v>1527.1</v>
      </c>
      <c r="BL236" s="164">
        <f t="shared" si="303"/>
        <v>6686</v>
      </c>
      <c r="BM236" s="164">
        <f t="shared" si="304"/>
        <v>3456</v>
      </c>
      <c r="BN236" s="164">
        <f t="shared" si="305"/>
        <v>1243</v>
      </c>
      <c r="BO236" s="164">
        <f t="shared" si="306"/>
        <v>378</v>
      </c>
      <c r="BP236" s="164">
        <f t="shared" si="307"/>
        <v>18</v>
      </c>
      <c r="BQ236" s="164">
        <f t="shared" si="308"/>
        <v>18</v>
      </c>
      <c r="BR236" s="164">
        <f t="shared" si="309"/>
        <v>0</v>
      </c>
      <c r="BS236" s="129">
        <f>SUMIF('Audit HD AR - School Level'!$A$6:A3755, "=" &amp; A236,'Audit HD AR - School Level'!$Q$6:Q3755)</f>
        <v>291.7</v>
      </c>
      <c r="BT236" s="168">
        <f t="shared" si="310"/>
        <v>-1418</v>
      </c>
      <c r="BU236" s="168">
        <f t="shared" si="311"/>
        <v>0</v>
      </c>
      <c r="BV236" s="129">
        <v>-15571</v>
      </c>
      <c r="BW236" s="168">
        <f t="shared" si="312"/>
        <v>-16989</v>
      </c>
      <c r="BX236" s="164">
        <f t="shared" si="280"/>
        <v>6444.9</v>
      </c>
    </row>
    <row r="237" spans="1:78">
      <c r="A237" s="129" t="s">
        <v>321</v>
      </c>
      <c r="U237" s="129">
        <v>437.5</v>
      </c>
      <c r="V237" s="129">
        <v>5.5</v>
      </c>
      <c r="X237" s="129">
        <v>434</v>
      </c>
      <c r="AC237" s="129">
        <v>135</v>
      </c>
      <c r="AD237" s="129">
        <v>0</v>
      </c>
      <c r="AE237" s="129">
        <v>0</v>
      </c>
      <c r="AF237" s="129">
        <v>449</v>
      </c>
      <c r="AG237" s="129">
        <v>133</v>
      </c>
      <c r="AI237" s="129">
        <v>203.5</v>
      </c>
      <c r="AJ237" s="129">
        <v>81</v>
      </c>
      <c r="AK237" s="129">
        <v>7</v>
      </c>
      <c r="AL237" s="129">
        <v>0</v>
      </c>
      <c r="AO237" s="129">
        <v>1</v>
      </c>
      <c r="AP237" s="129">
        <v>0</v>
      </c>
      <c r="AQ237" s="129">
        <v>0</v>
      </c>
      <c r="AR237" s="129">
        <v>5</v>
      </c>
      <c r="AS237" s="129">
        <v>0</v>
      </c>
      <c r="AT237" s="129">
        <v>0</v>
      </c>
      <c r="AU237" s="129">
        <v>0</v>
      </c>
      <c r="AV237" s="129">
        <v>0</v>
      </c>
      <c r="AW237" s="129">
        <v>265442</v>
      </c>
      <c r="AX237" s="167">
        <v>45425</v>
      </c>
      <c r="AY237" s="162">
        <f t="shared" si="282"/>
        <v>18</v>
      </c>
      <c r="AZ237" s="163" t="s">
        <v>882</v>
      </c>
      <c r="BA237" s="162" t="b">
        <f t="shared" si="281"/>
        <v>0</v>
      </c>
      <c r="BF237" s="164">
        <f t="shared" si="298"/>
        <v>431.5</v>
      </c>
      <c r="BG237" s="164">
        <f t="shared" si="299"/>
        <v>5.5</v>
      </c>
      <c r="BH237" s="164"/>
      <c r="BI237" s="164">
        <f t="shared" si="300"/>
        <v>135</v>
      </c>
      <c r="BJ237" s="164">
        <f t="shared" si="301"/>
        <v>0</v>
      </c>
      <c r="BK237" s="164">
        <f t="shared" si="302"/>
        <v>0</v>
      </c>
      <c r="BL237" s="164">
        <f t="shared" si="303"/>
        <v>449</v>
      </c>
      <c r="BM237" s="164">
        <f t="shared" si="304"/>
        <v>133</v>
      </c>
      <c r="BN237" s="164">
        <f t="shared" si="305"/>
        <v>203.5</v>
      </c>
      <c r="BO237" s="164">
        <f t="shared" si="306"/>
        <v>81</v>
      </c>
      <c r="BP237" s="164">
        <f t="shared" si="307"/>
        <v>7</v>
      </c>
      <c r="BQ237" s="164">
        <f t="shared" si="308"/>
        <v>7</v>
      </c>
      <c r="BR237" s="164">
        <f t="shared" si="309"/>
        <v>0</v>
      </c>
      <c r="BS237" s="129">
        <f>SUMIF('Audit HD AR - School Level'!$A$6:A3756, "=" &amp; A237,'Audit HD AR - School Level'!$Q$6:Q3756)</f>
        <v>0</v>
      </c>
      <c r="BT237" s="168">
        <f t="shared" si="310"/>
        <v>0</v>
      </c>
      <c r="BU237" s="168">
        <f t="shared" si="311"/>
        <v>-3545</v>
      </c>
      <c r="BW237" s="168">
        <f t="shared" si="312"/>
        <v>-3545</v>
      </c>
      <c r="BX237" s="164">
        <f t="shared" si="280"/>
        <v>436.5</v>
      </c>
    </row>
    <row r="238" spans="1:78">
      <c r="A238" s="129" t="s">
        <v>339</v>
      </c>
      <c r="U238" s="129">
        <v>435.9</v>
      </c>
      <c r="V238" s="129">
        <v>4.5</v>
      </c>
      <c r="X238" s="129">
        <v>386.2</v>
      </c>
      <c r="AC238" s="129">
        <v>111.2</v>
      </c>
      <c r="AD238" s="129">
        <v>3</v>
      </c>
      <c r="AE238" s="129">
        <v>0.7</v>
      </c>
      <c r="AF238" s="129">
        <v>398</v>
      </c>
      <c r="AG238" s="129">
        <v>134</v>
      </c>
      <c r="AI238" s="129">
        <v>62</v>
      </c>
      <c r="AJ238" s="129">
        <v>16</v>
      </c>
      <c r="AK238" s="129">
        <v>5</v>
      </c>
      <c r="AL238" s="129">
        <v>6</v>
      </c>
      <c r="AO238" s="129">
        <v>42</v>
      </c>
      <c r="AP238" s="129">
        <v>7.2</v>
      </c>
      <c r="AQ238" s="129">
        <v>40</v>
      </c>
      <c r="AR238" s="129">
        <v>0</v>
      </c>
      <c r="AS238" s="129">
        <v>39.75</v>
      </c>
      <c r="AT238" s="129">
        <v>12</v>
      </c>
      <c r="AU238" s="129">
        <v>0</v>
      </c>
      <c r="AV238" s="129">
        <v>0</v>
      </c>
      <c r="AW238" s="129">
        <v>182575</v>
      </c>
      <c r="AX238" s="167">
        <v>45425</v>
      </c>
      <c r="AY238" s="162">
        <f t="shared" si="282"/>
        <v>18</v>
      </c>
      <c r="AZ238" s="163" t="s">
        <v>882</v>
      </c>
      <c r="BA238" s="162" t="b">
        <f t="shared" si="281"/>
        <v>0</v>
      </c>
      <c r="BF238" s="164">
        <f t="shared" si="298"/>
        <v>386.7</v>
      </c>
      <c r="BG238" s="164">
        <f t="shared" si="299"/>
        <v>4.5</v>
      </c>
      <c r="BH238" s="164"/>
      <c r="BI238" s="164">
        <f t="shared" si="300"/>
        <v>111.2</v>
      </c>
      <c r="BJ238" s="164">
        <f t="shared" si="301"/>
        <v>3</v>
      </c>
      <c r="BK238" s="164">
        <f t="shared" si="302"/>
        <v>0.7</v>
      </c>
      <c r="BL238" s="164">
        <f t="shared" si="303"/>
        <v>398</v>
      </c>
      <c r="BM238" s="164">
        <f t="shared" si="304"/>
        <v>134</v>
      </c>
      <c r="BN238" s="164">
        <f t="shared" si="305"/>
        <v>62</v>
      </c>
      <c r="BO238" s="164">
        <f t="shared" si="306"/>
        <v>16</v>
      </c>
      <c r="BP238" s="164">
        <f t="shared" si="307"/>
        <v>5</v>
      </c>
      <c r="BQ238" s="164">
        <f t="shared" si="308"/>
        <v>5</v>
      </c>
      <c r="BR238" s="164">
        <f t="shared" si="309"/>
        <v>6</v>
      </c>
      <c r="BS238" s="129">
        <f>SUMIF('Audit HD AR - School Level'!$A$6:A3757, "=" &amp; A238,'Audit HD AR - School Level'!$Q$6:Q3757)</f>
        <v>1.4</v>
      </c>
      <c r="BT238" s="168">
        <f t="shared" si="310"/>
        <v>-177</v>
      </c>
      <c r="BU238" s="168">
        <f t="shared" si="311"/>
        <v>0</v>
      </c>
      <c r="BV238" s="129">
        <v>-5600</v>
      </c>
      <c r="BW238" s="168">
        <f t="shared" si="312"/>
        <v>-5777</v>
      </c>
      <c r="BX238" s="164">
        <f t="shared" si="280"/>
        <v>374.7</v>
      </c>
    </row>
    <row r="239" spans="1:78">
      <c r="A239" s="129" t="s">
        <v>347</v>
      </c>
      <c r="U239" s="129">
        <v>398.4</v>
      </c>
      <c r="V239" s="129">
        <v>12</v>
      </c>
      <c r="X239" s="129">
        <v>388</v>
      </c>
      <c r="AC239" s="129">
        <v>151.19999999999999</v>
      </c>
      <c r="AD239" s="129">
        <v>0</v>
      </c>
      <c r="AE239" s="129">
        <v>0</v>
      </c>
      <c r="AF239" s="129">
        <v>425</v>
      </c>
      <c r="AG239" s="129">
        <v>193</v>
      </c>
      <c r="AI239" s="129">
        <v>152</v>
      </c>
      <c r="AJ239" s="129">
        <v>20</v>
      </c>
      <c r="AK239" s="129">
        <v>62</v>
      </c>
      <c r="AL239" s="129">
        <v>0</v>
      </c>
      <c r="AO239" s="129">
        <v>1</v>
      </c>
      <c r="AP239" s="129">
        <v>0.9</v>
      </c>
      <c r="AQ239" s="129">
        <v>0</v>
      </c>
      <c r="AR239" s="129">
        <v>5</v>
      </c>
      <c r="AS239" s="129">
        <v>0</v>
      </c>
      <c r="AT239" s="129">
        <v>0</v>
      </c>
      <c r="AU239" s="129">
        <v>0</v>
      </c>
      <c r="AV239" s="129">
        <v>0</v>
      </c>
      <c r="AW239" s="129">
        <v>307518</v>
      </c>
      <c r="AX239" s="167">
        <v>45425</v>
      </c>
      <c r="AY239" s="162">
        <f t="shared" si="282"/>
        <v>18</v>
      </c>
      <c r="AZ239" s="163" t="s">
        <v>882</v>
      </c>
      <c r="BA239" s="162" t="b">
        <f t="shared" si="281"/>
        <v>0</v>
      </c>
      <c r="BF239" s="164">
        <f t="shared" si="298"/>
        <v>391.5</v>
      </c>
      <c r="BG239" s="164">
        <f t="shared" si="299"/>
        <v>12</v>
      </c>
      <c r="BH239" s="164"/>
      <c r="BI239" s="164">
        <f t="shared" si="300"/>
        <v>151.19999999999999</v>
      </c>
      <c r="BJ239" s="164">
        <f t="shared" si="301"/>
        <v>0</v>
      </c>
      <c r="BK239" s="164">
        <f t="shared" si="302"/>
        <v>0</v>
      </c>
      <c r="BL239" s="164">
        <f t="shared" si="303"/>
        <v>425</v>
      </c>
      <c r="BM239" s="164">
        <f t="shared" si="304"/>
        <v>193</v>
      </c>
      <c r="BN239" s="164">
        <f t="shared" si="305"/>
        <v>152</v>
      </c>
      <c r="BO239" s="164">
        <f t="shared" si="306"/>
        <v>20</v>
      </c>
      <c r="BP239" s="164">
        <f t="shared" si="307"/>
        <v>62</v>
      </c>
      <c r="BQ239" s="164">
        <f t="shared" si="308"/>
        <v>62</v>
      </c>
      <c r="BR239" s="164">
        <f t="shared" si="309"/>
        <v>0</v>
      </c>
      <c r="BS239" s="129">
        <f>SUMIF('Audit HD AR - School Level'!$A$6:A3758, "=" &amp; A239,'Audit HD AR - School Level'!$Q$6:Q3758)</f>
        <v>14.4</v>
      </c>
      <c r="BT239" s="168">
        <f t="shared" si="310"/>
        <v>0</v>
      </c>
      <c r="BU239" s="168">
        <f t="shared" si="311"/>
        <v>-3545</v>
      </c>
      <c r="BW239" s="168">
        <f t="shared" si="312"/>
        <v>-3545</v>
      </c>
      <c r="BX239" s="164">
        <f t="shared" si="280"/>
        <v>396.5</v>
      </c>
    </row>
    <row r="240" spans="1:78">
      <c r="A240" s="129" t="s">
        <v>350</v>
      </c>
      <c r="U240" s="129">
        <v>132</v>
      </c>
      <c r="V240" s="129">
        <v>2.5</v>
      </c>
      <c r="X240" s="129">
        <v>177.5</v>
      </c>
      <c r="AC240" s="129">
        <v>89</v>
      </c>
      <c r="AD240" s="129">
        <v>0</v>
      </c>
      <c r="AE240" s="129">
        <v>0</v>
      </c>
      <c r="AF240" s="129">
        <v>137</v>
      </c>
      <c r="AG240" s="129">
        <v>60</v>
      </c>
      <c r="AI240" s="129">
        <v>25</v>
      </c>
      <c r="AJ240" s="129">
        <v>0</v>
      </c>
      <c r="AK240" s="129">
        <v>0</v>
      </c>
      <c r="AL240" s="129">
        <v>0</v>
      </c>
      <c r="AO240" s="129">
        <v>0</v>
      </c>
      <c r="AP240" s="129">
        <v>0</v>
      </c>
      <c r="AQ240" s="129">
        <v>0</v>
      </c>
      <c r="AR240" s="129">
        <v>0</v>
      </c>
      <c r="AS240" s="129">
        <v>0</v>
      </c>
      <c r="AT240" s="129">
        <v>0</v>
      </c>
      <c r="AU240" s="129">
        <v>0</v>
      </c>
      <c r="AV240" s="129">
        <v>0</v>
      </c>
      <c r="AW240" s="129">
        <v>35076</v>
      </c>
      <c r="AX240" s="167">
        <v>45425</v>
      </c>
      <c r="AY240" s="162">
        <f t="shared" si="282"/>
        <v>18</v>
      </c>
      <c r="AZ240" s="163" t="s">
        <v>882</v>
      </c>
      <c r="BA240" s="162" t="b">
        <f t="shared" si="281"/>
        <v>0</v>
      </c>
      <c r="BF240" s="164">
        <f t="shared" si="298"/>
        <v>132</v>
      </c>
      <c r="BG240" s="164">
        <f t="shared" si="299"/>
        <v>2.5</v>
      </c>
      <c r="BH240" s="164"/>
      <c r="BI240" s="164">
        <f t="shared" si="300"/>
        <v>89</v>
      </c>
      <c r="BJ240" s="164">
        <f t="shared" si="301"/>
        <v>0</v>
      </c>
      <c r="BK240" s="164">
        <f t="shared" si="302"/>
        <v>0</v>
      </c>
      <c r="BL240" s="164">
        <f t="shared" si="303"/>
        <v>137</v>
      </c>
      <c r="BM240" s="164">
        <f t="shared" si="304"/>
        <v>60</v>
      </c>
      <c r="BN240" s="164">
        <f t="shared" si="305"/>
        <v>25</v>
      </c>
      <c r="BO240" s="164">
        <f t="shared" si="306"/>
        <v>0</v>
      </c>
      <c r="BP240" s="164">
        <f t="shared" si="307"/>
        <v>0</v>
      </c>
      <c r="BQ240" s="164">
        <f t="shared" si="308"/>
        <v>0</v>
      </c>
      <c r="BR240" s="164">
        <f t="shared" si="309"/>
        <v>0</v>
      </c>
      <c r="BS240" s="129">
        <f>SUMIF('Audit HD AR - School Level'!$A$6:A3759, "=" &amp; A240,'Audit HD AR - School Level'!$Q$6:Q3759)</f>
        <v>3.9</v>
      </c>
      <c r="BT240" s="168">
        <f t="shared" si="310"/>
        <v>0</v>
      </c>
      <c r="BU240" s="168">
        <f t="shared" si="311"/>
        <v>0</v>
      </c>
      <c r="BW240" s="168">
        <f t="shared" si="312"/>
        <v>0</v>
      </c>
      <c r="BX240" s="164">
        <f t="shared" si="280"/>
        <v>132</v>
      </c>
    </row>
    <row r="241" spans="1:78">
      <c r="A241" s="129" t="s">
        <v>354</v>
      </c>
      <c r="U241" s="129">
        <v>353.2</v>
      </c>
      <c r="V241" s="129">
        <v>10.5</v>
      </c>
      <c r="X241" s="129">
        <v>381.4</v>
      </c>
      <c r="AC241" s="129">
        <v>101.9</v>
      </c>
      <c r="AD241" s="129">
        <v>107</v>
      </c>
      <c r="AE241" s="129">
        <v>580</v>
      </c>
      <c r="AF241" s="129">
        <v>377</v>
      </c>
      <c r="AG241" s="129">
        <v>231</v>
      </c>
      <c r="AI241" s="129">
        <v>60</v>
      </c>
      <c r="AJ241" s="129">
        <v>46</v>
      </c>
      <c r="AK241" s="129">
        <v>1</v>
      </c>
      <c r="AL241" s="129">
        <v>0</v>
      </c>
      <c r="AO241" s="129">
        <v>0</v>
      </c>
      <c r="AP241" s="129">
        <v>0</v>
      </c>
      <c r="AQ241" s="129">
        <v>0</v>
      </c>
      <c r="AR241" s="129">
        <v>0</v>
      </c>
      <c r="AS241" s="129">
        <v>0</v>
      </c>
      <c r="AT241" s="129">
        <v>0</v>
      </c>
      <c r="AU241" s="129">
        <v>0</v>
      </c>
      <c r="AV241" s="129">
        <v>0</v>
      </c>
      <c r="AW241" s="129">
        <v>136157</v>
      </c>
      <c r="AX241" s="167">
        <v>45425</v>
      </c>
      <c r="AY241" s="162">
        <f t="shared" si="282"/>
        <v>18</v>
      </c>
      <c r="AZ241" s="163" t="s">
        <v>882</v>
      </c>
      <c r="BA241" s="162" t="b">
        <f t="shared" si="281"/>
        <v>0</v>
      </c>
      <c r="BF241" s="164">
        <f t="shared" si="298"/>
        <v>353.2</v>
      </c>
      <c r="BG241" s="164">
        <f t="shared" si="299"/>
        <v>10.5</v>
      </c>
      <c r="BH241" s="164"/>
      <c r="BI241" s="164">
        <f t="shared" si="300"/>
        <v>101.9</v>
      </c>
      <c r="BJ241" s="164">
        <f t="shared" si="301"/>
        <v>107</v>
      </c>
      <c r="BK241" s="164">
        <f t="shared" si="302"/>
        <v>580</v>
      </c>
      <c r="BL241" s="164">
        <f t="shared" si="303"/>
        <v>377</v>
      </c>
      <c r="BM241" s="164">
        <f t="shared" si="304"/>
        <v>231</v>
      </c>
      <c r="BN241" s="164">
        <f t="shared" si="305"/>
        <v>60</v>
      </c>
      <c r="BO241" s="164">
        <f t="shared" si="306"/>
        <v>46</v>
      </c>
      <c r="BP241" s="164">
        <f t="shared" si="307"/>
        <v>1</v>
      </c>
      <c r="BQ241" s="164">
        <f t="shared" si="308"/>
        <v>1</v>
      </c>
      <c r="BR241" s="164">
        <f t="shared" si="309"/>
        <v>0</v>
      </c>
      <c r="BS241" s="129">
        <f>SUMIF('Audit HD AR - School Level'!$A$6:A3760, "=" &amp; A241,'Audit HD AR - School Level'!$Q$6:Q3760)</f>
        <v>24.3</v>
      </c>
      <c r="BT241" s="168">
        <f t="shared" si="310"/>
        <v>0</v>
      </c>
      <c r="BU241" s="168">
        <f t="shared" si="311"/>
        <v>0</v>
      </c>
      <c r="BW241" s="168">
        <f t="shared" si="312"/>
        <v>0</v>
      </c>
      <c r="BX241" s="164">
        <f t="shared" si="280"/>
        <v>353.2</v>
      </c>
    </row>
    <row r="242" spans="1:78">
      <c r="A242" s="129" t="s">
        <v>379</v>
      </c>
      <c r="U242" s="129">
        <v>945.5</v>
      </c>
      <c r="V242" s="129">
        <v>18.5</v>
      </c>
      <c r="X242" s="129">
        <v>796.5</v>
      </c>
      <c r="AC242" s="129">
        <v>199.3</v>
      </c>
      <c r="AD242" s="129">
        <v>4</v>
      </c>
      <c r="AE242" s="129">
        <v>4</v>
      </c>
      <c r="AF242" s="129">
        <v>807</v>
      </c>
      <c r="AG242" s="129">
        <v>231</v>
      </c>
      <c r="AI242" s="129">
        <v>293.5</v>
      </c>
      <c r="AJ242" s="129">
        <v>26.5</v>
      </c>
      <c r="AK242" s="129">
        <v>19</v>
      </c>
      <c r="AL242" s="129">
        <v>0</v>
      </c>
      <c r="AO242" s="129">
        <v>110</v>
      </c>
      <c r="AP242" s="129">
        <v>64.8</v>
      </c>
      <c r="AQ242" s="129">
        <v>22</v>
      </c>
      <c r="AR242" s="129">
        <v>10</v>
      </c>
      <c r="AS242" s="129">
        <v>15</v>
      </c>
      <c r="AT242" s="129">
        <v>8</v>
      </c>
      <c r="AU242" s="129">
        <v>6</v>
      </c>
      <c r="AV242" s="129">
        <v>0</v>
      </c>
      <c r="AW242" s="129">
        <v>537139</v>
      </c>
      <c r="AX242" s="167">
        <v>45425</v>
      </c>
      <c r="AY242" s="162">
        <f t="shared" si="282"/>
        <v>18</v>
      </c>
      <c r="AZ242" s="163" t="s">
        <v>882</v>
      </c>
      <c r="BA242" s="162" t="b">
        <f t="shared" si="281"/>
        <v>0</v>
      </c>
      <c r="BF242" s="164">
        <f t="shared" si="298"/>
        <v>760.7</v>
      </c>
      <c r="BG242" s="164">
        <f t="shared" si="299"/>
        <v>18.5</v>
      </c>
      <c r="BH242" s="164"/>
      <c r="BI242" s="164">
        <f t="shared" si="300"/>
        <v>199.3</v>
      </c>
      <c r="BJ242" s="164">
        <f t="shared" si="301"/>
        <v>4</v>
      </c>
      <c r="BK242" s="164">
        <f t="shared" si="302"/>
        <v>4</v>
      </c>
      <c r="BL242" s="164">
        <f t="shared" si="303"/>
        <v>807</v>
      </c>
      <c r="BM242" s="164">
        <f t="shared" si="304"/>
        <v>231</v>
      </c>
      <c r="BN242" s="164">
        <f t="shared" si="305"/>
        <v>293.5</v>
      </c>
      <c r="BO242" s="164">
        <f t="shared" si="306"/>
        <v>26.5</v>
      </c>
      <c r="BP242" s="164">
        <f t="shared" si="307"/>
        <v>19</v>
      </c>
      <c r="BQ242" s="164">
        <f t="shared" si="308"/>
        <v>19</v>
      </c>
      <c r="BR242" s="164">
        <f t="shared" si="309"/>
        <v>0</v>
      </c>
      <c r="BS242" s="129">
        <f>SUMIF('Audit HD AR - School Level'!$A$6:A3761, "=" &amp; A242,'Audit HD AR - School Level'!$Q$6:Q3761)</f>
        <v>0</v>
      </c>
      <c r="BT242" s="168">
        <f t="shared" si="310"/>
        <v>-4963</v>
      </c>
      <c r="BU242" s="168">
        <f t="shared" si="311"/>
        <v>-2836</v>
      </c>
      <c r="BW242" s="168">
        <f t="shared" si="312"/>
        <v>-7799</v>
      </c>
      <c r="BX242" s="164">
        <f t="shared" ref="BX242:BX264" si="313">SUM(U242-AO242-AP242-AT242)</f>
        <v>762.7</v>
      </c>
      <c r="BZ242" s="129">
        <v>1</v>
      </c>
    </row>
    <row r="243" spans="1:78">
      <c r="A243" s="129" t="s">
        <v>381</v>
      </c>
      <c r="U243" s="129">
        <v>1895.5</v>
      </c>
      <c r="V243" s="129">
        <v>27.5</v>
      </c>
      <c r="X243" s="129">
        <v>1980</v>
      </c>
      <c r="AC243" s="129">
        <v>562.9</v>
      </c>
      <c r="AD243" s="129">
        <v>17</v>
      </c>
      <c r="AE243" s="129">
        <v>10</v>
      </c>
      <c r="AF243" s="129">
        <v>2021</v>
      </c>
      <c r="AG243" s="129">
        <v>728</v>
      </c>
      <c r="AI243" s="129">
        <v>339</v>
      </c>
      <c r="AJ243" s="129">
        <v>37</v>
      </c>
      <c r="AK243" s="129">
        <v>9</v>
      </c>
      <c r="AL243" s="129">
        <v>0</v>
      </c>
      <c r="AO243" s="129">
        <v>3</v>
      </c>
      <c r="AP243" s="129">
        <v>0</v>
      </c>
      <c r="AQ243" s="129">
        <v>0</v>
      </c>
      <c r="AR243" s="129">
        <v>0</v>
      </c>
      <c r="AS243" s="129">
        <v>0</v>
      </c>
      <c r="AT243" s="129">
        <v>0</v>
      </c>
      <c r="AU243" s="129">
        <v>0</v>
      </c>
      <c r="AV243" s="129">
        <v>0</v>
      </c>
      <c r="AW243" s="129">
        <v>282569</v>
      </c>
      <c r="AX243" s="167">
        <v>45425</v>
      </c>
      <c r="AY243" s="162">
        <f t="shared" si="282"/>
        <v>18</v>
      </c>
      <c r="AZ243" s="163" t="s">
        <v>882</v>
      </c>
      <c r="BA243" s="162" t="b">
        <f t="shared" si="281"/>
        <v>0</v>
      </c>
      <c r="BF243" s="164">
        <f t="shared" si="298"/>
        <v>1892.5</v>
      </c>
      <c r="BG243" s="164">
        <f t="shared" si="299"/>
        <v>27.5</v>
      </c>
      <c r="BH243" s="164"/>
      <c r="BI243" s="164">
        <f t="shared" si="300"/>
        <v>562.9</v>
      </c>
      <c r="BJ243" s="164">
        <f t="shared" si="301"/>
        <v>17</v>
      </c>
      <c r="BK243" s="164">
        <f t="shared" si="302"/>
        <v>10</v>
      </c>
      <c r="BL243" s="164">
        <f t="shared" si="303"/>
        <v>2021</v>
      </c>
      <c r="BM243" s="164">
        <f t="shared" si="304"/>
        <v>728</v>
      </c>
      <c r="BN243" s="164">
        <f t="shared" si="305"/>
        <v>339</v>
      </c>
      <c r="BO243" s="164">
        <f t="shared" si="306"/>
        <v>37</v>
      </c>
      <c r="BP243" s="164">
        <f t="shared" si="307"/>
        <v>9</v>
      </c>
      <c r="BQ243" s="164">
        <f t="shared" si="308"/>
        <v>9</v>
      </c>
      <c r="BR243" s="164">
        <f t="shared" si="309"/>
        <v>0</v>
      </c>
      <c r="BS243" s="129">
        <f>SUMIF('Audit HD AR - School Level'!$A$6:A3762, "=" &amp; A243,'Audit HD AR - School Level'!$Q$6:Q3762)</f>
        <v>15.1</v>
      </c>
      <c r="BT243" s="168">
        <f t="shared" si="310"/>
        <v>0</v>
      </c>
      <c r="BU243" s="168">
        <f t="shared" si="311"/>
        <v>0</v>
      </c>
      <c r="BW243" s="168">
        <f t="shared" si="312"/>
        <v>0</v>
      </c>
      <c r="BX243" s="164">
        <f t="shared" si="313"/>
        <v>1892.5</v>
      </c>
    </row>
    <row r="244" spans="1:78">
      <c r="A244" s="129" t="s">
        <v>382</v>
      </c>
      <c r="U244" s="129">
        <v>189.4</v>
      </c>
      <c r="V244" s="129">
        <v>3</v>
      </c>
      <c r="X244" s="129">
        <v>204.6</v>
      </c>
      <c r="AC244" s="129">
        <v>58.8</v>
      </c>
      <c r="AD244" s="129">
        <v>3</v>
      </c>
      <c r="AE244" s="129">
        <v>4.0999999999999996</v>
      </c>
      <c r="AF244" s="129">
        <v>170</v>
      </c>
      <c r="AG244" s="129">
        <v>63</v>
      </c>
      <c r="AI244" s="129">
        <v>80</v>
      </c>
      <c r="AJ244" s="129">
        <v>6</v>
      </c>
      <c r="AK244" s="129">
        <v>12</v>
      </c>
      <c r="AL244" s="129">
        <v>0</v>
      </c>
      <c r="AO244" s="129">
        <v>24</v>
      </c>
      <c r="AP244" s="129">
        <v>1.8</v>
      </c>
      <c r="AQ244" s="129">
        <v>0</v>
      </c>
      <c r="AR244" s="129">
        <v>19.5</v>
      </c>
      <c r="AS244" s="129">
        <v>0</v>
      </c>
      <c r="AT244" s="129">
        <v>0</v>
      </c>
      <c r="AU244" s="129">
        <v>0</v>
      </c>
      <c r="AV244" s="129">
        <v>0</v>
      </c>
      <c r="AW244" s="129">
        <v>106361</v>
      </c>
      <c r="AX244" s="167">
        <v>45425</v>
      </c>
      <c r="AY244" s="162">
        <f t="shared" si="282"/>
        <v>18</v>
      </c>
      <c r="AZ244" s="163" t="s">
        <v>882</v>
      </c>
      <c r="BA244" s="162" t="b">
        <f t="shared" si="281"/>
        <v>0</v>
      </c>
      <c r="BF244" s="164">
        <f t="shared" si="298"/>
        <v>144.1</v>
      </c>
      <c r="BG244" s="164">
        <f t="shared" si="299"/>
        <v>3</v>
      </c>
      <c r="BH244" s="164"/>
      <c r="BI244" s="164">
        <f t="shared" si="300"/>
        <v>58.8</v>
      </c>
      <c r="BJ244" s="164">
        <f t="shared" si="301"/>
        <v>3</v>
      </c>
      <c r="BK244" s="164">
        <f t="shared" si="302"/>
        <v>4.0999999999999996</v>
      </c>
      <c r="BL244" s="164">
        <f t="shared" si="303"/>
        <v>170</v>
      </c>
      <c r="BM244" s="164">
        <f t="shared" si="304"/>
        <v>63</v>
      </c>
      <c r="BN244" s="164">
        <f t="shared" si="305"/>
        <v>80</v>
      </c>
      <c r="BO244" s="164">
        <f t="shared" si="306"/>
        <v>6</v>
      </c>
      <c r="BP244" s="164">
        <f t="shared" si="307"/>
        <v>12</v>
      </c>
      <c r="BQ244" s="164">
        <f t="shared" si="308"/>
        <v>12</v>
      </c>
      <c r="BR244" s="164">
        <f t="shared" si="309"/>
        <v>0</v>
      </c>
      <c r="BS244" s="129">
        <f>SUMIF('Audit HD AR - School Level'!$A$6:A3763, "=" &amp; A244,'Audit HD AR - School Level'!$Q$6:Q3763)</f>
        <v>1</v>
      </c>
      <c r="BT244" s="168">
        <f t="shared" si="310"/>
        <v>0</v>
      </c>
      <c r="BU244" s="168">
        <f t="shared" si="311"/>
        <v>-13826</v>
      </c>
      <c r="BW244" s="168">
        <f t="shared" si="312"/>
        <v>-13826</v>
      </c>
      <c r="BX244" s="164">
        <f t="shared" si="313"/>
        <v>163.6</v>
      </c>
    </row>
    <row r="245" spans="1:78">
      <c r="A245" s="129" t="s">
        <v>388</v>
      </c>
      <c r="U245" s="129">
        <v>591.4</v>
      </c>
      <c r="V245" s="129">
        <v>10.5</v>
      </c>
      <c r="X245" s="129">
        <v>595.5</v>
      </c>
      <c r="AC245" s="129">
        <v>290</v>
      </c>
      <c r="AD245" s="129">
        <v>6</v>
      </c>
      <c r="AE245" s="129">
        <v>19.8</v>
      </c>
      <c r="AF245" s="129">
        <v>603</v>
      </c>
      <c r="AG245" s="129">
        <v>225</v>
      </c>
      <c r="AI245" s="129">
        <v>159.5</v>
      </c>
      <c r="AJ245" s="129">
        <v>24</v>
      </c>
      <c r="AK245" s="129">
        <v>31</v>
      </c>
      <c r="AL245" s="129">
        <v>0</v>
      </c>
      <c r="AO245" s="129">
        <v>10</v>
      </c>
      <c r="AP245" s="129">
        <v>1.7</v>
      </c>
      <c r="AQ245" s="129">
        <v>3</v>
      </c>
      <c r="AR245" s="129">
        <v>0</v>
      </c>
      <c r="AS245" s="129">
        <v>3</v>
      </c>
      <c r="AT245" s="129">
        <v>4</v>
      </c>
      <c r="AU245" s="129">
        <v>0</v>
      </c>
      <c r="AV245" s="129">
        <v>0</v>
      </c>
      <c r="AW245" s="129">
        <v>227407</v>
      </c>
      <c r="AX245" s="167">
        <v>45425</v>
      </c>
      <c r="AY245" s="162">
        <f t="shared" si="282"/>
        <v>18</v>
      </c>
      <c r="AZ245" s="163" t="s">
        <v>882</v>
      </c>
      <c r="BA245" s="162" t="b">
        <f t="shared" si="281"/>
        <v>0</v>
      </c>
      <c r="BF245" s="164">
        <f t="shared" si="298"/>
        <v>579.70000000000005</v>
      </c>
      <c r="BG245" s="164">
        <f t="shared" si="299"/>
        <v>10.5</v>
      </c>
      <c r="BH245" s="164"/>
      <c r="BI245" s="164">
        <f t="shared" si="300"/>
        <v>290</v>
      </c>
      <c r="BJ245" s="164">
        <f t="shared" si="301"/>
        <v>6</v>
      </c>
      <c r="BK245" s="164">
        <f t="shared" si="302"/>
        <v>19.8</v>
      </c>
      <c r="BL245" s="164">
        <f t="shared" si="303"/>
        <v>603</v>
      </c>
      <c r="BM245" s="164">
        <f t="shared" si="304"/>
        <v>225</v>
      </c>
      <c r="BN245" s="164">
        <f t="shared" si="305"/>
        <v>159.5</v>
      </c>
      <c r="BO245" s="164">
        <f t="shared" si="306"/>
        <v>24</v>
      </c>
      <c r="BP245" s="164">
        <f t="shared" si="307"/>
        <v>31</v>
      </c>
      <c r="BQ245" s="164">
        <f t="shared" si="308"/>
        <v>31</v>
      </c>
      <c r="BR245" s="164">
        <f t="shared" si="309"/>
        <v>0</v>
      </c>
      <c r="BS245" s="129">
        <f>SUMIF('Audit HD AR - School Level'!$A$6:A3764, "=" &amp; A245,'Audit HD AR - School Level'!$Q$6:Q3764)</f>
        <v>8.6</v>
      </c>
      <c r="BT245" s="168">
        <f t="shared" si="310"/>
        <v>0</v>
      </c>
      <c r="BU245" s="168">
        <f t="shared" si="311"/>
        <v>0</v>
      </c>
      <c r="BW245" s="168">
        <f t="shared" si="312"/>
        <v>0</v>
      </c>
      <c r="BX245" s="164">
        <f t="shared" si="313"/>
        <v>575.70000000000005</v>
      </c>
    </row>
    <row r="246" spans="1:78">
      <c r="A246" s="129" t="s">
        <v>395</v>
      </c>
      <c r="U246" s="129">
        <v>2149</v>
      </c>
      <c r="V246" s="129">
        <v>37.5</v>
      </c>
      <c r="X246" s="129">
        <v>2252.5</v>
      </c>
      <c r="AC246" s="129">
        <v>500.8</v>
      </c>
      <c r="AD246" s="129">
        <v>69</v>
      </c>
      <c r="AE246" s="129">
        <v>112.4</v>
      </c>
      <c r="AF246" s="129">
        <v>2239</v>
      </c>
      <c r="AG246" s="129">
        <v>858</v>
      </c>
      <c r="AI246" s="129">
        <v>192</v>
      </c>
      <c r="AJ246" s="129">
        <v>5</v>
      </c>
      <c r="AK246" s="129">
        <v>6</v>
      </c>
      <c r="AL246" s="129">
        <v>0</v>
      </c>
      <c r="AO246" s="129">
        <v>10</v>
      </c>
      <c r="AP246" s="129">
        <v>0</v>
      </c>
      <c r="AQ246" s="129">
        <v>0</v>
      </c>
      <c r="AR246" s="129">
        <v>0</v>
      </c>
      <c r="AS246" s="129">
        <v>0</v>
      </c>
      <c r="AT246" s="129">
        <v>0</v>
      </c>
      <c r="AU246" s="129">
        <v>0</v>
      </c>
      <c r="AV246" s="129">
        <v>0</v>
      </c>
      <c r="AW246" s="129">
        <v>366657</v>
      </c>
      <c r="AX246" s="167">
        <v>45425</v>
      </c>
      <c r="AY246" s="162">
        <f t="shared" si="282"/>
        <v>18</v>
      </c>
      <c r="AZ246" s="163" t="s">
        <v>882</v>
      </c>
      <c r="BA246" s="162" t="b">
        <f t="shared" si="281"/>
        <v>0</v>
      </c>
      <c r="BF246" s="164">
        <f t="shared" si="298"/>
        <v>2139</v>
      </c>
      <c r="BG246" s="164">
        <f t="shared" si="299"/>
        <v>37.5</v>
      </c>
      <c r="BH246" s="164"/>
      <c r="BI246" s="164">
        <f t="shared" si="300"/>
        <v>500.8</v>
      </c>
      <c r="BJ246" s="164">
        <f t="shared" si="301"/>
        <v>69</v>
      </c>
      <c r="BK246" s="164">
        <f t="shared" si="302"/>
        <v>112.4</v>
      </c>
      <c r="BL246" s="164">
        <f t="shared" si="303"/>
        <v>2239</v>
      </c>
      <c r="BM246" s="164">
        <f t="shared" si="304"/>
        <v>858</v>
      </c>
      <c r="BN246" s="164">
        <f t="shared" si="305"/>
        <v>192</v>
      </c>
      <c r="BO246" s="164">
        <f t="shared" si="306"/>
        <v>5</v>
      </c>
      <c r="BP246" s="164">
        <f t="shared" si="307"/>
        <v>6</v>
      </c>
      <c r="BQ246" s="164">
        <f t="shared" si="308"/>
        <v>6</v>
      </c>
      <c r="BR246" s="164">
        <f t="shared" si="309"/>
        <v>0</v>
      </c>
      <c r="BS246" s="129">
        <f>SUMIF('Audit HD AR - School Level'!$A$6:A3765, "=" &amp; A246,'Audit HD AR - School Level'!$Q$6:Q3765)</f>
        <v>35.6</v>
      </c>
      <c r="BT246" s="168">
        <f t="shared" si="310"/>
        <v>0</v>
      </c>
      <c r="BU246" s="168">
        <f t="shared" si="311"/>
        <v>0</v>
      </c>
      <c r="BW246" s="168">
        <f t="shared" si="312"/>
        <v>0</v>
      </c>
      <c r="BX246" s="164">
        <f t="shared" si="313"/>
        <v>2139</v>
      </c>
    </row>
    <row r="247" spans="1:78">
      <c r="A247" s="129" t="s">
        <v>429</v>
      </c>
      <c r="U247" s="129">
        <v>828.7</v>
      </c>
      <c r="V247" s="129">
        <v>0</v>
      </c>
      <c r="X247" s="129">
        <v>864.5</v>
      </c>
      <c r="AC247" s="129">
        <v>180.8</v>
      </c>
      <c r="AD247" s="129">
        <v>16</v>
      </c>
      <c r="AE247" s="129">
        <v>45.5</v>
      </c>
      <c r="AF247" s="129">
        <v>832</v>
      </c>
      <c r="AG247" s="129">
        <v>155</v>
      </c>
      <c r="AI247" s="129">
        <v>91</v>
      </c>
      <c r="AJ247" s="129">
        <v>71</v>
      </c>
      <c r="AK247" s="129">
        <v>46</v>
      </c>
      <c r="AL247" s="129">
        <v>0</v>
      </c>
      <c r="AO247" s="129">
        <v>0</v>
      </c>
      <c r="AP247" s="129">
        <v>0</v>
      </c>
      <c r="AQ247" s="129">
        <v>0</v>
      </c>
      <c r="AR247" s="129">
        <v>0</v>
      </c>
      <c r="AS247" s="129">
        <v>0</v>
      </c>
      <c r="AT247" s="129">
        <v>0</v>
      </c>
      <c r="AU247" s="129">
        <v>0</v>
      </c>
      <c r="AV247" s="129">
        <v>0</v>
      </c>
      <c r="AW247" s="129">
        <v>93463</v>
      </c>
      <c r="AX247" s="167">
        <v>45425</v>
      </c>
      <c r="AY247" s="162">
        <f t="shared" si="282"/>
        <v>18</v>
      </c>
      <c r="AZ247" s="163" t="s">
        <v>882</v>
      </c>
      <c r="BA247" s="162" t="b">
        <f t="shared" si="281"/>
        <v>0</v>
      </c>
      <c r="BF247" s="164">
        <f t="shared" si="298"/>
        <v>828.7</v>
      </c>
      <c r="BG247" s="164">
        <f t="shared" si="299"/>
        <v>0</v>
      </c>
      <c r="BH247" s="164"/>
      <c r="BI247" s="164">
        <f t="shared" si="300"/>
        <v>180.8</v>
      </c>
      <c r="BJ247" s="164">
        <f t="shared" si="301"/>
        <v>16</v>
      </c>
      <c r="BK247" s="164">
        <f t="shared" si="302"/>
        <v>45.5</v>
      </c>
      <c r="BL247" s="164">
        <f t="shared" si="303"/>
        <v>832</v>
      </c>
      <c r="BM247" s="164">
        <f t="shared" si="304"/>
        <v>155</v>
      </c>
      <c r="BN247" s="164">
        <f t="shared" si="305"/>
        <v>91</v>
      </c>
      <c r="BO247" s="164">
        <f t="shared" si="306"/>
        <v>71</v>
      </c>
      <c r="BP247" s="164">
        <f t="shared" si="307"/>
        <v>46</v>
      </c>
      <c r="BQ247" s="164">
        <f t="shared" si="308"/>
        <v>46</v>
      </c>
      <c r="BR247" s="164">
        <f t="shared" si="309"/>
        <v>0</v>
      </c>
      <c r="BS247" s="129">
        <f>SUMIF('Audit HD AR - School Level'!$A$6:A3767, "=" &amp; A247,'Audit HD AR - School Level'!$Q$6:Q3767)</f>
        <v>0</v>
      </c>
      <c r="BT247" s="168">
        <f t="shared" si="310"/>
        <v>0</v>
      </c>
      <c r="BU247" s="168">
        <f t="shared" si="311"/>
        <v>0</v>
      </c>
      <c r="BW247" s="168">
        <f t="shared" si="312"/>
        <v>0</v>
      </c>
      <c r="BX247" s="164">
        <f t="shared" si="313"/>
        <v>828.7</v>
      </c>
    </row>
    <row r="248" spans="1:78">
      <c r="A248" s="129" t="s">
        <v>455</v>
      </c>
      <c r="U248" s="129">
        <v>1630</v>
      </c>
      <c r="V248" s="129">
        <v>14.5</v>
      </c>
      <c r="X248" s="129">
        <v>1644.8</v>
      </c>
      <c r="AC248" s="129">
        <v>714.6</v>
      </c>
      <c r="AD248" s="129">
        <v>8</v>
      </c>
      <c r="AE248" s="129">
        <v>32.200000000000003</v>
      </c>
      <c r="AF248" s="129">
        <v>1640</v>
      </c>
      <c r="AG248" s="129">
        <v>466</v>
      </c>
      <c r="AI248" s="129">
        <v>232</v>
      </c>
      <c r="AJ248" s="129">
        <v>2</v>
      </c>
      <c r="AK248" s="129">
        <v>0</v>
      </c>
      <c r="AL248" s="129">
        <v>4</v>
      </c>
      <c r="AO248" s="129">
        <v>25</v>
      </c>
      <c r="AP248" s="129">
        <v>5</v>
      </c>
      <c r="AQ248" s="129">
        <v>5</v>
      </c>
      <c r="AR248" s="129">
        <v>1</v>
      </c>
      <c r="AS248" s="129">
        <v>5</v>
      </c>
      <c r="AT248" s="129">
        <v>3</v>
      </c>
      <c r="AU248" s="129">
        <v>0</v>
      </c>
      <c r="AV248" s="129">
        <v>0</v>
      </c>
      <c r="AW248" s="129">
        <v>519173</v>
      </c>
      <c r="AX248" s="167">
        <v>45425</v>
      </c>
      <c r="AY248" s="162">
        <f t="shared" si="282"/>
        <v>18</v>
      </c>
      <c r="AZ248" s="163" t="s">
        <v>882</v>
      </c>
      <c r="BA248" s="162" t="b">
        <f t="shared" si="281"/>
        <v>0</v>
      </c>
      <c r="BF248" s="164">
        <f t="shared" si="298"/>
        <v>1599</v>
      </c>
      <c r="BG248" s="164">
        <f t="shared" si="299"/>
        <v>14.5</v>
      </c>
      <c r="BH248" s="164"/>
      <c r="BI248" s="164">
        <f t="shared" si="300"/>
        <v>714.6</v>
      </c>
      <c r="BJ248" s="164">
        <f t="shared" si="301"/>
        <v>8</v>
      </c>
      <c r="BK248" s="164">
        <f t="shared" si="302"/>
        <v>32.200000000000003</v>
      </c>
      <c r="BL248" s="164">
        <f t="shared" si="303"/>
        <v>1640</v>
      </c>
      <c r="BM248" s="164">
        <f t="shared" si="304"/>
        <v>466</v>
      </c>
      <c r="BN248" s="164">
        <f t="shared" si="305"/>
        <v>232</v>
      </c>
      <c r="BO248" s="164">
        <f t="shared" si="306"/>
        <v>2</v>
      </c>
      <c r="BP248" s="164">
        <f t="shared" si="307"/>
        <v>0</v>
      </c>
      <c r="BQ248" s="164">
        <f t="shared" si="308"/>
        <v>0</v>
      </c>
      <c r="BR248" s="164">
        <f t="shared" si="309"/>
        <v>4</v>
      </c>
      <c r="BS248" s="129">
        <f>SUMIF('Audit HD AR - School Level'!$A$6:A3768, "=" &amp; A248,'Audit HD AR - School Level'!$Q$6:Q3768)</f>
        <v>0</v>
      </c>
      <c r="BT248" s="168">
        <f t="shared" si="310"/>
        <v>0</v>
      </c>
      <c r="BU248" s="168">
        <f t="shared" si="311"/>
        <v>-709</v>
      </c>
      <c r="BV248" s="129">
        <v>-3827</v>
      </c>
      <c r="BW248" s="168">
        <f t="shared" si="312"/>
        <v>-4536</v>
      </c>
      <c r="BX248" s="164">
        <f t="shared" si="313"/>
        <v>1597</v>
      </c>
    </row>
    <row r="249" spans="1:78">
      <c r="A249" s="129" t="s">
        <v>469</v>
      </c>
      <c r="U249" s="129">
        <v>372.5</v>
      </c>
      <c r="V249" s="129">
        <v>6</v>
      </c>
      <c r="X249" s="129">
        <v>368.5</v>
      </c>
      <c r="AC249" s="129">
        <v>179.3</v>
      </c>
      <c r="AD249" s="129">
        <v>2</v>
      </c>
      <c r="AE249" s="129">
        <v>1.6</v>
      </c>
      <c r="AF249" s="129">
        <v>387</v>
      </c>
      <c r="AG249" s="129">
        <v>184</v>
      </c>
      <c r="AI249" s="129">
        <v>25.5</v>
      </c>
      <c r="AJ249" s="129">
        <v>43</v>
      </c>
      <c r="AK249" s="129">
        <v>57</v>
      </c>
      <c r="AL249" s="129">
        <v>0</v>
      </c>
      <c r="AO249" s="129">
        <v>0</v>
      </c>
      <c r="AP249" s="129">
        <v>0</v>
      </c>
      <c r="AQ249" s="129">
        <v>0</v>
      </c>
      <c r="AR249" s="129">
        <v>0</v>
      </c>
      <c r="AS249" s="129">
        <v>0</v>
      </c>
      <c r="AT249" s="129">
        <v>0</v>
      </c>
      <c r="AU249" s="129">
        <v>0</v>
      </c>
      <c r="AV249" s="129">
        <v>0</v>
      </c>
      <c r="AW249" s="129">
        <v>93438</v>
      </c>
      <c r="AX249" s="167">
        <v>45425</v>
      </c>
      <c r="AY249" s="162">
        <f t="shared" si="282"/>
        <v>18</v>
      </c>
      <c r="AZ249" s="163" t="s">
        <v>882</v>
      </c>
      <c r="BA249" s="162" t="b">
        <f t="shared" si="281"/>
        <v>0</v>
      </c>
      <c r="BF249" s="164">
        <f t="shared" si="298"/>
        <v>372.5</v>
      </c>
      <c r="BG249" s="164">
        <f t="shared" si="299"/>
        <v>6</v>
      </c>
      <c r="BH249" s="164"/>
      <c r="BI249" s="164">
        <f t="shared" si="300"/>
        <v>179.3</v>
      </c>
      <c r="BJ249" s="164">
        <f t="shared" si="301"/>
        <v>2</v>
      </c>
      <c r="BK249" s="164">
        <f t="shared" si="302"/>
        <v>1.6</v>
      </c>
      <c r="BL249" s="164">
        <f t="shared" si="303"/>
        <v>387</v>
      </c>
      <c r="BM249" s="164">
        <f t="shared" si="304"/>
        <v>184</v>
      </c>
      <c r="BN249" s="164">
        <f t="shared" si="305"/>
        <v>25.5</v>
      </c>
      <c r="BO249" s="164">
        <f t="shared" si="306"/>
        <v>43</v>
      </c>
      <c r="BP249" s="164">
        <f t="shared" si="307"/>
        <v>57</v>
      </c>
      <c r="BQ249" s="164">
        <f t="shared" si="308"/>
        <v>57</v>
      </c>
      <c r="BR249" s="164">
        <f t="shared" si="309"/>
        <v>0</v>
      </c>
      <c r="BS249" s="129">
        <f>SUMIF('Audit HD AR - School Level'!$A$6:A3769, "=" &amp; A249,'Audit HD AR - School Level'!$Q$6:Q3769)</f>
        <v>11.8</v>
      </c>
      <c r="BT249" s="168">
        <f t="shared" si="310"/>
        <v>0</v>
      </c>
      <c r="BU249" s="168">
        <f t="shared" si="311"/>
        <v>0</v>
      </c>
      <c r="BW249" s="168">
        <f t="shared" si="312"/>
        <v>0</v>
      </c>
      <c r="BX249" s="164">
        <f t="shared" si="313"/>
        <v>372.5</v>
      </c>
    </row>
    <row r="250" spans="1:78">
      <c r="A250" s="129" t="s">
        <v>259</v>
      </c>
      <c r="U250" s="129">
        <v>3085.9</v>
      </c>
      <c r="V250" s="129">
        <v>33</v>
      </c>
      <c r="X250" s="129">
        <v>3069.1</v>
      </c>
      <c r="AC250" s="129">
        <v>964.2</v>
      </c>
      <c r="AD250" s="129">
        <v>111</v>
      </c>
      <c r="AE250" s="129">
        <v>340.7</v>
      </c>
      <c r="AF250" s="129">
        <v>3107</v>
      </c>
      <c r="AG250" s="129">
        <v>1101</v>
      </c>
      <c r="AI250" s="129">
        <v>1629</v>
      </c>
      <c r="AJ250" s="129">
        <v>280</v>
      </c>
      <c r="AK250" s="129">
        <v>0</v>
      </c>
      <c r="AL250" s="129">
        <v>2</v>
      </c>
      <c r="AO250" s="129">
        <v>49</v>
      </c>
      <c r="AP250" s="129">
        <v>3.8</v>
      </c>
      <c r="AQ250" s="129">
        <v>67.5</v>
      </c>
      <c r="AR250" s="129">
        <v>0</v>
      </c>
      <c r="AS250" s="129">
        <v>64.5</v>
      </c>
      <c r="AT250" s="129">
        <v>17</v>
      </c>
      <c r="AU250" s="129">
        <v>0</v>
      </c>
      <c r="AV250" s="129">
        <v>0</v>
      </c>
      <c r="AW250" s="129">
        <v>990252</v>
      </c>
      <c r="AX250" s="167">
        <v>45426</v>
      </c>
      <c r="AY250" s="162">
        <f t="shared" si="282"/>
        <v>19</v>
      </c>
      <c r="AZ250" s="163" t="s">
        <v>882</v>
      </c>
      <c r="BA250" s="162" t="b">
        <f t="shared" si="281"/>
        <v>0</v>
      </c>
      <c r="BF250" s="164">
        <f t="shared" ref="BF250:BF254" si="314">SUM(U250+C250-AO250-AP250-AR250)</f>
        <v>3033.1</v>
      </c>
      <c r="BG250" s="164">
        <f t="shared" ref="BG250:BG254" si="315">SUM(E250+F250+V250+W250)</f>
        <v>33</v>
      </c>
      <c r="BH250" s="164"/>
      <c r="BI250" s="164">
        <f t="shared" ref="BI250:BI254" si="316">SUM(AC250+H250)</f>
        <v>964.2</v>
      </c>
      <c r="BJ250" s="164">
        <f t="shared" ref="BJ250:BJ254" si="317">SUM(AD250+I250)</f>
        <v>111</v>
      </c>
      <c r="BK250" s="164">
        <f t="shared" ref="BK250:BK254" si="318">SUM(AE250+J250)</f>
        <v>340.7</v>
      </c>
      <c r="BL250" s="164">
        <f t="shared" ref="BL250:BL254" si="319">SUM(AF250+K250)</f>
        <v>3107</v>
      </c>
      <c r="BM250" s="164">
        <f t="shared" ref="BM250:BM254" si="320">SUM(AG250+L250)</f>
        <v>1101</v>
      </c>
      <c r="BN250" s="164">
        <f t="shared" ref="BN250:BN254" si="321">SUM(AI250+Q250)</f>
        <v>1629</v>
      </c>
      <c r="BO250" s="164">
        <f t="shared" ref="BO250:BO254" si="322">SUM(AJ250+R250)</f>
        <v>280</v>
      </c>
      <c r="BP250" s="164">
        <f t="shared" ref="BP250:BP254" si="323">SUM(AK250+R250)</f>
        <v>0</v>
      </c>
      <c r="BQ250" s="164">
        <f t="shared" ref="BQ250:BQ254" si="324">SUM(S250+AK250)</f>
        <v>0</v>
      </c>
      <c r="BR250" s="164">
        <f t="shared" ref="BR250:BR254" si="325">SUM(T250+AL250)</f>
        <v>2</v>
      </c>
      <c r="BS250" s="129">
        <f>SUMIF('Audit HD AR - School Level'!$A$6:A3772, "=" &amp; A250,'Audit HD AR - School Level'!$Q$6:Q3772)</f>
        <v>15</v>
      </c>
      <c r="BT250" s="168">
        <f t="shared" ref="BT250:BT254" si="326">SUM(AS250-AQ250)*$BT$2</f>
        <v>-2127</v>
      </c>
      <c r="BU250" s="168">
        <f t="shared" ref="BU250:BU254" si="327">SUM(AU250-AR250)*$BT$2</f>
        <v>0</v>
      </c>
      <c r="BW250" s="168">
        <f t="shared" ref="BW250:BW254" si="328">IF(BT250+BU250+BV250&gt;0,0,BT250+BU250+BV250)</f>
        <v>-2127</v>
      </c>
      <c r="BX250" s="164">
        <f t="shared" si="313"/>
        <v>3016.1</v>
      </c>
    </row>
    <row r="251" spans="1:78">
      <c r="A251" s="129" t="s">
        <v>274</v>
      </c>
      <c r="U251" s="129">
        <v>531.1</v>
      </c>
      <c r="V251" s="129">
        <v>2</v>
      </c>
      <c r="X251" s="129">
        <v>371.5</v>
      </c>
      <c r="AC251" s="129">
        <v>112.8</v>
      </c>
      <c r="AD251" s="129">
        <v>3</v>
      </c>
      <c r="AE251" s="129">
        <v>3.6</v>
      </c>
      <c r="AF251" s="129">
        <v>369</v>
      </c>
      <c r="AG251" s="129">
        <v>178</v>
      </c>
      <c r="AI251" s="129">
        <v>202</v>
      </c>
      <c r="AJ251" s="129">
        <v>104</v>
      </c>
      <c r="AK251" s="129">
        <v>63</v>
      </c>
      <c r="AL251" s="129">
        <v>0</v>
      </c>
      <c r="AO251" s="129">
        <v>169</v>
      </c>
      <c r="AP251" s="129">
        <v>1.6</v>
      </c>
      <c r="AQ251" s="129">
        <v>0</v>
      </c>
      <c r="AR251" s="129">
        <v>0</v>
      </c>
      <c r="AS251" s="129">
        <v>0</v>
      </c>
      <c r="AT251" s="129">
        <v>0</v>
      </c>
      <c r="AU251" s="129">
        <v>0</v>
      </c>
      <c r="AV251" s="129">
        <v>0</v>
      </c>
      <c r="AW251" s="129">
        <v>334554</v>
      </c>
      <c r="AX251" s="167">
        <v>45426</v>
      </c>
      <c r="AY251" s="162">
        <f t="shared" si="282"/>
        <v>19</v>
      </c>
      <c r="AZ251" s="163" t="s">
        <v>882</v>
      </c>
      <c r="BA251" s="162" t="b">
        <f t="shared" si="281"/>
        <v>0</v>
      </c>
      <c r="BF251" s="164">
        <f t="shared" si="314"/>
        <v>360.5</v>
      </c>
      <c r="BG251" s="164">
        <f t="shared" si="315"/>
        <v>2</v>
      </c>
      <c r="BH251" s="164"/>
      <c r="BI251" s="164">
        <f t="shared" si="316"/>
        <v>112.8</v>
      </c>
      <c r="BJ251" s="164">
        <f t="shared" si="317"/>
        <v>3</v>
      </c>
      <c r="BK251" s="164">
        <f t="shared" si="318"/>
        <v>3.6</v>
      </c>
      <c r="BL251" s="164">
        <f t="shared" si="319"/>
        <v>369</v>
      </c>
      <c r="BM251" s="164">
        <f t="shared" si="320"/>
        <v>178</v>
      </c>
      <c r="BN251" s="164">
        <f t="shared" si="321"/>
        <v>202</v>
      </c>
      <c r="BO251" s="164">
        <f t="shared" si="322"/>
        <v>104</v>
      </c>
      <c r="BP251" s="164">
        <f t="shared" si="323"/>
        <v>63</v>
      </c>
      <c r="BQ251" s="164">
        <f t="shared" si="324"/>
        <v>63</v>
      </c>
      <c r="BR251" s="164">
        <f t="shared" si="325"/>
        <v>0</v>
      </c>
      <c r="BS251" s="129">
        <f>SUMIF('Audit HD AR - School Level'!$A$6:A3773, "=" &amp; A251,'Audit HD AR - School Level'!$Q$6:Q3773)</f>
        <v>16.5</v>
      </c>
      <c r="BT251" s="168">
        <f t="shared" si="326"/>
        <v>0</v>
      </c>
      <c r="BU251" s="168">
        <f t="shared" si="327"/>
        <v>0</v>
      </c>
      <c r="BV251" s="129">
        <v>-29325</v>
      </c>
      <c r="BW251" s="168">
        <f t="shared" si="328"/>
        <v>-29325</v>
      </c>
      <c r="BX251" s="164">
        <f t="shared" si="313"/>
        <v>360.5</v>
      </c>
    </row>
    <row r="252" spans="1:78">
      <c r="A252" s="129" t="s">
        <v>355</v>
      </c>
      <c r="U252" s="129">
        <v>2014.2</v>
      </c>
      <c r="V252" s="129">
        <v>19</v>
      </c>
      <c r="X252" s="129">
        <v>2008.1</v>
      </c>
      <c r="AC252" s="129">
        <v>703.2</v>
      </c>
      <c r="AD252" s="129">
        <v>40</v>
      </c>
      <c r="AE252" s="129">
        <v>49.2</v>
      </c>
      <c r="AF252" s="129">
        <v>2047</v>
      </c>
      <c r="AG252" s="129">
        <v>622</v>
      </c>
      <c r="AI252" s="129">
        <v>287</v>
      </c>
      <c r="AJ252" s="129">
        <v>7</v>
      </c>
      <c r="AK252" s="129">
        <v>4.5</v>
      </c>
      <c r="AL252" s="129">
        <v>0</v>
      </c>
      <c r="AO252" s="129">
        <v>13</v>
      </c>
      <c r="AP252" s="129">
        <v>2.1</v>
      </c>
      <c r="AQ252" s="129">
        <v>20</v>
      </c>
      <c r="AR252" s="129">
        <v>15.5</v>
      </c>
      <c r="AS252" s="129">
        <v>9</v>
      </c>
      <c r="AT252" s="129">
        <v>0</v>
      </c>
      <c r="AU252" s="129">
        <v>0</v>
      </c>
      <c r="AV252" s="129">
        <v>0</v>
      </c>
      <c r="AW252" s="129">
        <v>626451</v>
      </c>
      <c r="AX252" s="167">
        <v>45426</v>
      </c>
      <c r="AY252" s="162">
        <f t="shared" si="282"/>
        <v>19</v>
      </c>
      <c r="AZ252" s="163" t="s">
        <v>882</v>
      </c>
      <c r="BA252" s="162" t="b">
        <f t="shared" si="281"/>
        <v>0</v>
      </c>
      <c r="BF252" s="164">
        <f t="shared" si="314"/>
        <v>1983.6</v>
      </c>
      <c r="BG252" s="164">
        <f t="shared" si="315"/>
        <v>19</v>
      </c>
      <c r="BH252" s="164"/>
      <c r="BI252" s="164">
        <f t="shared" si="316"/>
        <v>703.2</v>
      </c>
      <c r="BJ252" s="164">
        <f t="shared" si="317"/>
        <v>40</v>
      </c>
      <c r="BK252" s="164">
        <f t="shared" si="318"/>
        <v>49.2</v>
      </c>
      <c r="BL252" s="164">
        <f t="shared" si="319"/>
        <v>2047</v>
      </c>
      <c r="BM252" s="164">
        <f t="shared" si="320"/>
        <v>622</v>
      </c>
      <c r="BN252" s="164">
        <f t="shared" si="321"/>
        <v>287</v>
      </c>
      <c r="BO252" s="164">
        <f t="shared" si="322"/>
        <v>7</v>
      </c>
      <c r="BP252" s="164">
        <f t="shared" si="323"/>
        <v>4.5</v>
      </c>
      <c r="BQ252" s="164">
        <f t="shared" si="324"/>
        <v>4.5</v>
      </c>
      <c r="BR252" s="164">
        <f t="shared" si="325"/>
        <v>0</v>
      </c>
      <c r="BS252" s="129">
        <f>SUMIF('Audit HD AR - School Level'!$A$6:A3776, "=" &amp; A252,'Audit HD AR - School Level'!$Q$6:Q3776)</f>
        <v>11.4</v>
      </c>
      <c r="BT252" s="168">
        <f t="shared" si="326"/>
        <v>-7799</v>
      </c>
      <c r="BU252" s="168">
        <f t="shared" si="327"/>
        <v>-10990</v>
      </c>
      <c r="BV252" s="129">
        <v>-6591</v>
      </c>
      <c r="BW252" s="168">
        <f t="shared" si="328"/>
        <v>-25380</v>
      </c>
      <c r="BX252" s="164">
        <f t="shared" si="313"/>
        <v>1999.1</v>
      </c>
    </row>
    <row r="253" spans="1:78">
      <c r="A253" s="129" t="s">
        <v>376</v>
      </c>
      <c r="U253" s="129">
        <v>550.29999999999995</v>
      </c>
      <c r="V253" s="129">
        <v>1.5</v>
      </c>
      <c r="X253" s="129">
        <v>176.5</v>
      </c>
      <c r="AC253" s="129">
        <v>96.2</v>
      </c>
      <c r="AD253" s="129">
        <v>0</v>
      </c>
      <c r="AE253" s="129">
        <v>0</v>
      </c>
      <c r="AF253" s="129">
        <v>189</v>
      </c>
      <c r="AG253" s="129">
        <v>74</v>
      </c>
      <c r="AI253" s="129">
        <v>125</v>
      </c>
      <c r="AJ253" s="129">
        <v>15</v>
      </c>
      <c r="AK253" s="129">
        <v>9</v>
      </c>
      <c r="AL253" s="129">
        <v>0</v>
      </c>
      <c r="AO253" s="129">
        <v>122</v>
      </c>
      <c r="AP253" s="129">
        <v>1.8</v>
      </c>
      <c r="AQ253" s="129">
        <v>699</v>
      </c>
      <c r="AR253" s="129">
        <v>0</v>
      </c>
      <c r="AS253" s="129">
        <v>699</v>
      </c>
      <c r="AT253" s="129">
        <v>242</v>
      </c>
      <c r="AU253" s="129">
        <v>0</v>
      </c>
      <c r="AV253" s="129">
        <v>0</v>
      </c>
      <c r="AW253" s="129">
        <v>322495</v>
      </c>
      <c r="AX253" s="167">
        <v>45426</v>
      </c>
      <c r="AY253" s="162">
        <f t="shared" si="282"/>
        <v>19</v>
      </c>
      <c r="AZ253" s="163" t="s">
        <v>882</v>
      </c>
      <c r="BA253" s="162" t="b">
        <f t="shared" si="281"/>
        <v>0</v>
      </c>
      <c r="BF253" s="164">
        <f t="shared" si="314"/>
        <v>426.5</v>
      </c>
      <c r="BG253" s="164">
        <f t="shared" si="315"/>
        <v>1.5</v>
      </c>
      <c r="BH253" s="164"/>
      <c r="BI253" s="164">
        <f t="shared" si="316"/>
        <v>96.2</v>
      </c>
      <c r="BJ253" s="164">
        <f t="shared" si="317"/>
        <v>0</v>
      </c>
      <c r="BK253" s="164">
        <f t="shared" si="318"/>
        <v>0</v>
      </c>
      <c r="BL253" s="164">
        <f t="shared" si="319"/>
        <v>189</v>
      </c>
      <c r="BM253" s="164">
        <f t="shared" si="320"/>
        <v>74</v>
      </c>
      <c r="BN253" s="164">
        <f t="shared" si="321"/>
        <v>125</v>
      </c>
      <c r="BO253" s="164">
        <f t="shared" si="322"/>
        <v>15</v>
      </c>
      <c r="BP253" s="164">
        <f t="shared" si="323"/>
        <v>9</v>
      </c>
      <c r="BQ253" s="164">
        <f t="shared" si="324"/>
        <v>9</v>
      </c>
      <c r="BR253" s="164">
        <f t="shared" si="325"/>
        <v>0</v>
      </c>
      <c r="BS253" s="129">
        <f>SUMIF('Audit HD AR - School Level'!$A$6:A3777, "=" &amp; A253,'Audit HD AR - School Level'!$Q$6:Q3777)</f>
        <v>2.1</v>
      </c>
      <c r="BT253" s="168">
        <f t="shared" si="326"/>
        <v>0</v>
      </c>
      <c r="BU253" s="168">
        <f t="shared" si="327"/>
        <v>0</v>
      </c>
      <c r="BW253" s="168">
        <f t="shared" si="328"/>
        <v>0</v>
      </c>
      <c r="BX253" s="164">
        <f t="shared" si="313"/>
        <v>184.5</v>
      </c>
    </row>
    <row r="254" spans="1:78">
      <c r="A254" s="129" t="s">
        <v>442</v>
      </c>
      <c r="U254" s="129">
        <v>91.5</v>
      </c>
      <c r="V254" s="129">
        <v>2.5</v>
      </c>
      <c r="X254" s="129">
        <v>84.5</v>
      </c>
      <c r="AC254" s="129">
        <v>21.7</v>
      </c>
      <c r="AD254" s="129">
        <v>0</v>
      </c>
      <c r="AE254" s="129">
        <v>0</v>
      </c>
      <c r="AF254" s="129">
        <v>96</v>
      </c>
      <c r="AG254" s="129">
        <v>35</v>
      </c>
      <c r="AI254" s="129">
        <v>30</v>
      </c>
      <c r="AJ254" s="129">
        <v>3</v>
      </c>
      <c r="AK254" s="129">
        <v>1</v>
      </c>
      <c r="AL254" s="129">
        <v>0</v>
      </c>
      <c r="AO254" s="129">
        <v>4</v>
      </c>
      <c r="AP254" s="129">
        <v>0</v>
      </c>
      <c r="AQ254" s="129">
        <v>0</v>
      </c>
      <c r="AR254" s="129">
        <v>0</v>
      </c>
      <c r="AS254" s="129">
        <v>0</v>
      </c>
      <c r="AT254" s="129">
        <v>0</v>
      </c>
      <c r="AU254" s="129">
        <v>0</v>
      </c>
      <c r="AV254" s="129">
        <v>0</v>
      </c>
      <c r="AW254" s="129">
        <v>72364</v>
      </c>
      <c r="AX254" s="167">
        <v>45426</v>
      </c>
      <c r="AY254" s="162">
        <f t="shared" si="282"/>
        <v>19</v>
      </c>
      <c r="AZ254" s="163" t="s">
        <v>882</v>
      </c>
      <c r="BA254" s="162" t="b">
        <f t="shared" si="281"/>
        <v>0</v>
      </c>
      <c r="BF254" s="164">
        <f t="shared" si="314"/>
        <v>87.5</v>
      </c>
      <c r="BG254" s="164">
        <f t="shared" si="315"/>
        <v>2.5</v>
      </c>
      <c r="BH254" s="164"/>
      <c r="BI254" s="164">
        <f t="shared" si="316"/>
        <v>21.7</v>
      </c>
      <c r="BJ254" s="164">
        <f t="shared" si="317"/>
        <v>0</v>
      </c>
      <c r="BK254" s="164">
        <f t="shared" si="318"/>
        <v>0</v>
      </c>
      <c r="BL254" s="164">
        <f t="shared" si="319"/>
        <v>96</v>
      </c>
      <c r="BM254" s="164">
        <f t="shared" si="320"/>
        <v>35</v>
      </c>
      <c r="BN254" s="164">
        <f t="shared" si="321"/>
        <v>30</v>
      </c>
      <c r="BO254" s="164">
        <f t="shared" si="322"/>
        <v>3</v>
      </c>
      <c r="BP254" s="164">
        <f t="shared" si="323"/>
        <v>1</v>
      </c>
      <c r="BQ254" s="164">
        <f t="shared" si="324"/>
        <v>1</v>
      </c>
      <c r="BR254" s="164">
        <f t="shared" si="325"/>
        <v>0</v>
      </c>
      <c r="BS254" s="129">
        <f>SUMIF('Audit HD AR - School Level'!$A$6:A3778, "=" &amp; A254,'Audit HD AR - School Level'!$Q$6:Q3778)</f>
        <v>0.9</v>
      </c>
      <c r="BT254" s="168">
        <f t="shared" si="326"/>
        <v>0</v>
      </c>
      <c r="BU254" s="168">
        <f t="shared" si="327"/>
        <v>0</v>
      </c>
      <c r="BW254" s="168">
        <f t="shared" si="328"/>
        <v>0</v>
      </c>
      <c r="BX254" s="164">
        <f t="shared" si="313"/>
        <v>87.5</v>
      </c>
    </row>
    <row r="255" spans="1:78">
      <c r="A255" s="129" t="s">
        <v>353</v>
      </c>
      <c r="U255" s="129">
        <v>2902.2</v>
      </c>
      <c r="V255" s="129">
        <v>61</v>
      </c>
      <c r="X255" s="129">
        <v>3088.6</v>
      </c>
      <c r="AC255" s="129">
        <v>669.3</v>
      </c>
      <c r="AD255" s="129">
        <v>119</v>
      </c>
      <c r="AE255" s="129">
        <v>240.9</v>
      </c>
      <c r="AF255" s="129">
        <v>3131</v>
      </c>
      <c r="AG255" s="129">
        <v>1540</v>
      </c>
      <c r="AI255" s="129">
        <v>692</v>
      </c>
      <c r="AJ255" s="129">
        <v>175</v>
      </c>
      <c r="AK255" s="129">
        <v>20</v>
      </c>
      <c r="AL255" s="129">
        <v>17</v>
      </c>
      <c r="AO255" s="129">
        <v>17</v>
      </c>
      <c r="AP255" s="129">
        <v>0.4</v>
      </c>
      <c r="AQ255" s="129">
        <v>0</v>
      </c>
      <c r="AR255" s="129">
        <v>0</v>
      </c>
      <c r="AS255" s="129">
        <v>0</v>
      </c>
      <c r="AT255" s="129">
        <v>0</v>
      </c>
      <c r="AU255" s="129">
        <v>0</v>
      </c>
      <c r="AV255" s="129">
        <v>0</v>
      </c>
      <c r="AW255" s="129">
        <v>509213</v>
      </c>
      <c r="AX255" s="167">
        <v>45426</v>
      </c>
      <c r="AY255" s="162">
        <f t="shared" si="282"/>
        <v>19</v>
      </c>
      <c r="AZ255" s="163" t="s">
        <v>882</v>
      </c>
      <c r="BA255" s="162" t="b">
        <f t="shared" si="281"/>
        <v>0</v>
      </c>
      <c r="BF255" s="164">
        <f t="shared" ref="BF255" si="329">SUM(U255+C255-AO255-AP255-AR255)</f>
        <v>2884.8</v>
      </c>
      <c r="BG255" s="164">
        <f t="shared" ref="BG255" si="330">SUM(E255+F255+V255+W255)</f>
        <v>61</v>
      </c>
      <c r="BH255" s="164"/>
      <c r="BI255" s="164">
        <f t="shared" ref="BI255" si="331">SUM(AC255+H255)</f>
        <v>669.3</v>
      </c>
      <c r="BJ255" s="164">
        <f t="shared" ref="BJ255" si="332">SUM(AD255+I255)</f>
        <v>119</v>
      </c>
      <c r="BK255" s="164">
        <f t="shared" ref="BK255" si="333">SUM(AE255+J255)</f>
        <v>240.9</v>
      </c>
      <c r="BL255" s="164">
        <f t="shared" ref="BL255" si="334">SUM(AF255+K255)</f>
        <v>3131</v>
      </c>
      <c r="BM255" s="164">
        <f t="shared" ref="BM255" si="335">SUM(AG255+L255)</f>
        <v>1540</v>
      </c>
      <c r="BN255" s="164">
        <f t="shared" ref="BN255" si="336">SUM(AI255+Q255)</f>
        <v>692</v>
      </c>
      <c r="BO255" s="164">
        <f t="shared" ref="BO255" si="337">SUM(AJ255+R255)</f>
        <v>175</v>
      </c>
      <c r="BP255" s="164">
        <f t="shared" ref="BP255" si="338">SUM(AK255+R255)</f>
        <v>20</v>
      </c>
      <c r="BQ255" s="164">
        <f t="shared" ref="BQ255" si="339">SUM(S255+AK255)</f>
        <v>20</v>
      </c>
      <c r="BR255" s="164">
        <f t="shared" ref="BR255" si="340">SUM(T255+AL255)</f>
        <v>17</v>
      </c>
      <c r="BS255" s="129">
        <f>SUMIF('Audit HD AR - School Level'!$A$6:A3780, "=" &amp; A255,'Audit HD AR - School Level'!$Q$6:Q3780)</f>
        <v>132.6</v>
      </c>
      <c r="BT255" s="168">
        <f t="shared" ref="BT255" si="341">SUM(AS255-AQ255)*$BT$2</f>
        <v>0</v>
      </c>
      <c r="BU255" s="168">
        <f t="shared" ref="BU255" si="342">SUM(AU255-AR255)*$BT$2</f>
        <v>0</v>
      </c>
      <c r="BW255" s="168">
        <f t="shared" ref="BW255" si="343">IF(BT255+BU255+BV255&gt;0,0,BT255+BU255+BV255)</f>
        <v>0</v>
      </c>
      <c r="BX255" s="164">
        <f t="shared" si="313"/>
        <v>2884.8</v>
      </c>
    </row>
    <row r="256" spans="1:78">
      <c r="A256" s="129" t="s">
        <v>250</v>
      </c>
      <c r="U256" s="129">
        <v>4191.2</v>
      </c>
      <c r="V256" s="129">
        <v>79</v>
      </c>
      <c r="X256" s="129">
        <v>4208.5</v>
      </c>
      <c r="AC256" s="129">
        <v>1140.0999999999999</v>
      </c>
      <c r="AD256" s="129">
        <v>1109</v>
      </c>
      <c r="AE256" s="129">
        <v>3130.1</v>
      </c>
      <c r="AF256" s="129">
        <v>4391</v>
      </c>
      <c r="AG256" s="129">
        <v>2153</v>
      </c>
      <c r="AI256" s="129">
        <v>1771</v>
      </c>
      <c r="AJ256" s="129">
        <v>2340</v>
      </c>
      <c r="AK256" s="129">
        <v>112</v>
      </c>
      <c r="AL256" s="129">
        <v>0</v>
      </c>
      <c r="AO256" s="129">
        <v>0</v>
      </c>
      <c r="AP256" s="129">
        <v>0</v>
      </c>
      <c r="AQ256" s="129">
        <v>0</v>
      </c>
      <c r="AR256" s="129">
        <v>0</v>
      </c>
      <c r="AS256" s="129">
        <v>0</v>
      </c>
      <c r="AT256" s="129">
        <v>0</v>
      </c>
      <c r="AU256" s="129">
        <v>0</v>
      </c>
      <c r="AV256" s="129">
        <v>0</v>
      </c>
      <c r="AW256" s="129">
        <v>1122176</v>
      </c>
      <c r="AX256" s="167">
        <v>45427</v>
      </c>
      <c r="AY256" s="162">
        <f t="shared" si="282"/>
        <v>20</v>
      </c>
      <c r="AZ256" s="163" t="s">
        <v>882</v>
      </c>
      <c r="BA256" s="162" t="b">
        <f t="shared" si="281"/>
        <v>0</v>
      </c>
      <c r="BF256" s="164">
        <f t="shared" ref="BF256:BF257" si="344">SUM(U256+C256-AO256-AP256-AR256)</f>
        <v>4191.2</v>
      </c>
      <c r="BG256" s="164">
        <f t="shared" ref="BG256:BG257" si="345">SUM(E256+F256+V256+W256)</f>
        <v>79</v>
      </c>
      <c r="BH256" s="164"/>
      <c r="BI256" s="164">
        <f t="shared" ref="BI256:BI257" si="346">SUM(AC256+H256)</f>
        <v>1140.0999999999999</v>
      </c>
      <c r="BJ256" s="164">
        <f t="shared" ref="BJ256:BJ257" si="347">SUM(AD256+I256)</f>
        <v>1109</v>
      </c>
      <c r="BK256" s="164">
        <f t="shared" ref="BK256:BK257" si="348">SUM(AE256+J256)</f>
        <v>3130.1</v>
      </c>
      <c r="BL256" s="164">
        <f t="shared" ref="BL256:BL257" si="349">SUM(AF256+K256)</f>
        <v>4391</v>
      </c>
      <c r="BM256" s="164">
        <f t="shared" ref="BM256:BM257" si="350">SUM(AG256+L256)</f>
        <v>2153</v>
      </c>
      <c r="BN256" s="164">
        <f t="shared" ref="BN256:BN257" si="351">SUM(AI256+Q256)</f>
        <v>1771</v>
      </c>
      <c r="BO256" s="164">
        <f t="shared" ref="BO256:BO257" si="352">SUM(AJ256+R256)</f>
        <v>2340</v>
      </c>
      <c r="BP256" s="164">
        <f t="shared" ref="BP256:BP257" si="353">SUM(AK256+R256)</f>
        <v>112</v>
      </c>
      <c r="BQ256" s="164">
        <f t="shared" ref="BQ256:BQ257" si="354">SUM(S256+AK256)</f>
        <v>112</v>
      </c>
      <c r="BR256" s="164">
        <f t="shared" ref="BR256:BR257" si="355">SUM(T256+AL256)</f>
        <v>0</v>
      </c>
      <c r="BS256" s="129">
        <f>SUMIF('Audit HD AR - School Level'!$A$6:A3781, "=" &amp; A256,'Audit HD AR - School Level'!$Q$6:Q3781)</f>
        <v>164.7</v>
      </c>
      <c r="BT256" s="168">
        <f t="shared" ref="BT256:BT257" si="356">SUM(AS256-AQ256)*$BT$2</f>
        <v>0</v>
      </c>
      <c r="BU256" s="168">
        <f t="shared" ref="BU256:BU257" si="357">SUM(AU256-AR256)*$BT$2</f>
        <v>0</v>
      </c>
      <c r="BW256" s="168">
        <f t="shared" ref="BW256:BW257" si="358">IF(BT256+BU256+BV256&gt;0,0,BT256+BU256+BV256)</f>
        <v>0</v>
      </c>
      <c r="BX256" s="164">
        <f t="shared" si="313"/>
        <v>4191.2</v>
      </c>
    </row>
    <row r="257" spans="1:78">
      <c r="A257" s="129" t="s">
        <v>365</v>
      </c>
      <c r="U257" s="129">
        <v>6617</v>
      </c>
      <c r="V257" s="129">
        <v>38</v>
      </c>
      <c r="X257" s="129">
        <v>5618</v>
      </c>
      <c r="AC257" s="129">
        <v>1222</v>
      </c>
      <c r="AD257" s="129">
        <v>122</v>
      </c>
      <c r="AE257" s="129">
        <v>251.3</v>
      </c>
      <c r="AF257" s="129">
        <v>5676</v>
      </c>
      <c r="AG257" s="129">
        <v>1026</v>
      </c>
      <c r="AI257" s="129">
        <v>1764</v>
      </c>
      <c r="AJ257" s="129">
        <v>3648</v>
      </c>
      <c r="AK257" s="129">
        <v>0</v>
      </c>
      <c r="AL257" s="129">
        <v>1</v>
      </c>
      <c r="AO257" s="129">
        <v>352</v>
      </c>
      <c r="AP257" s="129">
        <v>688.1</v>
      </c>
      <c r="AQ257" s="129">
        <v>19</v>
      </c>
      <c r="AR257" s="129">
        <v>0</v>
      </c>
      <c r="AS257" s="129">
        <v>19</v>
      </c>
      <c r="AT257" s="129">
        <v>3</v>
      </c>
      <c r="AU257" s="129">
        <v>0</v>
      </c>
      <c r="AV257" s="129">
        <v>0</v>
      </c>
      <c r="AW257" s="129">
        <v>2139781</v>
      </c>
      <c r="AX257" s="167">
        <v>45427</v>
      </c>
      <c r="AY257" s="162">
        <f t="shared" si="282"/>
        <v>20</v>
      </c>
      <c r="AZ257" s="163" t="s">
        <v>882</v>
      </c>
      <c r="BA257" s="162" t="b">
        <f t="shared" si="281"/>
        <v>0</v>
      </c>
      <c r="BF257" s="164">
        <f t="shared" si="344"/>
        <v>5576.9</v>
      </c>
      <c r="BG257" s="164">
        <f t="shared" si="345"/>
        <v>38</v>
      </c>
      <c r="BH257" s="164"/>
      <c r="BI257" s="164">
        <f t="shared" si="346"/>
        <v>1222</v>
      </c>
      <c r="BJ257" s="164">
        <f t="shared" si="347"/>
        <v>122</v>
      </c>
      <c r="BK257" s="164">
        <f t="shared" si="348"/>
        <v>251.3</v>
      </c>
      <c r="BL257" s="164">
        <f t="shared" si="349"/>
        <v>5676</v>
      </c>
      <c r="BM257" s="164">
        <f t="shared" si="350"/>
        <v>1026</v>
      </c>
      <c r="BN257" s="164">
        <f t="shared" si="351"/>
        <v>1764</v>
      </c>
      <c r="BO257" s="164">
        <f t="shared" si="352"/>
        <v>3648</v>
      </c>
      <c r="BP257" s="164">
        <f t="shared" si="353"/>
        <v>0</v>
      </c>
      <c r="BQ257" s="164">
        <f t="shared" si="354"/>
        <v>0</v>
      </c>
      <c r="BR257" s="164">
        <f t="shared" si="355"/>
        <v>1</v>
      </c>
      <c r="BS257" s="129">
        <f>SUMIF('Audit HD AR - School Level'!$A$6:A3782, "=" &amp; A257,'Audit HD AR - School Level'!$Q$6:Q3782)</f>
        <v>0</v>
      </c>
      <c r="BT257" s="168">
        <f t="shared" si="356"/>
        <v>0</v>
      </c>
      <c r="BU257" s="168">
        <f t="shared" si="357"/>
        <v>0</v>
      </c>
      <c r="BV257" s="129">
        <v>-840</v>
      </c>
      <c r="BW257" s="168">
        <f t="shared" si="358"/>
        <v>-840</v>
      </c>
      <c r="BX257" s="164">
        <f t="shared" si="313"/>
        <v>5573.9</v>
      </c>
    </row>
    <row r="258" spans="1:78">
      <c r="A258" s="129" t="s">
        <v>461</v>
      </c>
      <c r="U258" s="129">
        <v>10371.700000000001</v>
      </c>
      <c r="V258" s="129">
        <v>29</v>
      </c>
      <c r="X258" s="129">
        <v>10013.6</v>
      </c>
      <c r="AC258" s="129">
        <v>2291.1</v>
      </c>
      <c r="AD258" s="129">
        <v>622</v>
      </c>
      <c r="AE258" s="129">
        <v>2339.5</v>
      </c>
      <c r="AF258" s="129">
        <v>9940</v>
      </c>
      <c r="AG258" s="129">
        <v>3505</v>
      </c>
      <c r="AI258" s="129">
        <v>2161</v>
      </c>
      <c r="AJ258" s="129">
        <v>151</v>
      </c>
      <c r="AK258" s="129">
        <v>70</v>
      </c>
      <c r="AL258" s="129">
        <v>0</v>
      </c>
      <c r="AO258" s="129">
        <v>449</v>
      </c>
      <c r="AP258" s="129">
        <v>83.2</v>
      </c>
      <c r="AQ258" s="129">
        <v>176</v>
      </c>
      <c r="AR258" s="129">
        <v>0</v>
      </c>
      <c r="AS258" s="129">
        <v>58.5</v>
      </c>
      <c r="AT258" s="129">
        <v>36</v>
      </c>
      <c r="AU258" s="129">
        <v>0</v>
      </c>
      <c r="AV258" s="129">
        <v>0</v>
      </c>
      <c r="AW258" s="129">
        <v>1972504</v>
      </c>
      <c r="AX258" s="167">
        <v>45427</v>
      </c>
      <c r="AY258" s="162">
        <f t="shared" si="282"/>
        <v>20</v>
      </c>
      <c r="AZ258" s="163" t="s">
        <v>882</v>
      </c>
      <c r="BA258" s="162" t="b">
        <f t="shared" ref="BA258:BA290" si="359">COUNTIF(A:A,A258)&gt;1</f>
        <v>0</v>
      </c>
      <c r="BF258" s="164">
        <f t="shared" ref="BF258" si="360">SUM(U258+C258-AO258-AP258-AR258)</f>
        <v>9839.5</v>
      </c>
      <c r="BG258" s="164">
        <f t="shared" ref="BG258" si="361">SUM(E258+F258+V258+W258)</f>
        <v>29</v>
      </c>
      <c r="BH258" s="164"/>
      <c r="BI258" s="164">
        <f t="shared" ref="BI258" si="362">SUM(AC258+H258)</f>
        <v>2291.1</v>
      </c>
      <c r="BJ258" s="164">
        <f t="shared" ref="BJ258" si="363">SUM(AD258+I258)</f>
        <v>622</v>
      </c>
      <c r="BK258" s="164">
        <f t="shared" ref="BK258" si="364">SUM(AE258+J258)</f>
        <v>2339.5</v>
      </c>
      <c r="BL258" s="164">
        <f t="shared" ref="BL258" si="365">SUM(AF258+K258)</f>
        <v>9940</v>
      </c>
      <c r="BM258" s="164">
        <f t="shared" ref="BM258" si="366">SUM(AG258+L258)</f>
        <v>3505</v>
      </c>
      <c r="BN258" s="164">
        <f t="shared" ref="BN258" si="367">SUM(AI258+Q258)</f>
        <v>2161</v>
      </c>
      <c r="BO258" s="164">
        <f t="shared" ref="BO258" si="368">SUM(AJ258+R258)</f>
        <v>151</v>
      </c>
      <c r="BP258" s="164">
        <f t="shared" ref="BP258" si="369">SUM(AK258+R258)</f>
        <v>70</v>
      </c>
      <c r="BQ258" s="164">
        <f t="shared" ref="BQ258" si="370">SUM(S258+AK258)</f>
        <v>70</v>
      </c>
      <c r="BR258" s="164">
        <f t="shared" ref="BR258" si="371">SUM(T258+AL258)</f>
        <v>0</v>
      </c>
      <c r="BS258" s="129">
        <f>SUMIF('Audit HD AR - School Level'!$A$6:A3783, "=" &amp; A258,'Audit HD AR - School Level'!$Q$6:Q3783)</f>
        <v>167.2</v>
      </c>
      <c r="BT258" s="168">
        <f t="shared" ref="BT258" si="372">SUM(AS258-AQ258)*$BT$2</f>
        <v>-83308</v>
      </c>
      <c r="BU258" s="168">
        <f t="shared" ref="BU258" si="373">SUM(AU258-AR258)*$BT$2</f>
        <v>0</v>
      </c>
      <c r="BV258" s="129">
        <v>-1960</v>
      </c>
      <c r="BW258" s="168">
        <f t="shared" ref="BW258" si="374">IF(BT258+BU258+BV258&gt;0,0,BT258+BU258+BV258)</f>
        <v>-85268</v>
      </c>
      <c r="BX258" s="164">
        <f t="shared" si="313"/>
        <v>9803.5</v>
      </c>
    </row>
    <row r="259" spans="1:78">
      <c r="A259" s="129" t="s">
        <v>373</v>
      </c>
      <c r="U259" s="129">
        <v>1596.3</v>
      </c>
      <c r="V259" s="129">
        <v>32.5</v>
      </c>
      <c r="X259" s="129">
        <v>1591.8</v>
      </c>
      <c r="AC259" s="129">
        <v>425.8</v>
      </c>
      <c r="AD259" s="129">
        <v>27</v>
      </c>
      <c r="AE259" s="129">
        <v>61.3</v>
      </c>
      <c r="AF259" s="129">
        <v>1622</v>
      </c>
      <c r="AG259" s="129">
        <v>443</v>
      </c>
      <c r="AI259" s="129">
        <v>579</v>
      </c>
      <c r="AJ259" s="129">
        <v>4</v>
      </c>
      <c r="AK259" s="129">
        <v>0</v>
      </c>
      <c r="AL259" s="129">
        <v>4</v>
      </c>
      <c r="AO259" s="129">
        <v>42</v>
      </c>
      <c r="AP259" s="129">
        <v>5.8</v>
      </c>
      <c r="AQ259" s="129">
        <v>20</v>
      </c>
      <c r="AR259" s="129">
        <v>3.5</v>
      </c>
      <c r="AS259" s="129">
        <v>9</v>
      </c>
      <c r="AT259" s="129">
        <v>5</v>
      </c>
      <c r="AU259" s="129">
        <v>4.5</v>
      </c>
      <c r="AV259" s="129">
        <v>0</v>
      </c>
      <c r="AW259" s="129">
        <v>409486</v>
      </c>
      <c r="AX259" s="167">
        <v>45428</v>
      </c>
      <c r="AY259" s="162">
        <f t="shared" si="282"/>
        <v>21</v>
      </c>
      <c r="AZ259" s="163" t="s">
        <v>882</v>
      </c>
      <c r="BA259" s="162" t="b">
        <f t="shared" si="359"/>
        <v>0</v>
      </c>
      <c r="BF259" s="164">
        <f t="shared" ref="BF259:BF260" si="375">SUM(U259+C259-AO259-AP259-AR259)</f>
        <v>1545</v>
      </c>
      <c r="BG259" s="164">
        <f t="shared" ref="BG259:BG260" si="376">SUM(E259+F259+V259+W259)</f>
        <v>32.5</v>
      </c>
      <c r="BH259" s="164"/>
      <c r="BI259" s="164">
        <f t="shared" ref="BI259:BI260" si="377">SUM(AC259+H259)</f>
        <v>425.8</v>
      </c>
      <c r="BJ259" s="164">
        <f t="shared" ref="BJ259:BJ260" si="378">SUM(AD259+I259)</f>
        <v>27</v>
      </c>
      <c r="BK259" s="164">
        <f t="shared" ref="BK259:BK260" si="379">SUM(AE259+J259)</f>
        <v>61.3</v>
      </c>
      <c r="BL259" s="164">
        <f t="shared" ref="BL259:BL260" si="380">SUM(AF259+K259)</f>
        <v>1622</v>
      </c>
      <c r="BM259" s="164">
        <f t="shared" ref="BM259:BM260" si="381">SUM(AG259+L259)</f>
        <v>443</v>
      </c>
      <c r="BN259" s="164">
        <f t="shared" ref="BN259:BN260" si="382">SUM(AI259+Q259)</f>
        <v>579</v>
      </c>
      <c r="BO259" s="164">
        <f t="shared" ref="BO259:BO260" si="383">SUM(AJ259+R259)</f>
        <v>4</v>
      </c>
      <c r="BP259" s="164">
        <f t="shared" ref="BP259:BP260" si="384">SUM(AK259+R259)</f>
        <v>0</v>
      </c>
      <c r="BQ259" s="164">
        <f t="shared" ref="BQ259:BQ260" si="385">SUM(S259+AK259)</f>
        <v>0</v>
      </c>
      <c r="BR259" s="164">
        <f t="shared" ref="BR259:BR260" si="386">SUM(T259+AL259)</f>
        <v>4</v>
      </c>
      <c r="BS259" s="129">
        <f>SUMIF('Audit HD AR - School Level'!$A$6:A3784, "=" &amp; A259,'Audit HD AR - School Level'!$Q$6:Q3784)</f>
        <v>0</v>
      </c>
      <c r="BT259" s="168">
        <f t="shared" ref="BT259:BT260" si="387">SUM(AS259-AQ259)*$BT$2</f>
        <v>-7799</v>
      </c>
      <c r="BU259" s="168">
        <f t="shared" ref="BU259:BU260" si="388">SUM(AU259-AR259)*$BT$2</f>
        <v>709</v>
      </c>
      <c r="BV259" s="129">
        <v>-9072</v>
      </c>
      <c r="BW259" s="168">
        <f t="shared" ref="BW259:BW260" si="389">IF(BT259+BU259+BV259&gt;0,0,BT259+BU259+BV259)</f>
        <v>-16162</v>
      </c>
      <c r="BX259" s="164">
        <f t="shared" si="313"/>
        <v>1543.5</v>
      </c>
    </row>
    <row r="260" spans="1:78">
      <c r="A260" s="129" t="s">
        <v>375</v>
      </c>
      <c r="U260" s="129">
        <v>587</v>
      </c>
      <c r="V260" s="129">
        <v>6.5</v>
      </c>
      <c r="X260" s="129">
        <v>624.29999999999995</v>
      </c>
      <c r="AC260" s="129">
        <v>195.8</v>
      </c>
      <c r="AD260" s="129">
        <v>1</v>
      </c>
      <c r="AE260" s="129">
        <v>0.1</v>
      </c>
      <c r="AF260" s="129">
        <v>599</v>
      </c>
      <c r="AG260" s="129">
        <v>223</v>
      </c>
      <c r="AI260" s="129">
        <v>171.5</v>
      </c>
      <c r="AJ260" s="129">
        <v>86.5</v>
      </c>
      <c r="AK260" s="129">
        <v>61.5</v>
      </c>
      <c r="AL260" s="129">
        <v>1</v>
      </c>
      <c r="AO260" s="129">
        <v>3</v>
      </c>
      <c r="AP260" s="129">
        <v>0</v>
      </c>
      <c r="AQ260" s="129">
        <v>10</v>
      </c>
      <c r="AR260" s="129">
        <v>0</v>
      </c>
      <c r="AS260" s="129">
        <v>10</v>
      </c>
      <c r="AT260" s="129">
        <v>2</v>
      </c>
      <c r="AU260" s="129">
        <v>0</v>
      </c>
      <c r="AV260" s="129">
        <v>0</v>
      </c>
      <c r="AW260" s="129">
        <v>209625</v>
      </c>
      <c r="AX260" s="167">
        <v>45428</v>
      </c>
      <c r="AY260" s="162">
        <f t="shared" si="282"/>
        <v>21</v>
      </c>
      <c r="AZ260" s="163" t="s">
        <v>882</v>
      </c>
      <c r="BA260" s="162" t="b">
        <f t="shared" si="359"/>
        <v>0</v>
      </c>
      <c r="BF260" s="164">
        <f t="shared" si="375"/>
        <v>584</v>
      </c>
      <c r="BG260" s="164">
        <f t="shared" si="376"/>
        <v>6.5</v>
      </c>
      <c r="BH260" s="164"/>
      <c r="BI260" s="164">
        <f t="shared" si="377"/>
        <v>195.8</v>
      </c>
      <c r="BJ260" s="164">
        <f t="shared" si="378"/>
        <v>1</v>
      </c>
      <c r="BK260" s="164">
        <f t="shared" si="379"/>
        <v>0.1</v>
      </c>
      <c r="BL260" s="164">
        <f t="shared" si="380"/>
        <v>599</v>
      </c>
      <c r="BM260" s="164">
        <f t="shared" si="381"/>
        <v>223</v>
      </c>
      <c r="BN260" s="164">
        <f t="shared" si="382"/>
        <v>171.5</v>
      </c>
      <c r="BO260" s="164">
        <f t="shared" si="383"/>
        <v>86.5</v>
      </c>
      <c r="BP260" s="164">
        <f t="shared" si="384"/>
        <v>61.5</v>
      </c>
      <c r="BQ260" s="164">
        <f t="shared" si="385"/>
        <v>61.5</v>
      </c>
      <c r="BR260" s="164">
        <f t="shared" si="386"/>
        <v>1</v>
      </c>
      <c r="BS260" s="129">
        <f>SUMIF('Audit HD AR - School Level'!$A$6:A3785, "=" &amp; A260,'Audit HD AR - School Level'!$Q$6:Q3785)</f>
        <v>7</v>
      </c>
      <c r="BT260" s="168">
        <f t="shared" si="387"/>
        <v>0</v>
      </c>
      <c r="BU260" s="168">
        <f t="shared" si="388"/>
        <v>0</v>
      </c>
      <c r="BV260" s="129">
        <v>0</v>
      </c>
      <c r="BW260" s="168">
        <f t="shared" si="389"/>
        <v>0</v>
      </c>
      <c r="BX260" s="164">
        <f t="shared" si="313"/>
        <v>582</v>
      </c>
    </row>
    <row r="261" spans="1:78">
      <c r="A261" s="129" t="s">
        <v>467</v>
      </c>
      <c r="U261" s="129">
        <v>1240.7</v>
      </c>
      <c r="V261" s="129">
        <v>27</v>
      </c>
      <c r="X261" s="129">
        <v>1275.5999999999999</v>
      </c>
      <c r="AC261" s="129">
        <v>282.7</v>
      </c>
      <c r="AD261" s="129">
        <v>23</v>
      </c>
      <c r="AE261" s="129">
        <v>49.2</v>
      </c>
      <c r="AF261" s="129">
        <v>1311</v>
      </c>
      <c r="AG261" s="129">
        <v>896</v>
      </c>
      <c r="AI261" s="129">
        <v>81</v>
      </c>
      <c r="AJ261" s="129">
        <v>888</v>
      </c>
      <c r="AK261" s="129">
        <v>0</v>
      </c>
      <c r="AL261" s="129">
        <v>0</v>
      </c>
      <c r="AO261" s="129">
        <v>4</v>
      </c>
      <c r="AP261" s="129">
        <v>0.8</v>
      </c>
      <c r="AQ261" s="129">
        <v>0</v>
      </c>
      <c r="AR261" s="129">
        <v>0</v>
      </c>
      <c r="AS261" s="129">
        <v>0</v>
      </c>
      <c r="AT261" s="129">
        <v>0</v>
      </c>
      <c r="AU261" s="129">
        <v>0</v>
      </c>
      <c r="AV261" s="129">
        <v>0</v>
      </c>
      <c r="AW261" s="129">
        <v>199988</v>
      </c>
      <c r="AX261" s="167">
        <v>45432</v>
      </c>
      <c r="AY261" s="162">
        <f t="shared" si="282"/>
        <v>22</v>
      </c>
      <c r="AZ261" s="163" t="s">
        <v>882</v>
      </c>
      <c r="BA261" s="162" t="b">
        <f t="shared" si="359"/>
        <v>0</v>
      </c>
      <c r="BF261" s="164">
        <f t="shared" ref="BF261" si="390">SUM(U261+C261-AO261-AP261-AR261)</f>
        <v>1235.9000000000001</v>
      </c>
      <c r="BG261" s="164">
        <f t="shared" ref="BG261" si="391">SUM(E261+F261+V261+W261)</f>
        <v>27</v>
      </c>
      <c r="BH261" s="164"/>
      <c r="BI261" s="164">
        <f t="shared" ref="BI261" si="392">SUM(AC261+H261)</f>
        <v>282.7</v>
      </c>
      <c r="BJ261" s="164">
        <f t="shared" ref="BJ261" si="393">SUM(AD261+I261)</f>
        <v>23</v>
      </c>
      <c r="BK261" s="164">
        <f t="shared" ref="BK261" si="394">SUM(AE261+J261)</f>
        <v>49.2</v>
      </c>
      <c r="BL261" s="164">
        <f t="shared" ref="BL261" si="395">SUM(AF261+K261)</f>
        <v>1311</v>
      </c>
      <c r="BM261" s="164">
        <f t="shared" ref="BM261" si="396">SUM(AG261+L261)</f>
        <v>896</v>
      </c>
      <c r="BN261" s="164">
        <f t="shared" ref="BN261" si="397">SUM(AI261+Q261)</f>
        <v>81</v>
      </c>
      <c r="BO261" s="164">
        <f t="shared" ref="BO261" si="398">SUM(AJ261+R261)</f>
        <v>888</v>
      </c>
      <c r="BP261" s="164">
        <f t="shared" ref="BP261" si="399">SUM(AK261+R261)</f>
        <v>0</v>
      </c>
      <c r="BQ261" s="164">
        <f t="shared" ref="BQ261" si="400">SUM(S261+AK261)</f>
        <v>0</v>
      </c>
      <c r="BR261" s="164">
        <f t="shared" ref="BR261" si="401">SUM(T261+AL261)</f>
        <v>0</v>
      </c>
      <c r="BS261" s="129">
        <f>SUMIF('Audit HD AR - School Level'!$A$6:A3786, "=" &amp; A261,'Audit HD AR - School Level'!$Q$6:Q3786)</f>
        <v>94.1</v>
      </c>
      <c r="BT261" s="168">
        <f t="shared" ref="BT261" si="402">SUM(AS261-AQ261)*$BT$2</f>
        <v>0</v>
      </c>
      <c r="BU261" s="168">
        <f t="shared" ref="BU261" si="403">SUM(AU261-AR261)*$BT$2</f>
        <v>0</v>
      </c>
      <c r="BW261" s="168">
        <f t="shared" ref="BW261" si="404">IF(BT261+BU261+BV261&gt;0,0,BT261+BU261+BV261)</f>
        <v>0</v>
      </c>
      <c r="BX261" s="164">
        <f t="shared" si="313"/>
        <v>1235.9000000000001</v>
      </c>
      <c r="BZ261" s="129">
        <v>1</v>
      </c>
    </row>
    <row r="262" spans="1:78">
      <c r="A262" s="129" t="s">
        <v>232</v>
      </c>
      <c r="U262" s="129">
        <v>27851.599999999999</v>
      </c>
      <c r="V262" s="129">
        <v>56</v>
      </c>
      <c r="X262" s="129">
        <v>28162.799999999999</v>
      </c>
      <c r="AC262" s="129">
        <v>7539.3</v>
      </c>
      <c r="AD262" s="129">
        <v>2893</v>
      </c>
      <c r="AE262" s="129">
        <v>4523.8</v>
      </c>
      <c r="AF262" s="129">
        <v>28106</v>
      </c>
      <c r="AG262" s="129">
        <v>7081</v>
      </c>
      <c r="AI262" s="129">
        <v>6066.5</v>
      </c>
      <c r="AJ262" s="129">
        <v>943.5</v>
      </c>
      <c r="AK262" s="129">
        <v>133</v>
      </c>
      <c r="AL262" s="129">
        <v>22</v>
      </c>
      <c r="AO262" s="129">
        <v>32</v>
      </c>
      <c r="AP262" s="129">
        <v>12.9</v>
      </c>
      <c r="AQ262" s="129">
        <v>213.25</v>
      </c>
      <c r="AR262" s="129">
        <v>25</v>
      </c>
      <c r="AS262" s="129">
        <v>213.25</v>
      </c>
      <c r="AT262" s="129">
        <v>98</v>
      </c>
      <c r="AU262" s="129">
        <v>16.75</v>
      </c>
      <c r="AV262" s="129">
        <v>0</v>
      </c>
      <c r="AW262" s="129">
        <v>6391425</v>
      </c>
      <c r="AX262" s="167">
        <v>45432</v>
      </c>
      <c r="AY262" s="162">
        <f t="shared" si="282"/>
        <v>22</v>
      </c>
      <c r="AZ262" s="163" t="s">
        <v>882</v>
      </c>
      <c r="BA262" s="162" t="b">
        <f t="shared" si="359"/>
        <v>0</v>
      </c>
      <c r="BF262" s="164">
        <f t="shared" ref="BF262" si="405">SUM(U262+C262-AO262-AP262-AR262)</f>
        <v>27781.7</v>
      </c>
      <c r="BG262" s="164">
        <f t="shared" ref="BG262" si="406">SUM(E262+F262+V262+W262)</f>
        <v>56</v>
      </c>
      <c r="BH262" s="164"/>
      <c r="BI262" s="164">
        <f t="shared" ref="BI262" si="407">SUM(AC262+H262)</f>
        <v>7539.3</v>
      </c>
      <c r="BJ262" s="164">
        <f t="shared" ref="BJ262" si="408">SUM(AD262+I262)</f>
        <v>2893</v>
      </c>
      <c r="BK262" s="164">
        <f t="shared" ref="BK262" si="409">SUM(AE262+J262)</f>
        <v>4523.8</v>
      </c>
      <c r="BL262" s="164">
        <f t="shared" ref="BL262" si="410">SUM(AF262+K262)</f>
        <v>28106</v>
      </c>
      <c r="BM262" s="164">
        <f t="shared" ref="BM262" si="411">SUM(AG262+L262)</f>
        <v>7081</v>
      </c>
      <c r="BN262" s="164">
        <f t="shared" ref="BN262" si="412">SUM(AI262+Q262)</f>
        <v>6066.5</v>
      </c>
      <c r="BO262" s="164">
        <f t="shared" ref="BO262" si="413">SUM(AJ262+R262)</f>
        <v>943.5</v>
      </c>
      <c r="BP262" s="164">
        <f t="shared" ref="BP262" si="414">SUM(AK262+R262)</f>
        <v>133</v>
      </c>
      <c r="BQ262" s="164">
        <f t="shared" ref="BQ262" si="415">SUM(S262+AK262)</f>
        <v>133</v>
      </c>
      <c r="BR262" s="164">
        <f t="shared" ref="BR262" si="416">SUM(T262+AL262)</f>
        <v>22</v>
      </c>
      <c r="BS262" s="129">
        <f>SUMIF('Audit HD AR - School Level'!$A$6:A3787, "=" &amp; A262,'Audit HD AR - School Level'!$Q$6:Q3787)</f>
        <v>259.10000000000002</v>
      </c>
      <c r="BT262" s="168">
        <f t="shared" ref="BT262" si="417">SUM(AS262-AQ262)*$BT$2</f>
        <v>0</v>
      </c>
      <c r="BU262" s="168">
        <f t="shared" ref="BU262" si="418">SUM(AU262-AR262)*$BT$2</f>
        <v>-5849</v>
      </c>
      <c r="BV262" s="129">
        <v>-8541</v>
      </c>
      <c r="BW262" s="168">
        <f t="shared" ref="BW262" si="419">IF(BT262+BU262+BV262&gt;0,0,BT262+BU262+BV262)</f>
        <v>-14390</v>
      </c>
      <c r="BX262" s="164">
        <f t="shared" si="313"/>
        <v>27708.7</v>
      </c>
    </row>
    <row r="263" spans="1:78">
      <c r="A263" s="129" t="s">
        <v>426</v>
      </c>
      <c r="U263" s="129">
        <v>6718.7</v>
      </c>
      <c r="V263" s="129">
        <v>171.5</v>
      </c>
      <c r="X263" s="129">
        <v>6906.5</v>
      </c>
      <c r="AC263" s="129">
        <v>1858.6</v>
      </c>
      <c r="AD263" s="129">
        <v>2296</v>
      </c>
      <c r="AE263" s="129">
        <v>6602.7</v>
      </c>
      <c r="AF263" s="129">
        <v>7098</v>
      </c>
      <c r="AG263" s="129">
        <v>4467</v>
      </c>
      <c r="AI263" s="129">
        <v>2127</v>
      </c>
      <c r="AJ263" s="129">
        <v>0</v>
      </c>
      <c r="AK263" s="129">
        <v>7</v>
      </c>
      <c r="AL263" s="129">
        <v>0</v>
      </c>
      <c r="AO263" s="129">
        <v>85</v>
      </c>
      <c r="AP263" s="129">
        <v>1.7</v>
      </c>
      <c r="AQ263" s="129">
        <v>34.5</v>
      </c>
      <c r="AR263" s="129">
        <v>33.5</v>
      </c>
      <c r="AS263" s="129">
        <v>34</v>
      </c>
      <c r="AT263" s="129">
        <v>0</v>
      </c>
      <c r="AU263" s="129">
        <v>0</v>
      </c>
      <c r="AV263" s="129">
        <v>0</v>
      </c>
      <c r="AW263" s="129">
        <v>2454263</v>
      </c>
      <c r="AX263" s="167">
        <v>45433</v>
      </c>
      <c r="AY263" s="162">
        <f t="shared" si="282"/>
        <v>23</v>
      </c>
      <c r="AZ263" s="163" t="s">
        <v>882</v>
      </c>
      <c r="BA263" s="162" t="b">
        <f t="shared" si="359"/>
        <v>0</v>
      </c>
      <c r="BF263" s="164">
        <f t="shared" ref="BF263" si="420">SUM(U263+C263-AO263-AP263-AR263)</f>
        <v>6598.5</v>
      </c>
      <c r="BG263" s="164">
        <f t="shared" ref="BG263" si="421">SUM(E263+F263+V263+W263)</f>
        <v>171.5</v>
      </c>
      <c r="BH263" s="164"/>
      <c r="BI263" s="164">
        <f t="shared" ref="BI263" si="422">SUM(AC263+H263)</f>
        <v>1858.6</v>
      </c>
      <c r="BJ263" s="164">
        <f t="shared" ref="BJ263" si="423">SUM(AD263+I263)</f>
        <v>2296</v>
      </c>
      <c r="BK263" s="164">
        <f t="shared" ref="BK263" si="424">SUM(AE263+J263)</f>
        <v>6602.7</v>
      </c>
      <c r="BL263" s="164">
        <f t="shared" ref="BL263" si="425">SUM(AF263+K263)</f>
        <v>7098</v>
      </c>
      <c r="BM263" s="164">
        <f t="shared" ref="BM263" si="426">SUM(AG263+L263)</f>
        <v>4467</v>
      </c>
      <c r="BN263" s="164">
        <f t="shared" ref="BN263" si="427">SUM(AI263+Q263)</f>
        <v>2127</v>
      </c>
      <c r="BO263" s="164">
        <f t="shared" ref="BO263" si="428">SUM(AJ263+R263)</f>
        <v>0</v>
      </c>
      <c r="BP263" s="164">
        <f t="shared" ref="BP263" si="429">SUM(AK263+R263)</f>
        <v>7</v>
      </c>
      <c r="BQ263" s="164">
        <f t="shared" ref="BQ263" si="430">SUM(S263+AK263)</f>
        <v>7</v>
      </c>
      <c r="BR263" s="164">
        <f t="shared" ref="BR263" si="431">SUM(T263+AL263)</f>
        <v>0</v>
      </c>
      <c r="BS263" s="129">
        <f>SUMIF('Audit HD AR - School Level'!$A$6:A3789, "=" &amp; A263,'Audit HD AR - School Level'!$Q$6:Q3789)</f>
        <v>459.2</v>
      </c>
      <c r="BT263" s="168">
        <f t="shared" ref="BT263" si="432">SUM(AS263-AQ263)*$BT$2</f>
        <v>-355</v>
      </c>
      <c r="BU263" s="168">
        <f t="shared" ref="BU263" si="433">SUM(AU263-AR263)*$BT$2</f>
        <v>-23752</v>
      </c>
      <c r="BV263" s="129">
        <v>-8568</v>
      </c>
      <c r="BW263" s="168">
        <f>IF(BT263+BU263+BV263&gt;0,0,BT263+BU263+BV263)</f>
        <v>-32675</v>
      </c>
      <c r="BX263" s="164">
        <f t="shared" si="313"/>
        <v>6632</v>
      </c>
    </row>
    <row r="264" spans="1:78">
      <c r="A264" s="129" t="s">
        <v>257</v>
      </c>
      <c r="D264" s="164">
        <v>26</v>
      </c>
      <c r="E264" s="164"/>
      <c r="F264" s="164">
        <v>0.5</v>
      </c>
      <c r="G264" s="164"/>
      <c r="H264" s="164"/>
      <c r="I264" s="164"/>
      <c r="J264" s="164"/>
      <c r="K264" s="164">
        <v>27</v>
      </c>
      <c r="L264" s="164">
        <v>4</v>
      </c>
      <c r="M264" s="164"/>
      <c r="N264" s="164"/>
      <c r="O264" s="164"/>
      <c r="P264" s="164"/>
      <c r="Q264" s="164">
        <v>7</v>
      </c>
      <c r="R264" s="164">
        <v>0</v>
      </c>
      <c r="S264" s="164">
        <v>0</v>
      </c>
      <c r="U264" s="129">
        <v>6821</v>
      </c>
      <c r="V264" s="129">
        <v>42</v>
      </c>
      <c r="X264" s="129">
        <v>6872.5</v>
      </c>
      <c r="AC264" s="129">
        <v>1524.4</v>
      </c>
      <c r="AD264" s="129">
        <v>510</v>
      </c>
      <c r="AE264" s="129">
        <v>1173.2</v>
      </c>
      <c r="AF264" s="129">
        <v>7241</v>
      </c>
      <c r="AG264" s="129">
        <v>2806</v>
      </c>
      <c r="AI264" s="129">
        <v>1523</v>
      </c>
      <c r="AJ264" s="129">
        <v>11</v>
      </c>
      <c r="AK264" s="129">
        <v>28</v>
      </c>
      <c r="AL264" s="129">
        <v>0</v>
      </c>
      <c r="AO264" s="129">
        <v>6</v>
      </c>
      <c r="AP264" s="129">
        <v>3.4</v>
      </c>
      <c r="AQ264" s="129">
        <v>0</v>
      </c>
      <c r="AR264" s="129">
        <v>0</v>
      </c>
      <c r="AS264" s="129">
        <v>0</v>
      </c>
      <c r="AT264" s="129">
        <v>0</v>
      </c>
      <c r="AU264" s="129">
        <v>0</v>
      </c>
      <c r="AV264" s="129">
        <v>0</v>
      </c>
      <c r="AW264" s="129">
        <v>1232194</v>
      </c>
      <c r="AX264" s="167">
        <v>45442</v>
      </c>
      <c r="AY264" s="162">
        <f t="shared" ref="AY264:AY290" si="434">IF(AX264=AX263,AY263,AY263+1)</f>
        <v>24</v>
      </c>
      <c r="AZ264" s="163" t="s">
        <v>882</v>
      </c>
      <c r="BA264" s="162" t="b">
        <f t="shared" si="359"/>
        <v>0</v>
      </c>
      <c r="BF264" s="164">
        <f t="shared" ref="BF264" si="435">SUM(U264+C264-AO264-AP264-AR264)</f>
        <v>6811.6</v>
      </c>
      <c r="BG264" s="164">
        <f t="shared" ref="BG264" si="436">SUM(E264+F264+V264+W264)</f>
        <v>42.5</v>
      </c>
      <c r="BH264" s="164"/>
      <c r="BI264" s="164">
        <f t="shared" ref="BI264" si="437">SUM(AC264+H264)</f>
        <v>1524.4</v>
      </c>
      <c r="BJ264" s="164">
        <f t="shared" ref="BJ264" si="438">SUM(AD264+I264)</f>
        <v>510</v>
      </c>
      <c r="BK264" s="164">
        <f t="shared" ref="BK264" si="439">SUM(AE264+J264)</f>
        <v>1173.2</v>
      </c>
      <c r="BL264" s="164">
        <f t="shared" ref="BL264" si="440">SUM(AF264+K264)</f>
        <v>7268</v>
      </c>
      <c r="BM264" s="164">
        <f t="shared" ref="BM264" si="441">SUM(AG264+L264)</f>
        <v>2810</v>
      </c>
      <c r="BN264" s="164">
        <f t="shared" ref="BN264" si="442">SUM(AI264+Q264)</f>
        <v>1530</v>
      </c>
      <c r="BO264" s="164">
        <f t="shared" ref="BO264" si="443">SUM(AJ264+R264)</f>
        <v>11</v>
      </c>
      <c r="BP264" s="164">
        <f t="shared" ref="BP264" si="444">SUM(AK264+R264)</f>
        <v>28</v>
      </c>
      <c r="BQ264" s="164">
        <f t="shared" ref="BQ264" si="445">SUM(S264+AK264)</f>
        <v>28</v>
      </c>
      <c r="BR264" s="164">
        <f t="shared" ref="BR264" si="446">SUM(T264+AL264)</f>
        <v>0</v>
      </c>
      <c r="BS264" s="129">
        <f>SUMIF('Audit HD AR - School Level'!$A$6:A3790, "=" &amp; A264,'Audit HD AR - School Level'!$Q$6:Q3790)</f>
        <v>107.6</v>
      </c>
      <c r="BT264" s="168">
        <f t="shared" ref="BT264" si="447">SUM(AS264-AQ264)*$BT$2</f>
        <v>0</v>
      </c>
      <c r="BU264" s="168">
        <f t="shared" ref="BU264" si="448">SUM(AU264-AR264)*$BT$2</f>
        <v>0</v>
      </c>
      <c r="BW264" s="168">
        <f t="shared" ref="BW264" si="449">IF(BT264+BU264+BV264&gt;0,0,BT264+BU264+BV264)</f>
        <v>0</v>
      </c>
      <c r="BX264" s="164">
        <f t="shared" si="313"/>
        <v>6811.6</v>
      </c>
    </row>
    <row r="265" spans="1:78">
      <c r="A265" s="129" t="s">
        <v>295</v>
      </c>
      <c r="U265" s="129">
        <v>3930.7</v>
      </c>
      <c r="V265" s="129">
        <v>99.5</v>
      </c>
      <c r="X265" s="129">
        <v>3939.6</v>
      </c>
      <c r="AC265" s="129">
        <v>1208.4000000000001</v>
      </c>
      <c r="AD265" s="129">
        <v>148</v>
      </c>
      <c r="AE265" s="129">
        <v>322.60000000000002</v>
      </c>
      <c r="AF265" s="129">
        <v>3982</v>
      </c>
      <c r="AG265" s="129">
        <v>2333</v>
      </c>
      <c r="AI265" s="129">
        <v>119.5</v>
      </c>
      <c r="AJ265" s="129">
        <v>398.5</v>
      </c>
      <c r="AK265" s="129">
        <v>39</v>
      </c>
      <c r="AL265" s="129">
        <v>0</v>
      </c>
      <c r="AO265" s="129">
        <v>174</v>
      </c>
      <c r="AP265" s="129">
        <v>14.5</v>
      </c>
      <c r="AQ265" s="129">
        <v>9.5</v>
      </c>
      <c r="AR265" s="129">
        <v>0</v>
      </c>
      <c r="AS265" s="129">
        <v>9.5</v>
      </c>
      <c r="AT265" s="129">
        <v>8</v>
      </c>
      <c r="AU265" s="129">
        <v>0</v>
      </c>
      <c r="AV265" s="129">
        <v>0</v>
      </c>
      <c r="AW265" s="129">
        <v>214861</v>
      </c>
      <c r="AX265" s="167">
        <v>45442</v>
      </c>
      <c r="AY265" s="162">
        <f t="shared" si="434"/>
        <v>24</v>
      </c>
      <c r="AZ265" s="163" t="s">
        <v>882</v>
      </c>
      <c r="BA265" s="162" t="b">
        <f t="shared" si="359"/>
        <v>0</v>
      </c>
      <c r="BF265" s="164">
        <f t="shared" ref="BF265:BF266" si="450">SUM(U265+C265-AO265-AP265-AR265)</f>
        <v>3742.2</v>
      </c>
      <c r="BG265" s="164">
        <f t="shared" ref="BG265:BG266" si="451">SUM(E265+F265+V265+W265)</f>
        <v>99.5</v>
      </c>
      <c r="BH265" s="164"/>
      <c r="BI265" s="164">
        <f t="shared" ref="BI265:BI266" si="452">SUM(AC265+H265)</f>
        <v>1208.4000000000001</v>
      </c>
      <c r="BJ265" s="164">
        <f t="shared" ref="BJ265:BJ266" si="453">SUM(AD265+I265)</f>
        <v>148</v>
      </c>
      <c r="BK265" s="164">
        <f t="shared" ref="BK265:BK266" si="454">SUM(AE265+J265)</f>
        <v>322.60000000000002</v>
      </c>
      <c r="BL265" s="164">
        <f t="shared" ref="BL265:BL266" si="455">SUM(AF265+K265)</f>
        <v>3982</v>
      </c>
      <c r="BM265" s="164">
        <f t="shared" ref="BM265:BM266" si="456">SUM(AG265+L265)</f>
        <v>2333</v>
      </c>
      <c r="BN265" s="164">
        <f t="shared" ref="BN265:BN266" si="457">SUM(AI265+Q265)</f>
        <v>119.5</v>
      </c>
      <c r="BO265" s="164">
        <f t="shared" ref="BO265:BO266" si="458">SUM(AJ265+R265)</f>
        <v>398.5</v>
      </c>
      <c r="BP265" s="164">
        <f t="shared" ref="BP265:BP266" si="459">SUM(AK265+R265)</f>
        <v>39</v>
      </c>
      <c r="BQ265" s="164">
        <f t="shared" ref="BQ265:BQ266" si="460">SUM(S265+AK265)</f>
        <v>39</v>
      </c>
      <c r="BR265" s="164">
        <f t="shared" ref="BR265:BR266" si="461">SUM(T265+AL265)</f>
        <v>0</v>
      </c>
      <c r="BS265" s="129">
        <f>SUMIF('Audit HD AR - School Level'!$A$6:A3796, "=" &amp; A265,'Audit HD AR - School Level'!$Q$6:Q3796)</f>
        <v>225.5</v>
      </c>
      <c r="BT265" s="168">
        <f t="shared" ref="BT265:BT266" si="462">SUM(AS265-AQ265)*$BT$2</f>
        <v>0</v>
      </c>
      <c r="BU265" s="168">
        <f t="shared" ref="BU265:BU266" si="463">SUM(AU265-AR265)*$BT$2</f>
        <v>0</v>
      </c>
      <c r="BV265" s="129">
        <v>-26041</v>
      </c>
      <c r="BW265" s="168">
        <f t="shared" ref="BW265:BW266" si="464">IF(BT265+BU265+BV265&gt;0,0,BT265+BU265+BV265)</f>
        <v>-26041</v>
      </c>
      <c r="BX265" s="164">
        <f t="shared" ref="BX265:BX266" si="465">SUM(U265-AO265-AP265-AT265)</f>
        <v>3734.2</v>
      </c>
    </row>
    <row r="266" spans="1:78">
      <c r="A266" s="129" t="s">
        <v>434</v>
      </c>
      <c r="U266" s="129">
        <v>1994.2</v>
      </c>
      <c r="V266" s="129">
        <v>18.5</v>
      </c>
      <c r="X266" s="129">
        <v>2066.8000000000002</v>
      </c>
      <c r="AC266" s="129">
        <v>643.9</v>
      </c>
      <c r="AD266" s="129">
        <v>77</v>
      </c>
      <c r="AE266" s="129">
        <v>55.5</v>
      </c>
      <c r="AF266" s="129">
        <v>2030</v>
      </c>
      <c r="AG266" s="129">
        <v>1030</v>
      </c>
      <c r="AI266" s="129">
        <v>536</v>
      </c>
      <c r="AJ266" s="129">
        <v>96</v>
      </c>
      <c r="AK266" s="129">
        <v>2</v>
      </c>
      <c r="AL266" s="129">
        <v>2</v>
      </c>
      <c r="AO266" s="129">
        <v>25</v>
      </c>
      <c r="AP266" s="129">
        <v>4.5999999999999996</v>
      </c>
      <c r="AQ266" s="129">
        <v>0</v>
      </c>
      <c r="AR266" s="129">
        <v>1</v>
      </c>
      <c r="AS266" s="129">
        <v>0</v>
      </c>
      <c r="AT266" s="129">
        <v>0</v>
      </c>
      <c r="AU266" s="129">
        <v>0</v>
      </c>
      <c r="AV266" s="129">
        <v>0</v>
      </c>
      <c r="AW266" s="129">
        <v>666391</v>
      </c>
      <c r="AX266" s="167">
        <v>45442</v>
      </c>
      <c r="AY266" s="162">
        <f t="shared" si="434"/>
        <v>24</v>
      </c>
      <c r="AZ266" s="163" t="s">
        <v>882</v>
      </c>
      <c r="BA266" s="162" t="b">
        <f t="shared" si="359"/>
        <v>0</v>
      </c>
      <c r="BF266" s="164">
        <f t="shared" si="450"/>
        <v>1963.6</v>
      </c>
      <c r="BG266" s="164">
        <f t="shared" si="451"/>
        <v>18.5</v>
      </c>
      <c r="BH266" s="164"/>
      <c r="BI266" s="164">
        <f t="shared" si="452"/>
        <v>643.9</v>
      </c>
      <c r="BJ266" s="164">
        <f t="shared" si="453"/>
        <v>77</v>
      </c>
      <c r="BK266" s="164">
        <f t="shared" si="454"/>
        <v>55.5</v>
      </c>
      <c r="BL266" s="164">
        <f t="shared" si="455"/>
        <v>2030</v>
      </c>
      <c r="BM266" s="164">
        <f t="shared" si="456"/>
        <v>1030</v>
      </c>
      <c r="BN266" s="164">
        <f t="shared" si="457"/>
        <v>536</v>
      </c>
      <c r="BO266" s="164">
        <f t="shared" si="458"/>
        <v>96</v>
      </c>
      <c r="BP266" s="164">
        <f t="shared" si="459"/>
        <v>2</v>
      </c>
      <c r="BQ266" s="164">
        <f t="shared" si="460"/>
        <v>2</v>
      </c>
      <c r="BR266" s="164">
        <f t="shared" si="461"/>
        <v>2</v>
      </c>
      <c r="BS266" s="129">
        <f>SUMIF('Audit HD AR - School Level'!$A$6:A3797, "=" &amp; A266,'Audit HD AR - School Level'!$Q$6:Q3797)</f>
        <v>85</v>
      </c>
      <c r="BT266" s="168">
        <f t="shared" si="462"/>
        <v>0</v>
      </c>
      <c r="BU266" s="168">
        <f t="shared" si="463"/>
        <v>-709</v>
      </c>
      <c r="BW266" s="168">
        <f t="shared" si="464"/>
        <v>-709</v>
      </c>
      <c r="BX266" s="164">
        <f t="shared" si="465"/>
        <v>1964.6</v>
      </c>
    </row>
    <row r="267" spans="1:78">
      <c r="A267" s="129" t="s">
        <v>443</v>
      </c>
      <c r="D267" s="129">
        <v>320.60000000000002</v>
      </c>
      <c r="F267" s="129">
        <v>11</v>
      </c>
      <c r="H267" s="129">
        <v>23.7</v>
      </c>
      <c r="I267" s="129">
        <v>28</v>
      </c>
      <c r="J267" s="129">
        <v>81.599999999999994</v>
      </c>
      <c r="K267" s="129">
        <v>335</v>
      </c>
      <c r="L267" s="129">
        <v>84</v>
      </c>
      <c r="M267" s="129" t="s">
        <v>810</v>
      </c>
      <c r="Q267" s="129">
        <v>63</v>
      </c>
      <c r="R267" s="129">
        <v>0</v>
      </c>
      <c r="S267" s="129">
        <v>0</v>
      </c>
      <c r="U267" s="129">
        <v>6912.9</v>
      </c>
      <c r="V267" s="129">
        <v>117.5</v>
      </c>
      <c r="X267" s="129">
        <v>7325.2</v>
      </c>
      <c r="AC267" s="129">
        <v>1278.5</v>
      </c>
      <c r="AD267" s="129">
        <v>538</v>
      </c>
      <c r="AE267" s="129">
        <v>1552.8</v>
      </c>
      <c r="AF267" s="129">
        <v>7225</v>
      </c>
      <c r="AG267" s="129">
        <v>2911</v>
      </c>
      <c r="AI267" s="129">
        <v>1952</v>
      </c>
      <c r="AJ267" s="129">
        <v>12</v>
      </c>
      <c r="AK267" s="129">
        <v>1</v>
      </c>
      <c r="AL267" s="129">
        <v>2</v>
      </c>
      <c r="AO267" s="129">
        <v>3</v>
      </c>
      <c r="AP267" s="129">
        <v>1.3</v>
      </c>
      <c r="AQ267" s="129">
        <v>27</v>
      </c>
      <c r="AR267" s="129">
        <v>10</v>
      </c>
      <c r="AS267" s="129">
        <v>27</v>
      </c>
      <c r="AT267" s="129">
        <v>20</v>
      </c>
      <c r="AU267" s="129">
        <v>0</v>
      </c>
      <c r="AV267" s="129">
        <v>0</v>
      </c>
      <c r="AW267" s="129">
        <v>1860518</v>
      </c>
      <c r="AX267" s="167">
        <v>45442</v>
      </c>
      <c r="AY267" s="162">
        <f t="shared" si="434"/>
        <v>24</v>
      </c>
      <c r="AZ267" s="163" t="s">
        <v>882</v>
      </c>
      <c r="BA267" s="162" t="b">
        <f t="shared" si="359"/>
        <v>0</v>
      </c>
      <c r="BF267" s="164">
        <f t="shared" ref="BF267" si="466">SUM(U267+C267-AO267-AP267-AR267)</f>
        <v>6898.6</v>
      </c>
      <c r="BG267" s="164">
        <f t="shared" ref="BG267" si="467">SUM(E267+F267+V267+W267)</f>
        <v>128.5</v>
      </c>
      <c r="BH267" s="164"/>
      <c r="BI267" s="164">
        <f t="shared" ref="BI267" si="468">SUM(AC267+H267)</f>
        <v>1302.2</v>
      </c>
      <c r="BJ267" s="164">
        <f t="shared" ref="BJ267" si="469">SUM(AD267+I267)</f>
        <v>566</v>
      </c>
      <c r="BK267" s="164">
        <f t="shared" ref="BK267" si="470">SUM(AE267+J267)</f>
        <v>1634.4</v>
      </c>
      <c r="BL267" s="164">
        <f>SUM(AF267+K267)</f>
        <v>7560</v>
      </c>
      <c r="BM267" s="164">
        <f>SUM(AG267+L267)</f>
        <v>2995</v>
      </c>
      <c r="BN267" s="164">
        <f t="shared" ref="BN267" si="471">SUM(AI267+Q267)</f>
        <v>2015</v>
      </c>
      <c r="BO267" s="164">
        <f t="shared" ref="BO267" si="472">SUM(AJ267+R267)</f>
        <v>12</v>
      </c>
      <c r="BP267" s="164">
        <f t="shared" ref="BP267" si="473">SUM(AK267+R267)</f>
        <v>1</v>
      </c>
      <c r="BQ267" s="164">
        <f t="shared" ref="BQ267" si="474">SUM(S267+AK267)</f>
        <v>1</v>
      </c>
      <c r="BR267" s="164">
        <f t="shared" ref="BR267" si="475">SUM(T267+AL267)</f>
        <v>2</v>
      </c>
      <c r="BS267" s="129">
        <f>SUMIF('Audit HD AR - School Level'!$A$6:A3798, "=" &amp; A267,'Audit HD AR - School Level'!$Q$6:Q3798)</f>
        <v>155.80000000000001</v>
      </c>
      <c r="BT267" s="168">
        <f t="shared" ref="BT267" si="476">SUM(AS267-AQ267)*$BT$2</f>
        <v>0</v>
      </c>
      <c r="BU267" s="168">
        <f t="shared" ref="BU267" si="477">SUM(AU267-AR267)*$BT$2</f>
        <v>-7090</v>
      </c>
      <c r="BW267" s="168">
        <f t="shared" ref="BW267" si="478">IF(BT267+BU267+BV267&gt;0,0,BT267+BU267+BV267)</f>
        <v>-7090</v>
      </c>
      <c r="BX267" s="164">
        <f t="shared" ref="BX267" si="479">SUM(U267-AO267-AP267-AT267)</f>
        <v>6888.6</v>
      </c>
    </row>
    <row r="268" spans="1:78">
      <c r="A268" s="129" t="s">
        <v>205</v>
      </c>
      <c r="U268" s="129">
        <v>3694.5</v>
      </c>
      <c r="V268" s="129">
        <v>78.5</v>
      </c>
      <c r="X268" s="129">
        <v>3771.1</v>
      </c>
      <c r="AC268" s="129">
        <v>1154.2</v>
      </c>
      <c r="AD268" s="129">
        <v>691</v>
      </c>
      <c r="AE268" s="129">
        <v>1916.1</v>
      </c>
      <c r="AF268" s="129">
        <v>3791</v>
      </c>
      <c r="AG268" s="129">
        <v>2683</v>
      </c>
      <c r="AI268" s="129">
        <v>1226</v>
      </c>
      <c r="AJ268" s="129">
        <v>2379</v>
      </c>
      <c r="AK268" s="129">
        <v>0</v>
      </c>
      <c r="AL268" s="129">
        <v>0</v>
      </c>
      <c r="AO268" s="129">
        <v>14</v>
      </c>
      <c r="AP268" s="129">
        <v>2</v>
      </c>
      <c r="AQ268" s="129">
        <v>60.5</v>
      </c>
      <c r="AR268" s="129">
        <v>0</v>
      </c>
      <c r="AS268" s="129">
        <v>60</v>
      </c>
      <c r="AT268" s="129">
        <v>62</v>
      </c>
      <c r="AU268" s="129">
        <v>0</v>
      </c>
      <c r="AV268" s="129">
        <v>1</v>
      </c>
      <c r="AW268" s="129">
        <v>1654283</v>
      </c>
      <c r="AX268" s="167">
        <v>45443</v>
      </c>
      <c r="AY268" s="162">
        <f t="shared" si="434"/>
        <v>25</v>
      </c>
      <c r="AZ268" s="163" t="s">
        <v>882</v>
      </c>
      <c r="BA268" s="162" t="b">
        <f t="shared" si="359"/>
        <v>0</v>
      </c>
      <c r="BF268" s="164">
        <f t="shared" ref="BF268:BF283" si="480">SUM(U268+C268-AO268-AP268-AR268)</f>
        <v>3678.5</v>
      </c>
      <c r="BG268" s="164">
        <f t="shared" ref="BG268:BG283" si="481">SUM(E268+F268+V268+W268)</f>
        <v>78.5</v>
      </c>
      <c r="BH268" s="164"/>
      <c r="BI268" s="164">
        <f t="shared" ref="BI268:BI283" si="482">SUM(AC268+H268)</f>
        <v>1154.2</v>
      </c>
      <c r="BJ268" s="164">
        <f t="shared" ref="BJ268:BJ283" si="483">SUM(AD268+I268)</f>
        <v>691</v>
      </c>
      <c r="BK268" s="164">
        <f t="shared" ref="BK268:BK283" si="484">SUM(AE268+J268)</f>
        <v>1916.1</v>
      </c>
      <c r="BL268" s="164">
        <f t="shared" ref="BL268:BL283" si="485">SUM(AF268+K268)</f>
        <v>3791</v>
      </c>
      <c r="BM268" s="164">
        <f t="shared" ref="BM268:BM283" si="486">SUM(AG268+L268)</f>
        <v>2683</v>
      </c>
      <c r="BN268" s="164">
        <f t="shared" ref="BN268:BN283" si="487">SUM(AI268+Q268)</f>
        <v>1226</v>
      </c>
      <c r="BO268" s="164">
        <f t="shared" ref="BO268:BO283" si="488">SUM(AJ268+R268)</f>
        <v>2379</v>
      </c>
      <c r="BP268" s="164">
        <f t="shared" ref="BP268:BP283" si="489">SUM(AK268+R268)</f>
        <v>0</v>
      </c>
      <c r="BQ268" s="164">
        <f t="shared" ref="BQ268:BQ283" si="490">SUM(S268+AK268)</f>
        <v>0</v>
      </c>
      <c r="BR268" s="164">
        <f t="shared" ref="BR268:BR283" si="491">SUM(T268+AL268)</f>
        <v>0</v>
      </c>
      <c r="BS268" s="129">
        <f>SUMIF('Audit HD AR - School Level'!$A$6:A3800, "=" &amp; A268,'Audit HD AR - School Level'!$Q$6:Q3800)</f>
        <v>281.7</v>
      </c>
      <c r="BT268" s="168">
        <f t="shared" ref="BT268:BT283" si="492">SUM(AS268-AQ268)*$BT$2</f>
        <v>-355</v>
      </c>
      <c r="BU268" s="168">
        <f t="shared" ref="BU268:BU283" si="493">SUM(AU268-AR268)*$BT$2</f>
        <v>0</v>
      </c>
      <c r="BV268" s="129">
        <v>-765</v>
      </c>
      <c r="BW268" s="168">
        <f t="shared" ref="BW268:BW283" si="494">IF(BT268+BU268+BV268&gt;0,0,BT268+BU268+BV268)</f>
        <v>-1120</v>
      </c>
      <c r="BX268" s="164">
        <f t="shared" ref="BX268:BX283" si="495">SUM(U268-AO268-AP268-AT268)</f>
        <v>3616.5</v>
      </c>
    </row>
    <row r="269" spans="1:78">
      <c r="A269" s="129" t="s">
        <v>231</v>
      </c>
      <c r="U269" s="129">
        <v>7182.6</v>
      </c>
      <c r="V269" s="129">
        <v>32</v>
      </c>
      <c r="X269" s="129">
        <v>7289.6</v>
      </c>
      <c r="AC269" s="129">
        <v>2485</v>
      </c>
      <c r="AD269" s="129">
        <v>248</v>
      </c>
      <c r="AE269" s="129">
        <v>977.4</v>
      </c>
      <c r="AF269" s="129">
        <v>7294</v>
      </c>
      <c r="AG269" s="129">
        <v>920</v>
      </c>
      <c r="AI269" s="129">
        <v>1811</v>
      </c>
      <c r="AJ269" s="129">
        <v>654</v>
      </c>
      <c r="AK269" s="129">
        <v>3</v>
      </c>
      <c r="AL269" s="129">
        <v>0</v>
      </c>
      <c r="AO269" s="129">
        <v>3</v>
      </c>
      <c r="AP269" s="129">
        <v>19.5</v>
      </c>
      <c r="AQ269" s="129">
        <v>0</v>
      </c>
      <c r="AR269" s="129">
        <v>0</v>
      </c>
      <c r="AS269" s="129">
        <v>0</v>
      </c>
      <c r="AT269" s="129">
        <v>0</v>
      </c>
      <c r="AU269" s="129">
        <v>0</v>
      </c>
      <c r="AV269" s="129">
        <v>0</v>
      </c>
      <c r="AW269" s="129">
        <v>2219486</v>
      </c>
      <c r="AX269" s="167">
        <v>45443</v>
      </c>
      <c r="AY269" s="162">
        <f t="shared" si="434"/>
        <v>25</v>
      </c>
      <c r="AZ269" s="163" t="s">
        <v>882</v>
      </c>
      <c r="BA269" s="162" t="b">
        <f t="shared" si="359"/>
        <v>0</v>
      </c>
      <c r="BF269" s="164">
        <f t="shared" si="480"/>
        <v>7160.1</v>
      </c>
      <c r="BG269" s="164">
        <f t="shared" si="481"/>
        <v>32</v>
      </c>
      <c r="BH269" s="164"/>
      <c r="BI269" s="164">
        <f t="shared" si="482"/>
        <v>2485</v>
      </c>
      <c r="BJ269" s="164">
        <f t="shared" si="483"/>
        <v>248</v>
      </c>
      <c r="BK269" s="164">
        <f t="shared" si="484"/>
        <v>977.4</v>
      </c>
      <c r="BL269" s="164">
        <f t="shared" si="485"/>
        <v>7294</v>
      </c>
      <c r="BM269" s="164">
        <f t="shared" si="486"/>
        <v>920</v>
      </c>
      <c r="BN269" s="164">
        <f t="shared" si="487"/>
        <v>1811</v>
      </c>
      <c r="BO269" s="164">
        <f t="shared" si="488"/>
        <v>654</v>
      </c>
      <c r="BP269" s="164">
        <f t="shared" si="489"/>
        <v>3</v>
      </c>
      <c r="BQ269" s="164">
        <f t="shared" si="490"/>
        <v>3</v>
      </c>
      <c r="BR269" s="164">
        <f t="shared" si="491"/>
        <v>0</v>
      </c>
      <c r="BS269" s="129">
        <f>SUMIF('Audit HD AR - School Level'!$A$6:A3801, "=" &amp; A269,'Audit HD AR - School Level'!$Q$6:Q3801)</f>
        <v>5.7</v>
      </c>
      <c r="BT269" s="168">
        <f t="shared" si="492"/>
        <v>0</v>
      </c>
      <c r="BU269" s="168">
        <f t="shared" si="493"/>
        <v>0</v>
      </c>
      <c r="BW269" s="168">
        <f t="shared" si="494"/>
        <v>0</v>
      </c>
      <c r="BX269" s="164">
        <f t="shared" si="495"/>
        <v>7160.1</v>
      </c>
    </row>
    <row r="270" spans="1:78">
      <c r="A270" s="129" t="s">
        <v>243</v>
      </c>
      <c r="U270" s="129">
        <v>437.6</v>
      </c>
      <c r="V270" s="129">
        <v>5</v>
      </c>
      <c r="X270" s="129">
        <v>450.5</v>
      </c>
      <c r="AC270" s="129">
        <v>118.1</v>
      </c>
      <c r="AD270" s="129">
        <v>1</v>
      </c>
      <c r="AE270" s="129">
        <v>0</v>
      </c>
      <c r="AF270" s="129">
        <v>449</v>
      </c>
      <c r="AG270" s="129">
        <v>297</v>
      </c>
      <c r="AI270" s="129">
        <v>136.5</v>
      </c>
      <c r="AJ270" s="129">
        <v>63</v>
      </c>
      <c r="AK270" s="129">
        <v>4</v>
      </c>
      <c r="AL270" s="129">
        <v>0</v>
      </c>
      <c r="AO270" s="129">
        <v>2</v>
      </c>
      <c r="AP270" s="129">
        <v>0</v>
      </c>
      <c r="AQ270" s="129">
        <v>0.5</v>
      </c>
      <c r="AR270" s="129">
        <v>0</v>
      </c>
      <c r="AS270" s="129">
        <v>0</v>
      </c>
      <c r="AT270" s="129">
        <v>1</v>
      </c>
      <c r="AU270" s="129">
        <v>0</v>
      </c>
      <c r="AV270" s="129">
        <v>0</v>
      </c>
      <c r="AW270" s="129">
        <v>154738</v>
      </c>
      <c r="AX270" s="167">
        <v>45443</v>
      </c>
      <c r="AY270" s="162">
        <f t="shared" si="434"/>
        <v>25</v>
      </c>
      <c r="AZ270" s="163" t="s">
        <v>882</v>
      </c>
      <c r="BA270" s="162" t="b">
        <f t="shared" si="359"/>
        <v>0</v>
      </c>
      <c r="BF270" s="164">
        <f t="shared" si="480"/>
        <v>435.6</v>
      </c>
      <c r="BG270" s="164">
        <f t="shared" si="481"/>
        <v>5</v>
      </c>
      <c r="BH270" s="164"/>
      <c r="BI270" s="164">
        <f t="shared" si="482"/>
        <v>118.1</v>
      </c>
      <c r="BJ270" s="164">
        <f t="shared" si="483"/>
        <v>1</v>
      </c>
      <c r="BK270" s="164">
        <f t="shared" si="484"/>
        <v>0</v>
      </c>
      <c r="BL270" s="164">
        <f t="shared" si="485"/>
        <v>449</v>
      </c>
      <c r="BM270" s="164">
        <f t="shared" si="486"/>
        <v>297</v>
      </c>
      <c r="BN270" s="164">
        <f t="shared" si="487"/>
        <v>136.5</v>
      </c>
      <c r="BO270" s="164">
        <f t="shared" si="488"/>
        <v>63</v>
      </c>
      <c r="BP270" s="164">
        <f t="shared" si="489"/>
        <v>4</v>
      </c>
      <c r="BQ270" s="164">
        <f t="shared" si="490"/>
        <v>4</v>
      </c>
      <c r="BR270" s="164">
        <f t="shared" si="491"/>
        <v>0</v>
      </c>
      <c r="BS270" s="129">
        <f>SUMIF('Audit HD AR - School Level'!$A$6:A3802, "=" &amp; A270,'Audit HD AR - School Level'!$Q$6:Q3802)</f>
        <v>31.2</v>
      </c>
      <c r="BT270" s="168">
        <f t="shared" si="492"/>
        <v>-355</v>
      </c>
      <c r="BU270" s="168">
        <f t="shared" si="493"/>
        <v>0</v>
      </c>
      <c r="BW270" s="168">
        <f t="shared" si="494"/>
        <v>-355</v>
      </c>
      <c r="BX270" s="164">
        <f t="shared" si="495"/>
        <v>434.6</v>
      </c>
    </row>
    <row r="271" spans="1:78">
      <c r="A271" s="129" t="s">
        <v>245</v>
      </c>
      <c r="U271" s="129">
        <v>947.8</v>
      </c>
      <c r="V271" s="129">
        <v>12</v>
      </c>
      <c r="X271" s="129">
        <v>991.5</v>
      </c>
      <c r="AC271" s="129">
        <v>268</v>
      </c>
      <c r="AD271" s="129">
        <v>10</v>
      </c>
      <c r="AE271" s="129">
        <v>5.6</v>
      </c>
      <c r="AF271" s="129">
        <v>966</v>
      </c>
      <c r="AG271" s="129">
        <v>411</v>
      </c>
      <c r="AI271" s="129">
        <v>256</v>
      </c>
      <c r="AJ271" s="129">
        <v>511</v>
      </c>
      <c r="AK271" s="129">
        <v>152</v>
      </c>
      <c r="AL271" s="129">
        <v>0</v>
      </c>
      <c r="AO271" s="129">
        <v>11</v>
      </c>
      <c r="AP271" s="129">
        <v>1.3</v>
      </c>
      <c r="AQ271" s="129">
        <v>0</v>
      </c>
      <c r="AR271" s="129">
        <v>5</v>
      </c>
      <c r="AS271" s="129">
        <v>0</v>
      </c>
      <c r="AT271" s="129">
        <v>0</v>
      </c>
      <c r="AU271" s="129">
        <v>0</v>
      </c>
      <c r="AV271" s="129">
        <v>0</v>
      </c>
      <c r="AW271" s="129">
        <v>620760</v>
      </c>
      <c r="AX271" s="167">
        <v>45443</v>
      </c>
      <c r="AY271" s="162">
        <f t="shared" si="434"/>
        <v>25</v>
      </c>
      <c r="AZ271" s="163" t="s">
        <v>882</v>
      </c>
      <c r="BA271" s="162" t="b">
        <f t="shared" si="359"/>
        <v>0</v>
      </c>
      <c r="BF271" s="164">
        <f t="shared" si="480"/>
        <v>930.5</v>
      </c>
      <c r="BG271" s="164">
        <f t="shared" si="481"/>
        <v>12</v>
      </c>
      <c r="BH271" s="164"/>
      <c r="BI271" s="164">
        <f t="shared" si="482"/>
        <v>268</v>
      </c>
      <c r="BJ271" s="164">
        <f t="shared" si="483"/>
        <v>10</v>
      </c>
      <c r="BK271" s="164">
        <f t="shared" si="484"/>
        <v>5.6</v>
      </c>
      <c r="BL271" s="164">
        <f t="shared" si="485"/>
        <v>966</v>
      </c>
      <c r="BM271" s="164">
        <f t="shared" si="486"/>
        <v>411</v>
      </c>
      <c r="BN271" s="164">
        <f t="shared" si="487"/>
        <v>256</v>
      </c>
      <c r="BO271" s="164">
        <f t="shared" si="488"/>
        <v>511</v>
      </c>
      <c r="BP271" s="164">
        <f t="shared" si="489"/>
        <v>152</v>
      </c>
      <c r="BQ271" s="164">
        <f t="shared" si="490"/>
        <v>152</v>
      </c>
      <c r="BR271" s="164">
        <f t="shared" si="491"/>
        <v>0</v>
      </c>
      <c r="BS271" s="129">
        <f>SUMIF('Audit HD AR - School Level'!$A$6:A3803, "=" &amp; A271,'Audit HD AR - School Level'!$Q$6:Q3803)</f>
        <v>22.1</v>
      </c>
      <c r="BT271" s="168">
        <f t="shared" si="492"/>
        <v>0</v>
      </c>
      <c r="BU271" s="168">
        <f t="shared" si="493"/>
        <v>-3545</v>
      </c>
      <c r="BV271" s="129">
        <v>-8718</v>
      </c>
      <c r="BW271" s="168">
        <f t="shared" si="494"/>
        <v>-12263</v>
      </c>
      <c r="BX271" s="164">
        <f t="shared" si="495"/>
        <v>935.5</v>
      </c>
    </row>
    <row r="272" spans="1:78">
      <c r="A272" s="129" t="s">
        <v>254</v>
      </c>
      <c r="U272" s="129">
        <v>1048.2</v>
      </c>
      <c r="V272" s="129">
        <v>34.5</v>
      </c>
      <c r="X272" s="129">
        <v>1093.3</v>
      </c>
      <c r="AC272" s="129">
        <v>348.9</v>
      </c>
      <c r="AD272" s="129">
        <v>10</v>
      </c>
      <c r="AE272" s="129">
        <v>3.8</v>
      </c>
      <c r="AF272" s="129">
        <v>1128</v>
      </c>
      <c r="AG272" s="129">
        <v>615</v>
      </c>
      <c r="AI272" s="129">
        <v>246</v>
      </c>
      <c r="AJ272" s="129">
        <v>7</v>
      </c>
      <c r="AK272" s="129">
        <v>85</v>
      </c>
      <c r="AL272" s="129">
        <v>0</v>
      </c>
      <c r="AO272" s="129">
        <v>3</v>
      </c>
      <c r="AP272" s="129">
        <v>1.5</v>
      </c>
      <c r="AQ272" s="129">
        <v>0</v>
      </c>
      <c r="AR272" s="129">
        <v>0</v>
      </c>
      <c r="AS272" s="129">
        <v>0</v>
      </c>
      <c r="AT272" s="129">
        <v>0</v>
      </c>
      <c r="AU272" s="129">
        <v>0</v>
      </c>
      <c r="AV272" s="129">
        <v>0</v>
      </c>
      <c r="AW272" s="129">
        <v>327530</v>
      </c>
      <c r="AX272" s="167">
        <v>45443</v>
      </c>
      <c r="AY272" s="162">
        <f t="shared" si="434"/>
        <v>25</v>
      </c>
      <c r="AZ272" s="163" t="s">
        <v>882</v>
      </c>
      <c r="BA272" s="162" t="b">
        <f t="shared" si="359"/>
        <v>0</v>
      </c>
      <c r="BF272" s="164">
        <f t="shared" si="480"/>
        <v>1043.7</v>
      </c>
      <c r="BG272" s="164">
        <f t="shared" si="481"/>
        <v>34.5</v>
      </c>
      <c r="BH272" s="164"/>
      <c r="BI272" s="164">
        <f t="shared" si="482"/>
        <v>348.9</v>
      </c>
      <c r="BJ272" s="164">
        <f t="shared" si="483"/>
        <v>10</v>
      </c>
      <c r="BK272" s="164">
        <f t="shared" si="484"/>
        <v>3.8</v>
      </c>
      <c r="BL272" s="164">
        <f t="shared" si="485"/>
        <v>1128</v>
      </c>
      <c r="BM272" s="164">
        <f t="shared" si="486"/>
        <v>615</v>
      </c>
      <c r="BN272" s="164">
        <f t="shared" si="487"/>
        <v>246</v>
      </c>
      <c r="BO272" s="164">
        <f t="shared" si="488"/>
        <v>7</v>
      </c>
      <c r="BP272" s="164">
        <f t="shared" si="489"/>
        <v>85</v>
      </c>
      <c r="BQ272" s="164">
        <f t="shared" si="490"/>
        <v>85</v>
      </c>
      <c r="BR272" s="164">
        <f t="shared" si="491"/>
        <v>0</v>
      </c>
      <c r="BS272" s="129">
        <f>SUMIF('Audit HD AR - School Level'!$A$6:A3804, "=" &amp; A272,'Audit HD AR - School Level'!$Q$6:Q3804)</f>
        <v>63.9</v>
      </c>
      <c r="BT272" s="168">
        <f t="shared" si="492"/>
        <v>0</v>
      </c>
      <c r="BU272" s="168">
        <f t="shared" si="493"/>
        <v>0</v>
      </c>
      <c r="BV272" s="129">
        <v>-15027</v>
      </c>
      <c r="BW272" s="168">
        <f t="shared" si="494"/>
        <v>-15027</v>
      </c>
      <c r="BX272" s="164">
        <f t="shared" si="495"/>
        <v>1043.7</v>
      </c>
    </row>
    <row r="273" spans="1:76">
      <c r="A273" s="129" t="s">
        <v>262</v>
      </c>
      <c r="U273" s="129">
        <v>5950.6</v>
      </c>
      <c r="V273" s="129">
        <v>29.5</v>
      </c>
      <c r="X273" s="129">
        <v>5980.1</v>
      </c>
      <c r="AC273" s="129">
        <v>1509.6</v>
      </c>
      <c r="AD273" s="129">
        <v>141</v>
      </c>
      <c r="AE273" s="129">
        <v>416.8</v>
      </c>
      <c r="AF273" s="129">
        <v>6215</v>
      </c>
      <c r="AG273" s="129">
        <v>1494</v>
      </c>
      <c r="AI273" s="129">
        <v>4014.5</v>
      </c>
      <c r="AJ273" s="129">
        <v>45.5</v>
      </c>
      <c r="AK273" s="129">
        <v>18</v>
      </c>
      <c r="AL273" s="129">
        <v>0</v>
      </c>
      <c r="AO273" s="129">
        <v>32</v>
      </c>
      <c r="AP273" s="129">
        <v>3.1</v>
      </c>
      <c r="AQ273" s="129">
        <v>6</v>
      </c>
      <c r="AR273" s="129">
        <v>0</v>
      </c>
      <c r="AS273" s="129">
        <v>6</v>
      </c>
      <c r="AT273" s="129">
        <v>2</v>
      </c>
      <c r="AU273" s="129">
        <v>0</v>
      </c>
      <c r="AV273" s="129">
        <v>1</v>
      </c>
      <c r="AW273" s="129">
        <v>2862905</v>
      </c>
      <c r="AX273" s="167">
        <v>45443</v>
      </c>
      <c r="AY273" s="162">
        <f t="shared" si="434"/>
        <v>25</v>
      </c>
      <c r="AZ273" s="163" t="s">
        <v>882</v>
      </c>
      <c r="BA273" s="162" t="b">
        <f t="shared" si="359"/>
        <v>0</v>
      </c>
      <c r="BF273" s="164">
        <f t="shared" si="480"/>
        <v>5915.5</v>
      </c>
      <c r="BG273" s="164">
        <f t="shared" si="481"/>
        <v>29.5</v>
      </c>
      <c r="BH273" s="164"/>
      <c r="BI273" s="164">
        <f t="shared" si="482"/>
        <v>1509.6</v>
      </c>
      <c r="BJ273" s="164">
        <f t="shared" si="483"/>
        <v>141</v>
      </c>
      <c r="BK273" s="164">
        <f t="shared" si="484"/>
        <v>416.8</v>
      </c>
      <c r="BL273" s="164">
        <f t="shared" si="485"/>
        <v>6215</v>
      </c>
      <c r="BM273" s="164">
        <f t="shared" si="486"/>
        <v>1494</v>
      </c>
      <c r="BN273" s="164">
        <f t="shared" si="487"/>
        <v>4014.5</v>
      </c>
      <c r="BO273" s="164">
        <f t="shared" si="488"/>
        <v>45.5</v>
      </c>
      <c r="BP273" s="164">
        <f t="shared" si="489"/>
        <v>18</v>
      </c>
      <c r="BQ273" s="164">
        <f t="shared" si="490"/>
        <v>18</v>
      </c>
      <c r="BR273" s="164">
        <f t="shared" si="491"/>
        <v>0</v>
      </c>
      <c r="BS273" s="129">
        <f>SUMIF('Audit HD AR - School Level'!$A$6:A3805, "=" &amp; A273,'Audit HD AR - School Level'!$Q$6:Q3805)</f>
        <v>0</v>
      </c>
      <c r="BT273" s="168">
        <f t="shared" si="492"/>
        <v>0</v>
      </c>
      <c r="BU273" s="168">
        <f t="shared" si="493"/>
        <v>0</v>
      </c>
      <c r="BW273" s="168">
        <f t="shared" si="494"/>
        <v>0</v>
      </c>
      <c r="BX273" s="164">
        <f t="shared" si="495"/>
        <v>5913.5</v>
      </c>
    </row>
    <row r="274" spans="1:76">
      <c r="A274" s="129" t="s">
        <v>300</v>
      </c>
      <c r="U274" s="129">
        <v>2382.1</v>
      </c>
      <c r="V274" s="129">
        <v>28.5</v>
      </c>
      <c r="X274" s="129">
        <v>2255</v>
      </c>
      <c r="AC274" s="129">
        <v>561.5</v>
      </c>
      <c r="AD274" s="129">
        <v>12</v>
      </c>
      <c r="AE274" s="129">
        <v>26.6</v>
      </c>
      <c r="AF274" s="129">
        <v>2267</v>
      </c>
      <c r="AG274" s="129">
        <v>678</v>
      </c>
      <c r="AI274" s="129">
        <v>1039</v>
      </c>
      <c r="AJ274" s="129">
        <v>727</v>
      </c>
      <c r="AK274" s="129">
        <v>118</v>
      </c>
      <c r="AL274" s="129">
        <v>0</v>
      </c>
      <c r="AO274" s="129">
        <v>176</v>
      </c>
      <c r="AP274" s="129">
        <v>0</v>
      </c>
      <c r="AQ274" s="129">
        <v>14</v>
      </c>
      <c r="AR274" s="129">
        <v>0</v>
      </c>
      <c r="AS274" s="129">
        <v>12.5</v>
      </c>
      <c r="AT274" s="129">
        <v>8</v>
      </c>
      <c r="AU274" s="129">
        <v>0</v>
      </c>
      <c r="AV274" s="129">
        <v>0</v>
      </c>
      <c r="AW274" s="129">
        <v>913333</v>
      </c>
      <c r="AX274" s="167">
        <v>45443</v>
      </c>
      <c r="AY274" s="162">
        <f t="shared" si="434"/>
        <v>25</v>
      </c>
      <c r="AZ274" s="163" t="s">
        <v>882</v>
      </c>
      <c r="BA274" s="162" t="b">
        <f t="shared" si="359"/>
        <v>0</v>
      </c>
      <c r="BF274" s="164">
        <f t="shared" si="480"/>
        <v>2206.1</v>
      </c>
      <c r="BG274" s="164">
        <f t="shared" si="481"/>
        <v>28.5</v>
      </c>
      <c r="BH274" s="164"/>
      <c r="BI274" s="164">
        <f t="shared" si="482"/>
        <v>561.5</v>
      </c>
      <c r="BJ274" s="164">
        <f t="shared" si="483"/>
        <v>12</v>
      </c>
      <c r="BK274" s="164">
        <f t="shared" si="484"/>
        <v>26.6</v>
      </c>
      <c r="BL274" s="164">
        <f t="shared" si="485"/>
        <v>2267</v>
      </c>
      <c r="BM274" s="164">
        <f t="shared" si="486"/>
        <v>678</v>
      </c>
      <c r="BN274" s="164">
        <f t="shared" si="487"/>
        <v>1039</v>
      </c>
      <c r="BO274" s="164">
        <f t="shared" si="488"/>
        <v>727</v>
      </c>
      <c r="BP274" s="164">
        <f t="shared" si="489"/>
        <v>118</v>
      </c>
      <c r="BQ274" s="164">
        <f t="shared" si="490"/>
        <v>118</v>
      </c>
      <c r="BR274" s="164">
        <f t="shared" si="491"/>
        <v>0</v>
      </c>
      <c r="BS274" s="129">
        <f>SUMIF('Audit HD AR - School Level'!$A$6:A3806, "=" &amp; A274,'Audit HD AR - School Level'!$Q$6:Q3806)</f>
        <v>4</v>
      </c>
      <c r="BT274" s="168">
        <f t="shared" si="492"/>
        <v>-1064</v>
      </c>
      <c r="BU274" s="168">
        <f t="shared" si="493"/>
        <v>0</v>
      </c>
      <c r="BV274" s="129">
        <v>-10491</v>
      </c>
      <c r="BW274" s="168">
        <f t="shared" si="494"/>
        <v>-11555</v>
      </c>
      <c r="BX274" s="164">
        <f t="shared" si="495"/>
        <v>2198.1</v>
      </c>
    </row>
    <row r="275" spans="1:76">
      <c r="A275" s="129" t="s">
        <v>334</v>
      </c>
      <c r="U275" s="129">
        <v>843.9</v>
      </c>
      <c r="V275" s="129">
        <v>13</v>
      </c>
      <c r="X275" s="129">
        <v>892</v>
      </c>
      <c r="AC275" s="129">
        <v>227.1</v>
      </c>
      <c r="AD275" s="129">
        <v>40</v>
      </c>
      <c r="AE275" s="129">
        <v>113.6</v>
      </c>
      <c r="AF275" s="129">
        <v>876</v>
      </c>
      <c r="AG275" s="129">
        <v>402</v>
      </c>
      <c r="AI275" s="129">
        <v>133</v>
      </c>
      <c r="AJ275" s="129">
        <v>24</v>
      </c>
      <c r="AK275" s="129">
        <v>5</v>
      </c>
      <c r="AL275" s="129">
        <v>0</v>
      </c>
      <c r="AO275" s="129">
        <v>1</v>
      </c>
      <c r="AP275" s="129">
        <v>1.2</v>
      </c>
      <c r="AQ275" s="129">
        <v>0</v>
      </c>
      <c r="AR275" s="129">
        <v>0</v>
      </c>
      <c r="AS275" s="129">
        <v>0</v>
      </c>
      <c r="AT275" s="129">
        <v>3</v>
      </c>
      <c r="AU275" s="129">
        <v>0</v>
      </c>
      <c r="AV275" s="129">
        <v>0</v>
      </c>
      <c r="AW275" s="129">
        <v>204128</v>
      </c>
      <c r="AX275" s="167">
        <v>45443</v>
      </c>
      <c r="AY275" s="162">
        <f t="shared" si="434"/>
        <v>25</v>
      </c>
      <c r="AZ275" s="163" t="s">
        <v>882</v>
      </c>
      <c r="BA275" s="162" t="b">
        <f t="shared" si="359"/>
        <v>0</v>
      </c>
      <c r="BF275" s="164">
        <f t="shared" si="480"/>
        <v>841.7</v>
      </c>
      <c r="BG275" s="164">
        <f t="shared" si="481"/>
        <v>13</v>
      </c>
      <c r="BH275" s="164"/>
      <c r="BI275" s="164">
        <f t="shared" si="482"/>
        <v>227.1</v>
      </c>
      <c r="BJ275" s="164">
        <f t="shared" si="483"/>
        <v>40</v>
      </c>
      <c r="BK275" s="164">
        <f t="shared" si="484"/>
        <v>113.6</v>
      </c>
      <c r="BL275" s="164">
        <f t="shared" si="485"/>
        <v>876</v>
      </c>
      <c r="BM275" s="164">
        <f t="shared" si="486"/>
        <v>402</v>
      </c>
      <c r="BN275" s="164">
        <f t="shared" si="487"/>
        <v>133</v>
      </c>
      <c r="BO275" s="164">
        <f t="shared" si="488"/>
        <v>24</v>
      </c>
      <c r="BP275" s="164">
        <f t="shared" si="489"/>
        <v>5</v>
      </c>
      <c r="BQ275" s="164">
        <f t="shared" si="490"/>
        <v>5</v>
      </c>
      <c r="BR275" s="164">
        <f t="shared" si="491"/>
        <v>0</v>
      </c>
      <c r="BS275" s="129">
        <f>SUMIF('Audit HD AR - School Level'!$A$6:A3808, "=" &amp; A275,'Audit HD AR - School Level'!$Q$6:Q3808)</f>
        <v>31.3</v>
      </c>
      <c r="BT275" s="168">
        <f t="shared" si="492"/>
        <v>0</v>
      </c>
      <c r="BU275" s="168">
        <f t="shared" si="493"/>
        <v>0</v>
      </c>
      <c r="BW275" s="168">
        <f t="shared" si="494"/>
        <v>0</v>
      </c>
      <c r="BX275" s="164">
        <f t="shared" si="495"/>
        <v>838.7</v>
      </c>
    </row>
    <row r="276" spans="1:76">
      <c r="A276" s="129" t="s">
        <v>338</v>
      </c>
      <c r="U276" s="129">
        <v>540</v>
      </c>
      <c r="V276" s="129">
        <v>10.5</v>
      </c>
      <c r="X276" s="129">
        <v>577.70000000000005</v>
      </c>
      <c r="AC276" s="129">
        <v>124.6</v>
      </c>
      <c r="AD276" s="129">
        <v>3</v>
      </c>
      <c r="AE276" s="129">
        <v>1.9</v>
      </c>
      <c r="AF276" s="129">
        <v>558</v>
      </c>
      <c r="AG276" s="129">
        <v>222</v>
      </c>
      <c r="AI276" s="129">
        <v>160</v>
      </c>
      <c r="AJ276" s="129">
        <v>33</v>
      </c>
      <c r="AK276" s="129">
        <v>24</v>
      </c>
      <c r="AL276" s="129">
        <v>0</v>
      </c>
      <c r="AO276" s="129">
        <v>5</v>
      </c>
      <c r="AP276" s="129">
        <v>0.3</v>
      </c>
      <c r="AQ276" s="129">
        <v>11</v>
      </c>
      <c r="AR276" s="129">
        <v>0</v>
      </c>
      <c r="AS276" s="129">
        <v>10.5</v>
      </c>
      <c r="AT276" s="129">
        <v>5</v>
      </c>
      <c r="AU276" s="129">
        <v>0</v>
      </c>
      <c r="AV276" s="129">
        <v>0</v>
      </c>
      <c r="AW276" s="129">
        <v>145623</v>
      </c>
      <c r="AX276" s="167">
        <v>45443</v>
      </c>
      <c r="AY276" s="162">
        <f t="shared" si="434"/>
        <v>25</v>
      </c>
      <c r="AZ276" s="163" t="s">
        <v>882</v>
      </c>
      <c r="BA276" s="162" t="b">
        <f t="shared" si="359"/>
        <v>0</v>
      </c>
      <c r="BF276" s="164">
        <f t="shared" si="480"/>
        <v>534.70000000000005</v>
      </c>
      <c r="BG276" s="164">
        <f t="shared" si="481"/>
        <v>10.5</v>
      </c>
      <c r="BH276" s="164"/>
      <c r="BI276" s="164">
        <f t="shared" si="482"/>
        <v>124.6</v>
      </c>
      <c r="BJ276" s="164">
        <f t="shared" si="483"/>
        <v>3</v>
      </c>
      <c r="BK276" s="164">
        <f t="shared" si="484"/>
        <v>1.9</v>
      </c>
      <c r="BL276" s="164">
        <f t="shared" si="485"/>
        <v>558</v>
      </c>
      <c r="BM276" s="164">
        <f t="shared" si="486"/>
        <v>222</v>
      </c>
      <c r="BN276" s="164">
        <f t="shared" si="487"/>
        <v>160</v>
      </c>
      <c r="BO276" s="164">
        <f t="shared" si="488"/>
        <v>33</v>
      </c>
      <c r="BP276" s="164">
        <f t="shared" si="489"/>
        <v>24</v>
      </c>
      <c r="BQ276" s="164">
        <f t="shared" si="490"/>
        <v>24</v>
      </c>
      <c r="BR276" s="164">
        <f t="shared" si="491"/>
        <v>0</v>
      </c>
      <c r="BS276" s="129">
        <f>SUMIF('Audit HD AR - School Level'!$A$6:A3809, "=" &amp; A276,'Audit HD AR - School Level'!$Q$6:Q3809)</f>
        <v>10.3</v>
      </c>
      <c r="BT276" s="168">
        <f t="shared" si="492"/>
        <v>-355</v>
      </c>
      <c r="BU276" s="168">
        <f t="shared" si="493"/>
        <v>0</v>
      </c>
      <c r="BW276" s="168">
        <f t="shared" si="494"/>
        <v>-355</v>
      </c>
      <c r="BX276" s="164">
        <f t="shared" si="495"/>
        <v>529.70000000000005</v>
      </c>
    </row>
    <row r="277" spans="1:76">
      <c r="A277" s="129" t="s">
        <v>363</v>
      </c>
      <c r="D277" s="164">
        <v>34</v>
      </c>
      <c r="E277" s="164"/>
      <c r="F277" s="164">
        <v>0</v>
      </c>
      <c r="G277" s="164">
        <v>7</v>
      </c>
      <c r="H277" s="164">
        <v>2.4</v>
      </c>
      <c r="I277" s="164">
        <v>7</v>
      </c>
      <c r="J277" s="164">
        <v>18.2</v>
      </c>
      <c r="K277" s="164">
        <v>34</v>
      </c>
      <c r="L277" s="164">
        <v>11</v>
      </c>
      <c r="M277" s="164">
        <v>0</v>
      </c>
      <c r="N277" s="164">
        <v>0</v>
      </c>
      <c r="Q277" s="129">
        <v>14</v>
      </c>
      <c r="R277" s="129">
        <v>3</v>
      </c>
      <c r="U277" s="129">
        <v>6790.9</v>
      </c>
      <c r="V277" s="129">
        <v>96.5</v>
      </c>
      <c r="X277" s="129">
        <v>6661.7</v>
      </c>
      <c r="AC277" s="129">
        <v>883.4</v>
      </c>
      <c r="AD277" s="129">
        <v>407</v>
      </c>
      <c r="AE277" s="129">
        <v>1195.7</v>
      </c>
      <c r="AF277" s="129">
        <v>6883</v>
      </c>
      <c r="AG277" s="129">
        <v>2579</v>
      </c>
      <c r="AI277" s="129">
        <v>2733</v>
      </c>
      <c r="AJ277" s="129">
        <v>654</v>
      </c>
      <c r="AK277" s="129">
        <v>17</v>
      </c>
      <c r="AL277" s="129">
        <v>0</v>
      </c>
      <c r="AO277" s="129">
        <v>173</v>
      </c>
      <c r="AP277" s="129">
        <v>0.8</v>
      </c>
      <c r="AQ277" s="129">
        <v>1.5</v>
      </c>
      <c r="AR277" s="129">
        <v>0</v>
      </c>
      <c r="AS277" s="129">
        <v>1.5</v>
      </c>
      <c r="AT277" s="129">
        <v>0</v>
      </c>
      <c r="AU277" s="129">
        <v>0</v>
      </c>
      <c r="AV277" s="129">
        <v>1</v>
      </c>
      <c r="AW277" s="129">
        <v>2575162</v>
      </c>
      <c r="AX277" s="167">
        <v>45443</v>
      </c>
      <c r="AY277" s="162">
        <f t="shared" si="434"/>
        <v>25</v>
      </c>
      <c r="AZ277" s="163" t="s">
        <v>882</v>
      </c>
      <c r="BA277" s="162" t="b">
        <f t="shared" si="359"/>
        <v>0</v>
      </c>
      <c r="BF277" s="164">
        <f t="shared" si="480"/>
        <v>6617.1</v>
      </c>
      <c r="BG277" s="164">
        <f t="shared" si="481"/>
        <v>96.5</v>
      </c>
      <c r="BH277" s="164"/>
      <c r="BI277" s="164">
        <f t="shared" si="482"/>
        <v>885.8</v>
      </c>
      <c r="BJ277" s="164">
        <f t="shared" si="483"/>
        <v>414</v>
      </c>
      <c r="BK277" s="164">
        <f>SUM(AE277+J277)</f>
        <v>1213.9000000000001</v>
      </c>
      <c r="BL277" s="164">
        <f t="shared" si="485"/>
        <v>6917</v>
      </c>
      <c r="BM277" s="164">
        <f>SUM(AG277+L277)</f>
        <v>2590</v>
      </c>
      <c r="BN277" s="164">
        <f t="shared" si="487"/>
        <v>2747</v>
      </c>
      <c r="BO277" s="164">
        <f t="shared" si="488"/>
        <v>657</v>
      </c>
      <c r="BP277" s="164">
        <f t="shared" si="489"/>
        <v>20</v>
      </c>
      <c r="BQ277" s="164">
        <f t="shared" si="490"/>
        <v>17</v>
      </c>
      <c r="BR277" s="164">
        <f t="shared" si="491"/>
        <v>0</v>
      </c>
      <c r="BS277" s="129">
        <f>SUMIF('Audit HD AR - School Level'!$A$6:A3810, "=" &amp; A277,'Audit HD AR - School Level'!$Q$6:Q3810)</f>
        <v>125.6</v>
      </c>
      <c r="BT277" s="168">
        <f t="shared" si="492"/>
        <v>0</v>
      </c>
      <c r="BU277" s="168">
        <f t="shared" si="493"/>
        <v>0</v>
      </c>
      <c r="BW277" s="168">
        <f t="shared" si="494"/>
        <v>0</v>
      </c>
      <c r="BX277" s="164">
        <f t="shared" si="495"/>
        <v>6617.1</v>
      </c>
    </row>
    <row r="278" spans="1:76">
      <c r="A278" s="129" t="s">
        <v>414</v>
      </c>
      <c r="U278" s="129">
        <v>6753.5</v>
      </c>
      <c r="V278" s="129">
        <v>168.5</v>
      </c>
      <c r="X278" s="129">
        <v>6947.2</v>
      </c>
      <c r="AC278" s="129">
        <v>2154.1</v>
      </c>
      <c r="AD278" s="129">
        <v>3244</v>
      </c>
      <c r="AE278" s="129">
        <v>12342.3</v>
      </c>
      <c r="AF278" s="129">
        <v>7153</v>
      </c>
      <c r="AG278" s="129">
        <v>5023</v>
      </c>
      <c r="AI278" s="129">
        <v>2703</v>
      </c>
      <c r="AJ278" s="129">
        <v>2318</v>
      </c>
      <c r="AK278" s="129">
        <v>2</v>
      </c>
      <c r="AL278" s="129">
        <v>6</v>
      </c>
      <c r="AO278" s="129">
        <v>2</v>
      </c>
      <c r="AP278" s="129">
        <v>0</v>
      </c>
      <c r="AQ278" s="129">
        <v>43.5</v>
      </c>
      <c r="AR278" s="129">
        <v>0</v>
      </c>
      <c r="AS278" s="129">
        <v>43.5</v>
      </c>
      <c r="AT278" s="129">
        <v>9</v>
      </c>
      <c r="AU278" s="129">
        <v>0</v>
      </c>
      <c r="AV278" s="129">
        <v>0</v>
      </c>
      <c r="AW278" s="129">
        <v>1404443</v>
      </c>
      <c r="AX278" s="167">
        <v>45443</v>
      </c>
      <c r="AY278" s="162">
        <f t="shared" si="434"/>
        <v>25</v>
      </c>
      <c r="AZ278" s="163" t="s">
        <v>882</v>
      </c>
      <c r="BA278" s="162" t="b">
        <f t="shared" si="359"/>
        <v>0</v>
      </c>
      <c r="BF278" s="164">
        <f t="shared" si="480"/>
        <v>6751.5</v>
      </c>
      <c r="BG278" s="164">
        <f t="shared" si="481"/>
        <v>168.5</v>
      </c>
      <c r="BH278" s="164"/>
      <c r="BI278" s="164">
        <f t="shared" si="482"/>
        <v>2154.1</v>
      </c>
      <c r="BJ278" s="164">
        <f t="shared" si="483"/>
        <v>3244</v>
      </c>
      <c r="BK278" s="164">
        <f t="shared" si="484"/>
        <v>12342.3</v>
      </c>
      <c r="BL278" s="164">
        <f t="shared" si="485"/>
        <v>7153</v>
      </c>
      <c r="BM278" s="164">
        <f t="shared" si="486"/>
        <v>5023</v>
      </c>
      <c r="BN278" s="164">
        <f t="shared" si="487"/>
        <v>2703</v>
      </c>
      <c r="BO278" s="164">
        <f t="shared" si="488"/>
        <v>2318</v>
      </c>
      <c r="BP278" s="164">
        <f t="shared" si="489"/>
        <v>2</v>
      </c>
      <c r="BQ278" s="164">
        <f t="shared" si="490"/>
        <v>2</v>
      </c>
      <c r="BR278" s="164">
        <f t="shared" si="491"/>
        <v>6</v>
      </c>
      <c r="BS278" s="129">
        <f>SUMIF('Audit HD AR - School Level'!$A$6:A3811, "=" &amp; A278,'Audit HD AR - School Level'!$Q$6:Q3811)</f>
        <v>527.5</v>
      </c>
      <c r="BT278" s="168">
        <f t="shared" si="492"/>
        <v>0</v>
      </c>
      <c r="BU278" s="168">
        <f t="shared" si="493"/>
        <v>0</v>
      </c>
      <c r="BW278" s="168">
        <f t="shared" si="494"/>
        <v>0</v>
      </c>
      <c r="BX278" s="164">
        <f t="shared" si="495"/>
        <v>6742.5</v>
      </c>
    </row>
    <row r="279" spans="1:76">
      <c r="A279" s="129" t="s">
        <v>421</v>
      </c>
      <c r="U279" s="129">
        <v>3567.1</v>
      </c>
      <c r="V279" s="129">
        <v>19</v>
      </c>
      <c r="X279" s="129">
        <v>3622.7</v>
      </c>
      <c r="AC279" s="129">
        <v>679.6</v>
      </c>
      <c r="AD279" s="129">
        <v>79</v>
      </c>
      <c r="AE279" s="129">
        <v>184.1</v>
      </c>
      <c r="AF279" s="129">
        <v>3573</v>
      </c>
      <c r="AG279" s="129">
        <v>1142</v>
      </c>
      <c r="AI279" s="129">
        <v>2408</v>
      </c>
      <c r="AJ279" s="129">
        <v>716</v>
      </c>
      <c r="AK279" s="129">
        <v>43</v>
      </c>
      <c r="AL279" s="129">
        <v>45</v>
      </c>
      <c r="AO279" s="129">
        <v>17</v>
      </c>
      <c r="AP279" s="129">
        <v>1.7</v>
      </c>
      <c r="AQ279" s="129">
        <v>46.75</v>
      </c>
      <c r="AR279" s="129">
        <v>4</v>
      </c>
      <c r="AS279" s="129">
        <v>46.75</v>
      </c>
      <c r="AT279" s="129">
        <v>42</v>
      </c>
      <c r="AU279" s="129">
        <v>0</v>
      </c>
      <c r="AV279" s="129">
        <v>1</v>
      </c>
      <c r="AW279" s="129">
        <v>1839785</v>
      </c>
      <c r="AX279" s="167">
        <v>45443</v>
      </c>
      <c r="AY279" s="162">
        <f t="shared" si="434"/>
        <v>25</v>
      </c>
      <c r="AZ279" s="163" t="s">
        <v>882</v>
      </c>
      <c r="BA279" s="162" t="b">
        <f t="shared" si="359"/>
        <v>0</v>
      </c>
      <c r="BF279" s="164">
        <f t="shared" si="480"/>
        <v>3544.4</v>
      </c>
      <c r="BG279" s="164">
        <f t="shared" si="481"/>
        <v>19</v>
      </c>
      <c r="BH279" s="164"/>
      <c r="BI279" s="164">
        <f t="shared" si="482"/>
        <v>679.6</v>
      </c>
      <c r="BJ279" s="164">
        <f t="shared" si="483"/>
        <v>79</v>
      </c>
      <c r="BK279" s="164">
        <f t="shared" si="484"/>
        <v>184.1</v>
      </c>
      <c r="BL279" s="164">
        <f t="shared" si="485"/>
        <v>3573</v>
      </c>
      <c r="BM279" s="164">
        <f t="shared" si="486"/>
        <v>1142</v>
      </c>
      <c r="BN279" s="164">
        <f t="shared" si="487"/>
        <v>2408</v>
      </c>
      <c r="BO279" s="164">
        <f t="shared" si="488"/>
        <v>716</v>
      </c>
      <c r="BP279" s="164">
        <f t="shared" si="489"/>
        <v>43</v>
      </c>
      <c r="BQ279" s="164">
        <f t="shared" si="490"/>
        <v>43</v>
      </c>
      <c r="BR279" s="164">
        <f t="shared" si="491"/>
        <v>45</v>
      </c>
      <c r="BS279" s="129">
        <f>SUMIF('Audit HD AR - School Level'!$A$6:A3812, "=" &amp; A279,'Audit HD AR - School Level'!$Q$6:Q3812)</f>
        <v>15.9</v>
      </c>
      <c r="BT279" s="168">
        <f t="shared" si="492"/>
        <v>0</v>
      </c>
      <c r="BU279" s="168">
        <f t="shared" si="493"/>
        <v>-2836</v>
      </c>
      <c r="BW279" s="168">
        <f t="shared" si="494"/>
        <v>-2836</v>
      </c>
      <c r="BX279" s="164">
        <f t="shared" si="495"/>
        <v>3506.4</v>
      </c>
    </row>
    <row r="280" spans="1:76">
      <c r="A280" s="129" t="s">
        <v>427</v>
      </c>
      <c r="U280" s="129">
        <v>2971.9</v>
      </c>
      <c r="V280" s="129">
        <v>21</v>
      </c>
      <c r="X280" s="129">
        <v>2787.4</v>
      </c>
      <c r="AC280" s="129">
        <v>538.79999999999995</v>
      </c>
      <c r="AD280" s="129">
        <v>66</v>
      </c>
      <c r="AE280" s="129">
        <v>117</v>
      </c>
      <c r="AF280" s="129">
        <v>2899</v>
      </c>
      <c r="AG280" s="129">
        <v>440</v>
      </c>
      <c r="AI280" s="129">
        <v>1460</v>
      </c>
      <c r="AJ280" s="129">
        <v>1207</v>
      </c>
      <c r="AK280" s="129">
        <v>4</v>
      </c>
      <c r="AL280" s="129">
        <v>20</v>
      </c>
      <c r="AO280" s="129">
        <v>121</v>
      </c>
      <c r="AP280" s="129">
        <v>7.8</v>
      </c>
      <c r="AQ280" s="129">
        <v>19</v>
      </c>
      <c r="AR280" s="129">
        <v>0</v>
      </c>
      <c r="AS280" s="129">
        <v>10</v>
      </c>
      <c r="AT280" s="129">
        <v>13</v>
      </c>
      <c r="AU280" s="129">
        <v>0</v>
      </c>
      <c r="AV280" s="129">
        <v>0</v>
      </c>
      <c r="AW280" s="129">
        <v>1119454</v>
      </c>
      <c r="AX280" s="167">
        <v>45443</v>
      </c>
      <c r="AY280" s="162">
        <f t="shared" si="434"/>
        <v>25</v>
      </c>
      <c r="AZ280" s="163" t="s">
        <v>882</v>
      </c>
      <c r="BA280" s="162" t="b">
        <f t="shared" si="359"/>
        <v>0</v>
      </c>
      <c r="BF280" s="164">
        <f t="shared" si="480"/>
        <v>2843.1</v>
      </c>
      <c r="BG280" s="164">
        <f t="shared" si="481"/>
        <v>21</v>
      </c>
      <c r="BH280" s="164"/>
      <c r="BI280" s="164">
        <f t="shared" si="482"/>
        <v>538.79999999999995</v>
      </c>
      <c r="BJ280" s="164">
        <f t="shared" si="483"/>
        <v>66</v>
      </c>
      <c r="BK280" s="164">
        <f t="shared" si="484"/>
        <v>117</v>
      </c>
      <c r="BL280" s="164">
        <f t="shared" si="485"/>
        <v>2899</v>
      </c>
      <c r="BM280" s="164">
        <f t="shared" si="486"/>
        <v>440</v>
      </c>
      <c r="BN280" s="164">
        <f t="shared" si="487"/>
        <v>1460</v>
      </c>
      <c r="BO280" s="164">
        <f t="shared" si="488"/>
        <v>1207</v>
      </c>
      <c r="BP280" s="164">
        <f t="shared" si="489"/>
        <v>4</v>
      </c>
      <c r="BQ280" s="164">
        <f t="shared" si="490"/>
        <v>4</v>
      </c>
      <c r="BR280" s="164">
        <f t="shared" si="491"/>
        <v>20</v>
      </c>
      <c r="BS280" s="129">
        <f>SUMIF('Audit HD AR - School Level'!$A$6:A3813, "=" &amp; A280,'Audit HD AR - School Level'!$Q$6:Q3813)</f>
        <v>0</v>
      </c>
      <c r="BT280" s="168">
        <f t="shared" si="492"/>
        <v>-6381</v>
      </c>
      <c r="BU280" s="168">
        <f t="shared" si="493"/>
        <v>0</v>
      </c>
      <c r="BW280" s="168">
        <f t="shared" si="494"/>
        <v>-6381</v>
      </c>
      <c r="BX280" s="164">
        <f t="shared" si="495"/>
        <v>2830.1</v>
      </c>
    </row>
    <row r="281" spans="1:76">
      <c r="A281" s="129" t="s">
        <v>454</v>
      </c>
      <c r="U281" s="129">
        <v>1726.2</v>
      </c>
      <c r="V281" s="129">
        <v>32</v>
      </c>
      <c r="X281" s="129">
        <v>1772</v>
      </c>
      <c r="AC281" s="129">
        <v>253.7</v>
      </c>
      <c r="AD281" s="129">
        <v>18</v>
      </c>
      <c r="AE281" s="129">
        <v>14.7</v>
      </c>
      <c r="AF281" s="129">
        <v>1794</v>
      </c>
      <c r="AG281" s="129">
        <v>1014</v>
      </c>
      <c r="AI281" s="129">
        <v>626</v>
      </c>
      <c r="AJ281" s="129">
        <v>18</v>
      </c>
      <c r="AK281" s="129">
        <v>15</v>
      </c>
      <c r="AL281" s="129">
        <v>0</v>
      </c>
      <c r="AO281" s="129">
        <v>10</v>
      </c>
      <c r="AP281" s="129">
        <v>1.1000000000000001</v>
      </c>
      <c r="AQ281" s="129">
        <v>20</v>
      </c>
      <c r="AR281" s="129">
        <v>1</v>
      </c>
      <c r="AS281" s="129">
        <v>20</v>
      </c>
      <c r="AT281" s="129">
        <v>5</v>
      </c>
      <c r="AU281" s="129">
        <v>0</v>
      </c>
      <c r="AV281" s="129">
        <v>0</v>
      </c>
      <c r="AW281" s="129">
        <v>587089</v>
      </c>
      <c r="AX281" s="167">
        <v>45443</v>
      </c>
      <c r="AY281" s="162">
        <f t="shared" si="434"/>
        <v>25</v>
      </c>
      <c r="AZ281" s="163" t="s">
        <v>882</v>
      </c>
      <c r="BA281" s="162" t="b">
        <f t="shared" si="359"/>
        <v>0</v>
      </c>
      <c r="BF281" s="164">
        <f t="shared" si="480"/>
        <v>1714.1</v>
      </c>
      <c r="BG281" s="164">
        <f t="shared" si="481"/>
        <v>32</v>
      </c>
      <c r="BH281" s="164"/>
      <c r="BI281" s="164">
        <f t="shared" si="482"/>
        <v>253.7</v>
      </c>
      <c r="BJ281" s="164">
        <f t="shared" si="483"/>
        <v>18</v>
      </c>
      <c r="BK281" s="164">
        <f t="shared" si="484"/>
        <v>14.7</v>
      </c>
      <c r="BL281" s="164">
        <f t="shared" si="485"/>
        <v>1794</v>
      </c>
      <c r="BM281" s="164">
        <f t="shared" si="486"/>
        <v>1014</v>
      </c>
      <c r="BN281" s="164">
        <f t="shared" si="487"/>
        <v>626</v>
      </c>
      <c r="BO281" s="164">
        <f t="shared" si="488"/>
        <v>18</v>
      </c>
      <c r="BP281" s="164">
        <f t="shared" si="489"/>
        <v>15</v>
      </c>
      <c r="BQ281" s="164">
        <f t="shared" si="490"/>
        <v>15</v>
      </c>
      <c r="BR281" s="164">
        <f t="shared" si="491"/>
        <v>0</v>
      </c>
      <c r="BS281" s="129">
        <f>SUMIF('Audit HD AR - School Level'!$A$6:A3814, "=" &amp; A281,'Audit HD AR - School Level'!$Q$6:Q3814)</f>
        <v>95.9</v>
      </c>
      <c r="BT281" s="168">
        <f t="shared" si="492"/>
        <v>0</v>
      </c>
      <c r="BU281" s="168">
        <f t="shared" si="493"/>
        <v>-709</v>
      </c>
      <c r="BW281" s="168">
        <f t="shared" si="494"/>
        <v>-709</v>
      </c>
      <c r="BX281" s="164">
        <f t="shared" si="495"/>
        <v>1710.1</v>
      </c>
    </row>
    <row r="282" spans="1:76">
      <c r="A282" s="129" t="s">
        <v>465</v>
      </c>
      <c r="U282" s="129">
        <v>11903.6</v>
      </c>
      <c r="V282" s="129">
        <v>230.5</v>
      </c>
      <c r="X282" s="129">
        <v>12071.1</v>
      </c>
      <c r="AC282" s="129">
        <v>2817.9</v>
      </c>
      <c r="AD282" s="129">
        <v>1213</v>
      </c>
      <c r="AE282" s="129">
        <v>1982.2</v>
      </c>
      <c r="AF282" s="129">
        <v>12193</v>
      </c>
      <c r="AG282" s="129">
        <v>8360</v>
      </c>
      <c r="AI282" s="129">
        <v>716</v>
      </c>
      <c r="AJ282" s="129">
        <v>1086</v>
      </c>
      <c r="AK282" s="129">
        <v>3</v>
      </c>
      <c r="AL282" s="129">
        <v>1</v>
      </c>
      <c r="AO282" s="129">
        <v>292</v>
      </c>
      <c r="AP282" s="129">
        <v>65.8</v>
      </c>
      <c r="AQ282" s="129">
        <v>21</v>
      </c>
      <c r="AR282" s="129">
        <v>9</v>
      </c>
      <c r="AS282" s="129">
        <v>14</v>
      </c>
      <c r="AT282" s="129">
        <v>14</v>
      </c>
      <c r="AU282" s="129">
        <v>0</v>
      </c>
      <c r="AV282" s="129">
        <v>0</v>
      </c>
      <c r="AW282" s="129">
        <v>3108226</v>
      </c>
      <c r="AX282" s="167">
        <v>45443</v>
      </c>
      <c r="AY282" s="162">
        <f t="shared" si="434"/>
        <v>25</v>
      </c>
      <c r="AZ282" s="163" t="s">
        <v>882</v>
      </c>
      <c r="BA282" s="162" t="b">
        <f t="shared" si="359"/>
        <v>0</v>
      </c>
      <c r="BF282" s="164">
        <f t="shared" si="480"/>
        <v>11536.8</v>
      </c>
      <c r="BG282" s="164">
        <f t="shared" si="481"/>
        <v>230.5</v>
      </c>
      <c r="BH282" s="164"/>
      <c r="BI282" s="164">
        <f t="shared" si="482"/>
        <v>2817.9</v>
      </c>
      <c r="BJ282" s="164">
        <f t="shared" si="483"/>
        <v>1213</v>
      </c>
      <c r="BK282" s="164">
        <f t="shared" si="484"/>
        <v>1982.2</v>
      </c>
      <c r="BL282" s="164">
        <f t="shared" si="485"/>
        <v>12193</v>
      </c>
      <c r="BM282" s="164">
        <f t="shared" si="486"/>
        <v>8360</v>
      </c>
      <c r="BN282" s="164">
        <f t="shared" si="487"/>
        <v>716</v>
      </c>
      <c r="BO282" s="164">
        <f t="shared" si="488"/>
        <v>1086</v>
      </c>
      <c r="BP282" s="164">
        <f t="shared" si="489"/>
        <v>3</v>
      </c>
      <c r="BQ282" s="164">
        <f t="shared" si="490"/>
        <v>3</v>
      </c>
      <c r="BR282" s="164">
        <f t="shared" si="491"/>
        <v>1</v>
      </c>
      <c r="BS282" s="129">
        <f>SUMIF('Audit HD AR - School Level'!$A$6:A3815, "=" &amp; A282,'Audit HD AR - School Level'!$Q$6:Q3815)</f>
        <v>835.7</v>
      </c>
      <c r="BT282" s="168">
        <f t="shared" si="492"/>
        <v>-4963</v>
      </c>
      <c r="BU282" s="168">
        <f t="shared" si="493"/>
        <v>-6381</v>
      </c>
      <c r="BV282" s="129">
        <v>-8551</v>
      </c>
      <c r="BW282" s="168">
        <f t="shared" si="494"/>
        <v>-19895</v>
      </c>
      <c r="BX282" s="164">
        <f t="shared" si="495"/>
        <v>11531.8</v>
      </c>
    </row>
    <row r="283" spans="1:76">
      <c r="A283" s="129" t="s">
        <v>475</v>
      </c>
      <c r="U283" s="129">
        <v>25794.400000000001</v>
      </c>
      <c r="V283" s="129">
        <v>143</v>
      </c>
      <c r="X283" s="129">
        <v>26047.9</v>
      </c>
      <c r="AC283" s="129">
        <v>7443.8</v>
      </c>
      <c r="AD283" s="129">
        <v>2573</v>
      </c>
      <c r="AE283" s="129">
        <v>4597.2</v>
      </c>
      <c r="AF283" s="129">
        <v>26217</v>
      </c>
      <c r="AG283" s="129">
        <v>8569</v>
      </c>
      <c r="AI283" s="129">
        <v>4906</v>
      </c>
      <c r="AJ283" s="129">
        <v>1102</v>
      </c>
      <c r="AK283" s="129">
        <v>0</v>
      </c>
      <c r="AL283" s="129">
        <v>5</v>
      </c>
      <c r="AO283" s="129">
        <v>2</v>
      </c>
      <c r="AP283" s="129">
        <v>0.7</v>
      </c>
      <c r="AQ283" s="129">
        <v>47</v>
      </c>
      <c r="AR283" s="129">
        <v>3</v>
      </c>
      <c r="AS283" s="129">
        <v>24.5</v>
      </c>
      <c r="AT283" s="129">
        <v>21</v>
      </c>
      <c r="AU283" s="129">
        <v>0.5</v>
      </c>
      <c r="AV283" s="129">
        <v>1</v>
      </c>
      <c r="AW283" s="129">
        <v>6717497</v>
      </c>
      <c r="AX283" s="167">
        <v>45443</v>
      </c>
      <c r="AY283" s="162">
        <f t="shared" si="434"/>
        <v>25</v>
      </c>
      <c r="AZ283" s="163" t="s">
        <v>882</v>
      </c>
      <c r="BA283" s="162" t="b">
        <f t="shared" si="359"/>
        <v>0</v>
      </c>
      <c r="BF283" s="164">
        <f t="shared" si="480"/>
        <v>25788.7</v>
      </c>
      <c r="BG283" s="164">
        <f t="shared" si="481"/>
        <v>143</v>
      </c>
      <c r="BH283" s="164"/>
      <c r="BI283" s="164">
        <f t="shared" si="482"/>
        <v>7443.8</v>
      </c>
      <c r="BJ283" s="164">
        <f t="shared" si="483"/>
        <v>2573</v>
      </c>
      <c r="BK283" s="164">
        <f t="shared" si="484"/>
        <v>4597.2</v>
      </c>
      <c r="BL283" s="164">
        <f t="shared" si="485"/>
        <v>26217</v>
      </c>
      <c r="BM283" s="164">
        <f t="shared" si="486"/>
        <v>8569</v>
      </c>
      <c r="BN283" s="164">
        <f t="shared" si="487"/>
        <v>4906</v>
      </c>
      <c r="BO283" s="164">
        <f t="shared" si="488"/>
        <v>1102</v>
      </c>
      <c r="BP283" s="164">
        <f t="shared" si="489"/>
        <v>0</v>
      </c>
      <c r="BQ283" s="164">
        <f t="shared" si="490"/>
        <v>0</v>
      </c>
      <c r="BR283" s="164">
        <f t="shared" si="491"/>
        <v>5</v>
      </c>
      <c r="BS283" s="129">
        <f>SUMIF('Audit HD AR - School Level'!$A$6:A3816, "=" &amp; A283,'Audit HD AR - School Level'!$Q$6:Q3816)</f>
        <v>431.3</v>
      </c>
      <c r="BT283" s="168">
        <f t="shared" si="492"/>
        <v>-15953</v>
      </c>
      <c r="BU283" s="168">
        <f t="shared" si="493"/>
        <v>-1773</v>
      </c>
      <c r="BW283" s="168">
        <f t="shared" si="494"/>
        <v>-17726</v>
      </c>
      <c r="BX283" s="164">
        <f t="shared" si="495"/>
        <v>25770.7</v>
      </c>
    </row>
    <row r="284" spans="1:76">
      <c r="A284" s="129" t="s">
        <v>238</v>
      </c>
      <c r="U284" s="129">
        <v>167.1</v>
      </c>
      <c r="V284" s="129">
        <v>0</v>
      </c>
      <c r="X284" s="129">
        <v>184</v>
      </c>
      <c r="AC284" s="129">
        <v>39.9</v>
      </c>
      <c r="AD284" s="129">
        <v>4</v>
      </c>
      <c r="AE284" s="129">
        <v>0</v>
      </c>
      <c r="AF284" s="129">
        <v>172</v>
      </c>
      <c r="AG284" s="129">
        <v>53</v>
      </c>
      <c r="AI284" s="129">
        <v>52</v>
      </c>
      <c r="AJ284" s="129">
        <v>9</v>
      </c>
      <c r="AK284" s="129">
        <v>12</v>
      </c>
      <c r="AL284" s="129">
        <v>0</v>
      </c>
      <c r="AO284" s="129">
        <v>0</v>
      </c>
      <c r="AP284" s="129">
        <v>0</v>
      </c>
      <c r="AQ284" s="129">
        <v>0</v>
      </c>
      <c r="AR284" s="129">
        <v>0</v>
      </c>
      <c r="AS284" s="129">
        <v>0</v>
      </c>
      <c r="AT284" s="129">
        <v>0</v>
      </c>
      <c r="AU284" s="129">
        <v>0</v>
      </c>
      <c r="AV284" s="129">
        <v>0</v>
      </c>
      <c r="AW284" s="129">
        <v>84413</v>
      </c>
      <c r="AX284" s="167">
        <v>45443</v>
      </c>
      <c r="AY284" s="162">
        <f t="shared" si="434"/>
        <v>25</v>
      </c>
      <c r="AZ284" s="163" t="s">
        <v>882</v>
      </c>
      <c r="BA284" s="162" t="b">
        <f t="shared" si="359"/>
        <v>0</v>
      </c>
      <c r="BF284" s="164">
        <f t="shared" ref="BF284:BF287" si="496">SUM(U284+C284-AO284-AP284-AR284)</f>
        <v>167.1</v>
      </c>
      <c r="BG284" s="164">
        <f t="shared" ref="BG284:BG287" si="497">SUM(E284+F284+V284+W284)</f>
        <v>0</v>
      </c>
      <c r="BH284" s="164"/>
      <c r="BI284" s="164">
        <f t="shared" ref="BI284:BI287" si="498">SUM(AC284+H284)</f>
        <v>39.9</v>
      </c>
      <c r="BJ284" s="164">
        <f t="shared" ref="BJ284:BJ287" si="499">SUM(AD284+I284)</f>
        <v>4</v>
      </c>
      <c r="BK284" s="164">
        <f t="shared" ref="BK284:BK287" si="500">SUM(AE284+J284)</f>
        <v>0</v>
      </c>
      <c r="BL284" s="164">
        <f t="shared" ref="BL284:BL287" si="501">SUM(AF284+K284)</f>
        <v>172</v>
      </c>
      <c r="BM284" s="164">
        <f t="shared" ref="BM284:BM287" si="502">SUM(AG284+L284)</f>
        <v>53</v>
      </c>
      <c r="BN284" s="164">
        <f t="shared" ref="BN284:BN287" si="503">SUM(AI284+Q284)</f>
        <v>52</v>
      </c>
      <c r="BO284" s="164">
        <f t="shared" ref="BO284:BO287" si="504">SUM(AJ284+R284)</f>
        <v>9</v>
      </c>
      <c r="BP284" s="164">
        <f t="shared" ref="BP284:BP287" si="505">SUM(AK284+R284)</f>
        <v>12</v>
      </c>
      <c r="BQ284" s="164">
        <f t="shared" ref="BQ284:BQ287" si="506">SUM(S284+AK284)</f>
        <v>12</v>
      </c>
      <c r="BR284" s="164">
        <f t="shared" ref="BR284:BR287" si="507">SUM(T284+AL284)</f>
        <v>0</v>
      </c>
      <c r="BS284" s="129">
        <f>SUMIF('Audit HD AR - School Level'!$A$6:A3817, "=" &amp; A284,'Audit HD AR - School Level'!$Q$6:Q3817)</f>
        <v>0.1</v>
      </c>
      <c r="BT284" s="168">
        <f t="shared" ref="BT284:BT287" si="508">SUM(AS284-AQ284)*$BT$2</f>
        <v>0</v>
      </c>
      <c r="BU284" s="168">
        <f t="shared" ref="BU284:BU287" si="509">SUM(AU284-AR284)*$BT$2</f>
        <v>0</v>
      </c>
      <c r="BW284" s="168">
        <f t="shared" ref="BW284:BW287" si="510">IF(BT284+BU284+BV284&gt;0,0,BT284+BU284+BV284)</f>
        <v>0</v>
      </c>
      <c r="BX284" s="164">
        <f t="shared" ref="BX284:BX287" si="511">SUM(U284-AO284-AP284-AT284)</f>
        <v>167.1</v>
      </c>
    </row>
    <row r="285" spans="1:76">
      <c r="A285" s="129" t="s">
        <v>349</v>
      </c>
      <c r="U285" s="129">
        <v>1794.7</v>
      </c>
      <c r="V285" s="129">
        <v>0</v>
      </c>
      <c r="X285" s="129">
        <v>1773</v>
      </c>
      <c r="AC285" s="129">
        <v>575.70000000000005</v>
      </c>
      <c r="AD285" s="129">
        <v>14</v>
      </c>
      <c r="AE285" s="129">
        <v>15.1</v>
      </c>
      <c r="AF285" s="129">
        <v>1785</v>
      </c>
      <c r="AG285" s="129">
        <v>601</v>
      </c>
      <c r="AI285" s="129">
        <v>710.2</v>
      </c>
      <c r="AJ285" s="129">
        <v>42</v>
      </c>
      <c r="AK285" s="129">
        <v>10</v>
      </c>
      <c r="AL285" s="129">
        <v>0</v>
      </c>
      <c r="AO285" s="129">
        <v>22</v>
      </c>
      <c r="AP285" s="129">
        <v>0</v>
      </c>
      <c r="AQ285" s="129">
        <v>0</v>
      </c>
      <c r="AR285" s="129">
        <v>5</v>
      </c>
      <c r="AS285" s="129">
        <v>0</v>
      </c>
      <c r="AT285" s="129">
        <v>0</v>
      </c>
      <c r="AU285" s="129">
        <v>0</v>
      </c>
      <c r="AV285" s="129">
        <v>0</v>
      </c>
      <c r="AW285" s="129">
        <v>774569</v>
      </c>
      <c r="AX285" s="167">
        <v>45443</v>
      </c>
      <c r="AY285" s="162">
        <f t="shared" si="434"/>
        <v>25</v>
      </c>
      <c r="AZ285" s="163" t="s">
        <v>882</v>
      </c>
      <c r="BA285" s="162" t="b">
        <f t="shared" si="359"/>
        <v>0</v>
      </c>
      <c r="BF285" s="164">
        <f t="shared" si="496"/>
        <v>1767.7</v>
      </c>
      <c r="BG285" s="164">
        <f t="shared" si="497"/>
        <v>0</v>
      </c>
      <c r="BH285" s="164"/>
      <c r="BI285" s="164">
        <f t="shared" si="498"/>
        <v>575.70000000000005</v>
      </c>
      <c r="BJ285" s="164">
        <f t="shared" si="499"/>
        <v>14</v>
      </c>
      <c r="BK285" s="164">
        <f t="shared" si="500"/>
        <v>15.1</v>
      </c>
      <c r="BL285" s="164">
        <f t="shared" si="501"/>
        <v>1785</v>
      </c>
      <c r="BM285" s="164">
        <f t="shared" si="502"/>
        <v>601</v>
      </c>
      <c r="BN285" s="164">
        <f t="shared" si="503"/>
        <v>710.2</v>
      </c>
      <c r="BO285" s="164">
        <f t="shared" si="504"/>
        <v>42</v>
      </c>
      <c r="BP285" s="164">
        <f t="shared" si="505"/>
        <v>10</v>
      </c>
      <c r="BQ285" s="164">
        <f t="shared" si="506"/>
        <v>10</v>
      </c>
      <c r="BR285" s="164">
        <f t="shared" si="507"/>
        <v>0</v>
      </c>
      <c r="BS285" s="129">
        <f>SUMIF('Audit HD AR - School Level'!$A$6:A3818, "=" &amp; A285,'Audit HD AR - School Level'!$Q$6:Q3818)</f>
        <v>1.5</v>
      </c>
      <c r="BT285" s="168">
        <f t="shared" si="508"/>
        <v>0</v>
      </c>
      <c r="BU285" s="168">
        <f t="shared" si="509"/>
        <v>-3545</v>
      </c>
      <c r="BW285" s="168">
        <f t="shared" si="510"/>
        <v>-3545</v>
      </c>
      <c r="BX285" s="164">
        <f t="shared" si="511"/>
        <v>1772.7</v>
      </c>
    </row>
    <row r="286" spans="1:76">
      <c r="A286" s="129" t="s">
        <v>351</v>
      </c>
      <c r="U286" s="129">
        <v>178.5</v>
      </c>
      <c r="V286" s="129">
        <v>2</v>
      </c>
      <c r="X286" s="129">
        <v>191.5</v>
      </c>
      <c r="AC286" s="129">
        <v>74.8</v>
      </c>
      <c r="AD286" s="129">
        <v>23</v>
      </c>
      <c r="AE286" s="129">
        <v>71.599999999999994</v>
      </c>
      <c r="AF286" s="129">
        <v>184</v>
      </c>
      <c r="AG286" s="129">
        <v>44</v>
      </c>
      <c r="AI286" s="129">
        <v>58</v>
      </c>
      <c r="AJ286" s="129">
        <v>6</v>
      </c>
      <c r="AK286" s="129">
        <v>22</v>
      </c>
      <c r="AL286" s="129">
        <v>0</v>
      </c>
      <c r="AO286" s="129">
        <v>0</v>
      </c>
      <c r="AP286" s="129">
        <v>0</v>
      </c>
      <c r="AQ286" s="129">
        <v>20</v>
      </c>
      <c r="AR286" s="129">
        <v>0</v>
      </c>
      <c r="AS286" s="129">
        <v>20</v>
      </c>
      <c r="AT286" s="129">
        <v>0</v>
      </c>
      <c r="AU286" s="129">
        <v>0</v>
      </c>
      <c r="AV286" s="129">
        <v>0</v>
      </c>
      <c r="AW286" s="129">
        <v>106228</v>
      </c>
      <c r="AX286" s="167">
        <v>45443</v>
      </c>
      <c r="AY286" s="162">
        <f t="shared" si="434"/>
        <v>25</v>
      </c>
      <c r="AZ286" s="163" t="s">
        <v>882</v>
      </c>
      <c r="BA286" s="162" t="b">
        <f t="shared" si="359"/>
        <v>0</v>
      </c>
      <c r="BF286" s="164">
        <f t="shared" si="496"/>
        <v>178.5</v>
      </c>
      <c r="BG286" s="164">
        <f t="shared" si="497"/>
        <v>2</v>
      </c>
      <c r="BH286" s="164"/>
      <c r="BI286" s="164">
        <f t="shared" si="498"/>
        <v>74.8</v>
      </c>
      <c r="BJ286" s="164">
        <f t="shared" si="499"/>
        <v>23</v>
      </c>
      <c r="BK286" s="164">
        <f t="shared" si="500"/>
        <v>71.599999999999994</v>
      </c>
      <c r="BL286" s="164">
        <f t="shared" si="501"/>
        <v>184</v>
      </c>
      <c r="BM286" s="164">
        <f t="shared" si="502"/>
        <v>44</v>
      </c>
      <c r="BN286" s="164">
        <f t="shared" si="503"/>
        <v>58</v>
      </c>
      <c r="BO286" s="164">
        <f t="shared" si="504"/>
        <v>6</v>
      </c>
      <c r="BP286" s="164">
        <f t="shared" si="505"/>
        <v>22</v>
      </c>
      <c r="BQ286" s="164">
        <f t="shared" si="506"/>
        <v>22</v>
      </c>
      <c r="BR286" s="164">
        <f t="shared" si="507"/>
        <v>0</v>
      </c>
      <c r="BS286" s="129">
        <f>SUMIF('Audit HD AR - School Level'!$A$6:A3819, "=" &amp; A286,'Audit HD AR - School Level'!$Q$6:Q3819)</f>
        <v>0</v>
      </c>
      <c r="BT286" s="168">
        <f t="shared" si="508"/>
        <v>0</v>
      </c>
      <c r="BU286" s="168">
        <f t="shared" si="509"/>
        <v>0</v>
      </c>
      <c r="BW286" s="168">
        <f t="shared" si="510"/>
        <v>0</v>
      </c>
      <c r="BX286" s="164">
        <f t="shared" si="511"/>
        <v>178.5</v>
      </c>
    </row>
    <row r="287" spans="1:76">
      <c r="A287" s="129" t="s">
        <v>444</v>
      </c>
      <c r="U287" s="129">
        <v>99.2</v>
      </c>
      <c r="V287" s="129">
        <v>2</v>
      </c>
      <c r="X287" s="129">
        <v>96.8</v>
      </c>
      <c r="AC287" s="129">
        <v>36.299999999999997</v>
      </c>
      <c r="AD287" s="129">
        <v>22</v>
      </c>
      <c r="AE287" s="129">
        <v>72.5</v>
      </c>
      <c r="AF287" s="129">
        <v>106</v>
      </c>
      <c r="AG287" s="129">
        <v>35</v>
      </c>
      <c r="AI287" s="129">
        <v>37</v>
      </c>
      <c r="AJ287" s="129">
        <v>3</v>
      </c>
      <c r="AK287" s="129">
        <v>6</v>
      </c>
      <c r="AL287" s="129">
        <v>0</v>
      </c>
      <c r="AO287" s="129">
        <v>0</v>
      </c>
      <c r="AP287" s="129">
        <v>0</v>
      </c>
      <c r="AQ287" s="129">
        <v>0</v>
      </c>
      <c r="AR287" s="129">
        <v>0</v>
      </c>
      <c r="AS287" s="129">
        <v>0</v>
      </c>
      <c r="AT287" s="129">
        <v>0</v>
      </c>
      <c r="AU287" s="129">
        <v>0</v>
      </c>
      <c r="AV287" s="129">
        <v>0</v>
      </c>
      <c r="AW287" s="129">
        <v>112154</v>
      </c>
      <c r="AX287" s="167">
        <v>45443</v>
      </c>
      <c r="AY287" s="162">
        <f t="shared" si="434"/>
        <v>25</v>
      </c>
      <c r="AZ287" s="163" t="s">
        <v>882</v>
      </c>
      <c r="BA287" s="162" t="b">
        <f t="shared" si="359"/>
        <v>0</v>
      </c>
      <c r="BF287" s="164">
        <f t="shared" si="496"/>
        <v>99.2</v>
      </c>
      <c r="BG287" s="164">
        <f t="shared" si="497"/>
        <v>2</v>
      </c>
      <c r="BH287" s="164"/>
      <c r="BI287" s="164">
        <f t="shared" si="498"/>
        <v>36.299999999999997</v>
      </c>
      <c r="BJ287" s="164">
        <f t="shared" si="499"/>
        <v>22</v>
      </c>
      <c r="BK287" s="164">
        <f t="shared" si="500"/>
        <v>72.5</v>
      </c>
      <c r="BL287" s="164">
        <f t="shared" si="501"/>
        <v>106</v>
      </c>
      <c r="BM287" s="164">
        <f t="shared" si="502"/>
        <v>35</v>
      </c>
      <c r="BN287" s="164">
        <f t="shared" si="503"/>
        <v>37</v>
      </c>
      <c r="BO287" s="164">
        <f t="shared" si="504"/>
        <v>3</v>
      </c>
      <c r="BP287" s="164">
        <f t="shared" si="505"/>
        <v>6</v>
      </c>
      <c r="BQ287" s="164">
        <f t="shared" si="506"/>
        <v>6</v>
      </c>
      <c r="BR287" s="164">
        <f t="shared" si="507"/>
        <v>0</v>
      </c>
      <c r="BS287" s="129">
        <f>SUMIF('Audit HD AR - School Level'!$A$6:A3820, "=" &amp; A287,'Audit HD AR - School Level'!$Q$6:Q3820)</f>
        <v>0.3</v>
      </c>
      <c r="BT287" s="168">
        <f t="shared" si="508"/>
        <v>0</v>
      </c>
      <c r="BU287" s="168">
        <f t="shared" si="509"/>
        <v>0</v>
      </c>
      <c r="BW287" s="168">
        <f t="shared" si="510"/>
        <v>0</v>
      </c>
      <c r="BX287" s="164">
        <f t="shared" si="511"/>
        <v>99.2</v>
      </c>
    </row>
    <row r="288" spans="1:76">
      <c r="A288" s="129" t="s">
        <v>307</v>
      </c>
      <c r="U288" s="129">
        <v>1287</v>
      </c>
      <c r="V288" s="129">
        <v>11</v>
      </c>
      <c r="X288" s="129">
        <v>1307.5</v>
      </c>
      <c r="AC288" s="129">
        <v>181.7</v>
      </c>
      <c r="AD288" s="129">
        <v>6</v>
      </c>
      <c r="AE288" s="129">
        <v>1.1000000000000001</v>
      </c>
      <c r="AF288" s="129">
        <v>1313</v>
      </c>
      <c r="AG288" s="129">
        <v>276</v>
      </c>
      <c r="AI288" s="129">
        <v>897.5</v>
      </c>
      <c r="AJ288" s="129">
        <v>112</v>
      </c>
      <c r="AK288" s="129">
        <v>2</v>
      </c>
      <c r="AL288" s="129">
        <v>0</v>
      </c>
      <c r="AO288" s="129">
        <v>4</v>
      </c>
      <c r="AP288" s="129">
        <v>0</v>
      </c>
      <c r="AQ288" s="129">
        <v>0</v>
      </c>
      <c r="AR288" s="129">
        <v>0</v>
      </c>
      <c r="AS288" s="129">
        <v>0</v>
      </c>
      <c r="AT288" s="129">
        <v>0</v>
      </c>
      <c r="AU288" s="129">
        <v>0</v>
      </c>
      <c r="AV288" s="129">
        <v>0</v>
      </c>
      <c r="AW288" s="129">
        <v>648472</v>
      </c>
      <c r="AX288" s="167">
        <v>45443</v>
      </c>
      <c r="AY288" s="162">
        <f t="shared" si="434"/>
        <v>25</v>
      </c>
      <c r="AZ288" s="163" t="s">
        <v>882</v>
      </c>
      <c r="BA288" s="162" t="b">
        <f t="shared" si="359"/>
        <v>0</v>
      </c>
      <c r="BF288" s="164">
        <f t="shared" ref="BF288" si="512">SUM(U288+C288-AO288-AP288-AR288)</f>
        <v>1283</v>
      </c>
      <c r="BG288" s="164">
        <f t="shared" ref="BG288" si="513">SUM(E288+F288+V288+W288)</f>
        <v>11</v>
      </c>
      <c r="BH288" s="164"/>
      <c r="BI288" s="164">
        <f t="shared" ref="BI288" si="514">SUM(AC288+H288)</f>
        <v>181.7</v>
      </c>
      <c r="BJ288" s="164">
        <f t="shared" ref="BJ288" si="515">SUM(AD288+I288)</f>
        <v>6</v>
      </c>
      <c r="BK288" s="164">
        <f t="shared" ref="BK288" si="516">SUM(AE288+J288)</f>
        <v>1.1000000000000001</v>
      </c>
      <c r="BL288" s="164">
        <f t="shared" ref="BL288" si="517">SUM(AF288+K288)</f>
        <v>1313</v>
      </c>
      <c r="BM288" s="164">
        <f t="shared" ref="BM288" si="518">SUM(AG288+L288)</f>
        <v>276</v>
      </c>
      <c r="BN288" s="164">
        <f t="shared" ref="BN288" si="519">SUM(AI288+Q288)</f>
        <v>897.5</v>
      </c>
      <c r="BO288" s="164">
        <f t="shared" ref="BO288" si="520">SUM(AJ288+R288)</f>
        <v>112</v>
      </c>
      <c r="BP288" s="164">
        <f t="shared" ref="BP288" si="521">SUM(AK288+R288)</f>
        <v>2</v>
      </c>
      <c r="BQ288" s="164">
        <f t="shared" ref="BQ288" si="522">SUM(S288+AK288)</f>
        <v>2</v>
      </c>
      <c r="BR288" s="164">
        <f t="shared" ref="BR288" si="523">SUM(T288+AL288)</f>
        <v>0</v>
      </c>
      <c r="BS288" s="129">
        <f>SUMIF('Audit HD AR - School Level'!$A$6:A3821, "=" &amp; A288,'Audit HD AR - School Level'!$Q$6:Q3821)</f>
        <v>0</v>
      </c>
      <c r="BT288" s="168">
        <f t="shared" ref="BT288" si="524">SUM(AS288-AQ288)*$BT$2</f>
        <v>0</v>
      </c>
      <c r="BU288" s="168">
        <f t="shared" ref="BU288" si="525">SUM(AU288-AR288)*$BT$2</f>
        <v>0</v>
      </c>
      <c r="BW288" s="168">
        <f>IF(BT288+BU288+BV288&gt;0,0,BT288+BU288+BV288)</f>
        <v>0</v>
      </c>
      <c r="BX288" s="164">
        <f t="shared" ref="BX288" si="526">SUM(U288-AO288-AP288-AT288)</f>
        <v>1283</v>
      </c>
    </row>
    <row r="289" spans="1:76">
      <c r="A289" s="129" t="s">
        <v>410</v>
      </c>
      <c r="U289" s="129">
        <v>5842.2</v>
      </c>
      <c r="V289" s="129">
        <v>40.5</v>
      </c>
      <c r="X289" s="129">
        <v>5967.6</v>
      </c>
      <c r="AC289" s="129">
        <v>1906.8</v>
      </c>
      <c r="AD289" s="129">
        <v>124</v>
      </c>
      <c r="AE289" s="129">
        <v>128.19999999999999</v>
      </c>
      <c r="AF289" s="129">
        <v>5967</v>
      </c>
      <c r="AG289" s="129">
        <v>1820</v>
      </c>
      <c r="AI289" s="129">
        <v>3181.5</v>
      </c>
      <c r="AJ289" s="129">
        <v>2028.5</v>
      </c>
      <c r="AK289" s="129">
        <v>84</v>
      </c>
      <c r="AL289" s="129">
        <v>0</v>
      </c>
      <c r="AO289" s="129">
        <v>0</v>
      </c>
      <c r="AP289" s="129">
        <v>0</v>
      </c>
      <c r="AQ289" s="129">
        <v>5.5</v>
      </c>
      <c r="AR289" s="129">
        <v>0</v>
      </c>
      <c r="AS289" s="129">
        <v>5.5</v>
      </c>
      <c r="AT289" s="129">
        <v>4</v>
      </c>
      <c r="AU289" s="129">
        <v>0</v>
      </c>
      <c r="AV289" s="129">
        <v>3</v>
      </c>
      <c r="AW289" s="129">
        <v>2158549</v>
      </c>
      <c r="AX289" s="167">
        <v>45456</v>
      </c>
      <c r="AY289" s="162">
        <v>27</v>
      </c>
      <c r="AZ289" s="163" t="s">
        <v>882</v>
      </c>
      <c r="BA289" s="162" t="b">
        <f t="shared" si="359"/>
        <v>0</v>
      </c>
      <c r="BF289" s="164">
        <f t="shared" ref="BF289" si="527">SUM(U289+C289-AO289-AP289-AR289)</f>
        <v>5842.2</v>
      </c>
      <c r="BG289" s="164">
        <f t="shared" ref="BG289" si="528">SUM(E289+F289+V289+W289)</f>
        <v>40.5</v>
      </c>
      <c r="BH289" s="164"/>
      <c r="BI289" s="164">
        <f t="shared" ref="BI289" si="529">SUM(AC289+H289)</f>
        <v>1906.8</v>
      </c>
      <c r="BJ289" s="164">
        <f t="shared" ref="BJ289" si="530">SUM(AD289+I289)</f>
        <v>124</v>
      </c>
      <c r="BK289" s="164">
        <f t="shared" ref="BK289" si="531">SUM(AE289+J289)</f>
        <v>128.19999999999999</v>
      </c>
      <c r="BL289" s="164">
        <f t="shared" ref="BL289" si="532">SUM(AF289+K289)</f>
        <v>5967</v>
      </c>
      <c r="BM289" s="164">
        <f t="shared" ref="BM289" si="533">SUM(AG289+L289)</f>
        <v>1820</v>
      </c>
      <c r="BN289" s="164">
        <f t="shared" ref="BN289" si="534">SUM(AI289+Q289)</f>
        <v>3181.5</v>
      </c>
      <c r="BO289" s="164">
        <f t="shared" ref="BO289" si="535">SUM(AJ289+R289)</f>
        <v>2028.5</v>
      </c>
      <c r="BP289" s="164">
        <f t="shared" ref="BP289" si="536">SUM(AK289+R289)</f>
        <v>84</v>
      </c>
      <c r="BQ289" s="164">
        <f t="shared" ref="BQ289" si="537">SUM(S289+AK289)</f>
        <v>84</v>
      </c>
      <c r="BR289" s="164">
        <f t="shared" ref="BR289" si="538">SUM(T289+AL289)</f>
        <v>0</v>
      </c>
      <c r="BS289" s="129">
        <f>SUMIF('Audit HD AR - School Level'!$A$6:A3822, "=" &amp; A289,'Audit HD AR - School Level'!$Q$6:Q3822)</f>
        <v>47.7</v>
      </c>
      <c r="BT289" s="168">
        <f t="shared" ref="BT289" si="539">SUM(AS289-AQ289)*$BT$2</f>
        <v>0</v>
      </c>
      <c r="BU289" s="168">
        <f t="shared" ref="BU289" si="540">SUM(AU289-AR289)*$BT$2</f>
        <v>0</v>
      </c>
      <c r="BV289" s="129">
        <v>-5600</v>
      </c>
      <c r="BW289" s="168">
        <f>IF(BT289+BU289+BV289&gt;0,0,BT289+BU289+BV289)</f>
        <v>-5600</v>
      </c>
      <c r="BX289" s="164">
        <f t="shared" ref="BX289" si="541">SUM(U289-AO289-AP289-AT289)</f>
        <v>5838.2</v>
      </c>
    </row>
    <row r="290" spans="1:76">
      <c r="A290" s="129" t="s">
        <v>220</v>
      </c>
      <c r="U290" s="129">
        <v>1489.7</v>
      </c>
      <c r="V290" s="129">
        <v>17.899999999999999</v>
      </c>
      <c r="X290" s="129">
        <v>412.4</v>
      </c>
      <c r="AC290" s="129">
        <v>118.3</v>
      </c>
      <c r="AD290" s="129">
        <v>68</v>
      </c>
      <c r="AE290" s="129">
        <v>243</v>
      </c>
      <c r="AF290" s="129">
        <v>394</v>
      </c>
      <c r="AG290" s="129">
        <v>192</v>
      </c>
      <c r="AI290" s="129">
        <v>19</v>
      </c>
      <c r="AJ290" s="129">
        <v>5.5</v>
      </c>
      <c r="AK290" s="129">
        <v>1</v>
      </c>
      <c r="AL290" s="129">
        <v>0</v>
      </c>
      <c r="AO290" s="129">
        <v>999</v>
      </c>
      <c r="AP290" s="129">
        <v>146.30000000000001</v>
      </c>
      <c r="AQ290" s="129">
        <v>0</v>
      </c>
      <c r="AR290" s="129">
        <v>0</v>
      </c>
      <c r="AS290" s="129">
        <v>0</v>
      </c>
      <c r="AT290" s="129">
        <v>0</v>
      </c>
      <c r="AU290" s="129">
        <v>0</v>
      </c>
      <c r="AV290" s="129">
        <v>0</v>
      </c>
      <c r="AW290" s="129">
        <v>120579</v>
      </c>
      <c r="AX290" s="167">
        <v>45457</v>
      </c>
      <c r="AY290" s="162">
        <f t="shared" si="434"/>
        <v>28</v>
      </c>
      <c r="AZ290" s="163" t="s">
        <v>882</v>
      </c>
      <c r="BA290" s="162" t="b">
        <f t="shared" si="359"/>
        <v>0</v>
      </c>
      <c r="BF290" s="164">
        <f t="shared" ref="BF290" si="542">SUM(U290+C290-AO290-AP290-AR290)</f>
        <v>344.4</v>
      </c>
      <c r="BG290" s="164">
        <f t="shared" ref="BG290" si="543">SUM(E290+F290+V290+W290)</f>
        <v>17.899999999999999</v>
      </c>
      <c r="BH290" s="164"/>
      <c r="BI290" s="164">
        <f t="shared" ref="BI290" si="544">SUM(AC290+H290)</f>
        <v>118.3</v>
      </c>
      <c r="BJ290" s="164">
        <f t="shared" ref="BJ290" si="545">SUM(AD290+I290)</f>
        <v>68</v>
      </c>
      <c r="BK290" s="164">
        <f t="shared" ref="BK290" si="546">SUM(AE290+J290)</f>
        <v>243</v>
      </c>
      <c r="BL290" s="164">
        <f t="shared" ref="BL290" si="547">SUM(AF290+K290)</f>
        <v>394</v>
      </c>
      <c r="BM290" s="164">
        <f t="shared" ref="BM290" si="548">SUM(AG290+L290)</f>
        <v>192</v>
      </c>
      <c r="BN290" s="164">
        <f t="shared" ref="BN290" si="549">SUM(AI290+Q290)</f>
        <v>19</v>
      </c>
      <c r="BO290" s="164">
        <f t="shared" ref="BO290" si="550">SUM(AJ290+R290)</f>
        <v>5.5</v>
      </c>
      <c r="BP290" s="164">
        <f t="shared" ref="BP290" si="551">SUM(AK290+R290)</f>
        <v>1</v>
      </c>
      <c r="BQ290" s="164">
        <f t="shared" ref="BQ290" si="552">SUM(S290+AK290)</f>
        <v>1</v>
      </c>
      <c r="BR290" s="164">
        <f t="shared" ref="BR290" si="553">SUM(T290+AL290)</f>
        <v>0</v>
      </c>
      <c r="BS290" s="129">
        <f>SUMIF('Audit HD AR - School Level'!$A$6:A3823, "=" &amp; A290,'Audit HD AR - School Level'!$Q$6:Q3823)</f>
        <v>15.9</v>
      </c>
      <c r="BT290" s="168">
        <f t="shared" ref="BT290" si="554">SUM(AS290-AQ290)*$BT$2</f>
        <v>0</v>
      </c>
      <c r="BU290" s="168">
        <f t="shared" ref="BU290" si="555">SUM(AU290-AR290)*$BT$2</f>
        <v>0</v>
      </c>
      <c r="BV290" s="129">
        <v>-23240</v>
      </c>
      <c r="BW290" s="168">
        <f>IF(BT290+BU290+BV290&gt;0,0,BT290+BU290+BV290)</f>
        <v>-23240</v>
      </c>
      <c r="BX290" s="164">
        <f t="shared" ref="BX290" si="556">SUM(U290-AO290-AP290-AT290)</f>
        <v>344.4</v>
      </c>
    </row>
  </sheetData>
  <autoFilter ref="A3:CI290" xr:uid="{00000000-0009-0000-0000-000005000000}"/>
  <printOptions headings="1"/>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R1294"/>
  <sheetViews>
    <sheetView zoomScaleNormal="100" workbookViewId="0">
      <pane ySplit="4" topLeftCell="A5" activePane="bottomLeft" state="frozen"/>
      <selection pane="bottomLeft" activeCell="A7" sqref="A7"/>
    </sheetView>
  </sheetViews>
  <sheetFormatPr defaultColWidth="9.109375" defaultRowHeight="13.2"/>
  <cols>
    <col min="1" max="1" width="12.5546875" style="129" customWidth="1"/>
    <col min="2" max="3" width="10.44140625" style="129" customWidth="1"/>
    <col min="4" max="4" width="26.5546875" style="129" customWidth="1"/>
    <col min="5" max="5" width="10.5546875" style="129" customWidth="1"/>
    <col min="6" max="8" width="9.44140625" style="129" bestFit="1" customWidth="1"/>
    <col min="9" max="11" width="9.44140625" style="129" customWidth="1"/>
    <col min="12" max="13" width="13.109375" style="129" customWidth="1"/>
    <col min="14" max="14" width="13.88671875" style="129" bestFit="1" customWidth="1"/>
    <col min="15" max="16" width="15.109375" style="129" customWidth="1"/>
    <col min="17" max="17" width="10.88671875" style="129" bestFit="1" customWidth="1"/>
    <col min="18" max="16384" width="9.109375" style="129"/>
  </cols>
  <sheetData>
    <row r="1" spans="1:18">
      <c r="A1" s="170"/>
      <c r="B1" s="170"/>
      <c r="N1" s="171" t="s">
        <v>1047</v>
      </c>
      <c r="O1" s="171" t="s">
        <v>853</v>
      </c>
      <c r="P1" s="171" t="s">
        <v>854</v>
      </c>
      <c r="Q1" s="171" t="s">
        <v>1047</v>
      </c>
    </row>
    <row r="2" spans="1:18">
      <c r="A2" s="134"/>
      <c r="B2" s="134"/>
      <c r="E2" s="172">
        <v>45189</v>
      </c>
      <c r="F2" s="172">
        <v>45342</v>
      </c>
      <c r="G2" s="172">
        <v>45189</v>
      </c>
      <c r="H2" s="172">
        <v>45342</v>
      </c>
      <c r="I2" s="173" t="s">
        <v>178</v>
      </c>
      <c r="J2" s="173" t="s">
        <v>178</v>
      </c>
      <c r="K2" s="173" t="s">
        <v>178</v>
      </c>
      <c r="L2" s="171" t="s">
        <v>1047</v>
      </c>
      <c r="M2" s="171" t="s">
        <v>1047</v>
      </c>
      <c r="N2" s="174" t="s">
        <v>805</v>
      </c>
      <c r="O2" s="174" t="s">
        <v>855</v>
      </c>
      <c r="P2" s="174" t="s">
        <v>855</v>
      </c>
      <c r="Q2" s="174" t="s">
        <v>855</v>
      </c>
    </row>
    <row r="3" spans="1:18" ht="48.75" customHeight="1" thickBot="1">
      <c r="A3" s="130" t="s">
        <v>170</v>
      </c>
      <c r="B3" s="130" t="s">
        <v>170</v>
      </c>
      <c r="C3" s="130" t="s">
        <v>850</v>
      </c>
      <c r="D3" s="130" t="s">
        <v>849</v>
      </c>
      <c r="E3" s="175" t="s">
        <v>851</v>
      </c>
      <c r="F3" s="175" t="s">
        <v>851</v>
      </c>
      <c r="G3" s="175" t="s">
        <v>856</v>
      </c>
      <c r="H3" s="175" t="s">
        <v>856</v>
      </c>
      <c r="I3" s="176" t="s">
        <v>3635</v>
      </c>
      <c r="J3" s="176" t="s">
        <v>899</v>
      </c>
      <c r="K3" s="176" t="s">
        <v>900</v>
      </c>
      <c r="L3" s="177" t="s">
        <v>3637</v>
      </c>
      <c r="M3" s="177" t="s">
        <v>3636</v>
      </c>
      <c r="N3" s="178" t="s">
        <v>856</v>
      </c>
      <c r="O3" s="178" t="s">
        <v>858</v>
      </c>
      <c r="P3" s="178" t="s">
        <v>858</v>
      </c>
      <c r="Q3" s="178" t="s">
        <v>803</v>
      </c>
    </row>
    <row r="4" spans="1:18">
      <c r="A4" s="145"/>
      <c r="B4" s="145"/>
      <c r="C4" s="145"/>
      <c r="D4" s="145"/>
      <c r="E4" s="146" t="s">
        <v>796</v>
      </c>
      <c r="F4" s="179">
        <f>SUM(F5:F5)</f>
        <v>0</v>
      </c>
      <c r="G4" s="179">
        <f>SUM(G5:G5)</f>
        <v>0</v>
      </c>
      <c r="H4" s="179">
        <f>SUM(H5:H5)</f>
        <v>0</v>
      </c>
      <c r="I4" s="179"/>
      <c r="J4" s="179"/>
      <c r="K4" s="179"/>
      <c r="L4" s="179"/>
      <c r="M4" s="179">
        <f>SUM(M5:M5)</f>
        <v>0</v>
      </c>
      <c r="N4" s="179">
        <f>SUM(N5:N5)</f>
        <v>0</v>
      </c>
      <c r="O4" s="180">
        <f>SUM(O5:O5)</f>
        <v>0</v>
      </c>
      <c r="P4" s="181">
        <f>SUM(P5:P5)</f>
        <v>0</v>
      </c>
      <c r="Q4" s="286">
        <f>SUM(Q5:Q5)</f>
        <v>0</v>
      </c>
    </row>
    <row r="5" spans="1:18" ht="12.75" customHeight="1">
      <c r="A5" s="182" t="s">
        <v>881</v>
      </c>
      <c r="D5" s="134"/>
      <c r="E5" s="134"/>
      <c r="F5" s="134"/>
      <c r="G5" s="134"/>
      <c r="H5" s="134"/>
      <c r="I5" s="134"/>
      <c r="J5" s="134"/>
      <c r="K5" s="134"/>
      <c r="L5" s="183" t="s">
        <v>881</v>
      </c>
      <c r="M5" s="184" t="s">
        <v>881</v>
      </c>
      <c r="N5" s="128">
        <f>IF(ISERROR(M5/L5),0,M5/L5)</f>
        <v>0</v>
      </c>
      <c r="O5" s="164">
        <f>IF(AND((N5-35%)&gt;0,N5&lt;50%),M5*(N5-35%)*0.7,0)</f>
        <v>0</v>
      </c>
      <c r="P5" s="185">
        <f>IF(N5&gt;=50%,M5*10.5%,0)</f>
        <v>0</v>
      </c>
      <c r="Q5" s="185">
        <f>MAX(O5,P5)</f>
        <v>0</v>
      </c>
      <c r="R5" s="162" t="b">
        <f t="shared" ref="R5:R68" si="0">COUNTIF(C:C,C5)&gt;1</f>
        <v>0</v>
      </c>
    </row>
    <row r="6" spans="1:18">
      <c r="L6" s="129">
        <f>SUM(E6:F6)</f>
        <v>0</v>
      </c>
      <c r="M6" s="129">
        <f>SUM(G6:H6)</f>
        <v>0</v>
      </c>
      <c r="N6" s="128">
        <f>IF(ISERROR(M6/L6),0,M6/L6)</f>
        <v>0</v>
      </c>
      <c r="O6" s="164">
        <f>IF(AND((N6-35%)&gt;0,N6&lt;50%),M6*(N6-35%)*0.7,0)</f>
        <v>0</v>
      </c>
      <c r="P6" s="185">
        <f>IF(N6&gt;=50%,M6*10.5%,0)</f>
        <v>0</v>
      </c>
      <c r="Q6" s="185">
        <f>MAX(O6,P6)</f>
        <v>0</v>
      </c>
      <c r="R6" s="162" t="b">
        <f t="shared" si="0"/>
        <v>0</v>
      </c>
    </row>
    <row r="7" spans="1:18">
      <c r="A7" s="129" t="s">
        <v>190</v>
      </c>
      <c r="B7" s="129" t="s">
        <v>4093</v>
      </c>
      <c r="C7" s="129">
        <v>111</v>
      </c>
      <c r="D7" s="129" t="s">
        <v>1050</v>
      </c>
      <c r="E7" s="129">
        <v>176</v>
      </c>
      <c r="F7" s="129">
        <v>0</v>
      </c>
      <c r="G7" s="129">
        <v>117</v>
      </c>
      <c r="H7" s="129">
        <v>0</v>
      </c>
      <c r="I7" s="129">
        <v>66.5</v>
      </c>
      <c r="J7" s="129">
        <v>12.3</v>
      </c>
      <c r="K7" s="129">
        <v>0</v>
      </c>
      <c r="L7" s="129">
        <f t="shared" ref="L7:L9" si="1">SUM(E7:F7)</f>
        <v>176</v>
      </c>
      <c r="M7" s="129">
        <f t="shared" ref="M7:M9" si="2">SUM(G7:H7)</f>
        <v>117</v>
      </c>
      <c r="N7" s="128">
        <f t="shared" ref="N7:N9" si="3">IF(ISERROR(M7/L7),0,M7/L7)</f>
        <v>0.66479999999999995</v>
      </c>
      <c r="O7" s="164">
        <f t="shared" ref="O7:O9" si="4">IF(AND((N7-35%)&gt;0,N7&lt;50%),M7*(N7-35%)*0.7,0)</f>
        <v>0</v>
      </c>
      <c r="P7" s="185">
        <f t="shared" ref="P7:P9" si="5">IF(N7&gt;=50%,M7*10.5%,0)</f>
        <v>12.3</v>
      </c>
      <c r="Q7" s="185">
        <f t="shared" ref="Q7:Q9" si="6">MAX(O7,P7)</f>
        <v>12.3</v>
      </c>
      <c r="R7" s="162" t="b">
        <f t="shared" si="0"/>
        <v>0</v>
      </c>
    </row>
    <row r="8" spans="1:18">
      <c r="A8" s="129" t="s">
        <v>190</v>
      </c>
      <c r="B8" s="129" t="s">
        <v>4093</v>
      </c>
      <c r="C8" s="129">
        <v>112</v>
      </c>
      <c r="D8" s="129" t="s">
        <v>1052</v>
      </c>
      <c r="E8" s="129">
        <v>89</v>
      </c>
      <c r="F8" s="129">
        <v>0</v>
      </c>
      <c r="G8" s="129">
        <v>51</v>
      </c>
      <c r="H8" s="129">
        <v>0</v>
      </c>
      <c r="I8" s="129">
        <v>57.3</v>
      </c>
      <c r="J8" s="129">
        <v>5.4</v>
      </c>
      <c r="K8" s="129">
        <v>0</v>
      </c>
      <c r="L8" s="129">
        <f t="shared" si="1"/>
        <v>89</v>
      </c>
      <c r="M8" s="129">
        <f t="shared" si="2"/>
        <v>51</v>
      </c>
      <c r="N8" s="128">
        <f t="shared" si="3"/>
        <v>0.57299999999999995</v>
      </c>
      <c r="O8" s="164">
        <f t="shared" si="4"/>
        <v>0</v>
      </c>
      <c r="P8" s="185">
        <f t="shared" si="5"/>
        <v>5.4</v>
      </c>
      <c r="Q8" s="185">
        <f t="shared" si="6"/>
        <v>5.4</v>
      </c>
      <c r="R8" s="162" t="b">
        <f t="shared" si="0"/>
        <v>0</v>
      </c>
    </row>
    <row r="9" spans="1:18">
      <c r="A9" s="129" t="s">
        <v>190</v>
      </c>
      <c r="B9" s="129" t="s">
        <v>4093</v>
      </c>
      <c r="C9" s="129">
        <v>113</v>
      </c>
      <c r="D9" s="129" t="s">
        <v>1054</v>
      </c>
      <c r="E9" s="129">
        <v>149</v>
      </c>
      <c r="F9" s="129">
        <v>0</v>
      </c>
      <c r="G9" s="129">
        <v>66</v>
      </c>
      <c r="H9" s="129">
        <v>0</v>
      </c>
      <c r="I9" s="129">
        <v>44.3</v>
      </c>
      <c r="J9" s="129">
        <v>0</v>
      </c>
      <c r="K9" s="129">
        <v>4.3</v>
      </c>
      <c r="L9" s="129">
        <f t="shared" si="1"/>
        <v>149</v>
      </c>
      <c r="M9" s="129">
        <f t="shared" si="2"/>
        <v>66</v>
      </c>
      <c r="N9" s="128">
        <f t="shared" si="3"/>
        <v>0.443</v>
      </c>
      <c r="O9" s="164">
        <f t="shared" si="4"/>
        <v>4.3</v>
      </c>
      <c r="P9" s="185">
        <f t="shared" si="5"/>
        <v>0</v>
      </c>
      <c r="Q9" s="185">
        <f t="shared" si="6"/>
        <v>4.3</v>
      </c>
      <c r="R9" s="162" t="b">
        <f t="shared" si="0"/>
        <v>0</v>
      </c>
    </row>
    <row r="10" spans="1:18">
      <c r="A10" s="129" t="s">
        <v>265</v>
      </c>
      <c r="B10" s="129" t="s">
        <v>3755</v>
      </c>
      <c r="C10" s="129">
        <v>2090</v>
      </c>
      <c r="D10" s="129" t="s">
        <v>1948</v>
      </c>
      <c r="E10" s="129">
        <v>364</v>
      </c>
      <c r="F10" s="129">
        <v>0</v>
      </c>
      <c r="G10" s="129">
        <v>117</v>
      </c>
      <c r="H10" s="129">
        <v>0</v>
      </c>
      <c r="I10" s="129">
        <v>32.1</v>
      </c>
      <c r="J10" s="129">
        <v>0</v>
      </c>
      <c r="K10" s="129">
        <v>0</v>
      </c>
      <c r="L10" s="129">
        <f t="shared" ref="L10:L12" si="7">SUM(E10:F10)</f>
        <v>364</v>
      </c>
      <c r="M10" s="129">
        <f t="shared" ref="M10:M12" si="8">SUM(G10:H10)</f>
        <v>117</v>
      </c>
      <c r="N10" s="128">
        <f t="shared" ref="N10:N12" si="9">IF(ISERROR(M10/L10),0,M10/L10)</f>
        <v>0.32140000000000002</v>
      </c>
      <c r="O10" s="164">
        <f t="shared" ref="O10:O12" si="10">IF(AND((N10-35%)&gt;0,N10&lt;50%),M10*(N10-35%)*0.7,0)</f>
        <v>0</v>
      </c>
      <c r="P10" s="185">
        <f t="shared" ref="P10:P12" si="11">IF(N10&gt;=50%,M10*10.5%,0)</f>
        <v>0</v>
      </c>
      <c r="Q10" s="185">
        <f t="shared" ref="Q10:Q12" si="12">MAX(O10,P10)</f>
        <v>0</v>
      </c>
      <c r="R10" s="162" t="b">
        <f t="shared" si="0"/>
        <v>0</v>
      </c>
    </row>
    <row r="11" spans="1:18">
      <c r="A11" s="129" t="s">
        <v>265</v>
      </c>
      <c r="B11" s="129" t="s">
        <v>3755</v>
      </c>
      <c r="C11" s="129">
        <v>2091</v>
      </c>
      <c r="D11" s="129" t="s">
        <v>4094</v>
      </c>
      <c r="E11" s="129">
        <v>178</v>
      </c>
      <c r="F11" s="129">
        <v>0</v>
      </c>
      <c r="G11" s="129">
        <v>43</v>
      </c>
      <c r="H11" s="129">
        <v>0</v>
      </c>
      <c r="I11" s="129">
        <v>24.2</v>
      </c>
      <c r="J11" s="129">
        <v>0</v>
      </c>
      <c r="K11" s="129">
        <v>0</v>
      </c>
      <c r="L11" s="129">
        <f t="shared" si="7"/>
        <v>178</v>
      </c>
      <c r="M11" s="129">
        <f t="shared" si="8"/>
        <v>43</v>
      </c>
      <c r="N11" s="128">
        <f t="shared" si="9"/>
        <v>0.24160000000000001</v>
      </c>
      <c r="O11" s="164">
        <f t="shared" si="10"/>
        <v>0</v>
      </c>
      <c r="P11" s="185">
        <f t="shared" si="11"/>
        <v>0</v>
      </c>
      <c r="Q11" s="185">
        <f t="shared" si="12"/>
        <v>0</v>
      </c>
      <c r="R11" s="162" t="b">
        <f t="shared" si="0"/>
        <v>0</v>
      </c>
    </row>
    <row r="12" spans="1:18">
      <c r="A12" s="129" t="s">
        <v>265</v>
      </c>
      <c r="B12" s="129" t="s">
        <v>3755</v>
      </c>
      <c r="C12" s="129">
        <v>2092</v>
      </c>
      <c r="D12" s="129" t="s">
        <v>1952</v>
      </c>
      <c r="E12" s="129">
        <v>236</v>
      </c>
      <c r="F12" s="129">
        <v>0</v>
      </c>
      <c r="G12" s="129">
        <v>43</v>
      </c>
      <c r="H12" s="129">
        <v>0</v>
      </c>
      <c r="I12" s="129">
        <v>18.2</v>
      </c>
      <c r="J12" s="129">
        <v>0</v>
      </c>
      <c r="K12" s="129">
        <v>0</v>
      </c>
      <c r="L12" s="129">
        <f t="shared" si="7"/>
        <v>236</v>
      </c>
      <c r="M12" s="129">
        <f t="shared" si="8"/>
        <v>43</v>
      </c>
      <c r="N12" s="128">
        <f t="shared" si="9"/>
        <v>0.1822</v>
      </c>
      <c r="O12" s="164">
        <f t="shared" si="10"/>
        <v>0</v>
      </c>
      <c r="P12" s="185">
        <f t="shared" si="11"/>
        <v>0</v>
      </c>
      <c r="Q12" s="185">
        <f t="shared" si="12"/>
        <v>0</v>
      </c>
      <c r="R12" s="162" t="b">
        <f t="shared" si="0"/>
        <v>0</v>
      </c>
    </row>
    <row r="13" spans="1:18">
      <c r="A13" s="129" t="s">
        <v>445</v>
      </c>
      <c r="B13" s="129" t="s">
        <v>3920</v>
      </c>
      <c r="C13" s="129">
        <v>7664</v>
      </c>
      <c r="D13" s="129" t="s">
        <v>3126</v>
      </c>
      <c r="E13" s="129">
        <v>95</v>
      </c>
      <c r="F13" s="129">
        <v>0</v>
      </c>
      <c r="G13" s="129">
        <v>31</v>
      </c>
      <c r="H13" s="129">
        <v>0</v>
      </c>
      <c r="I13" s="129">
        <v>32.6</v>
      </c>
      <c r="J13" s="129">
        <v>0</v>
      </c>
      <c r="K13" s="129">
        <v>0</v>
      </c>
      <c r="L13" s="129">
        <f t="shared" ref="L13:L14" si="13">SUM(E13:F13)</f>
        <v>95</v>
      </c>
      <c r="M13" s="129">
        <f t="shared" ref="M13:M14" si="14">SUM(G13:H13)</f>
        <v>31</v>
      </c>
      <c r="N13" s="128">
        <f t="shared" ref="N13:N14" si="15">IF(ISERROR(M13/L13),0,M13/L13)</f>
        <v>0.32629999999999998</v>
      </c>
      <c r="O13" s="164">
        <f t="shared" ref="O13:O14" si="16">IF(AND((N13-35%)&gt;0,N13&lt;50%),M13*(N13-35%)*0.7,0)</f>
        <v>0</v>
      </c>
      <c r="P13" s="185">
        <f t="shared" ref="P13:P14" si="17">IF(N13&gt;=50%,M13*10.5%,0)</f>
        <v>0</v>
      </c>
      <c r="Q13" s="185">
        <f t="shared" ref="Q13:Q14" si="18">MAX(O13,P13)</f>
        <v>0</v>
      </c>
      <c r="R13" s="162" t="b">
        <f t="shared" si="0"/>
        <v>0</v>
      </c>
    </row>
    <row r="14" spans="1:18">
      <c r="A14" s="129" t="s">
        <v>445</v>
      </c>
      <c r="B14" s="129" t="s">
        <v>3920</v>
      </c>
      <c r="C14" s="129">
        <v>7666</v>
      </c>
      <c r="D14" s="129" t="s">
        <v>3128</v>
      </c>
      <c r="E14" s="129">
        <v>120</v>
      </c>
      <c r="F14" s="129">
        <v>0</v>
      </c>
      <c r="G14" s="129">
        <v>32</v>
      </c>
      <c r="H14" s="129">
        <v>0</v>
      </c>
      <c r="I14" s="129">
        <v>26.7</v>
      </c>
      <c r="J14" s="129">
        <v>0</v>
      </c>
      <c r="K14" s="129">
        <v>0</v>
      </c>
      <c r="L14" s="129">
        <f t="shared" si="13"/>
        <v>120</v>
      </c>
      <c r="M14" s="129">
        <f t="shared" si="14"/>
        <v>32</v>
      </c>
      <c r="N14" s="128">
        <f t="shared" si="15"/>
        <v>0.26669999999999999</v>
      </c>
      <c r="O14" s="164">
        <f t="shared" si="16"/>
        <v>0</v>
      </c>
      <c r="P14" s="185">
        <f t="shared" si="17"/>
        <v>0</v>
      </c>
      <c r="Q14" s="185">
        <f t="shared" si="18"/>
        <v>0</v>
      </c>
      <c r="R14" s="162" t="b">
        <f t="shared" si="0"/>
        <v>0</v>
      </c>
    </row>
    <row r="15" spans="1:18">
      <c r="A15" s="129" t="s">
        <v>252</v>
      </c>
      <c r="B15" s="129" t="s">
        <v>4095</v>
      </c>
      <c r="C15" s="129">
        <v>1503</v>
      </c>
      <c r="D15" s="129" t="s">
        <v>1633</v>
      </c>
      <c r="E15" s="129">
        <v>117</v>
      </c>
      <c r="F15" s="129">
        <v>0</v>
      </c>
      <c r="G15" s="129">
        <v>58</v>
      </c>
      <c r="H15" s="129">
        <v>0</v>
      </c>
      <c r="I15" s="129">
        <v>49.6</v>
      </c>
      <c r="J15" s="129">
        <v>0</v>
      </c>
      <c r="K15" s="129">
        <v>5.9</v>
      </c>
      <c r="L15" s="129">
        <f t="shared" ref="L15:L30" si="19">SUM(E15:F15)</f>
        <v>117</v>
      </c>
      <c r="M15" s="129">
        <f t="shared" ref="M15:M30" si="20">SUM(G15:H15)</f>
        <v>58</v>
      </c>
      <c r="N15" s="128">
        <f t="shared" ref="N15:N30" si="21">IF(ISERROR(M15/L15),0,M15/L15)</f>
        <v>0.49569999999999997</v>
      </c>
      <c r="O15" s="164">
        <f t="shared" ref="O15:O30" si="22">IF(AND((N15-35%)&gt;0,N15&lt;50%),M15*(N15-35%)*0.7,0)</f>
        <v>5.9</v>
      </c>
      <c r="P15" s="185">
        <f t="shared" ref="P15:P30" si="23">IF(N15&gt;=50%,M15*10.5%,0)</f>
        <v>0</v>
      </c>
      <c r="Q15" s="185">
        <f t="shared" ref="Q15:Q30" si="24">MAX(O15,P15)</f>
        <v>5.9</v>
      </c>
      <c r="R15" s="162" t="b">
        <f t="shared" si="0"/>
        <v>0</v>
      </c>
    </row>
    <row r="16" spans="1:18">
      <c r="A16" s="129" t="s">
        <v>252</v>
      </c>
      <c r="B16" s="129" t="s">
        <v>4095</v>
      </c>
      <c r="C16" s="129">
        <v>1504</v>
      </c>
      <c r="D16" s="129" t="s">
        <v>1635</v>
      </c>
      <c r="E16" s="129">
        <v>95</v>
      </c>
      <c r="F16" s="129">
        <v>0</v>
      </c>
      <c r="G16" s="129">
        <v>55</v>
      </c>
      <c r="H16" s="129">
        <v>0</v>
      </c>
      <c r="I16" s="129">
        <v>57.9</v>
      </c>
      <c r="J16" s="129">
        <v>5.8</v>
      </c>
      <c r="K16" s="129">
        <v>0</v>
      </c>
      <c r="L16" s="129">
        <f t="shared" si="19"/>
        <v>95</v>
      </c>
      <c r="M16" s="129">
        <f t="shared" si="20"/>
        <v>55</v>
      </c>
      <c r="N16" s="128">
        <f t="shared" si="21"/>
        <v>0.57889999999999997</v>
      </c>
      <c r="O16" s="164">
        <f t="shared" si="22"/>
        <v>0</v>
      </c>
      <c r="P16" s="185">
        <f t="shared" si="23"/>
        <v>5.8</v>
      </c>
      <c r="Q16" s="185">
        <f t="shared" si="24"/>
        <v>5.8</v>
      </c>
      <c r="R16" s="162" t="b">
        <f t="shared" si="0"/>
        <v>0</v>
      </c>
    </row>
    <row r="17" spans="1:18">
      <c r="A17" s="129" t="s">
        <v>289</v>
      </c>
      <c r="B17" s="129" t="s">
        <v>3777</v>
      </c>
      <c r="C17" s="129">
        <v>2860</v>
      </c>
      <c r="D17" s="129" t="s">
        <v>2061</v>
      </c>
      <c r="E17" s="129">
        <v>138</v>
      </c>
      <c r="F17" s="129">
        <v>0</v>
      </c>
      <c r="G17" s="129">
        <v>61</v>
      </c>
      <c r="H17" s="129">
        <v>0</v>
      </c>
      <c r="I17" s="129">
        <v>44.2</v>
      </c>
      <c r="J17" s="129">
        <v>0</v>
      </c>
      <c r="K17" s="129">
        <v>3.9</v>
      </c>
      <c r="L17" s="129">
        <f t="shared" si="19"/>
        <v>138</v>
      </c>
      <c r="M17" s="129">
        <f t="shared" si="20"/>
        <v>61</v>
      </c>
      <c r="N17" s="128">
        <f t="shared" si="21"/>
        <v>0.442</v>
      </c>
      <c r="O17" s="164">
        <f t="shared" si="22"/>
        <v>3.9</v>
      </c>
      <c r="P17" s="185">
        <f t="shared" si="23"/>
        <v>0</v>
      </c>
      <c r="Q17" s="185">
        <f t="shared" si="24"/>
        <v>3.9</v>
      </c>
      <c r="R17" s="162" t="b">
        <f t="shared" si="0"/>
        <v>0</v>
      </c>
    </row>
    <row r="18" spans="1:18">
      <c r="A18" s="129" t="s">
        <v>289</v>
      </c>
      <c r="B18" s="129" t="s">
        <v>3777</v>
      </c>
      <c r="C18" s="129">
        <v>2861</v>
      </c>
      <c r="D18" s="129" t="s">
        <v>2063</v>
      </c>
      <c r="E18" s="129">
        <v>153</v>
      </c>
      <c r="F18" s="129">
        <v>0</v>
      </c>
      <c r="G18" s="129">
        <v>53</v>
      </c>
      <c r="H18" s="129">
        <v>0</v>
      </c>
      <c r="I18" s="129">
        <v>34.6</v>
      </c>
      <c r="J18" s="129">
        <v>0</v>
      </c>
      <c r="K18" s="129">
        <v>0</v>
      </c>
      <c r="L18" s="129">
        <f t="shared" si="19"/>
        <v>153</v>
      </c>
      <c r="M18" s="129">
        <f t="shared" si="20"/>
        <v>53</v>
      </c>
      <c r="N18" s="128">
        <f t="shared" si="21"/>
        <v>0.34639999999999999</v>
      </c>
      <c r="O18" s="164">
        <f t="shared" si="22"/>
        <v>0</v>
      </c>
      <c r="P18" s="185">
        <f t="shared" si="23"/>
        <v>0</v>
      </c>
      <c r="Q18" s="185">
        <f t="shared" si="24"/>
        <v>0</v>
      </c>
      <c r="R18" s="162" t="b">
        <f t="shared" si="0"/>
        <v>0</v>
      </c>
    </row>
    <row r="19" spans="1:18">
      <c r="A19" s="129" t="s">
        <v>291</v>
      </c>
      <c r="B19" s="129" t="s">
        <v>3779</v>
      </c>
      <c r="C19" s="129">
        <v>2948</v>
      </c>
      <c r="D19" s="129" t="s">
        <v>2071</v>
      </c>
      <c r="E19" s="129">
        <v>160</v>
      </c>
      <c r="F19" s="129">
        <v>0</v>
      </c>
      <c r="G19" s="129">
        <v>40</v>
      </c>
      <c r="H19" s="129">
        <v>0</v>
      </c>
      <c r="I19" s="129">
        <v>25</v>
      </c>
      <c r="J19" s="129">
        <v>0</v>
      </c>
      <c r="K19" s="129">
        <v>0</v>
      </c>
      <c r="L19" s="129">
        <f t="shared" si="19"/>
        <v>160</v>
      </c>
      <c r="M19" s="129">
        <f t="shared" si="20"/>
        <v>40</v>
      </c>
      <c r="N19" s="128">
        <f t="shared" si="21"/>
        <v>0.25</v>
      </c>
      <c r="O19" s="164">
        <f t="shared" si="22"/>
        <v>0</v>
      </c>
      <c r="P19" s="185">
        <f t="shared" si="23"/>
        <v>0</v>
      </c>
      <c r="Q19" s="185">
        <f t="shared" si="24"/>
        <v>0</v>
      </c>
      <c r="R19" s="162" t="b">
        <f t="shared" si="0"/>
        <v>0</v>
      </c>
    </row>
    <row r="20" spans="1:18">
      <c r="A20" s="129" t="s">
        <v>291</v>
      </c>
      <c r="B20" s="129" t="s">
        <v>3779</v>
      </c>
      <c r="C20" s="129">
        <v>2952</v>
      </c>
      <c r="D20" s="129" t="s">
        <v>2073</v>
      </c>
      <c r="E20" s="129">
        <v>120</v>
      </c>
      <c r="F20" s="129">
        <v>0</v>
      </c>
      <c r="G20" s="129">
        <v>46</v>
      </c>
      <c r="H20" s="129">
        <v>0</v>
      </c>
      <c r="I20" s="129">
        <v>38.299999999999997</v>
      </c>
      <c r="J20" s="129">
        <v>0</v>
      </c>
      <c r="K20" s="129">
        <v>1.1000000000000001</v>
      </c>
      <c r="L20" s="129">
        <f t="shared" si="19"/>
        <v>120</v>
      </c>
      <c r="M20" s="129">
        <f t="shared" si="20"/>
        <v>46</v>
      </c>
      <c r="N20" s="128">
        <f t="shared" si="21"/>
        <v>0.38329999999999997</v>
      </c>
      <c r="O20" s="164">
        <f t="shared" si="22"/>
        <v>1.1000000000000001</v>
      </c>
      <c r="P20" s="185">
        <f t="shared" si="23"/>
        <v>0</v>
      </c>
      <c r="Q20" s="185">
        <f t="shared" si="24"/>
        <v>1.1000000000000001</v>
      </c>
      <c r="R20" s="162" t="b">
        <f t="shared" si="0"/>
        <v>0</v>
      </c>
    </row>
    <row r="21" spans="1:18">
      <c r="A21" s="129" t="s">
        <v>308</v>
      </c>
      <c r="B21" s="129" t="s">
        <v>3796</v>
      </c>
      <c r="C21" s="129">
        <v>3538</v>
      </c>
      <c r="D21" s="129" t="s">
        <v>2203</v>
      </c>
      <c r="E21" s="129">
        <v>205</v>
      </c>
      <c r="F21" s="129">
        <v>0</v>
      </c>
      <c r="G21" s="129">
        <v>91</v>
      </c>
      <c r="H21" s="129">
        <v>0</v>
      </c>
      <c r="I21" s="129">
        <v>44.4</v>
      </c>
      <c r="J21" s="129">
        <v>0</v>
      </c>
      <c r="K21" s="129">
        <v>6</v>
      </c>
      <c r="L21" s="129">
        <f t="shared" si="19"/>
        <v>205</v>
      </c>
      <c r="M21" s="129">
        <f t="shared" si="20"/>
        <v>91</v>
      </c>
      <c r="N21" s="128">
        <f t="shared" si="21"/>
        <v>0.44390000000000002</v>
      </c>
      <c r="O21" s="164">
        <f t="shared" si="22"/>
        <v>6</v>
      </c>
      <c r="P21" s="185">
        <f t="shared" si="23"/>
        <v>0</v>
      </c>
      <c r="Q21" s="185">
        <f t="shared" si="24"/>
        <v>6</v>
      </c>
      <c r="R21" s="162" t="b">
        <f t="shared" si="0"/>
        <v>0</v>
      </c>
    </row>
    <row r="22" spans="1:18">
      <c r="A22" s="129" t="s">
        <v>308</v>
      </c>
      <c r="B22" s="129" t="s">
        <v>3796</v>
      </c>
      <c r="C22" s="129">
        <v>3540</v>
      </c>
      <c r="D22" s="129" t="s">
        <v>2205</v>
      </c>
      <c r="E22" s="129">
        <v>177</v>
      </c>
      <c r="F22" s="129">
        <v>0</v>
      </c>
      <c r="G22" s="129">
        <v>70</v>
      </c>
      <c r="H22" s="129">
        <v>0</v>
      </c>
      <c r="I22" s="129">
        <v>39.6</v>
      </c>
      <c r="J22" s="129">
        <v>0</v>
      </c>
      <c r="K22" s="129">
        <v>2.2000000000000002</v>
      </c>
      <c r="L22" s="129">
        <f t="shared" si="19"/>
        <v>177</v>
      </c>
      <c r="M22" s="129">
        <f t="shared" si="20"/>
        <v>70</v>
      </c>
      <c r="N22" s="128">
        <f t="shared" si="21"/>
        <v>0.39550000000000002</v>
      </c>
      <c r="O22" s="164">
        <f t="shared" si="22"/>
        <v>2.2000000000000002</v>
      </c>
      <c r="P22" s="185">
        <f t="shared" si="23"/>
        <v>0</v>
      </c>
      <c r="Q22" s="185">
        <f t="shared" si="24"/>
        <v>2.2000000000000002</v>
      </c>
      <c r="R22" s="162" t="b">
        <f t="shared" si="0"/>
        <v>0</v>
      </c>
    </row>
    <row r="23" spans="1:18">
      <c r="A23" s="129" t="s">
        <v>308</v>
      </c>
      <c r="B23" s="129" t="s">
        <v>3796</v>
      </c>
      <c r="C23" s="129">
        <v>3542</v>
      </c>
      <c r="D23" s="129" t="s">
        <v>2207</v>
      </c>
      <c r="E23" s="129">
        <v>181</v>
      </c>
      <c r="F23" s="129">
        <v>0</v>
      </c>
      <c r="G23" s="129">
        <v>63</v>
      </c>
      <c r="H23" s="129">
        <v>0</v>
      </c>
      <c r="I23" s="129">
        <v>34.799999999999997</v>
      </c>
      <c r="J23" s="129">
        <v>0</v>
      </c>
      <c r="K23" s="129">
        <v>0</v>
      </c>
      <c r="L23" s="129">
        <f t="shared" si="19"/>
        <v>181</v>
      </c>
      <c r="M23" s="129">
        <f t="shared" si="20"/>
        <v>63</v>
      </c>
      <c r="N23" s="128">
        <f t="shared" si="21"/>
        <v>0.34810000000000002</v>
      </c>
      <c r="O23" s="164">
        <f t="shared" si="22"/>
        <v>0</v>
      </c>
      <c r="P23" s="185">
        <f t="shared" si="23"/>
        <v>0</v>
      </c>
      <c r="Q23" s="185">
        <f t="shared" si="24"/>
        <v>0</v>
      </c>
      <c r="R23" s="162" t="b">
        <f t="shared" si="0"/>
        <v>0</v>
      </c>
    </row>
    <row r="24" spans="1:18">
      <c r="A24" s="129" t="s">
        <v>312</v>
      </c>
      <c r="B24" s="129" t="s">
        <v>3797</v>
      </c>
      <c r="C24" s="129">
        <v>3686</v>
      </c>
      <c r="D24" s="129" t="s">
        <v>2225</v>
      </c>
      <c r="E24" s="129">
        <v>216</v>
      </c>
      <c r="F24" s="129">
        <v>0</v>
      </c>
      <c r="G24" s="129">
        <v>53</v>
      </c>
      <c r="H24" s="129">
        <v>0</v>
      </c>
      <c r="I24" s="129">
        <v>24.5</v>
      </c>
      <c r="J24" s="129">
        <v>0</v>
      </c>
      <c r="K24" s="129">
        <v>0</v>
      </c>
      <c r="L24" s="129">
        <f t="shared" si="19"/>
        <v>216</v>
      </c>
      <c r="M24" s="129">
        <f t="shared" si="20"/>
        <v>53</v>
      </c>
      <c r="N24" s="128">
        <f t="shared" si="21"/>
        <v>0.24540000000000001</v>
      </c>
      <c r="O24" s="164">
        <f t="shared" si="22"/>
        <v>0</v>
      </c>
      <c r="P24" s="185">
        <f t="shared" si="23"/>
        <v>0</v>
      </c>
      <c r="Q24" s="185">
        <f t="shared" si="24"/>
        <v>0</v>
      </c>
      <c r="R24" s="162" t="b">
        <f t="shared" si="0"/>
        <v>0</v>
      </c>
    </row>
    <row r="25" spans="1:18">
      <c r="A25" s="129" t="s">
        <v>312</v>
      </c>
      <c r="B25" s="129" t="s">
        <v>3797</v>
      </c>
      <c r="C25" s="129">
        <v>3687</v>
      </c>
      <c r="D25" s="129" t="s">
        <v>4102</v>
      </c>
      <c r="E25" s="129">
        <v>229</v>
      </c>
      <c r="F25" s="129">
        <v>0</v>
      </c>
      <c r="G25" s="129">
        <v>77</v>
      </c>
      <c r="H25" s="129">
        <v>0</v>
      </c>
      <c r="I25" s="129">
        <v>33.6</v>
      </c>
      <c r="J25" s="129">
        <v>0</v>
      </c>
      <c r="K25" s="129">
        <v>0</v>
      </c>
      <c r="L25" s="129">
        <f t="shared" si="19"/>
        <v>229</v>
      </c>
      <c r="M25" s="129">
        <f t="shared" si="20"/>
        <v>77</v>
      </c>
      <c r="N25" s="128">
        <f t="shared" si="21"/>
        <v>0.3362</v>
      </c>
      <c r="O25" s="164">
        <f t="shared" si="22"/>
        <v>0</v>
      </c>
      <c r="P25" s="185">
        <f t="shared" si="23"/>
        <v>0</v>
      </c>
      <c r="Q25" s="185">
        <f t="shared" si="24"/>
        <v>0</v>
      </c>
      <c r="R25" s="162" t="b">
        <f t="shared" si="0"/>
        <v>0</v>
      </c>
    </row>
    <row r="26" spans="1:18">
      <c r="A26" s="129" t="s">
        <v>394</v>
      </c>
      <c r="B26" s="129" t="s">
        <v>3871</v>
      </c>
      <c r="C26" s="129">
        <v>5987</v>
      </c>
      <c r="D26" s="129" t="s">
        <v>2727</v>
      </c>
      <c r="E26" s="129">
        <v>74</v>
      </c>
      <c r="F26" s="129">
        <v>0</v>
      </c>
      <c r="G26" s="129">
        <v>29</v>
      </c>
      <c r="H26" s="129">
        <v>0</v>
      </c>
      <c r="I26" s="129">
        <v>39.200000000000003</v>
      </c>
      <c r="J26" s="129">
        <v>0</v>
      </c>
      <c r="K26" s="129">
        <v>0.9</v>
      </c>
      <c r="L26" s="129">
        <f t="shared" si="19"/>
        <v>74</v>
      </c>
      <c r="M26" s="129">
        <f t="shared" si="20"/>
        <v>29</v>
      </c>
      <c r="N26" s="128">
        <f t="shared" si="21"/>
        <v>0.39190000000000003</v>
      </c>
      <c r="O26" s="164">
        <f t="shared" si="22"/>
        <v>0.9</v>
      </c>
      <c r="P26" s="185">
        <f t="shared" si="23"/>
        <v>0</v>
      </c>
      <c r="Q26" s="185">
        <f t="shared" si="24"/>
        <v>0.9</v>
      </c>
      <c r="R26" s="162" t="b">
        <f t="shared" si="0"/>
        <v>0</v>
      </c>
    </row>
    <row r="27" spans="1:18">
      <c r="A27" s="129" t="s">
        <v>394</v>
      </c>
      <c r="B27" s="129" t="s">
        <v>3871</v>
      </c>
      <c r="C27" s="129">
        <v>5990</v>
      </c>
      <c r="D27" s="129" t="s">
        <v>2729</v>
      </c>
      <c r="E27" s="129">
        <v>333</v>
      </c>
      <c r="F27" s="129">
        <v>0</v>
      </c>
      <c r="G27" s="129">
        <v>165</v>
      </c>
      <c r="H27" s="129">
        <v>0</v>
      </c>
      <c r="I27" s="129">
        <v>49.6</v>
      </c>
      <c r="J27" s="129">
        <v>0</v>
      </c>
      <c r="K27" s="129">
        <v>16.8</v>
      </c>
      <c r="L27" s="129">
        <f t="shared" si="19"/>
        <v>333</v>
      </c>
      <c r="M27" s="129">
        <f t="shared" si="20"/>
        <v>165</v>
      </c>
      <c r="N27" s="128">
        <f t="shared" si="21"/>
        <v>0.4955</v>
      </c>
      <c r="O27" s="164">
        <f t="shared" si="22"/>
        <v>16.8</v>
      </c>
      <c r="P27" s="185">
        <f t="shared" si="23"/>
        <v>0</v>
      </c>
      <c r="Q27" s="185">
        <f t="shared" si="24"/>
        <v>16.8</v>
      </c>
      <c r="R27" s="162" t="b">
        <f t="shared" si="0"/>
        <v>0</v>
      </c>
    </row>
    <row r="28" spans="1:18">
      <c r="A28" s="129" t="s">
        <v>394</v>
      </c>
      <c r="B28" s="129" t="s">
        <v>3871</v>
      </c>
      <c r="C28" s="129">
        <v>5994</v>
      </c>
      <c r="D28" s="129" t="s">
        <v>2731</v>
      </c>
      <c r="E28" s="129">
        <v>359</v>
      </c>
      <c r="F28" s="129">
        <v>0</v>
      </c>
      <c r="G28" s="129">
        <v>177</v>
      </c>
      <c r="H28" s="129">
        <v>0</v>
      </c>
      <c r="I28" s="129">
        <v>49.3</v>
      </c>
      <c r="J28" s="129">
        <v>0</v>
      </c>
      <c r="K28" s="129">
        <v>17.7</v>
      </c>
      <c r="L28" s="129">
        <f t="shared" si="19"/>
        <v>359</v>
      </c>
      <c r="M28" s="129">
        <f t="shared" si="20"/>
        <v>177</v>
      </c>
      <c r="N28" s="128">
        <f t="shared" si="21"/>
        <v>0.49299999999999999</v>
      </c>
      <c r="O28" s="164">
        <f t="shared" si="22"/>
        <v>17.7</v>
      </c>
      <c r="P28" s="185">
        <f t="shared" si="23"/>
        <v>0</v>
      </c>
      <c r="Q28" s="185">
        <f t="shared" si="24"/>
        <v>17.7</v>
      </c>
      <c r="R28" s="162" t="b">
        <f t="shared" si="0"/>
        <v>0</v>
      </c>
    </row>
    <row r="29" spans="1:18">
      <c r="A29" s="129" t="s">
        <v>460</v>
      </c>
      <c r="B29" s="129" t="s">
        <v>3225</v>
      </c>
      <c r="C29" s="129">
        <v>8167</v>
      </c>
      <c r="D29" s="129" t="s">
        <v>3225</v>
      </c>
      <c r="E29" s="129">
        <v>95</v>
      </c>
      <c r="F29" s="129">
        <v>0</v>
      </c>
      <c r="G29" s="129">
        <v>37</v>
      </c>
      <c r="H29" s="129">
        <v>0</v>
      </c>
      <c r="I29" s="129">
        <v>39</v>
      </c>
      <c r="J29" s="129">
        <v>0</v>
      </c>
      <c r="K29" s="129">
        <v>1</v>
      </c>
      <c r="L29" s="129">
        <f t="shared" si="19"/>
        <v>95</v>
      </c>
      <c r="M29" s="129">
        <f t="shared" si="20"/>
        <v>37</v>
      </c>
      <c r="N29" s="128">
        <f t="shared" si="21"/>
        <v>0.38950000000000001</v>
      </c>
      <c r="O29" s="164">
        <f t="shared" si="22"/>
        <v>1</v>
      </c>
      <c r="P29" s="185">
        <f t="shared" si="23"/>
        <v>0</v>
      </c>
      <c r="Q29" s="185">
        <f t="shared" si="24"/>
        <v>1</v>
      </c>
      <c r="R29" s="162" t="b">
        <f t="shared" si="0"/>
        <v>0</v>
      </c>
    </row>
    <row r="30" spans="1:18">
      <c r="A30" s="129" t="s">
        <v>460</v>
      </c>
      <c r="B30" s="129" t="s">
        <v>3225</v>
      </c>
      <c r="C30" s="129">
        <v>8171</v>
      </c>
      <c r="D30" s="129" t="s">
        <v>3227</v>
      </c>
      <c r="E30" s="129">
        <v>28</v>
      </c>
      <c r="F30" s="129">
        <v>0</v>
      </c>
      <c r="G30" s="129">
        <v>10</v>
      </c>
      <c r="H30" s="129">
        <v>0</v>
      </c>
      <c r="I30" s="129">
        <v>35.700000000000003</v>
      </c>
      <c r="J30" s="129">
        <v>0</v>
      </c>
      <c r="K30" s="129">
        <v>0</v>
      </c>
      <c r="L30" s="129">
        <f t="shared" si="19"/>
        <v>28</v>
      </c>
      <c r="M30" s="129">
        <f t="shared" si="20"/>
        <v>10</v>
      </c>
      <c r="N30" s="128">
        <f t="shared" si="21"/>
        <v>0.35709999999999997</v>
      </c>
      <c r="O30" s="164">
        <f t="shared" si="22"/>
        <v>0</v>
      </c>
      <c r="P30" s="185">
        <f t="shared" si="23"/>
        <v>0</v>
      </c>
      <c r="Q30" s="185">
        <f t="shared" si="24"/>
        <v>0</v>
      </c>
      <c r="R30" s="162" t="b">
        <f t="shared" si="0"/>
        <v>0</v>
      </c>
    </row>
    <row r="31" spans="1:18">
      <c r="A31" s="129" t="s">
        <v>211</v>
      </c>
      <c r="B31" s="129" t="s">
        <v>4107</v>
      </c>
      <c r="C31" s="129">
        <v>306</v>
      </c>
      <c r="D31" s="129" t="s">
        <v>1178</v>
      </c>
      <c r="E31" s="129">
        <v>258</v>
      </c>
      <c r="F31" s="129">
        <v>0</v>
      </c>
      <c r="G31" s="129">
        <v>93</v>
      </c>
      <c r="H31" s="129">
        <v>0</v>
      </c>
      <c r="I31" s="129">
        <v>36.1</v>
      </c>
      <c r="J31" s="129">
        <v>0</v>
      </c>
      <c r="K31" s="129">
        <v>0.7</v>
      </c>
      <c r="L31" s="129">
        <f t="shared" ref="L31:L55" si="25">SUM(E31:F31)</f>
        <v>258</v>
      </c>
      <c r="M31" s="129">
        <f t="shared" ref="M31:M55" si="26">SUM(G31:H31)</f>
        <v>93</v>
      </c>
      <c r="N31" s="128">
        <f t="shared" ref="N31:N55" si="27">IF(ISERROR(M31/L31),0,M31/L31)</f>
        <v>0.36049999999999999</v>
      </c>
      <c r="O31" s="164">
        <f t="shared" ref="O31:O55" si="28">IF(AND((N31-35%)&gt;0,N31&lt;50%),M31*(N31-35%)*0.7,0)</f>
        <v>0.7</v>
      </c>
      <c r="P31" s="185">
        <f t="shared" ref="P31:P55" si="29">IF(N31&gt;=50%,M31*10.5%,0)</f>
        <v>0</v>
      </c>
      <c r="Q31" s="185">
        <f t="shared" ref="Q31:Q55" si="30">MAX(O31,P31)</f>
        <v>0.7</v>
      </c>
      <c r="R31" s="162" t="b">
        <f t="shared" si="0"/>
        <v>0</v>
      </c>
    </row>
    <row r="32" spans="1:18">
      <c r="A32" s="129" t="s">
        <v>211</v>
      </c>
      <c r="B32" s="129" t="s">
        <v>4107</v>
      </c>
      <c r="C32" s="129">
        <v>308</v>
      </c>
      <c r="D32" s="129" t="s">
        <v>1180</v>
      </c>
      <c r="E32" s="129">
        <v>121</v>
      </c>
      <c r="F32" s="129">
        <v>0</v>
      </c>
      <c r="G32" s="129">
        <v>47</v>
      </c>
      <c r="H32" s="129">
        <v>0</v>
      </c>
      <c r="I32" s="129">
        <v>38.799999999999997</v>
      </c>
      <c r="J32" s="129">
        <v>0</v>
      </c>
      <c r="K32" s="129">
        <v>1.3</v>
      </c>
      <c r="L32" s="129">
        <f t="shared" si="25"/>
        <v>121</v>
      </c>
      <c r="M32" s="129">
        <f t="shared" si="26"/>
        <v>47</v>
      </c>
      <c r="N32" s="128">
        <f t="shared" si="27"/>
        <v>0.38840000000000002</v>
      </c>
      <c r="O32" s="164">
        <f t="shared" si="28"/>
        <v>1.3</v>
      </c>
      <c r="P32" s="185">
        <f t="shared" si="29"/>
        <v>0</v>
      </c>
      <c r="Q32" s="185">
        <f t="shared" si="30"/>
        <v>1.3</v>
      </c>
      <c r="R32" s="162" t="b">
        <f t="shared" si="0"/>
        <v>0</v>
      </c>
    </row>
    <row r="33" spans="1:18">
      <c r="A33" s="129" t="s">
        <v>237</v>
      </c>
      <c r="B33" s="129" t="s">
        <v>3729</v>
      </c>
      <c r="C33" s="129">
        <v>1078</v>
      </c>
      <c r="D33" s="129" t="s">
        <v>1531</v>
      </c>
      <c r="E33" s="129">
        <v>253</v>
      </c>
      <c r="F33" s="129">
        <v>0</v>
      </c>
      <c r="G33" s="129">
        <v>97</v>
      </c>
      <c r="H33" s="129">
        <v>0</v>
      </c>
      <c r="I33" s="129">
        <v>38.299999999999997</v>
      </c>
      <c r="J33" s="129">
        <v>0</v>
      </c>
      <c r="K33" s="129">
        <v>2.2999999999999998</v>
      </c>
      <c r="L33" s="129">
        <f t="shared" si="25"/>
        <v>253</v>
      </c>
      <c r="M33" s="129">
        <f t="shared" si="26"/>
        <v>97</v>
      </c>
      <c r="N33" s="128">
        <f t="shared" si="27"/>
        <v>0.38340000000000002</v>
      </c>
      <c r="O33" s="164">
        <f t="shared" si="28"/>
        <v>2.2999999999999998</v>
      </c>
      <c r="P33" s="185">
        <f t="shared" si="29"/>
        <v>0</v>
      </c>
      <c r="Q33" s="185">
        <f t="shared" si="30"/>
        <v>2.2999999999999998</v>
      </c>
      <c r="R33" s="162" t="b">
        <f t="shared" si="0"/>
        <v>0</v>
      </c>
    </row>
    <row r="34" spans="1:18">
      <c r="A34" s="129" t="s">
        <v>237</v>
      </c>
      <c r="B34" s="129" t="s">
        <v>3729</v>
      </c>
      <c r="C34" s="129">
        <v>1080</v>
      </c>
      <c r="D34" s="129" t="s">
        <v>1533</v>
      </c>
      <c r="E34" s="129">
        <v>214</v>
      </c>
      <c r="F34" s="129">
        <v>0</v>
      </c>
      <c r="G34" s="129">
        <v>84</v>
      </c>
      <c r="H34" s="129">
        <v>0</v>
      </c>
      <c r="I34" s="129">
        <v>39.299999999999997</v>
      </c>
      <c r="J34" s="129">
        <v>0</v>
      </c>
      <c r="K34" s="129">
        <v>2.5</v>
      </c>
      <c r="L34" s="129">
        <f t="shared" si="25"/>
        <v>214</v>
      </c>
      <c r="M34" s="129">
        <f t="shared" si="26"/>
        <v>84</v>
      </c>
      <c r="N34" s="128">
        <f t="shared" si="27"/>
        <v>0.39250000000000002</v>
      </c>
      <c r="O34" s="164">
        <f t="shared" si="28"/>
        <v>2.5</v>
      </c>
      <c r="P34" s="185">
        <f t="shared" si="29"/>
        <v>0</v>
      </c>
      <c r="Q34" s="185">
        <f t="shared" si="30"/>
        <v>2.5</v>
      </c>
      <c r="R34" s="162" t="b">
        <f t="shared" si="0"/>
        <v>0</v>
      </c>
    </row>
    <row r="35" spans="1:18">
      <c r="A35" s="129" t="s">
        <v>237</v>
      </c>
      <c r="B35" s="129" t="s">
        <v>3729</v>
      </c>
      <c r="C35" s="129">
        <v>1088</v>
      </c>
      <c r="D35" s="129" t="s">
        <v>1535</v>
      </c>
      <c r="E35" s="129">
        <v>79</v>
      </c>
      <c r="F35" s="129">
        <v>0</v>
      </c>
      <c r="G35" s="129">
        <v>51</v>
      </c>
      <c r="H35" s="129">
        <v>0</v>
      </c>
      <c r="I35" s="129">
        <v>64.599999999999994</v>
      </c>
      <c r="J35" s="129">
        <v>5.4</v>
      </c>
      <c r="K35" s="129">
        <v>0</v>
      </c>
      <c r="L35" s="129">
        <f t="shared" si="25"/>
        <v>79</v>
      </c>
      <c r="M35" s="129">
        <f t="shared" si="26"/>
        <v>51</v>
      </c>
      <c r="N35" s="128">
        <f t="shared" si="27"/>
        <v>0.64559999999999995</v>
      </c>
      <c r="O35" s="164">
        <f t="shared" si="28"/>
        <v>0</v>
      </c>
      <c r="P35" s="185">
        <f t="shared" si="29"/>
        <v>5.4</v>
      </c>
      <c r="Q35" s="185">
        <f t="shared" si="30"/>
        <v>5.4</v>
      </c>
      <c r="R35" s="162" t="b">
        <f t="shared" si="0"/>
        <v>0</v>
      </c>
    </row>
    <row r="36" spans="1:18">
      <c r="A36" s="129" t="s">
        <v>237</v>
      </c>
      <c r="B36" s="129" t="s">
        <v>3729</v>
      </c>
      <c r="C36" s="129">
        <v>1090</v>
      </c>
      <c r="D36" s="129" t="s">
        <v>1537</v>
      </c>
      <c r="E36" s="129">
        <v>67</v>
      </c>
      <c r="F36" s="129">
        <v>0</v>
      </c>
      <c r="G36" s="129">
        <v>28</v>
      </c>
      <c r="H36" s="129">
        <v>0</v>
      </c>
      <c r="I36" s="129">
        <v>41.8</v>
      </c>
      <c r="J36" s="129">
        <v>0</v>
      </c>
      <c r="K36" s="129">
        <v>1.3</v>
      </c>
      <c r="L36" s="129">
        <f t="shared" si="25"/>
        <v>67</v>
      </c>
      <c r="M36" s="129">
        <f t="shared" si="26"/>
        <v>28</v>
      </c>
      <c r="N36" s="128">
        <f t="shared" si="27"/>
        <v>0.41789999999999999</v>
      </c>
      <c r="O36" s="164">
        <f t="shared" si="28"/>
        <v>1.3</v>
      </c>
      <c r="P36" s="185">
        <f t="shared" si="29"/>
        <v>0</v>
      </c>
      <c r="Q36" s="185">
        <f t="shared" si="30"/>
        <v>1.3</v>
      </c>
      <c r="R36" s="162" t="b">
        <f t="shared" si="0"/>
        <v>0</v>
      </c>
    </row>
    <row r="37" spans="1:18">
      <c r="A37" s="129" t="s">
        <v>279</v>
      </c>
      <c r="B37" s="129" t="s">
        <v>3769</v>
      </c>
      <c r="C37" s="129">
        <v>2559</v>
      </c>
      <c r="D37" s="129" t="s">
        <v>2010</v>
      </c>
      <c r="E37" s="129">
        <v>174</v>
      </c>
      <c r="F37" s="129">
        <v>0</v>
      </c>
      <c r="G37" s="129">
        <v>62</v>
      </c>
      <c r="H37" s="129">
        <v>0</v>
      </c>
      <c r="I37" s="129">
        <v>35.6</v>
      </c>
      <c r="J37" s="129">
        <v>0</v>
      </c>
      <c r="K37" s="129">
        <v>0.3</v>
      </c>
      <c r="L37" s="129">
        <f t="shared" si="25"/>
        <v>174</v>
      </c>
      <c r="M37" s="129">
        <f t="shared" si="26"/>
        <v>62</v>
      </c>
      <c r="N37" s="128">
        <f t="shared" si="27"/>
        <v>0.35630000000000001</v>
      </c>
      <c r="O37" s="164">
        <f t="shared" si="28"/>
        <v>0.3</v>
      </c>
      <c r="P37" s="185">
        <f t="shared" si="29"/>
        <v>0</v>
      </c>
      <c r="Q37" s="185">
        <f t="shared" si="30"/>
        <v>0.3</v>
      </c>
      <c r="R37" s="162" t="b">
        <f t="shared" si="0"/>
        <v>0</v>
      </c>
    </row>
    <row r="38" spans="1:18">
      <c r="A38" s="129" t="s">
        <v>279</v>
      </c>
      <c r="B38" s="129" t="s">
        <v>3769</v>
      </c>
      <c r="C38" s="129">
        <v>2563</v>
      </c>
      <c r="D38" s="129" t="s">
        <v>2012</v>
      </c>
      <c r="E38" s="129">
        <v>134</v>
      </c>
      <c r="F38" s="129">
        <v>0</v>
      </c>
      <c r="G38" s="129">
        <v>53</v>
      </c>
      <c r="H38" s="129">
        <v>0</v>
      </c>
      <c r="I38" s="129">
        <v>39.6</v>
      </c>
      <c r="J38" s="129">
        <v>0</v>
      </c>
      <c r="K38" s="129">
        <v>1.7</v>
      </c>
      <c r="L38" s="129">
        <f t="shared" si="25"/>
        <v>134</v>
      </c>
      <c r="M38" s="129">
        <f t="shared" si="26"/>
        <v>53</v>
      </c>
      <c r="N38" s="128">
        <f t="shared" si="27"/>
        <v>0.39550000000000002</v>
      </c>
      <c r="O38" s="164">
        <f t="shared" si="28"/>
        <v>1.7</v>
      </c>
      <c r="P38" s="185">
        <f t="shared" si="29"/>
        <v>0</v>
      </c>
      <c r="Q38" s="185">
        <f t="shared" si="30"/>
        <v>1.7</v>
      </c>
      <c r="R38" s="162" t="b">
        <f t="shared" si="0"/>
        <v>0</v>
      </c>
    </row>
    <row r="39" spans="1:18">
      <c r="A39" s="129" t="s">
        <v>279</v>
      </c>
      <c r="B39" s="129" t="s">
        <v>3769</v>
      </c>
      <c r="C39" s="129">
        <v>2564</v>
      </c>
      <c r="D39" s="129" t="s">
        <v>2014</v>
      </c>
      <c r="E39" s="129">
        <v>100</v>
      </c>
      <c r="F39" s="129">
        <v>0</v>
      </c>
      <c r="G39" s="129">
        <v>48</v>
      </c>
      <c r="H39" s="129">
        <v>0</v>
      </c>
      <c r="I39" s="129">
        <v>48</v>
      </c>
      <c r="J39" s="129">
        <v>0</v>
      </c>
      <c r="K39" s="129">
        <v>4.4000000000000004</v>
      </c>
      <c r="L39" s="129">
        <f t="shared" si="25"/>
        <v>100</v>
      </c>
      <c r="M39" s="129">
        <f t="shared" si="26"/>
        <v>48</v>
      </c>
      <c r="N39" s="128">
        <f t="shared" si="27"/>
        <v>0.48</v>
      </c>
      <c r="O39" s="164">
        <f t="shared" si="28"/>
        <v>4.4000000000000004</v>
      </c>
      <c r="P39" s="185">
        <f t="shared" si="29"/>
        <v>0</v>
      </c>
      <c r="Q39" s="185">
        <f t="shared" si="30"/>
        <v>4.4000000000000004</v>
      </c>
      <c r="R39" s="162" t="b">
        <f t="shared" si="0"/>
        <v>0</v>
      </c>
    </row>
    <row r="40" spans="1:18">
      <c r="A40" s="129" t="s">
        <v>279</v>
      </c>
      <c r="B40" s="129" t="s">
        <v>3769</v>
      </c>
      <c r="C40" s="129">
        <v>2569</v>
      </c>
      <c r="D40" s="129" t="s">
        <v>2016</v>
      </c>
      <c r="E40" s="129">
        <v>193</v>
      </c>
      <c r="F40" s="129">
        <v>0</v>
      </c>
      <c r="G40" s="129">
        <v>81</v>
      </c>
      <c r="H40" s="129">
        <v>0</v>
      </c>
      <c r="I40" s="129">
        <v>42</v>
      </c>
      <c r="J40" s="129">
        <v>0</v>
      </c>
      <c r="K40" s="129">
        <v>4</v>
      </c>
      <c r="L40" s="129">
        <f t="shared" si="25"/>
        <v>193</v>
      </c>
      <c r="M40" s="129">
        <f t="shared" si="26"/>
        <v>81</v>
      </c>
      <c r="N40" s="128">
        <f t="shared" si="27"/>
        <v>0.41970000000000002</v>
      </c>
      <c r="O40" s="164">
        <f t="shared" si="28"/>
        <v>4</v>
      </c>
      <c r="P40" s="185">
        <f t="shared" si="29"/>
        <v>0</v>
      </c>
      <c r="Q40" s="185">
        <f t="shared" si="30"/>
        <v>4</v>
      </c>
      <c r="R40" s="162" t="b">
        <f t="shared" si="0"/>
        <v>0</v>
      </c>
    </row>
    <row r="41" spans="1:18">
      <c r="A41" s="129" t="s">
        <v>282</v>
      </c>
      <c r="B41" s="129" t="s">
        <v>25</v>
      </c>
      <c r="C41" s="129">
        <v>2644</v>
      </c>
      <c r="D41" s="129" t="s">
        <v>2028</v>
      </c>
      <c r="E41" s="129">
        <v>337</v>
      </c>
      <c r="F41" s="129">
        <v>0</v>
      </c>
      <c r="G41" s="129">
        <v>176</v>
      </c>
      <c r="H41" s="129">
        <v>0</v>
      </c>
      <c r="I41" s="129">
        <v>52.2</v>
      </c>
      <c r="J41" s="129">
        <v>18.5</v>
      </c>
      <c r="K41" s="129">
        <v>0</v>
      </c>
      <c r="L41" s="129">
        <f t="shared" si="25"/>
        <v>337</v>
      </c>
      <c r="M41" s="129">
        <f t="shared" si="26"/>
        <v>176</v>
      </c>
      <c r="N41" s="128">
        <f t="shared" si="27"/>
        <v>0.52229999999999999</v>
      </c>
      <c r="O41" s="164">
        <f t="shared" si="28"/>
        <v>0</v>
      </c>
      <c r="P41" s="185">
        <f t="shared" si="29"/>
        <v>18.5</v>
      </c>
      <c r="Q41" s="185">
        <f t="shared" si="30"/>
        <v>18.5</v>
      </c>
      <c r="R41" s="162" t="b">
        <f t="shared" si="0"/>
        <v>0</v>
      </c>
    </row>
    <row r="42" spans="1:18">
      <c r="A42" s="129" t="s">
        <v>282</v>
      </c>
      <c r="B42" s="129" t="s">
        <v>25</v>
      </c>
      <c r="C42" s="129">
        <v>2648</v>
      </c>
      <c r="D42" s="129" t="s">
        <v>2030</v>
      </c>
      <c r="E42" s="129">
        <v>358</v>
      </c>
      <c r="F42" s="129">
        <v>0</v>
      </c>
      <c r="G42" s="129">
        <v>243</v>
      </c>
      <c r="H42" s="129">
        <v>0</v>
      </c>
      <c r="I42" s="129">
        <v>67.900000000000006</v>
      </c>
      <c r="J42" s="129">
        <v>25.5</v>
      </c>
      <c r="K42" s="129">
        <v>0</v>
      </c>
      <c r="L42" s="129">
        <f t="shared" si="25"/>
        <v>358</v>
      </c>
      <c r="M42" s="129">
        <f t="shared" si="26"/>
        <v>243</v>
      </c>
      <c r="N42" s="128">
        <f t="shared" si="27"/>
        <v>0.67879999999999996</v>
      </c>
      <c r="O42" s="164">
        <f t="shared" si="28"/>
        <v>0</v>
      </c>
      <c r="P42" s="185">
        <f t="shared" si="29"/>
        <v>25.5</v>
      </c>
      <c r="Q42" s="185">
        <f t="shared" si="30"/>
        <v>25.5</v>
      </c>
      <c r="R42" s="162" t="b">
        <f t="shared" si="0"/>
        <v>0</v>
      </c>
    </row>
    <row r="43" spans="1:18">
      <c r="A43" s="129" t="s">
        <v>282</v>
      </c>
      <c r="B43" s="129" t="s">
        <v>25</v>
      </c>
      <c r="C43" s="129">
        <v>2650</v>
      </c>
      <c r="D43" s="129" t="s">
        <v>2032</v>
      </c>
      <c r="E43" s="129">
        <v>485</v>
      </c>
      <c r="F43" s="129">
        <v>0</v>
      </c>
      <c r="G43" s="129">
        <v>223</v>
      </c>
      <c r="H43" s="129">
        <v>0</v>
      </c>
      <c r="I43" s="129">
        <v>46</v>
      </c>
      <c r="J43" s="129">
        <v>0</v>
      </c>
      <c r="K43" s="129">
        <v>17.100000000000001</v>
      </c>
      <c r="L43" s="129">
        <f t="shared" si="25"/>
        <v>485</v>
      </c>
      <c r="M43" s="129">
        <f t="shared" si="26"/>
        <v>223</v>
      </c>
      <c r="N43" s="128">
        <f t="shared" si="27"/>
        <v>0.45979999999999999</v>
      </c>
      <c r="O43" s="164">
        <f t="shared" si="28"/>
        <v>17.100000000000001</v>
      </c>
      <c r="P43" s="185">
        <f t="shared" si="29"/>
        <v>0</v>
      </c>
      <c r="Q43" s="185">
        <f t="shared" si="30"/>
        <v>17.100000000000001</v>
      </c>
      <c r="R43" s="162" t="b">
        <f t="shared" si="0"/>
        <v>0</v>
      </c>
    </row>
    <row r="44" spans="1:18">
      <c r="A44" s="129" t="s">
        <v>282</v>
      </c>
      <c r="B44" s="129" t="s">
        <v>25</v>
      </c>
      <c r="C44" s="129">
        <v>2652</v>
      </c>
      <c r="D44" s="129" t="s">
        <v>2034</v>
      </c>
      <c r="E44" s="129">
        <v>712</v>
      </c>
      <c r="F44" s="129">
        <v>0</v>
      </c>
      <c r="G44" s="129">
        <v>290</v>
      </c>
      <c r="H44" s="129">
        <v>0</v>
      </c>
      <c r="I44" s="129">
        <v>40.700000000000003</v>
      </c>
      <c r="J44" s="129">
        <v>0</v>
      </c>
      <c r="K44" s="129">
        <v>11.6</v>
      </c>
      <c r="L44" s="129">
        <f t="shared" si="25"/>
        <v>712</v>
      </c>
      <c r="M44" s="129">
        <f t="shared" si="26"/>
        <v>290</v>
      </c>
      <c r="N44" s="128">
        <f t="shared" si="27"/>
        <v>0.4073</v>
      </c>
      <c r="O44" s="164">
        <f t="shared" si="28"/>
        <v>11.6</v>
      </c>
      <c r="P44" s="185">
        <f t="shared" si="29"/>
        <v>0</v>
      </c>
      <c r="Q44" s="185">
        <f t="shared" si="30"/>
        <v>11.6</v>
      </c>
      <c r="R44" s="162" t="b">
        <f t="shared" si="0"/>
        <v>0</v>
      </c>
    </row>
    <row r="45" spans="1:18">
      <c r="A45" s="129" t="s">
        <v>282</v>
      </c>
      <c r="B45" s="129" t="s">
        <v>25</v>
      </c>
      <c r="C45" s="129">
        <v>2658</v>
      </c>
      <c r="D45" s="129" t="s">
        <v>2036</v>
      </c>
      <c r="E45" s="129">
        <v>321</v>
      </c>
      <c r="F45" s="129">
        <v>0</v>
      </c>
      <c r="G45" s="129">
        <v>156</v>
      </c>
      <c r="H45" s="129">
        <v>0</v>
      </c>
      <c r="I45" s="129">
        <v>48.6</v>
      </c>
      <c r="J45" s="129">
        <v>0</v>
      </c>
      <c r="K45" s="129">
        <v>14.9</v>
      </c>
      <c r="L45" s="129">
        <f t="shared" si="25"/>
        <v>321</v>
      </c>
      <c r="M45" s="129">
        <f t="shared" si="26"/>
        <v>156</v>
      </c>
      <c r="N45" s="128">
        <f t="shared" si="27"/>
        <v>0.48599999999999999</v>
      </c>
      <c r="O45" s="164">
        <f t="shared" si="28"/>
        <v>14.9</v>
      </c>
      <c r="P45" s="185">
        <f t="shared" si="29"/>
        <v>0</v>
      </c>
      <c r="Q45" s="185">
        <f t="shared" si="30"/>
        <v>14.9</v>
      </c>
      <c r="R45" s="162" t="b">
        <f t="shared" si="0"/>
        <v>0</v>
      </c>
    </row>
    <row r="46" spans="1:18">
      <c r="A46" s="129" t="s">
        <v>282</v>
      </c>
      <c r="B46" s="129" t="s">
        <v>25</v>
      </c>
      <c r="C46" s="129">
        <v>2659</v>
      </c>
      <c r="D46" s="129" t="s">
        <v>4004</v>
      </c>
      <c r="E46" s="129">
        <v>1</v>
      </c>
      <c r="F46" s="129">
        <v>0</v>
      </c>
      <c r="G46" s="129">
        <v>1</v>
      </c>
      <c r="H46" s="129">
        <v>0</v>
      </c>
      <c r="I46" s="129">
        <v>100</v>
      </c>
      <c r="J46" s="129">
        <v>0.1</v>
      </c>
      <c r="K46" s="129">
        <v>0</v>
      </c>
      <c r="L46" s="129">
        <f t="shared" si="25"/>
        <v>1</v>
      </c>
      <c r="M46" s="129">
        <f t="shared" si="26"/>
        <v>1</v>
      </c>
      <c r="N46" s="128">
        <f t="shared" si="27"/>
        <v>1</v>
      </c>
      <c r="O46" s="164">
        <f t="shared" si="28"/>
        <v>0</v>
      </c>
      <c r="P46" s="185">
        <f t="shared" si="29"/>
        <v>0.1</v>
      </c>
      <c r="Q46" s="185">
        <f t="shared" si="30"/>
        <v>0.1</v>
      </c>
      <c r="R46" s="162" t="b">
        <f t="shared" si="0"/>
        <v>0</v>
      </c>
    </row>
    <row r="47" spans="1:18">
      <c r="A47" s="129" t="s">
        <v>309</v>
      </c>
      <c r="B47" s="129" t="s">
        <v>37</v>
      </c>
      <c r="C47" s="129">
        <v>3562</v>
      </c>
      <c r="D47" s="129" t="s">
        <v>2209</v>
      </c>
      <c r="E47" s="129">
        <v>67</v>
      </c>
      <c r="F47" s="129">
        <v>0</v>
      </c>
      <c r="G47" s="129">
        <v>33</v>
      </c>
      <c r="H47" s="129">
        <v>0</v>
      </c>
      <c r="I47" s="129">
        <v>49.3</v>
      </c>
      <c r="J47" s="129">
        <v>0</v>
      </c>
      <c r="K47" s="129">
        <v>3.3</v>
      </c>
      <c r="L47" s="129">
        <f t="shared" si="25"/>
        <v>67</v>
      </c>
      <c r="M47" s="129">
        <f t="shared" si="26"/>
        <v>33</v>
      </c>
      <c r="N47" s="128">
        <f t="shared" si="27"/>
        <v>0.49249999999999999</v>
      </c>
      <c r="O47" s="164">
        <f t="shared" si="28"/>
        <v>3.3</v>
      </c>
      <c r="P47" s="185">
        <f t="shared" si="29"/>
        <v>0</v>
      </c>
      <c r="Q47" s="185">
        <f t="shared" si="30"/>
        <v>3.3</v>
      </c>
      <c r="R47" s="162" t="b">
        <f t="shared" si="0"/>
        <v>0</v>
      </c>
    </row>
    <row r="48" spans="1:18">
      <c r="A48" s="129" t="s">
        <v>309</v>
      </c>
      <c r="B48" s="129" t="s">
        <v>37</v>
      </c>
      <c r="C48" s="129">
        <v>3564</v>
      </c>
      <c r="D48" s="129" t="s">
        <v>2211</v>
      </c>
      <c r="E48" s="129">
        <v>47</v>
      </c>
      <c r="F48" s="129">
        <v>0</v>
      </c>
      <c r="G48" s="129">
        <v>22</v>
      </c>
      <c r="H48" s="129">
        <v>0</v>
      </c>
      <c r="I48" s="129">
        <v>46.8</v>
      </c>
      <c r="J48" s="129">
        <v>0</v>
      </c>
      <c r="K48" s="129">
        <v>1.8</v>
      </c>
      <c r="L48" s="129">
        <f t="shared" si="25"/>
        <v>47</v>
      </c>
      <c r="M48" s="129">
        <f t="shared" si="26"/>
        <v>22</v>
      </c>
      <c r="N48" s="128">
        <f t="shared" si="27"/>
        <v>0.46810000000000002</v>
      </c>
      <c r="O48" s="164">
        <f t="shared" si="28"/>
        <v>1.8</v>
      </c>
      <c r="P48" s="185">
        <f t="shared" si="29"/>
        <v>0</v>
      </c>
      <c r="Q48" s="185">
        <f t="shared" si="30"/>
        <v>1.8</v>
      </c>
      <c r="R48" s="162" t="b">
        <f t="shared" si="0"/>
        <v>0</v>
      </c>
    </row>
    <row r="49" spans="1:18">
      <c r="A49" s="129" t="s">
        <v>372</v>
      </c>
      <c r="B49" s="129" t="s">
        <v>3850</v>
      </c>
      <c r="C49" s="129">
        <v>5354</v>
      </c>
      <c r="D49" s="129" t="s">
        <v>2603</v>
      </c>
      <c r="E49" s="129">
        <v>253</v>
      </c>
      <c r="F49" s="129">
        <v>0</v>
      </c>
      <c r="G49" s="129">
        <v>128</v>
      </c>
      <c r="H49" s="129">
        <v>0</v>
      </c>
      <c r="I49" s="129">
        <v>50.6</v>
      </c>
      <c r="J49" s="129">
        <v>13.4</v>
      </c>
      <c r="K49" s="129">
        <v>0</v>
      </c>
      <c r="L49" s="129">
        <f t="shared" si="25"/>
        <v>253</v>
      </c>
      <c r="M49" s="129">
        <f t="shared" si="26"/>
        <v>128</v>
      </c>
      <c r="N49" s="128">
        <f t="shared" si="27"/>
        <v>0.50590000000000002</v>
      </c>
      <c r="O49" s="164">
        <f t="shared" si="28"/>
        <v>0</v>
      </c>
      <c r="P49" s="185">
        <f t="shared" si="29"/>
        <v>13.4</v>
      </c>
      <c r="Q49" s="185">
        <f t="shared" si="30"/>
        <v>13.4</v>
      </c>
      <c r="R49" s="162" t="b">
        <f t="shared" si="0"/>
        <v>0</v>
      </c>
    </row>
    <row r="50" spans="1:18">
      <c r="A50" s="129" t="s">
        <v>372</v>
      </c>
      <c r="B50" s="129" t="s">
        <v>3850</v>
      </c>
      <c r="C50" s="129">
        <v>5356</v>
      </c>
      <c r="D50" s="129" t="s">
        <v>2605</v>
      </c>
      <c r="E50" s="129">
        <v>113</v>
      </c>
      <c r="F50" s="129">
        <v>0</v>
      </c>
      <c r="G50" s="129">
        <v>51</v>
      </c>
      <c r="H50" s="129">
        <v>0</v>
      </c>
      <c r="I50" s="129">
        <v>45.1</v>
      </c>
      <c r="J50" s="129">
        <v>0</v>
      </c>
      <c r="K50" s="129">
        <v>3.6</v>
      </c>
      <c r="L50" s="129">
        <f t="shared" si="25"/>
        <v>113</v>
      </c>
      <c r="M50" s="129">
        <f t="shared" si="26"/>
        <v>51</v>
      </c>
      <c r="N50" s="128">
        <f t="shared" si="27"/>
        <v>0.45129999999999998</v>
      </c>
      <c r="O50" s="164">
        <f t="shared" si="28"/>
        <v>3.6</v>
      </c>
      <c r="P50" s="185">
        <f t="shared" si="29"/>
        <v>0</v>
      </c>
      <c r="Q50" s="185">
        <f t="shared" si="30"/>
        <v>3.6</v>
      </c>
      <c r="R50" s="162" t="b">
        <f t="shared" si="0"/>
        <v>0</v>
      </c>
    </row>
    <row r="51" spans="1:18">
      <c r="A51" s="129" t="s">
        <v>425</v>
      </c>
      <c r="B51" s="129" t="s">
        <v>3900</v>
      </c>
      <c r="C51" s="129">
        <v>7094</v>
      </c>
      <c r="D51" s="129" t="s">
        <v>2948</v>
      </c>
      <c r="E51" s="129">
        <v>93</v>
      </c>
      <c r="F51" s="129">
        <v>0</v>
      </c>
      <c r="G51" s="129">
        <v>63</v>
      </c>
      <c r="H51" s="129">
        <v>0</v>
      </c>
      <c r="I51" s="129">
        <v>67.7</v>
      </c>
      <c r="J51" s="129">
        <v>6.6</v>
      </c>
      <c r="K51" s="129">
        <v>0</v>
      </c>
      <c r="L51" s="129">
        <f t="shared" si="25"/>
        <v>93</v>
      </c>
      <c r="M51" s="129">
        <f t="shared" si="26"/>
        <v>63</v>
      </c>
      <c r="N51" s="128">
        <f t="shared" si="27"/>
        <v>0.6774</v>
      </c>
      <c r="O51" s="164">
        <f t="shared" si="28"/>
        <v>0</v>
      </c>
      <c r="P51" s="185">
        <f t="shared" si="29"/>
        <v>6.6</v>
      </c>
      <c r="Q51" s="185">
        <f t="shared" si="30"/>
        <v>6.6</v>
      </c>
      <c r="R51" s="162" t="b">
        <f t="shared" si="0"/>
        <v>0</v>
      </c>
    </row>
    <row r="52" spans="1:18">
      <c r="A52" s="129" t="s">
        <v>425</v>
      </c>
      <c r="B52" s="129" t="s">
        <v>3900</v>
      </c>
      <c r="C52" s="129">
        <v>7096</v>
      </c>
      <c r="D52" s="129" t="s">
        <v>2950</v>
      </c>
      <c r="E52" s="129">
        <v>66</v>
      </c>
      <c r="F52" s="129">
        <v>0</v>
      </c>
      <c r="G52" s="129">
        <v>30</v>
      </c>
      <c r="H52" s="129">
        <v>0</v>
      </c>
      <c r="I52" s="129">
        <v>45.5</v>
      </c>
      <c r="J52" s="129">
        <v>0</v>
      </c>
      <c r="K52" s="129">
        <v>2.2000000000000002</v>
      </c>
      <c r="L52" s="129">
        <f t="shared" si="25"/>
        <v>66</v>
      </c>
      <c r="M52" s="129">
        <f t="shared" si="26"/>
        <v>30</v>
      </c>
      <c r="N52" s="128">
        <f t="shared" si="27"/>
        <v>0.45450000000000002</v>
      </c>
      <c r="O52" s="164">
        <f t="shared" si="28"/>
        <v>2.2000000000000002</v>
      </c>
      <c r="P52" s="185">
        <f t="shared" si="29"/>
        <v>0</v>
      </c>
      <c r="Q52" s="185">
        <f t="shared" si="30"/>
        <v>2.2000000000000002</v>
      </c>
      <c r="R52" s="162" t="b">
        <f t="shared" si="0"/>
        <v>0</v>
      </c>
    </row>
    <row r="53" spans="1:18">
      <c r="A53" s="129" t="s">
        <v>425</v>
      </c>
      <c r="B53" s="129" t="s">
        <v>3900</v>
      </c>
      <c r="C53" s="129">
        <v>7104</v>
      </c>
      <c r="D53" s="129" t="s">
        <v>2952</v>
      </c>
      <c r="E53" s="129">
        <v>37</v>
      </c>
      <c r="F53" s="129">
        <v>0</v>
      </c>
      <c r="G53" s="129">
        <v>22</v>
      </c>
      <c r="H53" s="129">
        <v>0</v>
      </c>
      <c r="I53" s="129">
        <v>59.5</v>
      </c>
      <c r="J53" s="129">
        <v>2.2999999999999998</v>
      </c>
      <c r="K53" s="129">
        <v>0</v>
      </c>
      <c r="L53" s="129">
        <f t="shared" si="25"/>
        <v>37</v>
      </c>
      <c r="M53" s="129">
        <f t="shared" si="26"/>
        <v>22</v>
      </c>
      <c r="N53" s="128">
        <f t="shared" si="27"/>
        <v>0.59460000000000002</v>
      </c>
      <c r="O53" s="164">
        <f t="shared" si="28"/>
        <v>0</v>
      </c>
      <c r="P53" s="185">
        <f t="shared" si="29"/>
        <v>2.2999999999999998</v>
      </c>
      <c r="Q53" s="185">
        <f t="shared" si="30"/>
        <v>2.2999999999999998</v>
      </c>
      <c r="R53" s="162" t="b">
        <f t="shared" si="0"/>
        <v>0</v>
      </c>
    </row>
    <row r="54" spans="1:18">
      <c r="A54" s="129" t="s">
        <v>428</v>
      </c>
      <c r="B54" s="129" t="s">
        <v>3903</v>
      </c>
      <c r="C54" s="129">
        <v>7184</v>
      </c>
      <c r="D54" s="129" t="s">
        <v>3000</v>
      </c>
      <c r="E54" s="129">
        <v>146</v>
      </c>
      <c r="F54" s="129">
        <v>0</v>
      </c>
      <c r="G54" s="129">
        <v>71</v>
      </c>
      <c r="H54" s="129">
        <v>0</v>
      </c>
      <c r="I54" s="129">
        <v>48.6</v>
      </c>
      <c r="J54" s="129">
        <v>0</v>
      </c>
      <c r="K54" s="129">
        <v>6.8</v>
      </c>
      <c r="L54" s="129">
        <f t="shared" si="25"/>
        <v>146</v>
      </c>
      <c r="M54" s="129">
        <f t="shared" si="26"/>
        <v>71</v>
      </c>
      <c r="N54" s="128">
        <f t="shared" si="27"/>
        <v>0.48630000000000001</v>
      </c>
      <c r="O54" s="164">
        <f t="shared" si="28"/>
        <v>6.8</v>
      </c>
      <c r="P54" s="185">
        <f t="shared" si="29"/>
        <v>0</v>
      </c>
      <c r="Q54" s="185">
        <f t="shared" si="30"/>
        <v>6.8</v>
      </c>
      <c r="R54" s="162" t="b">
        <f t="shared" si="0"/>
        <v>0</v>
      </c>
    </row>
    <row r="55" spans="1:18">
      <c r="A55" s="129" t="s">
        <v>428</v>
      </c>
      <c r="B55" s="129" t="s">
        <v>3903</v>
      </c>
      <c r="C55" s="129">
        <v>7186</v>
      </c>
      <c r="D55" s="129" t="s">
        <v>3002</v>
      </c>
      <c r="E55" s="129">
        <v>68</v>
      </c>
      <c r="F55" s="129">
        <v>0</v>
      </c>
      <c r="G55" s="129">
        <v>19</v>
      </c>
      <c r="H55" s="129">
        <v>0</v>
      </c>
      <c r="I55" s="129">
        <v>27.9</v>
      </c>
      <c r="J55" s="129">
        <v>0</v>
      </c>
      <c r="K55" s="129">
        <v>0</v>
      </c>
      <c r="L55" s="129">
        <f t="shared" si="25"/>
        <v>68</v>
      </c>
      <c r="M55" s="129">
        <f t="shared" si="26"/>
        <v>19</v>
      </c>
      <c r="N55" s="128">
        <f t="shared" si="27"/>
        <v>0.27939999999999998</v>
      </c>
      <c r="O55" s="164">
        <f t="shared" si="28"/>
        <v>0</v>
      </c>
      <c r="P55" s="185">
        <f t="shared" si="29"/>
        <v>0</v>
      </c>
      <c r="Q55" s="185">
        <f t="shared" si="30"/>
        <v>0</v>
      </c>
      <c r="R55" s="162" t="b">
        <f t="shared" si="0"/>
        <v>0</v>
      </c>
    </row>
    <row r="56" spans="1:18">
      <c r="A56" s="129" t="s">
        <v>236</v>
      </c>
      <c r="B56" s="129" t="s">
        <v>3728</v>
      </c>
      <c r="C56" s="129">
        <v>1060</v>
      </c>
      <c r="D56" s="129" t="s">
        <v>1527</v>
      </c>
      <c r="E56" s="129">
        <v>314</v>
      </c>
      <c r="F56" s="129">
        <v>0</v>
      </c>
      <c r="G56" s="129">
        <v>144</v>
      </c>
      <c r="H56" s="129">
        <v>0</v>
      </c>
      <c r="I56" s="129">
        <v>45.9</v>
      </c>
      <c r="J56" s="129">
        <v>0</v>
      </c>
      <c r="K56" s="129">
        <v>10.9</v>
      </c>
      <c r="L56" s="129">
        <f t="shared" ref="L56:L57" si="31">SUM(E56:F56)</f>
        <v>314</v>
      </c>
      <c r="M56" s="129">
        <f t="shared" ref="M56:M57" si="32">SUM(G56:H56)</f>
        <v>144</v>
      </c>
      <c r="N56" s="128">
        <f t="shared" ref="N56:N57" si="33">IF(ISERROR(M56/L56),0,M56/L56)</f>
        <v>0.45860000000000001</v>
      </c>
      <c r="O56" s="164">
        <f t="shared" ref="O56:O57" si="34">IF(AND((N56-35%)&gt;0,N56&lt;50%),M56*(N56-35%)*0.7,0)</f>
        <v>10.9</v>
      </c>
      <c r="P56" s="185">
        <f t="shared" ref="P56:P57" si="35">IF(N56&gt;=50%,M56*10.5%,0)</f>
        <v>0</v>
      </c>
      <c r="Q56" s="185">
        <f t="shared" ref="Q56:Q57" si="36">MAX(O56,P56)</f>
        <v>10.9</v>
      </c>
      <c r="R56" s="162" t="b">
        <f t="shared" si="0"/>
        <v>0</v>
      </c>
    </row>
    <row r="57" spans="1:18">
      <c r="A57" s="129" t="s">
        <v>236</v>
      </c>
      <c r="B57" s="129" t="s">
        <v>3728</v>
      </c>
      <c r="C57" s="129">
        <v>1064</v>
      </c>
      <c r="D57" s="129" t="s">
        <v>1529</v>
      </c>
      <c r="E57" s="129">
        <v>307</v>
      </c>
      <c r="F57" s="129">
        <v>0</v>
      </c>
      <c r="G57" s="129">
        <v>122</v>
      </c>
      <c r="H57" s="129">
        <v>0</v>
      </c>
      <c r="I57" s="129">
        <v>39.700000000000003</v>
      </c>
      <c r="J57" s="129">
        <v>0</v>
      </c>
      <c r="K57" s="129">
        <v>4</v>
      </c>
      <c r="L57" s="129">
        <f t="shared" si="31"/>
        <v>307</v>
      </c>
      <c r="M57" s="129">
        <f t="shared" si="32"/>
        <v>122</v>
      </c>
      <c r="N57" s="128">
        <f t="shared" si="33"/>
        <v>0.39739999999999998</v>
      </c>
      <c r="O57" s="164">
        <f t="shared" si="34"/>
        <v>4</v>
      </c>
      <c r="P57" s="185">
        <f t="shared" si="35"/>
        <v>0</v>
      </c>
      <c r="Q57" s="185">
        <f t="shared" si="36"/>
        <v>4</v>
      </c>
      <c r="R57" s="162" t="b">
        <f t="shared" si="0"/>
        <v>0</v>
      </c>
    </row>
    <row r="58" spans="1:18">
      <c r="A58" s="129" t="s">
        <v>311</v>
      </c>
      <c r="B58" s="129" t="s">
        <v>55</v>
      </c>
      <c r="C58" s="129">
        <v>3650</v>
      </c>
      <c r="D58" s="129" t="s">
        <v>2219</v>
      </c>
      <c r="E58" s="129">
        <v>191</v>
      </c>
      <c r="F58" s="129">
        <v>0</v>
      </c>
      <c r="G58" s="129">
        <v>61</v>
      </c>
      <c r="H58" s="129">
        <v>0</v>
      </c>
      <c r="I58" s="129">
        <v>31.9</v>
      </c>
      <c r="J58" s="129">
        <v>0</v>
      </c>
      <c r="K58" s="129">
        <v>0</v>
      </c>
      <c r="L58" s="129">
        <f t="shared" ref="L58:L60" si="37">SUM(E58:F58)</f>
        <v>191</v>
      </c>
      <c r="M58" s="129">
        <f t="shared" ref="M58:M60" si="38">SUM(G58:H58)</f>
        <v>61</v>
      </c>
      <c r="N58" s="128">
        <f t="shared" ref="N58:N60" si="39">IF(ISERROR(M58/L58),0,M58/L58)</f>
        <v>0.31940000000000002</v>
      </c>
      <c r="O58" s="164">
        <f t="shared" ref="O58:O60" si="40">IF(AND((N58-35%)&gt;0,N58&lt;50%),M58*(N58-35%)*0.7,0)</f>
        <v>0</v>
      </c>
      <c r="P58" s="185">
        <f t="shared" ref="P58:P60" si="41">IF(N58&gt;=50%,M58*10.5%,0)</f>
        <v>0</v>
      </c>
      <c r="Q58" s="185">
        <f t="shared" ref="Q58:Q60" si="42">MAX(O58,P58)</f>
        <v>0</v>
      </c>
      <c r="R58" s="162" t="b">
        <f t="shared" si="0"/>
        <v>0</v>
      </c>
    </row>
    <row r="59" spans="1:18">
      <c r="A59" s="129" t="s">
        <v>311</v>
      </c>
      <c r="B59" s="129" t="s">
        <v>55</v>
      </c>
      <c r="C59" s="129">
        <v>3652</v>
      </c>
      <c r="D59" s="129" t="s">
        <v>2221</v>
      </c>
      <c r="E59" s="129">
        <v>123</v>
      </c>
      <c r="F59" s="129">
        <v>0</v>
      </c>
      <c r="G59" s="129">
        <v>27</v>
      </c>
      <c r="H59" s="129">
        <v>0</v>
      </c>
      <c r="I59" s="129">
        <v>22</v>
      </c>
      <c r="J59" s="129">
        <v>0</v>
      </c>
      <c r="K59" s="129">
        <v>0</v>
      </c>
      <c r="L59" s="129">
        <f t="shared" si="37"/>
        <v>123</v>
      </c>
      <c r="M59" s="129">
        <f t="shared" si="38"/>
        <v>27</v>
      </c>
      <c r="N59" s="128">
        <f t="shared" si="39"/>
        <v>0.2195</v>
      </c>
      <c r="O59" s="164">
        <f t="shared" si="40"/>
        <v>0</v>
      </c>
      <c r="P59" s="185">
        <f t="shared" si="41"/>
        <v>0</v>
      </c>
      <c r="Q59" s="185">
        <f t="shared" si="42"/>
        <v>0</v>
      </c>
      <c r="R59" s="162" t="b">
        <f t="shared" si="0"/>
        <v>0</v>
      </c>
    </row>
    <row r="60" spans="1:18">
      <c r="A60" s="129" t="s">
        <v>311</v>
      </c>
      <c r="B60" s="129" t="s">
        <v>55</v>
      </c>
      <c r="C60" s="129">
        <v>3665</v>
      </c>
      <c r="D60" s="129" t="s">
        <v>2223</v>
      </c>
      <c r="E60" s="129">
        <v>85</v>
      </c>
      <c r="F60" s="129">
        <v>0</v>
      </c>
      <c r="G60" s="129">
        <v>18</v>
      </c>
      <c r="H60" s="129">
        <v>0</v>
      </c>
      <c r="I60" s="129">
        <v>21.2</v>
      </c>
      <c r="J60" s="129">
        <v>0</v>
      </c>
      <c r="K60" s="129">
        <v>0</v>
      </c>
      <c r="L60" s="129">
        <f t="shared" si="37"/>
        <v>85</v>
      </c>
      <c r="M60" s="129">
        <f t="shared" si="38"/>
        <v>18</v>
      </c>
      <c r="N60" s="128">
        <f t="shared" si="39"/>
        <v>0.21179999999999999</v>
      </c>
      <c r="O60" s="164">
        <f t="shared" si="40"/>
        <v>0</v>
      </c>
      <c r="P60" s="185">
        <f t="shared" si="41"/>
        <v>0</v>
      </c>
      <c r="Q60" s="185">
        <f t="shared" si="42"/>
        <v>0</v>
      </c>
      <c r="R60" s="162" t="b">
        <f t="shared" si="0"/>
        <v>0</v>
      </c>
    </row>
    <row r="61" spans="1:18">
      <c r="A61" s="129" t="s">
        <v>471</v>
      </c>
      <c r="B61" s="129" t="s">
        <v>3945</v>
      </c>
      <c r="C61" s="129">
        <v>8694</v>
      </c>
      <c r="D61" s="129" t="s">
        <v>3446</v>
      </c>
      <c r="E61" s="129">
        <v>128</v>
      </c>
      <c r="F61" s="129">
        <v>0</v>
      </c>
      <c r="G61" s="129">
        <v>76</v>
      </c>
      <c r="H61" s="129">
        <v>0</v>
      </c>
      <c r="I61" s="129">
        <v>59.4</v>
      </c>
      <c r="J61" s="129">
        <v>8</v>
      </c>
      <c r="K61" s="129">
        <v>0</v>
      </c>
      <c r="L61" s="129">
        <f t="shared" ref="L61:L62" si="43">SUM(E61:F61)</f>
        <v>128</v>
      </c>
      <c r="M61" s="129">
        <f t="shared" ref="M61:M62" si="44">SUM(G61:H61)</f>
        <v>76</v>
      </c>
      <c r="N61" s="128">
        <f t="shared" ref="N61:N62" si="45">IF(ISERROR(M61/L61),0,M61/L61)</f>
        <v>0.59379999999999999</v>
      </c>
      <c r="O61" s="164">
        <f t="shared" ref="O61:O62" si="46">IF(AND((N61-35%)&gt;0,N61&lt;50%),M61*(N61-35%)*0.7,0)</f>
        <v>0</v>
      </c>
      <c r="P61" s="185">
        <f t="shared" ref="P61:P62" si="47">IF(N61&gt;=50%,M61*10.5%,0)</f>
        <v>8</v>
      </c>
      <c r="Q61" s="185">
        <f t="shared" ref="Q61:Q62" si="48">MAX(O61,P61)</f>
        <v>8</v>
      </c>
      <c r="R61" s="162" t="b">
        <f t="shared" si="0"/>
        <v>0</v>
      </c>
    </row>
    <row r="62" spans="1:18">
      <c r="A62" s="129" t="s">
        <v>471</v>
      </c>
      <c r="B62" s="129" t="s">
        <v>3945</v>
      </c>
      <c r="C62" s="129">
        <v>8696</v>
      </c>
      <c r="D62" s="129" t="s">
        <v>3448</v>
      </c>
      <c r="E62" s="129">
        <v>114</v>
      </c>
      <c r="F62" s="129">
        <v>0</v>
      </c>
      <c r="G62" s="129">
        <v>66</v>
      </c>
      <c r="H62" s="129">
        <v>0</v>
      </c>
      <c r="I62" s="129">
        <v>57.9</v>
      </c>
      <c r="J62" s="129">
        <v>6.9</v>
      </c>
      <c r="K62" s="129">
        <v>0</v>
      </c>
      <c r="L62" s="129">
        <f t="shared" si="43"/>
        <v>114</v>
      </c>
      <c r="M62" s="129">
        <f t="shared" si="44"/>
        <v>66</v>
      </c>
      <c r="N62" s="128">
        <f t="shared" si="45"/>
        <v>0.57889999999999997</v>
      </c>
      <c r="O62" s="164">
        <f t="shared" si="46"/>
        <v>0</v>
      </c>
      <c r="P62" s="185">
        <f t="shared" si="47"/>
        <v>6.9</v>
      </c>
      <c r="Q62" s="185">
        <f t="shared" si="48"/>
        <v>6.9</v>
      </c>
      <c r="R62" s="162" t="b">
        <f t="shared" si="0"/>
        <v>0</v>
      </c>
    </row>
    <row r="63" spans="1:18">
      <c r="A63" s="129" t="s">
        <v>288</v>
      </c>
      <c r="B63" s="129" t="s">
        <v>45</v>
      </c>
      <c r="C63" s="129">
        <v>2840</v>
      </c>
      <c r="D63" s="129" t="s">
        <v>2030</v>
      </c>
      <c r="E63" s="129">
        <v>147</v>
      </c>
      <c r="F63" s="129">
        <v>0</v>
      </c>
      <c r="G63" s="129">
        <v>67</v>
      </c>
      <c r="H63" s="129">
        <v>0</v>
      </c>
      <c r="I63" s="129">
        <v>45.6</v>
      </c>
      <c r="J63" s="129">
        <v>0</v>
      </c>
      <c r="K63" s="129">
        <v>5</v>
      </c>
      <c r="L63" s="129">
        <f t="shared" ref="L63:L64" si="49">SUM(E63:F63)</f>
        <v>147</v>
      </c>
      <c r="M63" s="129">
        <f t="shared" ref="M63:M64" si="50">SUM(G63:H63)</f>
        <v>67</v>
      </c>
      <c r="N63" s="128">
        <f t="shared" ref="N63:N64" si="51">IF(ISERROR(M63/L63),0,M63/L63)</f>
        <v>0.45579999999999998</v>
      </c>
      <c r="O63" s="164">
        <f t="shared" ref="O63:O64" si="52">IF(AND((N63-35%)&gt;0,N63&lt;50%),M63*(N63-35%)*0.7,0)</f>
        <v>5</v>
      </c>
      <c r="P63" s="185">
        <f t="shared" ref="P63:P64" si="53">IF(N63&gt;=50%,M63*10.5%,0)</f>
        <v>0</v>
      </c>
      <c r="Q63" s="185">
        <f t="shared" ref="Q63:Q64" si="54">MAX(O63,P63)</f>
        <v>5</v>
      </c>
      <c r="R63" s="162" t="b">
        <f t="shared" si="0"/>
        <v>0</v>
      </c>
    </row>
    <row r="64" spans="1:18">
      <c r="A64" s="129" t="s">
        <v>288</v>
      </c>
      <c r="B64" s="129" t="s">
        <v>45</v>
      </c>
      <c r="C64" s="129">
        <v>2842</v>
      </c>
      <c r="D64" s="129" t="s">
        <v>2059</v>
      </c>
      <c r="E64" s="129">
        <v>191</v>
      </c>
      <c r="F64" s="129">
        <v>0</v>
      </c>
      <c r="G64" s="129">
        <v>88</v>
      </c>
      <c r="H64" s="129">
        <v>0</v>
      </c>
      <c r="I64" s="129">
        <v>46.1</v>
      </c>
      <c r="J64" s="129">
        <v>0</v>
      </c>
      <c r="K64" s="129">
        <v>6.8</v>
      </c>
      <c r="L64" s="129">
        <f t="shared" si="49"/>
        <v>191</v>
      </c>
      <c r="M64" s="129">
        <f t="shared" si="50"/>
        <v>88</v>
      </c>
      <c r="N64" s="128">
        <f t="shared" si="51"/>
        <v>0.4607</v>
      </c>
      <c r="O64" s="164">
        <f t="shared" si="52"/>
        <v>6.8</v>
      </c>
      <c r="P64" s="185">
        <f t="shared" si="53"/>
        <v>0</v>
      </c>
      <c r="Q64" s="185">
        <f t="shared" si="54"/>
        <v>6.8</v>
      </c>
      <c r="R64" s="162" t="b">
        <f t="shared" si="0"/>
        <v>0</v>
      </c>
    </row>
    <row r="65" spans="1:18">
      <c r="A65" s="129" t="s">
        <v>200</v>
      </c>
      <c r="B65" s="129" t="s">
        <v>3694</v>
      </c>
      <c r="C65" s="129">
        <v>415</v>
      </c>
      <c r="D65" s="129" t="s">
        <v>1096</v>
      </c>
      <c r="E65" s="129">
        <v>75</v>
      </c>
      <c r="F65" s="129">
        <v>0</v>
      </c>
      <c r="G65" s="129">
        <v>37</v>
      </c>
      <c r="H65" s="129">
        <v>0</v>
      </c>
      <c r="I65" s="129">
        <v>49.3</v>
      </c>
      <c r="J65" s="129">
        <v>0</v>
      </c>
      <c r="K65" s="129">
        <v>3.7</v>
      </c>
      <c r="L65" s="129">
        <f t="shared" ref="L65:L93" si="55">SUM(E65:F65)</f>
        <v>75</v>
      </c>
      <c r="M65" s="129">
        <f t="shared" ref="M65:M93" si="56">SUM(G65:H65)</f>
        <v>37</v>
      </c>
      <c r="N65" s="128">
        <f t="shared" ref="N65:N93" si="57">IF(ISERROR(M65/L65),0,M65/L65)</f>
        <v>0.49330000000000002</v>
      </c>
      <c r="O65" s="164">
        <f t="shared" ref="O65:O93" si="58">IF(AND((N65-35%)&gt;0,N65&lt;50%),M65*(N65-35%)*0.7,0)</f>
        <v>3.7</v>
      </c>
      <c r="P65" s="185">
        <f t="shared" ref="P65:P93" si="59">IF(N65&gt;=50%,M65*10.5%,0)</f>
        <v>0</v>
      </c>
      <c r="Q65" s="185">
        <f t="shared" ref="Q65:Q93" si="60">MAX(O65,P65)</f>
        <v>3.7</v>
      </c>
      <c r="R65" s="162" t="b">
        <f t="shared" si="0"/>
        <v>0</v>
      </c>
    </row>
    <row r="66" spans="1:18">
      <c r="A66" s="129" t="s">
        <v>200</v>
      </c>
      <c r="B66" s="129" t="s">
        <v>3694</v>
      </c>
      <c r="C66" s="129">
        <v>416</v>
      </c>
      <c r="D66" s="129" t="s">
        <v>1098</v>
      </c>
      <c r="E66" s="129">
        <v>206</v>
      </c>
      <c r="F66" s="129">
        <v>0</v>
      </c>
      <c r="G66" s="129">
        <v>77</v>
      </c>
      <c r="H66" s="129">
        <v>0</v>
      </c>
      <c r="I66" s="129">
        <v>37.4</v>
      </c>
      <c r="J66" s="129">
        <v>0</v>
      </c>
      <c r="K66" s="129">
        <v>1.3</v>
      </c>
      <c r="L66" s="129">
        <f t="shared" si="55"/>
        <v>206</v>
      </c>
      <c r="M66" s="129">
        <f t="shared" si="56"/>
        <v>77</v>
      </c>
      <c r="N66" s="128">
        <f t="shared" si="57"/>
        <v>0.37380000000000002</v>
      </c>
      <c r="O66" s="164">
        <f t="shared" si="58"/>
        <v>1.3</v>
      </c>
      <c r="P66" s="185">
        <f t="shared" si="59"/>
        <v>0</v>
      </c>
      <c r="Q66" s="185">
        <f t="shared" si="60"/>
        <v>1.3</v>
      </c>
      <c r="R66" s="162" t="b">
        <f t="shared" si="0"/>
        <v>0</v>
      </c>
    </row>
    <row r="67" spans="1:18">
      <c r="A67" s="129" t="s">
        <v>200</v>
      </c>
      <c r="B67" s="129" t="s">
        <v>3694</v>
      </c>
      <c r="C67" s="129">
        <v>417</v>
      </c>
      <c r="D67" s="129" t="s">
        <v>1100</v>
      </c>
      <c r="E67" s="129">
        <v>140</v>
      </c>
      <c r="F67" s="129">
        <v>0</v>
      </c>
      <c r="G67" s="129">
        <v>55</v>
      </c>
      <c r="H67" s="129">
        <v>0</v>
      </c>
      <c r="I67" s="129">
        <v>39.299999999999997</v>
      </c>
      <c r="J67" s="129">
        <v>0</v>
      </c>
      <c r="K67" s="129">
        <v>1.7</v>
      </c>
      <c r="L67" s="129">
        <f t="shared" si="55"/>
        <v>140</v>
      </c>
      <c r="M67" s="129">
        <f t="shared" si="56"/>
        <v>55</v>
      </c>
      <c r="N67" s="128">
        <f t="shared" si="57"/>
        <v>0.39290000000000003</v>
      </c>
      <c r="O67" s="164">
        <f t="shared" si="58"/>
        <v>1.7</v>
      </c>
      <c r="P67" s="185">
        <f t="shared" si="59"/>
        <v>0</v>
      </c>
      <c r="Q67" s="185">
        <f t="shared" si="60"/>
        <v>1.7</v>
      </c>
      <c r="R67" s="162" t="b">
        <f t="shared" si="0"/>
        <v>0</v>
      </c>
    </row>
    <row r="68" spans="1:18">
      <c r="A68" s="129" t="s">
        <v>200</v>
      </c>
      <c r="B68" s="129" t="s">
        <v>3694</v>
      </c>
      <c r="C68" s="129">
        <v>1129</v>
      </c>
      <c r="D68" s="129" t="s">
        <v>3966</v>
      </c>
      <c r="E68" s="129">
        <v>5</v>
      </c>
      <c r="F68" s="129">
        <v>0</v>
      </c>
      <c r="H68" s="129">
        <v>0</v>
      </c>
      <c r="J68" s="129">
        <v>0</v>
      </c>
      <c r="K68" s="129">
        <v>0</v>
      </c>
      <c r="L68" s="129">
        <f t="shared" si="55"/>
        <v>5</v>
      </c>
      <c r="M68" s="129">
        <f t="shared" si="56"/>
        <v>0</v>
      </c>
      <c r="N68" s="128">
        <f t="shared" si="57"/>
        <v>0</v>
      </c>
      <c r="O68" s="164">
        <f t="shared" si="58"/>
        <v>0</v>
      </c>
      <c r="P68" s="185">
        <f t="shared" si="59"/>
        <v>0</v>
      </c>
      <c r="Q68" s="185">
        <f t="shared" si="60"/>
        <v>0</v>
      </c>
      <c r="R68" s="162" t="b">
        <f t="shared" si="0"/>
        <v>0</v>
      </c>
    </row>
    <row r="69" spans="1:18">
      <c r="A69" s="129" t="s">
        <v>226</v>
      </c>
      <c r="B69" s="129" t="s">
        <v>20</v>
      </c>
      <c r="C69" s="129">
        <v>700</v>
      </c>
      <c r="D69" s="129" t="s">
        <v>1265</v>
      </c>
      <c r="E69" s="129">
        <v>248</v>
      </c>
      <c r="F69" s="129">
        <v>0</v>
      </c>
      <c r="G69" s="129">
        <v>94</v>
      </c>
      <c r="H69" s="129">
        <v>0</v>
      </c>
      <c r="I69" s="129">
        <v>37.9</v>
      </c>
      <c r="J69" s="129">
        <v>0</v>
      </c>
      <c r="K69" s="129">
        <v>1.9</v>
      </c>
      <c r="L69" s="129">
        <f t="shared" si="55"/>
        <v>248</v>
      </c>
      <c r="M69" s="129">
        <f t="shared" si="56"/>
        <v>94</v>
      </c>
      <c r="N69" s="128">
        <f t="shared" si="57"/>
        <v>0.379</v>
      </c>
      <c r="O69" s="164">
        <f t="shared" si="58"/>
        <v>1.9</v>
      </c>
      <c r="P69" s="185">
        <f t="shared" si="59"/>
        <v>0</v>
      </c>
      <c r="Q69" s="185">
        <f t="shared" si="60"/>
        <v>1.9</v>
      </c>
      <c r="R69" s="162" t="b">
        <f t="shared" ref="R69:R132" si="61">COUNTIF(C:C,C69)&gt;1</f>
        <v>0</v>
      </c>
    </row>
    <row r="70" spans="1:18">
      <c r="A70" s="129" t="s">
        <v>226</v>
      </c>
      <c r="B70" s="129" t="s">
        <v>20</v>
      </c>
      <c r="C70" s="129">
        <v>702</v>
      </c>
      <c r="D70" s="129" t="s">
        <v>1267</v>
      </c>
      <c r="E70" s="129">
        <v>105</v>
      </c>
      <c r="F70" s="129">
        <v>0</v>
      </c>
      <c r="G70" s="129">
        <v>30</v>
      </c>
      <c r="H70" s="129">
        <v>0</v>
      </c>
      <c r="I70" s="129">
        <v>28.6</v>
      </c>
      <c r="J70" s="129">
        <v>0</v>
      </c>
      <c r="K70" s="129">
        <v>0</v>
      </c>
      <c r="L70" s="129">
        <f t="shared" si="55"/>
        <v>105</v>
      </c>
      <c r="M70" s="129">
        <f t="shared" si="56"/>
        <v>30</v>
      </c>
      <c r="N70" s="128">
        <f t="shared" si="57"/>
        <v>0.28570000000000001</v>
      </c>
      <c r="O70" s="164">
        <f t="shared" si="58"/>
        <v>0</v>
      </c>
      <c r="P70" s="185">
        <f t="shared" si="59"/>
        <v>0</v>
      </c>
      <c r="Q70" s="185">
        <f t="shared" si="60"/>
        <v>0</v>
      </c>
      <c r="R70" s="162" t="b">
        <f t="shared" si="61"/>
        <v>0</v>
      </c>
    </row>
    <row r="71" spans="1:18">
      <c r="A71" s="129" t="s">
        <v>290</v>
      </c>
      <c r="B71" s="129" t="s">
        <v>3778</v>
      </c>
      <c r="C71" s="129">
        <v>2890</v>
      </c>
      <c r="D71" s="129" t="s">
        <v>2065</v>
      </c>
      <c r="E71" s="129">
        <v>85</v>
      </c>
      <c r="F71" s="129">
        <v>0</v>
      </c>
      <c r="G71" s="129">
        <v>25</v>
      </c>
      <c r="H71" s="129">
        <v>0</v>
      </c>
      <c r="I71" s="129">
        <v>29.4</v>
      </c>
      <c r="J71" s="129">
        <v>0</v>
      </c>
      <c r="K71" s="129">
        <v>0</v>
      </c>
      <c r="L71" s="129">
        <f t="shared" si="55"/>
        <v>85</v>
      </c>
      <c r="M71" s="129">
        <f t="shared" si="56"/>
        <v>25</v>
      </c>
      <c r="N71" s="128">
        <f t="shared" si="57"/>
        <v>0.29409999999999997</v>
      </c>
      <c r="O71" s="164">
        <f t="shared" si="58"/>
        <v>0</v>
      </c>
      <c r="P71" s="185">
        <f t="shared" si="59"/>
        <v>0</v>
      </c>
      <c r="Q71" s="185">
        <f t="shared" si="60"/>
        <v>0</v>
      </c>
      <c r="R71" s="162" t="b">
        <f t="shared" si="61"/>
        <v>0</v>
      </c>
    </row>
    <row r="72" spans="1:18">
      <c r="A72" s="129" t="s">
        <v>290</v>
      </c>
      <c r="B72" s="129" t="s">
        <v>3778</v>
      </c>
      <c r="C72" s="129">
        <v>2892</v>
      </c>
      <c r="D72" s="129" t="s">
        <v>2067</v>
      </c>
      <c r="E72" s="129">
        <v>126</v>
      </c>
      <c r="F72" s="129">
        <v>0</v>
      </c>
      <c r="G72" s="129">
        <v>53</v>
      </c>
      <c r="H72" s="129">
        <v>0</v>
      </c>
      <c r="I72" s="129">
        <v>42.1</v>
      </c>
      <c r="J72" s="129">
        <v>0</v>
      </c>
      <c r="K72" s="129">
        <v>2.6</v>
      </c>
      <c r="L72" s="129">
        <f t="shared" si="55"/>
        <v>126</v>
      </c>
      <c r="M72" s="129">
        <f t="shared" si="56"/>
        <v>53</v>
      </c>
      <c r="N72" s="128">
        <f t="shared" si="57"/>
        <v>0.42059999999999997</v>
      </c>
      <c r="O72" s="164">
        <f t="shared" si="58"/>
        <v>2.6</v>
      </c>
      <c r="P72" s="185">
        <f t="shared" si="59"/>
        <v>0</v>
      </c>
      <c r="Q72" s="185">
        <f t="shared" si="60"/>
        <v>2.6</v>
      </c>
      <c r="R72" s="162" t="b">
        <f t="shared" si="61"/>
        <v>0</v>
      </c>
    </row>
    <row r="73" spans="1:18">
      <c r="A73" s="129" t="s">
        <v>290</v>
      </c>
      <c r="B73" s="129" t="s">
        <v>3778</v>
      </c>
      <c r="C73" s="129">
        <v>2894</v>
      </c>
      <c r="D73" s="129" t="s">
        <v>2069</v>
      </c>
      <c r="E73" s="129">
        <v>98</v>
      </c>
      <c r="F73" s="129">
        <v>0</v>
      </c>
      <c r="G73" s="129">
        <v>47</v>
      </c>
      <c r="H73" s="129">
        <v>0</v>
      </c>
      <c r="I73" s="129">
        <v>48</v>
      </c>
      <c r="J73" s="129">
        <v>0</v>
      </c>
      <c r="K73" s="129">
        <v>4.3</v>
      </c>
      <c r="L73" s="129">
        <f t="shared" si="55"/>
        <v>98</v>
      </c>
      <c r="M73" s="129">
        <f t="shared" si="56"/>
        <v>47</v>
      </c>
      <c r="N73" s="128">
        <f t="shared" si="57"/>
        <v>0.47960000000000003</v>
      </c>
      <c r="O73" s="164">
        <f t="shared" si="58"/>
        <v>4.3</v>
      </c>
      <c r="P73" s="185">
        <f t="shared" si="59"/>
        <v>0</v>
      </c>
      <c r="Q73" s="185">
        <f t="shared" si="60"/>
        <v>4.3</v>
      </c>
      <c r="R73" s="162" t="b">
        <f t="shared" si="61"/>
        <v>0</v>
      </c>
    </row>
    <row r="74" spans="1:18">
      <c r="A74" s="129" t="s">
        <v>310</v>
      </c>
      <c r="B74" s="129" t="s">
        <v>54</v>
      </c>
      <c r="C74" s="129">
        <v>3594</v>
      </c>
      <c r="D74" s="129" t="s">
        <v>2213</v>
      </c>
      <c r="E74" s="129">
        <v>190</v>
      </c>
      <c r="F74" s="129">
        <v>0</v>
      </c>
      <c r="G74" s="129">
        <v>62</v>
      </c>
      <c r="H74" s="129">
        <v>0</v>
      </c>
      <c r="I74" s="129">
        <v>32.6</v>
      </c>
      <c r="J74" s="129">
        <v>0</v>
      </c>
      <c r="K74" s="129">
        <v>0</v>
      </c>
      <c r="L74" s="129">
        <f t="shared" si="55"/>
        <v>190</v>
      </c>
      <c r="M74" s="129">
        <f t="shared" si="56"/>
        <v>62</v>
      </c>
      <c r="N74" s="128">
        <f t="shared" si="57"/>
        <v>0.32629999999999998</v>
      </c>
      <c r="O74" s="164">
        <f t="shared" si="58"/>
        <v>0</v>
      </c>
      <c r="P74" s="185">
        <f t="shared" si="59"/>
        <v>0</v>
      </c>
      <c r="Q74" s="185">
        <f t="shared" si="60"/>
        <v>0</v>
      </c>
      <c r="R74" s="162" t="b">
        <f t="shared" si="61"/>
        <v>0</v>
      </c>
    </row>
    <row r="75" spans="1:18">
      <c r="A75" s="129" t="s">
        <v>310</v>
      </c>
      <c r="B75" s="129" t="s">
        <v>54</v>
      </c>
      <c r="C75" s="129">
        <v>3598</v>
      </c>
      <c r="D75" s="129" t="s">
        <v>2215</v>
      </c>
      <c r="E75" s="129">
        <v>312</v>
      </c>
      <c r="F75" s="129">
        <v>0</v>
      </c>
      <c r="G75" s="129">
        <v>70</v>
      </c>
      <c r="H75" s="129">
        <v>0</v>
      </c>
      <c r="I75" s="129">
        <v>22.4</v>
      </c>
      <c r="J75" s="129">
        <v>0</v>
      </c>
      <c r="K75" s="129">
        <v>0</v>
      </c>
      <c r="L75" s="129">
        <f t="shared" si="55"/>
        <v>312</v>
      </c>
      <c r="M75" s="129">
        <f t="shared" si="56"/>
        <v>70</v>
      </c>
      <c r="N75" s="128">
        <f t="shared" si="57"/>
        <v>0.22439999999999999</v>
      </c>
      <c r="O75" s="164">
        <f t="shared" si="58"/>
        <v>0</v>
      </c>
      <c r="P75" s="185">
        <f t="shared" si="59"/>
        <v>0</v>
      </c>
      <c r="Q75" s="185">
        <f t="shared" si="60"/>
        <v>0</v>
      </c>
      <c r="R75" s="162" t="b">
        <f t="shared" si="61"/>
        <v>0</v>
      </c>
    </row>
    <row r="76" spans="1:18">
      <c r="A76" s="129" t="s">
        <v>310</v>
      </c>
      <c r="B76" s="129" t="s">
        <v>54</v>
      </c>
      <c r="C76" s="129">
        <v>3600</v>
      </c>
      <c r="D76" s="129" t="s">
        <v>2217</v>
      </c>
      <c r="E76" s="129">
        <v>144</v>
      </c>
      <c r="F76" s="129">
        <v>0</v>
      </c>
      <c r="G76" s="129">
        <v>39</v>
      </c>
      <c r="H76" s="129">
        <v>0</v>
      </c>
      <c r="I76" s="129">
        <v>27.1</v>
      </c>
      <c r="J76" s="129">
        <v>0</v>
      </c>
      <c r="K76" s="129">
        <v>0</v>
      </c>
      <c r="L76" s="129">
        <f t="shared" si="55"/>
        <v>144</v>
      </c>
      <c r="M76" s="129">
        <f t="shared" si="56"/>
        <v>39</v>
      </c>
      <c r="N76" s="128">
        <f t="shared" si="57"/>
        <v>0.27079999999999999</v>
      </c>
      <c r="O76" s="164">
        <f t="shared" si="58"/>
        <v>0</v>
      </c>
      <c r="P76" s="185">
        <f t="shared" si="59"/>
        <v>0</v>
      </c>
      <c r="Q76" s="185">
        <f t="shared" si="60"/>
        <v>0</v>
      </c>
      <c r="R76" s="162" t="b">
        <f t="shared" si="61"/>
        <v>0</v>
      </c>
    </row>
    <row r="77" spans="1:18">
      <c r="A77" s="129" t="s">
        <v>319</v>
      </c>
      <c r="B77" s="129" t="s">
        <v>3804</v>
      </c>
      <c r="C77" s="129">
        <v>3916</v>
      </c>
      <c r="D77" s="129" t="s">
        <v>2269</v>
      </c>
      <c r="E77" s="129">
        <v>381</v>
      </c>
      <c r="F77" s="129">
        <v>0</v>
      </c>
      <c r="G77" s="129">
        <v>188</v>
      </c>
      <c r="H77" s="129">
        <v>0</v>
      </c>
      <c r="I77" s="129">
        <v>49.3</v>
      </c>
      <c r="J77" s="129">
        <v>0</v>
      </c>
      <c r="K77" s="129">
        <v>18.899999999999999</v>
      </c>
      <c r="L77" s="129">
        <f t="shared" si="55"/>
        <v>381</v>
      </c>
      <c r="M77" s="129">
        <f t="shared" si="56"/>
        <v>188</v>
      </c>
      <c r="N77" s="128">
        <f t="shared" si="57"/>
        <v>0.49340000000000001</v>
      </c>
      <c r="O77" s="164">
        <f t="shared" si="58"/>
        <v>18.899999999999999</v>
      </c>
      <c r="P77" s="185">
        <f t="shared" si="59"/>
        <v>0</v>
      </c>
      <c r="Q77" s="185">
        <f t="shared" si="60"/>
        <v>18.899999999999999</v>
      </c>
      <c r="R77" s="162" t="b">
        <f t="shared" si="61"/>
        <v>0</v>
      </c>
    </row>
    <row r="78" spans="1:18">
      <c r="A78" s="129" t="s">
        <v>319</v>
      </c>
      <c r="B78" s="129" t="s">
        <v>3804</v>
      </c>
      <c r="C78" s="129">
        <v>3918</v>
      </c>
      <c r="D78" s="129" t="s">
        <v>2271</v>
      </c>
      <c r="E78" s="129">
        <v>228</v>
      </c>
      <c r="F78" s="129">
        <v>0</v>
      </c>
      <c r="G78" s="129">
        <v>68</v>
      </c>
      <c r="H78" s="129">
        <v>0</v>
      </c>
      <c r="I78" s="129">
        <v>29.8</v>
      </c>
      <c r="J78" s="129">
        <v>0</v>
      </c>
      <c r="K78" s="129">
        <v>0</v>
      </c>
      <c r="L78" s="129">
        <f t="shared" si="55"/>
        <v>228</v>
      </c>
      <c r="M78" s="129">
        <f t="shared" si="56"/>
        <v>68</v>
      </c>
      <c r="N78" s="128">
        <f t="shared" si="57"/>
        <v>0.29820000000000002</v>
      </c>
      <c r="O78" s="164">
        <f t="shared" si="58"/>
        <v>0</v>
      </c>
      <c r="P78" s="185">
        <f t="shared" si="59"/>
        <v>0</v>
      </c>
      <c r="Q78" s="185">
        <f t="shared" si="60"/>
        <v>0</v>
      </c>
      <c r="R78" s="162" t="b">
        <f t="shared" si="61"/>
        <v>0</v>
      </c>
    </row>
    <row r="79" spans="1:18">
      <c r="A79" s="129" t="s">
        <v>319</v>
      </c>
      <c r="B79" s="129" t="s">
        <v>3804</v>
      </c>
      <c r="C79" s="129">
        <v>3921</v>
      </c>
      <c r="D79" s="129" t="s">
        <v>2273</v>
      </c>
      <c r="E79" s="129">
        <v>240</v>
      </c>
      <c r="F79" s="129">
        <v>0</v>
      </c>
      <c r="G79" s="129">
        <v>105</v>
      </c>
      <c r="H79" s="129">
        <v>0</v>
      </c>
      <c r="I79" s="129">
        <v>43.8</v>
      </c>
      <c r="J79" s="129">
        <v>0</v>
      </c>
      <c r="K79" s="129">
        <v>6.4</v>
      </c>
      <c r="L79" s="129">
        <f t="shared" si="55"/>
        <v>240</v>
      </c>
      <c r="M79" s="129">
        <f t="shared" si="56"/>
        <v>105</v>
      </c>
      <c r="N79" s="128">
        <f t="shared" si="57"/>
        <v>0.4375</v>
      </c>
      <c r="O79" s="164">
        <f t="shared" si="58"/>
        <v>6.4</v>
      </c>
      <c r="P79" s="185">
        <f t="shared" si="59"/>
        <v>0</v>
      </c>
      <c r="Q79" s="185">
        <f t="shared" si="60"/>
        <v>6.4</v>
      </c>
      <c r="R79" s="162" t="b">
        <f t="shared" si="61"/>
        <v>0</v>
      </c>
    </row>
    <row r="80" spans="1:18">
      <c r="A80" s="129" t="s">
        <v>361</v>
      </c>
      <c r="B80" s="129" t="s">
        <v>3843</v>
      </c>
      <c r="C80" s="129">
        <v>5058</v>
      </c>
      <c r="D80" s="129" t="s">
        <v>2523</v>
      </c>
      <c r="E80" s="129">
        <v>179</v>
      </c>
      <c r="F80" s="129">
        <v>0</v>
      </c>
      <c r="G80" s="129">
        <v>52</v>
      </c>
      <c r="H80" s="129">
        <v>0</v>
      </c>
      <c r="I80" s="129">
        <v>29.1</v>
      </c>
      <c r="J80" s="129">
        <v>0</v>
      </c>
      <c r="K80" s="129">
        <v>0</v>
      </c>
      <c r="L80" s="129">
        <f t="shared" si="55"/>
        <v>179</v>
      </c>
      <c r="M80" s="129">
        <f t="shared" si="56"/>
        <v>52</v>
      </c>
      <c r="N80" s="128">
        <f t="shared" si="57"/>
        <v>0.29049999999999998</v>
      </c>
      <c r="O80" s="164">
        <f t="shared" si="58"/>
        <v>0</v>
      </c>
      <c r="P80" s="185">
        <f t="shared" si="59"/>
        <v>0</v>
      </c>
      <c r="Q80" s="185">
        <f t="shared" si="60"/>
        <v>0</v>
      </c>
      <c r="R80" s="162" t="b">
        <f t="shared" si="61"/>
        <v>0</v>
      </c>
    </row>
    <row r="81" spans="1:18">
      <c r="A81" s="129" t="s">
        <v>361</v>
      </c>
      <c r="B81" s="129" t="s">
        <v>3843</v>
      </c>
      <c r="C81" s="129">
        <v>5060</v>
      </c>
      <c r="D81" s="129" t="s">
        <v>2525</v>
      </c>
      <c r="E81" s="129">
        <v>171</v>
      </c>
      <c r="F81" s="129">
        <v>0</v>
      </c>
      <c r="G81" s="129">
        <v>43</v>
      </c>
      <c r="H81" s="129">
        <v>0</v>
      </c>
      <c r="I81" s="129">
        <v>25.2</v>
      </c>
      <c r="J81" s="129">
        <v>0</v>
      </c>
      <c r="K81" s="129">
        <v>0</v>
      </c>
      <c r="L81" s="129">
        <f t="shared" si="55"/>
        <v>171</v>
      </c>
      <c r="M81" s="129">
        <f t="shared" si="56"/>
        <v>43</v>
      </c>
      <c r="N81" s="128">
        <f t="shared" si="57"/>
        <v>0.2515</v>
      </c>
      <c r="O81" s="164">
        <f t="shared" si="58"/>
        <v>0</v>
      </c>
      <c r="P81" s="185">
        <f t="shared" si="59"/>
        <v>0</v>
      </c>
      <c r="Q81" s="185">
        <f t="shared" si="60"/>
        <v>0</v>
      </c>
      <c r="R81" s="162" t="b">
        <f t="shared" si="61"/>
        <v>0</v>
      </c>
    </row>
    <row r="82" spans="1:18">
      <c r="A82" s="129" t="s">
        <v>364</v>
      </c>
      <c r="B82" s="129" t="s">
        <v>3720</v>
      </c>
      <c r="C82" s="129">
        <v>5160</v>
      </c>
      <c r="D82" s="129" t="s">
        <v>2558</v>
      </c>
      <c r="E82" s="129">
        <v>119</v>
      </c>
      <c r="F82" s="129">
        <v>0</v>
      </c>
      <c r="G82" s="129">
        <v>17</v>
      </c>
      <c r="H82" s="129">
        <v>0</v>
      </c>
      <c r="I82" s="129">
        <v>14.3</v>
      </c>
      <c r="J82" s="129">
        <v>0</v>
      </c>
      <c r="K82" s="129">
        <v>0</v>
      </c>
      <c r="L82" s="129">
        <f t="shared" si="55"/>
        <v>119</v>
      </c>
      <c r="M82" s="129">
        <f t="shared" si="56"/>
        <v>17</v>
      </c>
      <c r="N82" s="128">
        <f t="shared" si="57"/>
        <v>0.1429</v>
      </c>
      <c r="O82" s="164">
        <f t="shared" si="58"/>
        <v>0</v>
      </c>
      <c r="P82" s="185">
        <f t="shared" si="59"/>
        <v>0</v>
      </c>
      <c r="Q82" s="185">
        <f t="shared" si="60"/>
        <v>0</v>
      </c>
      <c r="R82" s="162" t="b">
        <f t="shared" si="61"/>
        <v>0</v>
      </c>
    </row>
    <row r="83" spans="1:18">
      <c r="A83" s="129" t="s">
        <v>364</v>
      </c>
      <c r="B83" s="129" t="s">
        <v>3720</v>
      </c>
      <c r="C83" s="129">
        <v>5164</v>
      </c>
      <c r="D83" s="129" t="s">
        <v>2560</v>
      </c>
      <c r="E83" s="129">
        <v>69</v>
      </c>
      <c r="F83" s="129">
        <v>0</v>
      </c>
      <c r="G83" s="129">
        <v>12</v>
      </c>
      <c r="H83" s="129">
        <v>0</v>
      </c>
      <c r="I83" s="129">
        <v>17.399999999999999</v>
      </c>
      <c r="J83" s="129">
        <v>0</v>
      </c>
      <c r="K83" s="129">
        <v>0</v>
      </c>
      <c r="L83" s="129">
        <f t="shared" si="55"/>
        <v>69</v>
      </c>
      <c r="M83" s="129">
        <f t="shared" si="56"/>
        <v>12</v>
      </c>
      <c r="N83" s="128">
        <f t="shared" si="57"/>
        <v>0.1739</v>
      </c>
      <c r="O83" s="164">
        <f t="shared" si="58"/>
        <v>0</v>
      </c>
      <c r="P83" s="185">
        <f t="shared" si="59"/>
        <v>0</v>
      </c>
      <c r="Q83" s="185">
        <f t="shared" si="60"/>
        <v>0</v>
      </c>
      <c r="R83" s="162" t="b">
        <f t="shared" si="61"/>
        <v>0</v>
      </c>
    </row>
    <row r="84" spans="1:18">
      <c r="A84" s="129" t="s">
        <v>364</v>
      </c>
      <c r="B84" s="129" t="s">
        <v>3720</v>
      </c>
      <c r="C84" s="129">
        <v>5166</v>
      </c>
      <c r="D84" s="129" t="s">
        <v>1289</v>
      </c>
      <c r="E84" s="129">
        <v>72</v>
      </c>
      <c r="F84" s="129">
        <v>0</v>
      </c>
      <c r="G84" s="129">
        <v>12</v>
      </c>
      <c r="H84" s="129">
        <v>0</v>
      </c>
      <c r="I84" s="129">
        <v>16.7</v>
      </c>
      <c r="J84" s="129">
        <v>0</v>
      </c>
      <c r="K84" s="129">
        <v>0</v>
      </c>
      <c r="L84" s="129">
        <f t="shared" si="55"/>
        <v>72</v>
      </c>
      <c r="M84" s="129">
        <f t="shared" si="56"/>
        <v>12</v>
      </c>
      <c r="N84" s="128">
        <f t="shared" si="57"/>
        <v>0.16669999999999999</v>
      </c>
      <c r="O84" s="164">
        <f t="shared" si="58"/>
        <v>0</v>
      </c>
      <c r="P84" s="185">
        <f t="shared" si="59"/>
        <v>0</v>
      </c>
      <c r="Q84" s="185">
        <f t="shared" si="60"/>
        <v>0</v>
      </c>
      <c r="R84" s="162" t="b">
        <f t="shared" si="61"/>
        <v>0</v>
      </c>
    </row>
    <row r="85" spans="1:18">
      <c r="A85" s="129" t="s">
        <v>366</v>
      </c>
      <c r="B85" s="129" t="s">
        <v>3846</v>
      </c>
      <c r="C85" s="129">
        <v>5198</v>
      </c>
      <c r="D85" s="129" t="s">
        <v>2580</v>
      </c>
      <c r="E85" s="129">
        <v>128</v>
      </c>
      <c r="F85" s="129">
        <v>0</v>
      </c>
      <c r="G85" s="129">
        <v>53</v>
      </c>
      <c r="H85" s="129">
        <v>0</v>
      </c>
      <c r="I85" s="129">
        <v>41.4</v>
      </c>
      <c r="J85" s="129">
        <v>0</v>
      </c>
      <c r="K85" s="129">
        <v>2.4</v>
      </c>
      <c r="L85" s="129">
        <f t="shared" si="55"/>
        <v>128</v>
      </c>
      <c r="M85" s="129">
        <f t="shared" si="56"/>
        <v>53</v>
      </c>
      <c r="N85" s="128">
        <f t="shared" si="57"/>
        <v>0.41410000000000002</v>
      </c>
      <c r="O85" s="164">
        <f t="shared" si="58"/>
        <v>2.4</v>
      </c>
      <c r="P85" s="185">
        <f t="shared" si="59"/>
        <v>0</v>
      </c>
      <c r="Q85" s="185">
        <f t="shared" si="60"/>
        <v>2.4</v>
      </c>
      <c r="R85" s="162" t="b">
        <f t="shared" si="61"/>
        <v>0</v>
      </c>
    </row>
    <row r="86" spans="1:18">
      <c r="A86" s="129" t="s">
        <v>366</v>
      </c>
      <c r="B86" s="129" t="s">
        <v>3846</v>
      </c>
      <c r="C86" s="129">
        <v>5202</v>
      </c>
      <c r="D86" s="129" t="s">
        <v>2582</v>
      </c>
      <c r="E86" s="129">
        <v>96</v>
      </c>
      <c r="F86" s="129">
        <v>0</v>
      </c>
      <c r="G86" s="129">
        <v>34</v>
      </c>
      <c r="H86" s="129">
        <v>0</v>
      </c>
      <c r="I86" s="129">
        <v>35.4</v>
      </c>
      <c r="J86" s="129">
        <v>0</v>
      </c>
      <c r="K86" s="129">
        <v>0.1</v>
      </c>
      <c r="L86" s="129">
        <f t="shared" si="55"/>
        <v>96</v>
      </c>
      <c r="M86" s="129">
        <f t="shared" si="56"/>
        <v>34</v>
      </c>
      <c r="N86" s="128">
        <f t="shared" si="57"/>
        <v>0.35420000000000001</v>
      </c>
      <c r="O86" s="164">
        <f t="shared" si="58"/>
        <v>0.1</v>
      </c>
      <c r="P86" s="185">
        <f t="shared" si="59"/>
        <v>0</v>
      </c>
      <c r="Q86" s="185">
        <f t="shared" si="60"/>
        <v>0.1</v>
      </c>
      <c r="R86" s="162" t="b">
        <f t="shared" si="61"/>
        <v>0</v>
      </c>
    </row>
    <row r="87" spans="1:18">
      <c r="A87" s="321" t="s">
        <v>370</v>
      </c>
      <c r="B87" s="129" t="s">
        <v>85</v>
      </c>
      <c r="C87" s="129">
        <v>5296</v>
      </c>
      <c r="D87" s="129" t="s">
        <v>2595</v>
      </c>
      <c r="E87" s="129">
        <v>48</v>
      </c>
      <c r="F87" s="129">
        <v>0</v>
      </c>
      <c r="G87" s="129">
        <v>30</v>
      </c>
      <c r="H87" s="129">
        <v>0</v>
      </c>
      <c r="I87" s="129">
        <v>62.5</v>
      </c>
      <c r="J87" s="129">
        <v>3.2</v>
      </c>
      <c r="K87" s="129">
        <v>0</v>
      </c>
      <c r="L87" s="129">
        <f t="shared" si="55"/>
        <v>48</v>
      </c>
      <c r="M87" s="129">
        <f t="shared" si="56"/>
        <v>30</v>
      </c>
      <c r="N87" s="128">
        <f t="shared" si="57"/>
        <v>0.625</v>
      </c>
      <c r="O87" s="164">
        <f t="shared" si="58"/>
        <v>0</v>
      </c>
      <c r="P87" s="185">
        <f t="shared" si="59"/>
        <v>3.2</v>
      </c>
      <c r="Q87" s="185">
        <f t="shared" si="60"/>
        <v>3.2</v>
      </c>
      <c r="R87" s="162" t="b">
        <f t="shared" si="61"/>
        <v>0</v>
      </c>
    </row>
    <row r="88" spans="1:18">
      <c r="A88" s="321" t="s">
        <v>370</v>
      </c>
      <c r="B88" s="129" t="s">
        <v>85</v>
      </c>
      <c r="C88" s="129">
        <v>5298</v>
      </c>
      <c r="D88" s="129" t="s">
        <v>2597</v>
      </c>
      <c r="E88" s="129">
        <v>40</v>
      </c>
      <c r="F88" s="129">
        <v>0</v>
      </c>
      <c r="G88" s="129">
        <v>20</v>
      </c>
      <c r="H88" s="129">
        <v>0</v>
      </c>
      <c r="I88" s="129">
        <v>50</v>
      </c>
      <c r="J88" s="129">
        <v>2.1</v>
      </c>
      <c r="K88" s="129">
        <v>0</v>
      </c>
      <c r="L88" s="129">
        <f t="shared" si="55"/>
        <v>40</v>
      </c>
      <c r="M88" s="129">
        <f t="shared" si="56"/>
        <v>20</v>
      </c>
      <c r="N88" s="128">
        <f t="shared" si="57"/>
        <v>0.5</v>
      </c>
      <c r="O88" s="164">
        <f t="shared" si="58"/>
        <v>0</v>
      </c>
      <c r="P88" s="185">
        <f t="shared" si="59"/>
        <v>2.1</v>
      </c>
      <c r="Q88" s="185">
        <f t="shared" si="60"/>
        <v>2.1</v>
      </c>
      <c r="R88" s="162" t="b">
        <f t="shared" si="61"/>
        <v>0</v>
      </c>
    </row>
    <row r="89" spans="1:18">
      <c r="A89" s="129" t="s">
        <v>419</v>
      </c>
      <c r="B89" s="129" t="s">
        <v>3895</v>
      </c>
      <c r="C89" s="129">
        <v>6896</v>
      </c>
      <c r="D89" s="129" t="s">
        <v>2905</v>
      </c>
      <c r="E89" s="129">
        <v>247</v>
      </c>
      <c r="F89" s="129">
        <v>0</v>
      </c>
      <c r="G89" s="129">
        <v>90</v>
      </c>
      <c r="H89" s="129">
        <v>0</v>
      </c>
      <c r="I89" s="129">
        <v>36.4</v>
      </c>
      <c r="J89" s="129">
        <v>0</v>
      </c>
      <c r="K89" s="129">
        <v>0.9</v>
      </c>
      <c r="L89" s="129">
        <f t="shared" si="55"/>
        <v>247</v>
      </c>
      <c r="M89" s="129">
        <f t="shared" si="56"/>
        <v>90</v>
      </c>
      <c r="N89" s="128">
        <f t="shared" si="57"/>
        <v>0.3644</v>
      </c>
      <c r="O89" s="164">
        <f t="shared" si="58"/>
        <v>0.9</v>
      </c>
      <c r="P89" s="185">
        <f t="shared" si="59"/>
        <v>0</v>
      </c>
      <c r="Q89" s="185">
        <f t="shared" si="60"/>
        <v>0.9</v>
      </c>
      <c r="R89" s="162" t="b">
        <f t="shared" si="61"/>
        <v>0</v>
      </c>
    </row>
    <row r="90" spans="1:18">
      <c r="A90" s="129" t="s">
        <v>419</v>
      </c>
      <c r="B90" s="129" t="s">
        <v>3895</v>
      </c>
      <c r="C90" s="129">
        <v>6898</v>
      </c>
      <c r="D90" s="129" t="s">
        <v>2907</v>
      </c>
      <c r="E90" s="129">
        <v>186</v>
      </c>
      <c r="F90" s="129">
        <v>0</v>
      </c>
      <c r="G90" s="129">
        <v>35</v>
      </c>
      <c r="H90" s="129">
        <v>0</v>
      </c>
      <c r="I90" s="129">
        <v>18.8</v>
      </c>
      <c r="J90" s="129">
        <v>0</v>
      </c>
      <c r="K90" s="129">
        <v>0</v>
      </c>
      <c r="L90" s="129">
        <f t="shared" si="55"/>
        <v>186</v>
      </c>
      <c r="M90" s="129">
        <f t="shared" si="56"/>
        <v>35</v>
      </c>
      <c r="N90" s="128">
        <f t="shared" si="57"/>
        <v>0.18820000000000001</v>
      </c>
      <c r="O90" s="164">
        <f t="shared" si="58"/>
        <v>0</v>
      </c>
      <c r="P90" s="185">
        <f t="shared" si="59"/>
        <v>0</v>
      </c>
      <c r="Q90" s="185">
        <f t="shared" si="60"/>
        <v>0</v>
      </c>
      <c r="R90" s="162" t="b">
        <f t="shared" si="61"/>
        <v>0</v>
      </c>
    </row>
    <row r="91" spans="1:18">
      <c r="A91" s="129" t="s">
        <v>420</v>
      </c>
      <c r="B91" s="129" t="s">
        <v>3896</v>
      </c>
      <c r="C91" s="129">
        <v>6917</v>
      </c>
      <c r="D91" s="129" t="s">
        <v>1339</v>
      </c>
      <c r="E91" s="129">
        <v>164</v>
      </c>
      <c r="F91" s="129">
        <v>0</v>
      </c>
      <c r="G91" s="129">
        <v>30</v>
      </c>
      <c r="H91" s="129">
        <v>0</v>
      </c>
      <c r="I91" s="129">
        <v>18.3</v>
      </c>
      <c r="J91" s="129">
        <v>0</v>
      </c>
      <c r="K91" s="129">
        <v>0</v>
      </c>
      <c r="L91" s="129">
        <f t="shared" si="55"/>
        <v>164</v>
      </c>
      <c r="M91" s="129">
        <f t="shared" si="56"/>
        <v>30</v>
      </c>
      <c r="N91" s="128">
        <f t="shared" si="57"/>
        <v>0.18290000000000001</v>
      </c>
      <c r="O91" s="164">
        <f t="shared" si="58"/>
        <v>0</v>
      </c>
      <c r="P91" s="185">
        <f t="shared" si="59"/>
        <v>0</v>
      </c>
      <c r="Q91" s="185">
        <f t="shared" si="60"/>
        <v>0</v>
      </c>
      <c r="R91" s="162" t="b">
        <f t="shared" si="61"/>
        <v>0</v>
      </c>
    </row>
    <row r="92" spans="1:18">
      <c r="A92" s="129" t="s">
        <v>420</v>
      </c>
      <c r="B92" s="129" t="s">
        <v>3896</v>
      </c>
      <c r="C92" s="129">
        <v>6918</v>
      </c>
      <c r="D92" s="129" t="s">
        <v>2910</v>
      </c>
      <c r="E92" s="129">
        <v>171</v>
      </c>
      <c r="F92" s="129">
        <v>0</v>
      </c>
      <c r="G92" s="129">
        <v>32</v>
      </c>
      <c r="H92" s="129">
        <v>0</v>
      </c>
      <c r="I92" s="129">
        <v>18.7</v>
      </c>
      <c r="J92" s="129">
        <v>0</v>
      </c>
      <c r="K92" s="129">
        <v>0</v>
      </c>
      <c r="L92" s="129">
        <f t="shared" si="55"/>
        <v>171</v>
      </c>
      <c r="M92" s="129">
        <f t="shared" si="56"/>
        <v>32</v>
      </c>
      <c r="N92" s="128">
        <f t="shared" si="57"/>
        <v>0.18709999999999999</v>
      </c>
      <c r="O92" s="164">
        <f t="shared" si="58"/>
        <v>0</v>
      </c>
      <c r="P92" s="185">
        <f t="shared" si="59"/>
        <v>0</v>
      </c>
      <c r="Q92" s="185">
        <f t="shared" si="60"/>
        <v>0</v>
      </c>
      <c r="R92" s="162" t="b">
        <f t="shared" si="61"/>
        <v>0</v>
      </c>
    </row>
    <row r="93" spans="1:18">
      <c r="A93" s="129" t="s">
        <v>420</v>
      </c>
      <c r="B93" s="129" t="s">
        <v>3896</v>
      </c>
      <c r="C93" s="129">
        <v>6919</v>
      </c>
      <c r="D93" s="129" t="s">
        <v>2912</v>
      </c>
      <c r="E93" s="129">
        <v>337</v>
      </c>
      <c r="F93" s="129">
        <v>0</v>
      </c>
      <c r="G93" s="129">
        <v>64</v>
      </c>
      <c r="H93" s="129">
        <v>0</v>
      </c>
      <c r="I93" s="129">
        <v>19</v>
      </c>
      <c r="J93" s="129">
        <v>0</v>
      </c>
      <c r="K93" s="129">
        <v>0</v>
      </c>
      <c r="L93" s="129">
        <f t="shared" si="55"/>
        <v>337</v>
      </c>
      <c r="M93" s="129">
        <f t="shared" si="56"/>
        <v>64</v>
      </c>
      <c r="N93" s="128">
        <f t="shared" si="57"/>
        <v>0.18990000000000001</v>
      </c>
      <c r="O93" s="164">
        <f t="shared" si="58"/>
        <v>0</v>
      </c>
      <c r="P93" s="185">
        <f t="shared" si="59"/>
        <v>0</v>
      </c>
      <c r="Q93" s="185">
        <f t="shared" si="60"/>
        <v>0</v>
      </c>
      <c r="R93" s="162" t="b">
        <f t="shared" si="61"/>
        <v>0</v>
      </c>
    </row>
    <row r="94" spans="1:18">
      <c r="A94" s="129" t="s">
        <v>194</v>
      </c>
      <c r="B94" s="129" t="s">
        <v>3688</v>
      </c>
      <c r="C94" s="129">
        <v>2926</v>
      </c>
      <c r="D94" s="129" t="s">
        <v>1068</v>
      </c>
      <c r="E94" s="129">
        <v>55</v>
      </c>
      <c r="F94" s="129">
        <v>0</v>
      </c>
      <c r="G94" s="129">
        <v>32</v>
      </c>
      <c r="H94" s="129">
        <v>0</v>
      </c>
      <c r="I94" s="129">
        <v>58.2</v>
      </c>
      <c r="J94" s="129">
        <v>3.4</v>
      </c>
      <c r="K94" s="129">
        <v>0</v>
      </c>
      <c r="L94" s="129">
        <f t="shared" ref="L94:L104" si="62">SUM(E94:F94)</f>
        <v>55</v>
      </c>
      <c r="M94" s="129">
        <f t="shared" ref="M94:M104" si="63">SUM(G94:H94)</f>
        <v>32</v>
      </c>
      <c r="N94" s="128">
        <f t="shared" ref="N94:N104" si="64">IF(ISERROR(M94/L94),0,M94/L94)</f>
        <v>0.58179999999999998</v>
      </c>
      <c r="O94" s="164">
        <f t="shared" ref="O94:O104" si="65">IF(AND((N94-35%)&gt;0,N94&lt;50%),M94*(N94-35%)*0.7,0)</f>
        <v>0</v>
      </c>
      <c r="P94" s="185">
        <f t="shared" ref="P94:P104" si="66">IF(N94&gt;=50%,M94*10.5%,0)</f>
        <v>3.4</v>
      </c>
      <c r="Q94" s="185">
        <f t="shared" ref="Q94:Q104" si="67">MAX(O94,P94)</f>
        <v>3.4</v>
      </c>
      <c r="R94" s="162" t="b">
        <f t="shared" si="61"/>
        <v>0</v>
      </c>
    </row>
    <row r="95" spans="1:18">
      <c r="A95" s="129" t="s">
        <v>194</v>
      </c>
      <c r="B95" s="129" t="s">
        <v>3688</v>
      </c>
      <c r="C95" s="129">
        <v>2928</v>
      </c>
      <c r="D95" s="129" t="s">
        <v>1070</v>
      </c>
      <c r="E95" s="129">
        <v>30</v>
      </c>
      <c r="F95" s="129">
        <v>0</v>
      </c>
      <c r="G95" s="129">
        <v>18</v>
      </c>
      <c r="H95" s="129">
        <v>0</v>
      </c>
      <c r="I95" s="129">
        <v>60</v>
      </c>
      <c r="J95" s="129">
        <v>1.9</v>
      </c>
      <c r="K95" s="129">
        <v>0</v>
      </c>
      <c r="L95" s="129">
        <f t="shared" si="62"/>
        <v>30</v>
      </c>
      <c r="M95" s="129">
        <f t="shared" si="63"/>
        <v>18</v>
      </c>
      <c r="N95" s="128">
        <f t="shared" si="64"/>
        <v>0.6</v>
      </c>
      <c r="O95" s="164">
        <f t="shared" si="65"/>
        <v>0</v>
      </c>
      <c r="P95" s="185">
        <f t="shared" si="66"/>
        <v>1.9</v>
      </c>
      <c r="Q95" s="185">
        <f t="shared" si="67"/>
        <v>1.9</v>
      </c>
      <c r="R95" s="162" t="b">
        <f t="shared" si="61"/>
        <v>0</v>
      </c>
    </row>
    <row r="96" spans="1:18">
      <c r="A96" s="129" t="s">
        <v>194</v>
      </c>
      <c r="B96" s="129" t="s">
        <v>3688</v>
      </c>
      <c r="C96" s="129">
        <v>2966</v>
      </c>
      <c r="D96" s="129" t="s">
        <v>1072</v>
      </c>
      <c r="E96" s="129">
        <v>38</v>
      </c>
      <c r="F96" s="129">
        <v>0</v>
      </c>
      <c r="G96" s="129">
        <v>29</v>
      </c>
      <c r="H96" s="129">
        <v>0</v>
      </c>
      <c r="I96" s="129">
        <v>76.3</v>
      </c>
      <c r="J96" s="129">
        <v>3</v>
      </c>
      <c r="K96" s="129">
        <v>0</v>
      </c>
      <c r="L96" s="129">
        <f t="shared" si="62"/>
        <v>38</v>
      </c>
      <c r="M96" s="129">
        <f t="shared" si="63"/>
        <v>29</v>
      </c>
      <c r="N96" s="128">
        <f t="shared" si="64"/>
        <v>0.76319999999999999</v>
      </c>
      <c r="O96" s="164">
        <f t="shared" si="65"/>
        <v>0</v>
      </c>
      <c r="P96" s="185">
        <f t="shared" si="66"/>
        <v>3</v>
      </c>
      <c r="Q96" s="185">
        <f t="shared" si="67"/>
        <v>3</v>
      </c>
      <c r="R96" s="162" t="b">
        <f t="shared" si="61"/>
        <v>0</v>
      </c>
    </row>
    <row r="97" spans="1:18">
      <c r="A97" s="129" t="s">
        <v>199</v>
      </c>
      <c r="B97" s="129" t="s">
        <v>4109</v>
      </c>
      <c r="C97" s="129">
        <v>200</v>
      </c>
      <c r="D97" s="129" t="s">
        <v>1092</v>
      </c>
      <c r="E97" s="129">
        <v>172</v>
      </c>
      <c r="F97" s="129">
        <v>0</v>
      </c>
      <c r="G97" s="129">
        <v>56</v>
      </c>
      <c r="H97" s="129">
        <v>0</v>
      </c>
      <c r="I97" s="129">
        <v>32.6</v>
      </c>
      <c r="J97" s="129">
        <v>0</v>
      </c>
      <c r="K97" s="129">
        <v>0</v>
      </c>
      <c r="L97" s="129">
        <f t="shared" si="62"/>
        <v>172</v>
      </c>
      <c r="M97" s="129">
        <f t="shared" si="63"/>
        <v>56</v>
      </c>
      <c r="N97" s="128">
        <f t="shared" si="64"/>
        <v>0.3256</v>
      </c>
      <c r="O97" s="164">
        <f t="shared" si="65"/>
        <v>0</v>
      </c>
      <c r="P97" s="185">
        <f t="shared" si="66"/>
        <v>0</v>
      </c>
      <c r="Q97" s="185">
        <f t="shared" si="67"/>
        <v>0</v>
      </c>
      <c r="R97" s="162" t="b">
        <f t="shared" si="61"/>
        <v>0</v>
      </c>
    </row>
    <row r="98" spans="1:18">
      <c r="A98" s="129" t="s">
        <v>199</v>
      </c>
      <c r="B98" s="129" t="s">
        <v>4109</v>
      </c>
      <c r="C98" s="129">
        <v>201</v>
      </c>
      <c r="D98" s="129" t="s">
        <v>1094</v>
      </c>
      <c r="E98" s="129">
        <v>210</v>
      </c>
      <c r="F98" s="129">
        <v>0</v>
      </c>
      <c r="G98" s="129">
        <v>79</v>
      </c>
      <c r="H98" s="129">
        <v>0</v>
      </c>
      <c r="I98" s="129">
        <v>37.6</v>
      </c>
      <c r="J98" s="129">
        <v>0</v>
      </c>
      <c r="K98" s="129">
        <v>1.4</v>
      </c>
      <c r="L98" s="129">
        <f t="shared" si="62"/>
        <v>210</v>
      </c>
      <c r="M98" s="129">
        <f t="shared" si="63"/>
        <v>79</v>
      </c>
      <c r="N98" s="128">
        <f t="shared" si="64"/>
        <v>0.37619999999999998</v>
      </c>
      <c r="O98" s="164">
        <f t="shared" si="65"/>
        <v>1.4</v>
      </c>
      <c r="P98" s="185">
        <f t="shared" si="66"/>
        <v>0</v>
      </c>
      <c r="Q98" s="185">
        <f t="shared" si="67"/>
        <v>1.4</v>
      </c>
      <c r="R98" s="162" t="b">
        <f t="shared" si="61"/>
        <v>0</v>
      </c>
    </row>
    <row r="99" spans="1:18">
      <c r="A99" s="129" t="s">
        <v>204</v>
      </c>
      <c r="B99" s="129" t="s">
        <v>4110</v>
      </c>
      <c r="C99" s="129">
        <v>132</v>
      </c>
      <c r="D99" s="129" t="s">
        <v>1124</v>
      </c>
      <c r="E99" s="129">
        <v>111</v>
      </c>
      <c r="F99" s="129">
        <v>0</v>
      </c>
      <c r="G99" s="129">
        <v>37</v>
      </c>
      <c r="H99" s="129">
        <v>0</v>
      </c>
      <c r="I99" s="129">
        <v>33.299999999999997</v>
      </c>
      <c r="J99" s="129">
        <v>0</v>
      </c>
      <c r="K99" s="129">
        <v>0</v>
      </c>
      <c r="L99" s="129">
        <f t="shared" si="62"/>
        <v>111</v>
      </c>
      <c r="M99" s="129">
        <f t="shared" si="63"/>
        <v>37</v>
      </c>
      <c r="N99" s="128">
        <f t="shared" si="64"/>
        <v>0.33329999999999999</v>
      </c>
      <c r="O99" s="164">
        <f t="shared" si="65"/>
        <v>0</v>
      </c>
      <c r="P99" s="185">
        <f t="shared" si="66"/>
        <v>0</v>
      </c>
      <c r="Q99" s="185">
        <f t="shared" si="67"/>
        <v>0</v>
      </c>
      <c r="R99" s="162" t="b">
        <f t="shared" si="61"/>
        <v>0</v>
      </c>
    </row>
    <row r="100" spans="1:18">
      <c r="A100" s="129" t="s">
        <v>204</v>
      </c>
      <c r="B100" s="129" t="s">
        <v>4110</v>
      </c>
      <c r="C100" s="129">
        <v>134</v>
      </c>
      <c r="D100" s="129" t="s">
        <v>1126</v>
      </c>
      <c r="E100" s="129">
        <v>122</v>
      </c>
      <c r="F100" s="129">
        <v>0</v>
      </c>
      <c r="G100" s="129">
        <v>42</v>
      </c>
      <c r="H100" s="129">
        <v>0</v>
      </c>
      <c r="I100" s="129">
        <v>34.4</v>
      </c>
      <c r="J100" s="129">
        <v>0</v>
      </c>
      <c r="K100" s="129">
        <v>0</v>
      </c>
      <c r="L100" s="129">
        <f t="shared" si="62"/>
        <v>122</v>
      </c>
      <c r="M100" s="129">
        <f t="shared" si="63"/>
        <v>42</v>
      </c>
      <c r="N100" s="128">
        <f t="shared" si="64"/>
        <v>0.34429999999999999</v>
      </c>
      <c r="O100" s="164">
        <f t="shared" si="65"/>
        <v>0</v>
      </c>
      <c r="P100" s="185">
        <f t="shared" si="66"/>
        <v>0</v>
      </c>
      <c r="Q100" s="185">
        <f t="shared" si="67"/>
        <v>0</v>
      </c>
      <c r="R100" s="162" t="b">
        <f t="shared" si="61"/>
        <v>0</v>
      </c>
    </row>
    <row r="101" spans="1:18">
      <c r="A101" s="129" t="s">
        <v>219</v>
      </c>
      <c r="B101" s="129" t="s">
        <v>3712</v>
      </c>
      <c r="C101" s="129">
        <v>496</v>
      </c>
      <c r="D101" s="129" t="s">
        <v>1225</v>
      </c>
      <c r="E101" s="129">
        <v>48</v>
      </c>
      <c r="F101" s="129">
        <v>0</v>
      </c>
      <c r="G101" s="129">
        <v>34</v>
      </c>
      <c r="H101" s="129">
        <v>0</v>
      </c>
      <c r="I101" s="129">
        <v>70.8</v>
      </c>
      <c r="J101" s="129">
        <v>3.6</v>
      </c>
      <c r="K101" s="129">
        <v>0</v>
      </c>
      <c r="L101" s="129">
        <f t="shared" si="62"/>
        <v>48</v>
      </c>
      <c r="M101" s="129">
        <f t="shared" si="63"/>
        <v>34</v>
      </c>
      <c r="N101" s="128">
        <f t="shared" si="64"/>
        <v>0.70830000000000004</v>
      </c>
      <c r="O101" s="164">
        <f t="shared" si="65"/>
        <v>0</v>
      </c>
      <c r="P101" s="185">
        <f t="shared" si="66"/>
        <v>3.6</v>
      </c>
      <c r="Q101" s="185">
        <f t="shared" si="67"/>
        <v>3.6</v>
      </c>
      <c r="R101" s="162" t="b">
        <f t="shared" si="61"/>
        <v>0</v>
      </c>
    </row>
    <row r="102" spans="1:18">
      <c r="A102" s="129" t="s">
        <v>219</v>
      </c>
      <c r="B102" s="129" t="s">
        <v>3712</v>
      </c>
      <c r="C102" s="129">
        <v>498</v>
      </c>
      <c r="D102" s="129" t="s">
        <v>1227</v>
      </c>
      <c r="E102" s="129">
        <v>42</v>
      </c>
      <c r="F102" s="129">
        <v>0</v>
      </c>
      <c r="G102" s="129">
        <v>23</v>
      </c>
      <c r="H102" s="129">
        <v>0</v>
      </c>
      <c r="I102" s="129">
        <v>54.8</v>
      </c>
      <c r="J102" s="129">
        <v>2.4</v>
      </c>
      <c r="K102" s="129">
        <v>0</v>
      </c>
      <c r="L102" s="129">
        <f t="shared" si="62"/>
        <v>42</v>
      </c>
      <c r="M102" s="129">
        <f t="shared" si="63"/>
        <v>23</v>
      </c>
      <c r="N102" s="128">
        <f t="shared" si="64"/>
        <v>0.54759999999999998</v>
      </c>
      <c r="O102" s="164">
        <f t="shared" si="65"/>
        <v>0</v>
      </c>
      <c r="P102" s="185">
        <f t="shared" si="66"/>
        <v>2.4</v>
      </c>
      <c r="Q102" s="185">
        <f t="shared" si="67"/>
        <v>2.4</v>
      </c>
      <c r="R102" s="162" t="b">
        <f t="shared" si="61"/>
        <v>0</v>
      </c>
    </row>
    <row r="103" spans="1:18">
      <c r="A103" s="129" t="s">
        <v>225</v>
      </c>
      <c r="B103" s="129" t="s">
        <v>3718</v>
      </c>
      <c r="C103" s="129">
        <v>684</v>
      </c>
      <c r="D103" s="129" t="s">
        <v>1261</v>
      </c>
      <c r="E103" s="129">
        <v>48</v>
      </c>
      <c r="F103" s="129">
        <v>0</v>
      </c>
      <c r="G103" s="129">
        <v>26</v>
      </c>
      <c r="H103" s="129">
        <v>0</v>
      </c>
      <c r="I103" s="129">
        <v>54.2</v>
      </c>
      <c r="J103" s="129">
        <v>2.7</v>
      </c>
      <c r="K103" s="129">
        <v>0</v>
      </c>
      <c r="L103" s="129">
        <f t="shared" si="62"/>
        <v>48</v>
      </c>
      <c r="M103" s="129">
        <f t="shared" si="63"/>
        <v>26</v>
      </c>
      <c r="N103" s="128">
        <f t="shared" si="64"/>
        <v>0.54169999999999996</v>
      </c>
      <c r="O103" s="164">
        <f t="shared" si="65"/>
        <v>0</v>
      </c>
      <c r="P103" s="185">
        <f t="shared" si="66"/>
        <v>2.7</v>
      </c>
      <c r="Q103" s="185">
        <f t="shared" si="67"/>
        <v>2.7</v>
      </c>
      <c r="R103" s="162" t="b">
        <f t="shared" si="61"/>
        <v>0</v>
      </c>
    </row>
    <row r="104" spans="1:18">
      <c r="A104" s="129" t="s">
        <v>225</v>
      </c>
      <c r="B104" s="129" t="s">
        <v>3718</v>
      </c>
      <c r="C104" s="129">
        <v>686</v>
      </c>
      <c r="D104" s="129" t="s">
        <v>1263</v>
      </c>
      <c r="E104" s="129">
        <v>24</v>
      </c>
      <c r="F104" s="129">
        <v>0</v>
      </c>
      <c r="G104" s="129">
        <v>9</v>
      </c>
      <c r="H104" s="129">
        <v>0</v>
      </c>
      <c r="I104" s="129">
        <v>37.5</v>
      </c>
      <c r="J104" s="129">
        <v>0</v>
      </c>
      <c r="K104" s="129">
        <v>0.2</v>
      </c>
      <c r="L104" s="129">
        <f t="shared" si="62"/>
        <v>24</v>
      </c>
      <c r="M104" s="129">
        <f t="shared" si="63"/>
        <v>9</v>
      </c>
      <c r="N104" s="128">
        <f t="shared" si="64"/>
        <v>0.375</v>
      </c>
      <c r="O104" s="164">
        <f t="shared" si="65"/>
        <v>0.2</v>
      </c>
      <c r="P104" s="185">
        <f t="shared" si="66"/>
        <v>0</v>
      </c>
      <c r="Q104" s="185">
        <f t="shared" si="67"/>
        <v>0.2</v>
      </c>
      <c r="R104" s="162" t="b">
        <f t="shared" si="61"/>
        <v>0</v>
      </c>
    </row>
    <row r="105" spans="1:18">
      <c r="A105" s="129" t="s">
        <v>260</v>
      </c>
      <c r="B105" s="129" t="s">
        <v>3750</v>
      </c>
      <c r="C105" s="129">
        <v>1992</v>
      </c>
      <c r="D105" s="129" t="s">
        <v>1878</v>
      </c>
      <c r="E105" s="129">
        <v>415</v>
      </c>
      <c r="F105" s="129">
        <v>0</v>
      </c>
      <c r="G105" s="129">
        <v>153</v>
      </c>
      <c r="H105" s="129">
        <v>0</v>
      </c>
      <c r="I105" s="129">
        <v>36.9</v>
      </c>
      <c r="J105" s="129">
        <v>0</v>
      </c>
      <c r="K105" s="129">
        <v>2</v>
      </c>
      <c r="L105" s="129">
        <f t="shared" ref="L105:L111" si="68">SUM(E105:F105)</f>
        <v>415</v>
      </c>
      <c r="M105" s="129">
        <f t="shared" ref="M105:M111" si="69">SUM(G105:H105)</f>
        <v>153</v>
      </c>
      <c r="N105" s="128">
        <f t="shared" ref="N105:N111" si="70">IF(ISERROR(M105/L105),0,M105/L105)</f>
        <v>0.36870000000000003</v>
      </c>
      <c r="O105" s="164">
        <f t="shared" ref="O105:O111" si="71">IF(AND((N105-35%)&gt;0,N105&lt;50%),M105*(N105-35%)*0.7,0)</f>
        <v>2</v>
      </c>
      <c r="P105" s="185">
        <f t="shared" ref="P105:P111" si="72">IF(N105&gt;=50%,M105*10.5%,0)</f>
        <v>0</v>
      </c>
      <c r="Q105" s="185">
        <f t="shared" ref="Q105:Q111" si="73">MAX(O105,P105)</f>
        <v>2</v>
      </c>
      <c r="R105" s="162" t="b">
        <f t="shared" si="61"/>
        <v>0</v>
      </c>
    </row>
    <row r="106" spans="1:18">
      <c r="A106" s="129" t="s">
        <v>260</v>
      </c>
      <c r="B106" s="129" t="s">
        <v>3750</v>
      </c>
      <c r="C106" s="129">
        <v>1996</v>
      </c>
      <c r="D106" s="129" t="s">
        <v>1880</v>
      </c>
      <c r="E106" s="129">
        <v>562</v>
      </c>
      <c r="F106" s="129">
        <v>0</v>
      </c>
      <c r="G106" s="129">
        <v>179</v>
      </c>
      <c r="H106" s="129">
        <v>0</v>
      </c>
      <c r="I106" s="129">
        <v>31.9</v>
      </c>
      <c r="J106" s="129">
        <v>0</v>
      </c>
      <c r="K106" s="129">
        <v>0</v>
      </c>
      <c r="L106" s="129">
        <f t="shared" si="68"/>
        <v>562</v>
      </c>
      <c r="M106" s="129">
        <f t="shared" si="69"/>
        <v>179</v>
      </c>
      <c r="N106" s="128">
        <f t="shared" si="70"/>
        <v>0.31850000000000001</v>
      </c>
      <c r="O106" s="164">
        <f t="shared" si="71"/>
        <v>0</v>
      </c>
      <c r="P106" s="185">
        <f t="shared" si="72"/>
        <v>0</v>
      </c>
      <c r="Q106" s="185">
        <f t="shared" si="73"/>
        <v>0</v>
      </c>
      <c r="R106" s="162" t="b">
        <f t="shared" si="61"/>
        <v>0</v>
      </c>
    </row>
    <row r="107" spans="1:18">
      <c r="A107" s="129" t="s">
        <v>260</v>
      </c>
      <c r="B107" s="129" t="s">
        <v>3750</v>
      </c>
      <c r="C107" s="129">
        <v>1997</v>
      </c>
      <c r="D107" s="129" t="s">
        <v>1882</v>
      </c>
      <c r="E107" s="129">
        <v>428</v>
      </c>
      <c r="F107" s="129">
        <v>0</v>
      </c>
      <c r="G107" s="129">
        <v>141</v>
      </c>
      <c r="H107" s="129">
        <v>0</v>
      </c>
      <c r="I107" s="129">
        <v>32.9</v>
      </c>
      <c r="J107" s="129">
        <v>0</v>
      </c>
      <c r="K107" s="129">
        <v>0</v>
      </c>
      <c r="L107" s="129">
        <f t="shared" si="68"/>
        <v>428</v>
      </c>
      <c r="M107" s="129">
        <f t="shared" si="69"/>
        <v>141</v>
      </c>
      <c r="N107" s="128">
        <f t="shared" si="70"/>
        <v>0.32940000000000003</v>
      </c>
      <c r="O107" s="164">
        <f t="shared" si="71"/>
        <v>0</v>
      </c>
      <c r="P107" s="185">
        <f t="shared" si="72"/>
        <v>0</v>
      </c>
      <c r="Q107" s="185">
        <f t="shared" si="73"/>
        <v>0</v>
      </c>
      <c r="R107" s="162" t="b">
        <f t="shared" si="61"/>
        <v>0</v>
      </c>
    </row>
    <row r="108" spans="1:18">
      <c r="A108" s="129" t="s">
        <v>260</v>
      </c>
      <c r="B108" s="129" t="s">
        <v>3750</v>
      </c>
      <c r="C108" s="129">
        <v>1998</v>
      </c>
      <c r="D108" s="129" t="s">
        <v>1884</v>
      </c>
      <c r="E108" s="129">
        <v>386</v>
      </c>
      <c r="F108" s="129">
        <v>0</v>
      </c>
      <c r="G108" s="129">
        <v>150</v>
      </c>
      <c r="H108" s="129">
        <v>0</v>
      </c>
      <c r="I108" s="129">
        <v>38.9</v>
      </c>
      <c r="J108" s="129">
        <v>0</v>
      </c>
      <c r="K108" s="129">
        <v>4.0999999999999996</v>
      </c>
      <c r="L108" s="129">
        <f t="shared" si="68"/>
        <v>386</v>
      </c>
      <c r="M108" s="129">
        <f t="shared" si="69"/>
        <v>150</v>
      </c>
      <c r="N108" s="128">
        <f t="shared" si="70"/>
        <v>0.3886</v>
      </c>
      <c r="O108" s="164">
        <f t="shared" si="71"/>
        <v>4.0999999999999996</v>
      </c>
      <c r="P108" s="185">
        <f t="shared" si="72"/>
        <v>0</v>
      </c>
      <c r="Q108" s="185">
        <f t="shared" si="73"/>
        <v>4.0999999999999996</v>
      </c>
      <c r="R108" s="162" t="b">
        <f t="shared" si="61"/>
        <v>0</v>
      </c>
    </row>
    <row r="109" spans="1:18">
      <c r="A109" s="129" t="s">
        <v>269</v>
      </c>
      <c r="B109" s="129" t="s">
        <v>3759</v>
      </c>
      <c r="C109" s="129">
        <v>2171</v>
      </c>
      <c r="D109" s="129" t="s">
        <v>1968</v>
      </c>
      <c r="E109" s="129">
        <v>134</v>
      </c>
      <c r="F109" s="129">
        <v>0</v>
      </c>
      <c r="G109" s="129">
        <v>64</v>
      </c>
      <c r="H109" s="129">
        <v>0</v>
      </c>
      <c r="I109" s="129">
        <v>47.8</v>
      </c>
      <c r="J109" s="129">
        <v>0</v>
      </c>
      <c r="K109" s="129">
        <v>5.7</v>
      </c>
      <c r="L109" s="129">
        <f t="shared" si="68"/>
        <v>134</v>
      </c>
      <c r="M109" s="129">
        <f t="shared" si="69"/>
        <v>64</v>
      </c>
      <c r="N109" s="128">
        <f t="shared" si="70"/>
        <v>0.47760000000000002</v>
      </c>
      <c r="O109" s="164">
        <f t="shared" si="71"/>
        <v>5.7</v>
      </c>
      <c r="P109" s="185">
        <f t="shared" si="72"/>
        <v>0</v>
      </c>
      <c r="Q109" s="185">
        <f t="shared" si="73"/>
        <v>5.7</v>
      </c>
      <c r="R109" s="162" t="b">
        <f t="shared" si="61"/>
        <v>0</v>
      </c>
    </row>
    <row r="110" spans="1:18">
      <c r="A110" s="129" t="s">
        <v>269</v>
      </c>
      <c r="B110" s="129" t="s">
        <v>3759</v>
      </c>
      <c r="C110" s="129">
        <v>2176</v>
      </c>
      <c r="D110" s="129" t="s">
        <v>1970</v>
      </c>
      <c r="E110" s="129">
        <v>135</v>
      </c>
      <c r="F110" s="129">
        <v>0</v>
      </c>
      <c r="G110" s="129">
        <v>65</v>
      </c>
      <c r="H110" s="129">
        <v>0</v>
      </c>
      <c r="I110" s="129">
        <v>48.2</v>
      </c>
      <c r="J110" s="129">
        <v>0</v>
      </c>
      <c r="K110" s="129">
        <v>6</v>
      </c>
      <c r="L110" s="129">
        <f t="shared" si="68"/>
        <v>135</v>
      </c>
      <c r="M110" s="129">
        <f t="shared" si="69"/>
        <v>65</v>
      </c>
      <c r="N110" s="128">
        <f t="shared" si="70"/>
        <v>0.48149999999999998</v>
      </c>
      <c r="O110" s="164">
        <f t="shared" si="71"/>
        <v>6</v>
      </c>
      <c r="P110" s="185">
        <f t="shared" si="72"/>
        <v>0</v>
      </c>
      <c r="Q110" s="185">
        <f t="shared" si="73"/>
        <v>6</v>
      </c>
      <c r="R110" s="162" t="b">
        <f t="shared" si="61"/>
        <v>0</v>
      </c>
    </row>
    <row r="111" spans="1:18">
      <c r="A111" s="129" t="s">
        <v>269</v>
      </c>
      <c r="B111" s="129" t="s">
        <v>3759</v>
      </c>
      <c r="C111" s="129">
        <v>2179</v>
      </c>
      <c r="D111" s="129" t="s">
        <v>1972</v>
      </c>
      <c r="E111" s="129">
        <v>50</v>
      </c>
      <c r="F111" s="129">
        <v>0</v>
      </c>
      <c r="G111" s="129">
        <v>7</v>
      </c>
      <c r="H111" s="129">
        <v>0</v>
      </c>
      <c r="I111" s="129">
        <v>14</v>
      </c>
      <c r="J111" s="129">
        <v>0</v>
      </c>
      <c r="K111" s="129">
        <v>0</v>
      </c>
      <c r="L111" s="129">
        <f t="shared" si="68"/>
        <v>50</v>
      </c>
      <c r="M111" s="129">
        <f t="shared" si="69"/>
        <v>7</v>
      </c>
      <c r="N111" s="128">
        <f t="shared" si="70"/>
        <v>0.14000000000000001</v>
      </c>
      <c r="O111" s="164">
        <f t="shared" si="71"/>
        <v>0</v>
      </c>
      <c r="P111" s="185">
        <f t="shared" si="72"/>
        <v>0</v>
      </c>
      <c r="Q111" s="185">
        <f t="shared" si="73"/>
        <v>0</v>
      </c>
      <c r="R111" s="162" t="b">
        <f t="shared" si="61"/>
        <v>0</v>
      </c>
    </row>
    <row r="112" spans="1:18">
      <c r="A112" s="129" t="s">
        <v>320</v>
      </c>
      <c r="B112" s="129" t="s">
        <v>3805</v>
      </c>
      <c r="C112" s="129">
        <v>3936</v>
      </c>
      <c r="D112" s="129" t="s">
        <v>2275</v>
      </c>
      <c r="E112" s="129">
        <v>248</v>
      </c>
      <c r="F112" s="129">
        <v>0</v>
      </c>
      <c r="G112" s="129">
        <v>73</v>
      </c>
      <c r="H112" s="129">
        <v>0</v>
      </c>
      <c r="I112" s="129">
        <v>29.4</v>
      </c>
      <c r="J112" s="129">
        <v>0</v>
      </c>
      <c r="K112" s="129">
        <v>0</v>
      </c>
      <c r="L112" s="129">
        <f t="shared" ref="L112:L135" si="74">SUM(E112:F112)</f>
        <v>248</v>
      </c>
      <c r="M112" s="129">
        <f t="shared" ref="M112:M135" si="75">SUM(G112:H112)</f>
        <v>73</v>
      </c>
      <c r="N112" s="128">
        <f t="shared" ref="N112:N135" si="76">IF(ISERROR(M112/L112),0,M112/L112)</f>
        <v>0.2944</v>
      </c>
      <c r="O112" s="164">
        <f t="shared" ref="O112:O135" si="77">IF(AND((N112-35%)&gt;0,N112&lt;50%),M112*(N112-35%)*0.7,0)</f>
        <v>0</v>
      </c>
      <c r="P112" s="185">
        <f t="shared" ref="P112:P135" si="78">IF(N112&gt;=50%,M112*10.5%,0)</f>
        <v>0</v>
      </c>
      <c r="Q112" s="185">
        <f t="shared" ref="Q112:Q135" si="79">MAX(O112,P112)</f>
        <v>0</v>
      </c>
      <c r="R112" s="162" t="b">
        <f t="shared" si="61"/>
        <v>0</v>
      </c>
    </row>
    <row r="113" spans="1:18">
      <c r="A113" s="129" t="s">
        <v>320</v>
      </c>
      <c r="B113" s="129" t="s">
        <v>3805</v>
      </c>
      <c r="C113" s="129">
        <v>3938</v>
      </c>
      <c r="D113" s="129" t="s">
        <v>2277</v>
      </c>
      <c r="E113" s="129">
        <v>128</v>
      </c>
      <c r="F113" s="129">
        <v>0</v>
      </c>
      <c r="G113" s="129">
        <v>35</v>
      </c>
      <c r="H113" s="129">
        <v>0</v>
      </c>
      <c r="I113" s="129">
        <v>27.3</v>
      </c>
      <c r="J113" s="129">
        <v>0</v>
      </c>
      <c r="K113" s="129">
        <v>0</v>
      </c>
      <c r="L113" s="129">
        <f t="shared" si="74"/>
        <v>128</v>
      </c>
      <c r="M113" s="129">
        <f t="shared" si="75"/>
        <v>35</v>
      </c>
      <c r="N113" s="128">
        <f t="shared" si="76"/>
        <v>0.27339999999999998</v>
      </c>
      <c r="O113" s="164">
        <f t="shared" si="77"/>
        <v>0</v>
      </c>
      <c r="P113" s="185">
        <f t="shared" si="78"/>
        <v>0</v>
      </c>
      <c r="Q113" s="185">
        <f t="shared" si="79"/>
        <v>0</v>
      </c>
      <c r="R113" s="162" t="b">
        <f t="shared" si="61"/>
        <v>0</v>
      </c>
    </row>
    <row r="114" spans="1:18">
      <c r="A114" s="129" t="s">
        <v>337</v>
      </c>
      <c r="B114" s="129" t="s">
        <v>3821</v>
      </c>
      <c r="C114" s="129">
        <v>4340</v>
      </c>
      <c r="D114" s="129" t="s">
        <v>2370</v>
      </c>
      <c r="E114" s="129">
        <v>198</v>
      </c>
      <c r="F114" s="129">
        <v>0</v>
      </c>
      <c r="G114" s="129">
        <v>59</v>
      </c>
      <c r="H114" s="129">
        <v>0</v>
      </c>
      <c r="I114" s="129">
        <v>29.8</v>
      </c>
      <c r="J114" s="129">
        <v>0</v>
      </c>
      <c r="K114" s="129">
        <v>0</v>
      </c>
      <c r="L114" s="129">
        <f t="shared" si="74"/>
        <v>198</v>
      </c>
      <c r="M114" s="129">
        <f t="shared" si="75"/>
        <v>59</v>
      </c>
      <c r="N114" s="128">
        <f t="shared" si="76"/>
        <v>0.29799999999999999</v>
      </c>
      <c r="O114" s="164">
        <f t="shared" si="77"/>
        <v>0</v>
      </c>
      <c r="P114" s="185">
        <f t="shared" si="78"/>
        <v>0</v>
      </c>
      <c r="Q114" s="185">
        <f t="shared" si="79"/>
        <v>0</v>
      </c>
      <c r="R114" s="162" t="b">
        <f t="shared" si="61"/>
        <v>0</v>
      </c>
    </row>
    <row r="115" spans="1:18">
      <c r="A115" s="129" t="s">
        <v>337</v>
      </c>
      <c r="B115" s="129" t="s">
        <v>3821</v>
      </c>
      <c r="C115" s="129">
        <v>4341</v>
      </c>
      <c r="D115" s="129" t="s">
        <v>2372</v>
      </c>
      <c r="E115" s="129">
        <v>101</v>
      </c>
      <c r="F115" s="129">
        <v>0</v>
      </c>
      <c r="G115" s="129">
        <v>28</v>
      </c>
      <c r="H115" s="129">
        <v>0</v>
      </c>
      <c r="I115" s="129">
        <v>27.7</v>
      </c>
      <c r="J115" s="129">
        <v>0</v>
      </c>
      <c r="K115" s="129">
        <v>0</v>
      </c>
      <c r="L115" s="129">
        <f t="shared" si="74"/>
        <v>101</v>
      </c>
      <c r="M115" s="129">
        <f t="shared" si="75"/>
        <v>28</v>
      </c>
      <c r="N115" s="128">
        <f t="shared" si="76"/>
        <v>0.2772</v>
      </c>
      <c r="O115" s="164">
        <f t="shared" si="77"/>
        <v>0</v>
      </c>
      <c r="P115" s="185">
        <f t="shared" si="78"/>
        <v>0</v>
      </c>
      <c r="Q115" s="185">
        <f t="shared" si="79"/>
        <v>0</v>
      </c>
      <c r="R115" s="162" t="b">
        <f t="shared" si="61"/>
        <v>0</v>
      </c>
    </row>
    <row r="116" spans="1:18">
      <c r="A116" s="129" t="s">
        <v>337</v>
      </c>
      <c r="B116" s="129" t="s">
        <v>3821</v>
      </c>
      <c r="C116" s="129">
        <v>4342</v>
      </c>
      <c r="D116" s="129" t="s">
        <v>2374</v>
      </c>
      <c r="E116" s="129">
        <v>136</v>
      </c>
      <c r="F116" s="129">
        <v>0</v>
      </c>
      <c r="G116" s="129">
        <v>28</v>
      </c>
      <c r="H116" s="129">
        <v>0</v>
      </c>
      <c r="I116" s="129">
        <v>20.6</v>
      </c>
      <c r="J116" s="129">
        <v>0</v>
      </c>
      <c r="K116" s="129">
        <v>0</v>
      </c>
      <c r="L116" s="129">
        <f t="shared" si="74"/>
        <v>136</v>
      </c>
      <c r="M116" s="129">
        <f t="shared" si="75"/>
        <v>28</v>
      </c>
      <c r="N116" s="128">
        <f t="shared" si="76"/>
        <v>0.2059</v>
      </c>
      <c r="O116" s="164">
        <f t="shared" si="77"/>
        <v>0</v>
      </c>
      <c r="P116" s="185">
        <f t="shared" si="78"/>
        <v>0</v>
      </c>
      <c r="Q116" s="185">
        <f t="shared" si="79"/>
        <v>0</v>
      </c>
      <c r="R116" s="162" t="b">
        <f t="shared" si="61"/>
        <v>0</v>
      </c>
    </row>
    <row r="117" spans="1:18">
      <c r="A117" s="129" t="s">
        <v>346</v>
      </c>
      <c r="B117" s="129" t="s">
        <v>3829</v>
      </c>
      <c r="C117" s="129">
        <v>4580</v>
      </c>
      <c r="D117" s="129" t="s">
        <v>2419</v>
      </c>
      <c r="E117" s="129">
        <v>415</v>
      </c>
      <c r="F117" s="129">
        <v>0</v>
      </c>
      <c r="G117" s="129">
        <v>207</v>
      </c>
      <c r="H117" s="129">
        <v>0</v>
      </c>
      <c r="I117" s="129">
        <v>49.9</v>
      </c>
      <c r="J117" s="129">
        <v>0</v>
      </c>
      <c r="K117" s="129">
        <v>21.6</v>
      </c>
      <c r="L117" s="129">
        <f t="shared" si="74"/>
        <v>415</v>
      </c>
      <c r="M117" s="129">
        <f t="shared" si="75"/>
        <v>207</v>
      </c>
      <c r="N117" s="128">
        <f t="shared" si="76"/>
        <v>0.49880000000000002</v>
      </c>
      <c r="O117" s="164">
        <f t="shared" si="77"/>
        <v>21.6</v>
      </c>
      <c r="P117" s="185">
        <f t="shared" si="78"/>
        <v>0</v>
      </c>
      <c r="Q117" s="185">
        <f t="shared" si="79"/>
        <v>21.6</v>
      </c>
      <c r="R117" s="162" t="b">
        <f t="shared" si="61"/>
        <v>0</v>
      </c>
    </row>
    <row r="118" spans="1:18">
      <c r="A118" s="129" t="s">
        <v>346</v>
      </c>
      <c r="B118" s="129" t="s">
        <v>3829</v>
      </c>
      <c r="C118" s="129">
        <v>4592</v>
      </c>
      <c r="D118" s="129" t="s">
        <v>2421</v>
      </c>
      <c r="E118" s="129">
        <v>44</v>
      </c>
      <c r="F118" s="129">
        <v>0</v>
      </c>
      <c r="G118" s="129">
        <v>29</v>
      </c>
      <c r="H118" s="129">
        <v>0</v>
      </c>
      <c r="I118" s="129">
        <v>65.900000000000006</v>
      </c>
      <c r="J118" s="129">
        <v>3</v>
      </c>
      <c r="K118" s="129">
        <v>0</v>
      </c>
      <c r="L118" s="129">
        <f t="shared" si="74"/>
        <v>44</v>
      </c>
      <c r="M118" s="129">
        <f t="shared" si="75"/>
        <v>29</v>
      </c>
      <c r="N118" s="128">
        <f t="shared" si="76"/>
        <v>0.65910000000000002</v>
      </c>
      <c r="O118" s="164">
        <f t="shared" si="77"/>
        <v>0</v>
      </c>
      <c r="P118" s="185">
        <f t="shared" si="78"/>
        <v>3</v>
      </c>
      <c r="Q118" s="185">
        <f t="shared" si="79"/>
        <v>3</v>
      </c>
      <c r="R118" s="162" t="b">
        <f t="shared" si="61"/>
        <v>0</v>
      </c>
    </row>
    <row r="119" spans="1:18">
      <c r="A119" s="129" t="s">
        <v>346</v>
      </c>
      <c r="B119" s="129" t="s">
        <v>3829</v>
      </c>
      <c r="C119" s="129">
        <v>4610</v>
      </c>
      <c r="D119" s="129" t="s">
        <v>2423</v>
      </c>
      <c r="E119" s="129">
        <v>50</v>
      </c>
      <c r="F119" s="129">
        <v>0</v>
      </c>
      <c r="G119" s="129">
        <v>14</v>
      </c>
      <c r="H119" s="129">
        <v>0</v>
      </c>
      <c r="I119" s="129">
        <v>28</v>
      </c>
      <c r="J119" s="129">
        <v>0</v>
      </c>
      <c r="K119" s="129">
        <v>0</v>
      </c>
      <c r="L119" s="129">
        <f t="shared" si="74"/>
        <v>50</v>
      </c>
      <c r="M119" s="129">
        <f t="shared" si="75"/>
        <v>14</v>
      </c>
      <c r="N119" s="128">
        <f t="shared" si="76"/>
        <v>0.28000000000000003</v>
      </c>
      <c r="O119" s="164">
        <f t="shared" si="77"/>
        <v>0</v>
      </c>
      <c r="P119" s="185">
        <f t="shared" si="78"/>
        <v>0</v>
      </c>
      <c r="Q119" s="185">
        <f t="shared" si="79"/>
        <v>0</v>
      </c>
      <c r="R119" s="162" t="b">
        <f t="shared" si="61"/>
        <v>0</v>
      </c>
    </row>
    <row r="120" spans="1:18">
      <c r="A120" s="129" t="s">
        <v>346</v>
      </c>
      <c r="B120" s="129" t="s">
        <v>3829</v>
      </c>
      <c r="C120" s="129">
        <v>4612</v>
      </c>
      <c r="D120" s="129" t="s">
        <v>2425</v>
      </c>
      <c r="E120" s="129">
        <v>432</v>
      </c>
      <c r="F120" s="129">
        <v>0</v>
      </c>
      <c r="G120" s="129">
        <v>148</v>
      </c>
      <c r="H120" s="129">
        <v>0</v>
      </c>
      <c r="I120" s="129">
        <v>34.299999999999997</v>
      </c>
      <c r="J120" s="129">
        <v>0</v>
      </c>
      <c r="K120" s="129">
        <v>0</v>
      </c>
      <c r="L120" s="129">
        <f t="shared" si="74"/>
        <v>432</v>
      </c>
      <c r="M120" s="129">
        <f t="shared" si="75"/>
        <v>148</v>
      </c>
      <c r="N120" s="128">
        <f t="shared" si="76"/>
        <v>0.34260000000000002</v>
      </c>
      <c r="O120" s="164">
        <f t="shared" si="77"/>
        <v>0</v>
      </c>
      <c r="P120" s="185">
        <f t="shared" si="78"/>
        <v>0</v>
      </c>
      <c r="Q120" s="185">
        <f t="shared" si="79"/>
        <v>0</v>
      </c>
      <c r="R120" s="162" t="b">
        <f t="shared" si="61"/>
        <v>0</v>
      </c>
    </row>
    <row r="121" spans="1:18">
      <c r="A121" s="129" t="s">
        <v>352</v>
      </c>
      <c r="B121" s="129" t="s">
        <v>3834</v>
      </c>
      <c r="C121" s="129">
        <v>4776</v>
      </c>
      <c r="D121" s="129" t="s">
        <v>2455</v>
      </c>
      <c r="E121" s="129">
        <v>339</v>
      </c>
      <c r="F121" s="129">
        <v>0</v>
      </c>
      <c r="G121" s="129">
        <v>65</v>
      </c>
      <c r="H121" s="129">
        <v>0</v>
      </c>
      <c r="I121" s="129">
        <v>19.2</v>
      </c>
      <c r="J121" s="129">
        <v>0</v>
      </c>
      <c r="K121" s="129">
        <v>0</v>
      </c>
      <c r="L121" s="129">
        <f t="shared" si="74"/>
        <v>339</v>
      </c>
      <c r="M121" s="129">
        <f t="shared" si="75"/>
        <v>65</v>
      </c>
      <c r="N121" s="128">
        <f t="shared" si="76"/>
        <v>0.19170000000000001</v>
      </c>
      <c r="O121" s="164">
        <f t="shared" si="77"/>
        <v>0</v>
      </c>
      <c r="P121" s="185">
        <f t="shared" si="78"/>
        <v>0</v>
      </c>
      <c r="Q121" s="185">
        <f t="shared" si="79"/>
        <v>0</v>
      </c>
      <c r="R121" s="162" t="b">
        <f t="shared" si="61"/>
        <v>0</v>
      </c>
    </row>
    <row r="122" spans="1:18">
      <c r="A122" s="129" t="s">
        <v>352</v>
      </c>
      <c r="B122" s="129" t="s">
        <v>3834</v>
      </c>
      <c r="C122" s="129">
        <v>4778</v>
      </c>
      <c r="D122" s="129" t="s">
        <v>2457</v>
      </c>
      <c r="E122" s="129">
        <v>345</v>
      </c>
      <c r="F122" s="129">
        <v>0</v>
      </c>
      <c r="G122" s="129">
        <v>59</v>
      </c>
      <c r="H122" s="129">
        <v>0</v>
      </c>
      <c r="I122" s="129">
        <v>17.100000000000001</v>
      </c>
      <c r="J122" s="129">
        <v>0</v>
      </c>
      <c r="K122" s="129">
        <v>0</v>
      </c>
      <c r="L122" s="129">
        <f t="shared" si="74"/>
        <v>345</v>
      </c>
      <c r="M122" s="129">
        <f t="shared" si="75"/>
        <v>59</v>
      </c>
      <c r="N122" s="128">
        <f t="shared" si="76"/>
        <v>0.17100000000000001</v>
      </c>
      <c r="O122" s="164">
        <f t="shared" si="77"/>
        <v>0</v>
      </c>
      <c r="P122" s="185">
        <f t="shared" si="78"/>
        <v>0</v>
      </c>
      <c r="Q122" s="185">
        <f t="shared" si="79"/>
        <v>0</v>
      </c>
      <c r="R122" s="162" t="b">
        <f t="shared" si="61"/>
        <v>0</v>
      </c>
    </row>
    <row r="123" spans="1:18">
      <c r="A123" s="129" t="s">
        <v>359</v>
      </c>
      <c r="B123" s="129" t="s">
        <v>4112</v>
      </c>
      <c r="C123" s="129">
        <v>4970</v>
      </c>
      <c r="D123" s="129" t="s">
        <v>2028</v>
      </c>
      <c r="E123" s="129">
        <v>147</v>
      </c>
      <c r="F123" s="129">
        <v>0</v>
      </c>
      <c r="G123" s="129">
        <v>45</v>
      </c>
      <c r="H123" s="129">
        <v>0</v>
      </c>
      <c r="I123" s="129">
        <v>30.6</v>
      </c>
      <c r="J123" s="129">
        <v>0</v>
      </c>
      <c r="K123" s="129">
        <v>0</v>
      </c>
      <c r="L123" s="129">
        <f t="shared" si="74"/>
        <v>147</v>
      </c>
      <c r="M123" s="129">
        <f t="shared" si="75"/>
        <v>45</v>
      </c>
      <c r="N123" s="128">
        <f t="shared" si="76"/>
        <v>0.30609999999999998</v>
      </c>
      <c r="O123" s="164">
        <f t="shared" si="77"/>
        <v>0</v>
      </c>
      <c r="P123" s="185">
        <f t="shared" si="78"/>
        <v>0</v>
      </c>
      <c r="Q123" s="185">
        <f t="shared" si="79"/>
        <v>0</v>
      </c>
      <c r="R123" s="162" t="b">
        <f t="shared" si="61"/>
        <v>0</v>
      </c>
    </row>
    <row r="124" spans="1:18">
      <c r="A124" s="129" t="s">
        <v>359</v>
      </c>
      <c r="B124" s="129" t="s">
        <v>4112</v>
      </c>
      <c r="C124" s="129">
        <v>4972</v>
      </c>
      <c r="D124" s="129" t="s">
        <v>2030</v>
      </c>
      <c r="E124" s="129">
        <v>369</v>
      </c>
      <c r="F124" s="129">
        <v>0</v>
      </c>
      <c r="G124" s="129">
        <v>149</v>
      </c>
      <c r="H124" s="129">
        <v>0</v>
      </c>
      <c r="I124" s="129">
        <v>40.4</v>
      </c>
      <c r="J124" s="129">
        <v>0</v>
      </c>
      <c r="K124" s="129">
        <v>5.6</v>
      </c>
      <c r="L124" s="129">
        <f t="shared" si="74"/>
        <v>369</v>
      </c>
      <c r="M124" s="129">
        <f t="shared" si="75"/>
        <v>149</v>
      </c>
      <c r="N124" s="128">
        <f t="shared" si="76"/>
        <v>0.40379999999999999</v>
      </c>
      <c r="O124" s="164">
        <f t="shared" si="77"/>
        <v>5.6</v>
      </c>
      <c r="P124" s="185">
        <f t="shared" si="78"/>
        <v>0</v>
      </c>
      <c r="Q124" s="185">
        <f t="shared" si="79"/>
        <v>5.6</v>
      </c>
      <c r="R124" s="162" t="b">
        <f t="shared" si="61"/>
        <v>0</v>
      </c>
    </row>
    <row r="125" spans="1:18">
      <c r="A125" s="129" t="s">
        <v>359</v>
      </c>
      <c r="B125" s="129" t="s">
        <v>4112</v>
      </c>
      <c r="C125" s="129">
        <v>4974</v>
      </c>
      <c r="D125" s="129" t="s">
        <v>2507</v>
      </c>
      <c r="E125" s="129">
        <v>241</v>
      </c>
      <c r="F125" s="129">
        <v>0</v>
      </c>
      <c r="G125" s="129">
        <v>92</v>
      </c>
      <c r="H125" s="129">
        <v>0</v>
      </c>
      <c r="I125" s="129">
        <v>38.200000000000003</v>
      </c>
      <c r="J125" s="129">
        <v>0</v>
      </c>
      <c r="K125" s="129">
        <v>2</v>
      </c>
      <c r="L125" s="129">
        <f t="shared" si="74"/>
        <v>241</v>
      </c>
      <c r="M125" s="129">
        <f t="shared" si="75"/>
        <v>92</v>
      </c>
      <c r="N125" s="128">
        <f t="shared" si="76"/>
        <v>0.38169999999999998</v>
      </c>
      <c r="O125" s="164">
        <f t="shared" si="77"/>
        <v>2</v>
      </c>
      <c r="P125" s="185">
        <f t="shared" si="78"/>
        <v>0</v>
      </c>
      <c r="Q125" s="185">
        <f t="shared" si="79"/>
        <v>2</v>
      </c>
      <c r="R125" s="162" t="b">
        <f t="shared" si="61"/>
        <v>0</v>
      </c>
    </row>
    <row r="126" spans="1:18">
      <c r="A126" s="129" t="s">
        <v>359</v>
      </c>
      <c r="B126" s="129" t="s">
        <v>4112</v>
      </c>
      <c r="C126" s="129">
        <v>4976</v>
      </c>
      <c r="D126" s="129" t="s">
        <v>2509</v>
      </c>
      <c r="E126" s="129">
        <v>343</v>
      </c>
      <c r="F126" s="129">
        <v>0</v>
      </c>
      <c r="G126" s="129">
        <v>104</v>
      </c>
      <c r="H126" s="129">
        <v>0</v>
      </c>
      <c r="I126" s="129">
        <v>30.3</v>
      </c>
      <c r="J126" s="129">
        <v>0</v>
      </c>
      <c r="K126" s="129">
        <v>0</v>
      </c>
      <c r="L126" s="129">
        <f t="shared" si="74"/>
        <v>343</v>
      </c>
      <c r="M126" s="129">
        <f t="shared" si="75"/>
        <v>104</v>
      </c>
      <c r="N126" s="128">
        <f t="shared" si="76"/>
        <v>0.30320000000000003</v>
      </c>
      <c r="O126" s="164">
        <f t="shared" si="77"/>
        <v>0</v>
      </c>
      <c r="P126" s="185">
        <f t="shared" si="78"/>
        <v>0</v>
      </c>
      <c r="Q126" s="185">
        <f t="shared" si="79"/>
        <v>0</v>
      </c>
      <c r="R126" s="162" t="b">
        <f t="shared" si="61"/>
        <v>0</v>
      </c>
    </row>
    <row r="127" spans="1:18">
      <c r="A127" s="129" t="s">
        <v>359</v>
      </c>
      <c r="B127" s="129" t="s">
        <v>4112</v>
      </c>
      <c r="C127" s="129">
        <v>5014</v>
      </c>
      <c r="D127" s="129" t="s">
        <v>2511</v>
      </c>
      <c r="E127" s="129">
        <v>145</v>
      </c>
      <c r="F127" s="129">
        <v>0</v>
      </c>
      <c r="G127" s="129">
        <v>71</v>
      </c>
      <c r="H127" s="129">
        <v>0</v>
      </c>
      <c r="I127" s="129">
        <v>49</v>
      </c>
      <c r="J127" s="129">
        <v>0</v>
      </c>
      <c r="K127" s="129">
        <v>6.9</v>
      </c>
      <c r="L127" s="129">
        <f t="shared" si="74"/>
        <v>145</v>
      </c>
      <c r="M127" s="129">
        <f t="shared" si="75"/>
        <v>71</v>
      </c>
      <c r="N127" s="128">
        <f t="shared" si="76"/>
        <v>0.48970000000000002</v>
      </c>
      <c r="O127" s="164">
        <f t="shared" si="77"/>
        <v>6.9</v>
      </c>
      <c r="P127" s="185">
        <f t="shared" si="78"/>
        <v>0</v>
      </c>
      <c r="Q127" s="185">
        <f t="shared" si="79"/>
        <v>6.9</v>
      </c>
      <c r="R127" s="162" t="b">
        <f t="shared" si="61"/>
        <v>0</v>
      </c>
    </row>
    <row r="128" spans="1:18">
      <c r="A128" s="129" t="s">
        <v>359</v>
      </c>
      <c r="B128" s="129" t="s">
        <v>4112</v>
      </c>
      <c r="C128" s="129">
        <v>5016</v>
      </c>
      <c r="D128" s="129" t="s">
        <v>2513</v>
      </c>
      <c r="E128" s="129">
        <v>75</v>
      </c>
      <c r="F128" s="129">
        <v>0</v>
      </c>
      <c r="G128" s="129">
        <v>31</v>
      </c>
      <c r="H128" s="129">
        <v>0</v>
      </c>
      <c r="I128" s="129">
        <v>41.3</v>
      </c>
      <c r="J128" s="129">
        <v>0</v>
      </c>
      <c r="K128" s="129">
        <v>1.4</v>
      </c>
      <c r="L128" s="129">
        <f t="shared" si="74"/>
        <v>75</v>
      </c>
      <c r="M128" s="129">
        <f t="shared" si="75"/>
        <v>31</v>
      </c>
      <c r="N128" s="128">
        <f t="shared" si="76"/>
        <v>0.4133</v>
      </c>
      <c r="O128" s="164">
        <f t="shared" si="77"/>
        <v>1.4</v>
      </c>
      <c r="P128" s="185">
        <f t="shared" si="78"/>
        <v>0</v>
      </c>
      <c r="Q128" s="185">
        <f t="shared" si="79"/>
        <v>1.4</v>
      </c>
      <c r="R128" s="162" t="b">
        <f t="shared" si="61"/>
        <v>0</v>
      </c>
    </row>
    <row r="129" spans="1:18">
      <c r="A129" s="129" t="s">
        <v>403</v>
      </c>
      <c r="B129" s="129" t="s">
        <v>4113</v>
      </c>
      <c r="C129" s="129">
        <v>6324</v>
      </c>
      <c r="D129" s="129" t="s">
        <v>2784</v>
      </c>
      <c r="E129" s="129">
        <v>143</v>
      </c>
      <c r="F129" s="129">
        <v>0</v>
      </c>
      <c r="G129" s="129">
        <v>36</v>
      </c>
      <c r="H129" s="129">
        <v>0</v>
      </c>
      <c r="I129" s="129">
        <v>25.2</v>
      </c>
      <c r="J129" s="129">
        <v>0</v>
      </c>
      <c r="K129" s="129">
        <v>0</v>
      </c>
      <c r="L129" s="129">
        <f t="shared" si="74"/>
        <v>143</v>
      </c>
      <c r="M129" s="129">
        <f t="shared" si="75"/>
        <v>36</v>
      </c>
      <c r="N129" s="128">
        <f t="shared" si="76"/>
        <v>0.25169999999999998</v>
      </c>
      <c r="O129" s="164">
        <f t="shared" si="77"/>
        <v>0</v>
      </c>
      <c r="P129" s="185">
        <f t="shared" si="78"/>
        <v>0</v>
      </c>
      <c r="Q129" s="185">
        <f t="shared" si="79"/>
        <v>0</v>
      </c>
      <c r="R129" s="162" t="b">
        <f t="shared" si="61"/>
        <v>0</v>
      </c>
    </row>
    <row r="130" spans="1:18">
      <c r="A130" s="129" t="s">
        <v>403</v>
      </c>
      <c r="B130" s="129" t="s">
        <v>4113</v>
      </c>
      <c r="C130" s="129">
        <v>6326</v>
      </c>
      <c r="D130" s="129" t="s">
        <v>2786</v>
      </c>
      <c r="E130" s="129">
        <v>159</v>
      </c>
      <c r="F130" s="129">
        <v>0</v>
      </c>
      <c r="G130" s="129">
        <v>35</v>
      </c>
      <c r="H130" s="129">
        <v>0</v>
      </c>
      <c r="I130" s="129">
        <v>22</v>
      </c>
      <c r="J130" s="129">
        <v>0</v>
      </c>
      <c r="K130" s="129">
        <v>0</v>
      </c>
      <c r="L130" s="129">
        <f t="shared" si="74"/>
        <v>159</v>
      </c>
      <c r="M130" s="129">
        <f t="shared" si="75"/>
        <v>35</v>
      </c>
      <c r="N130" s="128">
        <f t="shared" si="76"/>
        <v>0.22009999999999999</v>
      </c>
      <c r="O130" s="164">
        <f t="shared" si="77"/>
        <v>0</v>
      </c>
      <c r="P130" s="185">
        <f t="shared" si="78"/>
        <v>0</v>
      </c>
      <c r="Q130" s="185">
        <f t="shared" si="79"/>
        <v>0</v>
      </c>
      <c r="R130" s="162" t="b">
        <f t="shared" si="61"/>
        <v>0</v>
      </c>
    </row>
    <row r="131" spans="1:18">
      <c r="A131" s="129" t="s">
        <v>407</v>
      </c>
      <c r="B131" s="129" t="s">
        <v>3883</v>
      </c>
      <c r="C131" s="129">
        <v>6440</v>
      </c>
      <c r="D131" s="129" t="s">
        <v>2806</v>
      </c>
      <c r="E131" s="129">
        <v>396</v>
      </c>
      <c r="F131" s="129">
        <v>0</v>
      </c>
      <c r="G131" s="129">
        <v>149</v>
      </c>
      <c r="H131" s="129">
        <v>0</v>
      </c>
      <c r="I131" s="129">
        <v>37.6</v>
      </c>
      <c r="J131" s="129">
        <v>0</v>
      </c>
      <c r="K131" s="129">
        <v>2.7</v>
      </c>
      <c r="L131" s="129">
        <f t="shared" si="74"/>
        <v>396</v>
      </c>
      <c r="M131" s="129">
        <f t="shared" si="75"/>
        <v>149</v>
      </c>
      <c r="N131" s="128">
        <f t="shared" si="76"/>
        <v>0.37630000000000002</v>
      </c>
      <c r="O131" s="164">
        <f t="shared" si="77"/>
        <v>2.7</v>
      </c>
      <c r="P131" s="185">
        <f t="shared" si="78"/>
        <v>0</v>
      </c>
      <c r="Q131" s="185">
        <f t="shared" si="79"/>
        <v>2.7</v>
      </c>
      <c r="R131" s="162" t="b">
        <f t="shared" si="61"/>
        <v>0</v>
      </c>
    </row>
    <row r="132" spans="1:18">
      <c r="A132" s="129" t="s">
        <v>407</v>
      </c>
      <c r="B132" s="129" t="s">
        <v>3883</v>
      </c>
      <c r="C132" s="129">
        <v>6444</v>
      </c>
      <c r="D132" s="129" t="s">
        <v>2808</v>
      </c>
      <c r="E132" s="129">
        <v>313</v>
      </c>
      <c r="F132" s="129">
        <v>0</v>
      </c>
      <c r="G132" s="129">
        <v>127</v>
      </c>
      <c r="H132" s="129">
        <v>0</v>
      </c>
      <c r="I132" s="129">
        <v>40.6</v>
      </c>
      <c r="J132" s="129">
        <v>0</v>
      </c>
      <c r="K132" s="129">
        <v>5</v>
      </c>
      <c r="L132" s="129">
        <f t="shared" si="74"/>
        <v>313</v>
      </c>
      <c r="M132" s="129">
        <f t="shared" si="75"/>
        <v>127</v>
      </c>
      <c r="N132" s="128">
        <f t="shared" si="76"/>
        <v>0.40579999999999999</v>
      </c>
      <c r="O132" s="164">
        <f t="shared" si="77"/>
        <v>5</v>
      </c>
      <c r="P132" s="185">
        <f t="shared" si="78"/>
        <v>0</v>
      </c>
      <c r="Q132" s="185">
        <f t="shared" si="79"/>
        <v>5</v>
      </c>
      <c r="R132" s="162" t="b">
        <f t="shared" si="61"/>
        <v>0</v>
      </c>
    </row>
    <row r="133" spans="1:18">
      <c r="A133" s="129" t="s">
        <v>407</v>
      </c>
      <c r="B133" s="129" t="s">
        <v>3883</v>
      </c>
      <c r="C133" s="129">
        <v>6446</v>
      </c>
      <c r="D133" s="129" t="s">
        <v>2810</v>
      </c>
      <c r="E133" s="129">
        <v>317</v>
      </c>
      <c r="F133" s="129">
        <v>0</v>
      </c>
      <c r="G133" s="129">
        <v>121</v>
      </c>
      <c r="H133" s="129">
        <v>0</v>
      </c>
      <c r="I133" s="129">
        <v>38.200000000000003</v>
      </c>
      <c r="J133" s="129">
        <v>0</v>
      </c>
      <c r="K133" s="129">
        <v>2.7</v>
      </c>
      <c r="L133" s="129">
        <f t="shared" si="74"/>
        <v>317</v>
      </c>
      <c r="M133" s="129">
        <f t="shared" si="75"/>
        <v>121</v>
      </c>
      <c r="N133" s="128">
        <f t="shared" si="76"/>
        <v>0.38169999999999998</v>
      </c>
      <c r="O133" s="164">
        <f t="shared" si="77"/>
        <v>2.7</v>
      </c>
      <c r="P133" s="185">
        <f t="shared" si="78"/>
        <v>0</v>
      </c>
      <c r="Q133" s="185">
        <f t="shared" si="79"/>
        <v>2.7</v>
      </c>
      <c r="R133" s="162" t="b">
        <f t="shared" ref="R133:R196" si="80">COUNTIF(C:C,C133)&gt;1</f>
        <v>0</v>
      </c>
    </row>
    <row r="134" spans="1:18">
      <c r="A134" s="129" t="s">
        <v>470</v>
      </c>
      <c r="B134" s="129" t="s">
        <v>3944</v>
      </c>
      <c r="C134" s="129">
        <v>8652</v>
      </c>
      <c r="D134" s="129" t="s">
        <v>3434</v>
      </c>
      <c r="E134" s="129">
        <v>198</v>
      </c>
      <c r="F134" s="129">
        <v>0</v>
      </c>
      <c r="G134" s="129">
        <v>100</v>
      </c>
      <c r="H134" s="129">
        <v>0</v>
      </c>
      <c r="I134" s="129">
        <v>50.5</v>
      </c>
      <c r="J134" s="129">
        <v>10.5</v>
      </c>
      <c r="K134" s="129">
        <v>0</v>
      </c>
      <c r="L134" s="129">
        <f t="shared" si="74"/>
        <v>198</v>
      </c>
      <c r="M134" s="129">
        <f t="shared" si="75"/>
        <v>100</v>
      </c>
      <c r="N134" s="128">
        <f t="shared" si="76"/>
        <v>0.50509999999999999</v>
      </c>
      <c r="O134" s="164">
        <f t="shared" si="77"/>
        <v>0</v>
      </c>
      <c r="P134" s="185">
        <f t="shared" si="78"/>
        <v>10.5</v>
      </c>
      <c r="Q134" s="185">
        <f t="shared" si="79"/>
        <v>10.5</v>
      </c>
      <c r="R134" s="162" t="b">
        <f t="shared" si="80"/>
        <v>0</v>
      </c>
    </row>
    <row r="135" spans="1:18">
      <c r="A135" s="129" t="s">
        <v>470</v>
      </c>
      <c r="B135" s="129" t="s">
        <v>3944</v>
      </c>
      <c r="C135" s="129">
        <v>8654</v>
      </c>
      <c r="D135" s="129" t="s">
        <v>3436</v>
      </c>
      <c r="E135" s="129">
        <v>507</v>
      </c>
      <c r="F135" s="129">
        <v>0</v>
      </c>
      <c r="G135" s="129">
        <v>215</v>
      </c>
      <c r="H135" s="129">
        <v>0</v>
      </c>
      <c r="I135" s="129">
        <v>42.4</v>
      </c>
      <c r="J135" s="129">
        <v>0</v>
      </c>
      <c r="K135" s="129">
        <v>11.2</v>
      </c>
      <c r="L135" s="129">
        <f t="shared" si="74"/>
        <v>507</v>
      </c>
      <c r="M135" s="129">
        <f t="shared" si="75"/>
        <v>215</v>
      </c>
      <c r="N135" s="128">
        <f t="shared" si="76"/>
        <v>0.42409999999999998</v>
      </c>
      <c r="O135" s="164">
        <f t="shared" si="77"/>
        <v>11.2</v>
      </c>
      <c r="P135" s="185">
        <f t="shared" si="78"/>
        <v>0</v>
      </c>
      <c r="Q135" s="185">
        <f t="shared" si="79"/>
        <v>11.2</v>
      </c>
      <c r="R135" s="162" t="b">
        <f t="shared" si="80"/>
        <v>0</v>
      </c>
    </row>
    <row r="136" spans="1:18">
      <c r="A136" s="129" t="s">
        <v>470</v>
      </c>
      <c r="B136" s="129" t="s">
        <v>3944</v>
      </c>
      <c r="C136" s="129">
        <v>8658</v>
      </c>
      <c r="D136" s="129" t="s">
        <v>3438</v>
      </c>
      <c r="E136" s="129">
        <v>104</v>
      </c>
      <c r="F136" s="129">
        <v>0</v>
      </c>
      <c r="G136" s="129">
        <v>53</v>
      </c>
      <c r="H136" s="129">
        <v>0</v>
      </c>
      <c r="I136" s="129">
        <v>51</v>
      </c>
      <c r="J136" s="129">
        <v>5.6</v>
      </c>
      <c r="K136" s="129">
        <v>0</v>
      </c>
      <c r="L136" s="129">
        <f t="shared" ref="L136:L140" si="81">SUM(E136:F136)</f>
        <v>104</v>
      </c>
      <c r="M136" s="129">
        <f t="shared" ref="M136:M140" si="82">SUM(G136:H136)</f>
        <v>53</v>
      </c>
      <c r="N136" s="128">
        <f t="shared" ref="N136:N140" si="83">IF(ISERROR(M136/L136),0,M136/L136)</f>
        <v>0.50960000000000005</v>
      </c>
      <c r="O136" s="164">
        <f t="shared" ref="O136:O140" si="84">IF(AND((N136-35%)&gt;0,N136&lt;50%),M136*(N136-35%)*0.7,0)</f>
        <v>0</v>
      </c>
      <c r="P136" s="185">
        <f t="shared" ref="P136:P140" si="85">IF(N136&gt;=50%,M136*10.5%,0)</f>
        <v>5.6</v>
      </c>
      <c r="Q136" s="185">
        <f t="shared" ref="Q136:Q140" si="86">MAX(O136,P136)</f>
        <v>5.6</v>
      </c>
      <c r="R136" s="162" t="b">
        <f t="shared" si="80"/>
        <v>0</v>
      </c>
    </row>
    <row r="137" spans="1:18">
      <c r="A137" s="129" t="s">
        <v>470</v>
      </c>
      <c r="B137" s="129" t="s">
        <v>3944</v>
      </c>
      <c r="C137" s="129">
        <v>8666</v>
      </c>
      <c r="D137" s="129" t="s">
        <v>3440</v>
      </c>
      <c r="E137" s="129">
        <v>178</v>
      </c>
      <c r="F137" s="129">
        <v>0</v>
      </c>
      <c r="G137" s="129">
        <v>73</v>
      </c>
      <c r="H137" s="129">
        <v>0</v>
      </c>
      <c r="I137" s="129">
        <v>41</v>
      </c>
      <c r="J137" s="129">
        <v>0</v>
      </c>
      <c r="K137" s="129">
        <v>3.1</v>
      </c>
      <c r="L137" s="129">
        <f t="shared" si="81"/>
        <v>178</v>
      </c>
      <c r="M137" s="129">
        <f t="shared" si="82"/>
        <v>73</v>
      </c>
      <c r="N137" s="128">
        <f t="shared" si="83"/>
        <v>0.41010000000000002</v>
      </c>
      <c r="O137" s="164">
        <f t="shared" si="84"/>
        <v>3.1</v>
      </c>
      <c r="P137" s="185">
        <f t="shared" si="85"/>
        <v>0</v>
      </c>
      <c r="Q137" s="185">
        <f t="shared" si="86"/>
        <v>3.1</v>
      </c>
      <c r="R137" s="162" t="b">
        <f t="shared" si="80"/>
        <v>0</v>
      </c>
    </row>
    <row r="138" spans="1:18">
      <c r="A138" s="129" t="s">
        <v>470</v>
      </c>
      <c r="B138" s="129" t="s">
        <v>3944</v>
      </c>
      <c r="C138" s="129">
        <v>8680</v>
      </c>
      <c r="D138" s="129" t="s">
        <v>3442</v>
      </c>
      <c r="E138" s="129">
        <v>323</v>
      </c>
      <c r="F138" s="129">
        <v>0</v>
      </c>
      <c r="G138" s="129">
        <v>177</v>
      </c>
      <c r="H138" s="129">
        <v>0</v>
      </c>
      <c r="I138" s="129">
        <v>54.8</v>
      </c>
      <c r="J138" s="129">
        <v>18.600000000000001</v>
      </c>
      <c r="K138" s="129">
        <v>0</v>
      </c>
      <c r="L138" s="129">
        <f t="shared" si="81"/>
        <v>323</v>
      </c>
      <c r="M138" s="129">
        <f t="shared" si="82"/>
        <v>177</v>
      </c>
      <c r="N138" s="128">
        <f t="shared" si="83"/>
        <v>0.54800000000000004</v>
      </c>
      <c r="O138" s="164">
        <f t="shared" si="84"/>
        <v>0</v>
      </c>
      <c r="P138" s="185">
        <f t="shared" si="85"/>
        <v>18.600000000000001</v>
      </c>
      <c r="Q138" s="185">
        <f t="shared" si="86"/>
        <v>18.600000000000001</v>
      </c>
      <c r="R138" s="162" t="b">
        <f t="shared" si="80"/>
        <v>0</v>
      </c>
    </row>
    <row r="139" spans="1:18">
      <c r="A139" s="129" t="s">
        <v>470</v>
      </c>
      <c r="B139" s="129" t="s">
        <v>3944</v>
      </c>
      <c r="C139" s="129">
        <v>8684</v>
      </c>
      <c r="D139" s="129" t="s">
        <v>3444</v>
      </c>
      <c r="E139" s="129">
        <v>134</v>
      </c>
      <c r="F139" s="129">
        <v>0</v>
      </c>
      <c r="G139" s="129">
        <v>63</v>
      </c>
      <c r="H139" s="129">
        <v>0</v>
      </c>
      <c r="I139" s="129">
        <v>47</v>
      </c>
      <c r="J139" s="129">
        <v>0</v>
      </c>
      <c r="K139" s="129">
        <v>5.3</v>
      </c>
      <c r="L139" s="129">
        <f t="shared" si="81"/>
        <v>134</v>
      </c>
      <c r="M139" s="129">
        <f t="shared" si="82"/>
        <v>63</v>
      </c>
      <c r="N139" s="128">
        <f t="shared" si="83"/>
        <v>0.47010000000000002</v>
      </c>
      <c r="O139" s="164">
        <f t="shared" si="84"/>
        <v>5.3</v>
      </c>
      <c r="P139" s="185">
        <f t="shared" si="85"/>
        <v>0</v>
      </c>
      <c r="Q139" s="185">
        <f t="shared" si="86"/>
        <v>5.3</v>
      </c>
      <c r="R139" s="162" t="b">
        <f t="shared" si="80"/>
        <v>0</v>
      </c>
    </row>
    <row r="140" spans="1:18">
      <c r="A140" s="129" t="s">
        <v>475</v>
      </c>
      <c r="B140" s="129" t="s">
        <v>4103</v>
      </c>
      <c r="C140" s="129">
        <v>8809</v>
      </c>
      <c r="D140" s="129" t="s">
        <v>4092</v>
      </c>
      <c r="E140" s="129">
        <v>2</v>
      </c>
      <c r="F140" s="129">
        <v>0</v>
      </c>
      <c r="H140" s="129">
        <v>0</v>
      </c>
      <c r="J140" s="129">
        <v>0</v>
      </c>
      <c r="K140" s="129">
        <v>0</v>
      </c>
      <c r="L140" s="129">
        <f t="shared" si="81"/>
        <v>2</v>
      </c>
      <c r="M140" s="129">
        <f t="shared" si="82"/>
        <v>0</v>
      </c>
      <c r="N140" s="128">
        <f t="shared" si="83"/>
        <v>0</v>
      </c>
      <c r="O140" s="164">
        <f t="shared" si="84"/>
        <v>0</v>
      </c>
      <c r="P140" s="185">
        <f t="shared" si="85"/>
        <v>0</v>
      </c>
      <c r="Q140" s="185">
        <f t="shared" si="86"/>
        <v>0</v>
      </c>
      <c r="R140" s="162" t="b">
        <f t="shared" si="80"/>
        <v>0</v>
      </c>
    </row>
    <row r="141" spans="1:18">
      <c r="A141" s="129" t="s">
        <v>198</v>
      </c>
      <c r="B141" s="129" t="s">
        <v>4115</v>
      </c>
      <c r="C141" s="129">
        <v>192</v>
      </c>
      <c r="D141" s="129" t="s">
        <v>1086</v>
      </c>
      <c r="E141" s="129">
        <v>45</v>
      </c>
      <c r="F141" s="129">
        <v>0</v>
      </c>
      <c r="G141" s="129">
        <v>17</v>
      </c>
      <c r="H141" s="129">
        <v>0</v>
      </c>
      <c r="I141" s="129">
        <v>37.799999999999997</v>
      </c>
      <c r="J141" s="129">
        <v>0</v>
      </c>
      <c r="K141" s="129">
        <v>0.3</v>
      </c>
      <c r="L141" s="129">
        <f t="shared" ref="L141:L152" si="87">SUM(E141:F141)</f>
        <v>45</v>
      </c>
      <c r="M141" s="129">
        <f t="shared" ref="M141:M152" si="88">SUM(G141:H141)</f>
        <v>17</v>
      </c>
      <c r="N141" s="128">
        <f t="shared" ref="N141:N152" si="89">IF(ISERROR(M141/L141),0,M141/L141)</f>
        <v>0.37780000000000002</v>
      </c>
      <c r="O141" s="164">
        <f t="shared" ref="O141:O152" si="90">IF(AND((N141-35%)&gt;0,N141&lt;50%),M141*(N141-35%)*0.7,0)</f>
        <v>0.3</v>
      </c>
      <c r="P141" s="185">
        <f t="shared" ref="P141:P152" si="91">IF(N141&gt;=50%,M141*10.5%,0)</f>
        <v>0</v>
      </c>
      <c r="Q141" s="185">
        <f t="shared" ref="Q141:Q152" si="92">MAX(O141,P141)</f>
        <v>0.3</v>
      </c>
      <c r="R141" s="162" t="b">
        <f t="shared" si="80"/>
        <v>0</v>
      </c>
    </row>
    <row r="142" spans="1:18">
      <c r="A142" s="129" t="s">
        <v>198</v>
      </c>
      <c r="B142" s="129" t="s">
        <v>4115</v>
      </c>
      <c r="C142" s="129">
        <v>193</v>
      </c>
      <c r="D142" s="129" t="s">
        <v>1088</v>
      </c>
      <c r="E142" s="129">
        <v>63</v>
      </c>
      <c r="F142" s="129">
        <v>0</v>
      </c>
      <c r="G142" s="129">
        <v>20</v>
      </c>
      <c r="H142" s="129">
        <v>0</v>
      </c>
      <c r="I142" s="129">
        <v>31.8</v>
      </c>
      <c r="J142" s="129">
        <v>0</v>
      </c>
      <c r="K142" s="129">
        <v>0</v>
      </c>
      <c r="L142" s="129">
        <f t="shared" si="87"/>
        <v>63</v>
      </c>
      <c r="M142" s="129">
        <f t="shared" si="88"/>
        <v>20</v>
      </c>
      <c r="N142" s="128">
        <f t="shared" si="89"/>
        <v>0.3175</v>
      </c>
      <c r="O142" s="164">
        <f t="shared" si="90"/>
        <v>0</v>
      </c>
      <c r="P142" s="185">
        <f t="shared" si="91"/>
        <v>0</v>
      </c>
      <c r="Q142" s="185">
        <f t="shared" si="92"/>
        <v>0</v>
      </c>
      <c r="R142" s="162" t="b">
        <f t="shared" si="80"/>
        <v>0</v>
      </c>
    </row>
    <row r="143" spans="1:18">
      <c r="A143" s="129" t="s">
        <v>198</v>
      </c>
      <c r="B143" s="129" t="s">
        <v>4115</v>
      </c>
      <c r="C143" s="129">
        <v>194</v>
      </c>
      <c r="D143" s="129" t="s">
        <v>1090</v>
      </c>
      <c r="E143" s="129">
        <v>71</v>
      </c>
      <c r="F143" s="129">
        <v>0</v>
      </c>
      <c r="G143" s="129">
        <v>18</v>
      </c>
      <c r="H143" s="129">
        <v>0</v>
      </c>
      <c r="I143" s="129">
        <v>25.4</v>
      </c>
      <c r="J143" s="129">
        <v>0</v>
      </c>
      <c r="K143" s="129">
        <v>0</v>
      </c>
      <c r="L143" s="129">
        <f t="shared" si="87"/>
        <v>71</v>
      </c>
      <c r="M143" s="129">
        <f t="shared" si="88"/>
        <v>18</v>
      </c>
      <c r="N143" s="128">
        <f t="shared" si="89"/>
        <v>0.2535</v>
      </c>
      <c r="O143" s="164">
        <f t="shared" si="90"/>
        <v>0</v>
      </c>
      <c r="P143" s="185">
        <f t="shared" si="91"/>
        <v>0</v>
      </c>
      <c r="Q143" s="185">
        <f t="shared" si="92"/>
        <v>0</v>
      </c>
      <c r="R143" s="162" t="b">
        <f t="shared" si="80"/>
        <v>0</v>
      </c>
    </row>
    <row r="144" spans="1:18">
      <c r="A144" s="129" t="s">
        <v>217</v>
      </c>
      <c r="B144" s="129" t="s">
        <v>3710</v>
      </c>
      <c r="C144" s="129">
        <v>466</v>
      </c>
      <c r="D144" s="129" t="s">
        <v>1213</v>
      </c>
      <c r="E144" s="129">
        <v>231</v>
      </c>
      <c r="F144" s="129">
        <v>0</v>
      </c>
      <c r="G144" s="129">
        <v>117</v>
      </c>
      <c r="H144" s="129">
        <v>0</v>
      </c>
      <c r="I144" s="129">
        <v>50.7</v>
      </c>
      <c r="J144" s="129">
        <v>12.3</v>
      </c>
      <c r="K144" s="129">
        <v>0</v>
      </c>
      <c r="L144" s="129">
        <f t="shared" si="87"/>
        <v>231</v>
      </c>
      <c r="M144" s="129">
        <f t="shared" si="88"/>
        <v>117</v>
      </c>
      <c r="N144" s="128">
        <f t="shared" si="89"/>
        <v>0.50649999999999995</v>
      </c>
      <c r="O144" s="164">
        <f t="shared" si="90"/>
        <v>0</v>
      </c>
      <c r="P144" s="185">
        <f t="shared" si="91"/>
        <v>12.3</v>
      </c>
      <c r="Q144" s="185">
        <f t="shared" si="92"/>
        <v>12.3</v>
      </c>
      <c r="R144" s="162" t="b">
        <f t="shared" si="80"/>
        <v>0</v>
      </c>
    </row>
    <row r="145" spans="1:18">
      <c r="A145" s="129" t="s">
        <v>217</v>
      </c>
      <c r="B145" s="129" t="s">
        <v>3710</v>
      </c>
      <c r="C145" s="129">
        <v>467</v>
      </c>
      <c r="D145" s="129" t="s">
        <v>1215</v>
      </c>
      <c r="E145" s="129">
        <v>186</v>
      </c>
      <c r="F145" s="129">
        <v>0</v>
      </c>
      <c r="G145" s="129">
        <v>91</v>
      </c>
      <c r="H145" s="129">
        <v>0</v>
      </c>
      <c r="I145" s="129">
        <v>48.9</v>
      </c>
      <c r="J145" s="129">
        <v>0</v>
      </c>
      <c r="K145" s="129">
        <v>8.9</v>
      </c>
      <c r="L145" s="129">
        <f t="shared" si="87"/>
        <v>186</v>
      </c>
      <c r="M145" s="129">
        <f t="shared" si="88"/>
        <v>91</v>
      </c>
      <c r="N145" s="128">
        <f t="shared" si="89"/>
        <v>0.48920000000000002</v>
      </c>
      <c r="O145" s="164">
        <f t="shared" si="90"/>
        <v>8.9</v>
      </c>
      <c r="P145" s="185">
        <f t="shared" si="91"/>
        <v>0</v>
      </c>
      <c r="Q145" s="185">
        <f t="shared" si="92"/>
        <v>8.9</v>
      </c>
      <c r="R145" s="162" t="b">
        <f t="shared" si="80"/>
        <v>0</v>
      </c>
    </row>
    <row r="146" spans="1:18">
      <c r="A146" s="129" t="s">
        <v>217</v>
      </c>
      <c r="B146" s="129" t="s">
        <v>3710</v>
      </c>
      <c r="C146" s="129">
        <v>468</v>
      </c>
      <c r="D146" s="129" t="s">
        <v>1217</v>
      </c>
      <c r="E146" s="129">
        <v>198</v>
      </c>
      <c r="F146" s="129">
        <v>0</v>
      </c>
      <c r="G146" s="129">
        <v>105</v>
      </c>
      <c r="H146" s="129">
        <v>0</v>
      </c>
      <c r="I146" s="129">
        <v>53</v>
      </c>
      <c r="J146" s="129">
        <v>11</v>
      </c>
      <c r="K146" s="129">
        <v>0</v>
      </c>
      <c r="L146" s="129">
        <f t="shared" si="87"/>
        <v>198</v>
      </c>
      <c r="M146" s="129">
        <f t="shared" si="88"/>
        <v>105</v>
      </c>
      <c r="N146" s="128">
        <f t="shared" si="89"/>
        <v>0.53029999999999999</v>
      </c>
      <c r="O146" s="164">
        <f t="shared" si="90"/>
        <v>0</v>
      </c>
      <c r="P146" s="185">
        <f t="shared" si="91"/>
        <v>11</v>
      </c>
      <c r="Q146" s="185">
        <f t="shared" si="92"/>
        <v>11</v>
      </c>
      <c r="R146" s="162" t="b">
        <f t="shared" si="80"/>
        <v>0</v>
      </c>
    </row>
    <row r="147" spans="1:18">
      <c r="A147" s="129" t="s">
        <v>227</v>
      </c>
      <c r="B147" s="129" t="s">
        <v>4117</v>
      </c>
      <c r="C147" s="129">
        <v>722</v>
      </c>
      <c r="D147" s="129" t="s">
        <v>1269</v>
      </c>
      <c r="E147" s="129">
        <v>165</v>
      </c>
      <c r="F147" s="129">
        <v>0</v>
      </c>
      <c r="G147" s="129">
        <v>57</v>
      </c>
      <c r="H147" s="129">
        <v>0</v>
      </c>
      <c r="I147" s="129">
        <v>34.6</v>
      </c>
      <c r="J147" s="129">
        <v>0</v>
      </c>
      <c r="K147" s="129">
        <v>0</v>
      </c>
      <c r="L147" s="129">
        <f t="shared" si="87"/>
        <v>165</v>
      </c>
      <c r="M147" s="129">
        <f t="shared" si="88"/>
        <v>57</v>
      </c>
      <c r="N147" s="128">
        <f t="shared" si="89"/>
        <v>0.34549999999999997</v>
      </c>
      <c r="O147" s="164">
        <f t="shared" si="90"/>
        <v>0</v>
      </c>
      <c r="P147" s="185">
        <f t="shared" si="91"/>
        <v>0</v>
      </c>
      <c r="Q147" s="185">
        <f t="shared" si="92"/>
        <v>0</v>
      </c>
      <c r="R147" s="162" t="b">
        <f t="shared" si="80"/>
        <v>0</v>
      </c>
    </row>
    <row r="148" spans="1:18">
      <c r="A148" s="129" t="s">
        <v>227</v>
      </c>
      <c r="B148" s="129" t="s">
        <v>4117</v>
      </c>
      <c r="C148" s="129">
        <v>724</v>
      </c>
      <c r="D148" s="129" t="s">
        <v>1271</v>
      </c>
      <c r="E148" s="129">
        <v>108</v>
      </c>
      <c r="F148" s="129">
        <v>0</v>
      </c>
      <c r="G148" s="129">
        <v>19</v>
      </c>
      <c r="H148" s="129">
        <v>0</v>
      </c>
      <c r="I148" s="129">
        <v>17.600000000000001</v>
      </c>
      <c r="J148" s="129">
        <v>0</v>
      </c>
      <c r="K148" s="129">
        <v>0</v>
      </c>
      <c r="L148" s="129">
        <f t="shared" si="87"/>
        <v>108</v>
      </c>
      <c r="M148" s="129">
        <f t="shared" si="88"/>
        <v>19</v>
      </c>
      <c r="N148" s="128">
        <f t="shared" si="89"/>
        <v>0.1759</v>
      </c>
      <c r="O148" s="164">
        <f t="shared" si="90"/>
        <v>0</v>
      </c>
      <c r="P148" s="185">
        <f t="shared" si="91"/>
        <v>0</v>
      </c>
      <c r="Q148" s="185">
        <f t="shared" si="92"/>
        <v>0</v>
      </c>
      <c r="R148" s="162" t="b">
        <f t="shared" si="80"/>
        <v>0</v>
      </c>
    </row>
    <row r="149" spans="1:18">
      <c r="A149" s="129" t="s">
        <v>239</v>
      </c>
      <c r="B149" s="129" t="s">
        <v>3731</v>
      </c>
      <c r="C149" s="129">
        <v>1120</v>
      </c>
      <c r="D149" s="129" t="s">
        <v>1543</v>
      </c>
      <c r="E149" s="129">
        <v>77</v>
      </c>
      <c r="F149" s="129">
        <v>0</v>
      </c>
      <c r="G149" s="129">
        <v>17</v>
      </c>
      <c r="H149" s="129">
        <v>0</v>
      </c>
      <c r="I149" s="129">
        <v>22.1</v>
      </c>
      <c r="J149" s="129">
        <v>0</v>
      </c>
      <c r="K149" s="129">
        <v>0</v>
      </c>
      <c r="L149" s="129">
        <f t="shared" si="87"/>
        <v>77</v>
      </c>
      <c r="M149" s="129">
        <f t="shared" si="88"/>
        <v>17</v>
      </c>
      <c r="N149" s="128">
        <f t="shared" si="89"/>
        <v>0.2208</v>
      </c>
      <c r="O149" s="164">
        <f t="shared" si="90"/>
        <v>0</v>
      </c>
      <c r="P149" s="185">
        <f t="shared" si="91"/>
        <v>0</v>
      </c>
      <c r="Q149" s="185">
        <f t="shared" si="92"/>
        <v>0</v>
      </c>
      <c r="R149" s="162" t="b">
        <f t="shared" si="80"/>
        <v>0</v>
      </c>
    </row>
    <row r="150" spans="1:18">
      <c r="A150" s="129" t="s">
        <v>239</v>
      </c>
      <c r="B150" s="129" t="s">
        <v>3731</v>
      </c>
      <c r="C150" s="129">
        <v>1122</v>
      </c>
      <c r="D150" s="129" t="s">
        <v>1545</v>
      </c>
      <c r="E150" s="129">
        <v>48</v>
      </c>
      <c r="F150" s="129">
        <v>0</v>
      </c>
      <c r="G150" s="129">
        <v>14</v>
      </c>
      <c r="H150" s="129">
        <v>0</v>
      </c>
      <c r="I150" s="129">
        <v>29.2</v>
      </c>
      <c r="J150" s="129">
        <v>0</v>
      </c>
      <c r="K150" s="129">
        <v>0</v>
      </c>
      <c r="L150" s="129">
        <f t="shared" si="87"/>
        <v>48</v>
      </c>
      <c r="M150" s="129">
        <f t="shared" si="88"/>
        <v>14</v>
      </c>
      <c r="N150" s="128">
        <f t="shared" si="89"/>
        <v>0.29170000000000001</v>
      </c>
      <c r="O150" s="164">
        <f t="shared" si="90"/>
        <v>0</v>
      </c>
      <c r="P150" s="185">
        <f t="shared" si="91"/>
        <v>0</v>
      </c>
      <c r="Q150" s="185">
        <f t="shared" si="92"/>
        <v>0</v>
      </c>
      <c r="R150" s="162" t="b">
        <f t="shared" si="80"/>
        <v>0</v>
      </c>
    </row>
    <row r="151" spans="1:18">
      <c r="A151" s="129" t="s">
        <v>253</v>
      </c>
      <c r="B151" s="129" t="s">
        <v>3744</v>
      </c>
      <c r="C151" s="129">
        <v>1536</v>
      </c>
      <c r="D151" s="129" t="s">
        <v>1637</v>
      </c>
      <c r="E151" s="129">
        <v>139</v>
      </c>
      <c r="F151" s="129">
        <v>0</v>
      </c>
      <c r="G151" s="129">
        <v>69</v>
      </c>
      <c r="H151" s="129">
        <v>0</v>
      </c>
      <c r="I151" s="129">
        <v>49.6</v>
      </c>
      <c r="J151" s="129">
        <v>0</v>
      </c>
      <c r="K151" s="129">
        <v>7.1</v>
      </c>
      <c r="L151" s="129">
        <f t="shared" si="87"/>
        <v>139</v>
      </c>
      <c r="M151" s="129">
        <f t="shared" si="88"/>
        <v>69</v>
      </c>
      <c r="N151" s="128">
        <f t="shared" si="89"/>
        <v>0.49640000000000001</v>
      </c>
      <c r="O151" s="164">
        <f t="shared" si="90"/>
        <v>7.1</v>
      </c>
      <c r="P151" s="185">
        <f t="shared" si="91"/>
        <v>0</v>
      </c>
      <c r="Q151" s="185">
        <f t="shared" si="92"/>
        <v>7.1</v>
      </c>
      <c r="R151" s="162" t="b">
        <f t="shared" si="80"/>
        <v>0</v>
      </c>
    </row>
    <row r="152" spans="1:18">
      <c r="A152" s="129" t="s">
        <v>253</v>
      </c>
      <c r="B152" s="129" t="s">
        <v>3744</v>
      </c>
      <c r="C152" s="129">
        <v>1538</v>
      </c>
      <c r="D152" s="129" t="s">
        <v>1639</v>
      </c>
      <c r="E152" s="129">
        <v>121</v>
      </c>
      <c r="F152" s="129">
        <v>0</v>
      </c>
      <c r="G152" s="129">
        <v>55</v>
      </c>
      <c r="H152" s="129">
        <v>0</v>
      </c>
      <c r="I152" s="129">
        <v>45.5</v>
      </c>
      <c r="J152" s="129">
        <v>0</v>
      </c>
      <c r="K152" s="129">
        <v>4</v>
      </c>
      <c r="L152" s="129">
        <f t="shared" si="87"/>
        <v>121</v>
      </c>
      <c r="M152" s="129">
        <f t="shared" si="88"/>
        <v>55</v>
      </c>
      <c r="N152" s="128">
        <f t="shared" si="89"/>
        <v>0.45450000000000002</v>
      </c>
      <c r="O152" s="164">
        <f t="shared" si="90"/>
        <v>4</v>
      </c>
      <c r="P152" s="185">
        <f t="shared" si="91"/>
        <v>0</v>
      </c>
      <c r="Q152" s="185">
        <f t="shared" si="92"/>
        <v>4</v>
      </c>
      <c r="R152" s="162" t="b">
        <f t="shared" si="80"/>
        <v>0</v>
      </c>
    </row>
    <row r="153" spans="1:18">
      <c r="A153" s="129" t="s">
        <v>266</v>
      </c>
      <c r="B153" s="129" t="s">
        <v>3756</v>
      </c>
      <c r="C153" s="129">
        <v>2110</v>
      </c>
      <c r="D153" s="129" t="s">
        <v>1954</v>
      </c>
      <c r="E153" s="129">
        <v>15</v>
      </c>
      <c r="F153" s="129">
        <v>0</v>
      </c>
      <c r="G153" s="129">
        <v>4</v>
      </c>
      <c r="H153" s="129">
        <v>0</v>
      </c>
      <c r="I153" s="129">
        <v>26.7</v>
      </c>
      <c r="J153" s="129">
        <v>0</v>
      </c>
      <c r="K153" s="129">
        <v>0</v>
      </c>
      <c r="L153" s="129">
        <f t="shared" ref="L153:L177" si="93">SUM(E153:F153)</f>
        <v>15</v>
      </c>
      <c r="M153" s="129">
        <f t="shared" ref="M153:M177" si="94">SUM(G153:H153)</f>
        <v>4</v>
      </c>
      <c r="N153" s="128">
        <f t="shared" ref="N153:N177" si="95">IF(ISERROR(M153/L153),0,M153/L153)</f>
        <v>0.26669999999999999</v>
      </c>
      <c r="O153" s="164">
        <f t="shared" ref="O153:O177" si="96">IF(AND((N153-35%)&gt;0,N153&lt;50%),M153*(N153-35%)*0.7,0)</f>
        <v>0</v>
      </c>
      <c r="P153" s="185">
        <f t="shared" ref="P153:P177" si="97">IF(N153&gt;=50%,M153*10.5%,0)</f>
        <v>0</v>
      </c>
      <c r="Q153" s="185">
        <f t="shared" ref="Q153:Q177" si="98">MAX(O153,P153)</f>
        <v>0</v>
      </c>
      <c r="R153" s="162" t="b">
        <f t="shared" si="80"/>
        <v>0</v>
      </c>
    </row>
    <row r="154" spans="1:18">
      <c r="A154" s="129" t="s">
        <v>266</v>
      </c>
      <c r="B154" s="129" t="s">
        <v>3756</v>
      </c>
      <c r="C154" s="129">
        <v>2115</v>
      </c>
      <c r="D154" s="129" t="s">
        <v>1956</v>
      </c>
      <c r="E154" s="129">
        <v>43</v>
      </c>
      <c r="F154" s="129">
        <v>0</v>
      </c>
      <c r="G154" s="129">
        <v>22</v>
      </c>
      <c r="H154" s="129">
        <v>0</v>
      </c>
      <c r="I154" s="129">
        <v>51.2</v>
      </c>
      <c r="J154" s="129">
        <v>2.2999999999999998</v>
      </c>
      <c r="K154" s="129">
        <v>0</v>
      </c>
      <c r="L154" s="129">
        <f t="shared" si="93"/>
        <v>43</v>
      </c>
      <c r="M154" s="129">
        <f t="shared" si="94"/>
        <v>22</v>
      </c>
      <c r="N154" s="128">
        <f t="shared" si="95"/>
        <v>0.51160000000000005</v>
      </c>
      <c r="O154" s="164">
        <f t="shared" si="96"/>
        <v>0</v>
      </c>
      <c r="P154" s="185">
        <f t="shared" si="97"/>
        <v>2.2999999999999998</v>
      </c>
      <c r="Q154" s="185">
        <f t="shared" si="98"/>
        <v>2.2999999999999998</v>
      </c>
      <c r="R154" s="162" t="b">
        <f t="shared" si="80"/>
        <v>0</v>
      </c>
    </row>
    <row r="155" spans="1:18">
      <c r="A155" s="129" t="s">
        <v>266</v>
      </c>
      <c r="B155" s="129" t="s">
        <v>3756</v>
      </c>
      <c r="C155" s="129">
        <v>2116</v>
      </c>
      <c r="D155" s="129" t="s">
        <v>1958</v>
      </c>
      <c r="E155" s="129">
        <v>20</v>
      </c>
      <c r="F155" s="129">
        <v>0</v>
      </c>
      <c r="G155" s="129">
        <v>4</v>
      </c>
      <c r="H155" s="129">
        <v>0</v>
      </c>
      <c r="I155" s="129">
        <v>20</v>
      </c>
      <c r="J155" s="129">
        <v>0</v>
      </c>
      <c r="K155" s="129">
        <v>0</v>
      </c>
      <c r="L155" s="129">
        <f t="shared" si="93"/>
        <v>20</v>
      </c>
      <c r="M155" s="129">
        <f t="shared" si="94"/>
        <v>4</v>
      </c>
      <c r="N155" s="128">
        <f t="shared" si="95"/>
        <v>0.2</v>
      </c>
      <c r="O155" s="164">
        <f t="shared" si="96"/>
        <v>0</v>
      </c>
      <c r="P155" s="185">
        <f t="shared" si="97"/>
        <v>0</v>
      </c>
      <c r="Q155" s="185">
        <f t="shared" si="98"/>
        <v>0</v>
      </c>
      <c r="R155" s="162" t="b">
        <f t="shared" si="80"/>
        <v>0</v>
      </c>
    </row>
    <row r="156" spans="1:18">
      <c r="A156" s="129" t="s">
        <v>267</v>
      </c>
      <c r="B156" s="129" t="s">
        <v>3757</v>
      </c>
      <c r="C156" s="129">
        <v>2136</v>
      </c>
      <c r="D156" s="129" t="s">
        <v>1960</v>
      </c>
      <c r="E156" s="129">
        <v>236</v>
      </c>
      <c r="F156" s="129">
        <v>0</v>
      </c>
      <c r="G156" s="129">
        <v>95</v>
      </c>
      <c r="H156" s="129">
        <v>0</v>
      </c>
      <c r="I156" s="129">
        <v>40.299999999999997</v>
      </c>
      <c r="J156" s="129">
        <v>0</v>
      </c>
      <c r="K156" s="129">
        <v>3.5</v>
      </c>
      <c r="L156" s="129">
        <f t="shared" si="93"/>
        <v>236</v>
      </c>
      <c r="M156" s="129">
        <f t="shared" si="94"/>
        <v>95</v>
      </c>
      <c r="N156" s="128">
        <f t="shared" si="95"/>
        <v>0.40250000000000002</v>
      </c>
      <c r="O156" s="164">
        <f t="shared" si="96"/>
        <v>3.5</v>
      </c>
      <c r="P156" s="185">
        <f t="shared" si="97"/>
        <v>0</v>
      </c>
      <c r="Q156" s="185">
        <f t="shared" si="98"/>
        <v>3.5</v>
      </c>
      <c r="R156" s="162" t="b">
        <f t="shared" si="80"/>
        <v>0</v>
      </c>
    </row>
    <row r="157" spans="1:18">
      <c r="A157" s="129" t="s">
        <v>267</v>
      </c>
      <c r="B157" s="129" t="s">
        <v>3757</v>
      </c>
      <c r="C157" s="129">
        <v>2138</v>
      </c>
      <c r="D157" s="129" t="s">
        <v>1962</v>
      </c>
      <c r="E157" s="129">
        <v>171</v>
      </c>
      <c r="F157" s="129">
        <v>0</v>
      </c>
      <c r="G157" s="129">
        <v>55</v>
      </c>
      <c r="H157" s="129">
        <v>0</v>
      </c>
      <c r="I157" s="129">
        <v>32.200000000000003</v>
      </c>
      <c r="J157" s="129">
        <v>0</v>
      </c>
      <c r="K157" s="129">
        <v>0</v>
      </c>
      <c r="L157" s="129">
        <f t="shared" si="93"/>
        <v>171</v>
      </c>
      <c r="M157" s="129">
        <f t="shared" si="94"/>
        <v>55</v>
      </c>
      <c r="N157" s="128">
        <f t="shared" si="95"/>
        <v>0.3216</v>
      </c>
      <c r="O157" s="164">
        <f t="shared" si="96"/>
        <v>0</v>
      </c>
      <c r="P157" s="185">
        <f t="shared" si="97"/>
        <v>0</v>
      </c>
      <c r="Q157" s="185">
        <f t="shared" si="98"/>
        <v>0</v>
      </c>
      <c r="R157" s="162" t="b">
        <f t="shared" si="80"/>
        <v>0</v>
      </c>
    </row>
    <row r="158" spans="1:18">
      <c r="A158" s="129" t="s">
        <v>270</v>
      </c>
      <c r="B158" s="129" t="s">
        <v>3760</v>
      </c>
      <c r="C158" s="129">
        <v>2214</v>
      </c>
      <c r="D158" s="129" t="s">
        <v>1974</v>
      </c>
      <c r="E158" s="129">
        <v>515</v>
      </c>
      <c r="F158" s="129">
        <v>0</v>
      </c>
      <c r="G158" s="129">
        <v>169</v>
      </c>
      <c r="H158" s="129">
        <v>0</v>
      </c>
      <c r="I158" s="129">
        <v>32.799999999999997</v>
      </c>
      <c r="J158" s="129">
        <v>0</v>
      </c>
      <c r="K158" s="129">
        <v>0</v>
      </c>
      <c r="L158" s="129">
        <f t="shared" si="93"/>
        <v>515</v>
      </c>
      <c r="M158" s="129">
        <f t="shared" si="94"/>
        <v>169</v>
      </c>
      <c r="N158" s="128">
        <f t="shared" si="95"/>
        <v>0.32819999999999999</v>
      </c>
      <c r="O158" s="164">
        <f t="shared" si="96"/>
        <v>0</v>
      </c>
      <c r="P158" s="185">
        <f t="shared" si="97"/>
        <v>0</v>
      </c>
      <c r="Q158" s="185">
        <f t="shared" si="98"/>
        <v>0</v>
      </c>
      <c r="R158" s="162" t="b">
        <f t="shared" si="80"/>
        <v>0</v>
      </c>
    </row>
    <row r="159" spans="1:18">
      <c r="A159" s="129" t="s">
        <v>270</v>
      </c>
      <c r="B159" s="129" t="s">
        <v>3760</v>
      </c>
      <c r="C159" s="129">
        <v>2218</v>
      </c>
      <c r="D159" s="129" t="s">
        <v>1976</v>
      </c>
      <c r="E159" s="129">
        <v>363</v>
      </c>
      <c r="F159" s="129">
        <v>0</v>
      </c>
      <c r="G159" s="129">
        <v>130</v>
      </c>
      <c r="H159" s="129">
        <v>0</v>
      </c>
      <c r="I159" s="129">
        <v>35.799999999999997</v>
      </c>
      <c r="J159" s="129">
        <v>0</v>
      </c>
      <c r="K159" s="129">
        <v>0.7</v>
      </c>
      <c r="L159" s="129">
        <f t="shared" si="93"/>
        <v>363</v>
      </c>
      <c r="M159" s="129">
        <f t="shared" si="94"/>
        <v>130</v>
      </c>
      <c r="N159" s="128">
        <f t="shared" si="95"/>
        <v>0.35809999999999997</v>
      </c>
      <c r="O159" s="164">
        <f t="shared" si="96"/>
        <v>0.7</v>
      </c>
      <c r="P159" s="185">
        <f t="shared" si="97"/>
        <v>0</v>
      </c>
      <c r="Q159" s="185">
        <f t="shared" si="98"/>
        <v>0.7</v>
      </c>
      <c r="R159" s="162" t="b">
        <f t="shared" si="80"/>
        <v>0</v>
      </c>
    </row>
    <row r="160" spans="1:18">
      <c r="A160" s="129" t="s">
        <v>271</v>
      </c>
      <c r="B160" s="129" t="s">
        <v>3761</v>
      </c>
      <c r="C160" s="129">
        <v>2262</v>
      </c>
      <c r="D160" s="129" t="s">
        <v>1978</v>
      </c>
      <c r="E160" s="129">
        <v>160</v>
      </c>
      <c r="F160" s="129">
        <v>0</v>
      </c>
      <c r="G160" s="129">
        <v>56</v>
      </c>
      <c r="H160" s="129">
        <v>0</v>
      </c>
      <c r="I160" s="129">
        <v>35</v>
      </c>
      <c r="J160" s="129">
        <v>0</v>
      </c>
      <c r="K160" s="129">
        <v>0</v>
      </c>
      <c r="L160" s="129">
        <f t="shared" si="93"/>
        <v>160</v>
      </c>
      <c r="M160" s="129">
        <f t="shared" si="94"/>
        <v>56</v>
      </c>
      <c r="N160" s="128">
        <f t="shared" si="95"/>
        <v>0.35</v>
      </c>
      <c r="O160" s="164">
        <f t="shared" si="96"/>
        <v>0</v>
      </c>
      <c r="P160" s="185">
        <f t="shared" si="97"/>
        <v>0</v>
      </c>
      <c r="Q160" s="185">
        <f t="shared" si="98"/>
        <v>0</v>
      </c>
      <c r="R160" s="162" t="b">
        <f t="shared" si="80"/>
        <v>0</v>
      </c>
    </row>
    <row r="161" spans="1:18">
      <c r="A161" s="129" t="s">
        <v>271</v>
      </c>
      <c r="B161" s="129" t="s">
        <v>3761</v>
      </c>
      <c r="C161" s="129">
        <v>2266</v>
      </c>
      <c r="D161" s="129" t="s">
        <v>1980</v>
      </c>
      <c r="E161" s="129">
        <v>123</v>
      </c>
      <c r="F161" s="129">
        <v>0</v>
      </c>
      <c r="G161" s="129">
        <v>38</v>
      </c>
      <c r="H161" s="129">
        <v>0</v>
      </c>
      <c r="I161" s="129">
        <v>30.9</v>
      </c>
      <c r="J161" s="129">
        <v>0</v>
      </c>
      <c r="K161" s="129">
        <v>0</v>
      </c>
      <c r="L161" s="129">
        <f t="shared" si="93"/>
        <v>123</v>
      </c>
      <c r="M161" s="129">
        <f t="shared" si="94"/>
        <v>38</v>
      </c>
      <c r="N161" s="128">
        <f t="shared" si="95"/>
        <v>0.30890000000000001</v>
      </c>
      <c r="O161" s="164">
        <f t="shared" si="96"/>
        <v>0</v>
      </c>
      <c r="P161" s="185">
        <f t="shared" si="97"/>
        <v>0</v>
      </c>
      <c r="Q161" s="185">
        <f t="shared" si="98"/>
        <v>0</v>
      </c>
      <c r="R161" s="162" t="b">
        <f t="shared" si="80"/>
        <v>0</v>
      </c>
    </row>
    <row r="162" spans="1:18">
      <c r="A162" s="129" t="s">
        <v>271</v>
      </c>
      <c r="B162" s="129" t="s">
        <v>3761</v>
      </c>
      <c r="C162" s="129">
        <v>2268</v>
      </c>
      <c r="D162" s="129" t="s">
        <v>1982</v>
      </c>
      <c r="E162" s="129">
        <v>126</v>
      </c>
      <c r="F162" s="129">
        <v>0</v>
      </c>
      <c r="G162" s="129">
        <v>43</v>
      </c>
      <c r="H162" s="129">
        <v>0</v>
      </c>
      <c r="I162" s="129">
        <v>34.1</v>
      </c>
      <c r="J162" s="129">
        <v>0</v>
      </c>
      <c r="K162" s="129">
        <v>0</v>
      </c>
      <c r="L162" s="129">
        <f t="shared" si="93"/>
        <v>126</v>
      </c>
      <c r="M162" s="129">
        <f t="shared" si="94"/>
        <v>43</v>
      </c>
      <c r="N162" s="128">
        <f t="shared" si="95"/>
        <v>0.34129999999999999</v>
      </c>
      <c r="O162" s="164">
        <f t="shared" si="96"/>
        <v>0</v>
      </c>
      <c r="P162" s="185">
        <f t="shared" si="97"/>
        <v>0</v>
      </c>
      <c r="Q162" s="185">
        <f t="shared" si="98"/>
        <v>0</v>
      </c>
      <c r="R162" s="162" t="b">
        <f t="shared" si="80"/>
        <v>0</v>
      </c>
    </row>
    <row r="163" spans="1:18">
      <c r="A163" s="129" t="s">
        <v>273</v>
      </c>
      <c r="B163" s="129" t="s">
        <v>3763</v>
      </c>
      <c r="C163" s="129">
        <v>2407</v>
      </c>
      <c r="D163" s="129" t="s">
        <v>1988</v>
      </c>
      <c r="E163" s="129">
        <v>177</v>
      </c>
      <c r="F163" s="129">
        <v>0</v>
      </c>
      <c r="G163" s="129">
        <v>53</v>
      </c>
      <c r="H163" s="129">
        <v>0</v>
      </c>
      <c r="I163" s="129">
        <v>29.9</v>
      </c>
      <c r="J163" s="129">
        <v>0</v>
      </c>
      <c r="K163" s="129">
        <v>0</v>
      </c>
      <c r="L163" s="129">
        <f t="shared" si="93"/>
        <v>177</v>
      </c>
      <c r="M163" s="129">
        <f t="shared" si="94"/>
        <v>53</v>
      </c>
      <c r="N163" s="128">
        <f t="shared" si="95"/>
        <v>0.2994</v>
      </c>
      <c r="O163" s="164">
        <f t="shared" si="96"/>
        <v>0</v>
      </c>
      <c r="P163" s="185">
        <f t="shared" si="97"/>
        <v>0</v>
      </c>
      <c r="Q163" s="185">
        <f t="shared" si="98"/>
        <v>0</v>
      </c>
      <c r="R163" s="162" t="b">
        <f t="shared" si="80"/>
        <v>0</v>
      </c>
    </row>
    <row r="164" spans="1:18">
      <c r="A164" s="129" t="s">
        <v>273</v>
      </c>
      <c r="B164" s="129" t="s">
        <v>3763</v>
      </c>
      <c r="C164" s="129">
        <v>2412</v>
      </c>
      <c r="D164" s="129" t="s">
        <v>1990</v>
      </c>
      <c r="E164" s="129">
        <v>201</v>
      </c>
      <c r="F164" s="129">
        <v>0</v>
      </c>
      <c r="G164" s="129">
        <v>93</v>
      </c>
      <c r="H164" s="129">
        <v>0</v>
      </c>
      <c r="I164" s="129">
        <v>46.3</v>
      </c>
      <c r="J164" s="129">
        <v>0</v>
      </c>
      <c r="K164" s="129">
        <v>7.3</v>
      </c>
      <c r="L164" s="129">
        <f t="shared" si="93"/>
        <v>201</v>
      </c>
      <c r="M164" s="129">
        <f t="shared" si="94"/>
        <v>93</v>
      </c>
      <c r="N164" s="128">
        <f t="shared" si="95"/>
        <v>0.4627</v>
      </c>
      <c r="O164" s="164">
        <f t="shared" si="96"/>
        <v>7.3</v>
      </c>
      <c r="P164" s="185">
        <f t="shared" si="97"/>
        <v>0</v>
      </c>
      <c r="Q164" s="185">
        <f t="shared" si="98"/>
        <v>7.3</v>
      </c>
      <c r="R164" s="162" t="b">
        <f t="shared" si="80"/>
        <v>0</v>
      </c>
    </row>
    <row r="165" spans="1:18">
      <c r="A165" s="129" t="s">
        <v>285</v>
      </c>
      <c r="B165" s="129" t="s">
        <v>4119</v>
      </c>
      <c r="C165" s="129">
        <v>2710</v>
      </c>
      <c r="D165" s="129" t="s">
        <v>2046</v>
      </c>
      <c r="E165" s="129">
        <v>171</v>
      </c>
      <c r="F165" s="129">
        <v>0</v>
      </c>
      <c r="G165" s="129">
        <v>50</v>
      </c>
      <c r="H165" s="129">
        <v>0</v>
      </c>
      <c r="I165" s="129">
        <v>29.2</v>
      </c>
      <c r="J165" s="129">
        <v>0</v>
      </c>
      <c r="K165" s="129">
        <v>0</v>
      </c>
      <c r="L165" s="129">
        <f t="shared" si="93"/>
        <v>171</v>
      </c>
      <c r="M165" s="129">
        <f t="shared" si="94"/>
        <v>50</v>
      </c>
      <c r="N165" s="128">
        <f t="shared" si="95"/>
        <v>0.29239999999999999</v>
      </c>
      <c r="O165" s="164">
        <f t="shared" si="96"/>
        <v>0</v>
      </c>
      <c r="P165" s="185">
        <f t="shared" si="97"/>
        <v>0</v>
      </c>
      <c r="Q165" s="185">
        <f t="shared" si="98"/>
        <v>0</v>
      </c>
      <c r="R165" s="162" t="b">
        <f t="shared" si="80"/>
        <v>0</v>
      </c>
    </row>
    <row r="166" spans="1:18">
      <c r="A166" s="129" t="s">
        <v>285</v>
      </c>
      <c r="B166" s="129" t="s">
        <v>4119</v>
      </c>
      <c r="C166" s="129">
        <v>2712</v>
      </c>
      <c r="D166" s="129" t="s">
        <v>2048</v>
      </c>
      <c r="E166" s="129">
        <v>135</v>
      </c>
      <c r="F166" s="129">
        <v>0</v>
      </c>
      <c r="G166" s="129">
        <v>26</v>
      </c>
      <c r="H166" s="129">
        <v>0</v>
      </c>
      <c r="I166" s="129">
        <v>19.3</v>
      </c>
      <c r="J166" s="129">
        <v>0</v>
      </c>
      <c r="K166" s="129">
        <v>0</v>
      </c>
      <c r="L166" s="129">
        <f t="shared" si="93"/>
        <v>135</v>
      </c>
      <c r="M166" s="129">
        <f t="shared" si="94"/>
        <v>26</v>
      </c>
      <c r="N166" s="128">
        <f t="shared" si="95"/>
        <v>0.19259999999999999</v>
      </c>
      <c r="O166" s="164">
        <f t="shared" si="96"/>
        <v>0</v>
      </c>
      <c r="P166" s="185">
        <f t="shared" si="97"/>
        <v>0</v>
      </c>
      <c r="Q166" s="185">
        <f t="shared" si="98"/>
        <v>0</v>
      </c>
      <c r="R166" s="162" t="b">
        <f t="shared" si="80"/>
        <v>0</v>
      </c>
    </row>
    <row r="167" spans="1:18">
      <c r="A167" s="129" t="s">
        <v>305</v>
      </c>
      <c r="B167" s="129" t="s">
        <v>3793</v>
      </c>
      <c r="C167" s="129">
        <v>3426</v>
      </c>
      <c r="D167" s="129" t="s">
        <v>2181</v>
      </c>
      <c r="E167" s="129">
        <v>303</v>
      </c>
      <c r="F167" s="129">
        <v>0</v>
      </c>
      <c r="G167" s="129">
        <v>81</v>
      </c>
      <c r="H167" s="129">
        <v>0</v>
      </c>
      <c r="I167" s="129">
        <v>26.7</v>
      </c>
      <c r="J167" s="129">
        <v>0</v>
      </c>
      <c r="K167" s="129">
        <v>0</v>
      </c>
      <c r="L167" s="129">
        <f t="shared" si="93"/>
        <v>303</v>
      </c>
      <c r="M167" s="129">
        <f t="shared" si="94"/>
        <v>81</v>
      </c>
      <c r="N167" s="128">
        <f t="shared" si="95"/>
        <v>0.26729999999999998</v>
      </c>
      <c r="O167" s="164">
        <f t="shared" si="96"/>
        <v>0</v>
      </c>
      <c r="P167" s="185">
        <f t="shared" si="97"/>
        <v>0</v>
      </c>
      <c r="Q167" s="185">
        <f t="shared" si="98"/>
        <v>0</v>
      </c>
      <c r="R167" s="162" t="b">
        <f t="shared" si="80"/>
        <v>0</v>
      </c>
    </row>
    <row r="168" spans="1:18">
      <c r="A168" s="129" t="s">
        <v>305</v>
      </c>
      <c r="B168" s="129" t="s">
        <v>3793</v>
      </c>
      <c r="C168" s="129">
        <v>3428</v>
      </c>
      <c r="D168" s="129" t="s">
        <v>2183</v>
      </c>
      <c r="E168" s="129">
        <v>261</v>
      </c>
      <c r="F168" s="129">
        <v>0</v>
      </c>
      <c r="G168" s="129">
        <v>74</v>
      </c>
      <c r="H168" s="129">
        <v>0</v>
      </c>
      <c r="I168" s="129">
        <v>28.4</v>
      </c>
      <c r="J168" s="129">
        <v>0</v>
      </c>
      <c r="K168" s="129">
        <v>0</v>
      </c>
      <c r="L168" s="129">
        <f t="shared" si="93"/>
        <v>261</v>
      </c>
      <c r="M168" s="129">
        <f t="shared" si="94"/>
        <v>74</v>
      </c>
      <c r="N168" s="128">
        <f t="shared" si="95"/>
        <v>0.28349999999999997</v>
      </c>
      <c r="O168" s="164">
        <f t="shared" si="96"/>
        <v>0</v>
      </c>
      <c r="P168" s="185">
        <f t="shared" si="97"/>
        <v>0</v>
      </c>
      <c r="Q168" s="185">
        <f t="shared" si="98"/>
        <v>0</v>
      </c>
      <c r="R168" s="162" t="b">
        <f t="shared" si="80"/>
        <v>0</v>
      </c>
    </row>
    <row r="169" spans="1:18">
      <c r="A169" s="129" t="s">
        <v>305</v>
      </c>
      <c r="B169" s="129" t="s">
        <v>3793</v>
      </c>
      <c r="C169" s="129">
        <v>3430</v>
      </c>
      <c r="D169" s="129" t="s">
        <v>2185</v>
      </c>
      <c r="E169" s="129">
        <v>254</v>
      </c>
      <c r="F169" s="129">
        <v>0</v>
      </c>
      <c r="G169" s="129">
        <v>94</v>
      </c>
      <c r="H169" s="129">
        <v>0</v>
      </c>
      <c r="I169" s="129">
        <v>37</v>
      </c>
      <c r="J169" s="129">
        <v>0</v>
      </c>
      <c r="K169" s="129">
        <v>1.3</v>
      </c>
      <c r="L169" s="129">
        <f t="shared" si="93"/>
        <v>254</v>
      </c>
      <c r="M169" s="129">
        <f t="shared" si="94"/>
        <v>94</v>
      </c>
      <c r="N169" s="128">
        <f t="shared" si="95"/>
        <v>0.37009999999999998</v>
      </c>
      <c r="O169" s="164">
        <f t="shared" si="96"/>
        <v>1.3</v>
      </c>
      <c r="P169" s="185">
        <f t="shared" si="97"/>
        <v>0</v>
      </c>
      <c r="Q169" s="185">
        <f t="shared" si="98"/>
        <v>1.3</v>
      </c>
      <c r="R169" s="162" t="b">
        <f t="shared" si="80"/>
        <v>0</v>
      </c>
    </row>
    <row r="170" spans="1:18">
      <c r="A170" s="129" t="s">
        <v>305</v>
      </c>
      <c r="B170" s="129" t="s">
        <v>3793</v>
      </c>
      <c r="C170" s="129">
        <v>3432</v>
      </c>
      <c r="D170" s="129" t="s">
        <v>2187</v>
      </c>
      <c r="E170" s="129">
        <v>254</v>
      </c>
      <c r="F170" s="129">
        <v>0</v>
      </c>
      <c r="G170" s="129">
        <v>82</v>
      </c>
      <c r="H170" s="129">
        <v>0</v>
      </c>
      <c r="I170" s="129">
        <v>32.299999999999997</v>
      </c>
      <c r="J170" s="129">
        <v>0</v>
      </c>
      <c r="K170" s="129">
        <v>0</v>
      </c>
      <c r="L170" s="129">
        <f t="shared" si="93"/>
        <v>254</v>
      </c>
      <c r="M170" s="129">
        <f t="shared" si="94"/>
        <v>82</v>
      </c>
      <c r="N170" s="128">
        <f t="shared" si="95"/>
        <v>0.32279999999999998</v>
      </c>
      <c r="O170" s="164">
        <f t="shared" si="96"/>
        <v>0</v>
      </c>
      <c r="P170" s="185">
        <f t="shared" si="97"/>
        <v>0</v>
      </c>
      <c r="Q170" s="185">
        <f t="shared" si="98"/>
        <v>0</v>
      </c>
      <c r="R170" s="162" t="b">
        <f t="shared" si="80"/>
        <v>0</v>
      </c>
    </row>
    <row r="171" spans="1:18">
      <c r="A171" s="129" t="s">
        <v>324</v>
      </c>
      <c r="B171" s="129" t="s">
        <v>3809</v>
      </c>
      <c r="C171" s="129">
        <v>4006</v>
      </c>
      <c r="D171" s="129" t="s">
        <v>2291</v>
      </c>
      <c r="E171" s="129">
        <v>227</v>
      </c>
      <c r="F171" s="129">
        <v>0</v>
      </c>
      <c r="G171" s="129">
        <v>100</v>
      </c>
      <c r="H171" s="129">
        <v>0</v>
      </c>
      <c r="I171" s="129">
        <v>44.1</v>
      </c>
      <c r="J171" s="129">
        <v>0</v>
      </c>
      <c r="K171" s="129">
        <v>6.3</v>
      </c>
      <c r="L171" s="129">
        <f t="shared" si="93"/>
        <v>227</v>
      </c>
      <c r="M171" s="129">
        <f t="shared" si="94"/>
        <v>100</v>
      </c>
      <c r="N171" s="128">
        <f t="shared" si="95"/>
        <v>0.4405</v>
      </c>
      <c r="O171" s="164">
        <f t="shared" si="96"/>
        <v>6.3</v>
      </c>
      <c r="P171" s="185">
        <f t="shared" si="97"/>
        <v>0</v>
      </c>
      <c r="Q171" s="185">
        <f t="shared" si="98"/>
        <v>6.3</v>
      </c>
      <c r="R171" s="162" t="b">
        <f t="shared" si="80"/>
        <v>0</v>
      </c>
    </row>
    <row r="172" spans="1:18">
      <c r="A172" s="129" t="s">
        <v>324</v>
      </c>
      <c r="B172" s="129" t="s">
        <v>3809</v>
      </c>
      <c r="C172" s="129">
        <v>4007</v>
      </c>
      <c r="D172" s="129" t="s">
        <v>2293</v>
      </c>
      <c r="E172" s="129">
        <v>85</v>
      </c>
      <c r="F172" s="129">
        <v>0</v>
      </c>
      <c r="G172" s="129">
        <v>29</v>
      </c>
      <c r="H172" s="129">
        <v>0</v>
      </c>
      <c r="I172" s="129">
        <v>34.1</v>
      </c>
      <c r="J172" s="129">
        <v>0</v>
      </c>
      <c r="K172" s="129">
        <v>0</v>
      </c>
      <c r="L172" s="129">
        <f t="shared" si="93"/>
        <v>85</v>
      </c>
      <c r="M172" s="129">
        <f t="shared" si="94"/>
        <v>29</v>
      </c>
      <c r="N172" s="128">
        <f t="shared" si="95"/>
        <v>0.3412</v>
      </c>
      <c r="O172" s="164">
        <f t="shared" si="96"/>
        <v>0</v>
      </c>
      <c r="P172" s="185">
        <f t="shared" si="97"/>
        <v>0</v>
      </c>
      <c r="Q172" s="185">
        <f t="shared" si="98"/>
        <v>0</v>
      </c>
      <c r="R172" s="162" t="b">
        <f t="shared" si="80"/>
        <v>0</v>
      </c>
    </row>
    <row r="173" spans="1:18">
      <c r="A173" s="129" t="s">
        <v>324</v>
      </c>
      <c r="B173" s="129" t="s">
        <v>3809</v>
      </c>
      <c r="C173" s="129">
        <v>4008</v>
      </c>
      <c r="D173" s="129" t="s">
        <v>2295</v>
      </c>
      <c r="E173" s="129">
        <v>126</v>
      </c>
      <c r="F173" s="129">
        <v>0</v>
      </c>
      <c r="G173" s="129">
        <v>43</v>
      </c>
      <c r="H173" s="129">
        <v>0</v>
      </c>
      <c r="I173" s="129">
        <v>34.1</v>
      </c>
      <c r="J173" s="129">
        <v>0</v>
      </c>
      <c r="K173" s="129">
        <v>0</v>
      </c>
      <c r="L173" s="129">
        <f t="shared" si="93"/>
        <v>126</v>
      </c>
      <c r="M173" s="129">
        <f t="shared" si="94"/>
        <v>43</v>
      </c>
      <c r="N173" s="128">
        <f t="shared" si="95"/>
        <v>0.34129999999999999</v>
      </c>
      <c r="O173" s="164">
        <f t="shared" si="96"/>
        <v>0</v>
      </c>
      <c r="P173" s="185">
        <f t="shared" si="97"/>
        <v>0</v>
      </c>
      <c r="Q173" s="185">
        <f t="shared" si="98"/>
        <v>0</v>
      </c>
      <c r="R173" s="162" t="b">
        <f t="shared" si="80"/>
        <v>0</v>
      </c>
    </row>
    <row r="174" spans="1:18">
      <c r="A174" s="129" t="s">
        <v>325</v>
      </c>
      <c r="B174" s="129" t="s">
        <v>4120</v>
      </c>
      <c r="C174" s="129">
        <v>4022</v>
      </c>
      <c r="D174" s="129" t="s">
        <v>2297</v>
      </c>
      <c r="E174" s="129">
        <v>277</v>
      </c>
      <c r="F174" s="129">
        <v>0</v>
      </c>
      <c r="G174" s="129">
        <v>98</v>
      </c>
      <c r="H174" s="129">
        <v>0</v>
      </c>
      <c r="I174" s="129">
        <v>35.4</v>
      </c>
      <c r="J174" s="129">
        <v>0</v>
      </c>
      <c r="K174" s="129">
        <v>0.3</v>
      </c>
      <c r="L174" s="129">
        <f t="shared" si="93"/>
        <v>277</v>
      </c>
      <c r="M174" s="129">
        <f t="shared" si="94"/>
        <v>98</v>
      </c>
      <c r="N174" s="128">
        <f t="shared" si="95"/>
        <v>0.3538</v>
      </c>
      <c r="O174" s="164">
        <f t="shared" si="96"/>
        <v>0.3</v>
      </c>
      <c r="P174" s="185">
        <f t="shared" si="97"/>
        <v>0</v>
      </c>
      <c r="Q174" s="185">
        <f t="shared" si="98"/>
        <v>0.3</v>
      </c>
      <c r="R174" s="162" t="b">
        <f t="shared" si="80"/>
        <v>0</v>
      </c>
    </row>
    <row r="175" spans="1:18">
      <c r="A175" s="129" t="s">
        <v>325</v>
      </c>
      <c r="B175" s="129" t="s">
        <v>4120</v>
      </c>
      <c r="C175" s="129">
        <v>4029</v>
      </c>
      <c r="D175" s="129" t="s">
        <v>2299</v>
      </c>
      <c r="E175" s="129">
        <v>229</v>
      </c>
      <c r="F175" s="129">
        <v>0</v>
      </c>
      <c r="G175" s="129">
        <v>84</v>
      </c>
      <c r="H175" s="129">
        <v>0</v>
      </c>
      <c r="I175" s="129">
        <v>36.700000000000003</v>
      </c>
      <c r="J175" s="129">
        <v>0</v>
      </c>
      <c r="K175" s="129">
        <v>1</v>
      </c>
      <c r="L175" s="129">
        <f t="shared" si="93"/>
        <v>229</v>
      </c>
      <c r="M175" s="129">
        <f t="shared" si="94"/>
        <v>84</v>
      </c>
      <c r="N175" s="128">
        <f t="shared" si="95"/>
        <v>0.36680000000000001</v>
      </c>
      <c r="O175" s="164">
        <f t="shared" si="96"/>
        <v>1</v>
      </c>
      <c r="P175" s="185">
        <f t="shared" si="97"/>
        <v>0</v>
      </c>
      <c r="Q175" s="185">
        <f t="shared" si="98"/>
        <v>1</v>
      </c>
      <c r="R175" s="162" t="b">
        <f t="shared" si="80"/>
        <v>0</v>
      </c>
    </row>
    <row r="176" spans="1:18">
      <c r="A176" s="129" t="s">
        <v>325</v>
      </c>
      <c r="B176" s="129" t="s">
        <v>4120</v>
      </c>
      <c r="C176" s="129">
        <v>4030</v>
      </c>
      <c r="D176" s="129" t="s">
        <v>2301</v>
      </c>
      <c r="E176" s="129">
        <v>257</v>
      </c>
      <c r="F176" s="129">
        <v>0</v>
      </c>
      <c r="G176" s="129">
        <v>74</v>
      </c>
      <c r="H176" s="129">
        <v>0</v>
      </c>
      <c r="I176" s="129">
        <v>28.8</v>
      </c>
      <c r="J176" s="129">
        <v>0</v>
      </c>
      <c r="K176" s="129">
        <v>0</v>
      </c>
      <c r="L176" s="129">
        <f t="shared" si="93"/>
        <v>257</v>
      </c>
      <c r="M176" s="129">
        <f t="shared" si="94"/>
        <v>74</v>
      </c>
      <c r="N176" s="128">
        <f t="shared" si="95"/>
        <v>0.28789999999999999</v>
      </c>
      <c r="O176" s="164">
        <f t="shared" si="96"/>
        <v>0</v>
      </c>
      <c r="P176" s="185">
        <f t="shared" si="97"/>
        <v>0</v>
      </c>
      <c r="Q176" s="185">
        <f t="shared" si="98"/>
        <v>0</v>
      </c>
      <c r="R176" s="162" t="b">
        <f t="shared" si="80"/>
        <v>0</v>
      </c>
    </row>
    <row r="177" spans="1:18">
      <c r="A177" s="129" t="s">
        <v>343</v>
      </c>
      <c r="B177" s="129" t="s">
        <v>3826</v>
      </c>
      <c r="C177" s="129">
        <v>4496</v>
      </c>
      <c r="D177" s="129" t="s">
        <v>2399</v>
      </c>
      <c r="E177" s="129">
        <v>211</v>
      </c>
      <c r="F177" s="129">
        <v>0</v>
      </c>
      <c r="G177" s="129">
        <v>97</v>
      </c>
      <c r="H177" s="129">
        <v>0</v>
      </c>
      <c r="I177" s="129">
        <v>46</v>
      </c>
      <c r="J177" s="129">
        <v>0</v>
      </c>
      <c r="K177" s="129">
        <v>7.4</v>
      </c>
      <c r="L177" s="129">
        <f t="shared" si="93"/>
        <v>211</v>
      </c>
      <c r="M177" s="129">
        <f t="shared" si="94"/>
        <v>97</v>
      </c>
      <c r="N177" s="128">
        <f t="shared" si="95"/>
        <v>0.4597</v>
      </c>
      <c r="O177" s="164">
        <f t="shared" si="96"/>
        <v>7.4</v>
      </c>
      <c r="P177" s="185">
        <f t="shared" si="97"/>
        <v>0</v>
      </c>
      <c r="Q177" s="185">
        <f t="shared" si="98"/>
        <v>7.4</v>
      </c>
      <c r="R177" s="162" t="b">
        <f t="shared" si="80"/>
        <v>0</v>
      </c>
    </row>
    <row r="178" spans="1:18">
      <c r="A178" s="129" t="s">
        <v>343</v>
      </c>
      <c r="B178" s="129" t="s">
        <v>3826</v>
      </c>
      <c r="C178" s="129">
        <v>4502</v>
      </c>
      <c r="D178" s="129" t="s">
        <v>2401</v>
      </c>
      <c r="E178" s="129">
        <v>223</v>
      </c>
      <c r="F178" s="129">
        <v>0</v>
      </c>
      <c r="G178" s="129">
        <v>82</v>
      </c>
      <c r="H178" s="129">
        <v>0</v>
      </c>
      <c r="I178" s="129">
        <v>36.799999999999997</v>
      </c>
      <c r="J178" s="129">
        <v>0</v>
      </c>
      <c r="K178" s="129">
        <v>1</v>
      </c>
      <c r="L178" s="129">
        <f t="shared" ref="L178:L211" si="99">SUM(E178:F178)</f>
        <v>223</v>
      </c>
      <c r="M178" s="129">
        <f t="shared" ref="M178:M211" si="100">SUM(G178:H178)</f>
        <v>82</v>
      </c>
      <c r="N178" s="128">
        <f t="shared" ref="N178:N211" si="101">IF(ISERROR(M178/L178),0,M178/L178)</f>
        <v>0.36770000000000003</v>
      </c>
      <c r="O178" s="164">
        <f t="shared" ref="O178:O211" si="102">IF(AND((N178-35%)&gt;0,N178&lt;50%),M178*(N178-35%)*0.7,0)</f>
        <v>1</v>
      </c>
      <c r="P178" s="185">
        <f t="shared" ref="P178:P211" si="103">IF(N178&gt;=50%,M178*10.5%,0)</f>
        <v>0</v>
      </c>
      <c r="Q178" s="185">
        <f t="shared" ref="Q178:Q211" si="104">MAX(O178,P178)</f>
        <v>1</v>
      </c>
      <c r="R178" s="162" t="b">
        <f t="shared" si="80"/>
        <v>0</v>
      </c>
    </row>
    <row r="179" spans="1:18">
      <c r="A179" s="129" t="s">
        <v>343</v>
      </c>
      <c r="B179" s="129" t="s">
        <v>3826</v>
      </c>
      <c r="C179" s="129">
        <v>4504</v>
      </c>
      <c r="D179" s="129" t="s">
        <v>2403</v>
      </c>
      <c r="E179" s="129">
        <v>204</v>
      </c>
      <c r="F179" s="129">
        <v>0</v>
      </c>
      <c r="G179" s="129">
        <v>71</v>
      </c>
      <c r="H179" s="129">
        <v>0</v>
      </c>
      <c r="I179" s="129">
        <v>34.799999999999997</v>
      </c>
      <c r="J179" s="129">
        <v>0</v>
      </c>
      <c r="K179" s="129">
        <v>0</v>
      </c>
      <c r="L179" s="129">
        <f t="shared" si="99"/>
        <v>204</v>
      </c>
      <c r="M179" s="129">
        <f t="shared" si="100"/>
        <v>71</v>
      </c>
      <c r="N179" s="128">
        <f t="shared" si="101"/>
        <v>0.34799999999999998</v>
      </c>
      <c r="O179" s="164">
        <f t="shared" si="102"/>
        <v>0</v>
      </c>
      <c r="P179" s="185">
        <f t="shared" si="103"/>
        <v>0</v>
      </c>
      <c r="Q179" s="185">
        <f t="shared" si="104"/>
        <v>0</v>
      </c>
      <c r="R179" s="162" t="b">
        <f t="shared" si="80"/>
        <v>0</v>
      </c>
    </row>
    <row r="180" spans="1:18">
      <c r="A180" s="129" t="s">
        <v>343</v>
      </c>
      <c r="B180" s="129" t="s">
        <v>3826</v>
      </c>
      <c r="C180" s="129">
        <v>4505</v>
      </c>
      <c r="D180" s="129" t="s">
        <v>2405</v>
      </c>
      <c r="E180" s="129">
        <v>236</v>
      </c>
      <c r="F180" s="129">
        <v>0</v>
      </c>
      <c r="G180" s="129">
        <v>77</v>
      </c>
      <c r="H180" s="129">
        <v>0</v>
      </c>
      <c r="I180" s="129">
        <v>32.6</v>
      </c>
      <c r="J180" s="129">
        <v>0</v>
      </c>
      <c r="K180" s="129">
        <v>0</v>
      </c>
      <c r="L180" s="129">
        <f t="shared" si="99"/>
        <v>236</v>
      </c>
      <c r="M180" s="129">
        <f t="shared" si="100"/>
        <v>77</v>
      </c>
      <c r="N180" s="128">
        <f t="shared" si="101"/>
        <v>0.32629999999999998</v>
      </c>
      <c r="O180" s="164">
        <f t="shared" si="102"/>
        <v>0</v>
      </c>
      <c r="P180" s="185">
        <f t="shared" si="103"/>
        <v>0</v>
      </c>
      <c r="Q180" s="185">
        <f t="shared" si="104"/>
        <v>0</v>
      </c>
      <c r="R180" s="162" t="b">
        <f t="shared" si="80"/>
        <v>0</v>
      </c>
    </row>
    <row r="181" spans="1:18">
      <c r="A181" s="129" t="s">
        <v>358</v>
      </c>
      <c r="B181" s="129" t="s">
        <v>3840</v>
      </c>
      <c r="C181" s="129">
        <v>4950</v>
      </c>
      <c r="D181" s="129" t="s">
        <v>2501</v>
      </c>
      <c r="E181" s="129">
        <v>480</v>
      </c>
      <c r="F181" s="129">
        <v>0</v>
      </c>
      <c r="G181" s="129">
        <v>102</v>
      </c>
      <c r="H181" s="129">
        <v>0</v>
      </c>
      <c r="I181" s="129">
        <v>21.3</v>
      </c>
      <c r="J181" s="129">
        <v>0</v>
      </c>
      <c r="K181" s="129">
        <v>0</v>
      </c>
      <c r="L181" s="129">
        <f t="shared" si="99"/>
        <v>480</v>
      </c>
      <c r="M181" s="129">
        <f t="shared" si="100"/>
        <v>102</v>
      </c>
      <c r="N181" s="128">
        <f t="shared" si="101"/>
        <v>0.21249999999999999</v>
      </c>
      <c r="O181" s="164">
        <f t="shared" si="102"/>
        <v>0</v>
      </c>
      <c r="P181" s="185">
        <f t="shared" si="103"/>
        <v>0</v>
      </c>
      <c r="Q181" s="185">
        <f t="shared" si="104"/>
        <v>0</v>
      </c>
      <c r="R181" s="162" t="b">
        <f t="shared" si="80"/>
        <v>0</v>
      </c>
    </row>
    <row r="182" spans="1:18">
      <c r="A182" s="129" t="s">
        <v>358</v>
      </c>
      <c r="B182" s="129" t="s">
        <v>3840</v>
      </c>
      <c r="C182" s="129">
        <v>4952</v>
      </c>
      <c r="D182" s="129" t="s">
        <v>2503</v>
      </c>
      <c r="E182" s="129">
        <v>213</v>
      </c>
      <c r="F182" s="129">
        <v>0</v>
      </c>
      <c r="G182" s="129">
        <v>37</v>
      </c>
      <c r="H182" s="129">
        <v>0</v>
      </c>
      <c r="I182" s="129">
        <v>17.399999999999999</v>
      </c>
      <c r="J182" s="129">
        <v>0</v>
      </c>
      <c r="K182" s="129">
        <v>0</v>
      </c>
      <c r="L182" s="129">
        <f t="shared" si="99"/>
        <v>213</v>
      </c>
      <c r="M182" s="129">
        <f t="shared" si="100"/>
        <v>37</v>
      </c>
      <c r="N182" s="128">
        <f t="shared" si="101"/>
        <v>0.17369999999999999</v>
      </c>
      <c r="O182" s="164">
        <f t="shared" si="102"/>
        <v>0</v>
      </c>
      <c r="P182" s="185">
        <f t="shared" si="103"/>
        <v>0</v>
      </c>
      <c r="Q182" s="185">
        <f t="shared" si="104"/>
        <v>0</v>
      </c>
      <c r="R182" s="162" t="b">
        <f t="shared" si="80"/>
        <v>0</v>
      </c>
    </row>
    <row r="183" spans="1:18">
      <c r="A183" s="129" t="s">
        <v>386</v>
      </c>
      <c r="B183" s="129" t="s">
        <v>3863</v>
      </c>
      <c r="C183" s="129">
        <v>5746</v>
      </c>
      <c r="D183" s="129" t="s">
        <v>2681</v>
      </c>
      <c r="E183" s="129">
        <v>118</v>
      </c>
      <c r="F183" s="129">
        <v>0</v>
      </c>
      <c r="G183" s="129">
        <v>44</v>
      </c>
      <c r="H183" s="129">
        <v>0</v>
      </c>
      <c r="I183" s="129">
        <v>37.299999999999997</v>
      </c>
      <c r="J183" s="129">
        <v>0</v>
      </c>
      <c r="K183" s="129">
        <v>0.7</v>
      </c>
      <c r="L183" s="129">
        <f t="shared" si="99"/>
        <v>118</v>
      </c>
      <c r="M183" s="129">
        <f t="shared" si="100"/>
        <v>44</v>
      </c>
      <c r="N183" s="128">
        <f t="shared" si="101"/>
        <v>0.37290000000000001</v>
      </c>
      <c r="O183" s="164">
        <f t="shared" si="102"/>
        <v>0.7</v>
      </c>
      <c r="P183" s="185">
        <f t="shared" si="103"/>
        <v>0</v>
      </c>
      <c r="Q183" s="185">
        <f t="shared" si="104"/>
        <v>0.7</v>
      </c>
      <c r="R183" s="162" t="b">
        <f t="shared" si="80"/>
        <v>0</v>
      </c>
    </row>
    <row r="184" spans="1:18">
      <c r="A184" s="129" t="s">
        <v>386</v>
      </c>
      <c r="B184" s="129" t="s">
        <v>3863</v>
      </c>
      <c r="C184" s="129">
        <v>5748</v>
      </c>
      <c r="D184" s="129" t="s">
        <v>2683</v>
      </c>
      <c r="E184" s="129">
        <v>140</v>
      </c>
      <c r="F184" s="129">
        <v>0</v>
      </c>
      <c r="G184" s="129">
        <v>46</v>
      </c>
      <c r="H184" s="129">
        <v>0</v>
      </c>
      <c r="I184" s="129">
        <v>32.9</v>
      </c>
      <c r="J184" s="129">
        <v>0</v>
      </c>
      <c r="K184" s="129">
        <v>0</v>
      </c>
      <c r="L184" s="129">
        <f t="shared" si="99"/>
        <v>140</v>
      </c>
      <c r="M184" s="129">
        <f t="shared" si="100"/>
        <v>46</v>
      </c>
      <c r="N184" s="128">
        <f t="shared" si="101"/>
        <v>0.3286</v>
      </c>
      <c r="O184" s="164">
        <f t="shared" si="102"/>
        <v>0</v>
      </c>
      <c r="P184" s="185">
        <f t="shared" si="103"/>
        <v>0</v>
      </c>
      <c r="Q184" s="185">
        <f t="shared" si="104"/>
        <v>0</v>
      </c>
      <c r="R184" s="162" t="b">
        <f t="shared" si="80"/>
        <v>0</v>
      </c>
    </row>
    <row r="185" spans="1:18">
      <c r="A185" s="129" t="s">
        <v>386</v>
      </c>
      <c r="B185" s="129" t="s">
        <v>3863</v>
      </c>
      <c r="C185" s="129">
        <v>5750</v>
      </c>
      <c r="D185" s="129" t="s">
        <v>2685</v>
      </c>
      <c r="E185" s="129">
        <v>250</v>
      </c>
      <c r="F185" s="129">
        <v>0</v>
      </c>
      <c r="G185" s="129">
        <v>120</v>
      </c>
      <c r="H185" s="129">
        <v>0</v>
      </c>
      <c r="I185" s="129">
        <v>48</v>
      </c>
      <c r="J185" s="129">
        <v>0</v>
      </c>
      <c r="K185" s="129">
        <v>10.9</v>
      </c>
      <c r="L185" s="129">
        <f t="shared" si="99"/>
        <v>250</v>
      </c>
      <c r="M185" s="129">
        <f t="shared" si="100"/>
        <v>120</v>
      </c>
      <c r="N185" s="128">
        <f t="shared" si="101"/>
        <v>0.48</v>
      </c>
      <c r="O185" s="164">
        <f t="shared" si="102"/>
        <v>10.9</v>
      </c>
      <c r="P185" s="185">
        <f t="shared" si="103"/>
        <v>0</v>
      </c>
      <c r="Q185" s="185">
        <f t="shared" si="104"/>
        <v>10.9</v>
      </c>
      <c r="R185" s="162" t="b">
        <f t="shared" si="80"/>
        <v>0</v>
      </c>
    </row>
    <row r="186" spans="1:18">
      <c r="A186" s="129" t="s">
        <v>389</v>
      </c>
      <c r="B186" s="129" t="s">
        <v>3866</v>
      </c>
      <c r="C186" s="129">
        <v>5834</v>
      </c>
      <c r="D186" s="129" t="s">
        <v>2699</v>
      </c>
      <c r="E186" s="129">
        <v>127</v>
      </c>
      <c r="F186" s="129">
        <v>0</v>
      </c>
      <c r="G186" s="129">
        <v>35</v>
      </c>
      <c r="H186" s="129">
        <v>0</v>
      </c>
      <c r="I186" s="129">
        <v>27.6</v>
      </c>
      <c r="J186" s="129">
        <v>0</v>
      </c>
      <c r="K186" s="129">
        <v>0</v>
      </c>
      <c r="L186" s="129">
        <f t="shared" si="99"/>
        <v>127</v>
      </c>
      <c r="M186" s="129">
        <f t="shared" si="100"/>
        <v>35</v>
      </c>
      <c r="N186" s="128">
        <f t="shared" si="101"/>
        <v>0.27560000000000001</v>
      </c>
      <c r="O186" s="164">
        <f t="shared" si="102"/>
        <v>0</v>
      </c>
      <c r="P186" s="185">
        <f t="shared" si="103"/>
        <v>0</v>
      </c>
      <c r="Q186" s="185">
        <f t="shared" si="104"/>
        <v>0</v>
      </c>
      <c r="R186" s="162" t="b">
        <f t="shared" si="80"/>
        <v>0</v>
      </c>
    </row>
    <row r="187" spans="1:18">
      <c r="A187" s="129" t="s">
        <v>389</v>
      </c>
      <c r="B187" s="129" t="s">
        <v>3866</v>
      </c>
      <c r="C187" s="129">
        <v>5836</v>
      </c>
      <c r="D187" s="129" t="s">
        <v>2701</v>
      </c>
      <c r="E187" s="129">
        <v>157</v>
      </c>
      <c r="F187" s="129">
        <v>0</v>
      </c>
      <c r="G187" s="129">
        <v>27</v>
      </c>
      <c r="H187" s="129">
        <v>0</v>
      </c>
      <c r="I187" s="129">
        <v>17.2</v>
      </c>
      <c r="J187" s="129">
        <v>0</v>
      </c>
      <c r="K187" s="129">
        <v>0</v>
      </c>
      <c r="L187" s="129">
        <f t="shared" si="99"/>
        <v>157</v>
      </c>
      <c r="M187" s="129">
        <f t="shared" si="100"/>
        <v>27</v>
      </c>
      <c r="N187" s="128">
        <f t="shared" si="101"/>
        <v>0.17199999999999999</v>
      </c>
      <c r="O187" s="164">
        <f t="shared" si="102"/>
        <v>0</v>
      </c>
      <c r="P187" s="185">
        <f t="shared" si="103"/>
        <v>0</v>
      </c>
      <c r="Q187" s="185">
        <f t="shared" si="104"/>
        <v>0</v>
      </c>
      <c r="R187" s="162" t="b">
        <f t="shared" si="80"/>
        <v>0</v>
      </c>
    </row>
    <row r="188" spans="1:18">
      <c r="A188" s="129" t="s">
        <v>392</v>
      </c>
      <c r="B188" s="129" t="s">
        <v>3869</v>
      </c>
      <c r="C188" s="129">
        <v>5936</v>
      </c>
      <c r="D188" s="129" t="s">
        <v>2713</v>
      </c>
      <c r="E188" s="129">
        <v>345</v>
      </c>
      <c r="F188" s="129">
        <v>0</v>
      </c>
      <c r="G188" s="129">
        <v>188</v>
      </c>
      <c r="H188" s="129">
        <v>0</v>
      </c>
      <c r="I188" s="129">
        <v>54.5</v>
      </c>
      <c r="J188" s="129">
        <v>19.7</v>
      </c>
      <c r="K188" s="129">
        <v>0</v>
      </c>
      <c r="L188" s="129">
        <f t="shared" si="99"/>
        <v>345</v>
      </c>
      <c r="M188" s="129">
        <f t="shared" si="100"/>
        <v>188</v>
      </c>
      <c r="N188" s="128">
        <f t="shared" si="101"/>
        <v>0.54490000000000005</v>
      </c>
      <c r="O188" s="164">
        <f t="shared" si="102"/>
        <v>0</v>
      </c>
      <c r="P188" s="185">
        <f t="shared" si="103"/>
        <v>19.7</v>
      </c>
      <c r="Q188" s="185">
        <f t="shared" si="104"/>
        <v>19.7</v>
      </c>
      <c r="R188" s="162" t="b">
        <f t="shared" si="80"/>
        <v>0</v>
      </c>
    </row>
    <row r="189" spans="1:18">
      <c r="A189" s="129" t="s">
        <v>392</v>
      </c>
      <c r="B189" s="129" t="s">
        <v>3869</v>
      </c>
      <c r="C189" s="129">
        <v>5940</v>
      </c>
      <c r="D189" s="129" t="s">
        <v>2715</v>
      </c>
      <c r="E189" s="129">
        <v>257</v>
      </c>
      <c r="F189" s="129">
        <v>0</v>
      </c>
      <c r="G189" s="129">
        <v>115</v>
      </c>
      <c r="H189" s="129">
        <v>0</v>
      </c>
      <c r="I189" s="129">
        <v>44.8</v>
      </c>
      <c r="J189" s="129">
        <v>0</v>
      </c>
      <c r="K189" s="129">
        <v>7.8</v>
      </c>
      <c r="L189" s="129">
        <f t="shared" si="99"/>
        <v>257</v>
      </c>
      <c r="M189" s="129">
        <f t="shared" si="100"/>
        <v>115</v>
      </c>
      <c r="N189" s="128">
        <f t="shared" si="101"/>
        <v>0.44750000000000001</v>
      </c>
      <c r="O189" s="164">
        <f t="shared" si="102"/>
        <v>7.8</v>
      </c>
      <c r="P189" s="185">
        <f t="shared" si="103"/>
        <v>0</v>
      </c>
      <c r="Q189" s="185">
        <f t="shared" si="104"/>
        <v>7.8</v>
      </c>
      <c r="R189" s="162" t="b">
        <f t="shared" si="80"/>
        <v>0</v>
      </c>
    </row>
    <row r="190" spans="1:18">
      <c r="A190" s="129" t="s">
        <v>392</v>
      </c>
      <c r="B190" s="129" t="s">
        <v>3869</v>
      </c>
      <c r="C190" s="129">
        <v>5950</v>
      </c>
      <c r="D190" s="129" t="s">
        <v>2717</v>
      </c>
      <c r="E190" s="129">
        <v>270</v>
      </c>
      <c r="F190" s="129">
        <v>0</v>
      </c>
      <c r="G190" s="129">
        <v>110</v>
      </c>
      <c r="H190" s="129">
        <v>0</v>
      </c>
      <c r="I190" s="129">
        <v>40.700000000000003</v>
      </c>
      <c r="J190" s="129">
        <v>0</v>
      </c>
      <c r="K190" s="129">
        <v>4.4000000000000004</v>
      </c>
      <c r="L190" s="129">
        <f t="shared" si="99"/>
        <v>270</v>
      </c>
      <c r="M190" s="129">
        <f t="shared" si="100"/>
        <v>110</v>
      </c>
      <c r="N190" s="128">
        <f t="shared" si="101"/>
        <v>0.40739999999999998</v>
      </c>
      <c r="O190" s="164">
        <f t="shared" si="102"/>
        <v>4.4000000000000004</v>
      </c>
      <c r="P190" s="185">
        <f t="shared" si="103"/>
        <v>0</v>
      </c>
      <c r="Q190" s="185">
        <f t="shared" si="104"/>
        <v>4.4000000000000004</v>
      </c>
      <c r="R190" s="162" t="b">
        <f t="shared" si="80"/>
        <v>0</v>
      </c>
    </row>
    <row r="191" spans="1:18">
      <c r="A191" s="129" t="s">
        <v>393</v>
      </c>
      <c r="B191" s="129" t="s">
        <v>3870</v>
      </c>
      <c r="C191" s="129">
        <v>5970</v>
      </c>
      <c r="D191" s="129" t="s">
        <v>2719</v>
      </c>
      <c r="E191" s="129">
        <v>362</v>
      </c>
      <c r="F191" s="129">
        <v>0</v>
      </c>
      <c r="G191" s="129">
        <v>63</v>
      </c>
      <c r="H191" s="129">
        <v>0</v>
      </c>
      <c r="I191" s="129">
        <v>17.399999999999999</v>
      </c>
      <c r="J191" s="129">
        <v>0</v>
      </c>
      <c r="K191" s="129">
        <v>0</v>
      </c>
      <c r="L191" s="129">
        <f t="shared" si="99"/>
        <v>362</v>
      </c>
      <c r="M191" s="129">
        <f t="shared" si="100"/>
        <v>63</v>
      </c>
      <c r="N191" s="128">
        <f t="shared" si="101"/>
        <v>0.17399999999999999</v>
      </c>
      <c r="O191" s="164">
        <f t="shared" si="102"/>
        <v>0</v>
      </c>
      <c r="P191" s="185">
        <f t="shared" si="103"/>
        <v>0</v>
      </c>
      <c r="Q191" s="185">
        <f t="shared" si="104"/>
        <v>0</v>
      </c>
      <c r="R191" s="162" t="b">
        <f t="shared" si="80"/>
        <v>0</v>
      </c>
    </row>
    <row r="192" spans="1:18">
      <c r="A192" s="129" t="s">
        <v>393</v>
      </c>
      <c r="B192" s="129" t="s">
        <v>3870</v>
      </c>
      <c r="C192" s="129">
        <v>5972</v>
      </c>
      <c r="D192" s="129" t="s">
        <v>2721</v>
      </c>
      <c r="E192" s="129">
        <v>552</v>
      </c>
      <c r="F192" s="129">
        <v>0</v>
      </c>
      <c r="G192" s="129">
        <v>76</v>
      </c>
      <c r="H192" s="129">
        <v>0</v>
      </c>
      <c r="I192" s="129">
        <v>13.8</v>
      </c>
      <c r="J192" s="129">
        <v>0</v>
      </c>
      <c r="K192" s="129">
        <v>0</v>
      </c>
      <c r="L192" s="129">
        <f t="shared" si="99"/>
        <v>552</v>
      </c>
      <c r="M192" s="129">
        <f t="shared" si="100"/>
        <v>76</v>
      </c>
      <c r="N192" s="128">
        <f t="shared" si="101"/>
        <v>0.13769999999999999</v>
      </c>
      <c r="O192" s="164">
        <f t="shared" si="102"/>
        <v>0</v>
      </c>
      <c r="P192" s="185">
        <f t="shared" si="103"/>
        <v>0</v>
      </c>
      <c r="Q192" s="185">
        <f t="shared" si="104"/>
        <v>0</v>
      </c>
      <c r="R192" s="162" t="b">
        <f t="shared" si="80"/>
        <v>0</v>
      </c>
    </row>
    <row r="193" spans="1:18">
      <c r="A193" s="129" t="s">
        <v>393</v>
      </c>
      <c r="B193" s="129" t="s">
        <v>3870</v>
      </c>
      <c r="C193" s="129">
        <v>5978</v>
      </c>
      <c r="D193" s="129" t="s">
        <v>2723</v>
      </c>
      <c r="E193" s="129">
        <v>372</v>
      </c>
      <c r="F193" s="129">
        <v>0</v>
      </c>
      <c r="G193" s="129">
        <v>60</v>
      </c>
      <c r="H193" s="129">
        <v>0</v>
      </c>
      <c r="I193" s="129">
        <v>16.100000000000001</v>
      </c>
      <c r="J193" s="129">
        <v>0</v>
      </c>
      <c r="K193" s="129">
        <v>0</v>
      </c>
      <c r="L193" s="129">
        <f t="shared" si="99"/>
        <v>372</v>
      </c>
      <c r="M193" s="129">
        <f t="shared" si="100"/>
        <v>60</v>
      </c>
      <c r="N193" s="128">
        <f t="shared" si="101"/>
        <v>0.1613</v>
      </c>
      <c r="O193" s="164">
        <f t="shared" si="102"/>
        <v>0</v>
      </c>
      <c r="P193" s="185">
        <f t="shared" si="103"/>
        <v>0</v>
      </c>
      <c r="Q193" s="185">
        <f t="shared" si="104"/>
        <v>0</v>
      </c>
      <c r="R193" s="162" t="b">
        <f t="shared" si="80"/>
        <v>0</v>
      </c>
    </row>
    <row r="194" spans="1:18">
      <c r="A194" s="129" t="s">
        <v>393</v>
      </c>
      <c r="B194" s="129" t="s">
        <v>3870</v>
      </c>
      <c r="C194" s="129">
        <v>5980</v>
      </c>
      <c r="D194" s="129" t="s">
        <v>2725</v>
      </c>
      <c r="E194" s="129">
        <v>406</v>
      </c>
      <c r="F194" s="129">
        <v>0</v>
      </c>
      <c r="G194" s="129">
        <v>105</v>
      </c>
      <c r="H194" s="129">
        <v>0</v>
      </c>
      <c r="I194" s="129">
        <v>25.9</v>
      </c>
      <c r="J194" s="129">
        <v>0</v>
      </c>
      <c r="K194" s="129">
        <v>0</v>
      </c>
      <c r="L194" s="129">
        <f t="shared" si="99"/>
        <v>406</v>
      </c>
      <c r="M194" s="129">
        <f t="shared" si="100"/>
        <v>105</v>
      </c>
      <c r="N194" s="128">
        <f t="shared" si="101"/>
        <v>0.2586</v>
      </c>
      <c r="O194" s="164">
        <f t="shared" si="102"/>
        <v>0</v>
      </c>
      <c r="P194" s="185">
        <f t="shared" si="103"/>
        <v>0</v>
      </c>
      <c r="Q194" s="185">
        <f t="shared" si="104"/>
        <v>0</v>
      </c>
      <c r="R194" s="162" t="b">
        <f t="shared" si="80"/>
        <v>0</v>
      </c>
    </row>
    <row r="195" spans="1:18">
      <c r="A195" s="129" t="s">
        <v>400</v>
      </c>
      <c r="B195" s="129" t="s">
        <v>3876</v>
      </c>
      <c r="C195" s="129">
        <v>6140</v>
      </c>
      <c r="D195" s="129" t="s">
        <v>2761</v>
      </c>
      <c r="E195" s="129">
        <v>180</v>
      </c>
      <c r="F195" s="129">
        <v>0</v>
      </c>
      <c r="G195" s="129">
        <v>67</v>
      </c>
      <c r="H195" s="129">
        <v>0</v>
      </c>
      <c r="I195" s="129">
        <v>37.200000000000003</v>
      </c>
      <c r="J195" s="129">
        <v>0</v>
      </c>
      <c r="K195" s="129">
        <v>1</v>
      </c>
      <c r="L195" s="129">
        <f t="shared" si="99"/>
        <v>180</v>
      </c>
      <c r="M195" s="129">
        <f t="shared" si="100"/>
        <v>67</v>
      </c>
      <c r="N195" s="128">
        <f t="shared" si="101"/>
        <v>0.37219999999999998</v>
      </c>
      <c r="O195" s="164">
        <f t="shared" si="102"/>
        <v>1</v>
      </c>
      <c r="P195" s="185">
        <f t="shared" si="103"/>
        <v>0</v>
      </c>
      <c r="Q195" s="185">
        <f t="shared" si="104"/>
        <v>1</v>
      </c>
      <c r="R195" s="162" t="b">
        <f t="shared" si="80"/>
        <v>0</v>
      </c>
    </row>
    <row r="196" spans="1:18">
      <c r="A196" s="129" t="s">
        <v>400</v>
      </c>
      <c r="B196" s="129" t="s">
        <v>3876</v>
      </c>
      <c r="C196" s="129">
        <v>6142</v>
      </c>
      <c r="D196" s="129" t="s">
        <v>2763</v>
      </c>
      <c r="E196" s="129">
        <v>154</v>
      </c>
      <c r="F196" s="129">
        <v>0</v>
      </c>
      <c r="G196" s="129">
        <v>36</v>
      </c>
      <c r="H196" s="129">
        <v>0</v>
      </c>
      <c r="I196" s="129">
        <v>23.4</v>
      </c>
      <c r="J196" s="129">
        <v>0</v>
      </c>
      <c r="K196" s="129">
        <v>0</v>
      </c>
      <c r="L196" s="129">
        <f t="shared" si="99"/>
        <v>154</v>
      </c>
      <c r="M196" s="129">
        <f t="shared" si="100"/>
        <v>36</v>
      </c>
      <c r="N196" s="128">
        <f t="shared" si="101"/>
        <v>0.23380000000000001</v>
      </c>
      <c r="O196" s="164">
        <f t="shared" si="102"/>
        <v>0</v>
      </c>
      <c r="P196" s="185">
        <f t="shared" si="103"/>
        <v>0</v>
      </c>
      <c r="Q196" s="185">
        <f t="shared" si="104"/>
        <v>0</v>
      </c>
      <c r="R196" s="162" t="b">
        <f t="shared" si="80"/>
        <v>0</v>
      </c>
    </row>
    <row r="197" spans="1:18">
      <c r="A197" s="129" t="s">
        <v>400</v>
      </c>
      <c r="B197" s="129" t="s">
        <v>3876</v>
      </c>
      <c r="C197" s="129">
        <v>6146</v>
      </c>
      <c r="D197" s="129" t="s">
        <v>2765</v>
      </c>
      <c r="E197" s="129">
        <v>172</v>
      </c>
      <c r="F197" s="129">
        <v>0</v>
      </c>
      <c r="G197" s="129">
        <v>60</v>
      </c>
      <c r="H197" s="129">
        <v>0</v>
      </c>
      <c r="I197" s="129">
        <v>34.9</v>
      </c>
      <c r="J197" s="129">
        <v>0</v>
      </c>
      <c r="K197" s="129">
        <v>0</v>
      </c>
      <c r="L197" s="129">
        <f t="shared" si="99"/>
        <v>172</v>
      </c>
      <c r="M197" s="129">
        <f t="shared" si="100"/>
        <v>60</v>
      </c>
      <c r="N197" s="128">
        <f t="shared" si="101"/>
        <v>0.3488</v>
      </c>
      <c r="O197" s="164">
        <f t="shared" si="102"/>
        <v>0</v>
      </c>
      <c r="P197" s="185">
        <f t="shared" si="103"/>
        <v>0</v>
      </c>
      <c r="Q197" s="185">
        <f t="shared" si="104"/>
        <v>0</v>
      </c>
      <c r="R197" s="162" t="b">
        <f t="shared" ref="R197:R260" si="105">COUNTIF(C:C,C197)&gt;1</f>
        <v>0</v>
      </c>
    </row>
    <row r="198" spans="1:18">
      <c r="A198" s="129" t="s">
        <v>406</v>
      </c>
      <c r="B198" s="129" t="s">
        <v>3882</v>
      </c>
      <c r="C198" s="129">
        <v>6399</v>
      </c>
      <c r="D198" s="129" t="s">
        <v>2802</v>
      </c>
      <c r="E198" s="129">
        <v>156</v>
      </c>
      <c r="F198" s="129">
        <v>0</v>
      </c>
      <c r="G198" s="129">
        <v>46</v>
      </c>
      <c r="H198" s="129">
        <v>0</v>
      </c>
      <c r="I198" s="129">
        <v>29.5</v>
      </c>
      <c r="J198" s="129">
        <v>0</v>
      </c>
      <c r="K198" s="129">
        <v>0</v>
      </c>
      <c r="L198" s="129">
        <f t="shared" si="99"/>
        <v>156</v>
      </c>
      <c r="M198" s="129">
        <f t="shared" si="100"/>
        <v>46</v>
      </c>
      <c r="N198" s="128">
        <f t="shared" si="101"/>
        <v>0.2949</v>
      </c>
      <c r="O198" s="164">
        <f t="shared" si="102"/>
        <v>0</v>
      </c>
      <c r="P198" s="185">
        <f t="shared" si="103"/>
        <v>0</v>
      </c>
      <c r="Q198" s="185">
        <f t="shared" si="104"/>
        <v>0</v>
      </c>
      <c r="R198" s="162" t="b">
        <f t="shared" si="105"/>
        <v>0</v>
      </c>
    </row>
    <row r="199" spans="1:18">
      <c r="A199" s="129" t="s">
        <v>406</v>
      </c>
      <c r="B199" s="129" t="s">
        <v>3882</v>
      </c>
      <c r="C199" s="129">
        <v>6403</v>
      </c>
      <c r="D199" s="129" t="s">
        <v>2804</v>
      </c>
      <c r="E199" s="129">
        <v>108</v>
      </c>
      <c r="F199" s="129">
        <v>0</v>
      </c>
      <c r="G199" s="129">
        <v>14</v>
      </c>
      <c r="H199" s="129">
        <v>0</v>
      </c>
      <c r="I199" s="129">
        <v>13</v>
      </c>
      <c r="J199" s="129">
        <v>0</v>
      </c>
      <c r="K199" s="129">
        <v>0</v>
      </c>
      <c r="L199" s="129">
        <f t="shared" si="99"/>
        <v>108</v>
      </c>
      <c r="M199" s="129">
        <f t="shared" si="100"/>
        <v>14</v>
      </c>
      <c r="N199" s="128">
        <f t="shared" si="101"/>
        <v>0.12959999999999999</v>
      </c>
      <c r="O199" s="164">
        <f t="shared" si="102"/>
        <v>0</v>
      </c>
      <c r="P199" s="185">
        <f t="shared" si="103"/>
        <v>0</v>
      </c>
      <c r="Q199" s="185">
        <f t="shared" si="104"/>
        <v>0</v>
      </c>
      <c r="R199" s="162" t="b">
        <f t="shared" si="105"/>
        <v>0</v>
      </c>
    </row>
    <row r="200" spans="1:18">
      <c r="A200" s="129" t="s">
        <v>411</v>
      </c>
      <c r="B200" s="129" t="s">
        <v>4122</v>
      </c>
      <c r="C200" s="129">
        <v>6559</v>
      </c>
      <c r="D200" s="129" t="s">
        <v>2845</v>
      </c>
      <c r="E200" s="129">
        <v>228</v>
      </c>
      <c r="F200" s="129">
        <v>0</v>
      </c>
      <c r="G200" s="129">
        <v>119</v>
      </c>
      <c r="H200" s="129">
        <v>0</v>
      </c>
      <c r="I200" s="129">
        <v>52.2</v>
      </c>
      <c r="J200" s="129">
        <v>12.5</v>
      </c>
      <c r="K200" s="129">
        <v>0</v>
      </c>
      <c r="L200" s="129">
        <f t="shared" si="99"/>
        <v>228</v>
      </c>
      <c r="M200" s="129">
        <f t="shared" si="100"/>
        <v>119</v>
      </c>
      <c r="N200" s="128">
        <f t="shared" si="101"/>
        <v>0.52190000000000003</v>
      </c>
      <c r="O200" s="164">
        <f t="shared" si="102"/>
        <v>0</v>
      </c>
      <c r="P200" s="185">
        <f t="shared" si="103"/>
        <v>12.5</v>
      </c>
      <c r="Q200" s="185">
        <f t="shared" si="104"/>
        <v>12.5</v>
      </c>
      <c r="R200" s="162" t="b">
        <f t="shared" si="105"/>
        <v>0</v>
      </c>
    </row>
    <row r="201" spans="1:18">
      <c r="A201" s="129" t="s">
        <v>411</v>
      </c>
      <c r="B201" s="129" t="s">
        <v>4122</v>
      </c>
      <c r="C201" s="129">
        <v>6560</v>
      </c>
      <c r="D201" s="129" t="s">
        <v>2847</v>
      </c>
      <c r="E201" s="129">
        <v>94</v>
      </c>
      <c r="F201" s="129">
        <v>0</v>
      </c>
      <c r="G201" s="129">
        <v>31</v>
      </c>
      <c r="H201" s="129">
        <v>0</v>
      </c>
      <c r="I201" s="129">
        <v>33</v>
      </c>
      <c r="J201" s="129">
        <v>0</v>
      </c>
      <c r="K201" s="129">
        <v>0</v>
      </c>
      <c r="L201" s="129">
        <f t="shared" si="99"/>
        <v>94</v>
      </c>
      <c r="M201" s="129">
        <f t="shared" si="100"/>
        <v>31</v>
      </c>
      <c r="N201" s="128">
        <f t="shared" si="101"/>
        <v>0.32979999999999998</v>
      </c>
      <c r="O201" s="164">
        <f t="shared" si="102"/>
        <v>0</v>
      </c>
      <c r="P201" s="185">
        <f t="shared" si="103"/>
        <v>0</v>
      </c>
      <c r="Q201" s="185">
        <f t="shared" si="104"/>
        <v>0</v>
      </c>
      <c r="R201" s="162" t="b">
        <f t="shared" si="105"/>
        <v>0</v>
      </c>
    </row>
    <row r="202" spans="1:18">
      <c r="A202" s="129" t="s">
        <v>417</v>
      </c>
      <c r="B202" s="129" t="s">
        <v>3893</v>
      </c>
      <c r="C202" s="129">
        <v>6821</v>
      </c>
      <c r="D202" s="129" t="s">
        <v>1172</v>
      </c>
      <c r="E202" s="129">
        <v>354</v>
      </c>
      <c r="F202" s="129">
        <v>0</v>
      </c>
      <c r="G202" s="129">
        <v>231</v>
      </c>
      <c r="H202" s="129">
        <v>0</v>
      </c>
      <c r="I202" s="129">
        <v>65.3</v>
      </c>
      <c r="J202" s="129">
        <v>24.3</v>
      </c>
      <c r="K202" s="129">
        <v>0</v>
      </c>
      <c r="L202" s="129">
        <f t="shared" si="99"/>
        <v>354</v>
      </c>
      <c r="M202" s="129">
        <f t="shared" si="100"/>
        <v>231</v>
      </c>
      <c r="N202" s="128">
        <f t="shared" si="101"/>
        <v>0.65249999999999997</v>
      </c>
      <c r="O202" s="164">
        <f t="shared" si="102"/>
        <v>0</v>
      </c>
      <c r="P202" s="185">
        <f t="shared" si="103"/>
        <v>24.3</v>
      </c>
      <c r="Q202" s="185">
        <f t="shared" si="104"/>
        <v>24.3</v>
      </c>
      <c r="R202" s="162" t="b">
        <f t="shared" si="105"/>
        <v>0</v>
      </c>
    </row>
    <row r="203" spans="1:18">
      <c r="A203" s="129" t="s">
        <v>417</v>
      </c>
      <c r="B203" s="129" t="s">
        <v>3893</v>
      </c>
      <c r="C203" s="129">
        <v>6825</v>
      </c>
      <c r="D203" s="129" t="s">
        <v>2893</v>
      </c>
      <c r="E203" s="129">
        <v>380</v>
      </c>
      <c r="F203" s="129">
        <v>0</v>
      </c>
      <c r="G203" s="129">
        <v>239</v>
      </c>
      <c r="H203" s="129">
        <v>0</v>
      </c>
      <c r="I203" s="129">
        <v>62.9</v>
      </c>
      <c r="J203" s="129">
        <v>25.1</v>
      </c>
      <c r="K203" s="129">
        <v>0</v>
      </c>
      <c r="L203" s="129">
        <f t="shared" si="99"/>
        <v>380</v>
      </c>
      <c r="M203" s="129">
        <f t="shared" si="100"/>
        <v>239</v>
      </c>
      <c r="N203" s="128">
        <f t="shared" si="101"/>
        <v>0.62890000000000001</v>
      </c>
      <c r="O203" s="164">
        <f t="shared" si="102"/>
        <v>0</v>
      </c>
      <c r="P203" s="185">
        <f t="shared" si="103"/>
        <v>25.1</v>
      </c>
      <c r="Q203" s="185">
        <f t="shared" si="104"/>
        <v>25.1</v>
      </c>
      <c r="R203" s="162" t="b">
        <f t="shared" si="105"/>
        <v>0</v>
      </c>
    </row>
    <row r="204" spans="1:18">
      <c r="A204" s="129" t="s">
        <v>417</v>
      </c>
      <c r="B204" s="129" t="s">
        <v>3893</v>
      </c>
      <c r="C204" s="129">
        <v>6828</v>
      </c>
      <c r="D204" s="129" t="s">
        <v>2895</v>
      </c>
      <c r="E204" s="129">
        <v>388</v>
      </c>
      <c r="F204" s="129">
        <v>0</v>
      </c>
      <c r="G204" s="129">
        <v>236</v>
      </c>
      <c r="H204" s="129">
        <v>0</v>
      </c>
      <c r="I204" s="129">
        <v>60.8</v>
      </c>
      <c r="J204" s="129">
        <v>24.8</v>
      </c>
      <c r="K204" s="129">
        <v>0</v>
      </c>
      <c r="L204" s="129">
        <f t="shared" si="99"/>
        <v>388</v>
      </c>
      <c r="M204" s="129">
        <f t="shared" si="100"/>
        <v>236</v>
      </c>
      <c r="N204" s="128">
        <f t="shared" si="101"/>
        <v>0.60819999999999996</v>
      </c>
      <c r="O204" s="164">
        <f t="shared" si="102"/>
        <v>0</v>
      </c>
      <c r="P204" s="185">
        <f t="shared" si="103"/>
        <v>24.8</v>
      </c>
      <c r="Q204" s="185">
        <f t="shared" si="104"/>
        <v>24.8</v>
      </c>
      <c r="R204" s="162" t="b">
        <f t="shared" si="105"/>
        <v>0</v>
      </c>
    </row>
    <row r="205" spans="1:18">
      <c r="A205" s="129" t="s">
        <v>417</v>
      </c>
      <c r="B205" s="129" t="s">
        <v>3893</v>
      </c>
      <c r="C205" s="129">
        <v>6830</v>
      </c>
      <c r="D205" s="129" t="s">
        <v>2897</v>
      </c>
      <c r="E205" s="129">
        <v>535</v>
      </c>
      <c r="F205" s="129">
        <v>0</v>
      </c>
      <c r="G205" s="129">
        <v>279</v>
      </c>
      <c r="H205" s="129">
        <v>0</v>
      </c>
      <c r="I205" s="129">
        <v>52.2</v>
      </c>
      <c r="J205" s="129">
        <v>29.3</v>
      </c>
      <c r="K205" s="129">
        <v>0</v>
      </c>
      <c r="L205" s="129">
        <f t="shared" si="99"/>
        <v>535</v>
      </c>
      <c r="M205" s="129">
        <f t="shared" si="100"/>
        <v>279</v>
      </c>
      <c r="N205" s="128">
        <f t="shared" si="101"/>
        <v>0.52149999999999996</v>
      </c>
      <c r="O205" s="164">
        <f t="shared" si="102"/>
        <v>0</v>
      </c>
      <c r="P205" s="185">
        <f t="shared" si="103"/>
        <v>29.3</v>
      </c>
      <c r="Q205" s="185">
        <f t="shared" si="104"/>
        <v>29.3</v>
      </c>
      <c r="R205" s="162" t="b">
        <f t="shared" si="105"/>
        <v>0</v>
      </c>
    </row>
    <row r="206" spans="1:18">
      <c r="A206" s="129" t="s">
        <v>418</v>
      </c>
      <c r="B206" s="129" t="s">
        <v>3894</v>
      </c>
      <c r="C206" s="129">
        <v>6870</v>
      </c>
      <c r="D206" s="129" t="s">
        <v>2899</v>
      </c>
      <c r="E206" s="129">
        <v>268</v>
      </c>
      <c r="F206" s="129">
        <v>0</v>
      </c>
      <c r="G206" s="129">
        <v>164</v>
      </c>
      <c r="H206" s="129">
        <v>0</v>
      </c>
      <c r="I206" s="129">
        <v>61.2</v>
      </c>
      <c r="J206" s="129">
        <v>17.2</v>
      </c>
      <c r="K206" s="129">
        <v>0</v>
      </c>
      <c r="L206" s="129">
        <f t="shared" si="99"/>
        <v>268</v>
      </c>
      <c r="M206" s="129">
        <f t="shared" si="100"/>
        <v>164</v>
      </c>
      <c r="N206" s="128">
        <f t="shared" si="101"/>
        <v>0.6119</v>
      </c>
      <c r="O206" s="164">
        <f t="shared" si="102"/>
        <v>0</v>
      </c>
      <c r="P206" s="185">
        <f t="shared" si="103"/>
        <v>17.2</v>
      </c>
      <c r="Q206" s="185">
        <f t="shared" si="104"/>
        <v>17.2</v>
      </c>
      <c r="R206" s="162" t="b">
        <f t="shared" si="105"/>
        <v>0</v>
      </c>
    </row>
    <row r="207" spans="1:18">
      <c r="A207" s="129" t="s">
        <v>418</v>
      </c>
      <c r="B207" s="129" t="s">
        <v>3894</v>
      </c>
      <c r="C207" s="129">
        <v>6871</v>
      </c>
      <c r="D207" s="129" t="s">
        <v>2901</v>
      </c>
      <c r="E207" s="129">
        <v>130</v>
      </c>
      <c r="F207" s="129">
        <v>0</v>
      </c>
      <c r="G207" s="129">
        <v>60</v>
      </c>
      <c r="H207" s="129">
        <v>0</v>
      </c>
      <c r="I207" s="129">
        <v>46.2</v>
      </c>
      <c r="J207" s="129">
        <v>0</v>
      </c>
      <c r="K207" s="129">
        <v>4.7</v>
      </c>
      <c r="L207" s="129">
        <f t="shared" si="99"/>
        <v>130</v>
      </c>
      <c r="M207" s="129">
        <f t="shared" si="100"/>
        <v>60</v>
      </c>
      <c r="N207" s="128">
        <f t="shared" si="101"/>
        <v>0.46150000000000002</v>
      </c>
      <c r="O207" s="164">
        <f t="shared" si="102"/>
        <v>4.7</v>
      </c>
      <c r="P207" s="185">
        <f t="shared" si="103"/>
        <v>0</v>
      </c>
      <c r="Q207" s="185">
        <f t="shared" si="104"/>
        <v>4.7</v>
      </c>
      <c r="R207" s="162" t="b">
        <f t="shared" si="105"/>
        <v>0</v>
      </c>
    </row>
    <row r="208" spans="1:18">
      <c r="A208" s="129" t="s">
        <v>418</v>
      </c>
      <c r="B208" s="129" t="s">
        <v>3894</v>
      </c>
      <c r="C208" s="129">
        <v>6876</v>
      </c>
      <c r="D208" s="129" t="s">
        <v>2903</v>
      </c>
      <c r="E208" s="129">
        <v>286</v>
      </c>
      <c r="F208" s="129">
        <v>0</v>
      </c>
      <c r="G208" s="129">
        <v>176</v>
      </c>
      <c r="H208" s="129">
        <v>0</v>
      </c>
      <c r="I208" s="129">
        <v>61.5</v>
      </c>
      <c r="J208" s="129">
        <v>18.5</v>
      </c>
      <c r="K208" s="129">
        <v>0</v>
      </c>
      <c r="L208" s="129">
        <f t="shared" si="99"/>
        <v>286</v>
      </c>
      <c r="M208" s="129">
        <f t="shared" si="100"/>
        <v>176</v>
      </c>
      <c r="N208" s="128">
        <f t="shared" si="101"/>
        <v>0.61539999999999995</v>
      </c>
      <c r="O208" s="164">
        <f t="shared" si="102"/>
        <v>0</v>
      </c>
      <c r="P208" s="185">
        <f t="shared" si="103"/>
        <v>18.5</v>
      </c>
      <c r="Q208" s="185">
        <f t="shared" si="104"/>
        <v>18.5</v>
      </c>
      <c r="R208" s="162" t="b">
        <f t="shared" si="105"/>
        <v>0</v>
      </c>
    </row>
    <row r="209" spans="1:18">
      <c r="A209" s="129" t="s">
        <v>449</v>
      </c>
      <c r="B209" s="129" t="s">
        <v>3924</v>
      </c>
      <c r="C209" s="129">
        <v>7778</v>
      </c>
      <c r="D209" s="129" t="s">
        <v>3156</v>
      </c>
      <c r="E209" s="129">
        <v>145</v>
      </c>
      <c r="F209" s="129">
        <v>0</v>
      </c>
      <c r="G209" s="129">
        <v>64</v>
      </c>
      <c r="H209" s="129">
        <v>0</v>
      </c>
      <c r="I209" s="129">
        <v>44.1</v>
      </c>
      <c r="J209" s="129">
        <v>0</v>
      </c>
      <c r="K209" s="129">
        <v>4.0999999999999996</v>
      </c>
      <c r="L209" s="129">
        <f t="shared" si="99"/>
        <v>145</v>
      </c>
      <c r="M209" s="129">
        <f t="shared" si="100"/>
        <v>64</v>
      </c>
      <c r="N209" s="128">
        <f t="shared" si="101"/>
        <v>0.44140000000000001</v>
      </c>
      <c r="O209" s="164">
        <f t="shared" si="102"/>
        <v>4.0999999999999996</v>
      </c>
      <c r="P209" s="185">
        <f t="shared" si="103"/>
        <v>0</v>
      </c>
      <c r="Q209" s="185">
        <f t="shared" si="104"/>
        <v>4.0999999999999996</v>
      </c>
      <c r="R209" s="162" t="b">
        <f t="shared" si="105"/>
        <v>0</v>
      </c>
    </row>
    <row r="210" spans="1:18">
      <c r="A210" s="129" t="s">
        <v>449</v>
      </c>
      <c r="B210" s="129" t="s">
        <v>3924</v>
      </c>
      <c r="C210" s="129">
        <v>7782</v>
      </c>
      <c r="D210" s="129" t="s">
        <v>3158</v>
      </c>
      <c r="E210" s="129">
        <v>91</v>
      </c>
      <c r="F210" s="129">
        <v>0</v>
      </c>
      <c r="G210" s="129">
        <v>31</v>
      </c>
      <c r="H210" s="129">
        <v>0</v>
      </c>
      <c r="I210" s="129">
        <v>34.1</v>
      </c>
      <c r="J210" s="129">
        <v>0</v>
      </c>
      <c r="K210" s="129">
        <v>0</v>
      </c>
      <c r="L210" s="129">
        <f t="shared" si="99"/>
        <v>91</v>
      </c>
      <c r="M210" s="129">
        <f t="shared" si="100"/>
        <v>31</v>
      </c>
      <c r="N210" s="128">
        <f t="shared" si="101"/>
        <v>0.3407</v>
      </c>
      <c r="O210" s="164">
        <f t="shared" si="102"/>
        <v>0</v>
      </c>
      <c r="P210" s="185">
        <f t="shared" si="103"/>
        <v>0</v>
      </c>
      <c r="Q210" s="185">
        <f t="shared" si="104"/>
        <v>0</v>
      </c>
      <c r="R210" s="162" t="b">
        <f t="shared" si="105"/>
        <v>0</v>
      </c>
    </row>
    <row r="211" spans="1:18">
      <c r="A211" s="129" t="s">
        <v>450</v>
      </c>
      <c r="B211" s="129" t="s">
        <v>3925</v>
      </c>
      <c r="C211" s="129">
        <v>7798</v>
      </c>
      <c r="D211" s="129" t="s">
        <v>3160</v>
      </c>
      <c r="E211" s="129">
        <v>145</v>
      </c>
      <c r="F211" s="129">
        <v>0</v>
      </c>
      <c r="G211" s="129">
        <v>81</v>
      </c>
      <c r="H211" s="129">
        <v>0</v>
      </c>
      <c r="I211" s="129">
        <v>55.9</v>
      </c>
      <c r="J211" s="129">
        <v>8.5</v>
      </c>
      <c r="K211" s="129">
        <v>0</v>
      </c>
      <c r="L211" s="129">
        <f t="shared" si="99"/>
        <v>145</v>
      </c>
      <c r="M211" s="129">
        <f t="shared" si="100"/>
        <v>81</v>
      </c>
      <c r="N211" s="128">
        <f t="shared" si="101"/>
        <v>0.55859999999999999</v>
      </c>
      <c r="O211" s="164">
        <f t="shared" si="102"/>
        <v>0</v>
      </c>
      <c r="P211" s="185">
        <f t="shared" si="103"/>
        <v>8.5</v>
      </c>
      <c r="Q211" s="185">
        <f t="shared" si="104"/>
        <v>8.5</v>
      </c>
      <c r="R211" s="162" t="b">
        <f t="shared" si="105"/>
        <v>0</v>
      </c>
    </row>
    <row r="212" spans="1:18">
      <c r="A212" s="129" t="s">
        <v>450</v>
      </c>
      <c r="B212" s="129" t="s">
        <v>3925</v>
      </c>
      <c r="C212" s="129">
        <v>7800</v>
      </c>
      <c r="D212" s="129" t="s">
        <v>3162</v>
      </c>
      <c r="E212" s="129">
        <v>119</v>
      </c>
      <c r="F212" s="129">
        <v>0</v>
      </c>
      <c r="G212" s="129">
        <v>78</v>
      </c>
      <c r="H212" s="129">
        <v>0</v>
      </c>
      <c r="I212" s="129">
        <v>65.599999999999994</v>
      </c>
      <c r="J212" s="129">
        <v>8.1999999999999993</v>
      </c>
      <c r="K212" s="129">
        <v>0</v>
      </c>
      <c r="L212" s="129">
        <f t="shared" ref="L212:L258" si="106">SUM(E212:F212)</f>
        <v>119</v>
      </c>
      <c r="M212" s="129">
        <f t="shared" ref="M212:M258" si="107">SUM(G212:H212)</f>
        <v>78</v>
      </c>
      <c r="N212" s="128">
        <f t="shared" ref="N212:N258" si="108">IF(ISERROR(M212/L212),0,M212/L212)</f>
        <v>0.65549999999999997</v>
      </c>
      <c r="O212" s="164">
        <f t="shared" ref="O212:O258" si="109">IF(AND((N212-35%)&gt;0,N212&lt;50%),M212*(N212-35%)*0.7,0)</f>
        <v>0</v>
      </c>
      <c r="P212" s="185">
        <f t="shared" ref="P212:P258" si="110">IF(N212&gt;=50%,M212*10.5%,0)</f>
        <v>8.1999999999999993</v>
      </c>
      <c r="Q212" s="185">
        <f t="shared" ref="Q212:Q258" si="111">MAX(O212,P212)</f>
        <v>8.1999999999999993</v>
      </c>
      <c r="R212" s="162" t="b">
        <f t="shared" si="105"/>
        <v>0</v>
      </c>
    </row>
    <row r="213" spans="1:18">
      <c r="A213" s="129" t="s">
        <v>450</v>
      </c>
      <c r="B213" s="129" t="s">
        <v>3925</v>
      </c>
      <c r="C213" s="129">
        <v>7804</v>
      </c>
      <c r="D213" s="129" t="s">
        <v>3164</v>
      </c>
      <c r="E213" s="129">
        <v>309</v>
      </c>
      <c r="F213" s="129">
        <v>0</v>
      </c>
      <c r="G213" s="129">
        <v>185</v>
      </c>
      <c r="H213" s="129">
        <v>0</v>
      </c>
      <c r="I213" s="129">
        <v>59.9</v>
      </c>
      <c r="J213" s="129">
        <v>19.399999999999999</v>
      </c>
      <c r="K213" s="129">
        <v>0</v>
      </c>
      <c r="L213" s="129">
        <f t="shared" si="106"/>
        <v>309</v>
      </c>
      <c r="M213" s="129">
        <f t="shared" si="107"/>
        <v>185</v>
      </c>
      <c r="N213" s="128">
        <f t="shared" si="108"/>
        <v>0.59870000000000001</v>
      </c>
      <c r="O213" s="164">
        <f t="shared" si="109"/>
        <v>0</v>
      </c>
      <c r="P213" s="185">
        <f t="shared" si="110"/>
        <v>19.399999999999999</v>
      </c>
      <c r="Q213" s="185">
        <f t="shared" si="111"/>
        <v>19.399999999999999</v>
      </c>
      <c r="R213" s="162" t="b">
        <f t="shared" si="105"/>
        <v>0</v>
      </c>
    </row>
    <row r="214" spans="1:18">
      <c r="A214" s="129" t="s">
        <v>464</v>
      </c>
      <c r="B214" s="129" t="s">
        <v>3938</v>
      </c>
      <c r="C214" s="129">
        <v>8279</v>
      </c>
      <c r="D214" s="129" t="s">
        <v>3275</v>
      </c>
      <c r="E214" s="129">
        <v>242</v>
      </c>
      <c r="F214" s="129">
        <v>0</v>
      </c>
      <c r="G214" s="129">
        <v>191</v>
      </c>
      <c r="H214" s="129">
        <v>0</v>
      </c>
      <c r="I214" s="129">
        <v>78.900000000000006</v>
      </c>
      <c r="J214" s="129">
        <v>20.100000000000001</v>
      </c>
      <c r="K214" s="129">
        <v>0</v>
      </c>
      <c r="L214" s="129">
        <f t="shared" si="106"/>
        <v>242</v>
      </c>
      <c r="M214" s="129">
        <f t="shared" si="107"/>
        <v>191</v>
      </c>
      <c r="N214" s="128">
        <f t="shared" si="108"/>
        <v>0.7893</v>
      </c>
      <c r="O214" s="164">
        <f t="shared" si="109"/>
        <v>0</v>
      </c>
      <c r="P214" s="185">
        <f t="shared" si="110"/>
        <v>20.100000000000001</v>
      </c>
      <c r="Q214" s="185">
        <f t="shared" si="111"/>
        <v>20.100000000000001</v>
      </c>
      <c r="R214" s="162" t="b">
        <f t="shared" si="105"/>
        <v>0</v>
      </c>
    </row>
    <row r="215" spans="1:18">
      <c r="A215" s="129" t="s">
        <v>464</v>
      </c>
      <c r="B215" s="129" t="s">
        <v>3938</v>
      </c>
      <c r="C215" s="129">
        <v>8281</v>
      </c>
      <c r="D215" s="129" t="s">
        <v>3277</v>
      </c>
      <c r="E215" s="129">
        <v>247</v>
      </c>
      <c r="F215" s="129">
        <v>0</v>
      </c>
      <c r="G215" s="129">
        <v>212</v>
      </c>
      <c r="H215" s="129">
        <v>0</v>
      </c>
      <c r="I215" s="129">
        <v>85.8</v>
      </c>
      <c r="J215" s="129">
        <v>22.3</v>
      </c>
      <c r="K215" s="129">
        <v>0</v>
      </c>
      <c r="L215" s="129">
        <f t="shared" si="106"/>
        <v>247</v>
      </c>
      <c r="M215" s="129">
        <f t="shared" si="107"/>
        <v>212</v>
      </c>
      <c r="N215" s="128">
        <f t="shared" si="108"/>
        <v>0.85829999999999995</v>
      </c>
      <c r="O215" s="164">
        <f t="shared" si="109"/>
        <v>0</v>
      </c>
      <c r="P215" s="185">
        <f t="shared" si="110"/>
        <v>22.3</v>
      </c>
      <c r="Q215" s="185">
        <f t="shared" si="111"/>
        <v>22.3</v>
      </c>
      <c r="R215" s="162" t="b">
        <f t="shared" si="105"/>
        <v>0</v>
      </c>
    </row>
    <row r="216" spans="1:18">
      <c r="A216" s="129" t="s">
        <v>464</v>
      </c>
      <c r="B216" s="129" t="s">
        <v>3938</v>
      </c>
      <c r="C216" s="129">
        <v>8282</v>
      </c>
      <c r="D216" s="129" t="s">
        <v>3279</v>
      </c>
      <c r="E216" s="129">
        <v>1395</v>
      </c>
      <c r="F216" s="129">
        <v>0</v>
      </c>
      <c r="G216" s="129">
        <v>1100</v>
      </c>
      <c r="H216" s="129">
        <v>0</v>
      </c>
      <c r="I216" s="129">
        <v>78.900000000000006</v>
      </c>
      <c r="J216" s="129">
        <v>115.5</v>
      </c>
      <c r="K216" s="129">
        <v>0</v>
      </c>
      <c r="L216" s="129">
        <f t="shared" si="106"/>
        <v>1395</v>
      </c>
      <c r="M216" s="129">
        <f t="shared" si="107"/>
        <v>1100</v>
      </c>
      <c r="N216" s="128">
        <f t="shared" si="108"/>
        <v>0.78849999999999998</v>
      </c>
      <c r="O216" s="164">
        <f t="shared" si="109"/>
        <v>0</v>
      </c>
      <c r="P216" s="185">
        <f t="shared" si="110"/>
        <v>115.5</v>
      </c>
      <c r="Q216" s="185">
        <f t="shared" si="111"/>
        <v>115.5</v>
      </c>
      <c r="R216" s="162" t="b">
        <f t="shared" si="105"/>
        <v>0</v>
      </c>
    </row>
    <row r="217" spans="1:18">
      <c r="A217" s="129" t="s">
        <v>464</v>
      </c>
      <c r="B217" s="129" t="s">
        <v>3938</v>
      </c>
      <c r="C217" s="129">
        <v>8284</v>
      </c>
      <c r="D217" s="129" t="s">
        <v>3281</v>
      </c>
      <c r="E217" s="129">
        <v>532</v>
      </c>
      <c r="F217" s="129">
        <v>0</v>
      </c>
      <c r="G217" s="129">
        <v>402</v>
      </c>
      <c r="H217" s="129">
        <v>0</v>
      </c>
      <c r="I217" s="129">
        <v>75.599999999999994</v>
      </c>
      <c r="J217" s="129">
        <v>42.2</v>
      </c>
      <c r="K217" s="129">
        <v>0</v>
      </c>
      <c r="L217" s="129">
        <f t="shared" si="106"/>
        <v>532</v>
      </c>
      <c r="M217" s="129">
        <f t="shared" si="107"/>
        <v>402</v>
      </c>
      <c r="N217" s="128">
        <f t="shared" si="108"/>
        <v>0.75560000000000005</v>
      </c>
      <c r="O217" s="164">
        <f t="shared" si="109"/>
        <v>0</v>
      </c>
      <c r="P217" s="185">
        <f t="shared" si="110"/>
        <v>42.2</v>
      </c>
      <c r="Q217" s="185">
        <f t="shared" si="111"/>
        <v>42.2</v>
      </c>
      <c r="R217" s="162" t="b">
        <f t="shared" si="105"/>
        <v>0</v>
      </c>
    </row>
    <row r="218" spans="1:18">
      <c r="A218" s="129" t="s">
        <v>464</v>
      </c>
      <c r="B218" s="129" t="s">
        <v>3938</v>
      </c>
      <c r="C218" s="129">
        <v>8285</v>
      </c>
      <c r="D218" s="129" t="s">
        <v>3283</v>
      </c>
      <c r="E218" s="129">
        <v>232</v>
      </c>
      <c r="F218" s="129">
        <v>0</v>
      </c>
      <c r="G218" s="129">
        <v>196</v>
      </c>
      <c r="H218" s="129">
        <v>0</v>
      </c>
      <c r="I218" s="129">
        <v>84.5</v>
      </c>
      <c r="J218" s="129">
        <v>20.6</v>
      </c>
      <c r="K218" s="129">
        <v>0</v>
      </c>
      <c r="L218" s="129">
        <f t="shared" si="106"/>
        <v>232</v>
      </c>
      <c r="M218" s="129">
        <f t="shared" si="107"/>
        <v>196</v>
      </c>
      <c r="N218" s="128">
        <f t="shared" si="108"/>
        <v>0.8448</v>
      </c>
      <c r="O218" s="164">
        <f t="shared" si="109"/>
        <v>0</v>
      </c>
      <c r="P218" s="185">
        <f t="shared" si="110"/>
        <v>20.6</v>
      </c>
      <c r="Q218" s="185">
        <f t="shared" si="111"/>
        <v>20.6</v>
      </c>
      <c r="R218" s="162" t="b">
        <f t="shared" si="105"/>
        <v>0</v>
      </c>
    </row>
    <row r="219" spans="1:18">
      <c r="A219" s="129" t="s">
        <v>464</v>
      </c>
      <c r="B219" s="129" t="s">
        <v>3938</v>
      </c>
      <c r="C219" s="129">
        <v>8287</v>
      </c>
      <c r="D219" s="129" t="s">
        <v>3285</v>
      </c>
      <c r="E219" s="129">
        <v>230</v>
      </c>
      <c r="F219" s="129">
        <v>0</v>
      </c>
      <c r="G219" s="129">
        <v>190</v>
      </c>
      <c r="H219" s="129">
        <v>0</v>
      </c>
      <c r="I219" s="129">
        <v>82.6</v>
      </c>
      <c r="J219" s="129">
        <v>20</v>
      </c>
      <c r="K219" s="129">
        <v>0</v>
      </c>
      <c r="L219" s="129">
        <f t="shared" si="106"/>
        <v>230</v>
      </c>
      <c r="M219" s="129">
        <f t="shared" si="107"/>
        <v>190</v>
      </c>
      <c r="N219" s="128">
        <f t="shared" si="108"/>
        <v>0.82609999999999995</v>
      </c>
      <c r="O219" s="164">
        <f t="shared" si="109"/>
        <v>0</v>
      </c>
      <c r="P219" s="185">
        <f t="shared" si="110"/>
        <v>20</v>
      </c>
      <c r="Q219" s="185">
        <f t="shared" si="111"/>
        <v>20</v>
      </c>
      <c r="R219" s="162" t="b">
        <f t="shared" si="105"/>
        <v>0</v>
      </c>
    </row>
    <row r="220" spans="1:18">
      <c r="A220" s="129" t="s">
        <v>464</v>
      </c>
      <c r="B220" s="129" t="s">
        <v>3938</v>
      </c>
      <c r="C220" s="129">
        <v>8288</v>
      </c>
      <c r="D220" s="129" t="s">
        <v>3287</v>
      </c>
      <c r="E220" s="129">
        <v>179</v>
      </c>
      <c r="F220" s="129">
        <v>0</v>
      </c>
      <c r="G220" s="129">
        <v>148</v>
      </c>
      <c r="H220" s="129">
        <v>0</v>
      </c>
      <c r="I220" s="129">
        <v>82.7</v>
      </c>
      <c r="J220" s="129">
        <v>15.5</v>
      </c>
      <c r="K220" s="129">
        <v>0</v>
      </c>
      <c r="L220" s="129">
        <f t="shared" si="106"/>
        <v>179</v>
      </c>
      <c r="M220" s="129">
        <f t="shared" si="107"/>
        <v>148</v>
      </c>
      <c r="N220" s="128">
        <f t="shared" si="108"/>
        <v>0.82679999999999998</v>
      </c>
      <c r="O220" s="164">
        <f t="shared" si="109"/>
        <v>0</v>
      </c>
      <c r="P220" s="185">
        <f t="shared" si="110"/>
        <v>15.5</v>
      </c>
      <c r="Q220" s="185">
        <f t="shared" si="111"/>
        <v>15.5</v>
      </c>
      <c r="R220" s="162" t="b">
        <f t="shared" si="105"/>
        <v>0</v>
      </c>
    </row>
    <row r="221" spans="1:18">
      <c r="A221" s="129" t="s">
        <v>464</v>
      </c>
      <c r="B221" s="129" t="s">
        <v>3938</v>
      </c>
      <c r="C221" s="129">
        <v>8290</v>
      </c>
      <c r="D221" s="129" t="s">
        <v>3289</v>
      </c>
      <c r="E221" s="129">
        <v>291</v>
      </c>
      <c r="F221" s="129">
        <v>0</v>
      </c>
      <c r="G221" s="129">
        <v>251</v>
      </c>
      <c r="H221" s="129">
        <v>0</v>
      </c>
      <c r="I221" s="129">
        <v>86.3</v>
      </c>
      <c r="J221" s="129">
        <v>26.4</v>
      </c>
      <c r="K221" s="129">
        <v>0</v>
      </c>
      <c r="L221" s="129">
        <f t="shared" si="106"/>
        <v>291</v>
      </c>
      <c r="M221" s="129">
        <f t="shared" si="107"/>
        <v>251</v>
      </c>
      <c r="N221" s="128">
        <f t="shared" si="108"/>
        <v>0.86250000000000004</v>
      </c>
      <c r="O221" s="164">
        <f t="shared" si="109"/>
        <v>0</v>
      </c>
      <c r="P221" s="185">
        <f t="shared" si="110"/>
        <v>26.4</v>
      </c>
      <c r="Q221" s="185">
        <f t="shared" si="111"/>
        <v>26.4</v>
      </c>
      <c r="R221" s="162" t="b">
        <f t="shared" si="105"/>
        <v>0</v>
      </c>
    </row>
    <row r="222" spans="1:18">
      <c r="A222" s="129" t="s">
        <v>464</v>
      </c>
      <c r="B222" s="129" t="s">
        <v>3938</v>
      </c>
      <c r="C222" s="129">
        <v>8292</v>
      </c>
      <c r="D222" s="129" t="s">
        <v>3291</v>
      </c>
      <c r="E222" s="129">
        <v>310</v>
      </c>
      <c r="F222" s="129">
        <v>0</v>
      </c>
      <c r="G222" s="129">
        <v>275</v>
      </c>
      <c r="H222" s="129">
        <v>0</v>
      </c>
      <c r="I222" s="129">
        <v>88.7</v>
      </c>
      <c r="J222" s="129">
        <v>28.9</v>
      </c>
      <c r="K222" s="129">
        <v>0</v>
      </c>
      <c r="L222" s="129">
        <f t="shared" si="106"/>
        <v>310</v>
      </c>
      <c r="M222" s="129">
        <f t="shared" si="107"/>
        <v>275</v>
      </c>
      <c r="N222" s="128">
        <f t="shared" si="108"/>
        <v>0.8871</v>
      </c>
      <c r="O222" s="164">
        <f t="shared" si="109"/>
        <v>0</v>
      </c>
      <c r="P222" s="185">
        <f t="shared" si="110"/>
        <v>28.9</v>
      </c>
      <c r="Q222" s="185">
        <f t="shared" si="111"/>
        <v>28.9</v>
      </c>
      <c r="R222" s="162" t="b">
        <f t="shared" si="105"/>
        <v>0</v>
      </c>
    </row>
    <row r="223" spans="1:18">
      <c r="A223" s="129" t="s">
        <v>464</v>
      </c>
      <c r="B223" s="129" t="s">
        <v>3938</v>
      </c>
      <c r="C223" s="129">
        <v>8293</v>
      </c>
      <c r="D223" s="129" t="s">
        <v>3293</v>
      </c>
      <c r="E223" s="129">
        <v>342</v>
      </c>
      <c r="F223" s="129">
        <v>0</v>
      </c>
      <c r="G223" s="129">
        <v>305</v>
      </c>
      <c r="H223" s="129">
        <v>0</v>
      </c>
      <c r="I223" s="129">
        <v>89.2</v>
      </c>
      <c r="J223" s="129">
        <v>32</v>
      </c>
      <c r="K223" s="129">
        <v>0</v>
      </c>
      <c r="L223" s="129">
        <f t="shared" si="106"/>
        <v>342</v>
      </c>
      <c r="M223" s="129">
        <f t="shared" si="107"/>
        <v>305</v>
      </c>
      <c r="N223" s="128">
        <f t="shared" si="108"/>
        <v>0.89180000000000004</v>
      </c>
      <c r="O223" s="164">
        <f t="shared" si="109"/>
        <v>0</v>
      </c>
      <c r="P223" s="185">
        <f t="shared" si="110"/>
        <v>32</v>
      </c>
      <c r="Q223" s="185">
        <f t="shared" si="111"/>
        <v>32</v>
      </c>
      <c r="R223" s="162" t="b">
        <f t="shared" si="105"/>
        <v>0</v>
      </c>
    </row>
    <row r="224" spans="1:18">
      <c r="A224" s="129" t="s">
        <v>464</v>
      </c>
      <c r="B224" s="129" t="s">
        <v>3938</v>
      </c>
      <c r="C224" s="129">
        <v>8298</v>
      </c>
      <c r="D224" s="129" t="s">
        <v>3295</v>
      </c>
      <c r="E224" s="129">
        <v>220</v>
      </c>
      <c r="F224" s="129">
        <v>0</v>
      </c>
      <c r="G224" s="129">
        <v>168</v>
      </c>
      <c r="H224" s="129">
        <v>0</v>
      </c>
      <c r="I224" s="129">
        <v>76.400000000000006</v>
      </c>
      <c r="J224" s="129">
        <v>17.600000000000001</v>
      </c>
      <c r="K224" s="129">
        <v>0</v>
      </c>
      <c r="L224" s="129">
        <f t="shared" si="106"/>
        <v>220</v>
      </c>
      <c r="M224" s="129">
        <f t="shared" si="107"/>
        <v>168</v>
      </c>
      <c r="N224" s="128">
        <f t="shared" si="108"/>
        <v>0.76359999999999995</v>
      </c>
      <c r="O224" s="164">
        <f t="shared" si="109"/>
        <v>0</v>
      </c>
      <c r="P224" s="185">
        <f t="shared" si="110"/>
        <v>17.600000000000001</v>
      </c>
      <c r="Q224" s="185">
        <f t="shared" si="111"/>
        <v>17.600000000000001</v>
      </c>
      <c r="R224" s="162" t="b">
        <f t="shared" si="105"/>
        <v>0</v>
      </c>
    </row>
    <row r="225" spans="1:18">
      <c r="A225" s="129" t="s">
        <v>464</v>
      </c>
      <c r="B225" s="129" t="s">
        <v>3938</v>
      </c>
      <c r="C225" s="129">
        <v>8303</v>
      </c>
      <c r="D225" s="129" t="s">
        <v>3297</v>
      </c>
      <c r="E225" s="129">
        <v>189</v>
      </c>
      <c r="F225" s="129">
        <v>0</v>
      </c>
      <c r="G225" s="129">
        <v>154</v>
      </c>
      <c r="H225" s="129">
        <v>0</v>
      </c>
      <c r="I225" s="129">
        <v>81.5</v>
      </c>
      <c r="J225" s="129">
        <v>16.2</v>
      </c>
      <c r="K225" s="129">
        <v>0</v>
      </c>
      <c r="L225" s="129">
        <f t="shared" si="106"/>
        <v>189</v>
      </c>
      <c r="M225" s="129">
        <f t="shared" si="107"/>
        <v>154</v>
      </c>
      <c r="N225" s="128">
        <f t="shared" si="108"/>
        <v>0.81479999999999997</v>
      </c>
      <c r="O225" s="164">
        <f t="shared" si="109"/>
        <v>0</v>
      </c>
      <c r="P225" s="185">
        <f t="shared" si="110"/>
        <v>16.2</v>
      </c>
      <c r="Q225" s="185">
        <f t="shared" si="111"/>
        <v>16.2</v>
      </c>
      <c r="R225" s="162" t="b">
        <f t="shared" si="105"/>
        <v>0</v>
      </c>
    </row>
    <row r="226" spans="1:18">
      <c r="A226" s="129" t="s">
        <v>464</v>
      </c>
      <c r="B226" s="129" t="s">
        <v>3938</v>
      </c>
      <c r="C226" s="129">
        <v>8305</v>
      </c>
      <c r="D226" s="129" t="s">
        <v>3299</v>
      </c>
      <c r="E226" s="129">
        <v>294</v>
      </c>
      <c r="F226" s="129">
        <v>0</v>
      </c>
      <c r="G226" s="129">
        <v>247</v>
      </c>
      <c r="H226" s="129">
        <v>0</v>
      </c>
      <c r="I226" s="129">
        <v>84</v>
      </c>
      <c r="J226" s="129">
        <v>25.9</v>
      </c>
      <c r="K226" s="129">
        <v>0</v>
      </c>
      <c r="L226" s="129">
        <f t="shared" si="106"/>
        <v>294</v>
      </c>
      <c r="M226" s="129">
        <f t="shared" si="107"/>
        <v>247</v>
      </c>
      <c r="N226" s="128">
        <f t="shared" si="108"/>
        <v>0.84009999999999996</v>
      </c>
      <c r="O226" s="164">
        <f t="shared" si="109"/>
        <v>0</v>
      </c>
      <c r="P226" s="185">
        <f t="shared" si="110"/>
        <v>25.9</v>
      </c>
      <c r="Q226" s="185">
        <f t="shared" si="111"/>
        <v>25.9</v>
      </c>
      <c r="R226" s="162" t="b">
        <f t="shared" si="105"/>
        <v>0</v>
      </c>
    </row>
    <row r="227" spans="1:18">
      <c r="A227" s="129" t="s">
        <v>464</v>
      </c>
      <c r="B227" s="129" t="s">
        <v>3938</v>
      </c>
      <c r="C227" s="129">
        <v>8308</v>
      </c>
      <c r="D227" s="129" t="s">
        <v>3301</v>
      </c>
      <c r="E227" s="129">
        <v>318</v>
      </c>
      <c r="F227" s="129">
        <v>0</v>
      </c>
      <c r="G227" s="129">
        <v>223</v>
      </c>
      <c r="H227" s="129">
        <v>0</v>
      </c>
      <c r="I227" s="129">
        <v>70.099999999999994</v>
      </c>
      <c r="J227" s="129">
        <v>23.4</v>
      </c>
      <c r="K227" s="129">
        <v>0</v>
      </c>
      <c r="L227" s="129">
        <f t="shared" si="106"/>
        <v>318</v>
      </c>
      <c r="M227" s="129">
        <f t="shared" si="107"/>
        <v>223</v>
      </c>
      <c r="N227" s="128">
        <f t="shared" si="108"/>
        <v>0.70130000000000003</v>
      </c>
      <c r="O227" s="164">
        <f t="shared" si="109"/>
        <v>0</v>
      </c>
      <c r="P227" s="185">
        <f t="shared" si="110"/>
        <v>23.4</v>
      </c>
      <c r="Q227" s="185">
        <f t="shared" si="111"/>
        <v>23.4</v>
      </c>
      <c r="R227" s="162" t="b">
        <f t="shared" si="105"/>
        <v>0</v>
      </c>
    </row>
    <row r="228" spans="1:18">
      <c r="A228" s="129" t="s">
        <v>464</v>
      </c>
      <c r="B228" s="129" t="s">
        <v>3938</v>
      </c>
      <c r="C228" s="129">
        <v>8309</v>
      </c>
      <c r="D228" s="129" t="s">
        <v>3303</v>
      </c>
      <c r="E228" s="129">
        <v>222</v>
      </c>
      <c r="F228" s="129">
        <v>0</v>
      </c>
      <c r="G228" s="129">
        <v>186</v>
      </c>
      <c r="H228" s="129">
        <v>0</v>
      </c>
      <c r="I228" s="129">
        <v>83.8</v>
      </c>
      <c r="J228" s="129">
        <v>19.5</v>
      </c>
      <c r="K228" s="129">
        <v>0</v>
      </c>
      <c r="L228" s="129">
        <f t="shared" si="106"/>
        <v>222</v>
      </c>
      <c r="M228" s="129">
        <f t="shared" si="107"/>
        <v>186</v>
      </c>
      <c r="N228" s="128">
        <f t="shared" si="108"/>
        <v>0.83779999999999999</v>
      </c>
      <c r="O228" s="164">
        <f t="shared" si="109"/>
        <v>0</v>
      </c>
      <c r="P228" s="185">
        <f t="shared" si="110"/>
        <v>19.5</v>
      </c>
      <c r="Q228" s="185">
        <f t="shared" si="111"/>
        <v>19.5</v>
      </c>
      <c r="R228" s="162" t="b">
        <f t="shared" si="105"/>
        <v>0</v>
      </c>
    </row>
    <row r="229" spans="1:18">
      <c r="A229" s="129" t="s">
        <v>464</v>
      </c>
      <c r="B229" s="129" t="s">
        <v>3938</v>
      </c>
      <c r="C229" s="129">
        <v>8311</v>
      </c>
      <c r="D229" s="129" t="s">
        <v>1511</v>
      </c>
      <c r="E229" s="129">
        <v>244</v>
      </c>
      <c r="F229" s="129">
        <v>0</v>
      </c>
      <c r="G229" s="129">
        <v>198</v>
      </c>
      <c r="H229" s="129">
        <v>0</v>
      </c>
      <c r="I229" s="129">
        <v>81.2</v>
      </c>
      <c r="J229" s="129">
        <v>20.8</v>
      </c>
      <c r="K229" s="129">
        <v>0</v>
      </c>
      <c r="L229" s="129">
        <f t="shared" si="106"/>
        <v>244</v>
      </c>
      <c r="M229" s="129">
        <f t="shared" si="107"/>
        <v>198</v>
      </c>
      <c r="N229" s="128">
        <f t="shared" si="108"/>
        <v>0.8115</v>
      </c>
      <c r="O229" s="164">
        <f t="shared" si="109"/>
        <v>0</v>
      </c>
      <c r="P229" s="185">
        <f t="shared" si="110"/>
        <v>20.8</v>
      </c>
      <c r="Q229" s="185">
        <f t="shared" si="111"/>
        <v>20.8</v>
      </c>
      <c r="R229" s="162" t="b">
        <f t="shared" si="105"/>
        <v>0</v>
      </c>
    </row>
    <row r="230" spans="1:18">
      <c r="A230" s="129" t="s">
        <v>464</v>
      </c>
      <c r="B230" s="129" t="s">
        <v>3938</v>
      </c>
      <c r="C230" s="129">
        <v>8313</v>
      </c>
      <c r="D230" s="129" t="s">
        <v>3037</v>
      </c>
      <c r="E230" s="129">
        <v>473</v>
      </c>
      <c r="F230" s="129">
        <v>0</v>
      </c>
      <c r="G230" s="129">
        <v>425</v>
      </c>
      <c r="H230" s="129">
        <v>0</v>
      </c>
      <c r="I230" s="129">
        <v>89.9</v>
      </c>
      <c r="J230" s="129">
        <v>44.6</v>
      </c>
      <c r="K230" s="129">
        <v>0</v>
      </c>
      <c r="L230" s="129">
        <f t="shared" si="106"/>
        <v>473</v>
      </c>
      <c r="M230" s="129">
        <f t="shared" si="107"/>
        <v>425</v>
      </c>
      <c r="N230" s="128">
        <f t="shared" si="108"/>
        <v>0.89849999999999997</v>
      </c>
      <c r="O230" s="164">
        <f t="shared" si="109"/>
        <v>0</v>
      </c>
      <c r="P230" s="185">
        <f t="shared" si="110"/>
        <v>44.6</v>
      </c>
      <c r="Q230" s="185">
        <f t="shared" si="111"/>
        <v>44.6</v>
      </c>
      <c r="R230" s="162" t="b">
        <f t="shared" si="105"/>
        <v>0</v>
      </c>
    </row>
    <row r="231" spans="1:18">
      <c r="A231" s="129" t="s">
        <v>464</v>
      </c>
      <c r="B231" s="129" t="s">
        <v>3938</v>
      </c>
      <c r="C231" s="129">
        <v>8315</v>
      </c>
      <c r="D231" s="129" t="s">
        <v>3066</v>
      </c>
      <c r="E231" s="129">
        <v>399</v>
      </c>
      <c r="F231" s="129">
        <v>0</v>
      </c>
      <c r="G231" s="129">
        <v>340</v>
      </c>
      <c r="H231" s="129">
        <v>0</v>
      </c>
      <c r="I231" s="129">
        <v>85.2</v>
      </c>
      <c r="J231" s="129">
        <v>35.700000000000003</v>
      </c>
      <c r="K231" s="129">
        <v>0</v>
      </c>
      <c r="L231" s="129">
        <f t="shared" si="106"/>
        <v>399</v>
      </c>
      <c r="M231" s="129">
        <f t="shared" si="107"/>
        <v>340</v>
      </c>
      <c r="N231" s="128">
        <f t="shared" si="108"/>
        <v>0.85209999999999997</v>
      </c>
      <c r="O231" s="164">
        <f t="shared" si="109"/>
        <v>0</v>
      </c>
      <c r="P231" s="185">
        <f t="shared" si="110"/>
        <v>35.700000000000003</v>
      </c>
      <c r="Q231" s="185">
        <f t="shared" si="111"/>
        <v>35.700000000000003</v>
      </c>
      <c r="R231" s="162" t="b">
        <f t="shared" si="105"/>
        <v>0</v>
      </c>
    </row>
    <row r="232" spans="1:18">
      <c r="A232" s="129" t="s">
        <v>464</v>
      </c>
      <c r="B232" s="129" t="s">
        <v>3938</v>
      </c>
      <c r="C232" s="129">
        <v>8316</v>
      </c>
      <c r="D232" s="129" t="s">
        <v>3308</v>
      </c>
      <c r="E232" s="129">
        <v>678</v>
      </c>
      <c r="F232" s="129">
        <v>0</v>
      </c>
      <c r="G232" s="129">
        <v>491</v>
      </c>
      <c r="H232" s="129">
        <v>0</v>
      </c>
      <c r="I232" s="129">
        <v>72.400000000000006</v>
      </c>
      <c r="J232" s="129">
        <v>51.6</v>
      </c>
      <c r="K232" s="129">
        <v>0</v>
      </c>
      <c r="L232" s="129">
        <f t="shared" si="106"/>
        <v>678</v>
      </c>
      <c r="M232" s="129">
        <f t="shared" si="107"/>
        <v>491</v>
      </c>
      <c r="N232" s="128">
        <f t="shared" si="108"/>
        <v>0.72419999999999995</v>
      </c>
      <c r="O232" s="164">
        <f t="shared" si="109"/>
        <v>0</v>
      </c>
      <c r="P232" s="185">
        <f t="shared" si="110"/>
        <v>51.6</v>
      </c>
      <c r="Q232" s="185">
        <f t="shared" si="111"/>
        <v>51.6</v>
      </c>
      <c r="R232" s="162" t="b">
        <f t="shared" si="105"/>
        <v>0</v>
      </c>
    </row>
    <row r="233" spans="1:18">
      <c r="A233" s="129" t="s">
        <v>464</v>
      </c>
      <c r="B233" s="129" t="s">
        <v>3938</v>
      </c>
      <c r="C233" s="129">
        <v>8317</v>
      </c>
      <c r="D233" s="129" t="s">
        <v>3310</v>
      </c>
      <c r="E233" s="129">
        <v>815</v>
      </c>
      <c r="F233" s="129">
        <v>0</v>
      </c>
      <c r="G233" s="129">
        <v>653</v>
      </c>
      <c r="H233" s="129">
        <v>0</v>
      </c>
      <c r="I233" s="129">
        <v>80.099999999999994</v>
      </c>
      <c r="J233" s="129">
        <v>68.599999999999994</v>
      </c>
      <c r="K233" s="129">
        <v>0</v>
      </c>
      <c r="L233" s="129">
        <f t="shared" si="106"/>
        <v>815</v>
      </c>
      <c r="M233" s="129">
        <f t="shared" si="107"/>
        <v>653</v>
      </c>
      <c r="N233" s="128">
        <f t="shared" si="108"/>
        <v>0.80120000000000002</v>
      </c>
      <c r="O233" s="164">
        <f t="shared" si="109"/>
        <v>0</v>
      </c>
      <c r="P233" s="185">
        <f t="shared" si="110"/>
        <v>68.599999999999994</v>
      </c>
      <c r="Q233" s="185">
        <f t="shared" si="111"/>
        <v>68.599999999999994</v>
      </c>
      <c r="R233" s="162" t="b">
        <f t="shared" si="105"/>
        <v>0</v>
      </c>
    </row>
    <row r="234" spans="1:18">
      <c r="A234" s="129" t="s">
        <v>464</v>
      </c>
      <c r="B234" s="129" t="s">
        <v>3938</v>
      </c>
      <c r="C234" s="129">
        <v>8320</v>
      </c>
      <c r="D234" s="129" t="s">
        <v>3312</v>
      </c>
      <c r="E234" s="129">
        <v>543</v>
      </c>
      <c r="F234" s="129">
        <v>0</v>
      </c>
      <c r="G234" s="129">
        <v>384</v>
      </c>
      <c r="H234" s="129">
        <v>0</v>
      </c>
      <c r="I234" s="129">
        <v>70.7</v>
      </c>
      <c r="J234" s="129">
        <v>40.299999999999997</v>
      </c>
      <c r="K234" s="129">
        <v>0</v>
      </c>
      <c r="L234" s="129">
        <f t="shared" si="106"/>
        <v>543</v>
      </c>
      <c r="M234" s="129">
        <f t="shared" si="107"/>
        <v>384</v>
      </c>
      <c r="N234" s="128">
        <f t="shared" si="108"/>
        <v>0.70720000000000005</v>
      </c>
      <c r="O234" s="164">
        <f t="shared" si="109"/>
        <v>0</v>
      </c>
      <c r="P234" s="185">
        <f t="shared" si="110"/>
        <v>40.299999999999997</v>
      </c>
      <c r="Q234" s="185">
        <f t="shared" si="111"/>
        <v>40.299999999999997</v>
      </c>
      <c r="R234" s="162" t="b">
        <f t="shared" si="105"/>
        <v>0</v>
      </c>
    </row>
    <row r="235" spans="1:18">
      <c r="A235" s="129" t="s">
        <v>464</v>
      </c>
      <c r="B235" s="129" t="s">
        <v>3938</v>
      </c>
      <c r="C235" s="129">
        <v>8321</v>
      </c>
      <c r="D235" s="129" t="s">
        <v>3314</v>
      </c>
      <c r="E235" s="129">
        <v>502</v>
      </c>
      <c r="F235" s="129">
        <v>0</v>
      </c>
      <c r="G235" s="129">
        <v>372</v>
      </c>
      <c r="H235" s="129">
        <v>0</v>
      </c>
      <c r="I235" s="129">
        <v>74.099999999999994</v>
      </c>
      <c r="J235" s="129">
        <v>39.1</v>
      </c>
      <c r="K235" s="129">
        <v>0</v>
      </c>
      <c r="L235" s="129">
        <f t="shared" si="106"/>
        <v>502</v>
      </c>
      <c r="M235" s="129">
        <f t="shared" si="107"/>
        <v>372</v>
      </c>
      <c r="N235" s="128">
        <f t="shared" si="108"/>
        <v>0.74099999999999999</v>
      </c>
      <c r="O235" s="164">
        <f t="shared" si="109"/>
        <v>0</v>
      </c>
      <c r="P235" s="185">
        <f t="shared" si="110"/>
        <v>39.1</v>
      </c>
      <c r="Q235" s="185">
        <f t="shared" si="111"/>
        <v>39.1</v>
      </c>
      <c r="R235" s="162" t="b">
        <f t="shared" si="105"/>
        <v>0</v>
      </c>
    </row>
    <row r="236" spans="1:18">
      <c r="A236" s="129" t="s">
        <v>464</v>
      </c>
      <c r="B236" s="129" t="s">
        <v>3938</v>
      </c>
      <c r="C236" s="129">
        <v>8322</v>
      </c>
      <c r="D236" s="129" t="s">
        <v>3316</v>
      </c>
      <c r="E236" s="129">
        <v>1005</v>
      </c>
      <c r="F236" s="129">
        <v>0</v>
      </c>
      <c r="G236" s="129">
        <v>525</v>
      </c>
      <c r="H236" s="129">
        <v>0</v>
      </c>
      <c r="I236" s="129">
        <v>52.2</v>
      </c>
      <c r="J236" s="129">
        <v>55.1</v>
      </c>
      <c r="K236" s="129">
        <v>0</v>
      </c>
      <c r="L236" s="129">
        <f t="shared" si="106"/>
        <v>1005</v>
      </c>
      <c r="M236" s="129">
        <f t="shared" si="107"/>
        <v>525</v>
      </c>
      <c r="N236" s="128">
        <f t="shared" si="108"/>
        <v>0.52239999999999998</v>
      </c>
      <c r="O236" s="164">
        <f t="shared" si="109"/>
        <v>0</v>
      </c>
      <c r="P236" s="185">
        <f t="shared" si="110"/>
        <v>55.1</v>
      </c>
      <c r="Q236" s="185">
        <f t="shared" si="111"/>
        <v>55.1</v>
      </c>
      <c r="R236" s="162" t="b">
        <f t="shared" si="105"/>
        <v>0</v>
      </c>
    </row>
    <row r="237" spans="1:18">
      <c r="A237" s="129" t="s">
        <v>464</v>
      </c>
      <c r="B237" s="129" t="s">
        <v>3938</v>
      </c>
      <c r="C237" s="129">
        <v>8323</v>
      </c>
      <c r="D237" s="129" t="s">
        <v>3318</v>
      </c>
      <c r="E237" s="129">
        <v>1755</v>
      </c>
      <c r="F237" s="129">
        <v>0</v>
      </c>
      <c r="G237" s="129">
        <v>1338</v>
      </c>
      <c r="H237" s="129">
        <v>0</v>
      </c>
      <c r="I237" s="129">
        <v>76.2</v>
      </c>
      <c r="J237" s="129">
        <v>140.5</v>
      </c>
      <c r="K237" s="129">
        <v>0</v>
      </c>
      <c r="L237" s="129">
        <f t="shared" si="106"/>
        <v>1755</v>
      </c>
      <c r="M237" s="129">
        <f t="shared" si="107"/>
        <v>1338</v>
      </c>
      <c r="N237" s="128">
        <f t="shared" si="108"/>
        <v>0.76239999999999997</v>
      </c>
      <c r="O237" s="164">
        <f t="shared" si="109"/>
        <v>0</v>
      </c>
      <c r="P237" s="185">
        <f t="shared" si="110"/>
        <v>140.5</v>
      </c>
      <c r="Q237" s="185">
        <f t="shared" si="111"/>
        <v>140.5</v>
      </c>
      <c r="R237" s="162" t="b">
        <f t="shared" si="105"/>
        <v>0</v>
      </c>
    </row>
    <row r="238" spans="1:18">
      <c r="A238" s="129" t="s">
        <v>464</v>
      </c>
      <c r="B238" s="129" t="s">
        <v>3938</v>
      </c>
      <c r="C238" s="129">
        <v>8324</v>
      </c>
      <c r="D238" s="129" t="s">
        <v>3320</v>
      </c>
      <c r="E238" s="129">
        <v>421</v>
      </c>
      <c r="F238" s="129">
        <v>0</v>
      </c>
      <c r="G238" s="129">
        <v>280</v>
      </c>
      <c r="H238" s="129">
        <v>0</v>
      </c>
      <c r="I238" s="129">
        <v>66.5</v>
      </c>
      <c r="J238" s="129">
        <v>29.4</v>
      </c>
      <c r="K238" s="129">
        <v>0</v>
      </c>
      <c r="L238" s="129">
        <f t="shared" si="106"/>
        <v>421</v>
      </c>
      <c r="M238" s="129">
        <f t="shared" si="107"/>
        <v>280</v>
      </c>
      <c r="N238" s="128">
        <f t="shared" si="108"/>
        <v>0.66510000000000002</v>
      </c>
      <c r="O238" s="164">
        <f t="shared" si="109"/>
        <v>0</v>
      </c>
      <c r="P238" s="185">
        <f t="shared" si="110"/>
        <v>29.4</v>
      </c>
      <c r="Q238" s="185">
        <f t="shared" si="111"/>
        <v>29.4</v>
      </c>
      <c r="R238" s="162" t="b">
        <f t="shared" si="105"/>
        <v>0</v>
      </c>
    </row>
    <row r="239" spans="1:18">
      <c r="A239" s="129" t="s">
        <v>464</v>
      </c>
      <c r="B239" s="129" t="s">
        <v>3938</v>
      </c>
      <c r="C239" s="129">
        <v>8327</v>
      </c>
      <c r="D239" s="129" t="s">
        <v>3322</v>
      </c>
      <c r="E239" s="129">
        <v>1214</v>
      </c>
      <c r="F239" s="129">
        <v>0</v>
      </c>
      <c r="G239" s="129">
        <v>773</v>
      </c>
      <c r="H239" s="129">
        <v>0</v>
      </c>
      <c r="I239" s="129">
        <v>63.7</v>
      </c>
      <c r="J239" s="129">
        <v>81.2</v>
      </c>
      <c r="K239" s="129">
        <v>0</v>
      </c>
      <c r="L239" s="129">
        <f t="shared" si="106"/>
        <v>1214</v>
      </c>
      <c r="M239" s="129">
        <f t="shared" si="107"/>
        <v>773</v>
      </c>
      <c r="N239" s="128">
        <f t="shared" si="108"/>
        <v>0.63670000000000004</v>
      </c>
      <c r="O239" s="164">
        <f t="shared" si="109"/>
        <v>0</v>
      </c>
      <c r="P239" s="185">
        <f t="shared" si="110"/>
        <v>81.2</v>
      </c>
      <c r="Q239" s="185">
        <f t="shared" si="111"/>
        <v>81.2</v>
      </c>
      <c r="R239" s="162" t="b">
        <f t="shared" si="105"/>
        <v>0</v>
      </c>
    </row>
    <row r="240" spans="1:18">
      <c r="A240" s="129" t="s">
        <v>464</v>
      </c>
      <c r="B240" s="129" t="s">
        <v>3938</v>
      </c>
      <c r="C240" s="129">
        <v>8329</v>
      </c>
      <c r="D240" s="129" t="s">
        <v>3324</v>
      </c>
      <c r="E240" s="129">
        <v>763</v>
      </c>
      <c r="F240" s="129">
        <v>0</v>
      </c>
      <c r="G240" s="129">
        <v>464</v>
      </c>
      <c r="H240" s="129">
        <v>0</v>
      </c>
      <c r="I240" s="129">
        <v>60.8</v>
      </c>
      <c r="J240" s="129">
        <v>48.7</v>
      </c>
      <c r="K240" s="129">
        <v>0</v>
      </c>
      <c r="L240" s="129">
        <f t="shared" si="106"/>
        <v>763</v>
      </c>
      <c r="M240" s="129">
        <f t="shared" si="107"/>
        <v>464</v>
      </c>
      <c r="N240" s="128">
        <f t="shared" si="108"/>
        <v>0.60809999999999997</v>
      </c>
      <c r="O240" s="164">
        <f t="shared" si="109"/>
        <v>0</v>
      </c>
      <c r="P240" s="185">
        <f t="shared" si="110"/>
        <v>48.7</v>
      </c>
      <c r="Q240" s="185">
        <f t="shared" si="111"/>
        <v>48.7</v>
      </c>
      <c r="R240" s="162" t="b">
        <f t="shared" si="105"/>
        <v>0</v>
      </c>
    </row>
    <row r="241" spans="1:18">
      <c r="A241" s="129" t="s">
        <v>464</v>
      </c>
      <c r="B241" s="129" t="s">
        <v>3938</v>
      </c>
      <c r="C241" s="129">
        <v>8330</v>
      </c>
      <c r="D241" s="129" t="s">
        <v>3326</v>
      </c>
      <c r="E241" s="129">
        <v>283</v>
      </c>
      <c r="F241" s="129">
        <v>0</v>
      </c>
      <c r="G241" s="129">
        <v>215</v>
      </c>
      <c r="H241" s="129">
        <v>0</v>
      </c>
      <c r="I241" s="129">
        <v>76</v>
      </c>
      <c r="J241" s="129">
        <v>22.6</v>
      </c>
      <c r="K241" s="129">
        <v>0</v>
      </c>
      <c r="L241" s="129">
        <f t="shared" si="106"/>
        <v>283</v>
      </c>
      <c r="M241" s="129">
        <f t="shared" si="107"/>
        <v>215</v>
      </c>
      <c r="N241" s="128">
        <f t="shared" si="108"/>
        <v>0.75970000000000004</v>
      </c>
      <c r="O241" s="164">
        <f t="shared" si="109"/>
        <v>0</v>
      </c>
      <c r="P241" s="185">
        <f t="shared" si="110"/>
        <v>22.6</v>
      </c>
      <c r="Q241" s="185">
        <f t="shared" si="111"/>
        <v>22.6</v>
      </c>
      <c r="R241" s="162" t="b">
        <f t="shared" si="105"/>
        <v>0</v>
      </c>
    </row>
    <row r="242" spans="1:18">
      <c r="A242" s="129" t="s">
        <v>464</v>
      </c>
      <c r="B242" s="129" t="s">
        <v>3938</v>
      </c>
      <c r="C242" s="129">
        <v>8331</v>
      </c>
      <c r="D242" s="129" t="s">
        <v>3328</v>
      </c>
      <c r="E242" s="129">
        <v>576</v>
      </c>
      <c r="F242" s="129">
        <v>0</v>
      </c>
      <c r="G242" s="129">
        <v>372</v>
      </c>
      <c r="H242" s="129">
        <v>0</v>
      </c>
      <c r="I242" s="129">
        <v>64.599999999999994</v>
      </c>
      <c r="J242" s="129">
        <v>39.1</v>
      </c>
      <c r="K242" s="129">
        <v>0</v>
      </c>
      <c r="L242" s="129">
        <f t="shared" si="106"/>
        <v>576</v>
      </c>
      <c r="M242" s="129">
        <f t="shared" si="107"/>
        <v>372</v>
      </c>
      <c r="N242" s="128">
        <f t="shared" si="108"/>
        <v>0.64580000000000004</v>
      </c>
      <c r="O242" s="164">
        <f t="shared" si="109"/>
        <v>0</v>
      </c>
      <c r="P242" s="185">
        <f t="shared" si="110"/>
        <v>39.1</v>
      </c>
      <c r="Q242" s="185">
        <f t="shared" si="111"/>
        <v>39.1</v>
      </c>
      <c r="R242" s="162" t="b">
        <f t="shared" si="105"/>
        <v>0</v>
      </c>
    </row>
    <row r="243" spans="1:18">
      <c r="A243" s="129" t="s">
        <v>464</v>
      </c>
      <c r="B243" s="129" t="s">
        <v>3938</v>
      </c>
      <c r="C243" s="129">
        <v>8332</v>
      </c>
      <c r="D243" s="129" t="s">
        <v>3330</v>
      </c>
      <c r="E243" s="129">
        <v>526</v>
      </c>
      <c r="F243" s="129">
        <v>0</v>
      </c>
      <c r="G243" s="129">
        <v>391</v>
      </c>
      <c r="H243" s="129">
        <v>0</v>
      </c>
      <c r="I243" s="129">
        <v>74.3</v>
      </c>
      <c r="J243" s="129">
        <v>41.1</v>
      </c>
      <c r="K243" s="129">
        <v>0</v>
      </c>
      <c r="L243" s="129">
        <f t="shared" si="106"/>
        <v>526</v>
      </c>
      <c r="M243" s="129">
        <f t="shared" si="107"/>
        <v>391</v>
      </c>
      <c r="N243" s="128">
        <f t="shared" si="108"/>
        <v>0.74329999999999996</v>
      </c>
      <c r="O243" s="164">
        <f t="shared" si="109"/>
        <v>0</v>
      </c>
      <c r="P243" s="185">
        <f t="shared" si="110"/>
        <v>41.1</v>
      </c>
      <c r="Q243" s="185">
        <f t="shared" si="111"/>
        <v>41.1</v>
      </c>
      <c r="R243" s="162" t="b">
        <f t="shared" si="105"/>
        <v>0</v>
      </c>
    </row>
    <row r="244" spans="1:18">
      <c r="A244" s="129" t="s">
        <v>464</v>
      </c>
      <c r="B244" s="129" t="s">
        <v>3938</v>
      </c>
      <c r="C244" s="129">
        <v>8340</v>
      </c>
      <c r="D244" s="129" t="s">
        <v>3332</v>
      </c>
      <c r="E244" s="129">
        <v>416</v>
      </c>
      <c r="F244" s="129">
        <v>0</v>
      </c>
      <c r="G244" s="129">
        <v>285</v>
      </c>
      <c r="H244" s="129">
        <v>0</v>
      </c>
      <c r="I244" s="129">
        <v>68.5</v>
      </c>
      <c r="J244" s="129">
        <v>29.9</v>
      </c>
      <c r="K244" s="129">
        <v>0</v>
      </c>
      <c r="L244" s="129">
        <f t="shared" si="106"/>
        <v>416</v>
      </c>
      <c r="M244" s="129">
        <f t="shared" si="107"/>
        <v>285</v>
      </c>
      <c r="N244" s="128">
        <f t="shared" si="108"/>
        <v>0.68510000000000004</v>
      </c>
      <c r="O244" s="164">
        <f t="shared" si="109"/>
        <v>0</v>
      </c>
      <c r="P244" s="185">
        <f t="shared" si="110"/>
        <v>29.9</v>
      </c>
      <c r="Q244" s="185">
        <f t="shared" si="111"/>
        <v>29.9</v>
      </c>
      <c r="R244" s="162" t="b">
        <f t="shared" si="105"/>
        <v>0</v>
      </c>
    </row>
    <row r="245" spans="1:18">
      <c r="A245" s="129" t="s">
        <v>464</v>
      </c>
      <c r="B245" s="129" t="s">
        <v>3938</v>
      </c>
      <c r="C245" s="129">
        <v>8342</v>
      </c>
      <c r="D245" s="129" t="s">
        <v>3334</v>
      </c>
      <c r="E245" s="129">
        <v>178</v>
      </c>
      <c r="F245" s="129">
        <v>0</v>
      </c>
      <c r="G245" s="129">
        <v>131</v>
      </c>
      <c r="H245" s="129">
        <v>0</v>
      </c>
      <c r="I245" s="129">
        <v>73.599999999999994</v>
      </c>
      <c r="J245" s="129">
        <v>13.8</v>
      </c>
      <c r="K245" s="129">
        <v>0</v>
      </c>
      <c r="L245" s="129">
        <f t="shared" si="106"/>
        <v>178</v>
      </c>
      <c r="M245" s="129">
        <f t="shared" si="107"/>
        <v>131</v>
      </c>
      <c r="N245" s="128">
        <f t="shared" si="108"/>
        <v>0.73599999999999999</v>
      </c>
      <c r="O245" s="164">
        <f t="shared" si="109"/>
        <v>0</v>
      </c>
      <c r="P245" s="185">
        <f t="shared" si="110"/>
        <v>13.8</v>
      </c>
      <c r="Q245" s="185">
        <f t="shared" si="111"/>
        <v>13.8</v>
      </c>
      <c r="R245" s="162" t="b">
        <f t="shared" si="105"/>
        <v>0</v>
      </c>
    </row>
    <row r="246" spans="1:18">
      <c r="A246" s="129" t="s">
        <v>464</v>
      </c>
      <c r="B246" s="129" t="s">
        <v>3938</v>
      </c>
      <c r="C246" s="129">
        <v>8346</v>
      </c>
      <c r="D246" s="129" t="s">
        <v>3336</v>
      </c>
      <c r="E246" s="129">
        <v>250</v>
      </c>
      <c r="F246" s="129">
        <v>0</v>
      </c>
      <c r="G246" s="129">
        <v>165</v>
      </c>
      <c r="H246" s="129">
        <v>0</v>
      </c>
      <c r="I246" s="129">
        <v>66</v>
      </c>
      <c r="J246" s="129">
        <v>17.3</v>
      </c>
      <c r="K246" s="129">
        <v>0</v>
      </c>
      <c r="L246" s="129">
        <f t="shared" si="106"/>
        <v>250</v>
      </c>
      <c r="M246" s="129">
        <f t="shared" si="107"/>
        <v>165</v>
      </c>
      <c r="N246" s="128">
        <f t="shared" si="108"/>
        <v>0.66</v>
      </c>
      <c r="O246" s="164">
        <f t="shared" si="109"/>
        <v>0</v>
      </c>
      <c r="P246" s="185">
        <f t="shared" si="110"/>
        <v>17.3</v>
      </c>
      <c r="Q246" s="185">
        <f t="shared" si="111"/>
        <v>17.3</v>
      </c>
      <c r="R246" s="162" t="b">
        <f t="shared" si="105"/>
        <v>0</v>
      </c>
    </row>
    <row r="247" spans="1:18">
      <c r="A247" s="129" t="s">
        <v>464</v>
      </c>
      <c r="B247" s="129" t="s">
        <v>3938</v>
      </c>
      <c r="C247" s="129">
        <v>8348</v>
      </c>
      <c r="D247" s="129" t="s">
        <v>3338</v>
      </c>
      <c r="E247" s="129">
        <v>298</v>
      </c>
      <c r="F247" s="129">
        <v>0</v>
      </c>
      <c r="G247" s="129">
        <v>220</v>
      </c>
      <c r="H247" s="129">
        <v>0</v>
      </c>
      <c r="I247" s="129">
        <v>73.8</v>
      </c>
      <c r="J247" s="129">
        <v>23.1</v>
      </c>
      <c r="K247" s="129">
        <v>0</v>
      </c>
      <c r="L247" s="129">
        <f t="shared" si="106"/>
        <v>298</v>
      </c>
      <c r="M247" s="129">
        <f t="shared" si="107"/>
        <v>220</v>
      </c>
      <c r="N247" s="128">
        <f t="shared" si="108"/>
        <v>0.73829999999999996</v>
      </c>
      <c r="O247" s="164">
        <f t="shared" si="109"/>
        <v>0</v>
      </c>
      <c r="P247" s="185">
        <f t="shared" si="110"/>
        <v>23.1</v>
      </c>
      <c r="Q247" s="185">
        <f t="shared" si="111"/>
        <v>23.1</v>
      </c>
      <c r="R247" s="162" t="b">
        <f t="shared" si="105"/>
        <v>0</v>
      </c>
    </row>
    <row r="248" spans="1:18">
      <c r="A248" s="129" t="s">
        <v>464</v>
      </c>
      <c r="B248" s="129" t="s">
        <v>3938</v>
      </c>
      <c r="C248" s="129">
        <v>8350</v>
      </c>
      <c r="D248" s="129" t="s">
        <v>3340</v>
      </c>
      <c r="E248" s="129">
        <v>1120</v>
      </c>
      <c r="F248" s="129">
        <v>0</v>
      </c>
      <c r="G248" s="129">
        <v>686</v>
      </c>
      <c r="H248" s="129">
        <v>0</v>
      </c>
      <c r="I248" s="129">
        <v>61.3</v>
      </c>
      <c r="J248" s="129">
        <v>72</v>
      </c>
      <c r="K248" s="129">
        <v>0</v>
      </c>
      <c r="L248" s="129">
        <f t="shared" si="106"/>
        <v>1120</v>
      </c>
      <c r="M248" s="129">
        <f t="shared" si="107"/>
        <v>686</v>
      </c>
      <c r="N248" s="128">
        <f t="shared" si="108"/>
        <v>0.61250000000000004</v>
      </c>
      <c r="O248" s="164">
        <f t="shared" si="109"/>
        <v>0</v>
      </c>
      <c r="P248" s="185">
        <f t="shared" si="110"/>
        <v>72</v>
      </c>
      <c r="Q248" s="185">
        <f t="shared" si="111"/>
        <v>72</v>
      </c>
      <c r="R248" s="162" t="b">
        <f t="shared" si="105"/>
        <v>0</v>
      </c>
    </row>
    <row r="249" spans="1:18">
      <c r="A249" s="129" t="s">
        <v>464</v>
      </c>
      <c r="B249" s="129" t="s">
        <v>3938</v>
      </c>
      <c r="C249" s="129">
        <v>8352</v>
      </c>
      <c r="D249" s="129" t="s">
        <v>3342</v>
      </c>
      <c r="E249" s="129">
        <v>483</v>
      </c>
      <c r="F249" s="129">
        <v>0</v>
      </c>
      <c r="G249" s="129">
        <v>396</v>
      </c>
      <c r="H249" s="129">
        <v>0</v>
      </c>
      <c r="I249" s="129">
        <v>82</v>
      </c>
      <c r="J249" s="129">
        <v>41.6</v>
      </c>
      <c r="K249" s="129">
        <v>0</v>
      </c>
      <c r="L249" s="129">
        <f t="shared" si="106"/>
        <v>483</v>
      </c>
      <c r="M249" s="129">
        <f t="shared" si="107"/>
        <v>396</v>
      </c>
      <c r="N249" s="128">
        <f t="shared" si="108"/>
        <v>0.81989999999999996</v>
      </c>
      <c r="O249" s="164">
        <f t="shared" si="109"/>
        <v>0</v>
      </c>
      <c r="P249" s="185">
        <f t="shared" si="110"/>
        <v>41.6</v>
      </c>
      <c r="Q249" s="185">
        <f t="shared" si="111"/>
        <v>41.6</v>
      </c>
      <c r="R249" s="162" t="b">
        <f t="shared" si="105"/>
        <v>0</v>
      </c>
    </row>
    <row r="250" spans="1:18">
      <c r="A250" s="129" t="s">
        <v>464</v>
      </c>
      <c r="B250" s="129" t="s">
        <v>3938</v>
      </c>
      <c r="C250" s="129">
        <v>8358</v>
      </c>
      <c r="D250" s="129" t="s">
        <v>3344</v>
      </c>
      <c r="E250" s="129">
        <v>567</v>
      </c>
      <c r="F250" s="129">
        <v>0</v>
      </c>
      <c r="G250" s="129">
        <v>455</v>
      </c>
      <c r="H250" s="129">
        <v>0</v>
      </c>
      <c r="I250" s="129">
        <v>80.3</v>
      </c>
      <c r="J250" s="129">
        <v>47.8</v>
      </c>
      <c r="K250" s="129">
        <v>0</v>
      </c>
      <c r="L250" s="129">
        <f t="shared" si="106"/>
        <v>567</v>
      </c>
      <c r="M250" s="129">
        <f t="shared" si="107"/>
        <v>455</v>
      </c>
      <c r="N250" s="128">
        <f t="shared" si="108"/>
        <v>0.80249999999999999</v>
      </c>
      <c r="O250" s="164">
        <f t="shared" si="109"/>
        <v>0</v>
      </c>
      <c r="P250" s="185">
        <f t="shared" si="110"/>
        <v>47.8</v>
      </c>
      <c r="Q250" s="185">
        <f t="shared" si="111"/>
        <v>47.8</v>
      </c>
      <c r="R250" s="162" t="b">
        <f t="shared" si="105"/>
        <v>0</v>
      </c>
    </row>
    <row r="251" spans="1:18">
      <c r="A251" s="129" t="s">
        <v>464</v>
      </c>
      <c r="B251" s="129" t="s">
        <v>3938</v>
      </c>
      <c r="C251" s="129">
        <v>8402</v>
      </c>
      <c r="D251" s="129" t="s">
        <v>3346</v>
      </c>
      <c r="E251" s="129">
        <v>67</v>
      </c>
      <c r="F251" s="129">
        <v>0</v>
      </c>
      <c r="G251" s="129">
        <v>49</v>
      </c>
      <c r="H251" s="129">
        <v>0</v>
      </c>
      <c r="I251" s="129">
        <v>73.099999999999994</v>
      </c>
      <c r="J251" s="129">
        <v>5.0999999999999996</v>
      </c>
      <c r="K251" s="129">
        <v>0</v>
      </c>
      <c r="L251" s="129">
        <f t="shared" si="106"/>
        <v>67</v>
      </c>
      <c r="M251" s="129">
        <f t="shared" si="107"/>
        <v>49</v>
      </c>
      <c r="N251" s="128">
        <f t="shared" si="108"/>
        <v>0.73129999999999995</v>
      </c>
      <c r="O251" s="164">
        <f t="shared" si="109"/>
        <v>0</v>
      </c>
      <c r="P251" s="185">
        <f t="shared" si="110"/>
        <v>5.0999999999999996</v>
      </c>
      <c r="Q251" s="185">
        <f t="shared" si="111"/>
        <v>5.0999999999999996</v>
      </c>
      <c r="R251" s="162" t="b">
        <f t="shared" si="105"/>
        <v>0</v>
      </c>
    </row>
    <row r="252" spans="1:18">
      <c r="A252" s="129" t="s">
        <v>464</v>
      </c>
      <c r="B252" s="129" t="s">
        <v>3938</v>
      </c>
      <c r="C252" s="129">
        <v>8406</v>
      </c>
      <c r="D252" s="129" t="s">
        <v>3348</v>
      </c>
      <c r="E252" s="129">
        <v>8</v>
      </c>
      <c r="F252" s="129">
        <v>0</v>
      </c>
      <c r="G252" s="129">
        <v>5</v>
      </c>
      <c r="H252" s="129">
        <v>0</v>
      </c>
      <c r="I252" s="129">
        <v>62.5</v>
      </c>
      <c r="J252" s="129">
        <v>0.5</v>
      </c>
      <c r="K252" s="129">
        <v>0</v>
      </c>
      <c r="L252" s="129">
        <f t="shared" si="106"/>
        <v>8</v>
      </c>
      <c r="M252" s="129">
        <f t="shared" si="107"/>
        <v>5</v>
      </c>
      <c r="N252" s="128">
        <f t="shared" si="108"/>
        <v>0.625</v>
      </c>
      <c r="O252" s="164">
        <f t="shared" si="109"/>
        <v>0</v>
      </c>
      <c r="P252" s="185">
        <f t="shared" si="110"/>
        <v>0.5</v>
      </c>
      <c r="Q252" s="185">
        <f t="shared" si="111"/>
        <v>0.5</v>
      </c>
      <c r="R252" s="162" t="b">
        <f t="shared" si="105"/>
        <v>0</v>
      </c>
    </row>
    <row r="253" spans="1:18">
      <c r="A253" s="129" t="s">
        <v>464</v>
      </c>
      <c r="B253" s="129" t="s">
        <v>3938</v>
      </c>
      <c r="C253" s="129">
        <v>8407</v>
      </c>
      <c r="D253" s="129" t="s">
        <v>3350</v>
      </c>
      <c r="E253" s="129">
        <v>726</v>
      </c>
      <c r="F253" s="129">
        <v>0</v>
      </c>
      <c r="G253" s="129">
        <v>554</v>
      </c>
      <c r="H253" s="129">
        <v>0</v>
      </c>
      <c r="I253" s="129">
        <v>76.3</v>
      </c>
      <c r="J253" s="129">
        <v>58.2</v>
      </c>
      <c r="K253" s="129">
        <v>0</v>
      </c>
      <c r="L253" s="129">
        <f t="shared" si="106"/>
        <v>726</v>
      </c>
      <c r="M253" s="129">
        <f t="shared" si="107"/>
        <v>554</v>
      </c>
      <c r="N253" s="128">
        <f t="shared" si="108"/>
        <v>0.7631</v>
      </c>
      <c r="O253" s="164">
        <f t="shared" si="109"/>
        <v>0</v>
      </c>
      <c r="P253" s="185">
        <f t="shared" si="110"/>
        <v>58.2</v>
      </c>
      <c r="Q253" s="185">
        <f t="shared" si="111"/>
        <v>58.2</v>
      </c>
      <c r="R253" s="162" t="b">
        <f t="shared" si="105"/>
        <v>0</v>
      </c>
    </row>
    <row r="254" spans="1:18">
      <c r="A254" s="129" t="s">
        <v>464</v>
      </c>
      <c r="B254" s="129" t="s">
        <v>3938</v>
      </c>
      <c r="C254" s="129">
        <v>8408</v>
      </c>
      <c r="D254" s="129" t="s">
        <v>3352</v>
      </c>
      <c r="E254" s="129">
        <v>462</v>
      </c>
      <c r="F254" s="129">
        <v>0</v>
      </c>
      <c r="G254" s="129">
        <v>297</v>
      </c>
      <c r="H254" s="129">
        <v>0</v>
      </c>
      <c r="I254" s="129">
        <v>64.3</v>
      </c>
      <c r="J254" s="129">
        <v>31.2</v>
      </c>
      <c r="K254" s="129">
        <v>0</v>
      </c>
      <c r="L254" s="129">
        <f t="shared" si="106"/>
        <v>462</v>
      </c>
      <c r="M254" s="129">
        <f t="shared" si="107"/>
        <v>297</v>
      </c>
      <c r="N254" s="128">
        <f t="shared" si="108"/>
        <v>0.64290000000000003</v>
      </c>
      <c r="O254" s="164">
        <f t="shared" si="109"/>
        <v>0</v>
      </c>
      <c r="P254" s="185">
        <f t="shared" si="110"/>
        <v>31.2</v>
      </c>
      <c r="Q254" s="185">
        <f t="shared" si="111"/>
        <v>31.2</v>
      </c>
      <c r="R254" s="162" t="b">
        <f t="shared" si="105"/>
        <v>0</v>
      </c>
    </row>
    <row r="255" spans="1:18">
      <c r="A255" s="129" t="s">
        <v>464</v>
      </c>
      <c r="B255" s="129" t="s">
        <v>3938</v>
      </c>
      <c r="C255" s="129">
        <v>8409</v>
      </c>
      <c r="D255" s="129" t="s">
        <v>3354</v>
      </c>
      <c r="E255" s="129">
        <v>538</v>
      </c>
      <c r="F255" s="129">
        <v>0</v>
      </c>
      <c r="G255" s="129">
        <v>383</v>
      </c>
      <c r="H255" s="129">
        <v>0</v>
      </c>
      <c r="I255" s="129">
        <v>71.2</v>
      </c>
      <c r="J255" s="129">
        <v>40.200000000000003</v>
      </c>
      <c r="K255" s="129">
        <v>0</v>
      </c>
      <c r="L255" s="129">
        <f t="shared" si="106"/>
        <v>538</v>
      </c>
      <c r="M255" s="129">
        <f t="shared" si="107"/>
        <v>383</v>
      </c>
      <c r="N255" s="128">
        <f t="shared" si="108"/>
        <v>0.71189999999999998</v>
      </c>
      <c r="O255" s="164">
        <f t="shared" si="109"/>
        <v>0</v>
      </c>
      <c r="P255" s="185">
        <f t="shared" si="110"/>
        <v>40.200000000000003</v>
      </c>
      <c r="Q255" s="185">
        <f t="shared" si="111"/>
        <v>40.200000000000003</v>
      </c>
      <c r="R255" s="162" t="b">
        <f t="shared" si="105"/>
        <v>0</v>
      </c>
    </row>
    <row r="256" spans="1:18">
      <c r="A256" s="129" t="s">
        <v>468</v>
      </c>
      <c r="B256" s="129" t="s">
        <v>3942</v>
      </c>
      <c r="C256" s="129">
        <v>8622</v>
      </c>
      <c r="D256" s="129" t="s">
        <v>3418</v>
      </c>
      <c r="E256" s="129">
        <v>183</v>
      </c>
      <c r="F256" s="129">
        <v>0</v>
      </c>
      <c r="G256" s="129">
        <v>84</v>
      </c>
      <c r="H256" s="129">
        <v>0</v>
      </c>
      <c r="I256" s="129">
        <v>45.9</v>
      </c>
      <c r="J256" s="129">
        <v>0</v>
      </c>
      <c r="K256" s="129">
        <v>6.4</v>
      </c>
      <c r="L256" s="129">
        <f t="shared" si="106"/>
        <v>183</v>
      </c>
      <c r="M256" s="129">
        <f t="shared" si="107"/>
        <v>84</v>
      </c>
      <c r="N256" s="128">
        <f t="shared" si="108"/>
        <v>0.45900000000000002</v>
      </c>
      <c r="O256" s="164">
        <f t="shared" si="109"/>
        <v>6.4</v>
      </c>
      <c r="P256" s="185">
        <f t="shared" si="110"/>
        <v>0</v>
      </c>
      <c r="Q256" s="185">
        <f t="shared" si="111"/>
        <v>6.4</v>
      </c>
      <c r="R256" s="162" t="b">
        <f t="shared" si="105"/>
        <v>0</v>
      </c>
    </row>
    <row r="257" spans="1:18">
      <c r="A257" s="129" t="s">
        <v>468</v>
      </c>
      <c r="B257" s="129" t="s">
        <v>3942</v>
      </c>
      <c r="C257" s="129">
        <v>8623</v>
      </c>
      <c r="D257" s="129" t="s">
        <v>3420</v>
      </c>
      <c r="E257" s="129">
        <v>119</v>
      </c>
      <c r="F257" s="129">
        <v>0</v>
      </c>
      <c r="G257" s="129">
        <v>64</v>
      </c>
      <c r="H257" s="129">
        <v>0</v>
      </c>
      <c r="I257" s="129">
        <v>53.8</v>
      </c>
      <c r="J257" s="129">
        <v>6.7</v>
      </c>
      <c r="K257" s="129">
        <v>0</v>
      </c>
      <c r="L257" s="129">
        <f t="shared" si="106"/>
        <v>119</v>
      </c>
      <c r="M257" s="129">
        <f t="shared" si="107"/>
        <v>64</v>
      </c>
      <c r="N257" s="128">
        <f t="shared" si="108"/>
        <v>0.53779999999999994</v>
      </c>
      <c r="O257" s="164">
        <f t="shared" si="109"/>
        <v>0</v>
      </c>
      <c r="P257" s="185">
        <f t="shared" si="110"/>
        <v>6.7</v>
      </c>
      <c r="Q257" s="185">
        <f t="shared" si="111"/>
        <v>6.7</v>
      </c>
      <c r="R257" s="162" t="b">
        <f t="shared" si="105"/>
        <v>0</v>
      </c>
    </row>
    <row r="258" spans="1:18">
      <c r="A258" s="129" t="s">
        <v>468</v>
      </c>
      <c r="B258" s="129" t="s">
        <v>3942</v>
      </c>
      <c r="C258" s="129">
        <v>8624</v>
      </c>
      <c r="D258" s="129" t="s">
        <v>3422</v>
      </c>
      <c r="E258" s="129">
        <v>191</v>
      </c>
      <c r="F258" s="129">
        <v>0</v>
      </c>
      <c r="G258" s="129">
        <v>99</v>
      </c>
      <c r="H258" s="129">
        <v>0</v>
      </c>
      <c r="I258" s="129">
        <v>51.8</v>
      </c>
      <c r="J258" s="129">
        <v>10.4</v>
      </c>
      <c r="K258" s="129">
        <v>0</v>
      </c>
      <c r="L258" s="129">
        <f t="shared" si="106"/>
        <v>191</v>
      </c>
      <c r="M258" s="129">
        <f t="shared" si="107"/>
        <v>99</v>
      </c>
      <c r="N258" s="128">
        <f t="shared" si="108"/>
        <v>0.51829999999999998</v>
      </c>
      <c r="O258" s="164">
        <f t="shared" si="109"/>
        <v>0</v>
      </c>
      <c r="P258" s="185">
        <f t="shared" si="110"/>
        <v>10.4</v>
      </c>
      <c r="Q258" s="185">
        <f t="shared" si="111"/>
        <v>10.4</v>
      </c>
      <c r="R258" s="162" t="b">
        <f t="shared" si="105"/>
        <v>0</v>
      </c>
    </row>
    <row r="259" spans="1:18">
      <c r="A259" s="129" t="s">
        <v>206</v>
      </c>
      <c r="B259" s="129" t="s">
        <v>4123</v>
      </c>
      <c r="C259" s="129">
        <v>181</v>
      </c>
      <c r="D259" s="129" t="s">
        <v>1142</v>
      </c>
      <c r="E259" s="129">
        <v>592</v>
      </c>
      <c r="F259" s="129">
        <v>0</v>
      </c>
      <c r="G259" s="129">
        <v>138</v>
      </c>
      <c r="H259" s="129">
        <v>0</v>
      </c>
      <c r="I259" s="129">
        <v>23.3</v>
      </c>
      <c r="J259" s="129">
        <v>0</v>
      </c>
      <c r="K259" s="129">
        <v>0</v>
      </c>
      <c r="L259" s="129">
        <f t="shared" ref="L259:L280" si="112">SUM(E259:F259)</f>
        <v>592</v>
      </c>
      <c r="M259" s="129">
        <f t="shared" ref="M259:M280" si="113">SUM(G259:H259)</f>
        <v>138</v>
      </c>
      <c r="N259" s="128">
        <f t="shared" ref="N259:N280" si="114">IF(ISERROR(M259/L259),0,M259/L259)</f>
        <v>0.2331</v>
      </c>
      <c r="O259" s="164">
        <f t="shared" ref="O259:O280" si="115">IF(AND((N259-35%)&gt;0,N259&lt;50%),M259*(N259-35%)*0.7,0)</f>
        <v>0</v>
      </c>
      <c r="P259" s="185">
        <f t="shared" ref="P259:P280" si="116">IF(N259&gt;=50%,M259*10.5%,0)</f>
        <v>0</v>
      </c>
      <c r="Q259" s="185">
        <f t="shared" ref="Q259:Q280" si="117">MAX(O259,P259)</f>
        <v>0</v>
      </c>
      <c r="R259" s="162" t="b">
        <f t="shared" si="105"/>
        <v>0</v>
      </c>
    </row>
    <row r="260" spans="1:18">
      <c r="A260" s="129" t="s">
        <v>206</v>
      </c>
      <c r="B260" s="129" t="s">
        <v>4123</v>
      </c>
      <c r="C260" s="129">
        <v>187</v>
      </c>
      <c r="D260" s="129" t="s">
        <v>1144</v>
      </c>
      <c r="E260" s="129">
        <v>610</v>
      </c>
      <c r="F260" s="129">
        <v>0</v>
      </c>
      <c r="G260" s="129">
        <v>142</v>
      </c>
      <c r="H260" s="129">
        <v>0</v>
      </c>
      <c r="I260" s="129">
        <v>23.3</v>
      </c>
      <c r="J260" s="129">
        <v>0</v>
      </c>
      <c r="K260" s="129">
        <v>0</v>
      </c>
      <c r="L260" s="129">
        <f t="shared" si="112"/>
        <v>610</v>
      </c>
      <c r="M260" s="129">
        <f t="shared" si="113"/>
        <v>142</v>
      </c>
      <c r="N260" s="128">
        <f t="shared" si="114"/>
        <v>0.23280000000000001</v>
      </c>
      <c r="O260" s="164">
        <f t="shared" si="115"/>
        <v>0</v>
      </c>
      <c r="P260" s="185">
        <f t="shared" si="116"/>
        <v>0</v>
      </c>
      <c r="Q260" s="185">
        <f t="shared" si="117"/>
        <v>0</v>
      </c>
      <c r="R260" s="162" t="b">
        <f t="shared" si="105"/>
        <v>0</v>
      </c>
    </row>
    <row r="261" spans="1:18">
      <c r="A261" s="129" t="s">
        <v>206</v>
      </c>
      <c r="B261" s="129" t="s">
        <v>4123</v>
      </c>
      <c r="C261" s="129">
        <v>189</v>
      </c>
      <c r="D261" s="129" t="s">
        <v>1146</v>
      </c>
      <c r="E261" s="129">
        <v>688</v>
      </c>
      <c r="F261" s="129">
        <v>0</v>
      </c>
      <c r="G261" s="129">
        <v>159</v>
      </c>
      <c r="H261" s="129">
        <v>0</v>
      </c>
      <c r="I261" s="129">
        <v>23.1</v>
      </c>
      <c r="J261" s="129">
        <v>0</v>
      </c>
      <c r="K261" s="129">
        <v>0</v>
      </c>
      <c r="L261" s="129">
        <f t="shared" si="112"/>
        <v>688</v>
      </c>
      <c r="M261" s="129">
        <f t="shared" si="113"/>
        <v>159</v>
      </c>
      <c r="N261" s="128">
        <f t="shared" si="114"/>
        <v>0.2311</v>
      </c>
      <c r="O261" s="164">
        <f t="shared" si="115"/>
        <v>0</v>
      </c>
      <c r="P261" s="185">
        <f t="shared" si="116"/>
        <v>0</v>
      </c>
      <c r="Q261" s="185">
        <f t="shared" si="117"/>
        <v>0</v>
      </c>
      <c r="R261" s="162" t="b">
        <f t="shared" ref="R261:R324" si="118">COUNTIF(C:C,C261)&gt;1</f>
        <v>0</v>
      </c>
    </row>
    <row r="262" spans="1:18">
      <c r="A262" s="129" t="s">
        <v>206</v>
      </c>
      <c r="B262" s="129" t="s">
        <v>4123</v>
      </c>
      <c r="C262" s="129">
        <v>190</v>
      </c>
      <c r="D262" s="129" t="s">
        <v>1148</v>
      </c>
      <c r="E262" s="129">
        <v>815</v>
      </c>
      <c r="F262" s="129">
        <v>0</v>
      </c>
      <c r="G262" s="129">
        <v>159</v>
      </c>
      <c r="H262" s="129">
        <v>0</v>
      </c>
      <c r="I262" s="129">
        <v>19.5</v>
      </c>
      <c r="J262" s="129">
        <v>0</v>
      </c>
      <c r="K262" s="129">
        <v>0</v>
      </c>
      <c r="L262" s="129">
        <f t="shared" si="112"/>
        <v>815</v>
      </c>
      <c r="M262" s="129">
        <f t="shared" si="113"/>
        <v>159</v>
      </c>
      <c r="N262" s="128">
        <f t="shared" si="114"/>
        <v>0.1951</v>
      </c>
      <c r="O262" s="164">
        <f t="shared" si="115"/>
        <v>0</v>
      </c>
      <c r="P262" s="185">
        <f t="shared" si="116"/>
        <v>0</v>
      </c>
      <c r="Q262" s="185">
        <f t="shared" si="117"/>
        <v>0</v>
      </c>
      <c r="R262" s="162" t="b">
        <f t="shared" si="118"/>
        <v>0</v>
      </c>
    </row>
    <row r="263" spans="1:18">
      <c r="A263" s="129" t="s">
        <v>212</v>
      </c>
      <c r="B263" s="129" t="s">
        <v>4124</v>
      </c>
      <c r="C263" s="129">
        <v>342</v>
      </c>
      <c r="D263" s="129" t="s">
        <v>1182</v>
      </c>
      <c r="E263" s="129">
        <v>68</v>
      </c>
      <c r="F263" s="129">
        <v>0</v>
      </c>
      <c r="G263" s="129">
        <v>37</v>
      </c>
      <c r="H263" s="129">
        <v>0</v>
      </c>
      <c r="I263" s="129">
        <v>54.4</v>
      </c>
      <c r="J263" s="129">
        <v>3.9</v>
      </c>
      <c r="K263" s="129">
        <v>0</v>
      </c>
      <c r="L263" s="129">
        <f t="shared" si="112"/>
        <v>68</v>
      </c>
      <c r="M263" s="129">
        <f t="shared" si="113"/>
        <v>37</v>
      </c>
      <c r="N263" s="128">
        <f t="shared" si="114"/>
        <v>0.54410000000000003</v>
      </c>
      <c r="O263" s="164">
        <f t="shared" si="115"/>
        <v>0</v>
      </c>
      <c r="P263" s="185">
        <f t="shared" si="116"/>
        <v>3.9</v>
      </c>
      <c r="Q263" s="185">
        <f t="shared" si="117"/>
        <v>3.9</v>
      </c>
      <c r="R263" s="162" t="b">
        <f t="shared" si="118"/>
        <v>0</v>
      </c>
    </row>
    <row r="264" spans="1:18">
      <c r="A264" s="129" t="s">
        <v>212</v>
      </c>
      <c r="B264" s="129" t="s">
        <v>4124</v>
      </c>
      <c r="C264" s="129">
        <v>344</v>
      </c>
      <c r="D264" s="129" t="s">
        <v>1184</v>
      </c>
      <c r="E264" s="129">
        <v>72</v>
      </c>
      <c r="F264" s="129">
        <v>0</v>
      </c>
      <c r="G264" s="129">
        <v>28</v>
      </c>
      <c r="H264" s="129">
        <v>0</v>
      </c>
      <c r="I264" s="129">
        <v>38.9</v>
      </c>
      <c r="J264" s="129">
        <v>0</v>
      </c>
      <c r="K264" s="129">
        <v>0.8</v>
      </c>
      <c r="L264" s="129">
        <f t="shared" si="112"/>
        <v>72</v>
      </c>
      <c r="M264" s="129">
        <f t="shared" si="113"/>
        <v>28</v>
      </c>
      <c r="N264" s="128">
        <f t="shared" si="114"/>
        <v>0.38890000000000002</v>
      </c>
      <c r="O264" s="164">
        <f t="shared" si="115"/>
        <v>0.8</v>
      </c>
      <c r="P264" s="185">
        <f t="shared" si="116"/>
        <v>0</v>
      </c>
      <c r="Q264" s="185">
        <f t="shared" si="117"/>
        <v>0.8</v>
      </c>
      <c r="R264" s="162" t="b">
        <f t="shared" si="118"/>
        <v>0</v>
      </c>
    </row>
    <row r="265" spans="1:18">
      <c r="A265" s="129" t="s">
        <v>213</v>
      </c>
      <c r="B265" s="129" t="s">
        <v>4125</v>
      </c>
      <c r="C265" s="129">
        <v>356</v>
      </c>
      <c r="D265" s="129" t="s">
        <v>1186</v>
      </c>
      <c r="E265" s="129">
        <v>493</v>
      </c>
      <c r="F265" s="129">
        <v>0</v>
      </c>
      <c r="G265" s="129">
        <v>256</v>
      </c>
      <c r="H265" s="129">
        <v>0</v>
      </c>
      <c r="I265" s="129">
        <v>51.9</v>
      </c>
      <c r="J265" s="129">
        <v>26.9</v>
      </c>
      <c r="K265" s="129">
        <v>0</v>
      </c>
      <c r="L265" s="129">
        <f t="shared" si="112"/>
        <v>493</v>
      </c>
      <c r="M265" s="129">
        <f t="shared" si="113"/>
        <v>256</v>
      </c>
      <c r="N265" s="128">
        <f t="shared" si="114"/>
        <v>0.51929999999999998</v>
      </c>
      <c r="O265" s="164">
        <f t="shared" si="115"/>
        <v>0</v>
      </c>
      <c r="P265" s="185">
        <f t="shared" si="116"/>
        <v>26.9</v>
      </c>
      <c r="Q265" s="185">
        <f t="shared" si="117"/>
        <v>26.9</v>
      </c>
      <c r="R265" s="162" t="b">
        <f t="shared" si="118"/>
        <v>0</v>
      </c>
    </row>
    <row r="266" spans="1:18">
      <c r="A266" s="129" t="s">
        <v>213</v>
      </c>
      <c r="B266" s="129" t="s">
        <v>4125</v>
      </c>
      <c r="C266" s="129">
        <v>357</v>
      </c>
      <c r="D266" s="129" t="s">
        <v>1188</v>
      </c>
      <c r="E266" s="129">
        <v>150</v>
      </c>
      <c r="F266" s="129">
        <v>0</v>
      </c>
      <c r="G266" s="129">
        <v>72</v>
      </c>
      <c r="H266" s="129">
        <v>0</v>
      </c>
      <c r="I266" s="129">
        <v>48</v>
      </c>
      <c r="J266" s="129">
        <v>0</v>
      </c>
      <c r="K266" s="129">
        <v>6.6</v>
      </c>
      <c r="L266" s="129">
        <f t="shared" si="112"/>
        <v>150</v>
      </c>
      <c r="M266" s="129">
        <f t="shared" si="113"/>
        <v>72</v>
      </c>
      <c r="N266" s="128">
        <f t="shared" si="114"/>
        <v>0.48</v>
      </c>
      <c r="O266" s="164">
        <f t="shared" si="115"/>
        <v>6.6</v>
      </c>
      <c r="P266" s="185">
        <f t="shared" si="116"/>
        <v>0</v>
      </c>
      <c r="Q266" s="185">
        <f t="shared" si="117"/>
        <v>6.6</v>
      </c>
      <c r="R266" s="162" t="b">
        <f t="shared" si="118"/>
        <v>0</v>
      </c>
    </row>
    <row r="267" spans="1:18">
      <c r="A267" s="129" t="s">
        <v>213</v>
      </c>
      <c r="B267" s="129" t="s">
        <v>4125</v>
      </c>
      <c r="C267" s="129">
        <v>358</v>
      </c>
      <c r="D267" s="129" t="s">
        <v>1190</v>
      </c>
      <c r="E267" s="129">
        <v>329</v>
      </c>
      <c r="F267" s="129">
        <v>0</v>
      </c>
      <c r="G267" s="129">
        <v>123</v>
      </c>
      <c r="H267" s="129">
        <v>0</v>
      </c>
      <c r="I267" s="129">
        <v>37.4</v>
      </c>
      <c r="J267" s="129">
        <v>0</v>
      </c>
      <c r="K267" s="129">
        <v>2.1</v>
      </c>
      <c r="L267" s="129">
        <f t="shared" si="112"/>
        <v>329</v>
      </c>
      <c r="M267" s="129">
        <f t="shared" si="113"/>
        <v>123</v>
      </c>
      <c r="N267" s="128">
        <f t="shared" si="114"/>
        <v>0.37390000000000001</v>
      </c>
      <c r="O267" s="164">
        <f t="shared" si="115"/>
        <v>2.1</v>
      </c>
      <c r="P267" s="185">
        <f t="shared" si="116"/>
        <v>0</v>
      </c>
      <c r="Q267" s="185">
        <f t="shared" si="117"/>
        <v>2.1</v>
      </c>
      <c r="R267" s="162" t="b">
        <f t="shared" si="118"/>
        <v>0</v>
      </c>
    </row>
    <row r="268" spans="1:18">
      <c r="A268" s="129" t="s">
        <v>213</v>
      </c>
      <c r="B268" s="129" t="s">
        <v>4125</v>
      </c>
      <c r="C268" s="129">
        <v>367</v>
      </c>
      <c r="D268" s="129" t="s">
        <v>1192</v>
      </c>
      <c r="E268" s="129">
        <v>6</v>
      </c>
      <c r="F268" s="129">
        <v>0</v>
      </c>
      <c r="G268" s="129">
        <v>4</v>
      </c>
      <c r="H268" s="129">
        <v>0</v>
      </c>
      <c r="I268" s="129">
        <v>66.7</v>
      </c>
      <c r="J268" s="129">
        <v>0.4</v>
      </c>
      <c r="K268" s="129">
        <v>0</v>
      </c>
      <c r="L268" s="129">
        <f t="shared" si="112"/>
        <v>6</v>
      </c>
      <c r="M268" s="129">
        <f t="shared" si="113"/>
        <v>4</v>
      </c>
      <c r="N268" s="128">
        <f t="shared" si="114"/>
        <v>0.66669999999999996</v>
      </c>
      <c r="O268" s="164">
        <f t="shared" si="115"/>
        <v>0</v>
      </c>
      <c r="P268" s="185">
        <f t="shared" si="116"/>
        <v>0.4</v>
      </c>
      <c r="Q268" s="185">
        <f t="shared" si="117"/>
        <v>0.4</v>
      </c>
      <c r="R268" s="162" t="b">
        <f t="shared" si="118"/>
        <v>0</v>
      </c>
    </row>
    <row r="269" spans="1:18">
      <c r="A269" s="129" t="s">
        <v>234</v>
      </c>
      <c r="B269" s="129" t="s">
        <v>3726</v>
      </c>
      <c r="C269" s="129">
        <v>964</v>
      </c>
      <c r="D269" s="129" t="s">
        <v>1519</v>
      </c>
      <c r="E269" s="129">
        <v>189</v>
      </c>
      <c r="F269" s="129">
        <v>0</v>
      </c>
      <c r="G269" s="129">
        <v>101</v>
      </c>
      <c r="H269" s="129">
        <v>0</v>
      </c>
      <c r="I269" s="129">
        <v>53.4</v>
      </c>
      <c r="J269" s="129">
        <v>10.6</v>
      </c>
      <c r="K269" s="129">
        <v>0</v>
      </c>
      <c r="L269" s="129">
        <f t="shared" si="112"/>
        <v>189</v>
      </c>
      <c r="M269" s="129">
        <f t="shared" si="113"/>
        <v>101</v>
      </c>
      <c r="N269" s="128">
        <f t="shared" si="114"/>
        <v>0.53439999999999999</v>
      </c>
      <c r="O269" s="164">
        <f t="shared" si="115"/>
        <v>0</v>
      </c>
      <c r="P269" s="185">
        <f t="shared" si="116"/>
        <v>10.6</v>
      </c>
      <c r="Q269" s="185">
        <f t="shared" si="117"/>
        <v>10.6</v>
      </c>
      <c r="R269" s="162" t="b">
        <f t="shared" si="118"/>
        <v>0</v>
      </c>
    </row>
    <row r="270" spans="1:18">
      <c r="A270" s="129" t="s">
        <v>234</v>
      </c>
      <c r="B270" s="129" t="s">
        <v>3726</v>
      </c>
      <c r="C270" s="129">
        <v>966</v>
      </c>
      <c r="D270" s="129" t="s">
        <v>1521</v>
      </c>
      <c r="E270" s="129">
        <v>260</v>
      </c>
      <c r="F270" s="129">
        <v>0</v>
      </c>
      <c r="G270" s="129">
        <v>165</v>
      </c>
      <c r="H270" s="129">
        <v>0</v>
      </c>
      <c r="I270" s="129">
        <v>63.5</v>
      </c>
      <c r="J270" s="129">
        <v>17.3</v>
      </c>
      <c r="K270" s="129">
        <v>0</v>
      </c>
      <c r="L270" s="129">
        <f t="shared" si="112"/>
        <v>260</v>
      </c>
      <c r="M270" s="129">
        <f t="shared" si="113"/>
        <v>165</v>
      </c>
      <c r="N270" s="128">
        <f t="shared" si="114"/>
        <v>0.63460000000000005</v>
      </c>
      <c r="O270" s="164">
        <f t="shared" si="115"/>
        <v>0</v>
      </c>
      <c r="P270" s="185">
        <f t="shared" si="116"/>
        <v>17.3</v>
      </c>
      <c r="Q270" s="185">
        <f t="shared" si="117"/>
        <v>17.3</v>
      </c>
      <c r="R270" s="162" t="b">
        <f t="shared" si="118"/>
        <v>0</v>
      </c>
    </row>
    <row r="271" spans="1:18">
      <c r="A271" s="129" t="s">
        <v>251</v>
      </c>
      <c r="B271" s="129" t="s">
        <v>3742</v>
      </c>
      <c r="C271" s="129">
        <v>1472</v>
      </c>
      <c r="D271" s="129" t="s">
        <v>1629</v>
      </c>
      <c r="E271" s="129">
        <v>231</v>
      </c>
      <c r="F271" s="129">
        <v>0</v>
      </c>
      <c r="G271" s="129">
        <v>110</v>
      </c>
      <c r="H271" s="129">
        <v>0</v>
      </c>
      <c r="I271" s="129">
        <v>47.6</v>
      </c>
      <c r="J271" s="129">
        <v>0</v>
      </c>
      <c r="K271" s="129">
        <v>9.6999999999999993</v>
      </c>
      <c r="L271" s="129">
        <f t="shared" si="112"/>
        <v>231</v>
      </c>
      <c r="M271" s="129">
        <f t="shared" si="113"/>
        <v>110</v>
      </c>
      <c r="N271" s="128">
        <f t="shared" si="114"/>
        <v>0.47620000000000001</v>
      </c>
      <c r="O271" s="164">
        <f t="shared" si="115"/>
        <v>9.6999999999999993</v>
      </c>
      <c r="P271" s="185">
        <f t="shared" si="116"/>
        <v>0</v>
      </c>
      <c r="Q271" s="185">
        <f t="shared" si="117"/>
        <v>9.6999999999999993</v>
      </c>
      <c r="R271" s="162" t="b">
        <f t="shared" si="118"/>
        <v>0</v>
      </c>
    </row>
    <row r="272" spans="1:18">
      <c r="A272" s="129" t="s">
        <v>251</v>
      </c>
      <c r="B272" s="129" t="s">
        <v>3742</v>
      </c>
      <c r="C272" s="129">
        <v>1475</v>
      </c>
      <c r="D272" s="129" t="s">
        <v>1631</v>
      </c>
      <c r="E272" s="129">
        <v>227</v>
      </c>
      <c r="F272" s="129">
        <v>0</v>
      </c>
      <c r="G272" s="129">
        <v>95</v>
      </c>
      <c r="H272" s="129">
        <v>0</v>
      </c>
      <c r="I272" s="129">
        <v>41.9</v>
      </c>
      <c r="J272" s="129">
        <v>0</v>
      </c>
      <c r="K272" s="129">
        <v>4.5999999999999996</v>
      </c>
      <c r="L272" s="129">
        <f t="shared" si="112"/>
        <v>227</v>
      </c>
      <c r="M272" s="129">
        <f t="shared" si="113"/>
        <v>95</v>
      </c>
      <c r="N272" s="128">
        <f t="shared" si="114"/>
        <v>0.41849999999999998</v>
      </c>
      <c r="O272" s="164">
        <f t="shared" si="115"/>
        <v>4.5999999999999996</v>
      </c>
      <c r="P272" s="185">
        <f t="shared" si="116"/>
        <v>0</v>
      </c>
      <c r="Q272" s="185">
        <f t="shared" si="117"/>
        <v>4.5999999999999996</v>
      </c>
      <c r="R272" s="162" t="b">
        <f t="shared" si="118"/>
        <v>0</v>
      </c>
    </row>
    <row r="273" spans="1:18">
      <c r="A273" s="129" t="s">
        <v>297</v>
      </c>
      <c r="B273" s="129" t="s">
        <v>3785</v>
      </c>
      <c r="C273" s="129">
        <v>3191</v>
      </c>
      <c r="D273" s="129" t="s">
        <v>2133</v>
      </c>
      <c r="E273" s="129">
        <v>272</v>
      </c>
      <c r="F273" s="129">
        <v>0</v>
      </c>
      <c r="G273" s="129">
        <v>123</v>
      </c>
      <c r="H273" s="129">
        <v>0</v>
      </c>
      <c r="I273" s="129">
        <v>45.2</v>
      </c>
      <c r="J273" s="129">
        <v>0</v>
      </c>
      <c r="K273" s="129">
        <v>8.8000000000000007</v>
      </c>
      <c r="L273" s="129">
        <f t="shared" si="112"/>
        <v>272</v>
      </c>
      <c r="M273" s="129">
        <f t="shared" si="113"/>
        <v>123</v>
      </c>
      <c r="N273" s="128">
        <f t="shared" si="114"/>
        <v>0.45219999999999999</v>
      </c>
      <c r="O273" s="164">
        <f t="shared" si="115"/>
        <v>8.8000000000000007</v>
      </c>
      <c r="P273" s="185">
        <f t="shared" si="116"/>
        <v>0</v>
      </c>
      <c r="Q273" s="185">
        <f t="shared" si="117"/>
        <v>8.8000000000000007</v>
      </c>
      <c r="R273" s="162" t="b">
        <f t="shared" si="118"/>
        <v>0</v>
      </c>
    </row>
    <row r="274" spans="1:18">
      <c r="A274" s="129" t="s">
        <v>301</v>
      </c>
      <c r="B274" s="129" t="s">
        <v>3789</v>
      </c>
      <c r="C274" s="129">
        <v>3276</v>
      </c>
      <c r="D274" s="129" t="s">
        <v>2159</v>
      </c>
      <c r="E274" s="129">
        <v>73</v>
      </c>
      <c r="F274" s="129">
        <v>0</v>
      </c>
      <c r="G274" s="129">
        <v>23</v>
      </c>
      <c r="H274" s="129">
        <v>0</v>
      </c>
      <c r="I274" s="129">
        <v>31.5</v>
      </c>
      <c r="J274" s="129">
        <v>0</v>
      </c>
      <c r="K274" s="129">
        <v>0</v>
      </c>
      <c r="L274" s="129">
        <f t="shared" si="112"/>
        <v>73</v>
      </c>
      <c r="M274" s="129">
        <f t="shared" si="113"/>
        <v>23</v>
      </c>
      <c r="N274" s="128">
        <f t="shared" si="114"/>
        <v>0.31509999999999999</v>
      </c>
      <c r="O274" s="164">
        <f t="shared" si="115"/>
        <v>0</v>
      </c>
      <c r="P274" s="185">
        <f t="shared" si="116"/>
        <v>0</v>
      </c>
      <c r="Q274" s="185">
        <f t="shared" si="117"/>
        <v>0</v>
      </c>
      <c r="R274" s="162" t="b">
        <f t="shared" si="118"/>
        <v>0</v>
      </c>
    </row>
    <row r="275" spans="1:18">
      <c r="A275" s="129" t="s">
        <v>301</v>
      </c>
      <c r="B275" s="129" t="s">
        <v>3789</v>
      </c>
      <c r="C275" s="129">
        <v>3278</v>
      </c>
      <c r="D275" s="129" t="s">
        <v>2161</v>
      </c>
      <c r="E275" s="129">
        <v>27</v>
      </c>
      <c r="F275" s="129">
        <v>0</v>
      </c>
      <c r="G275" s="129">
        <v>9</v>
      </c>
      <c r="H275" s="129">
        <v>0</v>
      </c>
      <c r="I275" s="129">
        <v>33.299999999999997</v>
      </c>
      <c r="J275" s="129">
        <v>0</v>
      </c>
      <c r="K275" s="129">
        <v>0</v>
      </c>
      <c r="L275" s="129">
        <f t="shared" si="112"/>
        <v>27</v>
      </c>
      <c r="M275" s="129">
        <f t="shared" si="113"/>
        <v>9</v>
      </c>
      <c r="N275" s="128">
        <f t="shared" si="114"/>
        <v>0.33329999999999999</v>
      </c>
      <c r="O275" s="164">
        <f t="shared" si="115"/>
        <v>0</v>
      </c>
      <c r="P275" s="185">
        <f t="shared" si="116"/>
        <v>0</v>
      </c>
      <c r="Q275" s="185">
        <f t="shared" si="117"/>
        <v>0</v>
      </c>
      <c r="R275" s="162" t="b">
        <f t="shared" si="118"/>
        <v>0</v>
      </c>
    </row>
    <row r="276" spans="1:18">
      <c r="A276" s="129" t="s">
        <v>304</v>
      </c>
      <c r="B276" s="129" t="s">
        <v>3792</v>
      </c>
      <c r="C276" s="129">
        <v>3388</v>
      </c>
      <c r="D276" s="129" t="s">
        <v>2175</v>
      </c>
      <c r="E276" s="129">
        <v>370</v>
      </c>
      <c r="F276" s="129">
        <v>0</v>
      </c>
      <c r="G276" s="129">
        <v>81</v>
      </c>
      <c r="H276" s="129">
        <v>0</v>
      </c>
      <c r="I276" s="129">
        <v>21.9</v>
      </c>
      <c r="J276" s="129">
        <v>0</v>
      </c>
      <c r="K276" s="129">
        <v>0</v>
      </c>
      <c r="L276" s="129">
        <f t="shared" si="112"/>
        <v>370</v>
      </c>
      <c r="M276" s="129">
        <f t="shared" si="113"/>
        <v>81</v>
      </c>
      <c r="N276" s="128">
        <f t="shared" si="114"/>
        <v>0.21890000000000001</v>
      </c>
      <c r="O276" s="164">
        <f t="shared" si="115"/>
        <v>0</v>
      </c>
      <c r="P276" s="185">
        <f t="shared" si="116"/>
        <v>0</v>
      </c>
      <c r="Q276" s="185">
        <f t="shared" si="117"/>
        <v>0</v>
      </c>
      <c r="R276" s="162" t="b">
        <f t="shared" si="118"/>
        <v>0</v>
      </c>
    </row>
    <row r="277" spans="1:18">
      <c r="A277" s="129" t="s">
        <v>304</v>
      </c>
      <c r="B277" s="129" t="s">
        <v>3792</v>
      </c>
      <c r="C277" s="129">
        <v>3396</v>
      </c>
      <c r="D277" s="129" t="s">
        <v>1417</v>
      </c>
      <c r="E277" s="129">
        <v>375</v>
      </c>
      <c r="F277" s="129">
        <v>0</v>
      </c>
      <c r="G277" s="129">
        <v>115</v>
      </c>
      <c r="H277" s="129">
        <v>0</v>
      </c>
      <c r="I277" s="129">
        <v>30.7</v>
      </c>
      <c r="J277" s="129">
        <v>0</v>
      </c>
      <c r="K277" s="129">
        <v>0</v>
      </c>
      <c r="L277" s="129">
        <f t="shared" si="112"/>
        <v>375</v>
      </c>
      <c r="M277" s="129">
        <f t="shared" si="113"/>
        <v>115</v>
      </c>
      <c r="N277" s="128">
        <f t="shared" si="114"/>
        <v>0.30669999999999997</v>
      </c>
      <c r="O277" s="164">
        <f t="shared" si="115"/>
        <v>0</v>
      </c>
      <c r="P277" s="185">
        <f t="shared" si="116"/>
        <v>0</v>
      </c>
      <c r="Q277" s="185">
        <f t="shared" si="117"/>
        <v>0</v>
      </c>
      <c r="R277" s="162" t="b">
        <f t="shared" si="118"/>
        <v>0</v>
      </c>
    </row>
    <row r="278" spans="1:18">
      <c r="A278" s="129" t="s">
        <v>304</v>
      </c>
      <c r="B278" s="129" t="s">
        <v>3792</v>
      </c>
      <c r="C278" s="129">
        <v>3398</v>
      </c>
      <c r="D278" s="129" t="s">
        <v>2178</v>
      </c>
      <c r="E278" s="129">
        <v>514</v>
      </c>
      <c r="F278" s="129">
        <v>0</v>
      </c>
      <c r="G278" s="129">
        <v>118</v>
      </c>
      <c r="H278" s="129">
        <v>0</v>
      </c>
      <c r="I278" s="129">
        <v>23</v>
      </c>
      <c r="J278" s="129">
        <v>0</v>
      </c>
      <c r="K278" s="129">
        <v>0</v>
      </c>
      <c r="L278" s="129">
        <f t="shared" si="112"/>
        <v>514</v>
      </c>
      <c r="M278" s="129">
        <f t="shared" si="113"/>
        <v>118</v>
      </c>
      <c r="N278" s="128">
        <f t="shared" si="114"/>
        <v>0.2296</v>
      </c>
      <c r="O278" s="164">
        <f t="shared" si="115"/>
        <v>0</v>
      </c>
      <c r="P278" s="185">
        <f t="shared" si="116"/>
        <v>0</v>
      </c>
      <c r="Q278" s="185">
        <f t="shared" si="117"/>
        <v>0</v>
      </c>
      <c r="R278" s="162" t="b">
        <f t="shared" si="118"/>
        <v>0</v>
      </c>
    </row>
    <row r="279" spans="1:18">
      <c r="A279" s="129" t="s">
        <v>304</v>
      </c>
      <c r="B279" s="129" t="s">
        <v>3792</v>
      </c>
      <c r="C279" s="129">
        <v>3399</v>
      </c>
      <c r="D279" s="129" t="s">
        <v>1872</v>
      </c>
      <c r="E279" s="129">
        <v>355</v>
      </c>
      <c r="F279" s="129">
        <v>0</v>
      </c>
      <c r="G279" s="129">
        <v>88</v>
      </c>
      <c r="H279" s="129">
        <v>0</v>
      </c>
      <c r="I279" s="129">
        <v>24.8</v>
      </c>
      <c r="J279" s="129">
        <v>0</v>
      </c>
      <c r="K279" s="129">
        <v>0</v>
      </c>
      <c r="L279" s="129">
        <f t="shared" si="112"/>
        <v>355</v>
      </c>
      <c r="M279" s="129">
        <f t="shared" si="113"/>
        <v>88</v>
      </c>
      <c r="N279" s="128">
        <f t="shared" si="114"/>
        <v>0.24790000000000001</v>
      </c>
      <c r="O279" s="164">
        <f t="shared" si="115"/>
        <v>0</v>
      </c>
      <c r="P279" s="185">
        <f t="shared" si="116"/>
        <v>0</v>
      </c>
      <c r="Q279" s="185">
        <f t="shared" si="117"/>
        <v>0</v>
      </c>
      <c r="R279" s="162" t="b">
        <f t="shared" si="118"/>
        <v>0</v>
      </c>
    </row>
    <row r="280" spans="1:18">
      <c r="A280" s="129" t="s">
        <v>313</v>
      </c>
      <c r="B280" s="129" t="s">
        <v>4128</v>
      </c>
      <c r="C280" s="129">
        <v>3709</v>
      </c>
      <c r="D280" s="129" t="s">
        <v>2229</v>
      </c>
      <c r="E280" s="129">
        <v>337</v>
      </c>
      <c r="F280" s="129">
        <v>0</v>
      </c>
      <c r="G280" s="129">
        <v>169</v>
      </c>
      <c r="H280" s="129">
        <v>0</v>
      </c>
      <c r="I280" s="129">
        <v>50.2</v>
      </c>
      <c r="J280" s="129">
        <v>17.7</v>
      </c>
      <c r="K280" s="129">
        <v>0</v>
      </c>
      <c r="L280" s="129">
        <f t="shared" si="112"/>
        <v>337</v>
      </c>
      <c r="M280" s="129">
        <f t="shared" si="113"/>
        <v>169</v>
      </c>
      <c r="N280" s="128">
        <f t="shared" si="114"/>
        <v>0.50149999999999995</v>
      </c>
      <c r="O280" s="164">
        <f t="shared" si="115"/>
        <v>0</v>
      </c>
      <c r="P280" s="185">
        <f t="shared" si="116"/>
        <v>17.7</v>
      </c>
      <c r="Q280" s="185">
        <f t="shared" si="117"/>
        <v>17.7</v>
      </c>
      <c r="R280" s="162" t="b">
        <f t="shared" si="118"/>
        <v>0</v>
      </c>
    </row>
    <row r="281" spans="1:18">
      <c r="A281" s="129" t="s">
        <v>313</v>
      </c>
      <c r="B281" s="129" t="s">
        <v>4128</v>
      </c>
      <c r="C281" s="129">
        <v>3710</v>
      </c>
      <c r="D281" s="129" t="s">
        <v>2231</v>
      </c>
      <c r="E281" s="129">
        <v>89</v>
      </c>
      <c r="F281" s="129">
        <v>0</v>
      </c>
      <c r="G281" s="129">
        <v>51</v>
      </c>
      <c r="H281" s="129">
        <v>0</v>
      </c>
      <c r="I281" s="129">
        <v>57.3</v>
      </c>
      <c r="J281" s="129">
        <v>5.4</v>
      </c>
      <c r="K281" s="129">
        <v>0</v>
      </c>
      <c r="L281" s="129">
        <f t="shared" ref="L281:L308" si="119">SUM(E281:F281)</f>
        <v>89</v>
      </c>
      <c r="M281" s="129">
        <f t="shared" ref="M281:M308" si="120">SUM(G281:H281)</f>
        <v>51</v>
      </c>
      <c r="N281" s="128">
        <f t="shared" ref="N281:N308" si="121">IF(ISERROR(M281/L281),0,M281/L281)</f>
        <v>0.57299999999999995</v>
      </c>
      <c r="O281" s="164">
        <f t="shared" ref="O281:O308" si="122">IF(AND((N281-35%)&gt;0,N281&lt;50%),M281*(N281-35%)*0.7,0)</f>
        <v>0</v>
      </c>
      <c r="P281" s="185">
        <f t="shared" ref="P281:P308" si="123">IF(N281&gt;=50%,M281*10.5%,0)</f>
        <v>5.4</v>
      </c>
      <c r="Q281" s="185">
        <f t="shared" ref="Q281:Q308" si="124">MAX(O281,P281)</f>
        <v>5.4</v>
      </c>
      <c r="R281" s="162" t="b">
        <f t="shared" si="118"/>
        <v>0</v>
      </c>
    </row>
    <row r="282" spans="1:18">
      <c r="A282" s="129" t="s">
        <v>313</v>
      </c>
      <c r="B282" s="129" t="s">
        <v>4128</v>
      </c>
      <c r="C282" s="129">
        <v>3711</v>
      </c>
      <c r="D282" s="129" t="s">
        <v>2233</v>
      </c>
      <c r="E282" s="129">
        <v>48</v>
      </c>
      <c r="F282" s="129">
        <v>0</v>
      </c>
      <c r="G282" s="129">
        <v>19</v>
      </c>
      <c r="H282" s="129">
        <v>0</v>
      </c>
      <c r="I282" s="129">
        <v>39.6</v>
      </c>
      <c r="J282" s="129">
        <v>0</v>
      </c>
      <c r="K282" s="129">
        <v>0.6</v>
      </c>
      <c r="L282" s="129">
        <f t="shared" si="119"/>
        <v>48</v>
      </c>
      <c r="M282" s="129">
        <f t="shared" si="120"/>
        <v>19</v>
      </c>
      <c r="N282" s="128">
        <f t="shared" si="121"/>
        <v>0.39579999999999999</v>
      </c>
      <c r="O282" s="164">
        <f t="shared" si="122"/>
        <v>0.6</v>
      </c>
      <c r="P282" s="185">
        <f t="shared" si="123"/>
        <v>0</v>
      </c>
      <c r="Q282" s="185">
        <f t="shared" si="124"/>
        <v>0.6</v>
      </c>
      <c r="R282" s="162" t="b">
        <f t="shared" si="118"/>
        <v>0</v>
      </c>
    </row>
    <row r="283" spans="1:18">
      <c r="A283" s="129" t="s">
        <v>313</v>
      </c>
      <c r="B283" s="129" t="s">
        <v>4128</v>
      </c>
      <c r="C283" s="129">
        <v>3712</v>
      </c>
      <c r="D283" s="129" t="s">
        <v>2235</v>
      </c>
      <c r="E283" s="129">
        <v>118</v>
      </c>
      <c r="F283" s="129">
        <v>0</v>
      </c>
      <c r="G283" s="129">
        <v>45</v>
      </c>
      <c r="H283" s="129">
        <v>0</v>
      </c>
      <c r="I283" s="129">
        <v>38.1</v>
      </c>
      <c r="J283" s="129">
        <v>0</v>
      </c>
      <c r="K283" s="129">
        <v>1</v>
      </c>
      <c r="L283" s="129">
        <f t="shared" si="119"/>
        <v>118</v>
      </c>
      <c r="M283" s="129">
        <f t="shared" si="120"/>
        <v>45</v>
      </c>
      <c r="N283" s="128">
        <f t="shared" si="121"/>
        <v>0.38140000000000002</v>
      </c>
      <c r="O283" s="164">
        <f t="shared" si="122"/>
        <v>1</v>
      </c>
      <c r="P283" s="185">
        <f t="shared" si="123"/>
        <v>0</v>
      </c>
      <c r="Q283" s="185">
        <f t="shared" si="124"/>
        <v>1</v>
      </c>
      <c r="R283" s="162" t="b">
        <f t="shared" si="118"/>
        <v>0</v>
      </c>
    </row>
    <row r="284" spans="1:18">
      <c r="A284" s="129" t="s">
        <v>313</v>
      </c>
      <c r="B284" s="129" t="s">
        <v>4128</v>
      </c>
      <c r="C284" s="129">
        <v>3716</v>
      </c>
      <c r="D284" s="129" t="s">
        <v>2237</v>
      </c>
      <c r="E284" s="129">
        <v>189</v>
      </c>
      <c r="F284" s="129">
        <v>0</v>
      </c>
      <c r="G284" s="129">
        <v>68</v>
      </c>
      <c r="H284" s="129">
        <v>0</v>
      </c>
      <c r="I284" s="129">
        <v>36</v>
      </c>
      <c r="J284" s="129">
        <v>0</v>
      </c>
      <c r="K284" s="129">
        <v>0.5</v>
      </c>
      <c r="L284" s="129">
        <f t="shared" si="119"/>
        <v>189</v>
      </c>
      <c r="M284" s="129">
        <f t="shared" si="120"/>
        <v>68</v>
      </c>
      <c r="N284" s="128">
        <f t="shared" si="121"/>
        <v>0.35980000000000001</v>
      </c>
      <c r="O284" s="164">
        <f t="shared" si="122"/>
        <v>0.5</v>
      </c>
      <c r="P284" s="185">
        <f t="shared" si="123"/>
        <v>0</v>
      </c>
      <c r="Q284" s="185">
        <f t="shared" si="124"/>
        <v>0.5</v>
      </c>
      <c r="R284" s="162" t="b">
        <f t="shared" si="118"/>
        <v>0</v>
      </c>
    </row>
    <row r="285" spans="1:18">
      <c r="A285" s="129" t="s">
        <v>313</v>
      </c>
      <c r="B285" s="129" t="s">
        <v>4128</v>
      </c>
      <c r="C285" s="129">
        <v>3724</v>
      </c>
      <c r="D285" s="129" t="s">
        <v>2239</v>
      </c>
      <c r="E285" s="129">
        <v>77</v>
      </c>
      <c r="F285" s="129">
        <v>0</v>
      </c>
      <c r="G285" s="129">
        <v>23</v>
      </c>
      <c r="H285" s="129">
        <v>0</v>
      </c>
      <c r="I285" s="129">
        <v>29.9</v>
      </c>
      <c r="J285" s="129">
        <v>0</v>
      </c>
      <c r="K285" s="129">
        <v>0</v>
      </c>
      <c r="L285" s="129">
        <f t="shared" si="119"/>
        <v>77</v>
      </c>
      <c r="M285" s="129">
        <f t="shared" si="120"/>
        <v>23</v>
      </c>
      <c r="N285" s="128">
        <f t="shared" si="121"/>
        <v>0.29870000000000002</v>
      </c>
      <c r="O285" s="164">
        <f t="shared" si="122"/>
        <v>0</v>
      </c>
      <c r="P285" s="185">
        <f t="shared" si="123"/>
        <v>0</v>
      </c>
      <c r="Q285" s="185">
        <f t="shared" si="124"/>
        <v>0</v>
      </c>
      <c r="R285" s="162" t="b">
        <f t="shared" si="118"/>
        <v>0</v>
      </c>
    </row>
    <row r="286" spans="1:18">
      <c r="A286" s="129" t="s">
        <v>318</v>
      </c>
      <c r="B286" s="129" t="s">
        <v>3803</v>
      </c>
      <c r="C286" s="129">
        <v>3887</v>
      </c>
      <c r="D286" s="129" t="s">
        <v>2263</v>
      </c>
      <c r="E286" s="129">
        <v>495</v>
      </c>
      <c r="F286" s="129">
        <v>0</v>
      </c>
      <c r="G286" s="129">
        <v>244</v>
      </c>
      <c r="H286" s="129">
        <v>0</v>
      </c>
      <c r="I286" s="129">
        <v>49.3</v>
      </c>
      <c r="J286" s="129">
        <v>0</v>
      </c>
      <c r="K286" s="129">
        <v>24.4</v>
      </c>
      <c r="L286" s="129">
        <f t="shared" si="119"/>
        <v>495</v>
      </c>
      <c r="M286" s="129">
        <f t="shared" si="120"/>
        <v>244</v>
      </c>
      <c r="N286" s="128">
        <f t="shared" si="121"/>
        <v>0.4929</v>
      </c>
      <c r="O286" s="164">
        <f t="shared" si="122"/>
        <v>24.4</v>
      </c>
      <c r="P286" s="185">
        <f t="shared" si="123"/>
        <v>0</v>
      </c>
      <c r="Q286" s="185">
        <f t="shared" si="124"/>
        <v>24.4</v>
      </c>
      <c r="R286" s="162" t="b">
        <f t="shared" si="118"/>
        <v>0</v>
      </c>
    </row>
    <row r="287" spans="1:18">
      <c r="A287" s="129" t="s">
        <v>318</v>
      </c>
      <c r="B287" s="129" t="s">
        <v>3803</v>
      </c>
      <c r="C287" s="129">
        <v>3890</v>
      </c>
      <c r="D287" s="129" t="s">
        <v>2265</v>
      </c>
      <c r="E287" s="129">
        <v>228</v>
      </c>
      <c r="F287" s="129">
        <v>0</v>
      </c>
      <c r="G287" s="129">
        <v>87</v>
      </c>
      <c r="H287" s="129">
        <v>0</v>
      </c>
      <c r="I287" s="129">
        <v>38.200000000000003</v>
      </c>
      <c r="J287" s="129">
        <v>0</v>
      </c>
      <c r="K287" s="129">
        <v>1.9</v>
      </c>
      <c r="L287" s="129">
        <f t="shared" si="119"/>
        <v>228</v>
      </c>
      <c r="M287" s="129">
        <f t="shared" si="120"/>
        <v>87</v>
      </c>
      <c r="N287" s="128">
        <f t="shared" si="121"/>
        <v>0.38159999999999999</v>
      </c>
      <c r="O287" s="164">
        <f t="shared" si="122"/>
        <v>1.9</v>
      </c>
      <c r="P287" s="185">
        <f t="shared" si="123"/>
        <v>0</v>
      </c>
      <c r="Q287" s="185">
        <f t="shared" si="124"/>
        <v>1.9</v>
      </c>
      <c r="R287" s="162" t="b">
        <f t="shared" si="118"/>
        <v>0</v>
      </c>
    </row>
    <row r="288" spans="1:18">
      <c r="A288" s="129" t="s">
        <v>318</v>
      </c>
      <c r="B288" s="129" t="s">
        <v>3803</v>
      </c>
      <c r="C288" s="129">
        <v>3892</v>
      </c>
      <c r="D288" s="129" t="s">
        <v>2267</v>
      </c>
      <c r="E288" s="129">
        <v>322</v>
      </c>
      <c r="F288" s="129">
        <v>0</v>
      </c>
      <c r="G288" s="129">
        <v>98</v>
      </c>
      <c r="H288" s="129">
        <v>0</v>
      </c>
      <c r="I288" s="129">
        <v>30.4</v>
      </c>
      <c r="J288" s="129">
        <v>0</v>
      </c>
      <c r="K288" s="129">
        <v>0</v>
      </c>
      <c r="L288" s="129">
        <f t="shared" si="119"/>
        <v>322</v>
      </c>
      <c r="M288" s="129">
        <f t="shared" si="120"/>
        <v>98</v>
      </c>
      <c r="N288" s="128">
        <f t="shared" si="121"/>
        <v>0.30430000000000001</v>
      </c>
      <c r="O288" s="164">
        <f t="shared" si="122"/>
        <v>0</v>
      </c>
      <c r="P288" s="185">
        <f t="shared" si="123"/>
        <v>0</v>
      </c>
      <c r="Q288" s="185">
        <f t="shared" si="124"/>
        <v>0</v>
      </c>
      <c r="R288" s="162" t="b">
        <f t="shared" si="118"/>
        <v>0</v>
      </c>
    </row>
    <row r="289" spans="1:18">
      <c r="A289" s="129" t="s">
        <v>329</v>
      </c>
      <c r="B289" s="129" t="s">
        <v>3814</v>
      </c>
      <c r="C289" s="129">
        <v>4117</v>
      </c>
      <c r="D289" s="129" t="s">
        <v>2325</v>
      </c>
      <c r="E289" s="129">
        <v>151</v>
      </c>
      <c r="F289" s="129">
        <v>0</v>
      </c>
      <c r="G289" s="129">
        <v>58</v>
      </c>
      <c r="H289" s="129">
        <v>0</v>
      </c>
      <c r="I289" s="129">
        <v>38.4</v>
      </c>
      <c r="J289" s="129">
        <v>0</v>
      </c>
      <c r="K289" s="129">
        <v>1.4</v>
      </c>
      <c r="L289" s="129">
        <f t="shared" si="119"/>
        <v>151</v>
      </c>
      <c r="M289" s="129">
        <f t="shared" si="120"/>
        <v>58</v>
      </c>
      <c r="N289" s="128">
        <f t="shared" si="121"/>
        <v>0.3841</v>
      </c>
      <c r="O289" s="164">
        <f t="shared" si="122"/>
        <v>1.4</v>
      </c>
      <c r="P289" s="185">
        <f t="shared" si="123"/>
        <v>0</v>
      </c>
      <c r="Q289" s="185">
        <f t="shared" si="124"/>
        <v>1.4</v>
      </c>
      <c r="R289" s="162" t="b">
        <f t="shared" si="118"/>
        <v>0</v>
      </c>
    </row>
    <row r="290" spans="1:18">
      <c r="A290" s="129" t="s">
        <v>329</v>
      </c>
      <c r="B290" s="129" t="s">
        <v>3814</v>
      </c>
      <c r="C290" s="129">
        <v>4120</v>
      </c>
      <c r="D290" s="129" t="s">
        <v>2327</v>
      </c>
      <c r="E290" s="129">
        <v>135</v>
      </c>
      <c r="F290" s="129">
        <v>0</v>
      </c>
      <c r="G290" s="129">
        <v>71</v>
      </c>
      <c r="H290" s="129">
        <v>0</v>
      </c>
      <c r="I290" s="129">
        <v>52.6</v>
      </c>
      <c r="J290" s="129">
        <v>7.5</v>
      </c>
      <c r="K290" s="129">
        <v>0</v>
      </c>
      <c r="L290" s="129">
        <f t="shared" si="119"/>
        <v>135</v>
      </c>
      <c r="M290" s="129">
        <f t="shared" si="120"/>
        <v>71</v>
      </c>
      <c r="N290" s="128">
        <f t="shared" si="121"/>
        <v>0.52590000000000003</v>
      </c>
      <c r="O290" s="164">
        <f t="shared" si="122"/>
        <v>0</v>
      </c>
      <c r="P290" s="185">
        <f t="shared" si="123"/>
        <v>7.5</v>
      </c>
      <c r="Q290" s="185">
        <f t="shared" si="124"/>
        <v>7.5</v>
      </c>
      <c r="R290" s="162" t="b">
        <f t="shared" si="118"/>
        <v>0</v>
      </c>
    </row>
    <row r="291" spans="1:18">
      <c r="A291" s="129" t="s">
        <v>330</v>
      </c>
      <c r="B291" s="129" t="s">
        <v>3815</v>
      </c>
      <c r="C291" s="129">
        <v>4141</v>
      </c>
      <c r="D291" s="129" t="s">
        <v>2329</v>
      </c>
      <c r="E291" s="129">
        <v>336</v>
      </c>
      <c r="F291" s="129">
        <v>0</v>
      </c>
      <c r="G291" s="129">
        <v>81</v>
      </c>
      <c r="H291" s="129">
        <v>0</v>
      </c>
      <c r="I291" s="129">
        <v>24.1</v>
      </c>
      <c r="J291" s="129">
        <v>0</v>
      </c>
      <c r="K291" s="129">
        <v>0</v>
      </c>
      <c r="L291" s="129">
        <f t="shared" si="119"/>
        <v>336</v>
      </c>
      <c r="M291" s="129">
        <f t="shared" si="120"/>
        <v>81</v>
      </c>
      <c r="N291" s="128">
        <f t="shared" si="121"/>
        <v>0.24110000000000001</v>
      </c>
      <c r="O291" s="164">
        <f t="shared" si="122"/>
        <v>0</v>
      </c>
      <c r="P291" s="185">
        <f t="shared" si="123"/>
        <v>0</v>
      </c>
      <c r="Q291" s="185">
        <f t="shared" si="124"/>
        <v>0</v>
      </c>
      <c r="R291" s="162" t="b">
        <f t="shared" si="118"/>
        <v>0</v>
      </c>
    </row>
    <row r="292" spans="1:18">
      <c r="A292" s="129" t="s">
        <v>330</v>
      </c>
      <c r="B292" s="129" t="s">
        <v>3815</v>
      </c>
      <c r="C292" s="129">
        <v>4142</v>
      </c>
      <c r="D292" s="129" t="s">
        <v>2331</v>
      </c>
      <c r="E292" s="129">
        <v>408</v>
      </c>
      <c r="F292" s="129">
        <v>0</v>
      </c>
      <c r="G292" s="129">
        <v>80</v>
      </c>
      <c r="H292" s="129">
        <v>0</v>
      </c>
      <c r="I292" s="129">
        <v>19.600000000000001</v>
      </c>
      <c r="J292" s="129">
        <v>0</v>
      </c>
      <c r="K292" s="129">
        <v>0</v>
      </c>
      <c r="L292" s="129">
        <f t="shared" si="119"/>
        <v>408</v>
      </c>
      <c r="M292" s="129">
        <f t="shared" si="120"/>
        <v>80</v>
      </c>
      <c r="N292" s="128">
        <f t="shared" si="121"/>
        <v>0.1961</v>
      </c>
      <c r="O292" s="164">
        <f t="shared" si="122"/>
        <v>0</v>
      </c>
      <c r="P292" s="185">
        <f t="shared" si="123"/>
        <v>0</v>
      </c>
      <c r="Q292" s="185">
        <f t="shared" si="124"/>
        <v>0</v>
      </c>
      <c r="R292" s="162" t="b">
        <f t="shared" si="118"/>
        <v>0</v>
      </c>
    </row>
    <row r="293" spans="1:18">
      <c r="A293" s="129" t="s">
        <v>330</v>
      </c>
      <c r="B293" s="129" t="s">
        <v>3815</v>
      </c>
      <c r="C293" s="129">
        <v>4150</v>
      </c>
      <c r="D293" s="129" t="s">
        <v>2333</v>
      </c>
      <c r="E293" s="129">
        <v>355</v>
      </c>
      <c r="F293" s="129">
        <v>0</v>
      </c>
      <c r="G293" s="129">
        <v>88</v>
      </c>
      <c r="H293" s="129">
        <v>0</v>
      </c>
      <c r="I293" s="129">
        <v>24.8</v>
      </c>
      <c r="J293" s="129">
        <v>0</v>
      </c>
      <c r="K293" s="129">
        <v>0</v>
      </c>
      <c r="L293" s="129">
        <f t="shared" si="119"/>
        <v>355</v>
      </c>
      <c r="M293" s="129">
        <f t="shared" si="120"/>
        <v>88</v>
      </c>
      <c r="N293" s="128">
        <f t="shared" si="121"/>
        <v>0.24790000000000001</v>
      </c>
      <c r="O293" s="164">
        <f t="shared" si="122"/>
        <v>0</v>
      </c>
      <c r="P293" s="185">
        <f t="shared" si="123"/>
        <v>0</v>
      </c>
      <c r="Q293" s="185">
        <f t="shared" si="124"/>
        <v>0</v>
      </c>
      <c r="R293" s="162" t="b">
        <f t="shared" si="118"/>
        <v>0</v>
      </c>
    </row>
    <row r="294" spans="1:18">
      <c r="A294" s="129" t="s">
        <v>330</v>
      </c>
      <c r="B294" s="129" t="s">
        <v>3815</v>
      </c>
      <c r="C294" s="129">
        <v>4151</v>
      </c>
      <c r="D294" s="129" t="s">
        <v>2335</v>
      </c>
      <c r="E294" s="129">
        <v>288</v>
      </c>
      <c r="F294" s="129">
        <v>0</v>
      </c>
      <c r="G294" s="129">
        <v>78</v>
      </c>
      <c r="H294" s="129">
        <v>0</v>
      </c>
      <c r="I294" s="129">
        <v>27.1</v>
      </c>
      <c r="J294" s="129">
        <v>0</v>
      </c>
      <c r="K294" s="129">
        <v>0</v>
      </c>
      <c r="L294" s="129">
        <f t="shared" si="119"/>
        <v>288</v>
      </c>
      <c r="M294" s="129">
        <f t="shared" si="120"/>
        <v>78</v>
      </c>
      <c r="N294" s="128">
        <f t="shared" si="121"/>
        <v>0.27079999999999999</v>
      </c>
      <c r="O294" s="164">
        <f t="shared" si="122"/>
        <v>0</v>
      </c>
      <c r="P294" s="185">
        <f t="shared" si="123"/>
        <v>0</v>
      </c>
      <c r="Q294" s="185">
        <f t="shared" si="124"/>
        <v>0</v>
      </c>
      <c r="R294" s="162" t="b">
        <f t="shared" si="118"/>
        <v>0</v>
      </c>
    </row>
    <row r="295" spans="1:18">
      <c r="A295" s="129" t="s">
        <v>342</v>
      </c>
      <c r="B295" s="129" t="s">
        <v>4129</v>
      </c>
      <c r="C295" s="129">
        <v>4438</v>
      </c>
      <c r="D295" s="129" t="s">
        <v>2393</v>
      </c>
      <c r="E295" s="129">
        <v>212</v>
      </c>
      <c r="F295" s="129">
        <v>0</v>
      </c>
      <c r="G295" s="129">
        <v>119</v>
      </c>
      <c r="H295" s="129">
        <v>0</v>
      </c>
      <c r="I295" s="129">
        <v>56.1</v>
      </c>
      <c r="J295" s="129">
        <v>12.5</v>
      </c>
      <c r="K295" s="129">
        <v>0</v>
      </c>
      <c r="L295" s="129">
        <f t="shared" si="119"/>
        <v>212</v>
      </c>
      <c r="M295" s="129">
        <f t="shared" si="120"/>
        <v>119</v>
      </c>
      <c r="N295" s="128">
        <f t="shared" si="121"/>
        <v>0.56130000000000002</v>
      </c>
      <c r="O295" s="164">
        <f t="shared" si="122"/>
        <v>0</v>
      </c>
      <c r="P295" s="185">
        <f t="shared" si="123"/>
        <v>12.5</v>
      </c>
      <c r="Q295" s="185">
        <f t="shared" si="124"/>
        <v>12.5</v>
      </c>
      <c r="R295" s="162" t="b">
        <f t="shared" si="118"/>
        <v>0</v>
      </c>
    </row>
    <row r="296" spans="1:18">
      <c r="A296" s="129" t="s">
        <v>342</v>
      </c>
      <c r="B296" s="129" t="s">
        <v>4129</v>
      </c>
      <c r="C296" s="129">
        <v>4442</v>
      </c>
      <c r="D296" s="129" t="s">
        <v>2395</v>
      </c>
      <c r="E296" s="129">
        <v>360</v>
      </c>
      <c r="F296" s="129">
        <v>0</v>
      </c>
      <c r="G296" s="129">
        <v>180</v>
      </c>
      <c r="H296" s="129">
        <v>0</v>
      </c>
      <c r="I296" s="129">
        <v>50</v>
      </c>
      <c r="J296" s="129">
        <v>18.899999999999999</v>
      </c>
      <c r="K296" s="129">
        <v>0</v>
      </c>
      <c r="L296" s="129">
        <f t="shared" si="119"/>
        <v>360</v>
      </c>
      <c r="M296" s="129">
        <f t="shared" si="120"/>
        <v>180</v>
      </c>
      <c r="N296" s="128">
        <f t="shared" si="121"/>
        <v>0.5</v>
      </c>
      <c r="O296" s="164">
        <f t="shared" si="122"/>
        <v>0</v>
      </c>
      <c r="P296" s="185">
        <f t="shared" si="123"/>
        <v>18.899999999999999</v>
      </c>
      <c r="Q296" s="185">
        <f t="shared" si="124"/>
        <v>18.899999999999999</v>
      </c>
      <c r="R296" s="162" t="b">
        <f t="shared" si="118"/>
        <v>0</v>
      </c>
    </row>
    <row r="297" spans="1:18">
      <c r="A297" s="129" t="s">
        <v>342</v>
      </c>
      <c r="B297" s="129" t="s">
        <v>4129</v>
      </c>
      <c r="C297" s="129">
        <v>4458</v>
      </c>
      <c r="D297" s="129" t="s">
        <v>2397</v>
      </c>
      <c r="E297" s="129">
        <v>247</v>
      </c>
      <c r="F297" s="129">
        <v>0</v>
      </c>
      <c r="G297" s="129">
        <v>141</v>
      </c>
      <c r="H297" s="129">
        <v>0</v>
      </c>
      <c r="I297" s="129">
        <v>57.1</v>
      </c>
      <c r="J297" s="129">
        <v>14.8</v>
      </c>
      <c r="K297" s="129">
        <v>0</v>
      </c>
      <c r="L297" s="129">
        <f t="shared" si="119"/>
        <v>247</v>
      </c>
      <c r="M297" s="129">
        <f t="shared" si="120"/>
        <v>141</v>
      </c>
      <c r="N297" s="128">
        <f t="shared" si="121"/>
        <v>0.57089999999999996</v>
      </c>
      <c r="O297" s="164">
        <f t="shared" si="122"/>
        <v>0</v>
      </c>
      <c r="P297" s="185">
        <f t="shared" si="123"/>
        <v>14.8</v>
      </c>
      <c r="Q297" s="185">
        <f t="shared" si="124"/>
        <v>14.8</v>
      </c>
      <c r="R297" s="162" t="b">
        <f t="shared" si="118"/>
        <v>0</v>
      </c>
    </row>
    <row r="298" spans="1:18">
      <c r="A298" s="129" t="s">
        <v>383</v>
      </c>
      <c r="B298" s="129" t="s">
        <v>3860</v>
      </c>
      <c r="C298" s="129">
        <v>5620</v>
      </c>
      <c r="D298" s="129" t="s">
        <v>2659</v>
      </c>
      <c r="E298" s="129">
        <v>304</v>
      </c>
      <c r="F298" s="129">
        <v>0</v>
      </c>
      <c r="G298" s="129">
        <v>149</v>
      </c>
      <c r="H298" s="129">
        <v>0</v>
      </c>
      <c r="I298" s="129">
        <v>49</v>
      </c>
      <c r="J298" s="129">
        <v>0</v>
      </c>
      <c r="K298" s="129">
        <v>14.6</v>
      </c>
      <c r="L298" s="129">
        <f t="shared" si="119"/>
        <v>304</v>
      </c>
      <c r="M298" s="129">
        <f t="shared" si="120"/>
        <v>149</v>
      </c>
      <c r="N298" s="128">
        <f t="shared" si="121"/>
        <v>0.49009999999999998</v>
      </c>
      <c r="O298" s="164">
        <f t="shared" si="122"/>
        <v>14.6</v>
      </c>
      <c r="P298" s="185">
        <f t="shared" si="123"/>
        <v>0</v>
      </c>
      <c r="Q298" s="185">
        <f t="shared" si="124"/>
        <v>14.6</v>
      </c>
      <c r="R298" s="162" t="b">
        <f t="shared" si="118"/>
        <v>0</v>
      </c>
    </row>
    <row r="299" spans="1:18">
      <c r="A299" s="129" t="s">
        <v>383</v>
      </c>
      <c r="B299" s="129" t="s">
        <v>3860</v>
      </c>
      <c r="C299" s="129">
        <v>5621</v>
      </c>
      <c r="D299" s="129" t="s">
        <v>2661</v>
      </c>
      <c r="E299" s="129">
        <v>163</v>
      </c>
      <c r="F299" s="129">
        <v>0</v>
      </c>
      <c r="G299" s="129">
        <v>74</v>
      </c>
      <c r="H299" s="129">
        <v>0</v>
      </c>
      <c r="I299" s="129">
        <v>45.4</v>
      </c>
      <c r="J299" s="129">
        <v>0</v>
      </c>
      <c r="K299" s="129">
        <v>5.4</v>
      </c>
      <c r="L299" s="129">
        <f t="shared" si="119"/>
        <v>163</v>
      </c>
      <c r="M299" s="129">
        <f t="shared" si="120"/>
        <v>74</v>
      </c>
      <c r="N299" s="128">
        <f t="shared" si="121"/>
        <v>0.45400000000000001</v>
      </c>
      <c r="O299" s="164">
        <f t="shared" si="122"/>
        <v>5.4</v>
      </c>
      <c r="P299" s="185">
        <f t="shared" si="123"/>
        <v>0</v>
      </c>
      <c r="Q299" s="185">
        <f t="shared" si="124"/>
        <v>5.4</v>
      </c>
      <c r="R299" s="162" t="b">
        <f t="shared" si="118"/>
        <v>0</v>
      </c>
    </row>
    <row r="300" spans="1:18">
      <c r="A300" s="129" t="s">
        <v>383</v>
      </c>
      <c r="B300" s="129" t="s">
        <v>3860</v>
      </c>
      <c r="C300" s="129">
        <v>5622</v>
      </c>
      <c r="D300" s="129" t="s">
        <v>2663</v>
      </c>
      <c r="E300" s="129">
        <v>221</v>
      </c>
      <c r="F300" s="129">
        <v>0</v>
      </c>
      <c r="G300" s="129">
        <v>102</v>
      </c>
      <c r="H300" s="129">
        <v>0</v>
      </c>
      <c r="I300" s="129">
        <v>46.2</v>
      </c>
      <c r="J300" s="129">
        <v>0</v>
      </c>
      <c r="K300" s="129">
        <v>8</v>
      </c>
      <c r="L300" s="129">
        <f t="shared" si="119"/>
        <v>221</v>
      </c>
      <c r="M300" s="129">
        <f t="shared" si="120"/>
        <v>102</v>
      </c>
      <c r="N300" s="128">
        <f t="shared" si="121"/>
        <v>0.46150000000000002</v>
      </c>
      <c r="O300" s="164">
        <f t="shared" si="122"/>
        <v>8</v>
      </c>
      <c r="P300" s="185">
        <f t="shared" si="123"/>
        <v>0</v>
      </c>
      <c r="Q300" s="185">
        <f t="shared" si="124"/>
        <v>8</v>
      </c>
      <c r="R300" s="162" t="b">
        <f t="shared" si="118"/>
        <v>0</v>
      </c>
    </row>
    <row r="301" spans="1:18">
      <c r="A301" s="129" t="s">
        <v>436</v>
      </c>
      <c r="B301" s="129" t="s">
        <v>4130</v>
      </c>
      <c r="C301" s="129">
        <v>7382</v>
      </c>
      <c r="D301" s="129" t="s">
        <v>3049</v>
      </c>
      <c r="E301" s="129">
        <v>210</v>
      </c>
      <c r="F301" s="129">
        <v>0</v>
      </c>
      <c r="G301" s="129">
        <v>85</v>
      </c>
      <c r="H301" s="129">
        <v>0</v>
      </c>
      <c r="I301" s="129">
        <v>40.5</v>
      </c>
      <c r="J301" s="129">
        <v>0</v>
      </c>
      <c r="K301" s="129">
        <v>3.3</v>
      </c>
      <c r="L301" s="129">
        <f t="shared" si="119"/>
        <v>210</v>
      </c>
      <c r="M301" s="129">
        <f t="shared" si="120"/>
        <v>85</v>
      </c>
      <c r="N301" s="128">
        <f t="shared" si="121"/>
        <v>0.40479999999999999</v>
      </c>
      <c r="O301" s="164">
        <f t="shared" si="122"/>
        <v>3.3</v>
      </c>
      <c r="P301" s="185">
        <f t="shared" si="123"/>
        <v>0</v>
      </c>
      <c r="Q301" s="185">
        <f t="shared" si="124"/>
        <v>3.3</v>
      </c>
      <c r="R301" s="162" t="b">
        <f t="shared" si="118"/>
        <v>0</v>
      </c>
    </row>
    <row r="302" spans="1:18">
      <c r="A302" s="129" t="s">
        <v>436</v>
      </c>
      <c r="B302" s="129" t="s">
        <v>4130</v>
      </c>
      <c r="C302" s="129">
        <v>7385</v>
      </c>
      <c r="D302" s="129" t="s">
        <v>3051</v>
      </c>
      <c r="E302" s="129">
        <v>172</v>
      </c>
      <c r="F302" s="129">
        <v>0</v>
      </c>
      <c r="G302" s="129">
        <v>54</v>
      </c>
      <c r="H302" s="129">
        <v>0</v>
      </c>
      <c r="I302" s="129">
        <v>31.4</v>
      </c>
      <c r="J302" s="129">
        <v>0</v>
      </c>
      <c r="K302" s="129">
        <v>0</v>
      </c>
      <c r="L302" s="129">
        <f t="shared" si="119"/>
        <v>172</v>
      </c>
      <c r="M302" s="129">
        <f t="shared" si="120"/>
        <v>54</v>
      </c>
      <c r="N302" s="128">
        <f t="shared" si="121"/>
        <v>0.314</v>
      </c>
      <c r="O302" s="164">
        <f t="shared" si="122"/>
        <v>0</v>
      </c>
      <c r="P302" s="185">
        <f t="shared" si="123"/>
        <v>0</v>
      </c>
      <c r="Q302" s="185">
        <f t="shared" si="124"/>
        <v>0</v>
      </c>
      <c r="R302" s="162" t="b">
        <f t="shared" si="118"/>
        <v>0</v>
      </c>
    </row>
    <row r="303" spans="1:18">
      <c r="A303" s="129" t="s">
        <v>457</v>
      </c>
      <c r="B303" s="129" t="s">
        <v>3932</v>
      </c>
      <c r="C303" s="129">
        <v>8064</v>
      </c>
      <c r="D303" s="129" t="s">
        <v>3209</v>
      </c>
      <c r="E303" s="129">
        <v>136</v>
      </c>
      <c r="F303" s="129">
        <v>0</v>
      </c>
      <c r="G303" s="129">
        <v>77</v>
      </c>
      <c r="H303" s="129">
        <v>0</v>
      </c>
      <c r="I303" s="129">
        <v>56.6</v>
      </c>
      <c r="J303" s="129">
        <v>8.1</v>
      </c>
      <c r="K303" s="129">
        <v>0</v>
      </c>
      <c r="L303" s="129">
        <f t="shared" si="119"/>
        <v>136</v>
      </c>
      <c r="M303" s="129">
        <f t="shared" si="120"/>
        <v>77</v>
      </c>
      <c r="N303" s="128">
        <f t="shared" si="121"/>
        <v>0.56620000000000004</v>
      </c>
      <c r="O303" s="164">
        <f t="shared" si="122"/>
        <v>0</v>
      </c>
      <c r="P303" s="185">
        <f t="shared" si="123"/>
        <v>8.1</v>
      </c>
      <c r="Q303" s="185">
        <f t="shared" si="124"/>
        <v>8.1</v>
      </c>
      <c r="R303" s="162" t="b">
        <f t="shared" si="118"/>
        <v>0</v>
      </c>
    </row>
    <row r="304" spans="1:18">
      <c r="A304" s="129" t="s">
        <v>457</v>
      </c>
      <c r="B304" s="129" t="s">
        <v>3932</v>
      </c>
      <c r="C304" s="129">
        <v>8066</v>
      </c>
      <c r="D304" s="129" t="s">
        <v>2776</v>
      </c>
      <c r="E304" s="129">
        <v>204</v>
      </c>
      <c r="F304" s="129">
        <v>0</v>
      </c>
      <c r="G304" s="129">
        <v>107</v>
      </c>
      <c r="H304" s="129">
        <v>0</v>
      </c>
      <c r="I304" s="129">
        <v>52.5</v>
      </c>
      <c r="J304" s="129">
        <v>11.2</v>
      </c>
      <c r="K304" s="129">
        <v>0</v>
      </c>
      <c r="L304" s="129">
        <f t="shared" si="119"/>
        <v>204</v>
      </c>
      <c r="M304" s="129">
        <f t="shared" si="120"/>
        <v>107</v>
      </c>
      <c r="N304" s="128">
        <f t="shared" si="121"/>
        <v>0.52449999999999997</v>
      </c>
      <c r="O304" s="164">
        <f t="shared" si="122"/>
        <v>0</v>
      </c>
      <c r="P304" s="185">
        <f t="shared" si="123"/>
        <v>11.2</v>
      </c>
      <c r="Q304" s="185">
        <f t="shared" si="124"/>
        <v>11.2</v>
      </c>
      <c r="R304" s="162" t="b">
        <f t="shared" si="118"/>
        <v>0</v>
      </c>
    </row>
    <row r="305" spans="1:18">
      <c r="A305" s="129" t="s">
        <v>457</v>
      </c>
      <c r="B305" s="129" t="s">
        <v>3932</v>
      </c>
      <c r="C305" s="129">
        <v>8068</v>
      </c>
      <c r="D305" s="129" t="s">
        <v>1417</v>
      </c>
      <c r="E305" s="129">
        <v>208</v>
      </c>
      <c r="F305" s="129">
        <v>0</v>
      </c>
      <c r="G305" s="129">
        <v>104</v>
      </c>
      <c r="H305" s="129">
        <v>0</v>
      </c>
      <c r="I305" s="129">
        <v>50</v>
      </c>
      <c r="J305" s="129">
        <v>10.9</v>
      </c>
      <c r="K305" s="129">
        <v>0</v>
      </c>
      <c r="L305" s="129">
        <f t="shared" si="119"/>
        <v>208</v>
      </c>
      <c r="M305" s="129">
        <f t="shared" si="120"/>
        <v>104</v>
      </c>
      <c r="N305" s="128">
        <f t="shared" si="121"/>
        <v>0.5</v>
      </c>
      <c r="O305" s="164">
        <f t="shared" si="122"/>
        <v>0</v>
      </c>
      <c r="P305" s="185">
        <f t="shared" si="123"/>
        <v>10.9</v>
      </c>
      <c r="Q305" s="185">
        <f t="shared" si="124"/>
        <v>10.9</v>
      </c>
      <c r="R305" s="162" t="b">
        <f t="shared" si="118"/>
        <v>0</v>
      </c>
    </row>
    <row r="306" spans="1:18">
      <c r="A306" s="129" t="s">
        <v>457</v>
      </c>
      <c r="B306" s="129" t="s">
        <v>3932</v>
      </c>
      <c r="C306" s="129">
        <v>8070</v>
      </c>
      <c r="D306" s="129" t="s">
        <v>3213</v>
      </c>
      <c r="E306" s="129">
        <v>429</v>
      </c>
      <c r="F306" s="129">
        <v>0</v>
      </c>
      <c r="G306" s="129">
        <v>204</v>
      </c>
      <c r="H306" s="129">
        <v>0</v>
      </c>
      <c r="I306" s="129">
        <v>47.6</v>
      </c>
      <c r="J306" s="129">
        <v>0</v>
      </c>
      <c r="K306" s="129">
        <v>17.899999999999999</v>
      </c>
      <c r="L306" s="129">
        <f t="shared" si="119"/>
        <v>429</v>
      </c>
      <c r="M306" s="129">
        <f t="shared" si="120"/>
        <v>204</v>
      </c>
      <c r="N306" s="128">
        <f t="shared" si="121"/>
        <v>0.47549999999999998</v>
      </c>
      <c r="O306" s="164">
        <f t="shared" si="122"/>
        <v>17.899999999999999</v>
      </c>
      <c r="P306" s="185">
        <f t="shared" si="123"/>
        <v>0</v>
      </c>
      <c r="Q306" s="185">
        <f t="shared" si="124"/>
        <v>17.899999999999999</v>
      </c>
      <c r="R306" s="162" t="b">
        <f t="shared" si="118"/>
        <v>0</v>
      </c>
    </row>
    <row r="307" spans="1:18">
      <c r="A307" s="129" t="s">
        <v>474</v>
      </c>
      <c r="B307" s="129" t="s">
        <v>3948</v>
      </c>
      <c r="C307" s="129">
        <v>8762</v>
      </c>
      <c r="D307" s="129" t="s">
        <v>3458</v>
      </c>
      <c r="E307" s="129">
        <v>121</v>
      </c>
      <c r="F307" s="129">
        <v>0</v>
      </c>
      <c r="G307" s="129">
        <v>51</v>
      </c>
      <c r="H307" s="129">
        <v>0</v>
      </c>
      <c r="I307" s="129">
        <v>42.2</v>
      </c>
      <c r="J307" s="129">
        <v>0</v>
      </c>
      <c r="K307" s="129">
        <v>2.6</v>
      </c>
      <c r="L307" s="129">
        <f t="shared" si="119"/>
        <v>121</v>
      </c>
      <c r="M307" s="129">
        <f t="shared" si="120"/>
        <v>51</v>
      </c>
      <c r="N307" s="128">
        <f t="shared" si="121"/>
        <v>0.42149999999999999</v>
      </c>
      <c r="O307" s="164">
        <f t="shared" si="122"/>
        <v>2.6</v>
      </c>
      <c r="P307" s="185">
        <f t="shared" si="123"/>
        <v>0</v>
      </c>
      <c r="Q307" s="185">
        <f t="shared" si="124"/>
        <v>2.6</v>
      </c>
      <c r="R307" s="162" t="b">
        <f t="shared" si="118"/>
        <v>0</v>
      </c>
    </row>
    <row r="308" spans="1:18">
      <c r="A308" s="129" t="s">
        <v>474</v>
      </c>
      <c r="B308" s="129" t="s">
        <v>3948</v>
      </c>
      <c r="C308" s="129">
        <v>8764</v>
      </c>
      <c r="D308" s="129" t="s">
        <v>3460</v>
      </c>
      <c r="E308" s="129">
        <v>37</v>
      </c>
      <c r="F308" s="129">
        <v>0</v>
      </c>
      <c r="G308" s="129">
        <v>10</v>
      </c>
      <c r="H308" s="129">
        <v>0</v>
      </c>
      <c r="I308" s="129">
        <v>27</v>
      </c>
      <c r="J308" s="129">
        <v>0</v>
      </c>
      <c r="K308" s="129">
        <v>0</v>
      </c>
      <c r="L308" s="129">
        <f t="shared" si="119"/>
        <v>37</v>
      </c>
      <c r="M308" s="129">
        <f t="shared" si="120"/>
        <v>10</v>
      </c>
      <c r="N308" s="128">
        <f t="shared" si="121"/>
        <v>0.27029999999999998</v>
      </c>
      <c r="O308" s="164">
        <f t="shared" si="122"/>
        <v>0</v>
      </c>
      <c r="P308" s="185">
        <f t="shared" si="123"/>
        <v>0</v>
      </c>
      <c r="Q308" s="185">
        <f t="shared" si="124"/>
        <v>0</v>
      </c>
      <c r="R308" s="162" t="b">
        <f t="shared" si="118"/>
        <v>0</v>
      </c>
    </row>
    <row r="309" spans="1:18">
      <c r="A309" s="129" t="s">
        <v>207</v>
      </c>
      <c r="B309" s="129" t="s">
        <v>3701</v>
      </c>
      <c r="C309" s="129">
        <v>210</v>
      </c>
      <c r="D309" s="129" t="s">
        <v>1150</v>
      </c>
      <c r="E309" s="129">
        <v>361</v>
      </c>
      <c r="F309" s="129">
        <v>0</v>
      </c>
      <c r="G309" s="129">
        <v>181</v>
      </c>
      <c r="H309" s="129">
        <v>0</v>
      </c>
      <c r="I309" s="129">
        <v>50.1</v>
      </c>
      <c r="J309" s="129">
        <v>19</v>
      </c>
      <c r="K309" s="129">
        <v>0</v>
      </c>
      <c r="L309" s="129">
        <f t="shared" ref="L309:L336" si="125">SUM(E309:F309)</f>
        <v>361</v>
      </c>
      <c r="M309" s="129">
        <f t="shared" ref="M309:M336" si="126">SUM(G309:H309)</f>
        <v>181</v>
      </c>
      <c r="N309" s="128">
        <f t="shared" ref="N309:N336" si="127">IF(ISERROR(M309/L309),0,M309/L309)</f>
        <v>0.50139999999999996</v>
      </c>
      <c r="O309" s="164">
        <f t="shared" ref="O309:O336" si="128">IF(AND((N309-35%)&gt;0,N309&lt;50%),M309*(N309-35%)*0.7,0)</f>
        <v>0</v>
      </c>
      <c r="P309" s="185">
        <f t="shared" ref="P309:P336" si="129">IF(N309&gt;=50%,M309*10.5%,0)</f>
        <v>19</v>
      </c>
      <c r="Q309" s="185">
        <f t="shared" ref="Q309:Q336" si="130">MAX(O309,P309)</f>
        <v>19</v>
      </c>
      <c r="R309" s="162" t="b">
        <f t="shared" si="118"/>
        <v>0</v>
      </c>
    </row>
    <row r="310" spans="1:18">
      <c r="A310" s="129" t="s">
        <v>207</v>
      </c>
      <c r="B310" s="129" t="s">
        <v>3701</v>
      </c>
      <c r="C310" s="129">
        <v>214</v>
      </c>
      <c r="D310" s="129" t="s">
        <v>1152</v>
      </c>
      <c r="E310" s="129">
        <v>756</v>
      </c>
      <c r="F310" s="129">
        <v>0</v>
      </c>
      <c r="G310" s="129">
        <v>323</v>
      </c>
      <c r="H310" s="129">
        <v>0</v>
      </c>
      <c r="I310" s="129">
        <v>42.7</v>
      </c>
      <c r="J310" s="129">
        <v>0</v>
      </c>
      <c r="K310" s="129">
        <v>17.5</v>
      </c>
      <c r="L310" s="129">
        <f t="shared" si="125"/>
        <v>756</v>
      </c>
      <c r="M310" s="129">
        <f t="shared" si="126"/>
        <v>323</v>
      </c>
      <c r="N310" s="128">
        <f t="shared" si="127"/>
        <v>0.42720000000000002</v>
      </c>
      <c r="O310" s="164">
        <f t="shared" si="128"/>
        <v>17.5</v>
      </c>
      <c r="P310" s="185">
        <f t="shared" si="129"/>
        <v>0</v>
      </c>
      <c r="Q310" s="185">
        <f t="shared" si="130"/>
        <v>17.5</v>
      </c>
      <c r="R310" s="162" t="b">
        <f t="shared" si="118"/>
        <v>0</v>
      </c>
    </row>
    <row r="311" spans="1:18">
      <c r="A311" s="129" t="s">
        <v>207</v>
      </c>
      <c r="B311" s="129" t="s">
        <v>3701</v>
      </c>
      <c r="C311" s="129">
        <v>216</v>
      </c>
      <c r="D311" s="129" t="s">
        <v>1154</v>
      </c>
      <c r="E311" s="129">
        <v>336</v>
      </c>
      <c r="F311" s="129">
        <v>0</v>
      </c>
      <c r="G311" s="129">
        <v>194</v>
      </c>
      <c r="H311" s="129">
        <v>0</v>
      </c>
      <c r="I311" s="129">
        <v>57.7</v>
      </c>
      <c r="J311" s="129">
        <v>20.399999999999999</v>
      </c>
      <c r="K311" s="129">
        <v>0</v>
      </c>
      <c r="L311" s="129">
        <f t="shared" si="125"/>
        <v>336</v>
      </c>
      <c r="M311" s="129">
        <f t="shared" si="126"/>
        <v>194</v>
      </c>
      <c r="N311" s="128">
        <f t="shared" si="127"/>
        <v>0.57740000000000002</v>
      </c>
      <c r="O311" s="164">
        <f t="shared" si="128"/>
        <v>0</v>
      </c>
      <c r="P311" s="185">
        <f t="shared" si="129"/>
        <v>20.399999999999999</v>
      </c>
      <c r="Q311" s="185">
        <f t="shared" si="130"/>
        <v>20.399999999999999</v>
      </c>
      <c r="R311" s="162" t="b">
        <f t="shared" si="118"/>
        <v>0</v>
      </c>
    </row>
    <row r="312" spans="1:18">
      <c r="A312" s="129" t="s">
        <v>207</v>
      </c>
      <c r="B312" s="129" t="s">
        <v>3701</v>
      </c>
      <c r="C312" s="129">
        <v>221</v>
      </c>
      <c r="D312" s="129" t="s">
        <v>1156</v>
      </c>
      <c r="E312" s="129">
        <v>583</v>
      </c>
      <c r="F312" s="129">
        <v>0</v>
      </c>
      <c r="G312" s="129">
        <v>304</v>
      </c>
      <c r="H312" s="129">
        <v>0</v>
      </c>
      <c r="I312" s="129">
        <v>52.1</v>
      </c>
      <c r="J312" s="129">
        <v>31.9</v>
      </c>
      <c r="K312" s="129">
        <v>0</v>
      </c>
      <c r="L312" s="129">
        <f t="shared" si="125"/>
        <v>583</v>
      </c>
      <c r="M312" s="129">
        <f t="shared" si="126"/>
        <v>304</v>
      </c>
      <c r="N312" s="128">
        <f t="shared" si="127"/>
        <v>0.52139999999999997</v>
      </c>
      <c r="O312" s="164">
        <f t="shared" si="128"/>
        <v>0</v>
      </c>
      <c r="P312" s="185">
        <f t="shared" si="129"/>
        <v>31.9</v>
      </c>
      <c r="Q312" s="185">
        <f t="shared" si="130"/>
        <v>31.9</v>
      </c>
      <c r="R312" s="162" t="b">
        <f t="shared" si="118"/>
        <v>0</v>
      </c>
    </row>
    <row r="313" spans="1:18">
      <c r="A313" s="129" t="s">
        <v>207</v>
      </c>
      <c r="B313" s="129" t="s">
        <v>3701</v>
      </c>
      <c r="C313" s="129">
        <v>228</v>
      </c>
      <c r="D313" s="129" t="s">
        <v>1158</v>
      </c>
      <c r="E313" s="129">
        <v>363</v>
      </c>
      <c r="F313" s="129">
        <v>0</v>
      </c>
      <c r="G313" s="129">
        <v>169</v>
      </c>
      <c r="H313" s="129">
        <v>0</v>
      </c>
      <c r="I313" s="129">
        <v>46.6</v>
      </c>
      <c r="J313" s="129">
        <v>0</v>
      </c>
      <c r="K313" s="129">
        <v>13.7</v>
      </c>
      <c r="L313" s="129">
        <f t="shared" si="125"/>
        <v>363</v>
      </c>
      <c r="M313" s="129">
        <f t="shared" si="126"/>
        <v>169</v>
      </c>
      <c r="N313" s="128">
        <f t="shared" si="127"/>
        <v>0.46560000000000001</v>
      </c>
      <c r="O313" s="164">
        <f t="shared" si="128"/>
        <v>13.7</v>
      </c>
      <c r="P313" s="185">
        <f t="shared" si="129"/>
        <v>0</v>
      </c>
      <c r="Q313" s="185">
        <f t="shared" si="130"/>
        <v>13.7</v>
      </c>
      <c r="R313" s="162" t="b">
        <f t="shared" si="118"/>
        <v>0</v>
      </c>
    </row>
    <row r="314" spans="1:18">
      <c r="A314" s="129" t="s">
        <v>258</v>
      </c>
      <c r="B314" s="129" t="s">
        <v>3748</v>
      </c>
      <c r="C314" s="129">
        <v>1955</v>
      </c>
      <c r="D314" s="129" t="s">
        <v>1848</v>
      </c>
      <c r="E314" s="129">
        <v>530</v>
      </c>
      <c r="F314" s="129">
        <v>0</v>
      </c>
      <c r="G314" s="129">
        <v>279</v>
      </c>
      <c r="H314" s="129">
        <v>0</v>
      </c>
      <c r="I314" s="129">
        <v>52.6</v>
      </c>
      <c r="J314" s="129">
        <v>29.3</v>
      </c>
      <c r="K314" s="129">
        <v>0</v>
      </c>
      <c r="L314" s="129">
        <f t="shared" si="125"/>
        <v>530</v>
      </c>
      <c r="M314" s="129">
        <f t="shared" si="126"/>
        <v>279</v>
      </c>
      <c r="N314" s="128">
        <f t="shared" si="127"/>
        <v>0.52639999999999998</v>
      </c>
      <c r="O314" s="164">
        <f t="shared" si="128"/>
        <v>0</v>
      </c>
      <c r="P314" s="185">
        <f t="shared" si="129"/>
        <v>29.3</v>
      </c>
      <c r="Q314" s="185">
        <f t="shared" si="130"/>
        <v>29.3</v>
      </c>
      <c r="R314" s="162" t="b">
        <f t="shared" si="118"/>
        <v>0</v>
      </c>
    </row>
    <row r="315" spans="1:18">
      <c r="A315" s="129" t="s">
        <v>258</v>
      </c>
      <c r="B315" s="129" t="s">
        <v>3748</v>
      </c>
      <c r="C315" s="129">
        <v>1956</v>
      </c>
      <c r="D315" s="129" t="s">
        <v>1850</v>
      </c>
      <c r="E315" s="129">
        <v>1752</v>
      </c>
      <c r="F315" s="129">
        <v>0</v>
      </c>
      <c r="G315" s="129">
        <v>777</v>
      </c>
      <c r="H315" s="129">
        <v>0</v>
      </c>
      <c r="I315" s="129">
        <v>44.4</v>
      </c>
      <c r="J315" s="129">
        <v>0</v>
      </c>
      <c r="K315" s="129">
        <v>50.9</v>
      </c>
      <c r="L315" s="129">
        <f t="shared" si="125"/>
        <v>1752</v>
      </c>
      <c r="M315" s="129">
        <f t="shared" si="126"/>
        <v>777</v>
      </c>
      <c r="N315" s="128">
        <f t="shared" si="127"/>
        <v>0.44350000000000001</v>
      </c>
      <c r="O315" s="164">
        <f t="shared" si="128"/>
        <v>50.9</v>
      </c>
      <c r="P315" s="185">
        <f t="shared" si="129"/>
        <v>0</v>
      </c>
      <c r="Q315" s="185">
        <f t="shared" si="130"/>
        <v>50.9</v>
      </c>
      <c r="R315" s="162" t="b">
        <f t="shared" si="118"/>
        <v>0</v>
      </c>
    </row>
    <row r="316" spans="1:18">
      <c r="A316" s="129" t="s">
        <v>258</v>
      </c>
      <c r="B316" s="129" t="s">
        <v>3748</v>
      </c>
      <c r="C316" s="129">
        <v>1958</v>
      </c>
      <c r="D316" s="129" t="s">
        <v>1852</v>
      </c>
      <c r="E316" s="129">
        <v>726</v>
      </c>
      <c r="F316" s="129">
        <v>0</v>
      </c>
      <c r="G316" s="129">
        <v>402</v>
      </c>
      <c r="H316" s="129">
        <v>0</v>
      </c>
      <c r="I316" s="129">
        <v>55.4</v>
      </c>
      <c r="J316" s="129">
        <v>42.2</v>
      </c>
      <c r="K316" s="129">
        <v>0</v>
      </c>
      <c r="L316" s="129">
        <f t="shared" si="125"/>
        <v>726</v>
      </c>
      <c r="M316" s="129">
        <f t="shared" si="126"/>
        <v>402</v>
      </c>
      <c r="N316" s="128">
        <f t="shared" si="127"/>
        <v>0.55369999999999997</v>
      </c>
      <c r="O316" s="164">
        <f t="shared" si="128"/>
        <v>0</v>
      </c>
      <c r="P316" s="185">
        <f t="shared" si="129"/>
        <v>42.2</v>
      </c>
      <c r="Q316" s="185">
        <f t="shared" si="130"/>
        <v>42.2</v>
      </c>
      <c r="R316" s="162" t="b">
        <f t="shared" si="118"/>
        <v>0</v>
      </c>
    </row>
    <row r="317" spans="1:18">
      <c r="A317" s="129" t="s">
        <v>258</v>
      </c>
      <c r="B317" s="129" t="s">
        <v>3748</v>
      </c>
      <c r="C317" s="129">
        <v>1960</v>
      </c>
      <c r="D317" s="129" t="s">
        <v>1854</v>
      </c>
      <c r="E317" s="129">
        <v>429</v>
      </c>
      <c r="F317" s="129">
        <v>0</v>
      </c>
      <c r="G317" s="129">
        <v>205</v>
      </c>
      <c r="H317" s="129">
        <v>0</v>
      </c>
      <c r="I317" s="129">
        <v>47.8</v>
      </c>
      <c r="J317" s="129">
        <v>0</v>
      </c>
      <c r="K317" s="129">
        <v>18.399999999999999</v>
      </c>
      <c r="L317" s="129">
        <f t="shared" si="125"/>
        <v>429</v>
      </c>
      <c r="M317" s="129">
        <f t="shared" si="126"/>
        <v>205</v>
      </c>
      <c r="N317" s="128">
        <f t="shared" si="127"/>
        <v>0.47789999999999999</v>
      </c>
      <c r="O317" s="164">
        <f t="shared" si="128"/>
        <v>18.399999999999999</v>
      </c>
      <c r="P317" s="185">
        <f t="shared" si="129"/>
        <v>0</v>
      </c>
      <c r="Q317" s="185">
        <f t="shared" si="130"/>
        <v>18.399999999999999</v>
      </c>
      <c r="R317" s="162" t="b">
        <f t="shared" si="118"/>
        <v>0</v>
      </c>
    </row>
    <row r="318" spans="1:18">
      <c r="A318" s="129" t="s">
        <v>258</v>
      </c>
      <c r="B318" s="129" t="s">
        <v>3748</v>
      </c>
      <c r="C318" s="129">
        <v>1961</v>
      </c>
      <c r="D318" s="129" t="s">
        <v>1856</v>
      </c>
      <c r="E318" s="129">
        <v>430</v>
      </c>
      <c r="F318" s="129">
        <v>0</v>
      </c>
      <c r="G318" s="129">
        <v>294</v>
      </c>
      <c r="H318" s="129">
        <v>0</v>
      </c>
      <c r="I318" s="129">
        <v>68.400000000000006</v>
      </c>
      <c r="J318" s="129">
        <v>30.9</v>
      </c>
      <c r="K318" s="129">
        <v>0</v>
      </c>
      <c r="L318" s="129">
        <f t="shared" si="125"/>
        <v>430</v>
      </c>
      <c r="M318" s="129">
        <f t="shared" si="126"/>
        <v>294</v>
      </c>
      <c r="N318" s="128">
        <f t="shared" si="127"/>
        <v>0.68369999999999997</v>
      </c>
      <c r="O318" s="164">
        <f t="shared" si="128"/>
        <v>0</v>
      </c>
      <c r="P318" s="185">
        <f t="shared" si="129"/>
        <v>30.9</v>
      </c>
      <c r="Q318" s="185">
        <f t="shared" si="130"/>
        <v>30.9</v>
      </c>
      <c r="R318" s="162" t="b">
        <f t="shared" si="118"/>
        <v>0</v>
      </c>
    </row>
    <row r="319" spans="1:18">
      <c r="A319" s="129" t="s">
        <v>258</v>
      </c>
      <c r="B319" s="129" t="s">
        <v>3748</v>
      </c>
      <c r="C319" s="129">
        <v>1964</v>
      </c>
      <c r="D319" s="129" t="s">
        <v>1858</v>
      </c>
      <c r="E319" s="129">
        <v>436</v>
      </c>
      <c r="F319" s="129">
        <v>0</v>
      </c>
      <c r="G319" s="129">
        <v>230</v>
      </c>
      <c r="H319" s="129">
        <v>0</v>
      </c>
      <c r="I319" s="129">
        <v>52.8</v>
      </c>
      <c r="J319" s="129">
        <v>24.2</v>
      </c>
      <c r="K319" s="129">
        <v>0</v>
      </c>
      <c r="L319" s="129">
        <f t="shared" si="125"/>
        <v>436</v>
      </c>
      <c r="M319" s="129">
        <f t="shared" si="126"/>
        <v>230</v>
      </c>
      <c r="N319" s="128">
        <f t="shared" si="127"/>
        <v>0.52749999999999997</v>
      </c>
      <c r="O319" s="164">
        <f t="shared" si="128"/>
        <v>0</v>
      </c>
      <c r="P319" s="185">
        <f t="shared" si="129"/>
        <v>24.2</v>
      </c>
      <c r="Q319" s="185">
        <f t="shared" si="130"/>
        <v>24.2</v>
      </c>
      <c r="R319" s="162" t="b">
        <f t="shared" si="118"/>
        <v>0</v>
      </c>
    </row>
    <row r="320" spans="1:18">
      <c r="A320" s="129" t="s">
        <v>258</v>
      </c>
      <c r="B320" s="129" t="s">
        <v>3748</v>
      </c>
      <c r="C320" s="129">
        <v>1965</v>
      </c>
      <c r="D320" s="129" t="s">
        <v>1860</v>
      </c>
      <c r="E320" s="129">
        <v>318</v>
      </c>
      <c r="F320" s="129">
        <v>0</v>
      </c>
      <c r="G320" s="129">
        <v>180</v>
      </c>
      <c r="H320" s="129">
        <v>0</v>
      </c>
      <c r="I320" s="129">
        <v>56.6</v>
      </c>
      <c r="J320" s="129">
        <v>18.899999999999999</v>
      </c>
      <c r="K320" s="129">
        <v>0</v>
      </c>
      <c r="L320" s="129">
        <f t="shared" si="125"/>
        <v>318</v>
      </c>
      <c r="M320" s="129">
        <f t="shared" si="126"/>
        <v>180</v>
      </c>
      <c r="N320" s="128">
        <f t="shared" si="127"/>
        <v>0.56599999999999995</v>
      </c>
      <c r="O320" s="164">
        <f t="shared" si="128"/>
        <v>0</v>
      </c>
      <c r="P320" s="185">
        <f t="shared" si="129"/>
        <v>18.899999999999999</v>
      </c>
      <c r="Q320" s="185">
        <f t="shared" si="130"/>
        <v>18.899999999999999</v>
      </c>
      <c r="R320" s="162" t="b">
        <f t="shared" si="118"/>
        <v>0</v>
      </c>
    </row>
    <row r="321" spans="1:18">
      <c r="A321" s="129" t="s">
        <v>258</v>
      </c>
      <c r="B321" s="129" t="s">
        <v>3748</v>
      </c>
      <c r="C321" s="129">
        <v>1966</v>
      </c>
      <c r="D321" s="129" t="s">
        <v>1862</v>
      </c>
      <c r="E321" s="129">
        <v>359</v>
      </c>
      <c r="F321" s="129">
        <v>0</v>
      </c>
      <c r="G321" s="129">
        <v>163</v>
      </c>
      <c r="H321" s="129">
        <v>0</v>
      </c>
      <c r="I321" s="129">
        <v>45.4</v>
      </c>
      <c r="J321" s="129">
        <v>0</v>
      </c>
      <c r="K321" s="129">
        <v>11.9</v>
      </c>
      <c r="L321" s="129">
        <f t="shared" si="125"/>
        <v>359</v>
      </c>
      <c r="M321" s="129">
        <f t="shared" si="126"/>
        <v>163</v>
      </c>
      <c r="N321" s="128">
        <f t="shared" si="127"/>
        <v>0.45400000000000001</v>
      </c>
      <c r="O321" s="164">
        <f t="shared" si="128"/>
        <v>11.9</v>
      </c>
      <c r="P321" s="185">
        <f t="shared" si="129"/>
        <v>0</v>
      </c>
      <c r="Q321" s="185">
        <f t="shared" si="130"/>
        <v>11.9</v>
      </c>
      <c r="R321" s="162" t="b">
        <f t="shared" si="118"/>
        <v>0</v>
      </c>
    </row>
    <row r="322" spans="1:18">
      <c r="A322" s="129" t="s">
        <v>258</v>
      </c>
      <c r="B322" s="129" t="s">
        <v>3748</v>
      </c>
      <c r="C322" s="129">
        <v>1968</v>
      </c>
      <c r="D322" s="129" t="s">
        <v>1864</v>
      </c>
      <c r="E322" s="129">
        <v>440</v>
      </c>
      <c r="F322" s="129">
        <v>0</v>
      </c>
      <c r="G322" s="129">
        <v>250</v>
      </c>
      <c r="H322" s="129">
        <v>0</v>
      </c>
      <c r="I322" s="129">
        <v>56.8</v>
      </c>
      <c r="J322" s="129">
        <v>26.3</v>
      </c>
      <c r="K322" s="129">
        <v>0</v>
      </c>
      <c r="L322" s="129">
        <f t="shared" si="125"/>
        <v>440</v>
      </c>
      <c r="M322" s="129">
        <f t="shared" si="126"/>
        <v>250</v>
      </c>
      <c r="N322" s="128">
        <f t="shared" si="127"/>
        <v>0.56820000000000004</v>
      </c>
      <c r="O322" s="164">
        <f t="shared" si="128"/>
        <v>0</v>
      </c>
      <c r="P322" s="185">
        <f t="shared" si="129"/>
        <v>26.3</v>
      </c>
      <c r="Q322" s="185">
        <f t="shared" si="130"/>
        <v>26.3</v>
      </c>
      <c r="R322" s="162" t="b">
        <f t="shared" si="118"/>
        <v>0</v>
      </c>
    </row>
    <row r="323" spans="1:18">
      <c r="A323" s="129" t="s">
        <v>284</v>
      </c>
      <c r="B323" s="129" t="s">
        <v>3773</v>
      </c>
      <c r="C323" s="129">
        <v>2689</v>
      </c>
      <c r="D323" s="129" t="s">
        <v>2042</v>
      </c>
      <c r="E323" s="129">
        <v>48</v>
      </c>
      <c r="F323" s="129">
        <v>0</v>
      </c>
      <c r="G323" s="129">
        <v>21</v>
      </c>
      <c r="H323" s="129">
        <v>0</v>
      </c>
      <c r="I323" s="129">
        <v>43.8</v>
      </c>
      <c r="J323" s="129">
        <v>0</v>
      </c>
      <c r="K323" s="129">
        <v>1.3</v>
      </c>
      <c r="L323" s="129">
        <f t="shared" si="125"/>
        <v>48</v>
      </c>
      <c r="M323" s="129">
        <f t="shared" si="126"/>
        <v>21</v>
      </c>
      <c r="N323" s="128">
        <f t="shared" si="127"/>
        <v>0.4375</v>
      </c>
      <c r="O323" s="164">
        <f t="shared" si="128"/>
        <v>1.3</v>
      </c>
      <c r="P323" s="185">
        <f t="shared" si="129"/>
        <v>0</v>
      </c>
      <c r="Q323" s="185">
        <f t="shared" si="130"/>
        <v>1.3</v>
      </c>
      <c r="R323" s="162" t="b">
        <f t="shared" si="118"/>
        <v>0</v>
      </c>
    </row>
    <row r="324" spans="1:18">
      <c r="A324" s="129" t="s">
        <v>284</v>
      </c>
      <c r="B324" s="129" t="s">
        <v>3773</v>
      </c>
      <c r="C324" s="129">
        <v>2691</v>
      </c>
      <c r="D324" s="129" t="s">
        <v>2044</v>
      </c>
      <c r="E324" s="129">
        <v>40</v>
      </c>
      <c r="F324" s="129">
        <v>0</v>
      </c>
      <c r="G324" s="129">
        <v>17</v>
      </c>
      <c r="H324" s="129">
        <v>0</v>
      </c>
      <c r="I324" s="129">
        <v>42.5</v>
      </c>
      <c r="J324" s="129">
        <v>0</v>
      </c>
      <c r="K324" s="129">
        <v>0.9</v>
      </c>
      <c r="L324" s="129">
        <f t="shared" si="125"/>
        <v>40</v>
      </c>
      <c r="M324" s="129">
        <f t="shared" si="126"/>
        <v>17</v>
      </c>
      <c r="N324" s="128">
        <f t="shared" si="127"/>
        <v>0.42499999999999999</v>
      </c>
      <c r="O324" s="164">
        <f t="shared" si="128"/>
        <v>0.9</v>
      </c>
      <c r="P324" s="185">
        <f t="shared" si="129"/>
        <v>0</v>
      </c>
      <c r="Q324" s="185">
        <f t="shared" si="130"/>
        <v>0.9</v>
      </c>
      <c r="R324" s="162" t="b">
        <f t="shared" si="118"/>
        <v>0</v>
      </c>
    </row>
    <row r="325" spans="1:18">
      <c r="A325" s="129" t="s">
        <v>300</v>
      </c>
      <c r="B325" s="129" t="s">
        <v>3788</v>
      </c>
      <c r="C325" s="129">
        <v>3265</v>
      </c>
      <c r="D325" s="129" t="s">
        <v>4014</v>
      </c>
      <c r="E325" s="129">
        <v>3</v>
      </c>
      <c r="F325" s="129">
        <v>0</v>
      </c>
      <c r="H325" s="129">
        <v>0</v>
      </c>
      <c r="J325" s="129">
        <v>0</v>
      </c>
      <c r="K325" s="129">
        <v>0</v>
      </c>
      <c r="L325" s="129">
        <f t="shared" si="125"/>
        <v>3</v>
      </c>
      <c r="M325" s="129">
        <f t="shared" si="126"/>
        <v>0</v>
      </c>
      <c r="N325" s="128">
        <f t="shared" si="127"/>
        <v>0</v>
      </c>
      <c r="O325" s="164">
        <f t="shared" si="128"/>
        <v>0</v>
      </c>
      <c r="P325" s="185">
        <f t="shared" si="129"/>
        <v>0</v>
      </c>
      <c r="Q325" s="185">
        <f t="shared" si="130"/>
        <v>0</v>
      </c>
      <c r="R325" s="162" t="b">
        <f t="shared" ref="R325:R388" si="131">COUNTIF(C:C,C325)&gt;1</f>
        <v>0</v>
      </c>
    </row>
    <row r="326" spans="1:18">
      <c r="A326" s="129" t="s">
        <v>335</v>
      </c>
      <c r="B326" s="129" t="s">
        <v>3819</v>
      </c>
      <c r="C326" s="129">
        <v>4260</v>
      </c>
      <c r="D326" s="129" t="s">
        <v>1172</v>
      </c>
      <c r="E326" s="129">
        <v>257</v>
      </c>
      <c r="F326" s="129">
        <v>0</v>
      </c>
      <c r="G326" s="129">
        <v>136</v>
      </c>
      <c r="H326" s="129">
        <v>0</v>
      </c>
      <c r="I326" s="129">
        <v>52.9</v>
      </c>
      <c r="J326" s="129">
        <v>14.3</v>
      </c>
      <c r="K326" s="129">
        <v>0</v>
      </c>
      <c r="L326" s="129">
        <f t="shared" si="125"/>
        <v>257</v>
      </c>
      <c r="M326" s="129">
        <f t="shared" si="126"/>
        <v>136</v>
      </c>
      <c r="N326" s="128">
        <f t="shared" si="127"/>
        <v>0.5292</v>
      </c>
      <c r="O326" s="164">
        <f t="shared" si="128"/>
        <v>0</v>
      </c>
      <c r="P326" s="185">
        <f t="shared" si="129"/>
        <v>14.3</v>
      </c>
      <c r="Q326" s="185">
        <f t="shared" si="130"/>
        <v>14.3</v>
      </c>
      <c r="R326" s="162" t="b">
        <f t="shared" si="131"/>
        <v>0</v>
      </c>
    </row>
    <row r="327" spans="1:18">
      <c r="A327" s="129" t="s">
        <v>335</v>
      </c>
      <c r="B327" s="129" t="s">
        <v>3819</v>
      </c>
      <c r="C327" s="129">
        <v>4265</v>
      </c>
      <c r="D327" s="129" t="s">
        <v>2356</v>
      </c>
      <c r="E327" s="129">
        <v>136</v>
      </c>
      <c r="F327" s="129">
        <v>0</v>
      </c>
      <c r="G327" s="129">
        <v>97</v>
      </c>
      <c r="H327" s="129">
        <v>0</v>
      </c>
      <c r="I327" s="129">
        <v>71.3</v>
      </c>
      <c r="J327" s="129">
        <v>10.199999999999999</v>
      </c>
      <c r="K327" s="129">
        <v>0</v>
      </c>
      <c r="L327" s="129">
        <f t="shared" si="125"/>
        <v>136</v>
      </c>
      <c r="M327" s="129">
        <f t="shared" si="126"/>
        <v>97</v>
      </c>
      <c r="N327" s="128">
        <f t="shared" si="127"/>
        <v>0.71319999999999995</v>
      </c>
      <c r="O327" s="164">
        <f t="shared" si="128"/>
        <v>0</v>
      </c>
      <c r="P327" s="185">
        <f t="shared" si="129"/>
        <v>10.199999999999999</v>
      </c>
      <c r="Q327" s="185">
        <f t="shared" si="130"/>
        <v>10.199999999999999</v>
      </c>
      <c r="R327" s="162" t="b">
        <f t="shared" si="131"/>
        <v>0</v>
      </c>
    </row>
    <row r="328" spans="1:18">
      <c r="A328" s="129" t="s">
        <v>335</v>
      </c>
      <c r="B328" s="129" t="s">
        <v>3819</v>
      </c>
      <c r="C328" s="129">
        <v>4266</v>
      </c>
      <c r="D328" s="129" t="s">
        <v>2030</v>
      </c>
      <c r="E328" s="129">
        <v>158</v>
      </c>
      <c r="F328" s="129">
        <v>0</v>
      </c>
      <c r="G328" s="129">
        <v>115</v>
      </c>
      <c r="H328" s="129">
        <v>0</v>
      </c>
      <c r="I328" s="129">
        <v>72.8</v>
      </c>
      <c r="J328" s="129">
        <v>12.1</v>
      </c>
      <c r="K328" s="129">
        <v>0</v>
      </c>
      <c r="L328" s="129">
        <f t="shared" si="125"/>
        <v>158</v>
      </c>
      <c r="M328" s="129">
        <f t="shared" si="126"/>
        <v>115</v>
      </c>
      <c r="N328" s="128">
        <f t="shared" si="127"/>
        <v>0.7278</v>
      </c>
      <c r="O328" s="164">
        <f t="shared" si="128"/>
        <v>0</v>
      </c>
      <c r="P328" s="185">
        <f t="shared" si="129"/>
        <v>12.1</v>
      </c>
      <c r="Q328" s="185">
        <f t="shared" si="130"/>
        <v>12.1</v>
      </c>
      <c r="R328" s="162" t="b">
        <f t="shared" si="131"/>
        <v>0</v>
      </c>
    </row>
    <row r="329" spans="1:18">
      <c r="A329" s="129" t="s">
        <v>335</v>
      </c>
      <c r="B329" s="129" t="s">
        <v>3819</v>
      </c>
      <c r="C329" s="129">
        <v>4274</v>
      </c>
      <c r="D329" s="129" t="s">
        <v>1433</v>
      </c>
      <c r="E329" s="129">
        <v>89</v>
      </c>
      <c r="F329" s="129">
        <v>0</v>
      </c>
      <c r="G329" s="129">
        <v>50</v>
      </c>
      <c r="H329" s="129">
        <v>0</v>
      </c>
      <c r="I329" s="129">
        <v>56.2</v>
      </c>
      <c r="J329" s="129">
        <v>5.3</v>
      </c>
      <c r="K329" s="129">
        <v>0</v>
      </c>
      <c r="L329" s="129">
        <f t="shared" si="125"/>
        <v>89</v>
      </c>
      <c r="M329" s="129">
        <f t="shared" si="126"/>
        <v>50</v>
      </c>
      <c r="N329" s="128">
        <f t="shared" si="127"/>
        <v>0.56179999999999997</v>
      </c>
      <c r="O329" s="164">
        <f t="shared" si="128"/>
        <v>0</v>
      </c>
      <c r="P329" s="185">
        <f t="shared" si="129"/>
        <v>5.3</v>
      </c>
      <c r="Q329" s="185">
        <f t="shared" si="130"/>
        <v>5.3</v>
      </c>
      <c r="R329" s="162" t="b">
        <f t="shared" si="131"/>
        <v>0</v>
      </c>
    </row>
    <row r="330" spans="1:18">
      <c r="A330" s="129" t="s">
        <v>335</v>
      </c>
      <c r="B330" s="129" t="s">
        <v>3819</v>
      </c>
      <c r="C330" s="129">
        <v>4276</v>
      </c>
      <c r="D330" s="129" t="s">
        <v>2360</v>
      </c>
      <c r="E330" s="129">
        <v>360</v>
      </c>
      <c r="F330" s="129">
        <v>0</v>
      </c>
      <c r="G330" s="129">
        <v>197</v>
      </c>
      <c r="H330" s="129">
        <v>0</v>
      </c>
      <c r="I330" s="129">
        <v>54.7</v>
      </c>
      <c r="J330" s="129">
        <v>20.7</v>
      </c>
      <c r="K330" s="129">
        <v>0</v>
      </c>
      <c r="L330" s="129">
        <f t="shared" si="125"/>
        <v>360</v>
      </c>
      <c r="M330" s="129">
        <f t="shared" si="126"/>
        <v>197</v>
      </c>
      <c r="N330" s="128">
        <f t="shared" si="127"/>
        <v>0.54720000000000002</v>
      </c>
      <c r="O330" s="164">
        <f t="shared" si="128"/>
        <v>0</v>
      </c>
      <c r="P330" s="185">
        <f t="shared" si="129"/>
        <v>20.7</v>
      </c>
      <c r="Q330" s="185">
        <f t="shared" si="130"/>
        <v>20.7</v>
      </c>
      <c r="R330" s="162" t="b">
        <f t="shared" si="131"/>
        <v>0</v>
      </c>
    </row>
    <row r="331" spans="1:18">
      <c r="A331" s="129" t="s">
        <v>335</v>
      </c>
      <c r="B331" s="129" t="s">
        <v>3819</v>
      </c>
      <c r="C331" s="129">
        <v>4280</v>
      </c>
      <c r="D331" s="129" t="s">
        <v>2362</v>
      </c>
      <c r="E331" s="129">
        <v>471</v>
      </c>
      <c r="F331" s="129">
        <v>0</v>
      </c>
      <c r="G331" s="129">
        <v>211</v>
      </c>
      <c r="H331" s="129">
        <v>0</v>
      </c>
      <c r="I331" s="129">
        <v>44.8</v>
      </c>
      <c r="J331" s="129">
        <v>0</v>
      </c>
      <c r="K331" s="129">
        <v>14.5</v>
      </c>
      <c r="L331" s="129">
        <f t="shared" si="125"/>
        <v>471</v>
      </c>
      <c r="M331" s="129">
        <f t="shared" si="126"/>
        <v>211</v>
      </c>
      <c r="N331" s="128">
        <f t="shared" si="127"/>
        <v>0.44800000000000001</v>
      </c>
      <c r="O331" s="164">
        <f t="shared" si="128"/>
        <v>14.5</v>
      </c>
      <c r="P331" s="185">
        <f t="shared" si="129"/>
        <v>0</v>
      </c>
      <c r="Q331" s="185">
        <f t="shared" si="130"/>
        <v>14.5</v>
      </c>
      <c r="R331" s="162" t="b">
        <f t="shared" si="131"/>
        <v>0</v>
      </c>
    </row>
    <row r="332" spans="1:18">
      <c r="A332" s="129" t="s">
        <v>345</v>
      </c>
      <c r="B332" s="129" t="s">
        <v>3828</v>
      </c>
      <c r="C332" s="129">
        <v>4545</v>
      </c>
      <c r="D332" s="129" t="s">
        <v>2415</v>
      </c>
      <c r="E332" s="129">
        <v>404</v>
      </c>
      <c r="F332" s="129">
        <v>0</v>
      </c>
      <c r="G332" s="129">
        <v>204</v>
      </c>
      <c r="H332" s="129">
        <v>0</v>
      </c>
      <c r="I332" s="129">
        <v>50.5</v>
      </c>
      <c r="J332" s="129">
        <v>21.4</v>
      </c>
      <c r="K332" s="129">
        <v>0</v>
      </c>
      <c r="L332" s="129">
        <f t="shared" si="125"/>
        <v>404</v>
      </c>
      <c r="M332" s="129">
        <f t="shared" si="126"/>
        <v>204</v>
      </c>
      <c r="N332" s="128">
        <f t="shared" si="127"/>
        <v>0.505</v>
      </c>
      <c r="O332" s="164">
        <f t="shared" si="128"/>
        <v>0</v>
      </c>
      <c r="P332" s="185">
        <f t="shared" si="129"/>
        <v>21.4</v>
      </c>
      <c r="Q332" s="185">
        <f t="shared" si="130"/>
        <v>21.4</v>
      </c>
      <c r="R332" s="162" t="b">
        <f t="shared" si="131"/>
        <v>0</v>
      </c>
    </row>
    <row r="333" spans="1:18">
      <c r="A333" s="129" t="s">
        <v>345</v>
      </c>
      <c r="B333" s="129" t="s">
        <v>3828</v>
      </c>
      <c r="C333" s="129">
        <v>4548</v>
      </c>
      <c r="D333" s="129" t="s">
        <v>2417</v>
      </c>
      <c r="E333" s="129">
        <v>368</v>
      </c>
      <c r="F333" s="129">
        <v>0</v>
      </c>
      <c r="G333" s="129">
        <v>133</v>
      </c>
      <c r="H333" s="129">
        <v>0</v>
      </c>
      <c r="I333" s="129">
        <v>36.1</v>
      </c>
      <c r="J333" s="129">
        <v>0</v>
      </c>
      <c r="K333" s="129">
        <v>1.1000000000000001</v>
      </c>
      <c r="L333" s="129">
        <f t="shared" si="125"/>
        <v>368</v>
      </c>
      <c r="M333" s="129">
        <f t="shared" si="126"/>
        <v>133</v>
      </c>
      <c r="N333" s="128">
        <f t="shared" si="127"/>
        <v>0.3614</v>
      </c>
      <c r="O333" s="164">
        <f t="shared" si="128"/>
        <v>1.1000000000000001</v>
      </c>
      <c r="P333" s="185">
        <f t="shared" si="129"/>
        <v>0</v>
      </c>
      <c r="Q333" s="185">
        <f t="shared" si="130"/>
        <v>1.1000000000000001</v>
      </c>
      <c r="R333" s="162" t="b">
        <f t="shared" si="131"/>
        <v>0</v>
      </c>
    </row>
    <row r="334" spans="1:18">
      <c r="A334" s="129" t="s">
        <v>413</v>
      </c>
      <c r="B334" s="129" t="s">
        <v>3889</v>
      </c>
      <c r="C334" s="129">
        <v>6586</v>
      </c>
      <c r="D334" s="129" t="s">
        <v>2853</v>
      </c>
      <c r="E334" s="129">
        <v>205</v>
      </c>
      <c r="F334" s="129">
        <v>0</v>
      </c>
      <c r="G334" s="129">
        <v>86</v>
      </c>
      <c r="H334" s="129">
        <v>0</v>
      </c>
      <c r="I334" s="129">
        <v>42</v>
      </c>
      <c r="J334" s="129">
        <v>0</v>
      </c>
      <c r="K334" s="129">
        <v>4.2</v>
      </c>
      <c r="L334" s="129">
        <f t="shared" si="125"/>
        <v>205</v>
      </c>
      <c r="M334" s="129">
        <f t="shared" si="126"/>
        <v>86</v>
      </c>
      <c r="N334" s="128">
        <f t="shared" si="127"/>
        <v>0.41949999999999998</v>
      </c>
      <c r="O334" s="164">
        <f t="shared" si="128"/>
        <v>4.2</v>
      </c>
      <c r="P334" s="185">
        <f t="shared" si="129"/>
        <v>0</v>
      </c>
      <c r="Q334" s="185">
        <f t="shared" si="130"/>
        <v>4.2</v>
      </c>
      <c r="R334" s="162" t="b">
        <f t="shared" si="131"/>
        <v>0</v>
      </c>
    </row>
    <row r="335" spans="1:18">
      <c r="A335" s="129" t="s">
        <v>413</v>
      </c>
      <c r="B335" s="129" t="s">
        <v>3889</v>
      </c>
      <c r="C335" s="129">
        <v>6592</v>
      </c>
      <c r="D335" s="129" t="s">
        <v>2855</v>
      </c>
      <c r="E335" s="129">
        <v>347</v>
      </c>
      <c r="F335" s="129">
        <v>0</v>
      </c>
      <c r="G335" s="129">
        <v>110</v>
      </c>
      <c r="H335" s="129">
        <v>0</v>
      </c>
      <c r="I335" s="129">
        <v>31.7</v>
      </c>
      <c r="J335" s="129">
        <v>0</v>
      </c>
      <c r="K335" s="129">
        <v>0</v>
      </c>
      <c r="L335" s="129">
        <f t="shared" si="125"/>
        <v>347</v>
      </c>
      <c r="M335" s="129">
        <f t="shared" si="126"/>
        <v>110</v>
      </c>
      <c r="N335" s="128">
        <f t="shared" si="127"/>
        <v>0.317</v>
      </c>
      <c r="O335" s="164">
        <f t="shared" si="128"/>
        <v>0</v>
      </c>
      <c r="P335" s="185">
        <f t="shared" si="129"/>
        <v>0</v>
      </c>
      <c r="Q335" s="185">
        <f t="shared" si="130"/>
        <v>0</v>
      </c>
      <c r="R335" s="162" t="b">
        <f t="shared" si="131"/>
        <v>0</v>
      </c>
    </row>
    <row r="336" spans="1:18">
      <c r="A336" s="129" t="s">
        <v>413</v>
      </c>
      <c r="B336" s="129" t="s">
        <v>3889</v>
      </c>
      <c r="C336" s="129">
        <v>6594</v>
      </c>
      <c r="D336" s="129" t="s">
        <v>2857</v>
      </c>
      <c r="E336" s="129">
        <v>241</v>
      </c>
      <c r="F336" s="129">
        <v>0</v>
      </c>
      <c r="G336" s="129">
        <v>84</v>
      </c>
      <c r="H336" s="129">
        <v>0</v>
      </c>
      <c r="I336" s="129">
        <v>34.9</v>
      </c>
      <c r="J336" s="129">
        <v>0</v>
      </c>
      <c r="K336" s="129">
        <v>0</v>
      </c>
      <c r="L336" s="129">
        <f t="shared" si="125"/>
        <v>241</v>
      </c>
      <c r="M336" s="129">
        <f t="shared" si="126"/>
        <v>84</v>
      </c>
      <c r="N336" s="128">
        <f t="shared" si="127"/>
        <v>0.34849999999999998</v>
      </c>
      <c r="O336" s="164">
        <f t="shared" si="128"/>
        <v>0</v>
      </c>
      <c r="P336" s="185">
        <f t="shared" si="129"/>
        <v>0</v>
      </c>
      <c r="Q336" s="185">
        <f t="shared" si="130"/>
        <v>0</v>
      </c>
      <c r="R336" s="162" t="b">
        <f t="shared" si="131"/>
        <v>0</v>
      </c>
    </row>
    <row r="337" spans="1:18">
      <c r="A337" s="129" t="s">
        <v>416</v>
      </c>
      <c r="B337" s="129" t="s">
        <v>3892</v>
      </c>
      <c r="C337" s="129">
        <v>6756</v>
      </c>
      <c r="D337" s="129" t="s">
        <v>2886</v>
      </c>
      <c r="E337" s="129">
        <v>1004</v>
      </c>
      <c r="F337" s="129">
        <v>0</v>
      </c>
      <c r="G337" s="129">
        <v>700</v>
      </c>
      <c r="H337" s="129">
        <v>0</v>
      </c>
      <c r="I337" s="129">
        <v>69.7</v>
      </c>
      <c r="J337" s="129">
        <v>73.5</v>
      </c>
      <c r="K337" s="129">
        <v>0</v>
      </c>
      <c r="L337" s="129">
        <f t="shared" ref="L337:L355" si="132">SUM(E337:F337)</f>
        <v>1004</v>
      </c>
      <c r="M337" s="129">
        <f t="shared" ref="M337:M355" si="133">SUM(G337:H337)</f>
        <v>700</v>
      </c>
      <c r="N337" s="128">
        <f t="shared" ref="N337:N355" si="134">IF(ISERROR(M337/L337),0,M337/L337)</f>
        <v>0.69720000000000004</v>
      </c>
      <c r="O337" s="164">
        <f t="shared" ref="O337:O355" si="135">IF(AND((N337-35%)&gt;0,N337&lt;50%),M337*(N337-35%)*0.7,0)</f>
        <v>0</v>
      </c>
      <c r="P337" s="185">
        <f t="shared" ref="P337:P355" si="136">IF(N337&gt;=50%,M337*10.5%,0)</f>
        <v>73.5</v>
      </c>
      <c r="Q337" s="185">
        <f t="shared" ref="Q337:Q355" si="137">MAX(O337,P337)</f>
        <v>73.5</v>
      </c>
      <c r="R337" s="162" t="b">
        <f t="shared" si="131"/>
        <v>0</v>
      </c>
    </row>
    <row r="338" spans="1:18">
      <c r="A338" s="129" t="s">
        <v>416</v>
      </c>
      <c r="B338" s="129" t="s">
        <v>3892</v>
      </c>
      <c r="C338" s="129">
        <v>6770</v>
      </c>
      <c r="D338" s="129" t="s">
        <v>2888</v>
      </c>
      <c r="E338" s="129">
        <v>258</v>
      </c>
      <c r="F338" s="129">
        <v>0</v>
      </c>
      <c r="G338" s="129">
        <v>149</v>
      </c>
      <c r="H338" s="129">
        <v>0</v>
      </c>
      <c r="I338" s="129">
        <v>57.8</v>
      </c>
      <c r="J338" s="129">
        <v>15.6</v>
      </c>
      <c r="K338" s="129">
        <v>0</v>
      </c>
      <c r="L338" s="129">
        <f t="shared" si="132"/>
        <v>258</v>
      </c>
      <c r="M338" s="129">
        <f t="shared" si="133"/>
        <v>149</v>
      </c>
      <c r="N338" s="128">
        <f t="shared" si="134"/>
        <v>0.57750000000000001</v>
      </c>
      <c r="O338" s="164">
        <f t="shared" si="135"/>
        <v>0</v>
      </c>
      <c r="P338" s="185">
        <f t="shared" si="136"/>
        <v>15.6</v>
      </c>
      <c r="Q338" s="185">
        <f t="shared" si="137"/>
        <v>15.6</v>
      </c>
      <c r="R338" s="162" t="b">
        <f t="shared" si="131"/>
        <v>0</v>
      </c>
    </row>
    <row r="339" spans="1:18">
      <c r="A339" s="129" t="s">
        <v>416</v>
      </c>
      <c r="B339" s="129" t="s">
        <v>3892</v>
      </c>
      <c r="C339" s="129">
        <v>6772</v>
      </c>
      <c r="D339" s="129" t="s">
        <v>2890</v>
      </c>
      <c r="E339" s="129">
        <v>457</v>
      </c>
      <c r="F339" s="129">
        <v>0</v>
      </c>
      <c r="G339" s="129">
        <v>219</v>
      </c>
      <c r="H339" s="129">
        <v>0</v>
      </c>
      <c r="I339" s="129">
        <v>47.9</v>
      </c>
      <c r="J339" s="129">
        <v>0</v>
      </c>
      <c r="K339" s="129">
        <v>19.8</v>
      </c>
      <c r="L339" s="129">
        <f t="shared" si="132"/>
        <v>457</v>
      </c>
      <c r="M339" s="129">
        <f t="shared" si="133"/>
        <v>219</v>
      </c>
      <c r="N339" s="128">
        <f t="shared" si="134"/>
        <v>0.47920000000000001</v>
      </c>
      <c r="O339" s="164">
        <f t="shared" si="135"/>
        <v>19.8</v>
      </c>
      <c r="P339" s="185">
        <f t="shared" si="136"/>
        <v>0</v>
      </c>
      <c r="Q339" s="185">
        <f t="shared" si="137"/>
        <v>19.8</v>
      </c>
      <c r="R339" s="162" t="b">
        <f t="shared" si="131"/>
        <v>0</v>
      </c>
    </row>
    <row r="340" spans="1:18">
      <c r="A340" s="129" t="s">
        <v>424</v>
      </c>
      <c r="B340" s="129" t="s">
        <v>4132</v>
      </c>
      <c r="C340" s="129">
        <v>7057</v>
      </c>
      <c r="D340" s="129" t="s">
        <v>2944</v>
      </c>
      <c r="E340" s="129">
        <v>129</v>
      </c>
      <c r="F340" s="129">
        <v>0</v>
      </c>
      <c r="G340" s="129">
        <v>63</v>
      </c>
      <c r="H340" s="129">
        <v>0</v>
      </c>
      <c r="I340" s="129">
        <v>48.8</v>
      </c>
      <c r="J340" s="129">
        <v>0</v>
      </c>
      <c r="K340" s="129">
        <v>6.1</v>
      </c>
      <c r="L340" s="129">
        <f t="shared" si="132"/>
        <v>129</v>
      </c>
      <c r="M340" s="129">
        <f t="shared" si="133"/>
        <v>63</v>
      </c>
      <c r="N340" s="128">
        <f t="shared" si="134"/>
        <v>0.4884</v>
      </c>
      <c r="O340" s="164">
        <f t="shared" si="135"/>
        <v>6.1</v>
      </c>
      <c r="P340" s="185">
        <f t="shared" si="136"/>
        <v>0</v>
      </c>
      <c r="Q340" s="185">
        <f t="shared" si="137"/>
        <v>6.1</v>
      </c>
      <c r="R340" s="162" t="b">
        <f t="shared" si="131"/>
        <v>0</v>
      </c>
    </row>
    <row r="341" spans="1:18">
      <c r="A341" s="129" t="s">
        <v>424</v>
      </c>
      <c r="B341" s="129" t="s">
        <v>4132</v>
      </c>
      <c r="C341" s="129">
        <v>7058</v>
      </c>
      <c r="D341" s="129" t="s">
        <v>2946</v>
      </c>
      <c r="E341" s="129">
        <v>149</v>
      </c>
      <c r="F341" s="129">
        <v>0</v>
      </c>
      <c r="G341" s="129">
        <v>59</v>
      </c>
      <c r="H341" s="129">
        <v>0</v>
      </c>
      <c r="I341" s="129">
        <v>39.6</v>
      </c>
      <c r="J341" s="129">
        <v>0</v>
      </c>
      <c r="K341" s="129">
        <v>1.9</v>
      </c>
      <c r="L341" s="129">
        <f t="shared" si="132"/>
        <v>149</v>
      </c>
      <c r="M341" s="129">
        <f t="shared" si="133"/>
        <v>59</v>
      </c>
      <c r="N341" s="128">
        <f t="shared" si="134"/>
        <v>0.39600000000000002</v>
      </c>
      <c r="O341" s="164">
        <f t="shared" si="135"/>
        <v>1.9</v>
      </c>
      <c r="P341" s="185">
        <f t="shared" si="136"/>
        <v>0</v>
      </c>
      <c r="Q341" s="185">
        <f t="shared" si="137"/>
        <v>1.9</v>
      </c>
      <c r="R341" s="162" t="b">
        <f t="shared" si="131"/>
        <v>0</v>
      </c>
    </row>
    <row r="342" spans="1:18">
      <c r="A342" s="129" t="s">
        <v>446</v>
      </c>
      <c r="B342" s="129" t="s">
        <v>3921</v>
      </c>
      <c r="C342" s="129">
        <v>7692</v>
      </c>
      <c r="D342" s="129" t="s">
        <v>3130</v>
      </c>
      <c r="E342" s="129">
        <v>169</v>
      </c>
      <c r="F342" s="129">
        <v>0</v>
      </c>
      <c r="G342" s="129">
        <v>96</v>
      </c>
      <c r="H342" s="129">
        <v>0</v>
      </c>
      <c r="I342" s="129">
        <v>56.8</v>
      </c>
      <c r="J342" s="129">
        <v>10.1</v>
      </c>
      <c r="K342" s="129">
        <v>0</v>
      </c>
      <c r="L342" s="129">
        <f t="shared" si="132"/>
        <v>169</v>
      </c>
      <c r="M342" s="129">
        <f t="shared" si="133"/>
        <v>96</v>
      </c>
      <c r="N342" s="128">
        <f t="shared" si="134"/>
        <v>0.56799999999999995</v>
      </c>
      <c r="O342" s="164">
        <f t="shared" si="135"/>
        <v>0</v>
      </c>
      <c r="P342" s="185">
        <f t="shared" si="136"/>
        <v>10.1</v>
      </c>
      <c r="Q342" s="185">
        <f t="shared" si="137"/>
        <v>10.1</v>
      </c>
      <c r="R342" s="162" t="b">
        <f t="shared" si="131"/>
        <v>0</v>
      </c>
    </row>
    <row r="343" spans="1:18">
      <c r="A343" s="129" t="s">
        <v>446</v>
      </c>
      <c r="B343" s="129" t="s">
        <v>3921</v>
      </c>
      <c r="C343" s="129">
        <v>7694</v>
      </c>
      <c r="D343" s="129" t="s">
        <v>3132</v>
      </c>
      <c r="E343" s="129">
        <v>77</v>
      </c>
      <c r="F343" s="129">
        <v>0</v>
      </c>
      <c r="G343" s="129">
        <v>25</v>
      </c>
      <c r="H343" s="129">
        <v>0</v>
      </c>
      <c r="I343" s="129">
        <v>32.5</v>
      </c>
      <c r="J343" s="129">
        <v>0</v>
      </c>
      <c r="K343" s="129">
        <v>0</v>
      </c>
      <c r="L343" s="129">
        <f t="shared" si="132"/>
        <v>77</v>
      </c>
      <c r="M343" s="129">
        <f t="shared" si="133"/>
        <v>25</v>
      </c>
      <c r="N343" s="128">
        <f t="shared" si="134"/>
        <v>0.32469999999999999</v>
      </c>
      <c r="O343" s="164">
        <f t="shared" si="135"/>
        <v>0</v>
      </c>
      <c r="P343" s="185">
        <f t="shared" si="136"/>
        <v>0</v>
      </c>
      <c r="Q343" s="185">
        <f t="shared" si="137"/>
        <v>0</v>
      </c>
      <c r="R343" s="162" t="b">
        <f t="shared" si="131"/>
        <v>0</v>
      </c>
    </row>
    <row r="344" spans="1:18">
      <c r="A344" s="129" t="s">
        <v>451</v>
      </c>
      <c r="B344" s="129" t="s">
        <v>3926</v>
      </c>
      <c r="C344" s="129">
        <v>7821</v>
      </c>
      <c r="D344" s="129" t="s">
        <v>3166</v>
      </c>
      <c r="E344" s="129">
        <v>57</v>
      </c>
      <c r="F344" s="129">
        <v>0</v>
      </c>
      <c r="G344" s="129">
        <v>29</v>
      </c>
      <c r="H344" s="129">
        <v>0</v>
      </c>
      <c r="I344" s="129">
        <v>50.9</v>
      </c>
      <c r="J344" s="129">
        <v>3</v>
      </c>
      <c r="K344" s="129">
        <v>0</v>
      </c>
      <c r="L344" s="129">
        <f t="shared" si="132"/>
        <v>57</v>
      </c>
      <c r="M344" s="129">
        <f t="shared" si="133"/>
        <v>29</v>
      </c>
      <c r="N344" s="128">
        <f t="shared" si="134"/>
        <v>0.50880000000000003</v>
      </c>
      <c r="O344" s="164">
        <f t="shared" si="135"/>
        <v>0</v>
      </c>
      <c r="P344" s="185">
        <f t="shared" si="136"/>
        <v>3</v>
      </c>
      <c r="Q344" s="185">
        <f t="shared" si="137"/>
        <v>3</v>
      </c>
      <c r="R344" s="162" t="b">
        <f t="shared" si="131"/>
        <v>0</v>
      </c>
    </row>
    <row r="345" spans="1:18">
      <c r="A345" s="129" t="s">
        <v>451</v>
      </c>
      <c r="B345" s="129" t="s">
        <v>3926</v>
      </c>
      <c r="C345" s="129">
        <v>7832</v>
      </c>
      <c r="D345" s="129" t="s">
        <v>2794</v>
      </c>
      <c r="E345" s="129">
        <v>261</v>
      </c>
      <c r="F345" s="129">
        <v>0</v>
      </c>
      <c r="G345" s="129">
        <v>117</v>
      </c>
      <c r="H345" s="129">
        <v>0</v>
      </c>
      <c r="I345" s="129">
        <v>44.8</v>
      </c>
      <c r="J345" s="129">
        <v>0</v>
      </c>
      <c r="K345" s="129">
        <v>8.1</v>
      </c>
      <c r="L345" s="129">
        <f t="shared" si="132"/>
        <v>261</v>
      </c>
      <c r="M345" s="129">
        <f t="shared" si="133"/>
        <v>117</v>
      </c>
      <c r="N345" s="128">
        <f t="shared" si="134"/>
        <v>0.44829999999999998</v>
      </c>
      <c r="O345" s="164">
        <f t="shared" si="135"/>
        <v>8.1</v>
      </c>
      <c r="P345" s="185">
        <f t="shared" si="136"/>
        <v>0</v>
      </c>
      <c r="Q345" s="185">
        <f t="shared" si="137"/>
        <v>8.1</v>
      </c>
      <c r="R345" s="162" t="b">
        <f t="shared" si="131"/>
        <v>0</v>
      </c>
    </row>
    <row r="346" spans="1:18">
      <c r="A346" s="129" t="s">
        <v>451</v>
      </c>
      <c r="B346" s="129" t="s">
        <v>3926</v>
      </c>
      <c r="C346" s="129">
        <v>7838</v>
      </c>
      <c r="D346" s="129" t="s">
        <v>3169</v>
      </c>
      <c r="E346" s="129">
        <v>294</v>
      </c>
      <c r="F346" s="129">
        <v>0</v>
      </c>
      <c r="G346" s="129">
        <v>121</v>
      </c>
      <c r="H346" s="129">
        <v>0</v>
      </c>
      <c r="I346" s="129">
        <v>41.2</v>
      </c>
      <c r="J346" s="129">
        <v>0</v>
      </c>
      <c r="K346" s="129">
        <v>5.2</v>
      </c>
      <c r="L346" s="129">
        <f t="shared" si="132"/>
        <v>294</v>
      </c>
      <c r="M346" s="129">
        <f t="shared" si="133"/>
        <v>121</v>
      </c>
      <c r="N346" s="128">
        <f t="shared" si="134"/>
        <v>0.41160000000000002</v>
      </c>
      <c r="O346" s="164">
        <f t="shared" si="135"/>
        <v>5.2</v>
      </c>
      <c r="P346" s="185">
        <f t="shared" si="136"/>
        <v>0</v>
      </c>
      <c r="Q346" s="185">
        <f t="shared" si="137"/>
        <v>5.2</v>
      </c>
      <c r="R346" s="162" t="b">
        <f t="shared" si="131"/>
        <v>0</v>
      </c>
    </row>
    <row r="347" spans="1:18">
      <c r="A347" s="129" t="s">
        <v>453</v>
      </c>
      <c r="B347" s="129" t="s">
        <v>3928</v>
      </c>
      <c r="C347" s="129">
        <v>7946</v>
      </c>
      <c r="D347" s="129" t="s">
        <v>2030</v>
      </c>
      <c r="E347" s="129">
        <v>253</v>
      </c>
      <c r="F347" s="129">
        <v>0</v>
      </c>
      <c r="G347" s="129">
        <v>139</v>
      </c>
      <c r="H347" s="129">
        <v>0</v>
      </c>
      <c r="I347" s="129">
        <v>54.9</v>
      </c>
      <c r="J347" s="129">
        <v>14.6</v>
      </c>
      <c r="K347" s="129">
        <v>0</v>
      </c>
      <c r="L347" s="129">
        <f t="shared" si="132"/>
        <v>253</v>
      </c>
      <c r="M347" s="129">
        <f t="shared" si="133"/>
        <v>139</v>
      </c>
      <c r="N347" s="128">
        <f t="shared" si="134"/>
        <v>0.5494</v>
      </c>
      <c r="O347" s="164">
        <f t="shared" si="135"/>
        <v>0</v>
      </c>
      <c r="P347" s="185">
        <f t="shared" si="136"/>
        <v>14.6</v>
      </c>
      <c r="Q347" s="185">
        <f t="shared" si="137"/>
        <v>14.6</v>
      </c>
      <c r="R347" s="162" t="b">
        <f t="shared" si="131"/>
        <v>0</v>
      </c>
    </row>
    <row r="348" spans="1:18">
      <c r="A348" s="129" t="s">
        <v>453</v>
      </c>
      <c r="B348" s="129" t="s">
        <v>3928</v>
      </c>
      <c r="C348" s="129">
        <v>7950</v>
      </c>
      <c r="D348" s="129" t="s">
        <v>2546</v>
      </c>
      <c r="E348" s="129">
        <v>369</v>
      </c>
      <c r="F348" s="129">
        <v>0</v>
      </c>
      <c r="G348" s="129">
        <v>112</v>
      </c>
      <c r="H348" s="129">
        <v>0</v>
      </c>
      <c r="I348" s="129">
        <v>30.4</v>
      </c>
      <c r="J348" s="129">
        <v>0</v>
      </c>
      <c r="K348" s="129">
        <v>0</v>
      </c>
      <c r="L348" s="129">
        <f t="shared" si="132"/>
        <v>369</v>
      </c>
      <c r="M348" s="129">
        <f t="shared" si="133"/>
        <v>112</v>
      </c>
      <c r="N348" s="128">
        <f t="shared" si="134"/>
        <v>0.30349999999999999</v>
      </c>
      <c r="O348" s="164">
        <f t="shared" si="135"/>
        <v>0</v>
      </c>
      <c r="P348" s="185">
        <f t="shared" si="136"/>
        <v>0</v>
      </c>
      <c r="Q348" s="185">
        <f t="shared" si="137"/>
        <v>0</v>
      </c>
      <c r="R348" s="162" t="b">
        <f t="shared" si="131"/>
        <v>0</v>
      </c>
    </row>
    <row r="349" spans="1:18">
      <c r="A349" s="129" t="s">
        <v>453</v>
      </c>
      <c r="B349" s="129" t="s">
        <v>3928</v>
      </c>
      <c r="C349" s="129">
        <v>7952</v>
      </c>
      <c r="D349" s="129" t="s">
        <v>3179</v>
      </c>
      <c r="E349" s="129">
        <v>731</v>
      </c>
      <c r="F349" s="129">
        <v>0</v>
      </c>
      <c r="G349" s="129">
        <v>262</v>
      </c>
      <c r="H349" s="129">
        <v>0</v>
      </c>
      <c r="I349" s="129">
        <v>35.799999999999997</v>
      </c>
      <c r="J349" s="129">
        <v>0</v>
      </c>
      <c r="K349" s="129">
        <v>1.5</v>
      </c>
      <c r="L349" s="129">
        <f t="shared" si="132"/>
        <v>731</v>
      </c>
      <c r="M349" s="129">
        <f t="shared" si="133"/>
        <v>262</v>
      </c>
      <c r="N349" s="128">
        <f t="shared" si="134"/>
        <v>0.3584</v>
      </c>
      <c r="O349" s="164">
        <f t="shared" si="135"/>
        <v>1.5</v>
      </c>
      <c r="P349" s="185">
        <f t="shared" si="136"/>
        <v>0</v>
      </c>
      <c r="Q349" s="185">
        <f t="shared" si="137"/>
        <v>1.5</v>
      </c>
      <c r="R349" s="162" t="b">
        <f t="shared" si="131"/>
        <v>0</v>
      </c>
    </row>
    <row r="350" spans="1:18">
      <c r="A350" s="129" t="s">
        <v>453</v>
      </c>
      <c r="B350" s="129" t="s">
        <v>3928</v>
      </c>
      <c r="C350" s="129">
        <v>7954</v>
      </c>
      <c r="D350" s="129" t="s">
        <v>3181</v>
      </c>
      <c r="E350" s="129">
        <v>1013</v>
      </c>
      <c r="F350" s="129">
        <v>0</v>
      </c>
      <c r="G350" s="129">
        <v>317</v>
      </c>
      <c r="H350" s="129">
        <v>0</v>
      </c>
      <c r="I350" s="129">
        <v>31.3</v>
      </c>
      <c r="J350" s="129">
        <v>0</v>
      </c>
      <c r="K350" s="129">
        <v>0</v>
      </c>
      <c r="L350" s="129">
        <f t="shared" si="132"/>
        <v>1013</v>
      </c>
      <c r="M350" s="129">
        <f t="shared" si="133"/>
        <v>317</v>
      </c>
      <c r="N350" s="128">
        <f t="shared" si="134"/>
        <v>0.31290000000000001</v>
      </c>
      <c r="O350" s="164">
        <f t="shared" si="135"/>
        <v>0</v>
      </c>
      <c r="P350" s="185">
        <f t="shared" si="136"/>
        <v>0</v>
      </c>
      <c r="Q350" s="185">
        <f t="shared" si="137"/>
        <v>0</v>
      </c>
      <c r="R350" s="162" t="b">
        <f t="shared" si="131"/>
        <v>0</v>
      </c>
    </row>
    <row r="351" spans="1:18">
      <c r="A351" s="129" t="s">
        <v>453</v>
      </c>
      <c r="B351" s="129" t="s">
        <v>3928</v>
      </c>
      <c r="C351" s="129">
        <v>7956</v>
      </c>
      <c r="D351" s="129" t="s">
        <v>3183</v>
      </c>
      <c r="E351" s="129">
        <v>396</v>
      </c>
      <c r="F351" s="129">
        <v>0</v>
      </c>
      <c r="G351" s="129">
        <v>129</v>
      </c>
      <c r="H351" s="129">
        <v>0</v>
      </c>
      <c r="I351" s="129">
        <v>32.6</v>
      </c>
      <c r="J351" s="129">
        <v>0</v>
      </c>
      <c r="K351" s="129">
        <v>0</v>
      </c>
      <c r="L351" s="129">
        <f t="shared" si="132"/>
        <v>396</v>
      </c>
      <c r="M351" s="129">
        <f t="shared" si="133"/>
        <v>129</v>
      </c>
      <c r="N351" s="128">
        <f t="shared" si="134"/>
        <v>0.32579999999999998</v>
      </c>
      <c r="O351" s="164">
        <f t="shared" si="135"/>
        <v>0</v>
      </c>
      <c r="P351" s="185">
        <f t="shared" si="136"/>
        <v>0</v>
      </c>
      <c r="Q351" s="185">
        <f t="shared" si="137"/>
        <v>0</v>
      </c>
      <c r="R351" s="162" t="b">
        <f t="shared" si="131"/>
        <v>0</v>
      </c>
    </row>
    <row r="352" spans="1:18">
      <c r="A352" s="129" t="s">
        <v>453</v>
      </c>
      <c r="B352" s="129" t="s">
        <v>3928</v>
      </c>
      <c r="C352" s="129">
        <v>7959</v>
      </c>
      <c r="D352" s="129" t="s">
        <v>2736</v>
      </c>
      <c r="E352" s="129">
        <v>394</v>
      </c>
      <c r="F352" s="129">
        <v>0</v>
      </c>
      <c r="G352" s="129">
        <v>111</v>
      </c>
      <c r="H352" s="129">
        <v>0</v>
      </c>
      <c r="I352" s="129">
        <v>28.2</v>
      </c>
      <c r="J352" s="129">
        <v>0</v>
      </c>
      <c r="K352" s="129">
        <v>0</v>
      </c>
      <c r="L352" s="129">
        <f t="shared" si="132"/>
        <v>394</v>
      </c>
      <c r="M352" s="129">
        <f t="shared" si="133"/>
        <v>111</v>
      </c>
      <c r="N352" s="128">
        <f t="shared" si="134"/>
        <v>0.28170000000000001</v>
      </c>
      <c r="O352" s="164">
        <f t="shared" si="135"/>
        <v>0</v>
      </c>
      <c r="P352" s="185">
        <f t="shared" si="136"/>
        <v>0</v>
      </c>
      <c r="Q352" s="185">
        <f t="shared" si="137"/>
        <v>0</v>
      </c>
      <c r="R352" s="162" t="b">
        <f t="shared" si="131"/>
        <v>0</v>
      </c>
    </row>
    <row r="353" spans="1:18">
      <c r="A353" s="129" t="s">
        <v>472</v>
      </c>
      <c r="B353" s="129" t="s">
        <v>3946</v>
      </c>
      <c r="C353" s="129">
        <v>8702</v>
      </c>
      <c r="D353" s="129" t="s">
        <v>1417</v>
      </c>
      <c r="E353" s="129">
        <v>221</v>
      </c>
      <c r="F353" s="129">
        <v>0</v>
      </c>
      <c r="G353" s="129">
        <v>133</v>
      </c>
      <c r="H353" s="129">
        <v>0</v>
      </c>
      <c r="I353" s="129">
        <v>60.2</v>
      </c>
      <c r="J353" s="129">
        <v>14</v>
      </c>
      <c r="K353" s="129">
        <v>0</v>
      </c>
      <c r="L353" s="129">
        <f t="shared" si="132"/>
        <v>221</v>
      </c>
      <c r="M353" s="129">
        <f t="shared" si="133"/>
        <v>133</v>
      </c>
      <c r="N353" s="128">
        <f t="shared" si="134"/>
        <v>0.6018</v>
      </c>
      <c r="O353" s="164">
        <f t="shared" si="135"/>
        <v>0</v>
      </c>
      <c r="P353" s="185">
        <f t="shared" si="136"/>
        <v>14</v>
      </c>
      <c r="Q353" s="185">
        <f t="shared" si="137"/>
        <v>14</v>
      </c>
      <c r="R353" s="162" t="b">
        <f t="shared" si="131"/>
        <v>0</v>
      </c>
    </row>
    <row r="354" spans="1:18">
      <c r="A354" s="129" t="s">
        <v>472</v>
      </c>
      <c r="B354" s="129" t="s">
        <v>3946</v>
      </c>
      <c r="C354" s="129">
        <v>8704</v>
      </c>
      <c r="D354" s="129" t="s">
        <v>2030</v>
      </c>
      <c r="E354" s="129">
        <v>218</v>
      </c>
      <c r="F354" s="129">
        <v>0</v>
      </c>
      <c r="G354" s="129">
        <v>129</v>
      </c>
      <c r="H354" s="129">
        <v>0</v>
      </c>
      <c r="I354" s="129">
        <v>59.2</v>
      </c>
      <c r="J354" s="129">
        <v>13.5</v>
      </c>
      <c r="K354" s="129">
        <v>0</v>
      </c>
      <c r="L354" s="129">
        <f t="shared" si="132"/>
        <v>218</v>
      </c>
      <c r="M354" s="129">
        <f t="shared" si="133"/>
        <v>129</v>
      </c>
      <c r="N354" s="128">
        <f t="shared" si="134"/>
        <v>0.5917</v>
      </c>
      <c r="O354" s="164">
        <f t="shared" si="135"/>
        <v>0</v>
      </c>
      <c r="P354" s="185">
        <f t="shared" si="136"/>
        <v>13.5</v>
      </c>
      <c r="Q354" s="185">
        <f t="shared" si="137"/>
        <v>13.5</v>
      </c>
      <c r="R354" s="162" t="b">
        <f t="shared" si="131"/>
        <v>0</v>
      </c>
    </row>
    <row r="355" spans="1:18">
      <c r="A355" s="129" t="s">
        <v>472</v>
      </c>
      <c r="B355" s="129" t="s">
        <v>3946</v>
      </c>
      <c r="C355" s="129">
        <v>8710</v>
      </c>
      <c r="D355" s="129" t="s">
        <v>3452</v>
      </c>
      <c r="E355" s="129">
        <v>371</v>
      </c>
      <c r="F355" s="129">
        <v>0</v>
      </c>
      <c r="G355" s="129">
        <v>193</v>
      </c>
      <c r="H355" s="129">
        <v>0</v>
      </c>
      <c r="I355" s="129">
        <v>52</v>
      </c>
      <c r="J355" s="129">
        <v>20.3</v>
      </c>
      <c r="K355" s="129">
        <v>0</v>
      </c>
      <c r="L355" s="129">
        <f t="shared" si="132"/>
        <v>371</v>
      </c>
      <c r="M355" s="129">
        <f t="shared" si="133"/>
        <v>193</v>
      </c>
      <c r="N355" s="128">
        <f t="shared" si="134"/>
        <v>0.5202</v>
      </c>
      <c r="O355" s="164">
        <f t="shared" si="135"/>
        <v>0</v>
      </c>
      <c r="P355" s="185">
        <f t="shared" si="136"/>
        <v>20.3</v>
      </c>
      <c r="Q355" s="185">
        <f t="shared" si="137"/>
        <v>20.3</v>
      </c>
      <c r="R355" s="162" t="b">
        <f t="shared" si="131"/>
        <v>0</v>
      </c>
    </row>
    <row r="356" spans="1:18">
      <c r="A356" s="129" t="s">
        <v>315</v>
      </c>
      <c r="B356" s="129" t="s">
        <v>3800</v>
      </c>
      <c r="C356" s="129">
        <v>3780</v>
      </c>
      <c r="D356" s="129" t="s">
        <v>2245</v>
      </c>
      <c r="E356" s="129">
        <v>434</v>
      </c>
      <c r="F356" s="129">
        <v>0</v>
      </c>
      <c r="G356" s="129">
        <v>207</v>
      </c>
      <c r="H356" s="129">
        <v>0</v>
      </c>
      <c r="I356" s="129">
        <v>47.7</v>
      </c>
      <c r="J356" s="129">
        <v>0</v>
      </c>
      <c r="K356" s="129">
        <v>18.399999999999999</v>
      </c>
      <c r="L356" s="129">
        <f t="shared" ref="L356:L364" si="138">SUM(E356:F356)</f>
        <v>434</v>
      </c>
      <c r="M356" s="129">
        <f t="shared" ref="M356:M364" si="139">SUM(G356:H356)</f>
        <v>207</v>
      </c>
      <c r="N356" s="128">
        <f t="shared" ref="N356:N364" si="140">IF(ISERROR(M356/L356),0,M356/L356)</f>
        <v>0.47699999999999998</v>
      </c>
      <c r="O356" s="164">
        <f t="shared" ref="O356:O364" si="141">IF(AND((N356-35%)&gt;0,N356&lt;50%),M356*(N356-35%)*0.7,0)</f>
        <v>18.399999999999999</v>
      </c>
      <c r="P356" s="185">
        <f t="shared" ref="P356:P364" si="142">IF(N356&gt;=50%,M356*10.5%,0)</f>
        <v>0</v>
      </c>
      <c r="Q356" s="185">
        <f t="shared" ref="Q356:Q364" si="143">MAX(O356,P356)</f>
        <v>18.399999999999999</v>
      </c>
      <c r="R356" s="162" t="b">
        <f t="shared" si="131"/>
        <v>0</v>
      </c>
    </row>
    <row r="357" spans="1:18">
      <c r="A357" s="129" t="s">
        <v>315</v>
      </c>
      <c r="B357" s="129" t="s">
        <v>3800</v>
      </c>
      <c r="C357" s="129">
        <v>3793</v>
      </c>
      <c r="D357" s="129" t="s">
        <v>2247</v>
      </c>
      <c r="E357" s="129">
        <v>184</v>
      </c>
      <c r="F357" s="129">
        <v>0</v>
      </c>
      <c r="G357" s="129">
        <v>91</v>
      </c>
      <c r="H357" s="129">
        <v>0</v>
      </c>
      <c r="I357" s="129">
        <v>49.5</v>
      </c>
      <c r="J357" s="129">
        <v>0</v>
      </c>
      <c r="K357" s="129">
        <v>9.1999999999999993</v>
      </c>
      <c r="L357" s="129">
        <f t="shared" si="138"/>
        <v>184</v>
      </c>
      <c r="M357" s="129">
        <f t="shared" si="139"/>
        <v>91</v>
      </c>
      <c r="N357" s="128">
        <f t="shared" si="140"/>
        <v>0.49459999999999998</v>
      </c>
      <c r="O357" s="164">
        <f t="shared" si="141"/>
        <v>9.1999999999999993</v>
      </c>
      <c r="P357" s="185">
        <f t="shared" si="142"/>
        <v>0</v>
      </c>
      <c r="Q357" s="185">
        <f t="shared" si="143"/>
        <v>9.1999999999999993</v>
      </c>
      <c r="R357" s="162" t="b">
        <f t="shared" si="131"/>
        <v>0</v>
      </c>
    </row>
    <row r="358" spans="1:18">
      <c r="A358" s="129" t="s">
        <v>315</v>
      </c>
      <c r="B358" s="129" t="s">
        <v>3800</v>
      </c>
      <c r="C358" s="129">
        <v>3794</v>
      </c>
      <c r="D358" s="129" t="s">
        <v>2249</v>
      </c>
      <c r="E358" s="129">
        <v>493</v>
      </c>
      <c r="F358" s="129">
        <v>0</v>
      </c>
      <c r="G358" s="129">
        <v>206</v>
      </c>
      <c r="H358" s="129">
        <v>0</v>
      </c>
      <c r="I358" s="129">
        <v>41.8</v>
      </c>
      <c r="J358" s="129">
        <v>0</v>
      </c>
      <c r="K358" s="129">
        <v>9.8000000000000007</v>
      </c>
      <c r="L358" s="129">
        <f t="shared" si="138"/>
        <v>493</v>
      </c>
      <c r="M358" s="129">
        <f t="shared" si="139"/>
        <v>206</v>
      </c>
      <c r="N358" s="128">
        <f t="shared" si="140"/>
        <v>0.4178</v>
      </c>
      <c r="O358" s="164">
        <f t="shared" si="141"/>
        <v>9.8000000000000007</v>
      </c>
      <c r="P358" s="185">
        <f t="shared" si="142"/>
        <v>0</v>
      </c>
      <c r="Q358" s="185">
        <f t="shared" si="143"/>
        <v>9.8000000000000007</v>
      </c>
      <c r="R358" s="162" t="b">
        <f t="shared" si="131"/>
        <v>0</v>
      </c>
    </row>
    <row r="359" spans="1:18">
      <c r="A359" s="129" t="s">
        <v>391</v>
      </c>
      <c r="B359" s="129" t="s">
        <v>4133</v>
      </c>
      <c r="C359" s="129">
        <v>5871</v>
      </c>
      <c r="D359" s="129" t="s">
        <v>2707</v>
      </c>
      <c r="E359" s="129">
        <v>729</v>
      </c>
      <c r="F359" s="129">
        <v>0</v>
      </c>
      <c r="G359" s="129">
        <v>433</v>
      </c>
      <c r="H359" s="129">
        <v>0</v>
      </c>
      <c r="I359" s="129">
        <v>59.4</v>
      </c>
      <c r="J359" s="129">
        <v>45.5</v>
      </c>
      <c r="K359" s="129">
        <v>0</v>
      </c>
      <c r="L359" s="129">
        <f t="shared" si="138"/>
        <v>729</v>
      </c>
      <c r="M359" s="129">
        <f t="shared" si="139"/>
        <v>433</v>
      </c>
      <c r="N359" s="128">
        <f t="shared" si="140"/>
        <v>0.59399999999999997</v>
      </c>
      <c r="O359" s="164">
        <f t="shared" si="141"/>
        <v>0</v>
      </c>
      <c r="P359" s="185">
        <f t="shared" si="142"/>
        <v>45.5</v>
      </c>
      <c r="Q359" s="185">
        <f t="shared" si="143"/>
        <v>45.5</v>
      </c>
      <c r="R359" s="162" t="b">
        <f t="shared" si="131"/>
        <v>0</v>
      </c>
    </row>
    <row r="360" spans="1:18">
      <c r="A360" s="129" t="s">
        <v>391</v>
      </c>
      <c r="B360" s="129" t="s">
        <v>4133</v>
      </c>
      <c r="C360" s="129">
        <v>5880</v>
      </c>
      <c r="D360" s="129" t="s">
        <v>2709</v>
      </c>
      <c r="E360" s="129">
        <v>391</v>
      </c>
      <c r="F360" s="129">
        <v>0</v>
      </c>
      <c r="G360" s="129">
        <v>202</v>
      </c>
      <c r="H360" s="129">
        <v>0</v>
      </c>
      <c r="I360" s="129">
        <v>51.7</v>
      </c>
      <c r="J360" s="129">
        <v>21.2</v>
      </c>
      <c r="K360" s="129">
        <v>0</v>
      </c>
      <c r="L360" s="129">
        <f t="shared" si="138"/>
        <v>391</v>
      </c>
      <c r="M360" s="129">
        <f t="shared" si="139"/>
        <v>202</v>
      </c>
      <c r="N360" s="128">
        <f t="shared" si="140"/>
        <v>0.51659999999999995</v>
      </c>
      <c r="O360" s="164">
        <f t="shared" si="141"/>
        <v>0</v>
      </c>
      <c r="P360" s="185">
        <f t="shared" si="142"/>
        <v>21.2</v>
      </c>
      <c r="Q360" s="185">
        <f t="shared" si="143"/>
        <v>21.2</v>
      </c>
      <c r="R360" s="162" t="b">
        <f t="shared" si="131"/>
        <v>0</v>
      </c>
    </row>
    <row r="361" spans="1:18">
      <c r="A361" s="129" t="s">
        <v>391</v>
      </c>
      <c r="B361" s="129" t="s">
        <v>4133</v>
      </c>
      <c r="C361" s="129">
        <v>5882</v>
      </c>
      <c r="D361" s="129" t="s">
        <v>2711</v>
      </c>
      <c r="E361" s="129">
        <v>567</v>
      </c>
      <c r="F361" s="129">
        <v>0</v>
      </c>
      <c r="G361" s="129">
        <v>262</v>
      </c>
      <c r="H361" s="129">
        <v>0</v>
      </c>
      <c r="I361" s="129">
        <v>46.2</v>
      </c>
      <c r="J361" s="129">
        <v>0</v>
      </c>
      <c r="K361" s="129">
        <v>20.6</v>
      </c>
      <c r="L361" s="129">
        <f t="shared" si="138"/>
        <v>567</v>
      </c>
      <c r="M361" s="129">
        <f t="shared" si="139"/>
        <v>262</v>
      </c>
      <c r="N361" s="128">
        <f t="shared" si="140"/>
        <v>0.46210000000000001</v>
      </c>
      <c r="O361" s="164">
        <f t="shared" si="141"/>
        <v>20.6</v>
      </c>
      <c r="P361" s="185">
        <f t="shared" si="142"/>
        <v>0</v>
      </c>
      <c r="Q361" s="185">
        <f t="shared" si="143"/>
        <v>20.6</v>
      </c>
      <c r="R361" s="162" t="b">
        <f t="shared" si="131"/>
        <v>0</v>
      </c>
    </row>
    <row r="362" spans="1:18">
      <c r="A362" s="129" t="s">
        <v>433</v>
      </c>
      <c r="B362" s="129" t="s">
        <v>3908</v>
      </c>
      <c r="C362" s="129">
        <v>7298</v>
      </c>
      <c r="D362" s="129" t="s">
        <v>3025</v>
      </c>
      <c r="E362" s="129">
        <v>638</v>
      </c>
      <c r="F362" s="129">
        <v>0</v>
      </c>
      <c r="G362" s="129">
        <v>133</v>
      </c>
      <c r="H362" s="129">
        <v>0</v>
      </c>
      <c r="I362" s="129">
        <v>20.9</v>
      </c>
      <c r="J362" s="129">
        <v>0</v>
      </c>
      <c r="K362" s="129">
        <v>0</v>
      </c>
      <c r="L362" s="129">
        <f t="shared" si="138"/>
        <v>638</v>
      </c>
      <c r="M362" s="129">
        <f t="shared" si="139"/>
        <v>133</v>
      </c>
      <c r="N362" s="128">
        <f t="shared" si="140"/>
        <v>0.20849999999999999</v>
      </c>
      <c r="O362" s="164">
        <f t="shared" si="141"/>
        <v>0</v>
      </c>
      <c r="P362" s="185">
        <f t="shared" si="142"/>
        <v>0</v>
      </c>
      <c r="Q362" s="185">
        <f t="shared" si="143"/>
        <v>0</v>
      </c>
      <c r="R362" s="162" t="b">
        <f t="shared" si="131"/>
        <v>0</v>
      </c>
    </row>
    <row r="363" spans="1:18">
      <c r="A363" s="129" t="s">
        <v>433</v>
      </c>
      <c r="B363" s="129" t="s">
        <v>3908</v>
      </c>
      <c r="C363" s="129">
        <v>7299</v>
      </c>
      <c r="D363" s="129" t="s">
        <v>3027</v>
      </c>
      <c r="E363" s="129">
        <v>422</v>
      </c>
      <c r="F363" s="129">
        <v>0</v>
      </c>
      <c r="G363" s="129">
        <v>89</v>
      </c>
      <c r="H363" s="129">
        <v>0</v>
      </c>
      <c r="I363" s="129">
        <v>21.1</v>
      </c>
      <c r="J363" s="129">
        <v>0</v>
      </c>
      <c r="K363" s="129">
        <v>0</v>
      </c>
      <c r="L363" s="129">
        <f t="shared" si="138"/>
        <v>422</v>
      </c>
      <c r="M363" s="129">
        <f t="shared" si="139"/>
        <v>89</v>
      </c>
      <c r="N363" s="128">
        <f t="shared" si="140"/>
        <v>0.2109</v>
      </c>
      <c r="O363" s="164">
        <f t="shared" si="141"/>
        <v>0</v>
      </c>
      <c r="P363" s="185">
        <f t="shared" si="142"/>
        <v>0</v>
      </c>
      <c r="Q363" s="185">
        <f t="shared" si="143"/>
        <v>0</v>
      </c>
      <c r="R363" s="162" t="b">
        <f t="shared" si="131"/>
        <v>0</v>
      </c>
    </row>
    <row r="364" spans="1:18">
      <c r="A364" s="129" t="s">
        <v>433</v>
      </c>
      <c r="B364" s="129" t="s">
        <v>3908</v>
      </c>
      <c r="C364" s="129">
        <v>7300</v>
      </c>
      <c r="D364" s="129" t="s">
        <v>3029</v>
      </c>
      <c r="E364" s="129">
        <v>880</v>
      </c>
      <c r="F364" s="129">
        <v>0</v>
      </c>
      <c r="G364" s="129">
        <v>222</v>
      </c>
      <c r="H364" s="129">
        <v>0</v>
      </c>
      <c r="I364" s="129">
        <v>25.2</v>
      </c>
      <c r="J364" s="129">
        <v>0</v>
      </c>
      <c r="K364" s="129">
        <v>0</v>
      </c>
      <c r="L364" s="129">
        <f t="shared" si="138"/>
        <v>880</v>
      </c>
      <c r="M364" s="129">
        <f t="shared" si="139"/>
        <v>222</v>
      </c>
      <c r="N364" s="128">
        <f t="shared" si="140"/>
        <v>0.25230000000000002</v>
      </c>
      <c r="O364" s="164">
        <f t="shared" si="141"/>
        <v>0</v>
      </c>
      <c r="P364" s="185">
        <f t="shared" si="142"/>
        <v>0</v>
      </c>
      <c r="Q364" s="185">
        <f t="shared" si="143"/>
        <v>0</v>
      </c>
      <c r="R364" s="162" t="b">
        <f t="shared" si="131"/>
        <v>0</v>
      </c>
    </row>
    <row r="365" spans="1:18">
      <c r="A365" s="129" t="s">
        <v>222</v>
      </c>
      <c r="B365" s="129" t="s">
        <v>3715</v>
      </c>
      <c r="C365" s="129">
        <v>552</v>
      </c>
      <c r="D365" s="129" t="s">
        <v>1241</v>
      </c>
      <c r="E365" s="129">
        <v>82</v>
      </c>
      <c r="F365" s="129">
        <v>0</v>
      </c>
      <c r="G365" s="129">
        <v>34</v>
      </c>
      <c r="H365" s="129">
        <v>0</v>
      </c>
      <c r="I365" s="129">
        <v>41.5</v>
      </c>
      <c r="J365" s="129">
        <v>0</v>
      </c>
      <c r="K365" s="129">
        <v>1.5</v>
      </c>
      <c r="L365" s="129">
        <f t="shared" ref="L365:L380" si="144">SUM(E365:F365)</f>
        <v>82</v>
      </c>
      <c r="M365" s="129">
        <f t="shared" ref="M365:M380" si="145">SUM(G365:H365)</f>
        <v>34</v>
      </c>
      <c r="N365" s="128">
        <f t="shared" ref="N365:N380" si="146">IF(ISERROR(M365/L365),0,M365/L365)</f>
        <v>0.41460000000000002</v>
      </c>
      <c r="O365" s="164">
        <f t="shared" ref="O365:O380" si="147">IF(AND((N365-35%)&gt;0,N365&lt;50%),M365*(N365-35%)*0.7,0)</f>
        <v>1.5</v>
      </c>
      <c r="P365" s="185">
        <f t="shared" ref="P365:P380" si="148">IF(N365&gt;=50%,M365*10.5%,0)</f>
        <v>0</v>
      </c>
      <c r="Q365" s="185">
        <f t="shared" ref="Q365:Q380" si="149">MAX(O365,P365)</f>
        <v>1.5</v>
      </c>
      <c r="R365" s="162" t="b">
        <f t="shared" si="131"/>
        <v>0</v>
      </c>
    </row>
    <row r="366" spans="1:18">
      <c r="A366" s="129" t="s">
        <v>222</v>
      </c>
      <c r="B366" s="129" t="s">
        <v>3715</v>
      </c>
      <c r="C366" s="129">
        <v>553</v>
      </c>
      <c r="D366" s="129" t="s">
        <v>1243</v>
      </c>
      <c r="E366" s="129">
        <v>43</v>
      </c>
      <c r="F366" s="129">
        <v>0</v>
      </c>
      <c r="G366" s="129">
        <v>11</v>
      </c>
      <c r="H366" s="129">
        <v>0</v>
      </c>
      <c r="I366" s="129">
        <v>25.6</v>
      </c>
      <c r="J366" s="129">
        <v>0</v>
      </c>
      <c r="K366" s="129">
        <v>0</v>
      </c>
      <c r="L366" s="129">
        <f t="shared" si="144"/>
        <v>43</v>
      </c>
      <c r="M366" s="129">
        <f t="shared" si="145"/>
        <v>11</v>
      </c>
      <c r="N366" s="128">
        <f t="shared" si="146"/>
        <v>0.25580000000000003</v>
      </c>
      <c r="O366" s="164">
        <f t="shared" si="147"/>
        <v>0</v>
      </c>
      <c r="P366" s="185">
        <f t="shared" si="148"/>
        <v>0</v>
      </c>
      <c r="Q366" s="185">
        <f t="shared" si="149"/>
        <v>0</v>
      </c>
      <c r="R366" s="162" t="b">
        <f t="shared" si="131"/>
        <v>0</v>
      </c>
    </row>
    <row r="367" spans="1:18">
      <c r="A367" s="129" t="s">
        <v>222</v>
      </c>
      <c r="B367" s="129" t="s">
        <v>3715</v>
      </c>
      <c r="C367" s="129">
        <v>554</v>
      </c>
      <c r="D367" s="129" t="s">
        <v>1245</v>
      </c>
      <c r="E367" s="129">
        <v>74</v>
      </c>
      <c r="F367" s="129">
        <v>0</v>
      </c>
      <c r="G367" s="129">
        <v>32</v>
      </c>
      <c r="H367" s="129">
        <v>0</v>
      </c>
      <c r="I367" s="129">
        <v>43.2</v>
      </c>
      <c r="J367" s="129">
        <v>0</v>
      </c>
      <c r="K367" s="129">
        <v>1.8</v>
      </c>
      <c r="L367" s="129">
        <f t="shared" si="144"/>
        <v>74</v>
      </c>
      <c r="M367" s="129">
        <f t="shared" si="145"/>
        <v>32</v>
      </c>
      <c r="N367" s="128">
        <f t="shared" si="146"/>
        <v>0.43240000000000001</v>
      </c>
      <c r="O367" s="164">
        <f t="shared" si="147"/>
        <v>1.8</v>
      </c>
      <c r="P367" s="185">
        <f t="shared" si="148"/>
        <v>0</v>
      </c>
      <c r="Q367" s="185">
        <f t="shared" si="149"/>
        <v>1.8</v>
      </c>
      <c r="R367" s="162" t="b">
        <f t="shared" si="131"/>
        <v>0</v>
      </c>
    </row>
    <row r="368" spans="1:18">
      <c r="A368" s="129" t="s">
        <v>276</v>
      </c>
      <c r="B368" s="129" t="s">
        <v>3766</v>
      </c>
      <c r="C368" s="129">
        <v>2489</v>
      </c>
      <c r="D368" s="129" t="s">
        <v>1998</v>
      </c>
      <c r="E368" s="129">
        <v>162</v>
      </c>
      <c r="F368" s="129">
        <v>0</v>
      </c>
      <c r="G368" s="129">
        <v>50</v>
      </c>
      <c r="H368" s="129">
        <v>0</v>
      </c>
      <c r="I368" s="129">
        <v>30.9</v>
      </c>
      <c r="J368" s="129">
        <v>0</v>
      </c>
      <c r="K368" s="129">
        <v>0</v>
      </c>
      <c r="L368" s="129">
        <f t="shared" si="144"/>
        <v>162</v>
      </c>
      <c r="M368" s="129">
        <f t="shared" si="145"/>
        <v>50</v>
      </c>
      <c r="N368" s="128">
        <f t="shared" si="146"/>
        <v>0.30859999999999999</v>
      </c>
      <c r="O368" s="164">
        <f t="shared" si="147"/>
        <v>0</v>
      </c>
      <c r="P368" s="185">
        <f t="shared" si="148"/>
        <v>0</v>
      </c>
      <c r="Q368" s="185">
        <f t="shared" si="149"/>
        <v>0</v>
      </c>
      <c r="R368" s="162" t="b">
        <f t="shared" si="131"/>
        <v>0</v>
      </c>
    </row>
    <row r="369" spans="1:18">
      <c r="A369" s="129" t="s">
        <v>276</v>
      </c>
      <c r="B369" s="129" t="s">
        <v>3766</v>
      </c>
      <c r="C369" s="129">
        <v>2491</v>
      </c>
      <c r="D369" s="129" t="s">
        <v>2000</v>
      </c>
      <c r="E369" s="129">
        <v>205</v>
      </c>
      <c r="F369" s="129">
        <v>0</v>
      </c>
      <c r="G369" s="129">
        <v>72</v>
      </c>
      <c r="H369" s="129">
        <v>0</v>
      </c>
      <c r="I369" s="129">
        <v>35.1</v>
      </c>
      <c r="J369" s="129">
        <v>0</v>
      </c>
      <c r="K369" s="129">
        <v>0.1</v>
      </c>
      <c r="L369" s="129">
        <f t="shared" si="144"/>
        <v>205</v>
      </c>
      <c r="M369" s="129">
        <f t="shared" si="145"/>
        <v>72</v>
      </c>
      <c r="N369" s="128">
        <f t="shared" si="146"/>
        <v>0.35120000000000001</v>
      </c>
      <c r="O369" s="164">
        <f t="shared" si="147"/>
        <v>0.1</v>
      </c>
      <c r="P369" s="185">
        <f t="shared" si="148"/>
        <v>0</v>
      </c>
      <c r="Q369" s="185">
        <f t="shared" si="149"/>
        <v>0.1</v>
      </c>
      <c r="R369" s="162" t="b">
        <f t="shared" si="131"/>
        <v>0</v>
      </c>
    </row>
    <row r="370" spans="1:18">
      <c r="A370" s="129" t="s">
        <v>293</v>
      </c>
      <c r="B370" s="129" t="s">
        <v>4134</v>
      </c>
      <c r="C370" s="129">
        <v>3052</v>
      </c>
      <c r="D370" s="129" t="s">
        <v>2099</v>
      </c>
      <c r="E370" s="129">
        <v>329</v>
      </c>
      <c r="F370" s="129">
        <v>0</v>
      </c>
      <c r="G370" s="129">
        <v>74</v>
      </c>
      <c r="H370" s="129">
        <v>0</v>
      </c>
      <c r="I370" s="129">
        <v>22.5</v>
      </c>
      <c r="J370" s="129">
        <v>0</v>
      </c>
      <c r="K370" s="129">
        <v>0</v>
      </c>
      <c r="L370" s="129">
        <f t="shared" si="144"/>
        <v>329</v>
      </c>
      <c r="M370" s="129">
        <f t="shared" si="145"/>
        <v>74</v>
      </c>
      <c r="N370" s="128">
        <f t="shared" si="146"/>
        <v>0.22489999999999999</v>
      </c>
      <c r="O370" s="164">
        <f t="shared" si="147"/>
        <v>0</v>
      </c>
      <c r="P370" s="185">
        <f t="shared" si="148"/>
        <v>0</v>
      </c>
      <c r="Q370" s="185">
        <f t="shared" si="149"/>
        <v>0</v>
      </c>
      <c r="R370" s="162" t="b">
        <f t="shared" si="131"/>
        <v>0</v>
      </c>
    </row>
    <row r="371" spans="1:18">
      <c r="A371" s="129" t="s">
        <v>293</v>
      </c>
      <c r="B371" s="129" t="s">
        <v>4134</v>
      </c>
      <c r="C371" s="129">
        <v>3056</v>
      </c>
      <c r="D371" s="129" t="s">
        <v>2101</v>
      </c>
      <c r="E371" s="129">
        <v>343</v>
      </c>
      <c r="F371" s="129">
        <v>0</v>
      </c>
      <c r="G371" s="129">
        <v>79</v>
      </c>
      <c r="H371" s="129">
        <v>0</v>
      </c>
      <c r="I371" s="129">
        <v>23</v>
      </c>
      <c r="J371" s="129">
        <v>0</v>
      </c>
      <c r="K371" s="129">
        <v>0</v>
      </c>
      <c r="L371" s="129">
        <f t="shared" si="144"/>
        <v>343</v>
      </c>
      <c r="M371" s="129">
        <f t="shared" si="145"/>
        <v>79</v>
      </c>
      <c r="N371" s="128">
        <f t="shared" si="146"/>
        <v>0.2303</v>
      </c>
      <c r="O371" s="164">
        <f t="shared" si="147"/>
        <v>0</v>
      </c>
      <c r="P371" s="185">
        <f t="shared" si="148"/>
        <v>0</v>
      </c>
      <c r="Q371" s="185">
        <f t="shared" si="149"/>
        <v>0</v>
      </c>
      <c r="R371" s="162" t="b">
        <f t="shared" si="131"/>
        <v>0</v>
      </c>
    </row>
    <row r="372" spans="1:18">
      <c r="A372" s="129" t="s">
        <v>298</v>
      </c>
      <c r="B372" s="129" t="s">
        <v>3786</v>
      </c>
      <c r="C372" s="129">
        <v>3218</v>
      </c>
      <c r="D372" s="129" t="s">
        <v>2135</v>
      </c>
      <c r="E372" s="129">
        <v>120</v>
      </c>
      <c r="F372" s="129">
        <v>0</v>
      </c>
      <c r="G372" s="129">
        <v>51</v>
      </c>
      <c r="H372" s="129">
        <v>0</v>
      </c>
      <c r="I372" s="129">
        <v>42.5</v>
      </c>
      <c r="J372" s="129">
        <v>0</v>
      </c>
      <c r="K372" s="129">
        <v>2.7</v>
      </c>
      <c r="L372" s="129">
        <f t="shared" si="144"/>
        <v>120</v>
      </c>
      <c r="M372" s="129">
        <f t="shared" si="145"/>
        <v>51</v>
      </c>
      <c r="N372" s="128">
        <f t="shared" si="146"/>
        <v>0.42499999999999999</v>
      </c>
      <c r="O372" s="164">
        <f t="shared" si="147"/>
        <v>2.7</v>
      </c>
      <c r="P372" s="185">
        <f t="shared" si="148"/>
        <v>0</v>
      </c>
      <c r="Q372" s="185">
        <f t="shared" si="149"/>
        <v>2.7</v>
      </c>
      <c r="R372" s="162" t="b">
        <f t="shared" si="131"/>
        <v>0</v>
      </c>
    </row>
    <row r="373" spans="1:18">
      <c r="A373" s="129" t="s">
        <v>298</v>
      </c>
      <c r="B373" s="129" t="s">
        <v>3786</v>
      </c>
      <c r="C373" s="129">
        <v>3220</v>
      </c>
      <c r="D373" s="129" t="s">
        <v>2137</v>
      </c>
      <c r="E373" s="129">
        <v>81</v>
      </c>
      <c r="F373" s="129">
        <v>0</v>
      </c>
      <c r="G373" s="129">
        <v>26</v>
      </c>
      <c r="H373" s="129">
        <v>0</v>
      </c>
      <c r="I373" s="129">
        <v>32.1</v>
      </c>
      <c r="J373" s="129">
        <v>0</v>
      </c>
      <c r="K373" s="129">
        <v>0</v>
      </c>
      <c r="L373" s="129">
        <f t="shared" si="144"/>
        <v>81</v>
      </c>
      <c r="M373" s="129">
        <f t="shared" si="145"/>
        <v>26</v>
      </c>
      <c r="N373" s="128">
        <f t="shared" si="146"/>
        <v>0.32100000000000001</v>
      </c>
      <c r="O373" s="164">
        <f t="shared" si="147"/>
        <v>0</v>
      </c>
      <c r="P373" s="185">
        <f t="shared" si="148"/>
        <v>0</v>
      </c>
      <c r="Q373" s="185">
        <f t="shared" si="149"/>
        <v>0</v>
      </c>
      <c r="R373" s="162" t="b">
        <f t="shared" si="131"/>
        <v>0</v>
      </c>
    </row>
    <row r="374" spans="1:18">
      <c r="A374" s="129" t="s">
        <v>298</v>
      </c>
      <c r="B374" s="129" t="s">
        <v>3786</v>
      </c>
      <c r="C374" s="129">
        <v>3222</v>
      </c>
      <c r="D374" s="129" t="s">
        <v>2139</v>
      </c>
      <c r="E374" s="129">
        <v>97</v>
      </c>
      <c r="F374" s="129">
        <v>0</v>
      </c>
      <c r="G374" s="129">
        <v>42</v>
      </c>
      <c r="H374" s="129">
        <v>0</v>
      </c>
      <c r="I374" s="129">
        <v>43.3</v>
      </c>
      <c r="J374" s="129">
        <v>0</v>
      </c>
      <c r="K374" s="129">
        <v>2.4</v>
      </c>
      <c r="L374" s="129">
        <f t="shared" si="144"/>
        <v>97</v>
      </c>
      <c r="M374" s="129">
        <f t="shared" si="145"/>
        <v>42</v>
      </c>
      <c r="N374" s="128">
        <f t="shared" si="146"/>
        <v>0.433</v>
      </c>
      <c r="O374" s="164">
        <f t="shared" si="147"/>
        <v>2.4</v>
      </c>
      <c r="P374" s="185">
        <f t="shared" si="148"/>
        <v>0</v>
      </c>
      <c r="Q374" s="185">
        <f t="shared" si="149"/>
        <v>2.4</v>
      </c>
      <c r="R374" s="162" t="b">
        <f t="shared" si="131"/>
        <v>0</v>
      </c>
    </row>
    <row r="375" spans="1:18">
      <c r="A375" s="129" t="s">
        <v>302</v>
      </c>
      <c r="B375" s="129" t="s">
        <v>4135</v>
      </c>
      <c r="C375" s="129">
        <v>3290</v>
      </c>
      <c r="D375" s="129" t="s">
        <v>2163</v>
      </c>
      <c r="E375" s="129">
        <v>392</v>
      </c>
      <c r="F375" s="129">
        <v>0</v>
      </c>
      <c r="G375" s="129">
        <v>136</v>
      </c>
      <c r="H375" s="129">
        <v>0</v>
      </c>
      <c r="I375" s="129">
        <v>34.700000000000003</v>
      </c>
      <c r="J375" s="129">
        <v>0</v>
      </c>
      <c r="K375" s="129">
        <v>0</v>
      </c>
      <c r="L375" s="129">
        <f t="shared" si="144"/>
        <v>392</v>
      </c>
      <c r="M375" s="129">
        <f t="shared" si="145"/>
        <v>136</v>
      </c>
      <c r="N375" s="128">
        <f t="shared" si="146"/>
        <v>0.34689999999999999</v>
      </c>
      <c r="O375" s="164">
        <f t="shared" si="147"/>
        <v>0</v>
      </c>
      <c r="P375" s="185">
        <f t="shared" si="148"/>
        <v>0</v>
      </c>
      <c r="Q375" s="185">
        <f t="shared" si="149"/>
        <v>0</v>
      </c>
      <c r="R375" s="162" t="b">
        <f t="shared" si="131"/>
        <v>0</v>
      </c>
    </row>
    <row r="376" spans="1:18">
      <c r="A376" s="129" t="s">
        <v>302</v>
      </c>
      <c r="B376" s="129" t="s">
        <v>4135</v>
      </c>
      <c r="C376" s="129">
        <v>3292</v>
      </c>
      <c r="D376" s="129" t="s">
        <v>2165</v>
      </c>
      <c r="E376" s="129">
        <v>273</v>
      </c>
      <c r="F376" s="129">
        <v>0</v>
      </c>
      <c r="G376" s="129">
        <v>73</v>
      </c>
      <c r="H376" s="129">
        <v>0</v>
      </c>
      <c r="I376" s="129">
        <v>26.7</v>
      </c>
      <c r="J376" s="129">
        <v>0</v>
      </c>
      <c r="K376" s="129">
        <v>0</v>
      </c>
      <c r="L376" s="129">
        <f t="shared" si="144"/>
        <v>273</v>
      </c>
      <c r="M376" s="129">
        <f t="shared" si="145"/>
        <v>73</v>
      </c>
      <c r="N376" s="128">
        <f t="shared" si="146"/>
        <v>0.26740000000000003</v>
      </c>
      <c r="O376" s="164">
        <f t="shared" si="147"/>
        <v>0</v>
      </c>
      <c r="P376" s="185">
        <f t="shared" si="148"/>
        <v>0</v>
      </c>
      <c r="Q376" s="185">
        <f t="shared" si="149"/>
        <v>0</v>
      </c>
      <c r="R376" s="162" t="b">
        <f t="shared" si="131"/>
        <v>0</v>
      </c>
    </row>
    <row r="377" spans="1:18">
      <c r="A377" s="129" t="s">
        <v>302</v>
      </c>
      <c r="B377" s="129" t="s">
        <v>4135</v>
      </c>
      <c r="C377" s="129">
        <v>3294</v>
      </c>
      <c r="D377" s="129" t="s">
        <v>2167</v>
      </c>
      <c r="E377" s="129">
        <v>272</v>
      </c>
      <c r="F377" s="129">
        <v>0</v>
      </c>
      <c r="G377" s="129">
        <v>65</v>
      </c>
      <c r="H377" s="129">
        <v>0</v>
      </c>
      <c r="I377" s="129">
        <v>23.9</v>
      </c>
      <c r="J377" s="129">
        <v>0</v>
      </c>
      <c r="K377" s="129">
        <v>0</v>
      </c>
      <c r="L377" s="129">
        <f t="shared" si="144"/>
        <v>272</v>
      </c>
      <c r="M377" s="129">
        <f t="shared" si="145"/>
        <v>65</v>
      </c>
      <c r="N377" s="128">
        <f t="shared" si="146"/>
        <v>0.23899999999999999</v>
      </c>
      <c r="O377" s="164">
        <f t="shared" si="147"/>
        <v>0</v>
      </c>
      <c r="P377" s="185">
        <f t="shared" si="148"/>
        <v>0</v>
      </c>
      <c r="Q377" s="185">
        <f t="shared" si="149"/>
        <v>0</v>
      </c>
      <c r="R377" s="162" t="b">
        <f t="shared" si="131"/>
        <v>0</v>
      </c>
    </row>
    <row r="378" spans="1:18">
      <c r="A378" s="129" t="s">
        <v>334</v>
      </c>
      <c r="B378" s="129" t="s">
        <v>3818</v>
      </c>
      <c r="C378" s="129">
        <v>4233</v>
      </c>
      <c r="D378" s="129" t="s">
        <v>4028</v>
      </c>
      <c r="E378" s="129">
        <v>1</v>
      </c>
      <c r="F378" s="129">
        <v>0</v>
      </c>
      <c r="H378" s="129">
        <v>0</v>
      </c>
      <c r="J378" s="129">
        <v>0</v>
      </c>
      <c r="K378" s="129">
        <v>0</v>
      </c>
      <c r="L378" s="129">
        <f t="shared" si="144"/>
        <v>1</v>
      </c>
      <c r="M378" s="129">
        <f t="shared" si="145"/>
        <v>0</v>
      </c>
      <c r="N378" s="128">
        <f t="shared" si="146"/>
        <v>0</v>
      </c>
      <c r="O378" s="164">
        <f t="shared" si="147"/>
        <v>0</v>
      </c>
      <c r="P378" s="185">
        <f t="shared" si="148"/>
        <v>0</v>
      </c>
      <c r="Q378" s="185">
        <f t="shared" si="149"/>
        <v>0</v>
      </c>
      <c r="R378" s="162" t="b">
        <f t="shared" si="131"/>
        <v>0</v>
      </c>
    </row>
    <row r="379" spans="1:18">
      <c r="A379" s="129" t="s">
        <v>398</v>
      </c>
      <c r="B379" s="129" t="s">
        <v>3874</v>
      </c>
      <c r="C379" s="129">
        <v>6102</v>
      </c>
      <c r="D379" s="129" t="s">
        <v>2753</v>
      </c>
      <c r="E379" s="129">
        <v>287</v>
      </c>
      <c r="F379" s="129">
        <v>0</v>
      </c>
      <c r="G379" s="129">
        <v>93</v>
      </c>
      <c r="H379" s="129">
        <v>0</v>
      </c>
      <c r="I379" s="129">
        <v>32.4</v>
      </c>
      <c r="J379" s="129">
        <v>0</v>
      </c>
      <c r="K379" s="129">
        <v>0</v>
      </c>
      <c r="L379" s="129">
        <f t="shared" si="144"/>
        <v>287</v>
      </c>
      <c r="M379" s="129">
        <f t="shared" si="145"/>
        <v>93</v>
      </c>
      <c r="N379" s="128">
        <f t="shared" si="146"/>
        <v>0.32400000000000001</v>
      </c>
      <c r="O379" s="164">
        <f t="shared" si="147"/>
        <v>0</v>
      </c>
      <c r="P379" s="185">
        <f t="shared" si="148"/>
        <v>0</v>
      </c>
      <c r="Q379" s="185">
        <f t="shared" si="149"/>
        <v>0</v>
      </c>
      <c r="R379" s="162" t="b">
        <f t="shared" si="131"/>
        <v>0</v>
      </c>
    </row>
    <row r="380" spans="1:18">
      <c r="A380" s="129" t="s">
        <v>398</v>
      </c>
      <c r="B380" s="129" t="s">
        <v>3874</v>
      </c>
      <c r="C380" s="129">
        <v>6104</v>
      </c>
      <c r="D380" s="129" t="s">
        <v>2755</v>
      </c>
      <c r="E380" s="129">
        <v>124</v>
      </c>
      <c r="F380" s="129">
        <v>0</v>
      </c>
      <c r="G380" s="129">
        <v>31</v>
      </c>
      <c r="H380" s="129">
        <v>0</v>
      </c>
      <c r="I380" s="129">
        <v>25</v>
      </c>
      <c r="J380" s="129">
        <v>0</v>
      </c>
      <c r="K380" s="129">
        <v>0</v>
      </c>
      <c r="L380" s="129">
        <f t="shared" si="144"/>
        <v>124</v>
      </c>
      <c r="M380" s="129">
        <f t="shared" si="145"/>
        <v>31</v>
      </c>
      <c r="N380" s="128">
        <f t="shared" si="146"/>
        <v>0.25</v>
      </c>
      <c r="O380" s="164">
        <f t="shared" si="147"/>
        <v>0</v>
      </c>
      <c r="P380" s="185">
        <f t="shared" si="148"/>
        <v>0</v>
      </c>
      <c r="Q380" s="185">
        <f t="shared" si="149"/>
        <v>0</v>
      </c>
      <c r="R380" s="162" t="b">
        <f t="shared" si="131"/>
        <v>0</v>
      </c>
    </row>
    <row r="381" spans="1:18">
      <c r="A381" s="129" t="s">
        <v>228</v>
      </c>
      <c r="B381" s="129" t="s">
        <v>3720</v>
      </c>
      <c r="C381" s="129">
        <v>756</v>
      </c>
      <c r="D381" s="129" t="s">
        <v>1273</v>
      </c>
      <c r="E381" s="129">
        <v>493</v>
      </c>
      <c r="F381" s="129">
        <v>0</v>
      </c>
      <c r="G381" s="129">
        <v>50</v>
      </c>
      <c r="H381" s="129">
        <v>0</v>
      </c>
      <c r="I381" s="129">
        <v>10.1</v>
      </c>
      <c r="J381" s="129">
        <v>0</v>
      </c>
      <c r="K381" s="129">
        <v>0</v>
      </c>
      <c r="L381" s="129">
        <f t="shared" ref="L381:L416" si="150">SUM(E381:F381)</f>
        <v>493</v>
      </c>
      <c r="M381" s="129">
        <f t="shared" ref="M381:M416" si="151">SUM(G381:H381)</f>
        <v>50</v>
      </c>
      <c r="N381" s="128">
        <f t="shared" ref="N381:N416" si="152">IF(ISERROR(M381/L381),0,M381/L381)</f>
        <v>0.1014</v>
      </c>
      <c r="O381" s="164">
        <f t="shared" ref="O381:O416" si="153">IF(AND((N381-35%)&gt;0,N381&lt;50%),M381*(N381-35%)*0.7,0)</f>
        <v>0</v>
      </c>
      <c r="P381" s="185">
        <f t="shared" ref="P381:P416" si="154">IF(N381&gt;=50%,M381*10.5%,0)</f>
        <v>0</v>
      </c>
      <c r="Q381" s="185">
        <f t="shared" ref="Q381:Q416" si="155">MAX(O381,P381)</f>
        <v>0</v>
      </c>
      <c r="R381" s="162" t="b">
        <f t="shared" si="131"/>
        <v>0</v>
      </c>
    </row>
    <row r="382" spans="1:18">
      <c r="A382" s="129" t="s">
        <v>228</v>
      </c>
      <c r="B382" s="129" t="s">
        <v>3720</v>
      </c>
      <c r="C382" s="129">
        <v>757</v>
      </c>
      <c r="D382" s="129" t="s">
        <v>4136</v>
      </c>
      <c r="E382" s="129">
        <v>550</v>
      </c>
      <c r="F382" s="129">
        <v>0</v>
      </c>
      <c r="G382" s="129">
        <v>52</v>
      </c>
      <c r="H382" s="129">
        <v>0</v>
      </c>
      <c r="I382" s="129">
        <v>9.5</v>
      </c>
      <c r="J382" s="129">
        <v>0</v>
      </c>
      <c r="K382" s="129">
        <v>0</v>
      </c>
      <c r="L382" s="129">
        <f t="shared" si="150"/>
        <v>550</v>
      </c>
      <c r="M382" s="129">
        <f t="shared" si="151"/>
        <v>52</v>
      </c>
      <c r="N382" s="128">
        <f t="shared" si="152"/>
        <v>9.4500000000000001E-2</v>
      </c>
      <c r="O382" s="164">
        <f t="shared" si="153"/>
        <v>0</v>
      </c>
      <c r="P382" s="185">
        <f t="shared" si="154"/>
        <v>0</v>
      </c>
      <c r="Q382" s="185">
        <f t="shared" si="155"/>
        <v>0</v>
      </c>
      <c r="R382" s="162" t="b">
        <f t="shared" si="131"/>
        <v>0</v>
      </c>
    </row>
    <row r="383" spans="1:18">
      <c r="A383" s="129" t="s">
        <v>228</v>
      </c>
      <c r="B383" s="129" t="s">
        <v>3720</v>
      </c>
      <c r="C383" s="129">
        <v>758</v>
      </c>
      <c r="D383" s="129" t="s">
        <v>1277</v>
      </c>
      <c r="E383" s="129">
        <v>612</v>
      </c>
      <c r="F383" s="129">
        <v>0</v>
      </c>
      <c r="G383" s="129">
        <v>43</v>
      </c>
      <c r="H383" s="129">
        <v>0</v>
      </c>
      <c r="I383" s="129">
        <v>7</v>
      </c>
      <c r="J383" s="129">
        <v>0</v>
      </c>
      <c r="K383" s="129">
        <v>0</v>
      </c>
      <c r="L383" s="129">
        <f t="shared" si="150"/>
        <v>612</v>
      </c>
      <c r="M383" s="129">
        <f t="shared" si="151"/>
        <v>43</v>
      </c>
      <c r="N383" s="128">
        <f t="shared" si="152"/>
        <v>7.0300000000000001E-2</v>
      </c>
      <c r="O383" s="164">
        <f t="shared" si="153"/>
        <v>0</v>
      </c>
      <c r="P383" s="185">
        <f t="shared" si="154"/>
        <v>0</v>
      </c>
      <c r="Q383" s="185">
        <f t="shared" si="155"/>
        <v>0</v>
      </c>
      <c r="R383" s="162" t="b">
        <f t="shared" si="131"/>
        <v>0</v>
      </c>
    </row>
    <row r="384" spans="1:18">
      <c r="A384" s="129" t="s">
        <v>228</v>
      </c>
      <c r="B384" s="129" t="s">
        <v>3720</v>
      </c>
      <c r="C384" s="129">
        <v>759</v>
      </c>
      <c r="D384" s="129" t="s">
        <v>1279</v>
      </c>
      <c r="E384" s="129">
        <v>565</v>
      </c>
      <c r="F384" s="129">
        <v>0</v>
      </c>
      <c r="G384" s="129">
        <v>9</v>
      </c>
      <c r="H384" s="129">
        <v>0</v>
      </c>
      <c r="I384" s="129">
        <v>1.6</v>
      </c>
      <c r="J384" s="129">
        <v>0</v>
      </c>
      <c r="K384" s="129">
        <v>0</v>
      </c>
      <c r="L384" s="129">
        <f t="shared" si="150"/>
        <v>565</v>
      </c>
      <c r="M384" s="129">
        <f t="shared" si="151"/>
        <v>9</v>
      </c>
      <c r="N384" s="128">
        <f t="shared" si="152"/>
        <v>1.5900000000000001E-2</v>
      </c>
      <c r="O384" s="164">
        <f t="shared" si="153"/>
        <v>0</v>
      </c>
      <c r="P384" s="185">
        <f t="shared" si="154"/>
        <v>0</v>
      </c>
      <c r="Q384" s="185">
        <f t="shared" si="155"/>
        <v>0</v>
      </c>
      <c r="R384" s="162" t="b">
        <f t="shared" si="131"/>
        <v>0</v>
      </c>
    </row>
    <row r="385" spans="1:18">
      <c r="A385" s="129" t="s">
        <v>228</v>
      </c>
      <c r="B385" s="129" t="s">
        <v>3720</v>
      </c>
      <c r="C385" s="129">
        <v>765</v>
      </c>
      <c r="D385" s="129" t="s">
        <v>1281</v>
      </c>
      <c r="E385" s="129">
        <v>434</v>
      </c>
      <c r="F385" s="129">
        <v>0</v>
      </c>
      <c r="G385" s="129">
        <v>47</v>
      </c>
      <c r="H385" s="129">
        <v>0</v>
      </c>
      <c r="I385" s="129">
        <v>10.8</v>
      </c>
      <c r="J385" s="129">
        <v>0</v>
      </c>
      <c r="K385" s="129">
        <v>0</v>
      </c>
      <c r="L385" s="129">
        <f t="shared" si="150"/>
        <v>434</v>
      </c>
      <c r="M385" s="129">
        <f t="shared" si="151"/>
        <v>47</v>
      </c>
      <c r="N385" s="128">
        <f t="shared" si="152"/>
        <v>0.10829999999999999</v>
      </c>
      <c r="O385" s="164">
        <f t="shared" si="153"/>
        <v>0</v>
      </c>
      <c r="P385" s="185">
        <f t="shared" si="154"/>
        <v>0</v>
      </c>
      <c r="Q385" s="185">
        <f t="shared" si="155"/>
        <v>0</v>
      </c>
      <c r="R385" s="162" t="b">
        <f t="shared" si="131"/>
        <v>0</v>
      </c>
    </row>
    <row r="386" spans="1:18">
      <c r="A386" s="129" t="s">
        <v>228</v>
      </c>
      <c r="B386" s="129" t="s">
        <v>3720</v>
      </c>
      <c r="C386" s="129">
        <v>767</v>
      </c>
      <c r="D386" s="129" t="s">
        <v>1283</v>
      </c>
      <c r="E386" s="129">
        <v>611</v>
      </c>
      <c r="F386" s="129">
        <v>0</v>
      </c>
      <c r="G386" s="129">
        <v>65</v>
      </c>
      <c r="H386" s="129">
        <v>0</v>
      </c>
      <c r="I386" s="129">
        <v>10.6</v>
      </c>
      <c r="J386" s="129">
        <v>0</v>
      </c>
      <c r="K386" s="129">
        <v>0</v>
      </c>
      <c r="L386" s="129">
        <f t="shared" si="150"/>
        <v>611</v>
      </c>
      <c r="M386" s="129">
        <f t="shared" si="151"/>
        <v>65</v>
      </c>
      <c r="N386" s="128">
        <f t="shared" si="152"/>
        <v>0.10639999999999999</v>
      </c>
      <c r="O386" s="164">
        <f t="shared" si="153"/>
        <v>0</v>
      </c>
      <c r="P386" s="185">
        <f t="shared" si="154"/>
        <v>0</v>
      </c>
      <c r="Q386" s="185">
        <f t="shared" si="155"/>
        <v>0</v>
      </c>
      <c r="R386" s="162" t="b">
        <f t="shared" si="131"/>
        <v>0</v>
      </c>
    </row>
    <row r="387" spans="1:18">
      <c r="A387" s="129" t="s">
        <v>228</v>
      </c>
      <c r="B387" s="129" t="s">
        <v>3720</v>
      </c>
      <c r="C387" s="129">
        <v>768</v>
      </c>
      <c r="D387" s="129" t="s">
        <v>1285</v>
      </c>
      <c r="E387" s="129">
        <v>519</v>
      </c>
      <c r="F387" s="129">
        <v>0</v>
      </c>
      <c r="G387" s="129">
        <v>81</v>
      </c>
      <c r="H387" s="129">
        <v>0</v>
      </c>
      <c r="I387" s="129">
        <v>15.6</v>
      </c>
      <c r="J387" s="129">
        <v>0</v>
      </c>
      <c r="K387" s="129">
        <v>0</v>
      </c>
      <c r="L387" s="129">
        <f t="shared" si="150"/>
        <v>519</v>
      </c>
      <c r="M387" s="129">
        <f t="shared" si="151"/>
        <v>81</v>
      </c>
      <c r="N387" s="128">
        <f t="shared" si="152"/>
        <v>0.15609999999999999</v>
      </c>
      <c r="O387" s="164">
        <f t="shared" si="153"/>
        <v>0</v>
      </c>
      <c r="P387" s="185">
        <f t="shared" si="154"/>
        <v>0</v>
      </c>
      <c r="Q387" s="185">
        <f t="shared" si="155"/>
        <v>0</v>
      </c>
      <c r="R387" s="162" t="b">
        <f t="shared" si="131"/>
        <v>0</v>
      </c>
    </row>
    <row r="388" spans="1:18">
      <c r="A388" s="129" t="s">
        <v>228</v>
      </c>
      <c r="B388" s="129" t="s">
        <v>3720</v>
      </c>
      <c r="C388" s="129">
        <v>769</v>
      </c>
      <c r="D388" s="129" t="s">
        <v>1287</v>
      </c>
      <c r="E388" s="129">
        <v>1448</v>
      </c>
      <c r="F388" s="129">
        <v>0</v>
      </c>
      <c r="G388" s="129">
        <v>133</v>
      </c>
      <c r="H388" s="129">
        <v>0</v>
      </c>
      <c r="I388" s="129">
        <v>9.1999999999999993</v>
      </c>
      <c r="J388" s="129">
        <v>0</v>
      </c>
      <c r="K388" s="129">
        <v>0</v>
      </c>
      <c r="L388" s="129">
        <f t="shared" si="150"/>
        <v>1448</v>
      </c>
      <c r="M388" s="129">
        <f t="shared" si="151"/>
        <v>133</v>
      </c>
      <c r="N388" s="128">
        <f t="shared" si="152"/>
        <v>9.1899999999999996E-2</v>
      </c>
      <c r="O388" s="164">
        <f t="shared" si="153"/>
        <v>0</v>
      </c>
      <c r="P388" s="185">
        <f t="shared" si="154"/>
        <v>0</v>
      </c>
      <c r="Q388" s="185">
        <f t="shared" si="155"/>
        <v>0</v>
      </c>
      <c r="R388" s="162" t="b">
        <f t="shared" si="131"/>
        <v>0</v>
      </c>
    </row>
    <row r="389" spans="1:18">
      <c r="A389" s="129" t="s">
        <v>228</v>
      </c>
      <c r="B389" s="129" t="s">
        <v>3720</v>
      </c>
      <c r="C389" s="129">
        <v>770</v>
      </c>
      <c r="D389" s="129" t="s">
        <v>1289</v>
      </c>
      <c r="E389" s="129">
        <v>1447</v>
      </c>
      <c r="F389" s="129">
        <v>0</v>
      </c>
      <c r="G389" s="129">
        <v>137</v>
      </c>
      <c r="H389" s="129">
        <v>0</v>
      </c>
      <c r="I389" s="129">
        <v>9.5</v>
      </c>
      <c r="J389" s="129">
        <v>0</v>
      </c>
      <c r="K389" s="129">
        <v>0</v>
      </c>
      <c r="L389" s="129">
        <f t="shared" si="150"/>
        <v>1447</v>
      </c>
      <c r="M389" s="129">
        <f t="shared" si="151"/>
        <v>137</v>
      </c>
      <c r="N389" s="128">
        <f t="shared" si="152"/>
        <v>9.4700000000000006E-2</v>
      </c>
      <c r="O389" s="164">
        <f t="shared" si="153"/>
        <v>0</v>
      </c>
      <c r="P389" s="185">
        <f t="shared" si="154"/>
        <v>0</v>
      </c>
      <c r="Q389" s="185">
        <f t="shared" si="155"/>
        <v>0</v>
      </c>
      <c r="R389" s="162" t="b">
        <f t="shared" ref="R389:R452" si="156">COUNTIF(C:C,C389)&gt;1</f>
        <v>0</v>
      </c>
    </row>
    <row r="390" spans="1:18">
      <c r="A390" s="129" t="s">
        <v>228</v>
      </c>
      <c r="B390" s="129" t="s">
        <v>3720</v>
      </c>
      <c r="C390" s="129">
        <v>771</v>
      </c>
      <c r="D390" s="129" t="s">
        <v>1291</v>
      </c>
      <c r="E390" s="129">
        <v>356</v>
      </c>
      <c r="F390" s="129">
        <v>0</v>
      </c>
      <c r="G390" s="129">
        <v>35</v>
      </c>
      <c r="H390" s="129">
        <v>0</v>
      </c>
      <c r="I390" s="129">
        <v>9.8000000000000007</v>
      </c>
      <c r="J390" s="129">
        <v>0</v>
      </c>
      <c r="K390" s="129">
        <v>0</v>
      </c>
      <c r="L390" s="129">
        <f t="shared" si="150"/>
        <v>356</v>
      </c>
      <c r="M390" s="129">
        <f t="shared" si="151"/>
        <v>35</v>
      </c>
      <c r="N390" s="128">
        <f t="shared" si="152"/>
        <v>9.8299999999999998E-2</v>
      </c>
      <c r="O390" s="164">
        <f t="shared" si="153"/>
        <v>0</v>
      </c>
      <c r="P390" s="185">
        <f t="shared" si="154"/>
        <v>0</v>
      </c>
      <c r="Q390" s="185">
        <f t="shared" si="155"/>
        <v>0</v>
      </c>
      <c r="R390" s="162" t="b">
        <f t="shared" si="156"/>
        <v>0</v>
      </c>
    </row>
    <row r="391" spans="1:18">
      <c r="A391" s="129" t="s">
        <v>228</v>
      </c>
      <c r="B391" s="129" t="s">
        <v>3720</v>
      </c>
      <c r="C391" s="129">
        <v>772</v>
      </c>
      <c r="D391" s="129" t="s">
        <v>1293</v>
      </c>
      <c r="E391" s="129">
        <v>635</v>
      </c>
      <c r="F391" s="129">
        <v>0</v>
      </c>
      <c r="G391" s="129">
        <v>94</v>
      </c>
      <c r="H391" s="129">
        <v>0</v>
      </c>
      <c r="I391" s="129">
        <v>14.8</v>
      </c>
      <c r="J391" s="129">
        <v>0</v>
      </c>
      <c r="K391" s="129">
        <v>0</v>
      </c>
      <c r="L391" s="129">
        <f t="shared" si="150"/>
        <v>635</v>
      </c>
      <c r="M391" s="129">
        <f t="shared" si="151"/>
        <v>94</v>
      </c>
      <c r="N391" s="128">
        <f t="shared" si="152"/>
        <v>0.14799999999999999</v>
      </c>
      <c r="O391" s="164">
        <f t="shared" si="153"/>
        <v>0</v>
      </c>
      <c r="P391" s="185">
        <f t="shared" si="154"/>
        <v>0</v>
      </c>
      <c r="Q391" s="185">
        <f t="shared" si="155"/>
        <v>0</v>
      </c>
      <c r="R391" s="162" t="b">
        <f t="shared" si="156"/>
        <v>0</v>
      </c>
    </row>
    <row r="392" spans="1:18">
      <c r="A392" s="129" t="s">
        <v>228</v>
      </c>
      <c r="B392" s="129" t="s">
        <v>3720</v>
      </c>
      <c r="C392" s="129">
        <v>773</v>
      </c>
      <c r="D392" s="129" t="s">
        <v>1295</v>
      </c>
      <c r="E392" s="129">
        <v>556</v>
      </c>
      <c r="F392" s="129">
        <v>0</v>
      </c>
      <c r="G392" s="129">
        <v>31</v>
      </c>
      <c r="H392" s="129">
        <v>0</v>
      </c>
      <c r="I392" s="129">
        <v>5.6</v>
      </c>
      <c r="J392" s="129">
        <v>0</v>
      </c>
      <c r="K392" s="129">
        <v>0</v>
      </c>
      <c r="L392" s="129">
        <f t="shared" si="150"/>
        <v>556</v>
      </c>
      <c r="M392" s="129">
        <f t="shared" si="151"/>
        <v>31</v>
      </c>
      <c r="N392" s="128">
        <f t="shared" si="152"/>
        <v>5.5800000000000002E-2</v>
      </c>
      <c r="O392" s="164">
        <f t="shared" si="153"/>
        <v>0</v>
      </c>
      <c r="P392" s="185">
        <f t="shared" si="154"/>
        <v>0</v>
      </c>
      <c r="Q392" s="185">
        <f t="shared" si="155"/>
        <v>0</v>
      </c>
      <c r="R392" s="162" t="b">
        <f t="shared" si="156"/>
        <v>0</v>
      </c>
    </row>
    <row r="393" spans="1:18">
      <c r="A393" s="129" t="s">
        <v>228</v>
      </c>
      <c r="B393" s="129" t="s">
        <v>3720</v>
      </c>
      <c r="C393" s="129">
        <v>774</v>
      </c>
      <c r="D393" s="129" t="s">
        <v>1297</v>
      </c>
      <c r="E393" s="129">
        <v>253</v>
      </c>
      <c r="F393" s="129">
        <v>0</v>
      </c>
      <c r="G393" s="129">
        <v>26</v>
      </c>
      <c r="H393" s="129">
        <v>0</v>
      </c>
      <c r="I393" s="129">
        <v>10.3</v>
      </c>
      <c r="J393" s="129">
        <v>0</v>
      </c>
      <c r="K393" s="129">
        <v>0</v>
      </c>
      <c r="L393" s="129">
        <f t="shared" si="150"/>
        <v>253</v>
      </c>
      <c r="M393" s="129">
        <f t="shared" si="151"/>
        <v>26</v>
      </c>
      <c r="N393" s="128">
        <f t="shared" si="152"/>
        <v>0.1028</v>
      </c>
      <c r="O393" s="164">
        <f t="shared" si="153"/>
        <v>0</v>
      </c>
      <c r="P393" s="185">
        <f t="shared" si="154"/>
        <v>0</v>
      </c>
      <c r="Q393" s="185">
        <f t="shared" si="155"/>
        <v>0</v>
      </c>
      <c r="R393" s="162" t="b">
        <f t="shared" si="156"/>
        <v>0</v>
      </c>
    </row>
    <row r="394" spans="1:18">
      <c r="A394" s="129" t="s">
        <v>228</v>
      </c>
      <c r="B394" s="129" t="s">
        <v>3720</v>
      </c>
      <c r="C394" s="129">
        <v>776</v>
      </c>
      <c r="D394" s="129" t="s">
        <v>1299</v>
      </c>
      <c r="E394" s="129">
        <v>569</v>
      </c>
      <c r="F394" s="129">
        <v>0</v>
      </c>
      <c r="G394" s="129">
        <v>67</v>
      </c>
      <c r="H394" s="129">
        <v>0</v>
      </c>
      <c r="I394" s="129">
        <v>11.8</v>
      </c>
      <c r="J394" s="129">
        <v>0</v>
      </c>
      <c r="K394" s="129">
        <v>0</v>
      </c>
      <c r="L394" s="129">
        <f t="shared" si="150"/>
        <v>569</v>
      </c>
      <c r="M394" s="129">
        <f t="shared" si="151"/>
        <v>67</v>
      </c>
      <c r="N394" s="128">
        <f t="shared" si="152"/>
        <v>0.1178</v>
      </c>
      <c r="O394" s="164">
        <f t="shared" si="153"/>
        <v>0</v>
      </c>
      <c r="P394" s="185">
        <f t="shared" si="154"/>
        <v>0</v>
      </c>
      <c r="Q394" s="185">
        <f t="shared" si="155"/>
        <v>0</v>
      </c>
      <c r="R394" s="162" t="b">
        <f t="shared" si="156"/>
        <v>0</v>
      </c>
    </row>
    <row r="395" spans="1:18">
      <c r="A395" s="129" t="s">
        <v>228</v>
      </c>
      <c r="B395" s="129" t="s">
        <v>3720</v>
      </c>
      <c r="C395" s="129">
        <v>777</v>
      </c>
      <c r="D395" s="129" t="s">
        <v>1301</v>
      </c>
      <c r="E395" s="129">
        <v>369</v>
      </c>
      <c r="F395" s="129">
        <v>0</v>
      </c>
      <c r="G395" s="129">
        <v>33</v>
      </c>
      <c r="H395" s="129">
        <v>0</v>
      </c>
      <c r="I395" s="129">
        <v>8.9</v>
      </c>
      <c r="J395" s="129">
        <v>0</v>
      </c>
      <c r="K395" s="129">
        <v>0</v>
      </c>
      <c r="L395" s="129">
        <f t="shared" si="150"/>
        <v>369</v>
      </c>
      <c r="M395" s="129">
        <f t="shared" si="151"/>
        <v>33</v>
      </c>
      <c r="N395" s="128">
        <f t="shared" si="152"/>
        <v>8.9399999999999993E-2</v>
      </c>
      <c r="O395" s="164">
        <f t="shared" si="153"/>
        <v>0</v>
      </c>
      <c r="P395" s="185">
        <f t="shared" si="154"/>
        <v>0</v>
      </c>
      <c r="Q395" s="185">
        <f t="shared" si="155"/>
        <v>0</v>
      </c>
      <c r="R395" s="162" t="b">
        <f t="shared" si="156"/>
        <v>0</v>
      </c>
    </row>
    <row r="396" spans="1:18">
      <c r="A396" s="129" t="s">
        <v>228</v>
      </c>
      <c r="B396" s="129" t="s">
        <v>3720</v>
      </c>
      <c r="C396" s="129">
        <v>778</v>
      </c>
      <c r="D396" s="129" t="s">
        <v>1303</v>
      </c>
      <c r="E396" s="129">
        <v>490</v>
      </c>
      <c r="F396" s="129">
        <v>0</v>
      </c>
      <c r="G396" s="129">
        <v>33</v>
      </c>
      <c r="H396" s="129">
        <v>0</v>
      </c>
      <c r="I396" s="129">
        <v>6.7</v>
      </c>
      <c r="J396" s="129">
        <v>0</v>
      </c>
      <c r="K396" s="129">
        <v>0</v>
      </c>
      <c r="L396" s="129">
        <f t="shared" si="150"/>
        <v>490</v>
      </c>
      <c r="M396" s="129">
        <f t="shared" si="151"/>
        <v>33</v>
      </c>
      <c r="N396" s="128">
        <f t="shared" si="152"/>
        <v>6.7299999999999999E-2</v>
      </c>
      <c r="O396" s="164">
        <f t="shared" si="153"/>
        <v>0</v>
      </c>
      <c r="P396" s="185">
        <f t="shared" si="154"/>
        <v>0</v>
      </c>
      <c r="Q396" s="185">
        <f t="shared" si="155"/>
        <v>0</v>
      </c>
      <c r="R396" s="162" t="b">
        <f t="shared" si="156"/>
        <v>0</v>
      </c>
    </row>
    <row r="397" spans="1:18">
      <c r="A397" s="129" t="s">
        <v>228</v>
      </c>
      <c r="B397" s="129" t="s">
        <v>3720</v>
      </c>
      <c r="C397" s="129">
        <v>779</v>
      </c>
      <c r="D397" s="129" t="s">
        <v>1305</v>
      </c>
      <c r="E397" s="129">
        <v>589</v>
      </c>
      <c r="F397" s="129">
        <v>0</v>
      </c>
      <c r="G397" s="129">
        <v>78</v>
      </c>
      <c r="H397" s="129">
        <v>0</v>
      </c>
      <c r="I397" s="129">
        <v>13.2</v>
      </c>
      <c r="J397" s="129">
        <v>0</v>
      </c>
      <c r="K397" s="129">
        <v>0</v>
      </c>
      <c r="L397" s="129">
        <f t="shared" si="150"/>
        <v>589</v>
      </c>
      <c r="M397" s="129">
        <f t="shared" si="151"/>
        <v>78</v>
      </c>
      <c r="N397" s="128">
        <f t="shared" si="152"/>
        <v>0.13239999999999999</v>
      </c>
      <c r="O397" s="164">
        <f t="shared" si="153"/>
        <v>0</v>
      </c>
      <c r="P397" s="185">
        <f t="shared" si="154"/>
        <v>0</v>
      </c>
      <c r="Q397" s="185">
        <f t="shared" si="155"/>
        <v>0</v>
      </c>
      <c r="R397" s="162" t="b">
        <f t="shared" si="156"/>
        <v>0</v>
      </c>
    </row>
    <row r="398" spans="1:18">
      <c r="A398" s="129" t="s">
        <v>228</v>
      </c>
      <c r="B398" s="129" t="s">
        <v>3720</v>
      </c>
      <c r="C398" s="129">
        <v>780</v>
      </c>
      <c r="D398" s="129" t="s">
        <v>1307</v>
      </c>
      <c r="E398" s="129">
        <v>375</v>
      </c>
      <c r="F398" s="129">
        <v>0</v>
      </c>
      <c r="G398" s="129">
        <v>78</v>
      </c>
      <c r="H398" s="129">
        <v>0</v>
      </c>
      <c r="I398" s="129">
        <v>20.8</v>
      </c>
      <c r="J398" s="129">
        <v>0</v>
      </c>
      <c r="K398" s="129">
        <v>0</v>
      </c>
      <c r="L398" s="129">
        <f t="shared" si="150"/>
        <v>375</v>
      </c>
      <c r="M398" s="129">
        <f t="shared" si="151"/>
        <v>78</v>
      </c>
      <c r="N398" s="128">
        <f t="shared" si="152"/>
        <v>0.20799999999999999</v>
      </c>
      <c r="O398" s="164">
        <f t="shared" si="153"/>
        <v>0</v>
      </c>
      <c r="P398" s="185">
        <f t="shared" si="154"/>
        <v>0</v>
      </c>
      <c r="Q398" s="185">
        <f t="shared" si="155"/>
        <v>0</v>
      </c>
      <c r="R398" s="162" t="b">
        <f t="shared" si="156"/>
        <v>0</v>
      </c>
    </row>
    <row r="399" spans="1:18">
      <c r="A399" s="129" t="s">
        <v>228</v>
      </c>
      <c r="B399" s="129" t="s">
        <v>3720</v>
      </c>
      <c r="C399" s="129">
        <v>781</v>
      </c>
      <c r="D399" s="129" t="s">
        <v>1309</v>
      </c>
      <c r="E399" s="129">
        <v>561</v>
      </c>
      <c r="F399" s="129">
        <v>0</v>
      </c>
      <c r="G399" s="129">
        <v>88</v>
      </c>
      <c r="H399" s="129">
        <v>0</v>
      </c>
      <c r="I399" s="129">
        <v>15.7</v>
      </c>
      <c r="J399" s="129">
        <v>0</v>
      </c>
      <c r="K399" s="129">
        <v>0</v>
      </c>
      <c r="L399" s="129">
        <f t="shared" si="150"/>
        <v>561</v>
      </c>
      <c r="M399" s="129">
        <f t="shared" si="151"/>
        <v>88</v>
      </c>
      <c r="N399" s="128">
        <f t="shared" si="152"/>
        <v>0.15690000000000001</v>
      </c>
      <c r="O399" s="164">
        <f t="shared" si="153"/>
        <v>0</v>
      </c>
      <c r="P399" s="185">
        <f t="shared" si="154"/>
        <v>0</v>
      </c>
      <c r="Q399" s="185">
        <f t="shared" si="155"/>
        <v>0</v>
      </c>
      <c r="R399" s="162" t="b">
        <f t="shared" si="156"/>
        <v>0</v>
      </c>
    </row>
    <row r="400" spans="1:18">
      <c r="A400" s="129" t="s">
        <v>228</v>
      </c>
      <c r="B400" s="129" t="s">
        <v>3720</v>
      </c>
      <c r="C400" s="129">
        <v>782</v>
      </c>
      <c r="D400" s="129" t="s">
        <v>1311</v>
      </c>
      <c r="E400" s="129">
        <v>498</v>
      </c>
      <c r="F400" s="129">
        <v>0</v>
      </c>
      <c r="G400" s="129">
        <v>59</v>
      </c>
      <c r="H400" s="129">
        <v>0</v>
      </c>
      <c r="I400" s="129">
        <v>11.9</v>
      </c>
      <c r="J400" s="129">
        <v>0</v>
      </c>
      <c r="K400" s="129">
        <v>0</v>
      </c>
      <c r="L400" s="129">
        <f t="shared" si="150"/>
        <v>498</v>
      </c>
      <c r="M400" s="129">
        <f t="shared" si="151"/>
        <v>59</v>
      </c>
      <c r="N400" s="128">
        <f t="shared" si="152"/>
        <v>0.11849999999999999</v>
      </c>
      <c r="O400" s="164">
        <f t="shared" si="153"/>
        <v>0</v>
      </c>
      <c r="P400" s="185">
        <f t="shared" si="154"/>
        <v>0</v>
      </c>
      <c r="Q400" s="185">
        <f t="shared" si="155"/>
        <v>0</v>
      </c>
      <c r="R400" s="162" t="b">
        <f t="shared" si="156"/>
        <v>0</v>
      </c>
    </row>
    <row r="401" spans="1:18">
      <c r="A401" s="129" t="s">
        <v>228</v>
      </c>
      <c r="B401" s="129" t="s">
        <v>3720</v>
      </c>
      <c r="C401" s="129">
        <v>783</v>
      </c>
      <c r="D401" s="129" t="s">
        <v>1313</v>
      </c>
      <c r="E401" s="129">
        <v>368</v>
      </c>
      <c r="F401" s="129">
        <v>0</v>
      </c>
      <c r="G401" s="129">
        <v>26</v>
      </c>
      <c r="H401" s="129">
        <v>0</v>
      </c>
      <c r="I401" s="129">
        <v>7.1</v>
      </c>
      <c r="J401" s="129">
        <v>0</v>
      </c>
      <c r="K401" s="129">
        <v>0</v>
      </c>
      <c r="L401" s="129">
        <f t="shared" si="150"/>
        <v>368</v>
      </c>
      <c r="M401" s="129">
        <f t="shared" si="151"/>
        <v>26</v>
      </c>
      <c r="N401" s="128">
        <f t="shared" si="152"/>
        <v>7.0699999999999999E-2</v>
      </c>
      <c r="O401" s="164">
        <f t="shared" si="153"/>
        <v>0</v>
      </c>
      <c r="P401" s="185">
        <f t="shared" si="154"/>
        <v>0</v>
      </c>
      <c r="Q401" s="185">
        <f t="shared" si="155"/>
        <v>0</v>
      </c>
      <c r="R401" s="162" t="b">
        <f t="shared" si="156"/>
        <v>0</v>
      </c>
    </row>
    <row r="402" spans="1:18">
      <c r="A402" s="129" t="s">
        <v>228</v>
      </c>
      <c r="B402" s="129" t="s">
        <v>3720</v>
      </c>
      <c r="C402" s="129">
        <v>784</v>
      </c>
      <c r="D402" s="129" t="s">
        <v>1315</v>
      </c>
      <c r="E402" s="129">
        <v>510</v>
      </c>
      <c r="F402" s="129">
        <v>0</v>
      </c>
      <c r="G402" s="129">
        <v>41</v>
      </c>
      <c r="H402" s="129">
        <v>0</v>
      </c>
      <c r="I402" s="129">
        <v>8</v>
      </c>
      <c r="J402" s="129">
        <v>0</v>
      </c>
      <c r="K402" s="129">
        <v>0</v>
      </c>
      <c r="L402" s="129">
        <f t="shared" si="150"/>
        <v>510</v>
      </c>
      <c r="M402" s="129">
        <f t="shared" si="151"/>
        <v>41</v>
      </c>
      <c r="N402" s="128">
        <f t="shared" si="152"/>
        <v>8.0399999999999999E-2</v>
      </c>
      <c r="O402" s="164">
        <f t="shared" si="153"/>
        <v>0</v>
      </c>
      <c r="P402" s="185">
        <f t="shared" si="154"/>
        <v>0</v>
      </c>
      <c r="Q402" s="185">
        <f t="shared" si="155"/>
        <v>0</v>
      </c>
      <c r="R402" s="162" t="b">
        <f t="shared" si="156"/>
        <v>0</v>
      </c>
    </row>
    <row r="403" spans="1:18">
      <c r="A403" s="129" t="s">
        <v>228</v>
      </c>
      <c r="B403" s="129" t="s">
        <v>3720</v>
      </c>
      <c r="C403" s="129">
        <v>785</v>
      </c>
      <c r="D403" s="129" t="s">
        <v>1317</v>
      </c>
      <c r="E403" s="129">
        <v>519</v>
      </c>
      <c r="F403" s="129">
        <v>0</v>
      </c>
      <c r="G403" s="129">
        <v>37</v>
      </c>
      <c r="H403" s="129">
        <v>0</v>
      </c>
      <c r="I403" s="129">
        <v>7.1</v>
      </c>
      <c r="J403" s="129">
        <v>0</v>
      </c>
      <c r="K403" s="129">
        <v>0</v>
      </c>
      <c r="L403" s="129">
        <f t="shared" si="150"/>
        <v>519</v>
      </c>
      <c r="M403" s="129">
        <f t="shared" si="151"/>
        <v>37</v>
      </c>
      <c r="N403" s="128">
        <f t="shared" si="152"/>
        <v>7.1300000000000002E-2</v>
      </c>
      <c r="O403" s="164">
        <f t="shared" si="153"/>
        <v>0</v>
      </c>
      <c r="P403" s="185">
        <f t="shared" si="154"/>
        <v>0</v>
      </c>
      <c r="Q403" s="185">
        <f t="shared" si="155"/>
        <v>0</v>
      </c>
      <c r="R403" s="162" t="b">
        <f t="shared" si="156"/>
        <v>0</v>
      </c>
    </row>
    <row r="404" spans="1:18">
      <c r="A404" s="129" t="s">
        <v>228</v>
      </c>
      <c r="B404" s="129" t="s">
        <v>3720</v>
      </c>
      <c r="C404" s="129">
        <v>820</v>
      </c>
      <c r="D404" s="129" t="s">
        <v>1319</v>
      </c>
      <c r="E404" s="129">
        <v>1033</v>
      </c>
      <c r="F404" s="129">
        <v>0</v>
      </c>
      <c r="G404" s="129">
        <v>67</v>
      </c>
      <c r="H404" s="129">
        <v>0</v>
      </c>
      <c r="I404" s="129">
        <v>6.5</v>
      </c>
      <c r="J404" s="129">
        <v>0</v>
      </c>
      <c r="K404" s="129">
        <v>0</v>
      </c>
      <c r="L404" s="129">
        <f t="shared" si="150"/>
        <v>1033</v>
      </c>
      <c r="M404" s="129">
        <f t="shared" si="151"/>
        <v>67</v>
      </c>
      <c r="N404" s="128">
        <f t="shared" si="152"/>
        <v>6.4899999999999999E-2</v>
      </c>
      <c r="O404" s="164">
        <f t="shared" si="153"/>
        <v>0</v>
      </c>
      <c r="P404" s="185">
        <f t="shared" si="154"/>
        <v>0</v>
      </c>
      <c r="Q404" s="185">
        <f t="shared" si="155"/>
        <v>0</v>
      </c>
      <c r="R404" s="162" t="b">
        <f t="shared" si="156"/>
        <v>0</v>
      </c>
    </row>
    <row r="405" spans="1:18">
      <c r="A405" s="129" t="s">
        <v>228</v>
      </c>
      <c r="B405" s="129" t="s">
        <v>3720</v>
      </c>
      <c r="C405" s="129">
        <v>823</v>
      </c>
      <c r="D405" s="129" t="s">
        <v>1321</v>
      </c>
      <c r="E405" s="129">
        <v>809</v>
      </c>
      <c r="F405" s="129">
        <v>0</v>
      </c>
      <c r="G405" s="129">
        <v>42</v>
      </c>
      <c r="H405" s="129">
        <v>0</v>
      </c>
      <c r="I405" s="129">
        <v>5.2</v>
      </c>
      <c r="J405" s="129">
        <v>0</v>
      </c>
      <c r="K405" s="129">
        <v>0</v>
      </c>
      <c r="L405" s="129">
        <f t="shared" si="150"/>
        <v>809</v>
      </c>
      <c r="M405" s="129">
        <f t="shared" si="151"/>
        <v>42</v>
      </c>
      <c r="N405" s="128">
        <f t="shared" si="152"/>
        <v>5.1900000000000002E-2</v>
      </c>
      <c r="O405" s="164">
        <f t="shared" si="153"/>
        <v>0</v>
      </c>
      <c r="P405" s="185">
        <f t="shared" si="154"/>
        <v>0</v>
      </c>
      <c r="Q405" s="185">
        <f t="shared" si="155"/>
        <v>0</v>
      </c>
      <c r="R405" s="162" t="b">
        <f t="shared" si="156"/>
        <v>0</v>
      </c>
    </row>
    <row r="406" spans="1:18">
      <c r="A406" s="129" t="s">
        <v>228</v>
      </c>
      <c r="B406" s="129" t="s">
        <v>3720</v>
      </c>
      <c r="C406" s="129">
        <v>937</v>
      </c>
      <c r="D406" s="129" t="s">
        <v>1323</v>
      </c>
      <c r="E406" s="129">
        <v>537</v>
      </c>
      <c r="F406" s="129">
        <v>0</v>
      </c>
      <c r="G406" s="129">
        <v>33</v>
      </c>
      <c r="H406" s="129">
        <v>0</v>
      </c>
      <c r="I406" s="129">
        <v>6.2</v>
      </c>
      <c r="J406" s="129">
        <v>0</v>
      </c>
      <c r="K406" s="129">
        <v>0</v>
      </c>
      <c r="L406" s="129">
        <f t="shared" si="150"/>
        <v>537</v>
      </c>
      <c r="M406" s="129">
        <f t="shared" si="151"/>
        <v>33</v>
      </c>
      <c r="N406" s="128">
        <f t="shared" si="152"/>
        <v>6.1499999999999999E-2</v>
      </c>
      <c r="O406" s="164">
        <f t="shared" si="153"/>
        <v>0</v>
      </c>
      <c r="P406" s="185">
        <f t="shared" si="154"/>
        <v>0</v>
      </c>
      <c r="Q406" s="185">
        <f t="shared" si="155"/>
        <v>0</v>
      </c>
      <c r="R406" s="162" t="b">
        <f t="shared" si="156"/>
        <v>0</v>
      </c>
    </row>
    <row r="407" spans="1:18">
      <c r="A407" s="129" t="s">
        <v>228</v>
      </c>
      <c r="B407" s="129" t="s">
        <v>3720</v>
      </c>
      <c r="C407" s="129">
        <v>1370</v>
      </c>
      <c r="D407" s="129" t="s">
        <v>1325</v>
      </c>
      <c r="E407" s="129">
        <v>114</v>
      </c>
      <c r="F407" s="129">
        <v>0</v>
      </c>
      <c r="G407" s="129">
        <v>2</v>
      </c>
      <c r="H407" s="129">
        <v>0</v>
      </c>
      <c r="I407" s="129">
        <v>1.8</v>
      </c>
      <c r="J407" s="129">
        <v>0</v>
      </c>
      <c r="K407" s="129">
        <v>0</v>
      </c>
      <c r="L407" s="129">
        <f t="shared" si="150"/>
        <v>114</v>
      </c>
      <c r="M407" s="129">
        <f t="shared" si="151"/>
        <v>2</v>
      </c>
      <c r="N407" s="128">
        <f t="shared" si="152"/>
        <v>1.7500000000000002E-2</v>
      </c>
      <c r="O407" s="164">
        <f t="shared" si="153"/>
        <v>0</v>
      </c>
      <c r="P407" s="185">
        <f t="shared" si="154"/>
        <v>0</v>
      </c>
      <c r="Q407" s="185">
        <f t="shared" si="155"/>
        <v>0</v>
      </c>
      <c r="R407" s="162" t="b">
        <f t="shared" si="156"/>
        <v>0</v>
      </c>
    </row>
    <row r="408" spans="1:18">
      <c r="A408" s="129" t="s">
        <v>228</v>
      </c>
      <c r="B408" s="129" t="s">
        <v>3720</v>
      </c>
      <c r="C408" s="129">
        <v>7773</v>
      </c>
      <c r="D408" s="129" t="s">
        <v>1327</v>
      </c>
      <c r="E408" s="129">
        <v>406</v>
      </c>
      <c r="F408" s="129">
        <v>0</v>
      </c>
      <c r="G408" s="129">
        <v>23</v>
      </c>
      <c r="H408" s="129">
        <v>0</v>
      </c>
      <c r="I408" s="129">
        <v>5.7</v>
      </c>
      <c r="J408" s="129">
        <v>0</v>
      </c>
      <c r="K408" s="129">
        <v>0</v>
      </c>
      <c r="L408" s="129">
        <f t="shared" si="150"/>
        <v>406</v>
      </c>
      <c r="M408" s="129">
        <f t="shared" si="151"/>
        <v>23</v>
      </c>
      <c r="N408" s="128">
        <f t="shared" si="152"/>
        <v>5.67E-2</v>
      </c>
      <c r="O408" s="164">
        <f t="shared" si="153"/>
        <v>0</v>
      </c>
      <c r="P408" s="185">
        <f t="shared" si="154"/>
        <v>0</v>
      </c>
      <c r="Q408" s="185">
        <f t="shared" si="155"/>
        <v>0</v>
      </c>
      <c r="R408" s="162" t="b">
        <f t="shared" si="156"/>
        <v>0</v>
      </c>
    </row>
    <row r="409" spans="1:18">
      <c r="A409" s="129" t="s">
        <v>228</v>
      </c>
      <c r="B409" s="129" t="s">
        <v>3720</v>
      </c>
      <c r="C409" s="129">
        <v>7774</v>
      </c>
      <c r="D409" s="129" t="s">
        <v>1329</v>
      </c>
      <c r="E409" s="129">
        <v>1519</v>
      </c>
      <c r="F409" s="129">
        <v>0</v>
      </c>
      <c r="G409" s="129">
        <v>148</v>
      </c>
      <c r="H409" s="129">
        <v>0</v>
      </c>
      <c r="I409" s="129">
        <v>9.6999999999999993</v>
      </c>
      <c r="J409" s="129">
        <v>0</v>
      </c>
      <c r="K409" s="129">
        <v>0</v>
      </c>
      <c r="L409" s="129">
        <f t="shared" si="150"/>
        <v>1519</v>
      </c>
      <c r="M409" s="129">
        <f t="shared" si="151"/>
        <v>148</v>
      </c>
      <c r="N409" s="128">
        <f t="shared" si="152"/>
        <v>9.74E-2</v>
      </c>
      <c r="O409" s="164">
        <f t="shared" si="153"/>
        <v>0</v>
      </c>
      <c r="P409" s="185">
        <f t="shared" si="154"/>
        <v>0</v>
      </c>
      <c r="Q409" s="185">
        <f t="shared" si="155"/>
        <v>0</v>
      </c>
      <c r="R409" s="162" t="b">
        <f t="shared" si="156"/>
        <v>0</v>
      </c>
    </row>
    <row r="410" spans="1:18">
      <c r="A410" s="129" t="s">
        <v>228</v>
      </c>
      <c r="B410" s="129" t="s">
        <v>3720</v>
      </c>
      <c r="C410" s="129">
        <v>7775</v>
      </c>
      <c r="D410" s="129" t="s">
        <v>1331</v>
      </c>
      <c r="E410" s="129">
        <v>378</v>
      </c>
      <c r="F410" s="129">
        <v>0</v>
      </c>
      <c r="G410" s="129">
        <v>40</v>
      </c>
      <c r="H410" s="129">
        <v>0</v>
      </c>
      <c r="I410" s="129">
        <v>10.6</v>
      </c>
      <c r="J410" s="129">
        <v>0</v>
      </c>
      <c r="K410" s="129">
        <v>0</v>
      </c>
      <c r="L410" s="129">
        <f t="shared" si="150"/>
        <v>378</v>
      </c>
      <c r="M410" s="129">
        <f t="shared" si="151"/>
        <v>40</v>
      </c>
      <c r="N410" s="128">
        <f t="shared" si="152"/>
        <v>0.10580000000000001</v>
      </c>
      <c r="O410" s="164">
        <f t="shared" si="153"/>
        <v>0</v>
      </c>
      <c r="P410" s="185">
        <f t="shared" si="154"/>
        <v>0</v>
      </c>
      <c r="Q410" s="185">
        <f t="shared" si="155"/>
        <v>0</v>
      </c>
      <c r="R410" s="162" t="b">
        <f t="shared" si="156"/>
        <v>0</v>
      </c>
    </row>
    <row r="411" spans="1:18">
      <c r="A411" s="129" t="s">
        <v>228</v>
      </c>
      <c r="B411" s="129" t="s">
        <v>3720</v>
      </c>
      <c r="C411" s="129">
        <v>7776</v>
      </c>
      <c r="D411" s="129" t="s">
        <v>1333</v>
      </c>
      <c r="E411" s="129">
        <v>438</v>
      </c>
      <c r="F411" s="129">
        <v>0</v>
      </c>
      <c r="G411" s="129">
        <v>19</v>
      </c>
      <c r="H411" s="129">
        <v>0</v>
      </c>
      <c r="I411" s="129">
        <v>4.3</v>
      </c>
      <c r="J411" s="129">
        <v>0</v>
      </c>
      <c r="K411" s="129">
        <v>0</v>
      </c>
      <c r="L411" s="129">
        <f t="shared" si="150"/>
        <v>438</v>
      </c>
      <c r="M411" s="129">
        <f t="shared" si="151"/>
        <v>19</v>
      </c>
      <c r="N411" s="128">
        <f t="shared" si="152"/>
        <v>4.3400000000000001E-2</v>
      </c>
      <c r="O411" s="164">
        <f t="shared" si="153"/>
        <v>0</v>
      </c>
      <c r="P411" s="185">
        <f t="shared" si="154"/>
        <v>0</v>
      </c>
      <c r="Q411" s="185">
        <f t="shared" si="155"/>
        <v>0</v>
      </c>
      <c r="R411" s="162" t="b">
        <f t="shared" si="156"/>
        <v>0</v>
      </c>
    </row>
    <row r="412" spans="1:18">
      <c r="A412" s="129" t="s">
        <v>228</v>
      </c>
      <c r="B412" s="129" t="s">
        <v>3720</v>
      </c>
      <c r="C412" s="129">
        <v>7777</v>
      </c>
      <c r="D412" s="129" t="s">
        <v>1335</v>
      </c>
      <c r="E412" s="129">
        <v>1654</v>
      </c>
      <c r="F412" s="129">
        <v>0</v>
      </c>
      <c r="G412" s="129">
        <v>125</v>
      </c>
      <c r="H412" s="129">
        <v>0</v>
      </c>
      <c r="I412" s="129">
        <v>7.6</v>
      </c>
      <c r="J412" s="129">
        <v>0</v>
      </c>
      <c r="K412" s="129">
        <v>0</v>
      </c>
      <c r="L412" s="129">
        <f t="shared" si="150"/>
        <v>1654</v>
      </c>
      <c r="M412" s="129">
        <f t="shared" si="151"/>
        <v>125</v>
      </c>
      <c r="N412" s="128">
        <f t="shared" si="152"/>
        <v>7.5600000000000001E-2</v>
      </c>
      <c r="O412" s="164">
        <f t="shared" si="153"/>
        <v>0</v>
      </c>
      <c r="P412" s="185">
        <f t="shared" si="154"/>
        <v>0</v>
      </c>
      <c r="Q412" s="185">
        <f t="shared" si="155"/>
        <v>0</v>
      </c>
      <c r="R412" s="162" t="b">
        <f t="shared" si="156"/>
        <v>0</v>
      </c>
    </row>
    <row r="413" spans="1:18">
      <c r="A413" s="129" t="s">
        <v>228</v>
      </c>
      <c r="B413" s="129" t="s">
        <v>3720</v>
      </c>
      <c r="C413" s="129">
        <v>7786</v>
      </c>
      <c r="D413" s="129" t="s">
        <v>1337</v>
      </c>
      <c r="E413" s="129">
        <v>454</v>
      </c>
      <c r="F413" s="129">
        <v>0</v>
      </c>
      <c r="G413" s="129">
        <v>48</v>
      </c>
      <c r="H413" s="129">
        <v>0</v>
      </c>
      <c r="I413" s="129">
        <v>10.6</v>
      </c>
      <c r="J413" s="129">
        <v>0</v>
      </c>
      <c r="K413" s="129">
        <v>0</v>
      </c>
      <c r="L413" s="129">
        <f t="shared" si="150"/>
        <v>454</v>
      </c>
      <c r="M413" s="129">
        <f t="shared" si="151"/>
        <v>48</v>
      </c>
      <c r="N413" s="128">
        <f t="shared" si="152"/>
        <v>0.1057</v>
      </c>
      <c r="O413" s="164">
        <f t="shared" si="153"/>
        <v>0</v>
      </c>
      <c r="P413" s="185">
        <f t="shared" si="154"/>
        <v>0</v>
      </c>
      <c r="Q413" s="185">
        <f t="shared" si="155"/>
        <v>0</v>
      </c>
      <c r="R413" s="162" t="b">
        <f t="shared" si="156"/>
        <v>0</v>
      </c>
    </row>
    <row r="414" spans="1:18">
      <c r="A414" s="129" t="s">
        <v>228</v>
      </c>
      <c r="B414" s="129" t="s">
        <v>3720</v>
      </c>
      <c r="C414" s="129">
        <v>7787</v>
      </c>
      <c r="D414" s="129" t="s">
        <v>1339</v>
      </c>
      <c r="E414" s="129">
        <v>591</v>
      </c>
      <c r="F414" s="129">
        <v>0</v>
      </c>
      <c r="G414" s="129">
        <v>37</v>
      </c>
      <c r="H414" s="129">
        <v>0</v>
      </c>
      <c r="I414" s="129">
        <v>6.3</v>
      </c>
      <c r="J414" s="129">
        <v>0</v>
      </c>
      <c r="K414" s="129">
        <v>0</v>
      </c>
      <c r="L414" s="129">
        <f t="shared" si="150"/>
        <v>591</v>
      </c>
      <c r="M414" s="129">
        <f t="shared" si="151"/>
        <v>37</v>
      </c>
      <c r="N414" s="128">
        <f t="shared" si="152"/>
        <v>6.2600000000000003E-2</v>
      </c>
      <c r="O414" s="164">
        <f t="shared" si="153"/>
        <v>0</v>
      </c>
      <c r="P414" s="185">
        <f t="shared" si="154"/>
        <v>0</v>
      </c>
      <c r="Q414" s="185">
        <f t="shared" si="155"/>
        <v>0</v>
      </c>
      <c r="R414" s="162" t="b">
        <f t="shared" si="156"/>
        <v>0</v>
      </c>
    </row>
    <row r="415" spans="1:18">
      <c r="A415" s="129" t="s">
        <v>228</v>
      </c>
      <c r="B415" s="129" t="s">
        <v>3720</v>
      </c>
      <c r="C415" s="129">
        <v>7788</v>
      </c>
      <c r="D415" s="129" t="s">
        <v>1341</v>
      </c>
      <c r="E415" s="129">
        <v>406</v>
      </c>
      <c r="F415" s="129">
        <v>0</v>
      </c>
      <c r="G415" s="129">
        <v>21</v>
      </c>
      <c r="H415" s="129">
        <v>0</v>
      </c>
      <c r="I415" s="129">
        <v>5.2</v>
      </c>
      <c r="J415" s="129">
        <v>0</v>
      </c>
      <c r="K415" s="129">
        <v>0</v>
      </c>
      <c r="L415" s="129">
        <f t="shared" si="150"/>
        <v>406</v>
      </c>
      <c r="M415" s="129">
        <f t="shared" si="151"/>
        <v>21</v>
      </c>
      <c r="N415" s="128">
        <f t="shared" si="152"/>
        <v>5.1700000000000003E-2</v>
      </c>
      <c r="O415" s="164">
        <f t="shared" si="153"/>
        <v>0</v>
      </c>
      <c r="P415" s="185">
        <f t="shared" si="154"/>
        <v>0</v>
      </c>
      <c r="Q415" s="185">
        <f t="shared" si="155"/>
        <v>0</v>
      </c>
      <c r="R415" s="162" t="b">
        <f t="shared" si="156"/>
        <v>0</v>
      </c>
    </row>
    <row r="416" spans="1:18">
      <c r="A416" s="129" t="s">
        <v>228</v>
      </c>
      <c r="B416" s="129" t="s">
        <v>3720</v>
      </c>
      <c r="C416" s="129">
        <v>7790</v>
      </c>
      <c r="D416" s="129" t="s">
        <v>1343</v>
      </c>
      <c r="E416" s="129">
        <v>478</v>
      </c>
      <c r="F416" s="129">
        <v>0</v>
      </c>
      <c r="G416" s="129">
        <v>27</v>
      </c>
      <c r="H416" s="129">
        <v>0</v>
      </c>
      <c r="I416" s="129">
        <v>5.7</v>
      </c>
      <c r="J416" s="129">
        <v>0</v>
      </c>
      <c r="K416" s="129">
        <v>0</v>
      </c>
      <c r="L416" s="129">
        <f t="shared" si="150"/>
        <v>478</v>
      </c>
      <c r="M416" s="129">
        <f t="shared" si="151"/>
        <v>27</v>
      </c>
      <c r="N416" s="128">
        <f t="shared" si="152"/>
        <v>5.6500000000000002E-2</v>
      </c>
      <c r="O416" s="164">
        <f t="shared" si="153"/>
        <v>0</v>
      </c>
      <c r="P416" s="185">
        <f t="shared" si="154"/>
        <v>0</v>
      </c>
      <c r="Q416" s="185">
        <f t="shared" si="155"/>
        <v>0</v>
      </c>
      <c r="R416" s="162" t="b">
        <f t="shared" si="156"/>
        <v>0</v>
      </c>
    </row>
    <row r="417" spans="1:18">
      <c r="A417" s="129" t="s">
        <v>316</v>
      </c>
      <c r="B417" s="129" t="s">
        <v>3801</v>
      </c>
      <c r="C417" s="129">
        <v>3832</v>
      </c>
      <c r="D417" s="129" t="s">
        <v>2251</v>
      </c>
      <c r="E417" s="129">
        <v>41</v>
      </c>
      <c r="F417" s="129">
        <v>0</v>
      </c>
      <c r="G417" s="129">
        <v>32</v>
      </c>
      <c r="H417" s="129">
        <v>0</v>
      </c>
      <c r="I417" s="129">
        <v>78.099999999999994</v>
      </c>
      <c r="J417" s="129">
        <v>3.4</v>
      </c>
      <c r="K417" s="129">
        <v>0</v>
      </c>
      <c r="L417" s="129">
        <f t="shared" ref="L417:L423" si="157">SUM(E417:F417)</f>
        <v>41</v>
      </c>
      <c r="M417" s="129">
        <f t="shared" ref="M417:M423" si="158">SUM(G417:H417)</f>
        <v>32</v>
      </c>
      <c r="N417" s="128">
        <f t="shared" ref="N417:N423" si="159">IF(ISERROR(M417/L417),0,M417/L417)</f>
        <v>0.78049999999999997</v>
      </c>
      <c r="O417" s="164">
        <f t="shared" ref="O417:O423" si="160">IF(AND((N417-35%)&gt;0,N417&lt;50%),M417*(N417-35%)*0.7,0)</f>
        <v>0</v>
      </c>
      <c r="P417" s="185">
        <f t="shared" ref="P417:P423" si="161">IF(N417&gt;=50%,M417*10.5%,0)</f>
        <v>3.4</v>
      </c>
      <c r="Q417" s="185">
        <f t="shared" ref="Q417:Q423" si="162">MAX(O417,P417)</f>
        <v>3.4</v>
      </c>
      <c r="R417" s="162" t="b">
        <f t="shared" si="156"/>
        <v>0</v>
      </c>
    </row>
    <row r="418" spans="1:18">
      <c r="A418" s="129" t="s">
        <v>316</v>
      </c>
      <c r="B418" s="129" t="s">
        <v>3801</v>
      </c>
      <c r="C418" s="129">
        <v>3834</v>
      </c>
      <c r="D418" s="129" t="s">
        <v>2253</v>
      </c>
      <c r="E418" s="129">
        <v>15</v>
      </c>
      <c r="F418" s="129">
        <v>0</v>
      </c>
      <c r="G418" s="129">
        <v>3</v>
      </c>
      <c r="H418" s="129">
        <v>0</v>
      </c>
      <c r="I418" s="129">
        <v>20</v>
      </c>
      <c r="J418" s="129">
        <v>0</v>
      </c>
      <c r="K418" s="129">
        <v>0</v>
      </c>
      <c r="L418" s="129">
        <f t="shared" si="157"/>
        <v>15</v>
      </c>
      <c r="M418" s="129">
        <f t="shared" si="158"/>
        <v>3</v>
      </c>
      <c r="N418" s="128">
        <f t="shared" si="159"/>
        <v>0.2</v>
      </c>
      <c r="O418" s="164">
        <f t="shared" si="160"/>
        <v>0</v>
      </c>
      <c r="P418" s="185">
        <f t="shared" si="161"/>
        <v>0</v>
      </c>
      <c r="Q418" s="185">
        <f t="shared" si="162"/>
        <v>0</v>
      </c>
      <c r="R418" s="162" t="b">
        <f t="shared" si="156"/>
        <v>0</v>
      </c>
    </row>
    <row r="419" spans="1:18">
      <c r="A419" s="129" t="s">
        <v>316</v>
      </c>
      <c r="B419" s="129" t="s">
        <v>3801</v>
      </c>
      <c r="C419" s="129">
        <v>3836</v>
      </c>
      <c r="D419" s="129" t="s">
        <v>2255</v>
      </c>
      <c r="E419" s="129">
        <v>37</v>
      </c>
      <c r="F419" s="129">
        <v>0</v>
      </c>
      <c r="G419" s="129">
        <v>29</v>
      </c>
      <c r="H419" s="129">
        <v>0</v>
      </c>
      <c r="I419" s="129">
        <v>78.400000000000006</v>
      </c>
      <c r="J419" s="129">
        <v>3</v>
      </c>
      <c r="K419" s="129">
        <v>0</v>
      </c>
      <c r="L419" s="129">
        <f t="shared" si="157"/>
        <v>37</v>
      </c>
      <c r="M419" s="129">
        <f t="shared" si="158"/>
        <v>29</v>
      </c>
      <c r="N419" s="128">
        <f t="shared" si="159"/>
        <v>0.78380000000000005</v>
      </c>
      <c r="O419" s="164">
        <f t="shared" si="160"/>
        <v>0</v>
      </c>
      <c r="P419" s="185">
        <f t="shared" si="161"/>
        <v>3</v>
      </c>
      <c r="Q419" s="185">
        <f t="shared" si="162"/>
        <v>3</v>
      </c>
      <c r="R419" s="162" t="b">
        <f t="shared" si="156"/>
        <v>0</v>
      </c>
    </row>
    <row r="420" spans="1:18">
      <c r="A420" s="129" t="s">
        <v>316</v>
      </c>
      <c r="B420" s="129" t="s">
        <v>3801</v>
      </c>
      <c r="C420" s="129">
        <v>3838</v>
      </c>
      <c r="D420" s="129" t="s">
        <v>2257</v>
      </c>
      <c r="E420" s="129">
        <v>29</v>
      </c>
      <c r="F420" s="129">
        <v>0</v>
      </c>
      <c r="G420" s="129">
        <v>17</v>
      </c>
      <c r="H420" s="129">
        <v>0</v>
      </c>
      <c r="I420" s="129">
        <v>58.6</v>
      </c>
      <c r="J420" s="129">
        <v>1.8</v>
      </c>
      <c r="K420" s="129">
        <v>0</v>
      </c>
      <c r="L420" s="129">
        <f t="shared" si="157"/>
        <v>29</v>
      </c>
      <c r="M420" s="129">
        <f t="shared" si="158"/>
        <v>17</v>
      </c>
      <c r="N420" s="128">
        <f t="shared" si="159"/>
        <v>0.58620000000000005</v>
      </c>
      <c r="O420" s="164">
        <f t="shared" si="160"/>
        <v>0</v>
      </c>
      <c r="P420" s="185">
        <f t="shared" si="161"/>
        <v>1.8</v>
      </c>
      <c r="Q420" s="185">
        <f t="shared" si="162"/>
        <v>1.8</v>
      </c>
      <c r="R420" s="162" t="b">
        <f t="shared" si="156"/>
        <v>0</v>
      </c>
    </row>
    <row r="421" spans="1:18">
      <c r="A421" s="129" t="s">
        <v>374</v>
      </c>
      <c r="B421" s="129" t="s">
        <v>3852</v>
      </c>
      <c r="C421" s="129">
        <v>5389</v>
      </c>
      <c r="D421" s="129" t="s">
        <v>2615</v>
      </c>
      <c r="E421" s="129">
        <v>135</v>
      </c>
      <c r="F421" s="129">
        <v>0</v>
      </c>
      <c r="G421" s="129">
        <v>54</v>
      </c>
      <c r="H421" s="129">
        <v>0</v>
      </c>
      <c r="I421" s="129">
        <v>40</v>
      </c>
      <c r="J421" s="129">
        <v>0</v>
      </c>
      <c r="K421" s="129">
        <v>1.9</v>
      </c>
      <c r="L421" s="129">
        <f t="shared" si="157"/>
        <v>135</v>
      </c>
      <c r="M421" s="129">
        <f t="shared" si="158"/>
        <v>54</v>
      </c>
      <c r="N421" s="128">
        <f t="shared" si="159"/>
        <v>0.4</v>
      </c>
      <c r="O421" s="164">
        <f t="shared" si="160"/>
        <v>1.9</v>
      </c>
      <c r="P421" s="185">
        <f t="shared" si="161"/>
        <v>0</v>
      </c>
      <c r="Q421" s="185">
        <f t="shared" si="162"/>
        <v>1.9</v>
      </c>
      <c r="R421" s="162" t="b">
        <f t="shared" si="156"/>
        <v>0</v>
      </c>
    </row>
    <row r="422" spans="1:18">
      <c r="A422" s="129" t="s">
        <v>374</v>
      </c>
      <c r="B422" s="129" t="s">
        <v>3852</v>
      </c>
      <c r="C422" s="129">
        <v>5390</v>
      </c>
      <c r="D422" s="129" t="s">
        <v>2617</v>
      </c>
      <c r="E422" s="129">
        <v>102</v>
      </c>
      <c r="F422" s="129">
        <v>0</v>
      </c>
      <c r="G422" s="129">
        <v>42</v>
      </c>
      <c r="H422" s="129">
        <v>0</v>
      </c>
      <c r="I422" s="129">
        <v>41.2</v>
      </c>
      <c r="J422" s="129">
        <v>0</v>
      </c>
      <c r="K422" s="129">
        <v>1.8</v>
      </c>
      <c r="L422" s="129">
        <f t="shared" si="157"/>
        <v>102</v>
      </c>
      <c r="M422" s="129">
        <f t="shared" si="158"/>
        <v>42</v>
      </c>
      <c r="N422" s="128">
        <f t="shared" si="159"/>
        <v>0.4118</v>
      </c>
      <c r="O422" s="164">
        <f t="shared" si="160"/>
        <v>1.8</v>
      </c>
      <c r="P422" s="185">
        <f t="shared" si="161"/>
        <v>0</v>
      </c>
      <c r="Q422" s="185">
        <f t="shared" si="162"/>
        <v>1.8</v>
      </c>
      <c r="R422" s="162" t="b">
        <f t="shared" si="156"/>
        <v>0</v>
      </c>
    </row>
    <row r="423" spans="1:18">
      <c r="A423" s="129" t="s">
        <v>374</v>
      </c>
      <c r="B423" s="129" t="s">
        <v>3852</v>
      </c>
      <c r="C423" s="129">
        <v>5396</v>
      </c>
      <c r="D423" s="129" t="s">
        <v>2619</v>
      </c>
      <c r="E423" s="129">
        <v>45</v>
      </c>
      <c r="F423" s="129">
        <v>0</v>
      </c>
      <c r="G423" s="129">
        <v>20</v>
      </c>
      <c r="H423" s="129">
        <v>0</v>
      </c>
      <c r="I423" s="129">
        <v>44.4</v>
      </c>
      <c r="J423" s="129">
        <v>0</v>
      </c>
      <c r="K423" s="129">
        <v>1.3</v>
      </c>
      <c r="L423" s="129">
        <f t="shared" si="157"/>
        <v>45</v>
      </c>
      <c r="M423" s="129">
        <f t="shared" si="158"/>
        <v>20</v>
      </c>
      <c r="N423" s="128">
        <f t="shared" si="159"/>
        <v>0.44440000000000002</v>
      </c>
      <c r="O423" s="164">
        <f t="shared" si="160"/>
        <v>1.3</v>
      </c>
      <c r="P423" s="185">
        <f t="shared" si="161"/>
        <v>0</v>
      </c>
      <c r="Q423" s="185">
        <f t="shared" si="162"/>
        <v>1.3</v>
      </c>
      <c r="R423" s="162" t="b">
        <f t="shared" si="156"/>
        <v>0</v>
      </c>
    </row>
    <row r="424" spans="1:18">
      <c r="A424" s="129" t="s">
        <v>435</v>
      </c>
      <c r="B424" s="129" t="s">
        <v>3910</v>
      </c>
      <c r="C424" s="129">
        <v>7356</v>
      </c>
      <c r="D424" s="129" t="s">
        <v>3043</v>
      </c>
      <c r="E424" s="129">
        <v>234</v>
      </c>
      <c r="F424" s="129">
        <v>0</v>
      </c>
      <c r="G424" s="129">
        <v>113</v>
      </c>
      <c r="H424" s="129">
        <v>0</v>
      </c>
      <c r="I424" s="129">
        <v>48.3</v>
      </c>
      <c r="J424" s="129">
        <v>0</v>
      </c>
      <c r="K424" s="129">
        <v>10.5</v>
      </c>
      <c r="L424" s="129">
        <f t="shared" ref="L424:L432" si="163">SUM(E424:F424)</f>
        <v>234</v>
      </c>
      <c r="M424" s="129">
        <f t="shared" ref="M424:M432" si="164">SUM(G424:H424)</f>
        <v>113</v>
      </c>
      <c r="N424" s="128">
        <f t="shared" ref="N424:N432" si="165">IF(ISERROR(M424/L424),0,M424/L424)</f>
        <v>0.4829</v>
      </c>
      <c r="O424" s="164">
        <f t="shared" ref="O424:O432" si="166">IF(AND((N424-35%)&gt;0,N424&lt;50%),M424*(N424-35%)*0.7,0)</f>
        <v>10.5</v>
      </c>
      <c r="P424" s="185">
        <f t="shared" ref="P424:P432" si="167">IF(N424&gt;=50%,M424*10.5%,0)</f>
        <v>0</v>
      </c>
      <c r="Q424" s="185">
        <f t="shared" ref="Q424:Q432" si="168">MAX(O424,P424)</f>
        <v>10.5</v>
      </c>
      <c r="R424" s="162" t="b">
        <f t="shared" si="156"/>
        <v>0</v>
      </c>
    </row>
    <row r="425" spans="1:18">
      <c r="A425" s="129" t="s">
        <v>435</v>
      </c>
      <c r="B425" s="129" t="s">
        <v>3910</v>
      </c>
      <c r="C425" s="129">
        <v>7358</v>
      </c>
      <c r="D425" s="129" t="s">
        <v>3045</v>
      </c>
      <c r="E425" s="129">
        <v>400</v>
      </c>
      <c r="F425" s="129">
        <v>0</v>
      </c>
      <c r="G425" s="129">
        <v>168</v>
      </c>
      <c r="H425" s="129">
        <v>0</v>
      </c>
      <c r="I425" s="129">
        <v>42</v>
      </c>
      <c r="J425" s="129">
        <v>0</v>
      </c>
      <c r="K425" s="129">
        <v>8.1999999999999993</v>
      </c>
      <c r="L425" s="129">
        <f t="shared" si="163"/>
        <v>400</v>
      </c>
      <c r="M425" s="129">
        <f t="shared" si="164"/>
        <v>168</v>
      </c>
      <c r="N425" s="128">
        <f t="shared" si="165"/>
        <v>0.42</v>
      </c>
      <c r="O425" s="164">
        <f t="shared" si="166"/>
        <v>8.1999999999999993</v>
      </c>
      <c r="P425" s="185">
        <f t="shared" si="167"/>
        <v>0</v>
      </c>
      <c r="Q425" s="185">
        <f t="shared" si="168"/>
        <v>8.1999999999999993</v>
      </c>
      <c r="R425" s="162" t="b">
        <f t="shared" si="156"/>
        <v>0</v>
      </c>
    </row>
    <row r="426" spans="1:18">
      <c r="A426" s="129" t="s">
        <v>435</v>
      </c>
      <c r="B426" s="129" t="s">
        <v>3910</v>
      </c>
      <c r="C426" s="129">
        <v>7360</v>
      </c>
      <c r="D426" s="129" t="s">
        <v>3047</v>
      </c>
      <c r="E426" s="129">
        <v>323</v>
      </c>
      <c r="F426" s="129">
        <v>0</v>
      </c>
      <c r="G426" s="129">
        <v>132</v>
      </c>
      <c r="H426" s="129">
        <v>0</v>
      </c>
      <c r="I426" s="129">
        <v>40.9</v>
      </c>
      <c r="J426" s="129">
        <v>0</v>
      </c>
      <c r="K426" s="129">
        <v>5.4</v>
      </c>
      <c r="L426" s="129">
        <f t="shared" si="163"/>
        <v>323</v>
      </c>
      <c r="M426" s="129">
        <f t="shared" si="164"/>
        <v>132</v>
      </c>
      <c r="N426" s="128">
        <f t="shared" si="165"/>
        <v>0.40870000000000001</v>
      </c>
      <c r="O426" s="164">
        <f t="shared" si="166"/>
        <v>5.4</v>
      </c>
      <c r="P426" s="185">
        <f t="shared" si="167"/>
        <v>0</v>
      </c>
      <c r="Q426" s="185">
        <f t="shared" si="168"/>
        <v>5.4</v>
      </c>
      <c r="R426" s="162" t="b">
        <f t="shared" si="156"/>
        <v>0</v>
      </c>
    </row>
    <row r="427" spans="1:18">
      <c r="A427" s="129" t="s">
        <v>437</v>
      </c>
      <c r="B427" s="129" t="s">
        <v>4137</v>
      </c>
      <c r="C427" s="129">
        <v>7402</v>
      </c>
      <c r="D427" s="129" t="s">
        <v>3053</v>
      </c>
      <c r="E427" s="129">
        <v>7</v>
      </c>
      <c r="F427" s="129">
        <v>0</v>
      </c>
      <c r="G427" s="129">
        <v>5</v>
      </c>
      <c r="H427" s="129">
        <v>0</v>
      </c>
      <c r="I427" s="129">
        <v>71.400000000000006</v>
      </c>
      <c r="J427" s="129">
        <v>0.5</v>
      </c>
      <c r="K427" s="129">
        <v>0</v>
      </c>
      <c r="L427" s="129">
        <f t="shared" si="163"/>
        <v>7</v>
      </c>
      <c r="M427" s="129">
        <f t="shared" si="164"/>
        <v>5</v>
      </c>
      <c r="N427" s="128">
        <f t="shared" si="165"/>
        <v>0.71430000000000005</v>
      </c>
      <c r="O427" s="164">
        <f t="shared" si="166"/>
        <v>0</v>
      </c>
      <c r="P427" s="185">
        <f t="shared" si="167"/>
        <v>0.5</v>
      </c>
      <c r="Q427" s="185">
        <f t="shared" si="168"/>
        <v>0.5</v>
      </c>
      <c r="R427" s="162" t="b">
        <f t="shared" si="156"/>
        <v>0</v>
      </c>
    </row>
    <row r="428" spans="1:18">
      <c r="A428" s="129" t="s">
        <v>437</v>
      </c>
      <c r="B428" s="129" t="s">
        <v>4137</v>
      </c>
      <c r="C428" s="129">
        <v>7404</v>
      </c>
      <c r="D428" s="129" t="s">
        <v>3055</v>
      </c>
      <c r="E428" s="129">
        <v>13</v>
      </c>
      <c r="F428" s="129">
        <v>0</v>
      </c>
      <c r="G428" s="129">
        <v>9</v>
      </c>
      <c r="H428" s="129">
        <v>0</v>
      </c>
      <c r="I428" s="129">
        <v>69.2</v>
      </c>
      <c r="J428" s="129">
        <v>0.9</v>
      </c>
      <c r="K428" s="129">
        <v>0</v>
      </c>
      <c r="L428" s="129">
        <f t="shared" si="163"/>
        <v>13</v>
      </c>
      <c r="M428" s="129">
        <f t="shared" si="164"/>
        <v>9</v>
      </c>
      <c r="N428" s="128">
        <f t="shared" si="165"/>
        <v>0.69230000000000003</v>
      </c>
      <c r="O428" s="164">
        <f t="shared" si="166"/>
        <v>0</v>
      </c>
      <c r="P428" s="185">
        <f t="shared" si="167"/>
        <v>0.9</v>
      </c>
      <c r="Q428" s="185">
        <f t="shared" si="168"/>
        <v>0.9</v>
      </c>
      <c r="R428" s="162" t="b">
        <f t="shared" si="156"/>
        <v>0</v>
      </c>
    </row>
    <row r="429" spans="1:18">
      <c r="A429" s="129" t="s">
        <v>463</v>
      </c>
      <c r="B429" s="129" t="s">
        <v>4114</v>
      </c>
      <c r="C429" s="129">
        <v>8264</v>
      </c>
      <c r="D429" s="129" t="s">
        <v>3267</v>
      </c>
      <c r="E429" s="129">
        <v>155</v>
      </c>
      <c r="F429" s="129">
        <v>0</v>
      </c>
      <c r="G429" s="129">
        <v>99</v>
      </c>
      <c r="H429" s="129">
        <v>0</v>
      </c>
      <c r="I429" s="129">
        <v>63.9</v>
      </c>
      <c r="J429" s="129">
        <v>10.4</v>
      </c>
      <c r="K429" s="129">
        <v>0</v>
      </c>
      <c r="L429" s="129">
        <f t="shared" si="163"/>
        <v>155</v>
      </c>
      <c r="M429" s="129">
        <f t="shared" si="164"/>
        <v>99</v>
      </c>
      <c r="N429" s="128">
        <f t="shared" si="165"/>
        <v>0.63870000000000005</v>
      </c>
      <c r="O429" s="164">
        <f t="shared" si="166"/>
        <v>0</v>
      </c>
      <c r="P429" s="185">
        <f t="shared" si="167"/>
        <v>10.4</v>
      </c>
      <c r="Q429" s="185">
        <f t="shared" si="168"/>
        <v>10.4</v>
      </c>
      <c r="R429" s="162" t="b">
        <f t="shared" si="156"/>
        <v>0</v>
      </c>
    </row>
    <row r="430" spans="1:18">
      <c r="A430" s="129" t="s">
        <v>463</v>
      </c>
      <c r="B430" s="129" t="s">
        <v>4114</v>
      </c>
      <c r="C430" s="129">
        <v>8268</v>
      </c>
      <c r="D430" s="129" t="s">
        <v>3269</v>
      </c>
      <c r="E430" s="129">
        <v>207</v>
      </c>
      <c r="F430" s="129">
        <v>0</v>
      </c>
      <c r="G430" s="129">
        <v>132</v>
      </c>
      <c r="H430" s="129">
        <v>0</v>
      </c>
      <c r="I430" s="129">
        <v>63.8</v>
      </c>
      <c r="J430" s="129">
        <v>13.9</v>
      </c>
      <c r="K430" s="129">
        <v>0</v>
      </c>
      <c r="L430" s="129">
        <f t="shared" si="163"/>
        <v>207</v>
      </c>
      <c r="M430" s="129">
        <f t="shared" si="164"/>
        <v>132</v>
      </c>
      <c r="N430" s="128">
        <f t="shared" si="165"/>
        <v>0.63770000000000004</v>
      </c>
      <c r="O430" s="164">
        <f t="shared" si="166"/>
        <v>0</v>
      </c>
      <c r="P430" s="185">
        <f t="shared" si="167"/>
        <v>13.9</v>
      </c>
      <c r="Q430" s="185">
        <f t="shared" si="168"/>
        <v>13.9</v>
      </c>
      <c r="R430" s="162" t="b">
        <f t="shared" si="156"/>
        <v>0</v>
      </c>
    </row>
    <row r="431" spans="1:18">
      <c r="A431" s="129" t="s">
        <v>463</v>
      </c>
      <c r="B431" s="129" t="s">
        <v>4114</v>
      </c>
      <c r="C431" s="129">
        <v>8270</v>
      </c>
      <c r="D431" s="129" t="s">
        <v>3271</v>
      </c>
      <c r="E431" s="129">
        <v>174</v>
      </c>
      <c r="F431" s="129">
        <v>0</v>
      </c>
      <c r="G431" s="129">
        <v>93</v>
      </c>
      <c r="H431" s="129">
        <v>0</v>
      </c>
      <c r="I431" s="129">
        <v>53.5</v>
      </c>
      <c r="J431" s="129">
        <v>9.8000000000000007</v>
      </c>
      <c r="K431" s="129">
        <v>0</v>
      </c>
      <c r="L431" s="129">
        <f t="shared" si="163"/>
        <v>174</v>
      </c>
      <c r="M431" s="129">
        <f t="shared" si="164"/>
        <v>93</v>
      </c>
      <c r="N431" s="128">
        <f t="shared" si="165"/>
        <v>0.53449999999999998</v>
      </c>
      <c r="O431" s="164">
        <f t="shared" si="166"/>
        <v>0</v>
      </c>
      <c r="P431" s="185">
        <f t="shared" si="167"/>
        <v>9.8000000000000007</v>
      </c>
      <c r="Q431" s="185">
        <f t="shared" si="168"/>
        <v>9.8000000000000007</v>
      </c>
      <c r="R431" s="162" t="b">
        <f t="shared" si="156"/>
        <v>0</v>
      </c>
    </row>
    <row r="432" spans="1:18">
      <c r="A432" s="129" t="s">
        <v>463</v>
      </c>
      <c r="B432" s="129" t="s">
        <v>4114</v>
      </c>
      <c r="C432" s="129">
        <v>8274</v>
      </c>
      <c r="D432" s="129" t="s">
        <v>3273</v>
      </c>
      <c r="E432" s="129">
        <v>222</v>
      </c>
      <c r="F432" s="129">
        <v>0</v>
      </c>
      <c r="G432" s="129">
        <v>122</v>
      </c>
      <c r="H432" s="129">
        <v>0</v>
      </c>
      <c r="I432" s="129">
        <v>55</v>
      </c>
      <c r="J432" s="129">
        <v>12.8</v>
      </c>
      <c r="K432" s="129">
        <v>0</v>
      </c>
      <c r="L432" s="129">
        <f t="shared" si="163"/>
        <v>222</v>
      </c>
      <c r="M432" s="129">
        <f t="shared" si="164"/>
        <v>122</v>
      </c>
      <c r="N432" s="128">
        <f t="shared" si="165"/>
        <v>0.54949999999999999</v>
      </c>
      <c r="O432" s="164">
        <f t="shared" si="166"/>
        <v>0</v>
      </c>
      <c r="P432" s="185">
        <f t="shared" si="167"/>
        <v>12.8</v>
      </c>
      <c r="Q432" s="185">
        <f t="shared" si="168"/>
        <v>12.8</v>
      </c>
      <c r="R432" s="162" t="b">
        <f t="shared" si="156"/>
        <v>0</v>
      </c>
    </row>
    <row r="433" spans="1:18">
      <c r="A433" s="129" t="s">
        <v>202</v>
      </c>
      <c r="B433" s="129" t="s">
        <v>3696</v>
      </c>
      <c r="C433" s="129">
        <v>433</v>
      </c>
      <c r="D433" s="129" t="s">
        <v>1112</v>
      </c>
      <c r="E433" s="129">
        <v>138</v>
      </c>
      <c r="F433" s="129">
        <v>0</v>
      </c>
      <c r="G433" s="129">
        <v>52</v>
      </c>
      <c r="H433" s="129">
        <v>0</v>
      </c>
      <c r="I433" s="129">
        <v>37.700000000000003</v>
      </c>
      <c r="J433" s="129">
        <v>0</v>
      </c>
      <c r="K433" s="129">
        <v>1</v>
      </c>
      <c r="L433" s="129">
        <f t="shared" ref="L433:L488" si="169">SUM(E433:F433)</f>
        <v>138</v>
      </c>
      <c r="M433" s="129">
        <f t="shared" ref="M433:M488" si="170">SUM(G433:H433)</f>
        <v>52</v>
      </c>
      <c r="N433" s="128">
        <f t="shared" ref="N433:N488" si="171">IF(ISERROR(M433/L433),0,M433/L433)</f>
        <v>0.37680000000000002</v>
      </c>
      <c r="O433" s="164">
        <f t="shared" ref="O433:O488" si="172">IF(AND((N433-35%)&gt;0,N433&lt;50%),M433*(N433-35%)*0.7,0)</f>
        <v>1</v>
      </c>
      <c r="P433" s="185">
        <f t="shared" ref="P433:P488" si="173">IF(N433&gt;=50%,M433*10.5%,0)</f>
        <v>0</v>
      </c>
      <c r="Q433" s="185">
        <f t="shared" ref="Q433:Q488" si="174">MAX(O433,P433)</f>
        <v>1</v>
      </c>
      <c r="R433" s="162" t="b">
        <f t="shared" si="156"/>
        <v>0</v>
      </c>
    </row>
    <row r="434" spans="1:18">
      <c r="A434" s="129" t="s">
        <v>202</v>
      </c>
      <c r="B434" s="129" t="s">
        <v>3696</v>
      </c>
      <c r="C434" s="129">
        <v>434</v>
      </c>
      <c r="D434" s="129" t="s">
        <v>1114</v>
      </c>
      <c r="E434" s="129">
        <v>151</v>
      </c>
      <c r="F434" s="129">
        <v>0</v>
      </c>
      <c r="G434" s="129">
        <v>67</v>
      </c>
      <c r="H434" s="129">
        <v>0</v>
      </c>
      <c r="I434" s="129">
        <v>44.4</v>
      </c>
      <c r="J434" s="129">
        <v>0</v>
      </c>
      <c r="K434" s="129">
        <v>4.4000000000000004</v>
      </c>
      <c r="L434" s="129">
        <f t="shared" si="169"/>
        <v>151</v>
      </c>
      <c r="M434" s="129">
        <f t="shared" si="170"/>
        <v>67</v>
      </c>
      <c r="N434" s="128">
        <f t="shared" si="171"/>
        <v>0.44369999999999998</v>
      </c>
      <c r="O434" s="164">
        <f t="shared" si="172"/>
        <v>4.4000000000000004</v>
      </c>
      <c r="P434" s="185">
        <f t="shared" si="173"/>
        <v>0</v>
      </c>
      <c r="Q434" s="185">
        <f t="shared" si="174"/>
        <v>4.4000000000000004</v>
      </c>
      <c r="R434" s="162" t="b">
        <f t="shared" si="156"/>
        <v>0</v>
      </c>
    </row>
    <row r="435" spans="1:18">
      <c r="A435" s="129" t="s">
        <v>202</v>
      </c>
      <c r="B435" s="129" t="s">
        <v>3696</v>
      </c>
      <c r="C435" s="129">
        <v>435</v>
      </c>
      <c r="D435" s="129" t="s">
        <v>1116</v>
      </c>
      <c r="E435" s="129">
        <v>175</v>
      </c>
      <c r="F435" s="129">
        <v>0</v>
      </c>
      <c r="G435" s="129">
        <v>86</v>
      </c>
      <c r="H435" s="129">
        <v>0</v>
      </c>
      <c r="I435" s="129">
        <v>49.1</v>
      </c>
      <c r="J435" s="129">
        <v>0</v>
      </c>
      <c r="K435" s="129">
        <v>8.5</v>
      </c>
      <c r="L435" s="129">
        <f t="shared" si="169"/>
        <v>175</v>
      </c>
      <c r="M435" s="129">
        <f t="shared" si="170"/>
        <v>86</v>
      </c>
      <c r="N435" s="128">
        <f t="shared" si="171"/>
        <v>0.4914</v>
      </c>
      <c r="O435" s="164">
        <f t="shared" si="172"/>
        <v>8.5</v>
      </c>
      <c r="P435" s="185">
        <f t="shared" si="173"/>
        <v>0</v>
      </c>
      <c r="Q435" s="185">
        <f t="shared" si="174"/>
        <v>8.5</v>
      </c>
      <c r="R435" s="162" t="b">
        <f t="shared" si="156"/>
        <v>0</v>
      </c>
    </row>
    <row r="436" spans="1:18">
      <c r="A436" s="129" t="s">
        <v>202</v>
      </c>
      <c r="B436" s="129" t="s">
        <v>3696</v>
      </c>
      <c r="C436" s="129">
        <v>436</v>
      </c>
      <c r="D436" s="129" t="s">
        <v>1118</v>
      </c>
      <c r="E436" s="129">
        <v>168</v>
      </c>
      <c r="F436" s="129">
        <v>0</v>
      </c>
      <c r="G436" s="129">
        <v>75</v>
      </c>
      <c r="H436" s="129">
        <v>0</v>
      </c>
      <c r="I436" s="129">
        <v>44.6</v>
      </c>
      <c r="J436" s="129">
        <v>0</v>
      </c>
      <c r="K436" s="129">
        <v>5.0999999999999996</v>
      </c>
      <c r="L436" s="129">
        <f t="shared" si="169"/>
        <v>168</v>
      </c>
      <c r="M436" s="129">
        <f t="shared" si="170"/>
        <v>75</v>
      </c>
      <c r="N436" s="128">
        <f t="shared" si="171"/>
        <v>0.44640000000000002</v>
      </c>
      <c r="O436" s="164">
        <f t="shared" si="172"/>
        <v>5.0999999999999996</v>
      </c>
      <c r="P436" s="185">
        <f t="shared" si="173"/>
        <v>0</v>
      </c>
      <c r="Q436" s="185">
        <f t="shared" si="174"/>
        <v>5.0999999999999996</v>
      </c>
      <c r="R436" s="162" t="b">
        <f t="shared" si="156"/>
        <v>0</v>
      </c>
    </row>
    <row r="437" spans="1:18">
      <c r="A437" s="129" t="s">
        <v>230</v>
      </c>
      <c r="B437" s="129" t="s">
        <v>4139</v>
      </c>
      <c r="C437" s="129">
        <v>804</v>
      </c>
      <c r="D437" s="129" t="s">
        <v>1363</v>
      </c>
      <c r="E437" s="129">
        <v>309</v>
      </c>
      <c r="F437" s="129">
        <v>0</v>
      </c>
      <c r="G437" s="129">
        <v>131</v>
      </c>
      <c r="H437" s="129">
        <v>0</v>
      </c>
      <c r="I437" s="129">
        <v>42.4</v>
      </c>
      <c r="J437" s="129">
        <v>0</v>
      </c>
      <c r="K437" s="129">
        <v>6.8</v>
      </c>
      <c r="L437" s="129">
        <f t="shared" si="169"/>
        <v>309</v>
      </c>
      <c r="M437" s="129">
        <f t="shared" si="170"/>
        <v>131</v>
      </c>
      <c r="N437" s="128">
        <f t="shared" si="171"/>
        <v>0.4239</v>
      </c>
      <c r="O437" s="164">
        <f t="shared" si="172"/>
        <v>6.8</v>
      </c>
      <c r="P437" s="185">
        <f t="shared" si="173"/>
        <v>0</v>
      </c>
      <c r="Q437" s="185">
        <f t="shared" si="174"/>
        <v>6.8</v>
      </c>
      <c r="R437" s="162" t="b">
        <f t="shared" si="156"/>
        <v>0</v>
      </c>
    </row>
    <row r="438" spans="1:18">
      <c r="A438" s="129" t="s">
        <v>230</v>
      </c>
      <c r="B438" s="129" t="s">
        <v>4139</v>
      </c>
      <c r="C438" s="129">
        <v>808</v>
      </c>
      <c r="D438" s="129" t="s">
        <v>1365</v>
      </c>
      <c r="E438" s="129">
        <v>1766</v>
      </c>
      <c r="F438" s="129">
        <v>0</v>
      </c>
      <c r="G438" s="129">
        <v>517</v>
      </c>
      <c r="H438" s="129">
        <v>0</v>
      </c>
      <c r="I438" s="129">
        <v>29.3</v>
      </c>
      <c r="J438" s="129">
        <v>0</v>
      </c>
      <c r="K438" s="129">
        <v>0</v>
      </c>
      <c r="L438" s="129">
        <f t="shared" si="169"/>
        <v>1766</v>
      </c>
      <c r="M438" s="129">
        <f t="shared" si="170"/>
        <v>517</v>
      </c>
      <c r="N438" s="128">
        <f t="shared" si="171"/>
        <v>0.2928</v>
      </c>
      <c r="O438" s="164">
        <f t="shared" si="172"/>
        <v>0</v>
      </c>
      <c r="P438" s="185">
        <f t="shared" si="173"/>
        <v>0</v>
      </c>
      <c r="Q438" s="185">
        <f t="shared" si="174"/>
        <v>0</v>
      </c>
      <c r="R438" s="162" t="b">
        <f t="shared" si="156"/>
        <v>0</v>
      </c>
    </row>
    <row r="439" spans="1:18">
      <c r="A439" s="129" t="s">
        <v>230</v>
      </c>
      <c r="B439" s="129" t="s">
        <v>4139</v>
      </c>
      <c r="C439" s="129">
        <v>812</v>
      </c>
      <c r="D439" s="129" t="s">
        <v>1367</v>
      </c>
      <c r="E439" s="129">
        <v>132</v>
      </c>
      <c r="F439" s="129">
        <v>0</v>
      </c>
      <c r="G439" s="129">
        <v>40</v>
      </c>
      <c r="H439" s="129">
        <v>0</v>
      </c>
      <c r="I439" s="129">
        <v>30.3</v>
      </c>
      <c r="J439" s="129">
        <v>0</v>
      </c>
      <c r="K439" s="129">
        <v>0</v>
      </c>
      <c r="L439" s="129">
        <f t="shared" si="169"/>
        <v>132</v>
      </c>
      <c r="M439" s="129">
        <f t="shared" si="170"/>
        <v>40</v>
      </c>
      <c r="N439" s="128">
        <f t="shared" si="171"/>
        <v>0.30299999999999999</v>
      </c>
      <c r="O439" s="164">
        <f t="shared" si="172"/>
        <v>0</v>
      </c>
      <c r="P439" s="185">
        <f t="shared" si="173"/>
        <v>0</v>
      </c>
      <c r="Q439" s="185">
        <f t="shared" si="174"/>
        <v>0</v>
      </c>
      <c r="R439" s="162" t="b">
        <f t="shared" si="156"/>
        <v>0</v>
      </c>
    </row>
    <row r="440" spans="1:18">
      <c r="A440" s="129" t="s">
        <v>230</v>
      </c>
      <c r="B440" s="129" t="s">
        <v>4139</v>
      </c>
      <c r="C440" s="129">
        <v>814</v>
      </c>
      <c r="D440" s="129" t="s">
        <v>1369</v>
      </c>
      <c r="E440" s="129">
        <v>290</v>
      </c>
      <c r="F440" s="129">
        <v>0</v>
      </c>
      <c r="G440" s="129">
        <v>77</v>
      </c>
      <c r="H440" s="129">
        <v>0</v>
      </c>
      <c r="I440" s="129">
        <v>26.6</v>
      </c>
      <c r="J440" s="129">
        <v>0</v>
      </c>
      <c r="K440" s="129">
        <v>0</v>
      </c>
      <c r="L440" s="129">
        <f t="shared" si="169"/>
        <v>290</v>
      </c>
      <c r="M440" s="129">
        <f t="shared" si="170"/>
        <v>77</v>
      </c>
      <c r="N440" s="128">
        <f t="shared" si="171"/>
        <v>0.26550000000000001</v>
      </c>
      <c r="O440" s="164">
        <f t="shared" si="172"/>
        <v>0</v>
      </c>
      <c r="P440" s="185">
        <f t="shared" si="173"/>
        <v>0</v>
      </c>
      <c r="Q440" s="185">
        <f t="shared" si="174"/>
        <v>0</v>
      </c>
      <c r="R440" s="162" t="b">
        <f t="shared" si="156"/>
        <v>0</v>
      </c>
    </row>
    <row r="441" spans="1:18">
      <c r="A441" s="129" t="s">
        <v>230</v>
      </c>
      <c r="B441" s="129" t="s">
        <v>4139</v>
      </c>
      <c r="C441" s="129">
        <v>815</v>
      </c>
      <c r="D441" s="129" t="s">
        <v>1371</v>
      </c>
      <c r="E441" s="129">
        <v>319</v>
      </c>
      <c r="F441" s="129">
        <v>0</v>
      </c>
      <c r="G441" s="129">
        <v>147</v>
      </c>
      <c r="H441" s="129">
        <v>0</v>
      </c>
      <c r="I441" s="129">
        <v>46.1</v>
      </c>
      <c r="J441" s="129">
        <v>0</v>
      </c>
      <c r="K441" s="129">
        <v>11.4</v>
      </c>
      <c r="L441" s="129">
        <f t="shared" si="169"/>
        <v>319</v>
      </c>
      <c r="M441" s="129">
        <f t="shared" si="170"/>
        <v>147</v>
      </c>
      <c r="N441" s="128">
        <f t="shared" si="171"/>
        <v>0.46079999999999999</v>
      </c>
      <c r="O441" s="164">
        <f t="shared" si="172"/>
        <v>11.4</v>
      </c>
      <c r="P441" s="185">
        <f t="shared" si="173"/>
        <v>0</v>
      </c>
      <c r="Q441" s="185">
        <f t="shared" si="174"/>
        <v>11.4</v>
      </c>
      <c r="R441" s="162" t="b">
        <f t="shared" si="156"/>
        <v>0</v>
      </c>
    </row>
    <row r="442" spans="1:18">
      <c r="A442" s="129" t="s">
        <v>230</v>
      </c>
      <c r="B442" s="129" t="s">
        <v>4139</v>
      </c>
      <c r="C442" s="129">
        <v>816</v>
      </c>
      <c r="D442" s="129" t="s">
        <v>1373</v>
      </c>
      <c r="E442" s="129">
        <v>494</v>
      </c>
      <c r="F442" s="129">
        <v>0</v>
      </c>
      <c r="G442" s="129">
        <v>133</v>
      </c>
      <c r="H442" s="129">
        <v>0</v>
      </c>
      <c r="I442" s="129">
        <v>26.9</v>
      </c>
      <c r="J442" s="129">
        <v>0</v>
      </c>
      <c r="K442" s="129">
        <v>0</v>
      </c>
      <c r="L442" s="129">
        <f t="shared" si="169"/>
        <v>494</v>
      </c>
      <c r="M442" s="129">
        <f t="shared" si="170"/>
        <v>133</v>
      </c>
      <c r="N442" s="128">
        <f t="shared" si="171"/>
        <v>0.26919999999999999</v>
      </c>
      <c r="O442" s="164">
        <f t="shared" si="172"/>
        <v>0</v>
      </c>
      <c r="P442" s="185">
        <f t="shared" si="173"/>
        <v>0</v>
      </c>
      <c r="Q442" s="185">
        <f t="shared" si="174"/>
        <v>0</v>
      </c>
      <c r="R442" s="162" t="b">
        <f t="shared" si="156"/>
        <v>0</v>
      </c>
    </row>
    <row r="443" spans="1:18">
      <c r="A443" s="129" t="s">
        <v>230</v>
      </c>
      <c r="B443" s="129" t="s">
        <v>4139</v>
      </c>
      <c r="C443" s="129">
        <v>817</v>
      </c>
      <c r="D443" s="129" t="s">
        <v>1375</v>
      </c>
      <c r="E443" s="129">
        <v>570</v>
      </c>
      <c r="F443" s="129">
        <v>0</v>
      </c>
      <c r="G443" s="129">
        <v>153</v>
      </c>
      <c r="H443" s="129">
        <v>0</v>
      </c>
      <c r="I443" s="129">
        <v>26.8</v>
      </c>
      <c r="J443" s="129">
        <v>0</v>
      </c>
      <c r="K443" s="129">
        <v>0</v>
      </c>
      <c r="L443" s="129">
        <f t="shared" si="169"/>
        <v>570</v>
      </c>
      <c r="M443" s="129">
        <f t="shared" si="170"/>
        <v>153</v>
      </c>
      <c r="N443" s="128">
        <f t="shared" si="171"/>
        <v>0.26840000000000003</v>
      </c>
      <c r="O443" s="164">
        <f t="shared" si="172"/>
        <v>0</v>
      </c>
      <c r="P443" s="185">
        <f t="shared" si="173"/>
        <v>0</v>
      </c>
      <c r="Q443" s="185">
        <f t="shared" si="174"/>
        <v>0</v>
      </c>
      <c r="R443" s="162" t="b">
        <f t="shared" si="156"/>
        <v>0</v>
      </c>
    </row>
    <row r="444" spans="1:18">
      <c r="A444" s="129" t="s">
        <v>230</v>
      </c>
      <c r="B444" s="129" t="s">
        <v>4139</v>
      </c>
      <c r="C444" s="129">
        <v>818</v>
      </c>
      <c r="D444" s="129" t="s">
        <v>1377</v>
      </c>
      <c r="E444" s="129">
        <v>354</v>
      </c>
      <c r="F444" s="129">
        <v>0</v>
      </c>
      <c r="G444" s="129">
        <v>106</v>
      </c>
      <c r="H444" s="129">
        <v>0</v>
      </c>
      <c r="I444" s="129">
        <v>29.9</v>
      </c>
      <c r="J444" s="129">
        <v>0</v>
      </c>
      <c r="K444" s="129">
        <v>0</v>
      </c>
      <c r="L444" s="129">
        <f t="shared" si="169"/>
        <v>354</v>
      </c>
      <c r="M444" s="129">
        <f t="shared" si="170"/>
        <v>106</v>
      </c>
      <c r="N444" s="128">
        <f t="shared" si="171"/>
        <v>0.2994</v>
      </c>
      <c r="O444" s="164">
        <f t="shared" si="172"/>
        <v>0</v>
      </c>
      <c r="P444" s="185">
        <f t="shared" si="173"/>
        <v>0</v>
      </c>
      <c r="Q444" s="185">
        <f t="shared" si="174"/>
        <v>0</v>
      </c>
      <c r="R444" s="162" t="b">
        <f t="shared" si="156"/>
        <v>0</v>
      </c>
    </row>
    <row r="445" spans="1:18">
      <c r="A445" s="129" t="s">
        <v>230</v>
      </c>
      <c r="B445" s="129" t="s">
        <v>4139</v>
      </c>
      <c r="C445" s="129">
        <v>819</v>
      </c>
      <c r="D445" s="129" t="s">
        <v>1379</v>
      </c>
      <c r="E445" s="129">
        <v>525</v>
      </c>
      <c r="F445" s="129">
        <v>0</v>
      </c>
      <c r="G445" s="129">
        <v>189</v>
      </c>
      <c r="H445" s="129">
        <v>0</v>
      </c>
      <c r="I445" s="129">
        <v>36</v>
      </c>
      <c r="J445" s="129">
        <v>0</v>
      </c>
      <c r="K445" s="129">
        <v>1.3</v>
      </c>
      <c r="L445" s="129">
        <f t="shared" si="169"/>
        <v>525</v>
      </c>
      <c r="M445" s="129">
        <f t="shared" si="170"/>
        <v>189</v>
      </c>
      <c r="N445" s="128">
        <f t="shared" si="171"/>
        <v>0.36</v>
      </c>
      <c r="O445" s="164">
        <f t="shared" si="172"/>
        <v>1.3</v>
      </c>
      <c r="P445" s="185">
        <f t="shared" si="173"/>
        <v>0</v>
      </c>
      <c r="Q445" s="185">
        <f t="shared" si="174"/>
        <v>1.3</v>
      </c>
      <c r="R445" s="162" t="b">
        <f t="shared" si="156"/>
        <v>0</v>
      </c>
    </row>
    <row r="446" spans="1:18">
      <c r="A446" s="129" t="s">
        <v>230</v>
      </c>
      <c r="B446" s="129" t="s">
        <v>4139</v>
      </c>
      <c r="C446" s="129">
        <v>927</v>
      </c>
      <c r="D446" s="129" t="s">
        <v>1381</v>
      </c>
      <c r="E446" s="129">
        <v>337</v>
      </c>
      <c r="F446" s="129">
        <v>0</v>
      </c>
      <c r="G446" s="129">
        <v>163</v>
      </c>
      <c r="H446" s="129">
        <v>0</v>
      </c>
      <c r="I446" s="129">
        <v>48.4</v>
      </c>
      <c r="J446" s="129">
        <v>0</v>
      </c>
      <c r="K446" s="129">
        <v>15.3</v>
      </c>
      <c r="L446" s="129">
        <f t="shared" si="169"/>
        <v>337</v>
      </c>
      <c r="M446" s="129">
        <f t="shared" si="170"/>
        <v>163</v>
      </c>
      <c r="N446" s="128">
        <f t="shared" si="171"/>
        <v>0.48370000000000002</v>
      </c>
      <c r="O446" s="164">
        <f t="shared" si="172"/>
        <v>15.3</v>
      </c>
      <c r="P446" s="185">
        <f t="shared" si="173"/>
        <v>0</v>
      </c>
      <c r="Q446" s="185">
        <f t="shared" si="174"/>
        <v>15.3</v>
      </c>
      <c r="R446" s="162" t="b">
        <f t="shared" si="156"/>
        <v>0</v>
      </c>
    </row>
    <row r="447" spans="1:18">
      <c r="A447" s="129" t="s">
        <v>230</v>
      </c>
      <c r="B447" s="129" t="s">
        <v>4139</v>
      </c>
      <c r="C447" s="129">
        <v>936</v>
      </c>
      <c r="D447" s="129" t="s">
        <v>1383</v>
      </c>
      <c r="E447" s="129">
        <v>684</v>
      </c>
      <c r="F447" s="129">
        <v>0</v>
      </c>
      <c r="G447" s="129">
        <v>213</v>
      </c>
      <c r="H447" s="129">
        <v>0</v>
      </c>
      <c r="I447" s="129">
        <v>31.1</v>
      </c>
      <c r="J447" s="129">
        <v>0</v>
      </c>
      <c r="K447" s="129">
        <v>0</v>
      </c>
      <c r="L447" s="129">
        <f t="shared" si="169"/>
        <v>684</v>
      </c>
      <c r="M447" s="129">
        <f t="shared" si="170"/>
        <v>213</v>
      </c>
      <c r="N447" s="128">
        <f t="shared" si="171"/>
        <v>0.31140000000000001</v>
      </c>
      <c r="O447" s="164">
        <f t="shared" si="172"/>
        <v>0</v>
      </c>
      <c r="P447" s="185">
        <f t="shared" si="173"/>
        <v>0</v>
      </c>
      <c r="Q447" s="185">
        <f t="shared" si="174"/>
        <v>0</v>
      </c>
      <c r="R447" s="162" t="b">
        <f t="shared" si="156"/>
        <v>0</v>
      </c>
    </row>
    <row r="448" spans="1:18">
      <c r="A448" s="129" t="s">
        <v>246</v>
      </c>
      <c r="B448" s="129" t="s">
        <v>4111</v>
      </c>
      <c r="C448" s="129">
        <v>1287</v>
      </c>
      <c r="D448" s="129" t="s">
        <v>1583</v>
      </c>
      <c r="E448" s="129">
        <v>429</v>
      </c>
      <c r="F448" s="129">
        <v>0</v>
      </c>
      <c r="G448" s="129">
        <v>186</v>
      </c>
      <c r="H448" s="129">
        <v>0</v>
      </c>
      <c r="I448" s="129">
        <v>43.4</v>
      </c>
      <c r="J448" s="129">
        <v>0</v>
      </c>
      <c r="K448" s="129">
        <v>10.9</v>
      </c>
      <c r="L448" s="129">
        <f t="shared" si="169"/>
        <v>429</v>
      </c>
      <c r="M448" s="129">
        <f t="shared" si="170"/>
        <v>186</v>
      </c>
      <c r="N448" s="128">
        <f t="shared" si="171"/>
        <v>0.43359999999999999</v>
      </c>
      <c r="O448" s="164">
        <f t="shared" si="172"/>
        <v>10.9</v>
      </c>
      <c r="P448" s="185">
        <f t="shared" si="173"/>
        <v>0</v>
      </c>
      <c r="Q448" s="185">
        <f t="shared" si="174"/>
        <v>10.9</v>
      </c>
      <c r="R448" s="162" t="b">
        <f t="shared" si="156"/>
        <v>0</v>
      </c>
    </row>
    <row r="449" spans="1:18">
      <c r="A449" s="129" t="s">
        <v>246</v>
      </c>
      <c r="B449" s="129" t="s">
        <v>4111</v>
      </c>
      <c r="C449" s="129">
        <v>1291</v>
      </c>
      <c r="D449" s="129" t="s">
        <v>1585</v>
      </c>
      <c r="E449" s="129">
        <v>222</v>
      </c>
      <c r="F449" s="129">
        <v>0</v>
      </c>
      <c r="G449" s="129">
        <v>69</v>
      </c>
      <c r="H449" s="129">
        <v>0</v>
      </c>
      <c r="I449" s="129">
        <v>31.1</v>
      </c>
      <c r="J449" s="129">
        <v>0</v>
      </c>
      <c r="K449" s="129">
        <v>0</v>
      </c>
      <c r="L449" s="129">
        <f t="shared" si="169"/>
        <v>222</v>
      </c>
      <c r="M449" s="129">
        <f t="shared" si="170"/>
        <v>69</v>
      </c>
      <c r="N449" s="128">
        <f t="shared" si="171"/>
        <v>0.31080000000000002</v>
      </c>
      <c r="O449" s="164">
        <f t="shared" si="172"/>
        <v>0</v>
      </c>
      <c r="P449" s="185">
        <f t="shared" si="173"/>
        <v>0</v>
      </c>
      <c r="Q449" s="185">
        <f t="shared" si="174"/>
        <v>0</v>
      </c>
      <c r="R449" s="162" t="b">
        <f t="shared" si="156"/>
        <v>0</v>
      </c>
    </row>
    <row r="450" spans="1:18">
      <c r="A450" s="129" t="s">
        <v>246</v>
      </c>
      <c r="B450" s="129" t="s">
        <v>4111</v>
      </c>
      <c r="C450" s="129">
        <v>1293</v>
      </c>
      <c r="D450" s="129" t="s">
        <v>1587</v>
      </c>
      <c r="E450" s="129">
        <v>285</v>
      </c>
      <c r="F450" s="129">
        <v>0</v>
      </c>
      <c r="G450" s="129">
        <v>76</v>
      </c>
      <c r="H450" s="129">
        <v>0</v>
      </c>
      <c r="I450" s="129">
        <v>26.7</v>
      </c>
      <c r="J450" s="129">
        <v>0</v>
      </c>
      <c r="K450" s="129">
        <v>0</v>
      </c>
      <c r="L450" s="129">
        <f t="shared" si="169"/>
        <v>285</v>
      </c>
      <c r="M450" s="129">
        <f t="shared" si="170"/>
        <v>76</v>
      </c>
      <c r="N450" s="128">
        <f t="shared" si="171"/>
        <v>0.26669999999999999</v>
      </c>
      <c r="O450" s="164">
        <f t="shared" si="172"/>
        <v>0</v>
      </c>
      <c r="P450" s="185">
        <f t="shared" si="173"/>
        <v>0</v>
      </c>
      <c r="Q450" s="185">
        <f t="shared" si="174"/>
        <v>0</v>
      </c>
      <c r="R450" s="162" t="b">
        <f t="shared" si="156"/>
        <v>0</v>
      </c>
    </row>
    <row r="451" spans="1:18">
      <c r="A451" s="129" t="s">
        <v>256</v>
      </c>
      <c r="B451" s="129" t="s">
        <v>34</v>
      </c>
      <c r="C451" s="129">
        <v>1614</v>
      </c>
      <c r="D451" s="129" t="s">
        <v>1653</v>
      </c>
      <c r="E451" s="129">
        <v>374</v>
      </c>
      <c r="F451" s="129">
        <v>0</v>
      </c>
      <c r="G451" s="129">
        <v>343</v>
      </c>
      <c r="H451" s="129">
        <v>0</v>
      </c>
      <c r="I451" s="129">
        <v>91.7</v>
      </c>
      <c r="J451" s="129">
        <v>36</v>
      </c>
      <c r="K451" s="129">
        <v>0</v>
      </c>
      <c r="L451" s="129">
        <f t="shared" si="169"/>
        <v>374</v>
      </c>
      <c r="M451" s="129">
        <f t="shared" si="170"/>
        <v>343</v>
      </c>
      <c r="N451" s="128">
        <f t="shared" si="171"/>
        <v>0.91710000000000003</v>
      </c>
      <c r="O451" s="164">
        <f t="shared" si="172"/>
        <v>0</v>
      </c>
      <c r="P451" s="185">
        <f t="shared" si="173"/>
        <v>36</v>
      </c>
      <c r="Q451" s="185">
        <f t="shared" si="174"/>
        <v>36</v>
      </c>
      <c r="R451" s="162" t="b">
        <f t="shared" si="156"/>
        <v>0</v>
      </c>
    </row>
    <row r="452" spans="1:18">
      <c r="A452" s="129" t="s">
        <v>256</v>
      </c>
      <c r="B452" s="129" t="s">
        <v>34</v>
      </c>
      <c r="C452" s="129">
        <v>1617</v>
      </c>
      <c r="D452" s="129" t="s">
        <v>1655</v>
      </c>
      <c r="E452" s="129">
        <v>505</v>
      </c>
      <c r="F452" s="129">
        <v>0</v>
      </c>
      <c r="G452" s="129">
        <v>409</v>
      </c>
      <c r="H452" s="129">
        <v>0</v>
      </c>
      <c r="I452" s="129">
        <v>81</v>
      </c>
      <c r="J452" s="129">
        <v>42.9</v>
      </c>
      <c r="K452" s="129">
        <v>0</v>
      </c>
      <c r="L452" s="129">
        <f t="shared" si="169"/>
        <v>505</v>
      </c>
      <c r="M452" s="129">
        <f t="shared" si="170"/>
        <v>409</v>
      </c>
      <c r="N452" s="128">
        <f t="shared" si="171"/>
        <v>0.80989999999999995</v>
      </c>
      <c r="O452" s="164">
        <f t="shared" si="172"/>
        <v>0</v>
      </c>
      <c r="P452" s="185">
        <f t="shared" si="173"/>
        <v>42.9</v>
      </c>
      <c r="Q452" s="185">
        <f t="shared" si="174"/>
        <v>42.9</v>
      </c>
      <c r="R452" s="162" t="b">
        <f t="shared" si="156"/>
        <v>0</v>
      </c>
    </row>
    <row r="453" spans="1:18">
      <c r="A453" s="129" t="s">
        <v>256</v>
      </c>
      <c r="B453" s="129" t="s">
        <v>34</v>
      </c>
      <c r="C453" s="129">
        <v>1618</v>
      </c>
      <c r="D453" s="129" t="s">
        <v>1657</v>
      </c>
      <c r="E453" s="129">
        <v>451</v>
      </c>
      <c r="F453" s="129">
        <v>0</v>
      </c>
      <c r="G453" s="129">
        <v>380</v>
      </c>
      <c r="H453" s="129">
        <v>0</v>
      </c>
      <c r="I453" s="129">
        <v>84.3</v>
      </c>
      <c r="J453" s="129">
        <v>39.9</v>
      </c>
      <c r="K453" s="129">
        <v>0</v>
      </c>
      <c r="L453" s="129">
        <f t="shared" si="169"/>
        <v>451</v>
      </c>
      <c r="M453" s="129">
        <f t="shared" si="170"/>
        <v>380</v>
      </c>
      <c r="N453" s="128">
        <f t="shared" si="171"/>
        <v>0.84260000000000002</v>
      </c>
      <c r="O453" s="164">
        <f t="shared" si="172"/>
        <v>0</v>
      </c>
      <c r="P453" s="185">
        <f t="shared" si="173"/>
        <v>39.9</v>
      </c>
      <c r="Q453" s="185">
        <f t="shared" si="174"/>
        <v>39.9</v>
      </c>
      <c r="R453" s="162" t="b">
        <f t="shared" ref="R453:R516" si="175">COUNTIF(C:C,C453)&gt;1</f>
        <v>0</v>
      </c>
    </row>
    <row r="454" spans="1:18">
      <c r="A454" s="129" t="s">
        <v>256</v>
      </c>
      <c r="B454" s="129" t="s">
        <v>34</v>
      </c>
      <c r="C454" s="129">
        <v>1622</v>
      </c>
      <c r="D454" s="129" t="s">
        <v>1659</v>
      </c>
      <c r="E454" s="129">
        <v>292</v>
      </c>
      <c r="F454" s="129">
        <v>0</v>
      </c>
      <c r="G454" s="129">
        <v>189</v>
      </c>
      <c r="H454" s="129">
        <v>0</v>
      </c>
      <c r="I454" s="129">
        <v>64.7</v>
      </c>
      <c r="J454" s="129">
        <v>19.8</v>
      </c>
      <c r="K454" s="129">
        <v>0</v>
      </c>
      <c r="L454" s="129">
        <f t="shared" si="169"/>
        <v>292</v>
      </c>
      <c r="M454" s="129">
        <f t="shared" si="170"/>
        <v>189</v>
      </c>
      <c r="N454" s="128">
        <f t="shared" si="171"/>
        <v>0.64729999999999999</v>
      </c>
      <c r="O454" s="164">
        <f t="shared" si="172"/>
        <v>0</v>
      </c>
      <c r="P454" s="185">
        <f t="shared" si="173"/>
        <v>19.8</v>
      </c>
      <c r="Q454" s="185">
        <f t="shared" si="174"/>
        <v>19.8</v>
      </c>
      <c r="R454" s="162" t="b">
        <f t="shared" si="175"/>
        <v>0</v>
      </c>
    </row>
    <row r="455" spans="1:18">
      <c r="A455" s="129" t="s">
        <v>256</v>
      </c>
      <c r="B455" s="129" t="s">
        <v>34</v>
      </c>
      <c r="C455" s="129">
        <v>1623</v>
      </c>
      <c r="D455" s="129" t="s">
        <v>1661</v>
      </c>
      <c r="E455" s="129">
        <v>471</v>
      </c>
      <c r="F455" s="129">
        <v>0</v>
      </c>
      <c r="G455" s="129">
        <v>362</v>
      </c>
      <c r="H455" s="129">
        <v>0</v>
      </c>
      <c r="I455" s="129">
        <v>76.900000000000006</v>
      </c>
      <c r="J455" s="129">
        <v>38</v>
      </c>
      <c r="K455" s="129">
        <v>0</v>
      </c>
      <c r="L455" s="129">
        <f t="shared" si="169"/>
        <v>471</v>
      </c>
      <c r="M455" s="129">
        <f t="shared" si="170"/>
        <v>362</v>
      </c>
      <c r="N455" s="128">
        <f t="shared" si="171"/>
        <v>0.76859999999999995</v>
      </c>
      <c r="O455" s="164">
        <f t="shared" si="172"/>
        <v>0</v>
      </c>
      <c r="P455" s="185">
        <f t="shared" si="173"/>
        <v>38</v>
      </c>
      <c r="Q455" s="185">
        <f t="shared" si="174"/>
        <v>38</v>
      </c>
      <c r="R455" s="162" t="b">
        <f t="shared" si="175"/>
        <v>0</v>
      </c>
    </row>
    <row r="456" spans="1:18">
      <c r="A456" s="129" t="s">
        <v>256</v>
      </c>
      <c r="B456" s="129" t="s">
        <v>34</v>
      </c>
      <c r="C456" s="129">
        <v>1624</v>
      </c>
      <c r="D456" s="129" t="s">
        <v>1663</v>
      </c>
      <c r="E456" s="129">
        <v>280</v>
      </c>
      <c r="F456" s="129">
        <v>0</v>
      </c>
      <c r="G456" s="129">
        <v>227</v>
      </c>
      <c r="H456" s="129">
        <v>0</v>
      </c>
      <c r="I456" s="129">
        <v>81.099999999999994</v>
      </c>
      <c r="J456" s="129">
        <v>23.8</v>
      </c>
      <c r="K456" s="129">
        <v>0</v>
      </c>
      <c r="L456" s="129">
        <f t="shared" si="169"/>
        <v>280</v>
      </c>
      <c r="M456" s="129">
        <f t="shared" si="170"/>
        <v>227</v>
      </c>
      <c r="N456" s="128">
        <f t="shared" si="171"/>
        <v>0.81069999999999998</v>
      </c>
      <c r="O456" s="164">
        <f t="shared" si="172"/>
        <v>0</v>
      </c>
      <c r="P456" s="185">
        <f t="shared" si="173"/>
        <v>23.8</v>
      </c>
      <c r="Q456" s="185">
        <f t="shared" si="174"/>
        <v>23.8</v>
      </c>
      <c r="R456" s="162" t="b">
        <f t="shared" si="175"/>
        <v>0</v>
      </c>
    </row>
    <row r="457" spans="1:18">
      <c r="A457" s="129" t="s">
        <v>256</v>
      </c>
      <c r="B457" s="129" t="s">
        <v>34</v>
      </c>
      <c r="C457" s="129">
        <v>1625</v>
      </c>
      <c r="D457" s="129" t="s">
        <v>1665</v>
      </c>
      <c r="E457" s="129">
        <v>452</v>
      </c>
      <c r="F457" s="129">
        <v>0</v>
      </c>
      <c r="G457" s="129">
        <v>373</v>
      </c>
      <c r="H457" s="129">
        <v>0</v>
      </c>
      <c r="I457" s="129">
        <v>82.5</v>
      </c>
      <c r="J457" s="129">
        <v>39.200000000000003</v>
      </c>
      <c r="K457" s="129">
        <v>0</v>
      </c>
      <c r="L457" s="129">
        <f t="shared" si="169"/>
        <v>452</v>
      </c>
      <c r="M457" s="129">
        <f t="shared" si="170"/>
        <v>373</v>
      </c>
      <c r="N457" s="128">
        <f t="shared" si="171"/>
        <v>0.82520000000000004</v>
      </c>
      <c r="O457" s="164">
        <f t="shared" si="172"/>
        <v>0</v>
      </c>
      <c r="P457" s="185">
        <f t="shared" si="173"/>
        <v>39.200000000000003</v>
      </c>
      <c r="Q457" s="185">
        <f t="shared" si="174"/>
        <v>39.200000000000003</v>
      </c>
      <c r="R457" s="162" t="b">
        <f t="shared" si="175"/>
        <v>0</v>
      </c>
    </row>
    <row r="458" spans="1:18">
      <c r="A458" s="129" t="s">
        <v>256</v>
      </c>
      <c r="B458" s="129" t="s">
        <v>34</v>
      </c>
      <c r="C458" s="129">
        <v>1627</v>
      </c>
      <c r="D458" s="129" t="s">
        <v>1667</v>
      </c>
      <c r="E458" s="129">
        <v>495</v>
      </c>
      <c r="F458" s="129">
        <v>0</v>
      </c>
      <c r="G458" s="129">
        <v>431</v>
      </c>
      <c r="H458" s="129">
        <v>0</v>
      </c>
      <c r="I458" s="129">
        <v>87.1</v>
      </c>
      <c r="J458" s="129">
        <v>45.3</v>
      </c>
      <c r="K458" s="129">
        <v>0</v>
      </c>
      <c r="L458" s="129">
        <f t="shared" si="169"/>
        <v>495</v>
      </c>
      <c r="M458" s="129">
        <f t="shared" si="170"/>
        <v>431</v>
      </c>
      <c r="N458" s="128">
        <f t="shared" si="171"/>
        <v>0.87070000000000003</v>
      </c>
      <c r="O458" s="164">
        <f t="shared" si="172"/>
        <v>0</v>
      </c>
      <c r="P458" s="185">
        <f t="shared" si="173"/>
        <v>45.3</v>
      </c>
      <c r="Q458" s="185">
        <f t="shared" si="174"/>
        <v>45.3</v>
      </c>
      <c r="R458" s="162" t="b">
        <f t="shared" si="175"/>
        <v>0</v>
      </c>
    </row>
    <row r="459" spans="1:18">
      <c r="A459" s="129" t="s">
        <v>256</v>
      </c>
      <c r="B459" s="129" t="s">
        <v>34</v>
      </c>
      <c r="C459" s="129">
        <v>1628</v>
      </c>
      <c r="D459" s="129" t="s">
        <v>1669</v>
      </c>
      <c r="E459" s="129">
        <v>289</v>
      </c>
      <c r="F459" s="129">
        <v>0</v>
      </c>
      <c r="G459" s="129">
        <v>213</v>
      </c>
      <c r="H459" s="129">
        <v>0</v>
      </c>
      <c r="I459" s="129">
        <v>73.7</v>
      </c>
      <c r="J459" s="129">
        <v>22.4</v>
      </c>
      <c r="K459" s="129">
        <v>0</v>
      </c>
      <c r="L459" s="129">
        <f t="shared" si="169"/>
        <v>289</v>
      </c>
      <c r="M459" s="129">
        <f t="shared" si="170"/>
        <v>213</v>
      </c>
      <c r="N459" s="128">
        <f t="shared" si="171"/>
        <v>0.73699999999999999</v>
      </c>
      <c r="O459" s="164">
        <f t="shared" si="172"/>
        <v>0</v>
      </c>
      <c r="P459" s="185">
        <f t="shared" si="173"/>
        <v>22.4</v>
      </c>
      <c r="Q459" s="185">
        <f t="shared" si="174"/>
        <v>22.4</v>
      </c>
      <c r="R459" s="162" t="b">
        <f t="shared" si="175"/>
        <v>0</v>
      </c>
    </row>
    <row r="460" spans="1:18">
      <c r="A460" s="129" t="s">
        <v>256</v>
      </c>
      <c r="B460" s="129" t="s">
        <v>34</v>
      </c>
      <c r="C460" s="129">
        <v>1634</v>
      </c>
      <c r="D460" s="129" t="s">
        <v>1671</v>
      </c>
      <c r="E460" s="129">
        <v>325</v>
      </c>
      <c r="F460" s="129">
        <v>0</v>
      </c>
      <c r="G460" s="129">
        <v>243</v>
      </c>
      <c r="H460" s="129">
        <v>0</v>
      </c>
      <c r="I460" s="129">
        <v>74.8</v>
      </c>
      <c r="J460" s="129">
        <v>25.5</v>
      </c>
      <c r="K460" s="129">
        <v>0</v>
      </c>
      <c r="L460" s="129">
        <f t="shared" si="169"/>
        <v>325</v>
      </c>
      <c r="M460" s="129">
        <f t="shared" si="170"/>
        <v>243</v>
      </c>
      <c r="N460" s="128">
        <f t="shared" si="171"/>
        <v>0.74770000000000003</v>
      </c>
      <c r="O460" s="164">
        <f t="shared" si="172"/>
        <v>0</v>
      </c>
      <c r="P460" s="185">
        <f t="shared" si="173"/>
        <v>25.5</v>
      </c>
      <c r="Q460" s="185">
        <f t="shared" si="174"/>
        <v>25.5</v>
      </c>
      <c r="R460" s="162" t="b">
        <f t="shared" si="175"/>
        <v>0</v>
      </c>
    </row>
    <row r="461" spans="1:18">
      <c r="A461" s="129" t="s">
        <v>256</v>
      </c>
      <c r="B461" s="129" t="s">
        <v>34</v>
      </c>
      <c r="C461" s="129">
        <v>1636</v>
      </c>
      <c r="D461" s="129" t="s">
        <v>1673</v>
      </c>
      <c r="E461" s="129">
        <v>382</v>
      </c>
      <c r="F461" s="129">
        <v>0</v>
      </c>
      <c r="G461" s="129">
        <v>323</v>
      </c>
      <c r="H461" s="129">
        <v>0</v>
      </c>
      <c r="I461" s="129">
        <v>84.6</v>
      </c>
      <c r="J461" s="129">
        <v>33.9</v>
      </c>
      <c r="K461" s="129">
        <v>0</v>
      </c>
      <c r="L461" s="129">
        <f t="shared" si="169"/>
        <v>382</v>
      </c>
      <c r="M461" s="129">
        <f t="shared" si="170"/>
        <v>323</v>
      </c>
      <c r="N461" s="128">
        <f t="shared" si="171"/>
        <v>0.84550000000000003</v>
      </c>
      <c r="O461" s="164">
        <f t="shared" si="172"/>
        <v>0</v>
      </c>
      <c r="P461" s="185">
        <f t="shared" si="173"/>
        <v>33.9</v>
      </c>
      <c r="Q461" s="185">
        <f t="shared" si="174"/>
        <v>33.9</v>
      </c>
      <c r="R461" s="162" t="b">
        <f t="shared" si="175"/>
        <v>0</v>
      </c>
    </row>
    <row r="462" spans="1:18">
      <c r="A462" s="129" t="s">
        <v>256</v>
      </c>
      <c r="B462" s="129" t="s">
        <v>34</v>
      </c>
      <c r="C462" s="129">
        <v>1640</v>
      </c>
      <c r="D462" s="129" t="s">
        <v>1675</v>
      </c>
      <c r="E462" s="129">
        <v>363</v>
      </c>
      <c r="F462" s="129">
        <v>0</v>
      </c>
      <c r="G462" s="129">
        <v>311</v>
      </c>
      <c r="H462" s="129">
        <v>0</v>
      </c>
      <c r="I462" s="129">
        <v>85.7</v>
      </c>
      <c r="J462" s="129">
        <v>32.700000000000003</v>
      </c>
      <c r="K462" s="129">
        <v>0</v>
      </c>
      <c r="L462" s="129">
        <f t="shared" si="169"/>
        <v>363</v>
      </c>
      <c r="M462" s="129">
        <f t="shared" si="170"/>
        <v>311</v>
      </c>
      <c r="N462" s="128">
        <f t="shared" si="171"/>
        <v>0.85670000000000002</v>
      </c>
      <c r="O462" s="164">
        <f t="shared" si="172"/>
        <v>0</v>
      </c>
      <c r="P462" s="185">
        <f t="shared" si="173"/>
        <v>32.700000000000003</v>
      </c>
      <c r="Q462" s="185">
        <f t="shared" si="174"/>
        <v>32.700000000000003</v>
      </c>
      <c r="R462" s="162" t="b">
        <f t="shared" si="175"/>
        <v>0</v>
      </c>
    </row>
    <row r="463" spans="1:18">
      <c r="A463" s="129" t="s">
        <v>256</v>
      </c>
      <c r="B463" s="129" t="s">
        <v>34</v>
      </c>
      <c r="C463" s="129">
        <v>1644</v>
      </c>
      <c r="D463" s="129" t="s">
        <v>1677</v>
      </c>
      <c r="E463" s="129">
        <v>401</v>
      </c>
      <c r="F463" s="129">
        <v>0</v>
      </c>
      <c r="G463" s="129">
        <v>237</v>
      </c>
      <c r="H463" s="129">
        <v>0</v>
      </c>
      <c r="I463" s="129">
        <v>59.1</v>
      </c>
      <c r="J463" s="129">
        <v>24.9</v>
      </c>
      <c r="K463" s="129">
        <v>0</v>
      </c>
      <c r="L463" s="129">
        <f t="shared" si="169"/>
        <v>401</v>
      </c>
      <c r="M463" s="129">
        <f t="shared" si="170"/>
        <v>237</v>
      </c>
      <c r="N463" s="128">
        <f t="shared" si="171"/>
        <v>0.59099999999999997</v>
      </c>
      <c r="O463" s="164">
        <f t="shared" si="172"/>
        <v>0</v>
      </c>
      <c r="P463" s="185">
        <f t="shared" si="173"/>
        <v>24.9</v>
      </c>
      <c r="Q463" s="185">
        <f t="shared" si="174"/>
        <v>24.9</v>
      </c>
      <c r="R463" s="162" t="b">
        <f t="shared" si="175"/>
        <v>0</v>
      </c>
    </row>
    <row r="464" spans="1:18">
      <c r="A464" s="129" t="s">
        <v>256</v>
      </c>
      <c r="B464" s="129" t="s">
        <v>34</v>
      </c>
      <c r="C464" s="129">
        <v>1646</v>
      </c>
      <c r="D464" s="129" t="s">
        <v>1679</v>
      </c>
      <c r="E464" s="129">
        <v>237</v>
      </c>
      <c r="F464" s="129">
        <v>0</v>
      </c>
      <c r="G464" s="129">
        <v>198</v>
      </c>
      <c r="H464" s="129">
        <v>0</v>
      </c>
      <c r="I464" s="129">
        <v>83.5</v>
      </c>
      <c r="J464" s="129">
        <v>20.8</v>
      </c>
      <c r="K464" s="129">
        <v>0</v>
      </c>
      <c r="L464" s="129">
        <f t="shared" si="169"/>
        <v>237</v>
      </c>
      <c r="M464" s="129">
        <f t="shared" si="170"/>
        <v>198</v>
      </c>
      <c r="N464" s="128">
        <f t="shared" si="171"/>
        <v>0.83540000000000003</v>
      </c>
      <c r="O464" s="164">
        <f t="shared" si="172"/>
        <v>0</v>
      </c>
      <c r="P464" s="185">
        <f t="shared" si="173"/>
        <v>20.8</v>
      </c>
      <c r="Q464" s="185">
        <f t="shared" si="174"/>
        <v>20.8</v>
      </c>
      <c r="R464" s="162" t="b">
        <f t="shared" si="175"/>
        <v>0</v>
      </c>
    </row>
    <row r="465" spans="1:18">
      <c r="A465" s="129" t="s">
        <v>256</v>
      </c>
      <c r="B465" s="129" t="s">
        <v>34</v>
      </c>
      <c r="C465" s="129">
        <v>1648</v>
      </c>
      <c r="D465" s="129" t="s">
        <v>1681</v>
      </c>
      <c r="E465" s="129">
        <v>296</v>
      </c>
      <c r="F465" s="129">
        <v>0</v>
      </c>
      <c r="G465" s="129">
        <v>222</v>
      </c>
      <c r="H465" s="129">
        <v>0</v>
      </c>
      <c r="I465" s="129">
        <v>75</v>
      </c>
      <c r="J465" s="129">
        <v>23.3</v>
      </c>
      <c r="K465" s="129">
        <v>0</v>
      </c>
      <c r="L465" s="129">
        <f t="shared" si="169"/>
        <v>296</v>
      </c>
      <c r="M465" s="129">
        <f t="shared" si="170"/>
        <v>222</v>
      </c>
      <c r="N465" s="128">
        <f t="shared" si="171"/>
        <v>0.75</v>
      </c>
      <c r="O465" s="164">
        <f t="shared" si="172"/>
        <v>0</v>
      </c>
      <c r="P465" s="185">
        <f t="shared" si="173"/>
        <v>23.3</v>
      </c>
      <c r="Q465" s="185">
        <f t="shared" si="174"/>
        <v>23.3</v>
      </c>
      <c r="R465" s="162" t="b">
        <f t="shared" si="175"/>
        <v>0</v>
      </c>
    </row>
    <row r="466" spans="1:18">
      <c r="A466" s="129" t="s">
        <v>256</v>
      </c>
      <c r="B466" s="129" t="s">
        <v>34</v>
      </c>
      <c r="C466" s="129">
        <v>1650</v>
      </c>
      <c r="D466" s="129" t="s">
        <v>1683</v>
      </c>
      <c r="E466" s="129">
        <v>490</v>
      </c>
      <c r="F466" s="129">
        <v>0</v>
      </c>
      <c r="G466" s="129">
        <v>426</v>
      </c>
      <c r="H466" s="129">
        <v>0</v>
      </c>
      <c r="I466" s="129">
        <v>86.9</v>
      </c>
      <c r="J466" s="129">
        <v>44.7</v>
      </c>
      <c r="K466" s="129">
        <v>0</v>
      </c>
      <c r="L466" s="129">
        <f t="shared" si="169"/>
        <v>490</v>
      </c>
      <c r="M466" s="129">
        <f t="shared" si="170"/>
        <v>426</v>
      </c>
      <c r="N466" s="128">
        <f t="shared" si="171"/>
        <v>0.86939999999999995</v>
      </c>
      <c r="O466" s="164">
        <f t="shared" si="172"/>
        <v>0</v>
      </c>
      <c r="P466" s="185">
        <f t="shared" si="173"/>
        <v>44.7</v>
      </c>
      <c r="Q466" s="185">
        <f t="shared" si="174"/>
        <v>44.7</v>
      </c>
      <c r="R466" s="162" t="b">
        <f t="shared" si="175"/>
        <v>0</v>
      </c>
    </row>
    <row r="467" spans="1:18">
      <c r="A467" s="129" t="s">
        <v>256</v>
      </c>
      <c r="B467" s="129" t="s">
        <v>34</v>
      </c>
      <c r="C467" s="129">
        <v>1652</v>
      </c>
      <c r="D467" s="129" t="s">
        <v>1685</v>
      </c>
      <c r="E467" s="129">
        <v>384</v>
      </c>
      <c r="F467" s="129">
        <v>0</v>
      </c>
      <c r="G467" s="129">
        <v>242</v>
      </c>
      <c r="H467" s="129">
        <v>0</v>
      </c>
      <c r="I467" s="129">
        <v>63</v>
      </c>
      <c r="J467" s="129">
        <v>25.4</v>
      </c>
      <c r="K467" s="129">
        <v>0</v>
      </c>
      <c r="L467" s="129">
        <f t="shared" si="169"/>
        <v>384</v>
      </c>
      <c r="M467" s="129">
        <f t="shared" si="170"/>
        <v>242</v>
      </c>
      <c r="N467" s="128">
        <f t="shared" si="171"/>
        <v>0.63019999999999998</v>
      </c>
      <c r="O467" s="164">
        <f t="shared" si="172"/>
        <v>0</v>
      </c>
      <c r="P467" s="185">
        <f t="shared" si="173"/>
        <v>25.4</v>
      </c>
      <c r="Q467" s="185">
        <f t="shared" si="174"/>
        <v>25.4</v>
      </c>
      <c r="R467" s="162" t="b">
        <f t="shared" si="175"/>
        <v>0</v>
      </c>
    </row>
    <row r="468" spans="1:18">
      <c r="A468" s="129" t="s">
        <v>256</v>
      </c>
      <c r="B468" s="129" t="s">
        <v>34</v>
      </c>
      <c r="C468" s="129">
        <v>1653</v>
      </c>
      <c r="D468" s="129" t="s">
        <v>1687</v>
      </c>
      <c r="E468" s="129">
        <v>571</v>
      </c>
      <c r="F468" s="129">
        <v>0</v>
      </c>
      <c r="G468" s="129">
        <v>522</v>
      </c>
      <c r="H468" s="129">
        <v>0</v>
      </c>
      <c r="I468" s="129">
        <v>91.4</v>
      </c>
      <c r="J468" s="129">
        <v>54.8</v>
      </c>
      <c r="K468" s="129">
        <v>0</v>
      </c>
      <c r="L468" s="129">
        <f t="shared" si="169"/>
        <v>571</v>
      </c>
      <c r="M468" s="129">
        <f t="shared" si="170"/>
        <v>522</v>
      </c>
      <c r="N468" s="128">
        <f t="shared" si="171"/>
        <v>0.91420000000000001</v>
      </c>
      <c r="O468" s="164">
        <f t="shared" si="172"/>
        <v>0</v>
      </c>
      <c r="P468" s="185">
        <f t="shared" si="173"/>
        <v>54.8</v>
      </c>
      <c r="Q468" s="185">
        <f t="shared" si="174"/>
        <v>54.8</v>
      </c>
      <c r="R468" s="162" t="b">
        <f t="shared" si="175"/>
        <v>0</v>
      </c>
    </row>
    <row r="469" spans="1:18">
      <c r="A469" s="129" t="s">
        <v>256</v>
      </c>
      <c r="B469" s="129" t="s">
        <v>34</v>
      </c>
      <c r="C469" s="129">
        <v>1658</v>
      </c>
      <c r="D469" s="129" t="s">
        <v>1689</v>
      </c>
      <c r="E469" s="129">
        <v>434</v>
      </c>
      <c r="F469" s="129">
        <v>0</v>
      </c>
      <c r="G469" s="129">
        <v>227</v>
      </c>
      <c r="H469" s="129">
        <v>0</v>
      </c>
      <c r="I469" s="129">
        <v>52.3</v>
      </c>
      <c r="J469" s="129">
        <v>23.8</v>
      </c>
      <c r="K469" s="129">
        <v>0</v>
      </c>
      <c r="L469" s="129">
        <f t="shared" si="169"/>
        <v>434</v>
      </c>
      <c r="M469" s="129">
        <f t="shared" si="170"/>
        <v>227</v>
      </c>
      <c r="N469" s="128">
        <f t="shared" si="171"/>
        <v>0.52300000000000002</v>
      </c>
      <c r="O469" s="164">
        <f t="shared" si="172"/>
        <v>0</v>
      </c>
      <c r="P469" s="185">
        <f t="shared" si="173"/>
        <v>23.8</v>
      </c>
      <c r="Q469" s="185">
        <f t="shared" si="174"/>
        <v>23.8</v>
      </c>
      <c r="R469" s="162" t="b">
        <f t="shared" si="175"/>
        <v>0</v>
      </c>
    </row>
    <row r="470" spans="1:18">
      <c r="A470" s="129" t="s">
        <v>256</v>
      </c>
      <c r="B470" s="129" t="s">
        <v>34</v>
      </c>
      <c r="C470" s="129">
        <v>1660</v>
      </c>
      <c r="D470" s="129" t="s">
        <v>1691</v>
      </c>
      <c r="E470" s="129">
        <v>410</v>
      </c>
      <c r="F470" s="129">
        <v>0</v>
      </c>
      <c r="G470" s="129">
        <v>352</v>
      </c>
      <c r="H470" s="129">
        <v>0</v>
      </c>
      <c r="I470" s="129">
        <v>85.9</v>
      </c>
      <c r="J470" s="129">
        <v>37</v>
      </c>
      <c r="K470" s="129">
        <v>0</v>
      </c>
      <c r="L470" s="129">
        <f t="shared" si="169"/>
        <v>410</v>
      </c>
      <c r="M470" s="129">
        <f t="shared" si="170"/>
        <v>352</v>
      </c>
      <c r="N470" s="128">
        <f t="shared" si="171"/>
        <v>0.85850000000000004</v>
      </c>
      <c r="O470" s="164">
        <f t="shared" si="172"/>
        <v>0</v>
      </c>
      <c r="P470" s="185">
        <f t="shared" si="173"/>
        <v>37</v>
      </c>
      <c r="Q470" s="185">
        <f t="shared" si="174"/>
        <v>37</v>
      </c>
      <c r="R470" s="162" t="b">
        <f t="shared" si="175"/>
        <v>0</v>
      </c>
    </row>
    <row r="471" spans="1:18">
      <c r="A471" s="129" t="s">
        <v>256</v>
      </c>
      <c r="B471" s="129" t="s">
        <v>34</v>
      </c>
      <c r="C471" s="129">
        <v>1662</v>
      </c>
      <c r="D471" s="129" t="s">
        <v>1693</v>
      </c>
      <c r="E471" s="129">
        <v>530</v>
      </c>
      <c r="F471" s="129">
        <v>0</v>
      </c>
      <c r="G471" s="129">
        <v>406</v>
      </c>
      <c r="H471" s="129">
        <v>0</v>
      </c>
      <c r="I471" s="129">
        <v>76.599999999999994</v>
      </c>
      <c r="J471" s="129">
        <v>42.6</v>
      </c>
      <c r="K471" s="129">
        <v>0</v>
      </c>
      <c r="L471" s="129">
        <f t="shared" si="169"/>
        <v>530</v>
      </c>
      <c r="M471" s="129">
        <f t="shared" si="170"/>
        <v>406</v>
      </c>
      <c r="N471" s="128">
        <f t="shared" si="171"/>
        <v>0.76600000000000001</v>
      </c>
      <c r="O471" s="164">
        <f t="shared" si="172"/>
        <v>0</v>
      </c>
      <c r="P471" s="185">
        <f t="shared" si="173"/>
        <v>42.6</v>
      </c>
      <c r="Q471" s="185">
        <f t="shared" si="174"/>
        <v>42.6</v>
      </c>
      <c r="R471" s="162" t="b">
        <f t="shared" si="175"/>
        <v>0</v>
      </c>
    </row>
    <row r="472" spans="1:18">
      <c r="A472" s="129" t="s">
        <v>256</v>
      </c>
      <c r="B472" s="129" t="s">
        <v>34</v>
      </c>
      <c r="C472" s="129">
        <v>1663</v>
      </c>
      <c r="D472" s="129" t="s">
        <v>1695</v>
      </c>
      <c r="E472" s="129">
        <v>332</v>
      </c>
      <c r="F472" s="129">
        <v>0</v>
      </c>
      <c r="G472" s="129">
        <v>274</v>
      </c>
      <c r="H472" s="129">
        <v>0</v>
      </c>
      <c r="I472" s="129">
        <v>82.5</v>
      </c>
      <c r="J472" s="129">
        <v>28.8</v>
      </c>
      <c r="K472" s="129">
        <v>0</v>
      </c>
      <c r="L472" s="129">
        <f t="shared" si="169"/>
        <v>332</v>
      </c>
      <c r="M472" s="129">
        <f t="shared" si="170"/>
        <v>274</v>
      </c>
      <c r="N472" s="128">
        <f t="shared" si="171"/>
        <v>0.82530000000000003</v>
      </c>
      <c r="O472" s="164">
        <f t="shared" si="172"/>
        <v>0</v>
      </c>
      <c r="P472" s="185">
        <f t="shared" si="173"/>
        <v>28.8</v>
      </c>
      <c r="Q472" s="185">
        <f t="shared" si="174"/>
        <v>28.8</v>
      </c>
      <c r="R472" s="162" t="b">
        <f t="shared" si="175"/>
        <v>0</v>
      </c>
    </row>
    <row r="473" spans="1:18">
      <c r="A473" s="129" t="s">
        <v>256</v>
      </c>
      <c r="B473" s="129" t="s">
        <v>34</v>
      </c>
      <c r="C473" s="129">
        <v>1664</v>
      </c>
      <c r="D473" s="129" t="s">
        <v>1697</v>
      </c>
      <c r="E473" s="129">
        <v>847</v>
      </c>
      <c r="F473" s="129">
        <v>0</v>
      </c>
      <c r="G473" s="129">
        <v>359</v>
      </c>
      <c r="H473" s="129">
        <v>0</v>
      </c>
      <c r="I473" s="129">
        <v>42.4</v>
      </c>
      <c r="J473" s="129">
        <v>0</v>
      </c>
      <c r="K473" s="129">
        <v>18.5</v>
      </c>
      <c r="L473" s="129">
        <f t="shared" si="169"/>
        <v>847</v>
      </c>
      <c r="M473" s="129">
        <f t="shared" si="170"/>
        <v>359</v>
      </c>
      <c r="N473" s="128">
        <f t="shared" si="171"/>
        <v>0.42380000000000001</v>
      </c>
      <c r="O473" s="164">
        <f t="shared" si="172"/>
        <v>18.5</v>
      </c>
      <c r="P473" s="185">
        <f t="shared" si="173"/>
        <v>0</v>
      </c>
      <c r="Q473" s="185">
        <f t="shared" si="174"/>
        <v>18.5</v>
      </c>
      <c r="R473" s="162" t="b">
        <f t="shared" si="175"/>
        <v>0</v>
      </c>
    </row>
    <row r="474" spans="1:18">
      <c r="A474" s="129" t="s">
        <v>256</v>
      </c>
      <c r="B474" s="129" t="s">
        <v>34</v>
      </c>
      <c r="C474" s="129">
        <v>1669</v>
      </c>
      <c r="D474" s="129" t="s">
        <v>1699</v>
      </c>
      <c r="E474" s="129">
        <v>29</v>
      </c>
      <c r="F474" s="129">
        <v>0</v>
      </c>
      <c r="G474" s="129">
        <v>28</v>
      </c>
      <c r="H474" s="129">
        <v>0</v>
      </c>
      <c r="I474" s="129">
        <v>96.6</v>
      </c>
      <c r="J474" s="129">
        <v>2.9</v>
      </c>
      <c r="K474" s="129">
        <v>0</v>
      </c>
      <c r="L474" s="129">
        <f t="shared" si="169"/>
        <v>29</v>
      </c>
      <c r="M474" s="129">
        <f t="shared" si="170"/>
        <v>28</v>
      </c>
      <c r="N474" s="128">
        <f t="shared" si="171"/>
        <v>0.96550000000000002</v>
      </c>
      <c r="O474" s="164">
        <f t="shared" si="172"/>
        <v>0</v>
      </c>
      <c r="P474" s="185">
        <f t="shared" si="173"/>
        <v>2.9</v>
      </c>
      <c r="Q474" s="185">
        <f t="shared" si="174"/>
        <v>2.9</v>
      </c>
      <c r="R474" s="162" t="b">
        <f t="shared" si="175"/>
        <v>0</v>
      </c>
    </row>
    <row r="475" spans="1:18">
      <c r="A475" s="129" t="s">
        <v>256</v>
      </c>
      <c r="B475" s="129" t="s">
        <v>34</v>
      </c>
      <c r="C475" s="129">
        <v>1674</v>
      </c>
      <c r="D475" s="129" t="s">
        <v>1701</v>
      </c>
      <c r="E475" s="129">
        <v>308</v>
      </c>
      <c r="F475" s="129">
        <v>0</v>
      </c>
      <c r="G475" s="129">
        <v>248</v>
      </c>
      <c r="H475" s="129">
        <v>0</v>
      </c>
      <c r="I475" s="129">
        <v>80.5</v>
      </c>
      <c r="J475" s="129">
        <v>26</v>
      </c>
      <c r="K475" s="129">
        <v>0</v>
      </c>
      <c r="L475" s="129">
        <f t="shared" si="169"/>
        <v>308</v>
      </c>
      <c r="M475" s="129">
        <f t="shared" si="170"/>
        <v>248</v>
      </c>
      <c r="N475" s="128">
        <f t="shared" si="171"/>
        <v>0.80520000000000003</v>
      </c>
      <c r="O475" s="164">
        <f t="shared" si="172"/>
        <v>0</v>
      </c>
      <c r="P475" s="185">
        <f t="shared" si="173"/>
        <v>26</v>
      </c>
      <c r="Q475" s="185">
        <f t="shared" si="174"/>
        <v>26</v>
      </c>
      <c r="R475" s="162" t="b">
        <f t="shared" si="175"/>
        <v>0</v>
      </c>
    </row>
    <row r="476" spans="1:18">
      <c r="A476" s="129" t="s">
        <v>256</v>
      </c>
      <c r="B476" s="129" t="s">
        <v>34</v>
      </c>
      <c r="C476" s="129">
        <v>1677</v>
      </c>
      <c r="D476" s="129" t="s">
        <v>1703</v>
      </c>
      <c r="E476" s="129">
        <v>418</v>
      </c>
      <c r="F476" s="129">
        <v>0</v>
      </c>
      <c r="G476" s="129">
        <v>332</v>
      </c>
      <c r="H476" s="129">
        <v>0</v>
      </c>
      <c r="I476" s="129">
        <v>79.400000000000006</v>
      </c>
      <c r="J476" s="129">
        <v>34.9</v>
      </c>
      <c r="K476" s="129">
        <v>0</v>
      </c>
      <c r="L476" s="129">
        <f t="shared" si="169"/>
        <v>418</v>
      </c>
      <c r="M476" s="129">
        <f t="shared" si="170"/>
        <v>332</v>
      </c>
      <c r="N476" s="128">
        <f t="shared" si="171"/>
        <v>0.79430000000000001</v>
      </c>
      <c r="O476" s="164">
        <f t="shared" si="172"/>
        <v>0</v>
      </c>
      <c r="P476" s="185">
        <f t="shared" si="173"/>
        <v>34.9</v>
      </c>
      <c r="Q476" s="185">
        <f t="shared" si="174"/>
        <v>34.9</v>
      </c>
      <c r="R476" s="162" t="b">
        <f t="shared" si="175"/>
        <v>0</v>
      </c>
    </row>
    <row r="477" spans="1:18">
      <c r="A477" s="129" t="s">
        <v>256</v>
      </c>
      <c r="B477" s="129" t="s">
        <v>34</v>
      </c>
      <c r="C477" s="129">
        <v>1678</v>
      </c>
      <c r="D477" s="129" t="s">
        <v>1705</v>
      </c>
      <c r="E477" s="129">
        <v>416</v>
      </c>
      <c r="F477" s="129">
        <v>0</v>
      </c>
      <c r="G477" s="129">
        <v>381</v>
      </c>
      <c r="H477" s="129">
        <v>0</v>
      </c>
      <c r="I477" s="129">
        <v>91.6</v>
      </c>
      <c r="J477" s="129">
        <v>40</v>
      </c>
      <c r="K477" s="129">
        <v>0</v>
      </c>
      <c r="L477" s="129">
        <f t="shared" si="169"/>
        <v>416</v>
      </c>
      <c r="M477" s="129">
        <f t="shared" si="170"/>
        <v>381</v>
      </c>
      <c r="N477" s="128">
        <f t="shared" si="171"/>
        <v>0.91590000000000005</v>
      </c>
      <c r="O477" s="164">
        <f t="shared" si="172"/>
        <v>0</v>
      </c>
      <c r="P477" s="185">
        <f t="shared" si="173"/>
        <v>40</v>
      </c>
      <c r="Q477" s="185">
        <f t="shared" si="174"/>
        <v>40</v>
      </c>
      <c r="R477" s="162" t="b">
        <f t="shared" si="175"/>
        <v>0</v>
      </c>
    </row>
    <row r="478" spans="1:18">
      <c r="A478" s="129" t="s">
        <v>256</v>
      </c>
      <c r="B478" s="129" t="s">
        <v>34</v>
      </c>
      <c r="C478" s="129">
        <v>1684</v>
      </c>
      <c r="D478" s="129" t="s">
        <v>1707</v>
      </c>
      <c r="E478" s="129">
        <v>421</v>
      </c>
      <c r="F478" s="129">
        <v>0</v>
      </c>
      <c r="G478" s="129">
        <v>355</v>
      </c>
      <c r="H478" s="129">
        <v>0</v>
      </c>
      <c r="I478" s="129">
        <v>84.3</v>
      </c>
      <c r="J478" s="129">
        <v>37.299999999999997</v>
      </c>
      <c r="K478" s="129">
        <v>0</v>
      </c>
      <c r="L478" s="129">
        <f t="shared" si="169"/>
        <v>421</v>
      </c>
      <c r="M478" s="129">
        <f t="shared" si="170"/>
        <v>355</v>
      </c>
      <c r="N478" s="128">
        <f t="shared" si="171"/>
        <v>0.84319999999999995</v>
      </c>
      <c r="O478" s="164">
        <f t="shared" si="172"/>
        <v>0</v>
      </c>
      <c r="P478" s="185">
        <f t="shared" si="173"/>
        <v>37.299999999999997</v>
      </c>
      <c r="Q478" s="185">
        <f t="shared" si="174"/>
        <v>37.299999999999997</v>
      </c>
      <c r="R478" s="162" t="b">
        <f t="shared" si="175"/>
        <v>0</v>
      </c>
    </row>
    <row r="479" spans="1:18">
      <c r="A479" s="129" t="s">
        <v>256</v>
      </c>
      <c r="B479" s="129" t="s">
        <v>34</v>
      </c>
      <c r="C479" s="129">
        <v>1686</v>
      </c>
      <c r="D479" s="129" t="s">
        <v>1709</v>
      </c>
      <c r="E479" s="129">
        <v>419</v>
      </c>
      <c r="F479" s="129">
        <v>0</v>
      </c>
      <c r="G479" s="129">
        <v>229</v>
      </c>
      <c r="H479" s="129">
        <v>0</v>
      </c>
      <c r="I479" s="129">
        <v>54.7</v>
      </c>
      <c r="J479" s="129">
        <v>24</v>
      </c>
      <c r="K479" s="129">
        <v>0</v>
      </c>
      <c r="L479" s="129">
        <f t="shared" si="169"/>
        <v>419</v>
      </c>
      <c r="M479" s="129">
        <f t="shared" si="170"/>
        <v>229</v>
      </c>
      <c r="N479" s="128">
        <f t="shared" si="171"/>
        <v>0.54649999999999999</v>
      </c>
      <c r="O479" s="164">
        <f t="shared" si="172"/>
        <v>0</v>
      </c>
      <c r="P479" s="185">
        <f t="shared" si="173"/>
        <v>24</v>
      </c>
      <c r="Q479" s="185">
        <f t="shared" si="174"/>
        <v>24</v>
      </c>
      <c r="R479" s="162" t="b">
        <f t="shared" si="175"/>
        <v>0</v>
      </c>
    </row>
    <row r="480" spans="1:18">
      <c r="A480" s="129" t="s">
        <v>256</v>
      </c>
      <c r="B480" s="129" t="s">
        <v>34</v>
      </c>
      <c r="C480" s="129">
        <v>1688</v>
      </c>
      <c r="D480" s="129" t="s">
        <v>1711</v>
      </c>
      <c r="E480" s="129">
        <v>318</v>
      </c>
      <c r="F480" s="129">
        <v>0</v>
      </c>
      <c r="G480" s="129">
        <v>278</v>
      </c>
      <c r="H480" s="129">
        <v>0</v>
      </c>
      <c r="I480" s="129">
        <v>87.4</v>
      </c>
      <c r="J480" s="129">
        <v>29.2</v>
      </c>
      <c r="K480" s="129">
        <v>0</v>
      </c>
      <c r="L480" s="129">
        <f t="shared" si="169"/>
        <v>318</v>
      </c>
      <c r="M480" s="129">
        <f t="shared" si="170"/>
        <v>278</v>
      </c>
      <c r="N480" s="128">
        <f t="shared" si="171"/>
        <v>0.87419999999999998</v>
      </c>
      <c r="O480" s="164">
        <f t="shared" si="172"/>
        <v>0</v>
      </c>
      <c r="P480" s="185">
        <f t="shared" si="173"/>
        <v>29.2</v>
      </c>
      <c r="Q480" s="185">
        <f t="shared" si="174"/>
        <v>29.2</v>
      </c>
      <c r="R480" s="162" t="b">
        <f t="shared" si="175"/>
        <v>0</v>
      </c>
    </row>
    <row r="481" spans="1:18">
      <c r="A481" s="129" t="s">
        <v>256</v>
      </c>
      <c r="B481" s="129" t="s">
        <v>34</v>
      </c>
      <c r="C481" s="129">
        <v>1690</v>
      </c>
      <c r="D481" s="129" t="s">
        <v>1713</v>
      </c>
      <c r="E481" s="129">
        <v>258</v>
      </c>
      <c r="F481" s="129">
        <v>0</v>
      </c>
      <c r="G481" s="129">
        <v>94</v>
      </c>
      <c r="H481" s="129">
        <v>0</v>
      </c>
      <c r="I481" s="129">
        <v>36.4</v>
      </c>
      <c r="J481" s="129">
        <v>0</v>
      </c>
      <c r="K481" s="129">
        <v>0.9</v>
      </c>
      <c r="L481" s="129">
        <f t="shared" si="169"/>
        <v>258</v>
      </c>
      <c r="M481" s="129">
        <f t="shared" si="170"/>
        <v>94</v>
      </c>
      <c r="N481" s="128">
        <f t="shared" si="171"/>
        <v>0.36430000000000001</v>
      </c>
      <c r="O481" s="164">
        <f t="shared" si="172"/>
        <v>0.9</v>
      </c>
      <c r="P481" s="185">
        <f t="shared" si="173"/>
        <v>0</v>
      </c>
      <c r="Q481" s="185">
        <f t="shared" si="174"/>
        <v>0.9</v>
      </c>
      <c r="R481" s="162" t="b">
        <f t="shared" si="175"/>
        <v>0</v>
      </c>
    </row>
    <row r="482" spans="1:18">
      <c r="A482" s="129" t="s">
        <v>256</v>
      </c>
      <c r="B482" s="129" t="s">
        <v>34</v>
      </c>
      <c r="C482" s="129">
        <v>1693</v>
      </c>
      <c r="D482" s="129" t="s">
        <v>1715</v>
      </c>
      <c r="E482" s="129">
        <v>436</v>
      </c>
      <c r="F482" s="129">
        <v>0</v>
      </c>
      <c r="G482" s="129">
        <v>407</v>
      </c>
      <c r="H482" s="129">
        <v>0</v>
      </c>
      <c r="I482" s="129">
        <v>93.4</v>
      </c>
      <c r="J482" s="129">
        <v>42.7</v>
      </c>
      <c r="K482" s="129">
        <v>0</v>
      </c>
      <c r="L482" s="129">
        <f t="shared" si="169"/>
        <v>436</v>
      </c>
      <c r="M482" s="129">
        <f t="shared" si="170"/>
        <v>407</v>
      </c>
      <c r="N482" s="128">
        <f t="shared" si="171"/>
        <v>0.9335</v>
      </c>
      <c r="O482" s="164">
        <f t="shared" si="172"/>
        <v>0</v>
      </c>
      <c r="P482" s="185">
        <f t="shared" si="173"/>
        <v>42.7</v>
      </c>
      <c r="Q482" s="185">
        <f t="shared" si="174"/>
        <v>42.7</v>
      </c>
      <c r="R482" s="162" t="b">
        <f t="shared" si="175"/>
        <v>0</v>
      </c>
    </row>
    <row r="483" spans="1:18">
      <c r="A483" s="129" t="s">
        <v>256</v>
      </c>
      <c r="B483" s="129" t="s">
        <v>34</v>
      </c>
      <c r="C483" s="129">
        <v>1694</v>
      </c>
      <c r="D483" s="129" t="s">
        <v>1717</v>
      </c>
      <c r="E483" s="129">
        <v>316</v>
      </c>
      <c r="F483" s="129">
        <v>0</v>
      </c>
      <c r="G483" s="129">
        <v>286</v>
      </c>
      <c r="H483" s="129">
        <v>0</v>
      </c>
      <c r="I483" s="129">
        <v>90.5</v>
      </c>
      <c r="J483" s="129">
        <v>30</v>
      </c>
      <c r="K483" s="129">
        <v>0</v>
      </c>
      <c r="L483" s="129">
        <f t="shared" si="169"/>
        <v>316</v>
      </c>
      <c r="M483" s="129">
        <f t="shared" si="170"/>
        <v>286</v>
      </c>
      <c r="N483" s="128">
        <f t="shared" si="171"/>
        <v>0.90510000000000002</v>
      </c>
      <c r="O483" s="164">
        <f t="shared" si="172"/>
        <v>0</v>
      </c>
      <c r="P483" s="185">
        <f t="shared" si="173"/>
        <v>30</v>
      </c>
      <c r="Q483" s="185">
        <f t="shared" si="174"/>
        <v>30</v>
      </c>
      <c r="R483" s="162" t="b">
        <f t="shared" si="175"/>
        <v>0</v>
      </c>
    </row>
    <row r="484" spans="1:18">
      <c r="A484" s="129" t="s">
        <v>256</v>
      </c>
      <c r="B484" s="129" t="s">
        <v>34</v>
      </c>
      <c r="C484" s="129">
        <v>1695</v>
      </c>
      <c r="D484" s="129" t="s">
        <v>1719</v>
      </c>
      <c r="E484" s="129">
        <v>623</v>
      </c>
      <c r="F484" s="129">
        <v>0</v>
      </c>
      <c r="G484" s="129">
        <v>269</v>
      </c>
      <c r="H484" s="129">
        <v>0</v>
      </c>
      <c r="I484" s="129">
        <v>43.2</v>
      </c>
      <c r="J484" s="129">
        <v>0</v>
      </c>
      <c r="K484" s="129">
        <v>15.4</v>
      </c>
      <c r="L484" s="129">
        <f t="shared" si="169"/>
        <v>623</v>
      </c>
      <c r="M484" s="129">
        <f t="shared" si="170"/>
        <v>269</v>
      </c>
      <c r="N484" s="128">
        <f t="shared" si="171"/>
        <v>0.43180000000000002</v>
      </c>
      <c r="O484" s="164">
        <f t="shared" si="172"/>
        <v>15.4</v>
      </c>
      <c r="P484" s="185">
        <f t="shared" si="173"/>
        <v>0</v>
      </c>
      <c r="Q484" s="185">
        <f t="shared" si="174"/>
        <v>15.4</v>
      </c>
      <c r="R484" s="162" t="b">
        <f t="shared" si="175"/>
        <v>0</v>
      </c>
    </row>
    <row r="485" spans="1:18">
      <c r="A485" s="129" t="s">
        <v>256</v>
      </c>
      <c r="B485" s="129" t="s">
        <v>34</v>
      </c>
      <c r="C485" s="129">
        <v>1698</v>
      </c>
      <c r="D485" s="129" t="s">
        <v>1721</v>
      </c>
      <c r="E485" s="129">
        <v>382</v>
      </c>
      <c r="F485" s="129">
        <v>0</v>
      </c>
      <c r="G485" s="129">
        <v>336</v>
      </c>
      <c r="H485" s="129">
        <v>0</v>
      </c>
      <c r="I485" s="129">
        <v>88</v>
      </c>
      <c r="J485" s="129">
        <v>35.299999999999997</v>
      </c>
      <c r="K485" s="129">
        <v>0</v>
      </c>
      <c r="L485" s="129">
        <f t="shared" si="169"/>
        <v>382</v>
      </c>
      <c r="M485" s="129">
        <f t="shared" si="170"/>
        <v>336</v>
      </c>
      <c r="N485" s="128">
        <f t="shared" si="171"/>
        <v>0.87960000000000005</v>
      </c>
      <c r="O485" s="164">
        <f t="shared" si="172"/>
        <v>0</v>
      </c>
      <c r="P485" s="185">
        <f t="shared" si="173"/>
        <v>35.299999999999997</v>
      </c>
      <c r="Q485" s="185">
        <f t="shared" si="174"/>
        <v>35.299999999999997</v>
      </c>
      <c r="R485" s="162" t="b">
        <f t="shared" si="175"/>
        <v>0</v>
      </c>
    </row>
    <row r="486" spans="1:18">
      <c r="A486" s="129" t="s">
        <v>256</v>
      </c>
      <c r="B486" s="129" t="s">
        <v>34</v>
      </c>
      <c r="C486" s="129">
        <v>1704</v>
      </c>
      <c r="D486" s="129" t="s">
        <v>1723</v>
      </c>
      <c r="E486" s="129">
        <v>350</v>
      </c>
      <c r="F486" s="129">
        <v>0</v>
      </c>
      <c r="G486" s="129">
        <v>283</v>
      </c>
      <c r="H486" s="129">
        <v>0</v>
      </c>
      <c r="I486" s="129">
        <v>80.900000000000006</v>
      </c>
      <c r="J486" s="129">
        <v>29.7</v>
      </c>
      <c r="K486" s="129">
        <v>0</v>
      </c>
      <c r="L486" s="129">
        <f t="shared" si="169"/>
        <v>350</v>
      </c>
      <c r="M486" s="129">
        <f t="shared" si="170"/>
        <v>283</v>
      </c>
      <c r="N486" s="128">
        <f t="shared" si="171"/>
        <v>0.80859999999999999</v>
      </c>
      <c r="O486" s="164">
        <f t="shared" si="172"/>
        <v>0</v>
      </c>
      <c r="P486" s="185">
        <f t="shared" si="173"/>
        <v>29.7</v>
      </c>
      <c r="Q486" s="185">
        <f t="shared" si="174"/>
        <v>29.7</v>
      </c>
      <c r="R486" s="162" t="b">
        <f t="shared" si="175"/>
        <v>0</v>
      </c>
    </row>
    <row r="487" spans="1:18">
      <c r="A487" s="129" t="s">
        <v>256</v>
      </c>
      <c r="B487" s="129" t="s">
        <v>34</v>
      </c>
      <c r="C487" s="129">
        <v>1706</v>
      </c>
      <c r="D487" s="129" t="s">
        <v>1725</v>
      </c>
      <c r="E487" s="129">
        <v>509</v>
      </c>
      <c r="F487" s="129">
        <v>0</v>
      </c>
      <c r="G487" s="129">
        <v>330</v>
      </c>
      <c r="H487" s="129">
        <v>0</v>
      </c>
      <c r="I487" s="129">
        <v>64.8</v>
      </c>
      <c r="J487" s="129">
        <v>34.700000000000003</v>
      </c>
      <c r="K487" s="129">
        <v>0</v>
      </c>
      <c r="L487" s="129">
        <f t="shared" si="169"/>
        <v>509</v>
      </c>
      <c r="M487" s="129">
        <f t="shared" si="170"/>
        <v>330</v>
      </c>
      <c r="N487" s="128">
        <f t="shared" si="171"/>
        <v>0.64829999999999999</v>
      </c>
      <c r="O487" s="164">
        <f t="shared" si="172"/>
        <v>0</v>
      </c>
      <c r="P487" s="185">
        <f t="shared" si="173"/>
        <v>34.700000000000003</v>
      </c>
      <c r="Q487" s="185">
        <f t="shared" si="174"/>
        <v>34.700000000000003</v>
      </c>
      <c r="R487" s="162" t="b">
        <f t="shared" si="175"/>
        <v>0</v>
      </c>
    </row>
    <row r="488" spans="1:18">
      <c r="A488" s="129" t="s">
        <v>256</v>
      </c>
      <c r="B488" s="129" t="s">
        <v>34</v>
      </c>
      <c r="C488" s="129">
        <v>1708</v>
      </c>
      <c r="D488" s="129" t="s">
        <v>1727</v>
      </c>
      <c r="E488" s="129">
        <v>305</v>
      </c>
      <c r="F488" s="129">
        <v>0</v>
      </c>
      <c r="G488" s="129">
        <v>117</v>
      </c>
      <c r="H488" s="129">
        <v>0</v>
      </c>
      <c r="I488" s="129">
        <v>38.4</v>
      </c>
      <c r="J488" s="129">
        <v>0</v>
      </c>
      <c r="K488" s="129">
        <v>2.8</v>
      </c>
      <c r="L488" s="129">
        <f t="shared" si="169"/>
        <v>305</v>
      </c>
      <c r="M488" s="129">
        <f t="shared" si="170"/>
        <v>117</v>
      </c>
      <c r="N488" s="128">
        <f t="shared" si="171"/>
        <v>0.3836</v>
      </c>
      <c r="O488" s="164">
        <f t="shared" si="172"/>
        <v>2.8</v>
      </c>
      <c r="P488" s="185">
        <f t="shared" si="173"/>
        <v>0</v>
      </c>
      <c r="Q488" s="185">
        <f t="shared" si="174"/>
        <v>2.8</v>
      </c>
      <c r="R488" s="162" t="b">
        <f t="shared" si="175"/>
        <v>0</v>
      </c>
    </row>
    <row r="489" spans="1:18">
      <c r="A489" s="129" t="s">
        <v>256</v>
      </c>
      <c r="B489" s="129" t="s">
        <v>34</v>
      </c>
      <c r="C489" s="129">
        <v>1710</v>
      </c>
      <c r="D489" s="129" t="s">
        <v>1729</v>
      </c>
      <c r="E489" s="129">
        <v>424</v>
      </c>
      <c r="F489" s="129">
        <v>0</v>
      </c>
      <c r="G489" s="129">
        <v>326</v>
      </c>
      <c r="H489" s="129">
        <v>0</v>
      </c>
      <c r="I489" s="129">
        <v>76.900000000000006</v>
      </c>
      <c r="J489" s="129">
        <v>34.200000000000003</v>
      </c>
      <c r="K489" s="129">
        <v>0</v>
      </c>
      <c r="L489" s="129">
        <f t="shared" ref="L489:L542" si="176">SUM(E489:F489)</f>
        <v>424</v>
      </c>
      <c r="M489" s="129">
        <f t="shared" ref="M489:M542" si="177">SUM(G489:H489)</f>
        <v>326</v>
      </c>
      <c r="N489" s="128">
        <f t="shared" ref="N489:N542" si="178">IF(ISERROR(M489/L489),0,M489/L489)</f>
        <v>0.76890000000000003</v>
      </c>
      <c r="O489" s="164">
        <f t="shared" ref="O489:O542" si="179">IF(AND((N489-35%)&gt;0,N489&lt;50%),M489*(N489-35%)*0.7,0)</f>
        <v>0</v>
      </c>
      <c r="P489" s="185">
        <f t="shared" ref="P489:P542" si="180">IF(N489&gt;=50%,M489*10.5%,0)</f>
        <v>34.200000000000003</v>
      </c>
      <c r="Q489" s="185">
        <f t="shared" ref="Q489:Q542" si="181">MAX(O489,P489)</f>
        <v>34.200000000000003</v>
      </c>
      <c r="R489" s="162" t="b">
        <f t="shared" si="175"/>
        <v>0</v>
      </c>
    </row>
    <row r="490" spans="1:18">
      <c r="A490" s="129" t="s">
        <v>256</v>
      </c>
      <c r="B490" s="129" t="s">
        <v>34</v>
      </c>
      <c r="C490" s="129">
        <v>1712</v>
      </c>
      <c r="D490" s="129" t="s">
        <v>1731</v>
      </c>
      <c r="E490" s="129">
        <v>342</v>
      </c>
      <c r="F490" s="129">
        <v>0</v>
      </c>
      <c r="G490" s="129">
        <v>267</v>
      </c>
      <c r="H490" s="129">
        <v>0</v>
      </c>
      <c r="I490" s="129">
        <v>78.099999999999994</v>
      </c>
      <c r="J490" s="129">
        <v>28</v>
      </c>
      <c r="K490" s="129">
        <v>0</v>
      </c>
      <c r="L490" s="129">
        <f t="shared" si="176"/>
        <v>342</v>
      </c>
      <c r="M490" s="129">
        <f t="shared" si="177"/>
        <v>267</v>
      </c>
      <c r="N490" s="128">
        <f t="shared" si="178"/>
        <v>0.78069999999999995</v>
      </c>
      <c r="O490" s="164">
        <f t="shared" si="179"/>
        <v>0</v>
      </c>
      <c r="P490" s="185">
        <f t="shared" si="180"/>
        <v>28</v>
      </c>
      <c r="Q490" s="185">
        <f t="shared" si="181"/>
        <v>28</v>
      </c>
      <c r="R490" s="162" t="b">
        <f t="shared" si="175"/>
        <v>0</v>
      </c>
    </row>
    <row r="491" spans="1:18">
      <c r="A491" s="129" t="s">
        <v>256</v>
      </c>
      <c r="B491" s="129" t="s">
        <v>34</v>
      </c>
      <c r="C491" s="129">
        <v>1715</v>
      </c>
      <c r="D491" s="129" t="s">
        <v>1733</v>
      </c>
      <c r="E491" s="129">
        <v>77</v>
      </c>
      <c r="F491" s="129">
        <v>0</v>
      </c>
      <c r="G491" s="129">
        <v>60</v>
      </c>
      <c r="H491" s="129">
        <v>0</v>
      </c>
      <c r="I491" s="129">
        <v>77.900000000000006</v>
      </c>
      <c r="J491" s="129">
        <v>6.3</v>
      </c>
      <c r="K491" s="129">
        <v>0</v>
      </c>
      <c r="L491" s="129">
        <f t="shared" si="176"/>
        <v>77</v>
      </c>
      <c r="M491" s="129">
        <f t="shared" si="177"/>
        <v>60</v>
      </c>
      <c r="N491" s="128">
        <f t="shared" si="178"/>
        <v>0.7792</v>
      </c>
      <c r="O491" s="164">
        <f t="shared" si="179"/>
        <v>0</v>
      </c>
      <c r="P491" s="185">
        <f t="shared" si="180"/>
        <v>6.3</v>
      </c>
      <c r="Q491" s="185">
        <f t="shared" si="181"/>
        <v>6.3</v>
      </c>
      <c r="R491" s="162" t="b">
        <f t="shared" si="175"/>
        <v>0</v>
      </c>
    </row>
    <row r="492" spans="1:18">
      <c r="A492" s="129" t="s">
        <v>256</v>
      </c>
      <c r="B492" s="129" t="s">
        <v>34</v>
      </c>
      <c r="C492" s="129">
        <v>1718</v>
      </c>
      <c r="D492" s="129" t="s">
        <v>1735</v>
      </c>
      <c r="E492" s="129">
        <v>438</v>
      </c>
      <c r="F492" s="129">
        <v>0</v>
      </c>
      <c r="G492" s="129">
        <v>360</v>
      </c>
      <c r="H492" s="129">
        <v>0</v>
      </c>
      <c r="I492" s="129">
        <v>82.2</v>
      </c>
      <c r="J492" s="129">
        <v>37.799999999999997</v>
      </c>
      <c r="K492" s="129">
        <v>0</v>
      </c>
      <c r="L492" s="129">
        <f t="shared" si="176"/>
        <v>438</v>
      </c>
      <c r="M492" s="129">
        <f t="shared" si="177"/>
        <v>360</v>
      </c>
      <c r="N492" s="128">
        <f t="shared" si="178"/>
        <v>0.82189999999999996</v>
      </c>
      <c r="O492" s="164">
        <f t="shared" si="179"/>
        <v>0</v>
      </c>
      <c r="P492" s="185">
        <f t="shared" si="180"/>
        <v>37.799999999999997</v>
      </c>
      <c r="Q492" s="185">
        <f t="shared" si="181"/>
        <v>37.799999999999997</v>
      </c>
      <c r="R492" s="162" t="b">
        <f t="shared" si="175"/>
        <v>0</v>
      </c>
    </row>
    <row r="493" spans="1:18">
      <c r="A493" s="129" t="s">
        <v>256</v>
      </c>
      <c r="B493" s="129" t="s">
        <v>34</v>
      </c>
      <c r="C493" s="129">
        <v>1724</v>
      </c>
      <c r="D493" s="129" t="s">
        <v>1737</v>
      </c>
      <c r="E493" s="129">
        <v>234</v>
      </c>
      <c r="F493" s="129">
        <v>0</v>
      </c>
      <c r="G493" s="129">
        <v>210</v>
      </c>
      <c r="H493" s="129">
        <v>0</v>
      </c>
      <c r="I493" s="129">
        <v>89.7</v>
      </c>
      <c r="J493" s="129">
        <v>22.1</v>
      </c>
      <c r="K493" s="129">
        <v>0</v>
      </c>
      <c r="L493" s="129">
        <f t="shared" si="176"/>
        <v>234</v>
      </c>
      <c r="M493" s="129">
        <f t="shared" si="177"/>
        <v>210</v>
      </c>
      <c r="N493" s="128">
        <f t="shared" si="178"/>
        <v>0.89739999999999998</v>
      </c>
      <c r="O493" s="164">
        <f t="shared" si="179"/>
        <v>0</v>
      </c>
      <c r="P493" s="185">
        <f t="shared" si="180"/>
        <v>22.1</v>
      </c>
      <c r="Q493" s="185">
        <f t="shared" si="181"/>
        <v>22.1</v>
      </c>
      <c r="R493" s="162" t="b">
        <f t="shared" si="175"/>
        <v>0</v>
      </c>
    </row>
    <row r="494" spans="1:18">
      <c r="A494" s="129" t="s">
        <v>256</v>
      </c>
      <c r="B494" s="129" t="s">
        <v>34</v>
      </c>
      <c r="C494" s="129">
        <v>1736</v>
      </c>
      <c r="D494" s="129" t="s">
        <v>1739</v>
      </c>
      <c r="E494" s="129">
        <v>311</v>
      </c>
      <c r="F494" s="129">
        <v>0</v>
      </c>
      <c r="G494" s="129">
        <v>165</v>
      </c>
      <c r="H494" s="129">
        <v>0</v>
      </c>
      <c r="I494" s="129">
        <v>53.1</v>
      </c>
      <c r="J494" s="129">
        <v>17.3</v>
      </c>
      <c r="K494" s="129">
        <v>0</v>
      </c>
      <c r="L494" s="129">
        <f t="shared" si="176"/>
        <v>311</v>
      </c>
      <c r="M494" s="129">
        <f t="shared" si="177"/>
        <v>165</v>
      </c>
      <c r="N494" s="128">
        <f t="shared" si="178"/>
        <v>0.53049999999999997</v>
      </c>
      <c r="O494" s="164">
        <f t="shared" si="179"/>
        <v>0</v>
      </c>
      <c r="P494" s="185">
        <f t="shared" si="180"/>
        <v>17.3</v>
      </c>
      <c r="Q494" s="185">
        <f t="shared" si="181"/>
        <v>17.3</v>
      </c>
      <c r="R494" s="162" t="b">
        <f t="shared" si="175"/>
        <v>0</v>
      </c>
    </row>
    <row r="495" spans="1:18">
      <c r="A495" s="129" t="s">
        <v>256</v>
      </c>
      <c r="B495" s="129" t="s">
        <v>34</v>
      </c>
      <c r="C495" s="129">
        <v>1740</v>
      </c>
      <c r="D495" s="129" t="s">
        <v>1741</v>
      </c>
      <c r="E495" s="129">
        <v>263</v>
      </c>
      <c r="F495" s="129">
        <v>0</v>
      </c>
      <c r="G495" s="129">
        <v>146</v>
      </c>
      <c r="H495" s="129">
        <v>0</v>
      </c>
      <c r="I495" s="129">
        <v>55.5</v>
      </c>
      <c r="J495" s="129">
        <v>15.3</v>
      </c>
      <c r="K495" s="129">
        <v>0</v>
      </c>
      <c r="L495" s="129">
        <f t="shared" si="176"/>
        <v>263</v>
      </c>
      <c r="M495" s="129">
        <f t="shared" si="177"/>
        <v>146</v>
      </c>
      <c r="N495" s="128">
        <f t="shared" si="178"/>
        <v>0.55510000000000004</v>
      </c>
      <c r="O495" s="164">
        <f t="shared" si="179"/>
        <v>0</v>
      </c>
      <c r="P495" s="185">
        <f t="shared" si="180"/>
        <v>15.3</v>
      </c>
      <c r="Q495" s="185">
        <f t="shared" si="181"/>
        <v>15.3</v>
      </c>
      <c r="R495" s="162" t="b">
        <f t="shared" si="175"/>
        <v>0</v>
      </c>
    </row>
    <row r="496" spans="1:18">
      <c r="A496" s="129" t="s">
        <v>256</v>
      </c>
      <c r="B496" s="129" t="s">
        <v>34</v>
      </c>
      <c r="C496" s="129">
        <v>1744</v>
      </c>
      <c r="D496" s="129" t="s">
        <v>1743</v>
      </c>
      <c r="E496" s="129">
        <v>619</v>
      </c>
      <c r="F496" s="129">
        <v>0</v>
      </c>
      <c r="G496" s="129">
        <v>405</v>
      </c>
      <c r="H496" s="129">
        <v>0</v>
      </c>
      <c r="I496" s="129">
        <v>65.400000000000006</v>
      </c>
      <c r="J496" s="129">
        <v>42.5</v>
      </c>
      <c r="K496" s="129">
        <v>0</v>
      </c>
      <c r="L496" s="129">
        <f t="shared" si="176"/>
        <v>619</v>
      </c>
      <c r="M496" s="129">
        <f t="shared" si="177"/>
        <v>405</v>
      </c>
      <c r="N496" s="128">
        <f t="shared" si="178"/>
        <v>0.65429999999999999</v>
      </c>
      <c r="O496" s="164">
        <f t="shared" si="179"/>
        <v>0</v>
      </c>
      <c r="P496" s="185">
        <f t="shared" si="180"/>
        <v>42.5</v>
      </c>
      <c r="Q496" s="185">
        <f t="shared" si="181"/>
        <v>42.5</v>
      </c>
      <c r="R496" s="162" t="b">
        <f t="shared" si="175"/>
        <v>0</v>
      </c>
    </row>
    <row r="497" spans="1:18">
      <c r="A497" s="129" t="s">
        <v>256</v>
      </c>
      <c r="B497" s="129" t="s">
        <v>34</v>
      </c>
      <c r="C497" s="129">
        <v>1746</v>
      </c>
      <c r="D497" s="129" t="s">
        <v>1745</v>
      </c>
      <c r="E497" s="129">
        <v>310</v>
      </c>
      <c r="F497" s="129">
        <v>0</v>
      </c>
      <c r="G497" s="129">
        <v>280</v>
      </c>
      <c r="H497" s="129">
        <v>0</v>
      </c>
      <c r="I497" s="129">
        <v>90.3</v>
      </c>
      <c r="J497" s="129">
        <v>29.4</v>
      </c>
      <c r="K497" s="129">
        <v>0</v>
      </c>
      <c r="L497" s="129">
        <f t="shared" si="176"/>
        <v>310</v>
      </c>
      <c r="M497" s="129">
        <f t="shared" si="177"/>
        <v>280</v>
      </c>
      <c r="N497" s="128">
        <f t="shared" si="178"/>
        <v>0.9032</v>
      </c>
      <c r="O497" s="164">
        <f t="shared" si="179"/>
        <v>0</v>
      </c>
      <c r="P497" s="185">
        <f t="shared" si="180"/>
        <v>29.4</v>
      </c>
      <c r="Q497" s="185">
        <f t="shared" si="181"/>
        <v>29.4</v>
      </c>
      <c r="R497" s="162" t="b">
        <f t="shared" si="175"/>
        <v>0</v>
      </c>
    </row>
    <row r="498" spans="1:18">
      <c r="A498" s="129" t="s">
        <v>256</v>
      </c>
      <c r="B498" s="129" t="s">
        <v>34</v>
      </c>
      <c r="C498" s="129">
        <v>1754</v>
      </c>
      <c r="D498" s="129" t="s">
        <v>1747</v>
      </c>
      <c r="E498" s="129">
        <v>274</v>
      </c>
      <c r="F498" s="129">
        <v>0</v>
      </c>
      <c r="G498" s="129">
        <v>176</v>
      </c>
      <c r="H498" s="129">
        <v>0</v>
      </c>
      <c r="I498" s="129">
        <v>64.2</v>
      </c>
      <c r="J498" s="129">
        <v>18.5</v>
      </c>
      <c r="K498" s="129">
        <v>0</v>
      </c>
      <c r="L498" s="129">
        <f t="shared" si="176"/>
        <v>274</v>
      </c>
      <c r="M498" s="129">
        <f t="shared" si="177"/>
        <v>176</v>
      </c>
      <c r="N498" s="128">
        <f t="shared" si="178"/>
        <v>0.64229999999999998</v>
      </c>
      <c r="O498" s="164">
        <f t="shared" si="179"/>
        <v>0</v>
      </c>
      <c r="P498" s="185">
        <f t="shared" si="180"/>
        <v>18.5</v>
      </c>
      <c r="Q498" s="185">
        <f t="shared" si="181"/>
        <v>18.5</v>
      </c>
      <c r="R498" s="162" t="b">
        <f t="shared" si="175"/>
        <v>0</v>
      </c>
    </row>
    <row r="499" spans="1:18">
      <c r="A499" s="129" t="s">
        <v>256</v>
      </c>
      <c r="B499" s="129" t="s">
        <v>34</v>
      </c>
      <c r="C499" s="129">
        <v>1756</v>
      </c>
      <c r="D499" s="129" t="s">
        <v>1749</v>
      </c>
      <c r="E499" s="129">
        <v>336</v>
      </c>
      <c r="F499" s="129">
        <v>0</v>
      </c>
      <c r="G499" s="129">
        <v>296</v>
      </c>
      <c r="H499" s="129">
        <v>0</v>
      </c>
      <c r="I499" s="129">
        <v>88.1</v>
      </c>
      <c r="J499" s="129">
        <v>31.1</v>
      </c>
      <c r="K499" s="129">
        <v>0</v>
      </c>
      <c r="L499" s="129">
        <f t="shared" si="176"/>
        <v>336</v>
      </c>
      <c r="M499" s="129">
        <f t="shared" si="177"/>
        <v>296</v>
      </c>
      <c r="N499" s="128">
        <f t="shared" si="178"/>
        <v>0.88100000000000001</v>
      </c>
      <c r="O499" s="164">
        <f t="shared" si="179"/>
        <v>0</v>
      </c>
      <c r="P499" s="185">
        <f t="shared" si="180"/>
        <v>31.1</v>
      </c>
      <c r="Q499" s="185">
        <f t="shared" si="181"/>
        <v>31.1</v>
      </c>
      <c r="R499" s="162" t="b">
        <f t="shared" si="175"/>
        <v>0</v>
      </c>
    </row>
    <row r="500" spans="1:18">
      <c r="A500" s="129" t="s">
        <v>256</v>
      </c>
      <c r="B500" s="129" t="s">
        <v>34</v>
      </c>
      <c r="C500" s="129">
        <v>1758</v>
      </c>
      <c r="D500" s="129" t="s">
        <v>1751</v>
      </c>
      <c r="E500" s="129">
        <v>231</v>
      </c>
      <c r="F500" s="129">
        <v>0</v>
      </c>
      <c r="G500" s="129">
        <v>195</v>
      </c>
      <c r="H500" s="129">
        <v>0</v>
      </c>
      <c r="I500" s="129">
        <v>84.4</v>
      </c>
      <c r="J500" s="129">
        <v>20.5</v>
      </c>
      <c r="K500" s="129">
        <v>0</v>
      </c>
      <c r="L500" s="129">
        <f t="shared" si="176"/>
        <v>231</v>
      </c>
      <c r="M500" s="129">
        <f t="shared" si="177"/>
        <v>195</v>
      </c>
      <c r="N500" s="128">
        <f t="shared" si="178"/>
        <v>0.84419999999999995</v>
      </c>
      <c r="O500" s="164">
        <f t="shared" si="179"/>
        <v>0</v>
      </c>
      <c r="P500" s="185">
        <f t="shared" si="180"/>
        <v>20.5</v>
      </c>
      <c r="Q500" s="185">
        <f t="shared" si="181"/>
        <v>20.5</v>
      </c>
      <c r="R500" s="162" t="b">
        <f t="shared" si="175"/>
        <v>0</v>
      </c>
    </row>
    <row r="501" spans="1:18">
      <c r="A501" s="129" t="s">
        <v>256</v>
      </c>
      <c r="B501" s="129" t="s">
        <v>34</v>
      </c>
      <c r="C501" s="129">
        <v>1760</v>
      </c>
      <c r="D501" s="129" t="s">
        <v>1753</v>
      </c>
      <c r="E501" s="129">
        <v>327</v>
      </c>
      <c r="F501" s="129">
        <v>0</v>
      </c>
      <c r="G501" s="129">
        <v>162</v>
      </c>
      <c r="H501" s="129">
        <v>0</v>
      </c>
      <c r="I501" s="129">
        <v>49.5</v>
      </c>
      <c r="J501" s="129">
        <v>0</v>
      </c>
      <c r="K501" s="129">
        <v>16.5</v>
      </c>
      <c r="L501" s="129">
        <f t="shared" si="176"/>
        <v>327</v>
      </c>
      <c r="M501" s="129">
        <f t="shared" si="177"/>
        <v>162</v>
      </c>
      <c r="N501" s="128">
        <f t="shared" si="178"/>
        <v>0.49540000000000001</v>
      </c>
      <c r="O501" s="164">
        <f t="shared" si="179"/>
        <v>16.5</v>
      </c>
      <c r="P501" s="185">
        <f t="shared" si="180"/>
        <v>0</v>
      </c>
      <c r="Q501" s="185">
        <f t="shared" si="181"/>
        <v>16.5</v>
      </c>
      <c r="R501" s="162" t="b">
        <f t="shared" si="175"/>
        <v>0</v>
      </c>
    </row>
    <row r="502" spans="1:18">
      <c r="A502" s="129" t="s">
        <v>256</v>
      </c>
      <c r="B502" s="129" t="s">
        <v>34</v>
      </c>
      <c r="C502" s="129">
        <v>1766</v>
      </c>
      <c r="D502" s="129" t="s">
        <v>1755</v>
      </c>
      <c r="E502" s="129">
        <v>233</v>
      </c>
      <c r="F502" s="129">
        <v>0</v>
      </c>
      <c r="G502" s="129">
        <v>125</v>
      </c>
      <c r="H502" s="129">
        <v>0</v>
      </c>
      <c r="I502" s="129">
        <v>53.7</v>
      </c>
      <c r="J502" s="129">
        <v>13.1</v>
      </c>
      <c r="K502" s="129">
        <v>0</v>
      </c>
      <c r="L502" s="129">
        <f t="shared" si="176"/>
        <v>233</v>
      </c>
      <c r="M502" s="129">
        <f t="shared" si="177"/>
        <v>125</v>
      </c>
      <c r="N502" s="128">
        <f t="shared" si="178"/>
        <v>0.53649999999999998</v>
      </c>
      <c r="O502" s="164">
        <f t="shared" si="179"/>
        <v>0</v>
      </c>
      <c r="P502" s="185">
        <f t="shared" si="180"/>
        <v>13.1</v>
      </c>
      <c r="Q502" s="185">
        <f t="shared" si="181"/>
        <v>13.1</v>
      </c>
      <c r="R502" s="162" t="b">
        <f t="shared" si="175"/>
        <v>0</v>
      </c>
    </row>
    <row r="503" spans="1:18">
      <c r="A503" s="129" t="s">
        <v>256</v>
      </c>
      <c r="B503" s="129" t="s">
        <v>34</v>
      </c>
      <c r="C503" s="129">
        <v>1772</v>
      </c>
      <c r="D503" s="129" t="s">
        <v>1757</v>
      </c>
      <c r="E503" s="129">
        <v>481</v>
      </c>
      <c r="F503" s="129">
        <v>0</v>
      </c>
      <c r="G503" s="129">
        <v>256</v>
      </c>
      <c r="H503" s="129">
        <v>0</v>
      </c>
      <c r="I503" s="129">
        <v>53.2</v>
      </c>
      <c r="J503" s="129">
        <v>26.9</v>
      </c>
      <c r="K503" s="129">
        <v>0</v>
      </c>
      <c r="L503" s="129">
        <f t="shared" si="176"/>
        <v>481</v>
      </c>
      <c r="M503" s="129">
        <f t="shared" si="177"/>
        <v>256</v>
      </c>
      <c r="N503" s="128">
        <f t="shared" si="178"/>
        <v>0.53220000000000001</v>
      </c>
      <c r="O503" s="164">
        <f t="shared" si="179"/>
        <v>0</v>
      </c>
      <c r="P503" s="185">
        <f t="shared" si="180"/>
        <v>26.9</v>
      </c>
      <c r="Q503" s="185">
        <f t="shared" si="181"/>
        <v>26.9</v>
      </c>
      <c r="R503" s="162" t="b">
        <f t="shared" si="175"/>
        <v>0</v>
      </c>
    </row>
    <row r="504" spans="1:18">
      <c r="A504" s="129" t="s">
        <v>256</v>
      </c>
      <c r="B504" s="129" t="s">
        <v>34</v>
      </c>
      <c r="C504" s="129">
        <v>1778</v>
      </c>
      <c r="D504" s="129" t="s">
        <v>1759</v>
      </c>
      <c r="E504" s="129">
        <v>275</v>
      </c>
      <c r="F504" s="129">
        <v>0</v>
      </c>
      <c r="G504" s="129">
        <v>229</v>
      </c>
      <c r="H504" s="129">
        <v>0</v>
      </c>
      <c r="I504" s="129">
        <v>83.3</v>
      </c>
      <c r="J504" s="129">
        <v>24</v>
      </c>
      <c r="K504" s="129">
        <v>0</v>
      </c>
      <c r="L504" s="129">
        <f t="shared" si="176"/>
        <v>275</v>
      </c>
      <c r="M504" s="129">
        <f t="shared" si="177"/>
        <v>229</v>
      </c>
      <c r="N504" s="128">
        <f t="shared" si="178"/>
        <v>0.8327</v>
      </c>
      <c r="O504" s="164">
        <f t="shared" si="179"/>
        <v>0</v>
      </c>
      <c r="P504" s="185">
        <f t="shared" si="180"/>
        <v>24</v>
      </c>
      <c r="Q504" s="185">
        <f t="shared" si="181"/>
        <v>24</v>
      </c>
      <c r="R504" s="162" t="b">
        <f t="shared" si="175"/>
        <v>0</v>
      </c>
    </row>
    <row r="505" spans="1:18">
      <c r="A505" s="129" t="s">
        <v>256</v>
      </c>
      <c r="B505" s="129" t="s">
        <v>34</v>
      </c>
      <c r="C505" s="129">
        <v>1780</v>
      </c>
      <c r="D505" s="129" t="s">
        <v>1761</v>
      </c>
      <c r="E505" s="129">
        <v>74</v>
      </c>
      <c r="F505" s="129">
        <v>0</v>
      </c>
      <c r="G505" s="129">
        <v>68</v>
      </c>
      <c r="H505" s="129">
        <v>0</v>
      </c>
      <c r="I505" s="129">
        <v>91.9</v>
      </c>
      <c r="J505" s="129">
        <v>7.1</v>
      </c>
      <c r="K505" s="129">
        <v>0</v>
      </c>
      <c r="L505" s="129">
        <f t="shared" si="176"/>
        <v>74</v>
      </c>
      <c r="M505" s="129">
        <f t="shared" si="177"/>
        <v>68</v>
      </c>
      <c r="N505" s="128">
        <f t="shared" si="178"/>
        <v>0.91890000000000005</v>
      </c>
      <c r="O505" s="164">
        <f t="shared" si="179"/>
        <v>0</v>
      </c>
      <c r="P505" s="185">
        <f t="shared" si="180"/>
        <v>7.1</v>
      </c>
      <c r="Q505" s="185">
        <f t="shared" si="181"/>
        <v>7.1</v>
      </c>
      <c r="R505" s="162" t="b">
        <f t="shared" si="175"/>
        <v>0</v>
      </c>
    </row>
    <row r="506" spans="1:18">
      <c r="A506" s="129" t="s">
        <v>256</v>
      </c>
      <c r="B506" s="129" t="s">
        <v>34</v>
      </c>
      <c r="C506" s="129">
        <v>1782</v>
      </c>
      <c r="D506" s="129" t="s">
        <v>1763</v>
      </c>
      <c r="E506" s="129">
        <v>357</v>
      </c>
      <c r="F506" s="129">
        <v>0</v>
      </c>
      <c r="G506" s="129">
        <v>291</v>
      </c>
      <c r="H506" s="129">
        <v>0</v>
      </c>
      <c r="I506" s="129">
        <v>81.5</v>
      </c>
      <c r="J506" s="129">
        <v>30.6</v>
      </c>
      <c r="K506" s="129">
        <v>0</v>
      </c>
      <c r="L506" s="129">
        <f t="shared" si="176"/>
        <v>357</v>
      </c>
      <c r="M506" s="129">
        <f t="shared" si="177"/>
        <v>291</v>
      </c>
      <c r="N506" s="128">
        <f t="shared" si="178"/>
        <v>0.81510000000000005</v>
      </c>
      <c r="O506" s="164">
        <f t="shared" si="179"/>
        <v>0</v>
      </c>
      <c r="P506" s="185">
        <f t="shared" si="180"/>
        <v>30.6</v>
      </c>
      <c r="Q506" s="185">
        <f t="shared" si="181"/>
        <v>30.6</v>
      </c>
      <c r="R506" s="162" t="b">
        <f t="shared" si="175"/>
        <v>0</v>
      </c>
    </row>
    <row r="507" spans="1:18">
      <c r="A507" s="129" t="s">
        <v>256</v>
      </c>
      <c r="B507" s="129" t="s">
        <v>34</v>
      </c>
      <c r="C507" s="129">
        <v>1785</v>
      </c>
      <c r="D507" s="129" t="s">
        <v>1765</v>
      </c>
      <c r="E507" s="129">
        <v>543</v>
      </c>
      <c r="F507" s="129">
        <v>0</v>
      </c>
      <c r="G507" s="129">
        <v>342</v>
      </c>
      <c r="H507" s="129">
        <v>0</v>
      </c>
      <c r="I507" s="129">
        <v>63</v>
      </c>
      <c r="J507" s="129">
        <v>35.9</v>
      </c>
      <c r="K507" s="129">
        <v>0</v>
      </c>
      <c r="L507" s="129">
        <f t="shared" si="176"/>
        <v>543</v>
      </c>
      <c r="M507" s="129">
        <f t="shared" si="177"/>
        <v>342</v>
      </c>
      <c r="N507" s="128">
        <f t="shared" si="178"/>
        <v>0.62980000000000003</v>
      </c>
      <c r="O507" s="164">
        <f t="shared" si="179"/>
        <v>0</v>
      </c>
      <c r="P507" s="185">
        <f t="shared" si="180"/>
        <v>35.9</v>
      </c>
      <c r="Q507" s="185">
        <f t="shared" si="181"/>
        <v>35.9</v>
      </c>
      <c r="R507" s="162" t="b">
        <f t="shared" si="175"/>
        <v>0</v>
      </c>
    </row>
    <row r="508" spans="1:18">
      <c r="A508" s="129" t="s">
        <v>256</v>
      </c>
      <c r="B508" s="129" t="s">
        <v>34</v>
      </c>
      <c r="C508" s="129">
        <v>1790</v>
      </c>
      <c r="D508" s="129" t="s">
        <v>1767</v>
      </c>
      <c r="E508" s="129">
        <v>440</v>
      </c>
      <c r="F508" s="129">
        <v>0</v>
      </c>
      <c r="G508" s="129">
        <v>399</v>
      </c>
      <c r="H508" s="129">
        <v>0</v>
      </c>
      <c r="I508" s="129">
        <v>90.7</v>
      </c>
      <c r="J508" s="129">
        <v>41.9</v>
      </c>
      <c r="K508" s="129">
        <v>0</v>
      </c>
      <c r="L508" s="129">
        <f t="shared" si="176"/>
        <v>440</v>
      </c>
      <c r="M508" s="129">
        <f t="shared" si="177"/>
        <v>399</v>
      </c>
      <c r="N508" s="128">
        <f t="shared" si="178"/>
        <v>0.90680000000000005</v>
      </c>
      <c r="O508" s="164">
        <f t="shared" si="179"/>
        <v>0</v>
      </c>
      <c r="P508" s="185">
        <f t="shared" si="180"/>
        <v>41.9</v>
      </c>
      <c r="Q508" s="185">
        <f t="shared" si="181"/>
        <v>41.9</v>
      </c>
      <c r="R508" s="162" t="b">
        <f t="shared" si="175"/>
        <v>0</v>
      </c>
    </row>
    <row r="509" spans="1:18">
      <c r="A509" s="129" t="s">
        <v>256</v>
      </c>
      <c r="B509" s="129" t="s">
        <v>34</v>
      </c>
      <c r="C509" s="129">
        <v>1792</v>
      </c>
      <c r="D509" s="129" t="s">
        <v>1769</v>
      </c>
      <c r="E509" s="129">
        <v>39</v>
      </c>
      <c r="F509" s="129">
        <v>0</v>
      </c>
      <c r="G509" s="129">
        <v>37</v>
      </c>
      <c r="H509" s="129">
        <v>0</v>
      </c>
      <c r="I509" s="129">
        <v>94.9</v>
      </c>
      <c r="J509" s="129">
        <v>3.9</v>
      </c>
      <c r="K509" s="129">
        <v>0</v>
      </c>
      <c r="L509" s="129">
        <f t="shared" si="176"/>
        <v>39</v>
      </c>
      <c r="M509" s="129">
        <f t="shared" si="177"/>
        <v>37</v>
      </c>
      <c r="N509" s="128">
        <f t="shared" si="178"/>
        <v>0.94869999999999999</v>
      </c>
      <c r="O509" s="164">
        <f t="shared" si="179"/>
        <v>0</v>
      </c>
      <c r="P509" s="185">
        <f t="shared" si="180"/>
        <v>3.9</v>
      </c>
      <c r="Q509" s="185">
        <f t="shared" si="181"/>
        <v>3.9</v>
      </c>
      <c r="R509" s="162" t="b">
        <f t="shared" si="175"/>
        <v>0</v>
      </c>
    </row>
    <row r="510" spans="1:18">
      <c r="A510" s="129" t="s">
        <v>256</v>
      </c>
      <c r="B510" s="129" t="s">
        <v>34</v>
      </c>
      <c r="C510" s="129">
        <v>1796</v>
      </c>
      <c r="D510" s="129" t="s">
        <v>1771</v>
      </c>
      <c r="E510" s="129">
        <v>411</v>
      </c>
      <c r="F510" s="129">
        <v>0</v>
      </c>
      <c r="G510" s="129">
        <v>330</v>
      </c>
      <c r="H510" s="129">
        <v>0</v>
      </c>
      <c r="I510" s="129">
        <v>80.3</v>
      </c>
      <c r="J510" s="129">
        <v>34.700000000000003</v>
      </c>
      <c r="K510" s="129">
        <v>0</v>
      </c>
      <c r="L510" s="129">
        <f t="shared" si="176"/>
        <v>411</v>
      </c>
      <c r="M510" s="129">
        <f t="shared" si="177"/>
        <v>330</v>
      </c>
      <c r="N510" s="128">
        <f t="shared" si="178"/>
        <v>0.80289999999999995</v>
      </c>
      <c r="O510" s="164">
        <f t="shared" si="179"/>
        <v>0</v>
      </c>
      <c r="P510" s="185">
        <f t="shared" si="180"/>
        <v>34.700000000000003</v>
      </c>
      <c r="Q510" s="185">
        <f t="shared" si="181"/>
        <v>34.700000000000003</v>
      </c>
      <c r="R510" s="162" t="b">
        <f t="shared" si="175"/>
        <v>0</v>
      </c>
    </row>
    <row r="511" spans="1:18">
      <c r="A511" s="129" t="s">
        <v>256</v>
      </c>
      <c r="B511" s="129" t="s">
        <v>34</v>
      </c>
      <c r="C511" s="129">
        <v>1798</v>
      </c>
      <c r="D511" s="129" t="s">
        <v>1773</v>
      </c>
      <c r="E511" s="129">
        <v>457</v>
      </c>
      <c r="F511" s="129">
        <v>0</v>
      </c>
      <c r="G511" s="129">
        <v>400</v>
      </c>
      <c r="H511" s="129">
        <v>0</v>
      </c>
      <c r="I511" s="129">
        <v>87.5</v>
      </c>
      <c r="J511" s="129">
        <v>42</v>
      </c>
      <c r="K511" s="129">
        <v>0</v>
      </c>
      <c r="L511" s="129">
        <f t="shared" si="176"/>
        <v>457</v>
      </c>
      <c r="M511" s="129">
        <f t="shared" si="177"/>
        <v>400</v>
      </c>
      <c r="N511" s="128">
        <f t="shared" si="178"/>
        <v>0.87529999999999997</v>
      </c>
      <c r="O511" s="164">
        <f t="shared" si="179"/>
        <v>0</v>
      </c>
      <c r="P511" s="185">
        <f t="shared" si="180"/>
        <v>42</v>
      </c>
      <c r="Q511" s="185">
        <f t="shared" si="181"/>
        <v>42</v>
      </c>
      <c r="R511" s="162" t="b">
        <f t="shared" si="175"/>
        <v>0</v>
      </c>
    </row>
    <row r="512" spans="1:18">
      <c r="A512" s="129" t="s">
        <v>256</v>
      </c>
      <c r="B512" s="129" t="s">
        <v>34</v>
      </c>
      <c r="C512" s="129">
        <v>1800</v>
      </c>
      <c r="D512" s="129" t="s">
        <v>1775</v>
      </c>
      <c r="E512" s="129">
        <v>327</v>
      </c>
      <c r="F512" s="129">
        <v>0</v>
      </c>
      <c r="G512" s="129">
        <v>260</v>
      </c>
      <c r="H512" s="129">
        <v>0</v>
      </c>
      <c r="I512" s="129">
        <v>79.5</v>
      </c>
      <c r="J512" s="129">
        <v>27.3</v>
      </c>
      <c r="K512" s="129">
        <v>0</v>
      </c>
      <c r="L512" s="129">
        <f t="shared" si="176"/>
        <v>327</v>
      </c>
      <c r="M512" s="129">
        <f t="shared" si="177"/>
        <v>260</v>
      </c>
      <c r="N512" s="128">
        <f t="shared" si="178"/>
        <v>0.79510000000000003</v>
      </c>
      <c r="O512" s="164">
        <f t="shared" si="179"/>
        <v>0</v>
      </c>
      <c r="P512" s="185">
        <f t="shared" si="180"/>
        <v>27.3</v>
      </c>
      <c r="Q512" s="185">
        <f t="shared" si="181"/>
        <v>27.3</v>
      </c>
      <c r="R512" s="162" t="b">
        <f t="shared" si="175"/>
        <v>0</v>
      </c>
    </row>
    <row r="513" spans="1:18">
      <c r="A513" s="129" t="s">
        <v>256</v>
      </c>
      <c r="B513" s="129" t="s">
        <v>34</v>
      </c>
      <c r="C513" s="129">
        <v>1802</v>
      </c>
      <c r="D513" s="129" t="s">
        <v>1777</v>
      </c>
      <c r="E513" s="129">
        <v>561</v>
      </c>
      <c r="F513" s="129">
        <v>0</v>
      </c>
      <c r="G513" s="129">
        <v>438</v>
      </c>
      <c r="H513" s="129">
        <v>0</v>
      </c>
      <c r="I513" s="129">
        <v>78.099999999999994</v>
      </c>
      <c r="J513" s="129">
        <v>46</v>
      </c>
      <c r="K513" s="129">
        <v>0</v>
      </c>
      <c r="L513" s="129">
        <f t="shared" si="176"/>
        <v>561</v>
      </c>
      <c r="M513" s="129">
        <f t="shared" si="177"/>
        <v>438</v>
      </c>
      <c r="N513" s="128">
        <f t="shared" si="178"/>
        <v>0.78069999999999995</v>
      </c>
      <c r="O513" s="164">
        <f t="shared" si="179"/>
        <v>0</v>
      </c>
      <c r="P513" s="185">
        <f t="shared" si="180"/>
        <v>46</v>
      </c>
      <c r="Q513" s="185">
        <f t="shared" si="181"/>
        <v>46</v>
      </c>
      <c r="R513" s="162" t="b">
        <f t="shared" si="175"/>
        <v>0</v>
      </c>
    </row>
    <row r="514" spans="1:18">
      <c r="A514" s="129" t="s">
        <v>256</v>
      </c>
      <c r="B514" s="129" t="s">
        <v>34</v>
      </c>
      <c r="C514" s="129">
        <v>1804</v>
      </c>
      <c r="D514" s="129" t="s">
        <v>1779</v>
      </c>
      <c r="E514" s="129">
        <v>534</v>
      </c>
      <c r="F514" s="129">
        <v>0</v>
      </c>
      <c r="G514" s="129">
        <v>334</v>
      </c>
      <c r="H514" s="129">
        <v>0</v>
      </c>
      <c r="I514" s="129">
        <v>62.6</v>
      </c>
      <c r="J514" s="129">
        <v>35.1</v>
      </c>
      <c r="K514" s="129">
        <v>0</v>
      </c>
      <c r="L514" s="129">
        <f t="shared" si="176"/>
        <v>534</v>
      </c>
      <c r="M514" s="129">
        <f t="shared" si="177"/>
        <v>334</v>
      </c>
      <c r="N514" s="128">
        <f t="shared" si="178"/>
        <v>0.62549999999999994</v>
      </c>
      <c r="O514" s="164">
        <f t="shared" si="179"/>
        <v>0</v>
      </c>
      <c r="P514" s="185">
        <f t="shared" si="180"/>
        <v>35.1</v>
      </c>
      <c r="Q514" s="185">
        <f t="shared" si="181"/>
        <v>35.1</v>
      </c>
      <c r="R514" s="162" t="b">
        <f t="shared" si="175"/>
        <v>0</v>
      </c>
    </row>
    <row r="515" spans="1:18">
      <c r="A515" s="129" t="s">
        <v>256</v>
      </c>
      <c r="B515" s="129" t="s">
        <v>34</v>
      </c>
      <c r="C515" s="129">
        <v>1806</v>
      </c>
      <c r="D515" s="129" t="s">
        <v>1781</v>
      </c>
      <c r="E515" s="129">
        <v>529</v>
      </c>
      <c r="F515" s="129">
        <v>0</v>
      </c>
      <c r="G515" s="129">
        <v>389</v>
      </c>
      <c r="H515" s="129">
        <v>0</v>
      </c>
      <c r="I515" s="129">
        <v>73.5</v>
      </c>
      <c r="J515" s="129">
        <v>40.799999999999997</v>
      </c>
      <c r="K515" s="129">
        <v>0</v>
      </c>
      <c r="L515" s="129">
        <f t="shared" si="176"/>
        <v>529</v>
      </c>
      <c r="M515" s="129">
        <f t="shared" si="177"/>
        <v>389</v>
      </c>
      <c r="N515" s="128">
        <f t="shared" si="178"/>
        <v>0.73529999999999995</v>
      </c>
      <c r="O515" s="164">
        <f t="shared" si="179"/>
        <v>0</v>
      </c>
      <c r="P515" s="185">
        <f t="shared" si="180"/>
        <v>40.799999999999997</v>
      </c>
      <c r="Q515" s="185">
        <f t="shared" si="181"/>
        <v>40.799999999999997</v>
      </c>
      <c r="R515" s="162" t="b">
        <f t="shared" si="175"/>
        <v>0</v>
      </c>
    </row>
    <row r="516" spans="1:18">
      <c r="A516" s="129" t="s">
        <v>256</v>
      </c>
      <c r="B516" s="129" t="s">
        <v>34</v>
      </c>
      <c r="C516" s="129">
        <v>1808</v>
      </c>
      <c r="D516" s="129" t="s">
        <v>1783</v>
      </c>
      <c r="E516" s="129">
        <v>768</v>
      </c>
      <c r="F516" s="129">
        <v>0</v>
      </c>
      <c r="G516" s="129">
        <v>665</v>
      </c>
      <c r="H516" s="129">
        <v>0</v>
      </c>
      <c r="I516" s="129">
        <v>86.6</v>
      </c>
      <c r="J516" s="129">
        <v>69.8</v>
      </c>
      <c r="K516" s="129">
        <v>0</v>
      </c>
      <c r="L516" s="129">
        <f t="shared" si="176"/>
        <v>768</v>
      </c>
      <c r="M516" s="129">
        <f t="shared" si="177"/>
        <v>665</v>
      </c>
      <c r="N516" s="128">
        <f t="shared" si="178"/>
        <v>0.8659</v>
      </c>
      <c r="O516" s="164">
        <f t="shared" si="179"/>
        <v>0</v>
      </c>
      <c r="P516" s="185">
        <f t="shared" si="180"/>
        <v>69.8</v>
      </c>
      <c r="Q516" s="185">
        <f t="shared" si="181"/>
        <v>69.8</v>
      </c>
      <c r="R516" s="162" t="b">
        <f t="shared" si="175"/>
        <v>0</v>
      </c>
    </row>
    <row r="517" spans="1:18">
      <c r="A517" s="129" t="s">
        <v>256</v>
      </c>
      <c r="B517" s="129" t="s">
        <v>34</v>
      </c>
      <c r="C517" s="129">
        <v>1810</v>
      </c>
      <c r="D517" s="129" t="s">
        <v>1785</v>
      </c>
      <c r="E517" s="129">
        <v>544</v>
      </c>
      <c r="F517" s="129">
        <v>0</v>
      </c>
      <c r="G517" s="129">
        <v>419</v>
      </c>
      <c r="H517" s="129">
        <v>0</v>
      </c>
      <c r="I517" s="129">
        <v>77</v>
      </c>
      <c r="J517" s="129">
        <v>44</v>
      </c>
      <c r="K517" s="129">
        <v>0</v>
      </c>
      <c r="L517" s="129">
        <f t="shared" si="176"/>
        <v>544</v>
      </c>
      <c r="M517" s="129">
        <f t="shared" si="177"/>
        <v>419</v>
      </c>
      <c r="N517" s="128">
        <f t="shared" si="178"/>
        <v>0.7702</v>
      </c>
      <c r="O517" s="164">
        <f t="shared" si="179"/>
        <v>0</v>
      </c>
      <c r="P517" s="185">
        <f t="shared" si="180"/>
        <v>44</v>
      </c>
      <c r="Q517" s="185">
        <f t="shared" si="181"/>
        <v>44</v>
      </c>
      <c r="R517" s="162" t="b">
        <f t="shared" ref="R517:R580" si="182">COUNTIF(C:C,C517)&gt;1</f>
        <v>0</v>
      </c>
    </row>
    <row r="518" spans="1:18">
      <c r="A518" s="129" t="s">
        <v>256</v>
      </c>
      <c r="B518" s="129" t="s">
        <v>34</v>
      </c>
      <c r="C518" s="129">
        <v>1812</v>
      </c>
      <c r="D518" s="129" t="s">
        <v>1787</v>
      </c>
      <c r="E518" s="129">
        <v>506</v>
      </c>
      <c r="F518" s="129">
        <v>0</v>
      </c>
      <c r="G518" s="129">
        <v>409</v>
      </c>
      <c r="H518" s="129">
        <v>0</v>
      </c>
      <c r="I518" s="129">
        <v>80.8</v>
      </c>
      <c r="J518" s="129">
        <v>42.9</v>
      </c>
      <c r="K518" s="129">
        <v>0</v>
      </c>
      <c r="L518" s="129">
        <f t="shared" si="176"/>
        <v>506</v>
      </c>
      <c r="M518" s="129">
        <f t="shared" si="177"/>
        <v>409</v>
      </c>
      <c r="N518" s="128">
        <f t="shared" si="178"/>
        <v>0.80830000000000002</v>
      </c>
      <c r="O518" s="164">
        <f t="shared" si="179"/>
        <v>0</v>
      </c>
      <c r="P518" s="185">
        <f t="shared" si="180"/>
        <v>42.9</v>
      </c>
      <c r="Q518" s="185">
        <f t="shared" si="181"/>
        <v>42.9</v>
      </c>
      <c r="R518" s="162" t="b">
        <f t="shared" si="182"/>
        <v>0</v>
      </c>
    </row>
    <row r="519" spans="1:18">
      <c r="A519" s="129" t="s">
        <v>256</v>
      </c>
      <c r="B519" s="129" t="s">
        <v>34</v>
      </c>
      <c r="C519" s="129">
        <v>1814</v>
      </c>
      <c r="D519" s="129" t="s">
        <v>1789</v>
      </c>
      <c r="E519" s="129">
        <v>551</v>
      </c>
      <c r="F519" s="129">
        <v>0</v>
      </c>
      <c r="G519" s="129">
        <v>490</v>
      </c>
      <c r="H519" s="129">
        <v>0</v>
      </c>
      <c r="I519" s="129">
        <v>88.9</v>
      </c>
      <c r="J519" s="129">
        <v>51.5</v>
      </c>
      <c r="K519" s="129">
        <v>0</v>
      </c>
      <c r="L519" s="129">
        <f t="shared" si="176"/>
        <v>551</v>
      </c>
      <c r="M519" s="129">
        <f t="shared" si="177"/>
        <v>490</v>
      </c>
      <c r="N519" s="128">
        <f t="shared" si="178"/>
        <v>0.88929999999999998</v>
      </c>
      <c r="O519" s="164">
        <f t="shared" si="179"/>
        <v>0</v>
      </c>
      <c r="P519" s="185">
        <f t="shared" si="180"/>
        <v>51.5</v>
      </c>
      <c r="Q519" s="185">
        <f t="shared" si="181"/>
        <v>51.5</v>
      </c>
      <c r="R519" s="162" t="b">
        <f t="shared" si="182"/>
        <v>0</v>
      </c>
    </row>
    <row r="520" spans="1:18">
      <c r="A520" s="129" t="s">
        <v>256</v>
      </c>
      <c r="B520" s="129" t="s">
        <v>34</v>
      </c>
      <c r="C520" s="129">
        <v>1817</v>
      </c>
      <c r="D520" s="129" t="s">
        <v>1791</v>
      </c>
      <c r="E520" s="129">
        <v>499</v>
      </c>
      <c r="F520" s="129">
        <v>0</v>
      </c>
      <c r="G520" s="129">
        <v>423</v>
      </c>
      <c r="H520" s="129">
        <v>0</v>
      </c>
      <c r="I520" s="129">
        <v>84.8</v>
      </c>
      <c r="J520" s="129">
        <v>44.4</v>
      </c>
      <c r="K520" s="129">
        <v>0</v>
      </c>
      <c r="L520" s="129">
        <f t="shared" si="176"/>
        <v>499</v>
      </c>
      <c r="M520" s="129">
        <f t="shared" si="177"/>
        <v>423</v>
      </c>
      <c r="N520" s="128">
        <f t="shared" si="178"/>
        <v>0.84770000000000001</v>
      </c>
      <c r="O520" s="164">
        <f t="shared" si="179"/>
        <v>0</v>
      </c>
      <c r="P520" s="185">
        <f t="shared" si="180"/>
        <v>44.4</v>
      </c>
      <c r="Q520" s="185">
        <f t="shared" si="181"/>
        <v>44.4</v>
      </c>
      <c r="R520" s="162" t="b">
        <f t="shared" si="182"/>
        <v>0</v>
      </c>
    </row>
    <row r="521" spans="1:18">
      <c r="A521" s="129" t="s">
        <v>256</v>
      </c>
      <c r="B521" s="129" t="s">
        <v>34</v>
      </c>
      <c r="C521" s="129">
        <v>1818</v>
      </c>
      <c r="D521" s="129" t="s">
        <v>1793</v>
      </c>
      <c r="E521" s="129">
        <v>596</v>
      </c>
      <c r="F521" s="129">
        <v>0</v>
      </c>
      <c r="G521" s="129">
        <v>428</v>
      </c>
      <c r="H521" s="129">
        <v>0</v>
      </c>
      <c r="I521" s="129">
        <v>71.8</v>
      </c>
      <c r="J521" s="129">
        <v>44.9</v>
      </c>
      <c r="K521" s="129">
        <v>0</v>
      </c>
      <c r="L521" s="129">
        <f t="shared" si="176"/>
        <v>596</v>
      </c>
      <c r="M521" s="129">
        <f t="shared" si="177"/>
        <v>428</v>
      </c>
      <c r="N521" s="128">
        <f t="shared" si="178"/>
        <v>0.71809999999999996</v>
      </c>
      <c r="O521" s="164">
        <f t="shared" si="179"/>
        <v>0</v>
      </c>
      <c r="P521" s="185">
        <f t="shared" si="180"/>
        <v>44.9</v>
      </c>
      <c r="Q521" s="185">
        <f t="shared" si="181"/>
        <v>44.9</v>
      </c>
      <c r="R521" s="162" t="b">
        <f t="shared" si="182"/>
        <v>0</v>
      </c>
    </row>
    <row r="522" spans="1:18">
      <c r="A522" s="129" t="s">
        <v>256</v>
      </c>
      <c r="B522" s="129" t="s">
        <v>34</v>
      </c>
      <c r="C522" s="129">
        <v>1823</v>
      </c>
      <c r="D522" s="129" t="s">
        <v>1795</v>
      </c>
      <c r="E522" s="129">
        <v>679</v>
      </c>
      <c r="F522" s="129">
        <v>0</v>
      </c>
      <c r="G522" s="129">
        <v>344</v>
      </c>
      <c r="H522" s="129">
        <v>0</v>
      </c>
      <c r="I522" s="129">
        <v>50.7</v>
      </c>
      <c r="J522" s="129">
        <v>36.1</v>
      </c>
      <c r="K522" s="129">
        <v>0</v>
      </c>
      <c r="L522" s="129">
        <f t="shared" si="176"/>
        <v>679</v>
      </c>
      <c r="M522" s="129">
        <f t="shared" si="177"/>
        <v>344</v>
      </c>
      <c r="N522" s="128">
        <f t="shared" si="178"/>
        <v>0.50660000000000005</v>
      </c>
      <c r="O522" s="164">
        <f t="shared" si="179"/>
        <v>0</v>
      </c>
      <c r="P522" s="185">
        <f t="shared" si="180"/>
        <v>36.1</v>
      </c>
      <c r="Q522" s="185">
        <f t="shared" si="181"/>
        <v>36.1</v>
      </c>
      <c r="R522" s="162" t="b">
        <f t="shared" si="182"/>
        <v>0</v>
      </c>
    </row>
    <row r="523" spans="1:18">
      <c r="A523" s="129" t="s">
        <v>256</v>
      </c>
      <c r="B523" s="129" t="s">
        <v>34</v>
      </c>
      <c r="C523" s="129">
        <v>1824</v>
      </c>
      <c r="D523" s="129" t="s">
        <v>1797</v>
      </c>
      <c r="E523" s="129">
        <v>596</v>
      </c>
      <c r="F523" s="129">
        <v>0</v>
      </c>
      <c r="G523" s="129">
        <v>388</v>
      </c>
      <c r="H523" s="129">
        <v>0</v>
      </c>
      <c r="I523" s="129">
        <v>65.099999999999994</v>
      </c>
      <c r="J523" s="129">
        <v>40.700000000000003</v>
      </c>
      <c r="K523" s="129">
        <v>0</v>
      </c>
      <c r="L523" s="129">
        <f t="shared" si="176"/>
        <v>596</v>
      </c>
      <c r="M523" s="129">
        <f t="shared" si="177"/>
        <v>388</v>
      </c>
      <c r="N523" s="128">
        <f t="shared" si="178"/>
        <v>0.65100000000000002</v>
      </c>
      <c r="O523" s="164">
        <f t="shared" si="179"/>
        <v>0</v>
      </c>
      <c r="P523" s="185">
        <f t="shared" si="180"/>
        <v>40.700000000000003</v>
      </c>
      <c r="Q523" s="185">
        <f t="shared" si="181"/>
        <v>40.700000000000003</v>
      </c>
      <c r="R523" s="162" t="b">
        <f t="shared" si="182"/>
        <v>0</v>
      </c>
    </row>
    <row r="524" spans="1:18">
      <c r="A524" s="129" t="s">
        <v>256</v>
      </c>
      <c r="B524" s="129" t="s">
        <v>34</v>
      </c>
      <c r="C524" s="129">
        <v>1828</v>
      </c>
      <c r="D524" s="129" t="s">
        <v>1799</v>
      </c>
      <c r="E524" s="129">
        <v>594</v>
      </c>
      <c r="F524" s="129">
        <v>0</v>
      </c>
      <c r="G524" s="129">
        <v>508</v>
      </c>
      <c r="H524" s="129">
        <v>0</v>
      </c>
      <c r="I524" s="129">
        <v>85.5</v>
      </c>
      <c r="J524" s="129">
        <v>53.3</v>
      </c>
      <c r="K524" s="129">
        <v>0</v>
      </c>
      <c r="L524" s="129">
        <f t="shared" si="176"/>
        <v>594</v>
      </c>
      <c r="M524" s="129">
        <f t="shared" si="177"/>
        <v>508</v>
      </c>
      <c r="N524" s="128">
        <f t="shared" si="178"/>
        <v>0.85519999999999996</v>
      </c>
      <c r="O524" s="164">
        <f t="shared" si="179"/>
        <v>0</v>
      </c>
      <c r="P524" s="185">
        <f t="shared" si="180"/>
        <v>53.3</v>
      </c>
      <c r="Q524" s="185">
        <f t="shared" si="181"/>
        <v>53.3</v>
      </c>
      <c r="R524" s="162" t="b">
        <f t="shared" si="182"/>
        <v>0</v>
      </c>
    </row>
    <row r="525" spans="1:18">
      <c r="A525" s="129" t="s">
        <v>256</v>
      </c>
      <c r="B525" s="129" t="s">
        <v>34</v>
      </c>
      <c r="C525" s="129">
        <v>1830</v>
      </c>
      <c r="D525" s="129" t="s">
        <v>1801</v>
      </c>
      <c r="E525" s="129">
        <v>692</v>
      </c>
      <c r="F525" s="129">
        <v>0</v>
      </c>
      <c r="G525" s="129">
        <v>378</v>
      </c>
      <c r="H525" s="129">
        <v>0</v>
      </c>
      <c r="I525" s="129">
        <v>54.6</v>
      </c>
      <c r="J525" s="129">
        <v>39.700000000000003</v>
      </c>
      <c r="K525" s="129">
        <v>0</v>
      </c>
      <c r="L525" s="129">
        <f t="shared" si="176"/>
        <v>692</v>
      </c>
      <c r="M525" s="129">
        <f t="shared" si="177"/>
        <v>378</v>
      </c>
      <c r="N525" s="128">
        <f t="shared" si="178"/>
        <v>0.54620000000000002</v>
      </c>
      <c r="O525" s="164">
        <f t="shared" si="179"/>
        <v>0</v>
      </c>
      <c r="P525" s="185">
        <f t="shared" si="180"/>
        <v>39.700000000000003</v>
      </c>
      <c r="Q525" s="185">
        <f t="shared" si="181"/>
        <v>39.700000000000003</v>
      </c>
      <c r="R525" s="162" t="b">
        <f t="shared" si="182"/>
        <v>0</v>
      </c>
    </row>
    <row r="526" spans="1:18">
      <c r="A526" s="129" t="s">
        <v>256</v>
      </c>
      <c r="B526" s="129" t="s">
        <v>34</v>
      </c>
      <c r="C526" s="129">
        <v>1833</v>
      </c>
      <c r="D526" s="129" t="s">
        <v>1803</v>
      </c>
      <c r="E526" s="129">
        <v>773</v>
      </c>
      <c r="F526" s="129">
        <v>0</v>
      </c>
      <c r="G526" s="129">
        <v>457</v>
      </c>
      <c r="H526" s="129">
        <v>0</v>
      </c>
      <c r="I526" s="129">
        <v>59.1</v>
      </c>
      <c r="J526" s="129">
        <v>48</v>
      </c>
      <c r="K526" s="129">
        <v>0</v>
      </c>
      <c r="L526" s="129">
        <f t="shared" si="176"/>
        <v>773</v>
      </c>
      <c r="M526" s="129">
        <f t="shared" si="177"/>
        <v>457</v>
      </c>
      <c r="N526" s="128">
        <f t="shared" si="178"/>
        <v>0.59119999999999995</v>
      </c>
      <c r="O526" s="164">
        <f t="shared" si="179"/>
        <v>0</v>
      </c>
      <c r="P526" s="185">
        <f t="shared" si="180"/>
        <v>48</v>
      </c>
      <c r="Q526" s="185">
        <f t="shared" si="181"/>
        <v>48</v>
      </c>
      <c r="R526" s="162" t="b">
        <f t="shared" si="182"/>
        <v>0</v>
      </c>
    </row>
    <row r="527" spans="1:18">
      <c r="A527" s="129" t="s">
        <v>256</v>
      </c>
      <c r="B527" s="129" t="s">
        <v>34</v>
      </c>
      <c r="C527" s="129">
        <v>1834</v>
      </c>
      <c r="D527" s="129" t="s">
        <v>1805</v>
      </c>
      <c r="E527" s="129">
        <v>907</v>
      </c>
      <c r="F527" s="129">
        <v>0</v>
      </c>
      <c r="G527" s="129">
        <v>779</v>
      </c>
      <c r="H527" s="129">
        <v>0</v>
      </c>
      <c r="I527" s="129">
        <v>85.9</v>
      </c>
      <c r="J527" s="129">
        <v>81.8</v>
      </c>
      <c r="K527" s="129">
        <v>0</v>
      </c>
      <c r="L527" s="129">
        <f t="shared" si="176"/>
        <v>907</v>
      </c>
      <c r="M527" s="129">
        <f t="shared" si="177"/>
        <v>779</v>
      </c>
      <c r="N527" s="128">
        <f t="shared" si="178"/>
        <v>0.8589</v>
      </c>
      <c r="O527" s="164">
        <f t="shared" si="179"/>
        <v>0</v>
      </c>
      <c r="P527" s="185">
        <f t="shared" si="180"/>
        <v>81.8</v>
      </c>
      <c r="Q527" s="185">
        <f t="shared" si="181"/>
        <v>81.8</v>
      </c>
      <c r="R527" s="162" t="b">
        <f t="shared" si="182"/>
        <v>0</v>
      </c>
    </row>
    <row r="528" spans="1:18">
      <c r="A528" s="129" t="s">
        <v>256</v>
      </c>
      <c r="B528" s="129" t="s">
        <v>34</v>
      </c>
      <c r="C528" s="129">
        <v>1836</v>
      </c>
      <c r="D528" s="129" t="s">
        <v>1807</v>
      </c>
      <c r="E528" s="129">
        <v>2325</v>
      </c>
      <c r="F528" s="129">
        <v>0</v>
      </c>
      <c r="G528" s="129">
        <v>1573</v>
      </c>
      <c r="H528" s="129">
        <v>0</v>
      </c>
      <c r="I528" s="129">
        <v>67.7</v>
      </c>
      <c r="J528" s="129">
        <v>165.2</v>
      </c>
      <c r="K528" s="129">
        <v>0</v>
      </c>
      <c r="L528" s="129">
        <f t="shared" si="176"/>
        <v>2325</v>
      </c>
      <c r="M528" s="129">
        <f t="shared" si="177"/>
        <v>1573</v>
      </c>
      <c r="N528" s="128">
        <f t="shared" si="178"/>
        <v>0.67659999999999998</v>
      </c>
      <c r="O528" s="164">
        <f t="shared" si="179"/>
        <v>0</v>
      </c>
      <c r="P528" s="185">
        <f t="shared" si="180"/>
        <v>165.2</v>
      </c>
      <c r="Q528" s="185">
        <f t="shared" si="181"/>
        <v>165.2</v>
      </c>
      <c r="R528" s="162" t="b">
        <f t="shared" si="182"/>
        <v>0</v>
      </c>
    </row>
    <row r="529" spans="1:18">
      <c r="A529" s="129" t="s">
        <v>256</v>
      </c>
      <c r="B529" s="129" t="s">
        <v>34</v>
      </c>
      <c r="C529" s="129">
        <v>1837</v>
      </c>
      <c r="D529" s="129" t="s">
        <v>1809</v>
      </c>
      <c r="E529" s="129">
        <v>256</v>
      </c>
      <c r="F529" s="129">
        <v>0</v>
      </c>
      <c r="G529" s="129">
        <v>139</v>
      </c>
      <c r="H529" s="129">
        <v>0</v>
      </c>
      <c r="I529" s="129">
        <v>54.3</v>
      </c>
      <c r="J529" s="129">
        <v>14.6</v>
      </c>
      <c r="K529" s="129">
        <v>0</v>
      </c>
      <c r="L529" s="129">
        <f t="shared" si="176"/>
        <v>256</v>
      </c>
      <c r="M529" s="129">
        <f t="shared" si="177"/>
        <v>139</v>
      </c>
      <c r="N529" s="128">
        <f t="shared" si="178"/>
        <v>0.54300000000000004</v>
      </c>
      <c r="O529" s="164">
        <f t="shared" si="179"/>
        <v>0</v>
      </c>
      <c r="P529" s="185">
        <f t="shared" si="180"/>
        <v>14.6</v>
      </c>
      <c r="Q529" s="185">
        <f t="shared" si="181"/>
        <v>14.6</v>
      </c>
      <c r="R529" s="162" t="b">
        <f t="shared" si="182"/>
        <v>0</v>
      </c>
    </row>
    <row r="530" spans="1:18">
      <c r="A530" s="129" t="s">
        <v>256</v>
      </c>
      <c r="B530" s="129" t="s">
        <v>34</v>
      </c>
      <c r="C530" s="129">
        <v>1838</v>
      </c>
      <c r="D530" s="129" t="s">
        <v>1811</v>
      </c>
      <c r="E530" s="129">
        <v>2066</v>
      </c>
      <c r="F530" s="129">
        <v>0</v>
      </c>
      <c r="G530" s="129">
        <v>1546</v>
      </c>
      <c r="H530" s="129">
        <v>0</v>
      </c>
      <c r="I530" s="129">
        <v>74.8</v>
      </c>
      <c r="J530" s="129">
        <v>162.30000000000001</v>
      </c>
      <c r="K530" s="129">
        <v>0</v>
      </c>
      <c r="L530" s="129">
        <f t="shared" si="176"/>
        <v>2066</v>
      </c>
      <c r="M530" s="129">
        <f t="shared" si="177"/>
        <v>1546</v>
      </c>
      <c r="N530" s="128">
        <f t="shared" si="178"/>
        <v>0.74829999999999997</v>
      </c>
      <c r="O530" s="164">
        <f t="shared" si="179"/>
        <v>0</v>
      </c>
      <c r="P530" s="185">
        <f t="shared" si="180"/>
        <v>162.30000000000001</v>
      </c>
      <c r="Q530" s="185">
        <f t="shared" si="181"/>
        <v>162.30000000000001</v>
      </c>
      <c r="R530" s="162" t="b">
        <f t="shared" si="182"/>
        <v>0</v>
      </c>
    </row>
    <row r="531" spans="1:18">
      <c r="A531" s="129" t="s">
        <v>256</v>
      </c>
      <c r="B531" s="129" t="s">
        <v>34</v>
      </c>
      <c r="C531" s="129">
        <v>1840</v>
      </c>
      <c r="D531" s="129" t="s">
        <v>1813</v>
      </c>
      <c r="E531" s="129">
        <v>1639</v>
      </c>
      <c r="F531" s="129">
        <v>0</v>
      </c>
      <c r="G531" s="129">
        <v>1260</v>
      </c>
      <c r="H531" s="129">
        <v>0</v>
      </c>
      <c r="I531" s="129">
        <v>76.900000000000006</v>
      </c>
      <c r="J531" s="129">
        <v>132.30000000000001</v>
      </c>
      <c r="K531" s="129">
        <v>0</v>
      </c>
      <c r="L531" s="129">
        <f t="shared" si="176"/>
        <v>1639</v>
      </c>
      <c r="M531" s="129">
        <f t="shared" si="177"/>
        <v>1260</v>
      </c>
      <c r="N531" s="128">
        <f t="shared" si="178"/>
        <v>0.76880000000000004</v>
      </c>
      <c r="O531" s="164">
        <f t="shared" si="179"/>
        <v>0</v>
      </c>
      <c r="P531" s="185">
        <f t="shared" si="180"/>
        <v>132.30000000000001</v>
      </c>
      <c r="Q531" s="185">
        <f t="shared" si="181"/>
        <v>132.30000000000001</v>
      </c>
      <c r="R531" s="162" t="b">
        <f t="shared" si="182"/>
        <v>0</v>
      </c>
    </row>
    <row r="532" spans="1:18">
      <c r="A532" s="129" t="s">
        <v>256</v>
      </c>
      <c r="B532" s="129" t="s">
        <v>34</v>
      </c>
      <c r="C532" s="129">
        <v>1842</v>
      </c>
      <c r="D532" s="129" t="s">
        <v>1573</v>
      </c>
      <c r="E532" s="129">
        <v>1959</v>
      </c>
      <c r="F532" s="129">
        <v>0</v>
      </c>
      <c r="G532" s="129">
        <v>1308</v>
      </c>
      <c r="H532" s="129">
        <v>0</v>
      </c>
      <c r="I532" s="129">
        <v>66.8</v>
      </c>
      <c r="J532" s="129">
        <v>137.30000000000001</v>
      </c>
      <c r="K532" s="129">
        <v>0</v>
      </c>
      <c r="L532" s="129">
        <f t="shared" si="176"/>
        <v>1959</v>
      </c>
      <c r="M532" s="129">
        <f t="shared" si="177"/>
        <v>1308</v>
      </c>
      <c r="N532" s="128">
        <f t="shared" si="178"/>
        <v>0.66769999999999996</v>
      </c>
      <c r="O532" s="164">
        <f t="shared" si="179"/>
        <v>0</v>
      </c>
      <c r="P532" s="185">
        <f t="shared" si="180"/>
        <v>137.30000000000001</v>
      </c>
      <c r="Q532" s="185">
        <f t="shared" si="181"/>
        <v>137.30000000000001</v>
      </c>
      <c r="R532" s="162" t="b">
        <f t="shared" si="182"/>
        <v>0</v>
      </c>
    </row>
    <row r="533" spans="1:18">
      <c r="A533" s="129" t="s">
        <v>256</v>
      </c>
      <c r="B533" s="129" t="s">
        <v>34</v>
      </c>
      <c r="C533" s="129">
        <v>1844</v>
      </c>
      <c r="D533" s="129" t="s">
        <v>1816</v>
      </c>
      <c r="E533" s="129">
        <v>1352</v>
      </c>
      <c r="F533" s="129">
        <v>0</v>
      </c>
      <c r="G533" s="129">
        <v>1087</v>
      </c>
      <c r="H533" s="129">
        <v>0</v>
      </c>
      <c r="I533" s="129">
        <v>80.400000000000006</v>
      </c>
      <c r="J533" s="129">
        <v>114.1</v>
      </c>
      <c r="K533" s="129">
        <v>0</v>
      </c>
      <c r="L533" s="129">
        <f t="shared" si="176"/>
        <v>1352</v>
      </c>
      <c r="M533" s="129">
        <f t="shared" si="177"/>
        <v>1087</v>
      </c>
      <c r="N533" s="128">
        <f t="shared" si="178"/>
        <v>0.80400000000000005</v>
      </c>
      <c r="O533" s="164">
        <f t="shared" si="179"/>
        <v>0</v>
      </c>
      <c r="P533" s="185">
        <f t="shared" si="180"/>
        <v>114.1</v>
      </c>
      <c r="Q533" s="185">
        <f t="shared" si="181"/>
        <v>114.1</v>
      </c>
      <c r="R533" s="162" t="b">
        <f t="shared" si="182"/>
        <v>0</v>
      </c>
    </row>
    <row r="534" spans="1:18">
      <c r="A534" s="129" t="s">
        <v>256</v>
      </c>
      <c r="B534" s="129" t="s">
        <v>34</v>
      </c>
      <c r="C534" s="129">
        <v>1846</v>
      </c>
      <c r="D534" s="129" t="s">
        <v>1818</v>
      </c>
      <c r="E534" s="129">
        <v>1431</v>
      </c>
      <c r="F534" s="129">
        <v>0</v>
      </c>
      <c r="G534" s="129">
        <v>906</v>
      </c>
      <c r="H534" s="129">
        <v>0</v>
      </c>
      <c r="I534" s="129">
        <v>63.3</v>
      </c>
      <c r="J534" s="129">
        <v>95.1</v>
      </c>
      <c r="K534" s="129">
        <v>0</v>
      </c>
      <c r="L534" s="129">
        <f t="shared" si="176"/>
        <v>1431</v>
      </c>
      <c r="M534" s="129">
        <f t="shared" si="177"/>
        <v>906</v>
      </c>
      <c r="N534" s="128">
        <f t="shared" si="178"/>
        <v>0.6331</v>
      </c>
      <c r="O534" s="164">
        <f t="shared" si="179"/>
        <v>0</v>
      </c>
      <c r="P534" s="185">
        <f t="shared" si="180"/>
        <v>95.1</v>
      </c>
      <c r="Q534" s="185">
        <f t="shared" si="181"/>
        <v>95.1</v>
      </c>
      <c r="R534" s="162" t="b">
        <f t="shared" si="182"/>
        <v>0</v>
      </c>
    </row>
    <row r="535" spans="1:18">
      <c r="A535" s="129" t="s">
        <v>256</v>
      </c>
      <c r="B535" s="129" t="s">
        <v>34</v>
      </c>
      <c r="C535" s="129">
        <v>1847</v>
      </c>
      <c r="D535" s="129" t="s">
        <v>1820</v>
      </c>
      <c r="E535" s="129">
        <v>1420</v>
      </c>
      <c r="F535" s="129">
        <v>0</v>
      </c>
      <c r="G535" s="129">
        <v>692</v>
      </c>
      <c r="H535" s="129">
        <v>0</v>
      </c>
      <c r="I535" s="129">
        <v>48.7</v>
      </c>
      <c r="J535" s="129">
        <v>0</v>
      </c>
      <c r="K535" s="129">
        <v>66.5</v>
      </c>
      <c r="L535" s="129">
        <f t="shared" si="176"/>
        <v>1420</v>
      </c>
      <c r="M535" s="129">
        <f t="shared" si="177"/>
        <v>692</v>
      </c>
      <c r="N535" s="128">
        <f t="shared" si="178"/>
        <v>0.48730000000000001</v>
      </c>
      <c r="O535" s="164">
        <f t="shared" si="179"/>
        <v>66.5</v>
      </c>
      <c r="P535" s="185">
        <f t="shared" si="180"/>
        <v>0</v>
      </c>
      <c r="Q535" s="185">
        <f t="shared" si="181"/>
        <v>66.5</v>
      </c>
      <c r="R535" s="162" t="b">
        <f t="shared" si="182"/>
        <v>0</v>
      </c>
    </row>
    <row r="536" spans="1:18">
      <c r="A536" s="129" t="s">
        <v>256</v>
      </c>
      <c r="B536" s="129" t="s">
        <v>34</v>
      </c>
      <c r="C536" s="129">
        <v>1948</v>
      </c>
      <c r="D536" s="129" t="s">
        <v>1822</v>
      </c>
      <c r="E536" s="129">
        <v>89</v>
      </c>
      <c r="F536" s="129">
        <v>0</v>
      </c>
      <c r="G536" s="129">
        <v>75</v>
      </c>
      <c r="H536" s="129">
        <v>0</v>
      </c>
      <c r="I536" s="129">
        <v>84.3</v>
      </c>
      <c r="J536" s="129">
        <v>7.9</v>
      </c>
      <c r="K536" s="129">
        <v>0</v>
      </c>
      <c r="L536" s="129">
        <f t="shared" si="176"/>
        <v>89</v>
      </c>
      <c r="M536" s="129">
        <f t="shared" si="177"/>
        <v>75</v>
      </c>
      <c r="N536" s="128">
        <f t="shared" si="178"/>
        <v>0.8427</v>
      </c>
      <c r="O536" s="164">
        <f t="shared" si="179"/>
        <v>0</v>
      </c>
      <c r="P536" s="185">
        <f t="shared" si="180"/>
        <v>7.9</v>
      </c>
      <c r="Q536" s="185">
        <f t="shared" si="181"/>
        <v>7.9</v>
      </c>
      <c r="R536" s="162" t="b">
        <f t="shared" si="182"/>
        <v>0</v>
      </c>
    </row>
    <row r="537" spans="1:18">
      <c r="A537" s="129" t="s">
        <v>261</v>
      </c>
      <c r="B537" s="129" t="s">
        <v>3751</v>
      </c>
      <c r="C537" s="129">
        <v>2011</v>
      </c>
      <c r="D537" s="129" t="s">
        <v>1886</v>
      </c>
      <c r="E537" s="129">
        <v>303</v>
      </c>
      <c r="F537" s="129">
        <v>0</v>
      </c>
      <c r="G537" s="129">
        <v>97</v>
      </c>
      <c r="H537" s="129">
        <v>0</v>
      </c>
      <c r="I537" s="129">
        <v>32</v>
      </c>
      <c r="J537" s="129">
        <v>0</v>
      </c>
      <c r="K537" s="129">
        <v>0</v>
      </c>
      <c r="L537" s="129">
        <f t="shared" si="176"/>
        <v>303</v>
      </c>
      <c r="M537" s="129">
        <f t="shared" si="177"/>
        <v>97</v>
      </c>
      <c r="N537" s="128">
        <f t="shared" si="178"/>
        <v>0.3201</v>
      </c>
      <c r="O537" s="164">
        <f t="shared" si="179"/>
        <v>0</v>
      </c>
      <c r="P537" s="185">
        <f t="shared" si="180"/>
        <v>0</v>
      </c>
      <c r="Q537" s="185">
        <f t="shared" si="181"/>
        <v>0</v>
      </c>
      <c r="R537" s="162" t="b">
        <f t="shared" si="182"/>
        <v>0</v>
      </c>
    </row>
    <row r="538" spans="1:18">
      <c r="A538" s="129" t="s">
        <v>261</v>
      </c>
      <c r="B538" s="129" t="s">
        <v>3751</v>
      </c>
      <c r="C538" s="129">
        <v>2012</v>
      </c>
      <c r="D538" s="129" t="s">
        <v>1888</v>
      </c>
      <c r="E538" s="129">
        <v>408</v>
      </c>
      <c r="F538" s="129">
        <v>0</v>
      </c>
      <c r="G538" s="129">
        <v>120</v>
      </c>
      <c r="H538" s="129">
        <v>0</v>
      </c>
      <c r="I538" s="129">
        <v>29.4</v>
      </c>
      <c r="J538" s="129">
        <v>0</v>
      </c>
      <c r="K538" s="129">
        <v>0</v>
      </c>
      <c r="L538" s="129">
        <f t="shared" si="176"/>
        <v>408</v>
      </c>
      <c r="M538" s="129">
        <f t="shared" si="177"/>
        <v>120</v>
      </c>
      <c r="N538" s="128">
        <f t="shared" si="178"/>
        <v>0.29409999999999997</v>
      </c>
      <c r="O538" s="164">
        <f t="shared" si="179"/>
        <v>0</v>
      </c>
      <c r="P538" s="185">
        <f t="shared" si="180"/>
        <v>0</v>
      </c>
      <c r="Q538" s="185">
        <f t="shared" si="181"/>
        <v>0</v>
      </c>
      <c r="R538" s="162" t="b">
        <f t="shared" si="182"/>
        <v>0</v>
      </c>
    </row>
    <row r="539" spans="1:18">
      <c r="A539" s="129" t="s">
        <v>261</v>
      </c>
      <c r="B539" s="129" t="s">
        <v>3751</v>
      </c>
      <c r="C539" s="129">
        <v>2014</v>
      </c>
      <c r="D539" s="129" t="s">
        <v>1890</v>
      </c>
      <c r="E539" s="129">
        <v>360</v>
      </c>
      <c r="F539" s="129">
        <v>0</v>
      </c>
      <c r="G539" s="129">
        <v>90</v>
      </c>
      <c r="H539" s="129">
        <v>0</v>
      </c>
      <c r="I539" s="129">
        <v>25</v>
      </c>
      <c r="J539" s="129">
        <v>0</v>
      </c>
      <c r="K539" s="129">
        <v>0</v>
      </c>
      <c r="L539" s="129">
        <f t="shared" si="176"/>
        <v>360</v>
      </c>
      <c r="M539" s="129">
        <f t="shared" si="177"/>
        <v>90</v>
      </c>
      <c r="N539" s="128">
        <f t="shared" si="178"/>
        <v>0.25</v>
      </c>
      <c r="O539" s="164">
        <f t="shared" si="179"/>
        <v>0</v>
      </c>
      <c r="P539" s="185">
        <f t="shared" si="180"/>
        <v>0</v>
      </c>
      <c r="Q539" s="185">
        <f t="shared" si="181"/>
        <v>0</v>
      </c>
      <c r="R539" s="162" t="b">
        <f t="shared" si="182"/>
        <v>0</v>
      </c>
    </row>
    <row r="540" spans="1:18">
      <c r="A540" s="129" t="s">
        <v>303</v>
      </c>
      <c r="B540" s="129" t="s">
        <v>3791</v>
      </c>
      <c r="C540" s="129">
        <v>3314</v>
      </c>
      <c r="D540" s="129" t="s">
        <v>2169</v>
      </c>
      <c r="E540" s="129">
        <v>39</v>
      </c>
      <c r="F540" s="129">
        <v>0</v>
      </c>
      <c r="G540" s="129">
        <v>19</v>
      </c>
      <c r="H540" s="129">
        <v>0</v>
      </c>
      <c r="I540" s="129">
        <v>48.7</v>
      </c>
      <c r="J540" s="129">
        <v>0</v>
      </c>
      <c r="K540" s="129">
        <v>1.8</v>
      </c>
      <c r="L540" s="129">
        <f t="shared" si="176"/>
        <v>39</v>
      </c>
      <c r="M540" s="129">
        <f t="shared" si="177"/>
        <v>19</v>
      </c>
      <c r="N540" s="128">
        <f t="shared" si="178"/>
        <v>0.48720000000000002</v>
      </c>
      <c r="O540" s="164">
        <f t="shared" si="179"/>
        <v>1.8</v>
      </c>
      <c r="P540" s="185">
        <f t="shared" si="180"/>
        <v>0</v>
      </c>
      <c r="Q540" s="185">
        <f t="shared" si="181"/>
        <v>1.8</v>
      </c>
      <c r="R540" s="162" t="b">
        <f t="shared" si="182"/>
        <v>0</v>
      </c>
    </row>
    <row r="541" spans="1:18">
      <c r="A541" s="129" t="s">
        <v>303</v>
      </c>
      <c r="B541" s="129" t="s">
        <v>3791</v>
      </c>
      <c r="C541" s="129">
        <v>3316</v>
      </c>
      <c r="D541" s="129" t="s">
        <v>2171</v>
      </c>
      <c r="E541" s="129">
        <v>46</v>
      </c>
      <c r="F541" s="129">
        <v>0</v>
      </c>
      <c r="G541" s="129">
        <v>35</v>
      </c>
      <c r="H541" s="129">
        <v>0</v>
      </c>
      <c r="I541" s="129">
        <v>76.099999999999994</v>
      </c>
      <c r="J541" s="129">
        <v>3.7</v>
      </c>
      <c r="K541" s="129">
        <v>0</v>
      </c>
      <c r="L541" s="129">
        <f t="shared" si="176"/>
        <v>46</v>
      </c>
      <c r="M541" s="129">
        <f t="shared" si="177"/>
        <v>35</v>
      </c>
      <c r="N541" s="128">
        <f t="shared" si="178"/>
        <v>0.76090000000000002</v>
      </c>
      <c r="O541" s="164">
        <f t="shared" si="179"/>
        <v>0</v>
      </c>
      <c r="P541" s="185">
        <f t="shared" si="180"/>
        <v>3.7</v>
      </c>
      <c r="Q541" s="185">
        <f t="shared" si="181"/>
        <v>3.7</v>
      </c>
      <c r="R541" s="162" t="b">
        <f t="shared" si="182"/>
        <v>0</v>
      </c>
    </row>
    <row r="542" spans="1:18">
      <c r="A542" s="129" t="s">
        <v>303</v>
      </c>
      <c r="B542" s="129" t="s">
        <v>3791</v>
      </c>
      <c r="C542" s="129">
        <v>3318</v>
      </c>
      <c r="D542" s="129" t="s">
        <v>2173</v>
      </c>
      <c r="E542" s="129">
        <v>66</v>
      </c>
      <c r="F542" s="129">
        <v>0</v>
      </c>
      <c r="G542" s="129">
        <v>38</v>
      </c>
      <c r="H542" s="129">
        <v>0</v>
      </c>
      <c r="I542" s="129">
        <v>57.6</v>
      </c>
      <c r="J542" s="129">
        <v>4</v>
      </c>
      <c r="K542" s="129">
        <v>0</v>
      </c>
      <c r="L542" s="129">
        <f t="shared" si="176"/>
        <v>66</v>
      </c>
      <c r="M542" s="129">
        <f t="shared" si="177"/>
        <v>38</v>
      </c>
      <c r="N542" s="128">
        <f t="shared" si="178"/>
        <v>0.57579999999999998</v>
      </c>
      <c r="O542" s="164">
        <f t="shared" si="179"/>
        <v>0</v>
      </c>
      <c r="P542" s="185">
        <f t="shared" si="180"/>
        <v>4</v>
      </c>
      <c r="Q542" s="185">
        <f t="shared" si="181"/>
        <v>4</v>
      </c>
      <c r="R542" s="162" t="b">
        <f t="shared" si="182"/>
        <v>0</v>
      </c>
    </row>
    <row r="543" spans="1:18">
      <c r="A543" s="129" t="s">
        <v>368</v>
      </c>
      <c r="B543" s="129" t="s">
        <v>84</v>
      </c>
      <c r="C543" s="129">
        <v>5236</v>
      </c>
      <c r="D543" s="129" t="s">
        <v>1433</v>
      </c>
      <c r="E543" s="129">
        <v>223</v>
      </c>
      <c r="F543" s="129">
        <v>0</v>
      </c>
      <c r="G543" s="129">
        <v>58</v>
      </c>
      <c r="H543" s="129">
        <v>0</v>
      </c>
      <c r="I543" s="129">
        <v>26</v>
      </c>
      <c r="J543" s="129">
        <v>0</v>
      </c>
      <c r="K543" s="129">
        <v>0</v>
      </c>
      <c r="L543" s="129">
        <f t="shared" ref="L543:L552" si="183">SUM(E543:F543)</f>
        <v>223</v>
      </c>
      <c r="M543" s="129">
        <f t="shared" ref="M543:M552" si="184">SUM(G543:H543)</f>
        <v>58</v>
      </c>
      <c r="N543" s="128">
        <f t="shared" ref="N543:N552" si="185">IF(ISERROR(M543/L543),0,M543/L543)</f>
        <v>0.2601</v>
      </c>
      <c r="O543" s="164">
        <f t="shared" ref="O543:O552" si="186">IF(AND((N543-35%)&gt;0,N543&lt;50%),M543*(N543-35%)*0.7,0)</f>
        <v>0</v>
      </c>
      <c r="P543" s="185">
        <f t="shared" ref="P543:P552" si="187">IF(N543&gt;=50%,M543*10.5%,0)</f>
        <v>0</v>
      </c>
      <c r="Q543" s="185">
        <f t="shared" ref="Q543:Q552" si="188">MAX(O543,P543)</f>
        <v>0</v>
      </c>
      <c r="R543" s="162" t="b">
        <f t="shared" si="182"/>
        <v>0</v>
      </c>
    </row>
    <row r="544" spans="1:18">
      <c r="A544" s="129" t="s">
        <v>368</v>
      </c>
      <c r="B544" s="129" t="s">
        <v>84</v>
      </c>
      <c r="C544" s="129">
        <v>5238</v>
      </c>
      <c r="D544" s="129" t="s">
        <v>2589</v>
      </c>
      <c r="E544" s="129">
        <v>161</v>
      </c>
      <c r="F544" s="129">
        <v>0</v>
      </c>
      <c r="G544" s="129">
        <v>34</v>
      </c>
      <c r="H544" s="129">
        <v>0</v>
      </c>
      <c r="I544" s="129">
        <v>21.1</v>
      </c>
      <c r="J544" s="129">
        <v>0</v>
      </c>
      <c r="K544" s="129">
        <v>0</v>
      </c>
      <c r="L544" s="129">
        <f t="shared" si="183"/>
        <v>161</v>
      </c>
      <c r="M544" s="129">
        <f t="shared" si="184"/>
        <v>34</v>
      </c>
      <c r="N544" s="128">
        <f t="shared" si="185"/>
        <v>0.2112</v>
      </c>
      <c r="O544" s="164">
        <f t="shared" si="186"/>
        <v>0</v>
      </c>
      <c r="P544" s="185">
        <f t="shared" si="187"/>
        <v>0</v>
      </c>
      <c r="Q544" s="185">
        <f t="shared" si="188"/>
        <v>0</v>
      </c>
      <c r="R544" s="162" t="b">
        <f t="shared" si="182"/>
        <v>0</v>
      </c>
    </row>
    <row r="545" spans="1:18">
      <c r="A545" s="129" t="s">
        <v>377</v>
      </c>
      <c r="B545" s="129" t="s">
        <v>3854</v>
      </c>
      <c r="C545" s="129">
        <v>5460</v>
      </c>
      <c r="D545" s="129" t="s">
        <v>2629</v>
      </c>
      <c r="E545" s="129">
        <v>105</v>
      </c>
      <c r="F545" s="129">
        <v>0</v>
      </c>
      <c r="G545" s="129">
        <v>65</v>
      </c>
      <c r="H545" s="129">
        <v>0</v>
      </c>
      <c r="I545" s="129">
        <v>61.9</v>
      </c>
      <c r="J545" s="129">
        <v>6.8</v>
      </c>
      <c r="K545" s="129">
        <v>0</v>
      </c>
      <c r="L545" s="129">
        <f t="shared" si="183"/>
        <v>105</v>
      </c>
      <c r="M545" s="129">
        <f t="shared" si="184"/>
        <v>65</v>
      </c>
      <c r="N545" s="128">
        <f t="shared" si="185"/>
        <v>0.61899999999999999</v>
      </c>
      <c r="O545" s="164">
        <f t="shared" si="186"/>
        <v>0</v>
      </c>
      <c r="P545" s="185">
        <f t="shared" si="187"/>
        <v>6.8</v>
      </c>
      <c r="Q545" s="185">
        <f t="shared" si="188"/>
        <v>6.8</v>
      </c>
      <c r="R545" s="162" t="b">
        <f t="shared" si="182"/>
        <v>0</v>
      </c>
    </row>
    <row r="546" spans="1:18">
      <c r="A546" s="129" t="s">
        <v>377</v>
      </c>
      <c r="B546" s="129" t="s">
        <v>3854</v>
      </c>
      <c r="C546" s="129">
        <v>5462</v>
      </c>
      <c r="D546" s="129" t="s">
        <v>2631</v>
      </c>
      <c r="E546" s="129">
        <v>98</v>
      </c>
      <c r="F546" s="129">
        <v>0</v>
      </c>
      <c r="G546" s="129">
        <v>41</v>
      </c>
      <c r="H546" s="129">
        <v>0</v>
      </c>
      <c r="I546" s="129">
        <v>41.8</v>
      </c>
      <c r="J546" s="129">
        <v>0</v>
      </c>
      <c r="K546" s="129">
        <v>2</v>
      </c>
      <c r="L546" s="129">
        <f t="shared" si="183"/>
        <v>98</v>
      </c>
      <c r="M546" s="129">
        <f t="shared" si="184"/>
        <v>41</v>
      </c>
      <c r="N546" s="128">
        <f t="shared" si="185"/>
        <v>0.41839999999999999</v>
      </c>
      <c r="O546" s="164">
        <f t="shared" si="186"/>
        <v>2</v>
      </c>
      <c r="P546" s="185">
        <f t="shared" si="187"/>
        <v>0</v>
      </c>
      <c r="Q546" s="185">
        <f t="shared" si="188"/>
        <v>2</v>
      </c>
      <c r="R546" s="162" t="b">
        <f t="shared" si="182"/>
        <v>0</v>
      </c>
    </row>
    <row r="547" spans="1:18">
      <c r="A547" s="129" t="s">
        <v>440</v>
      </c>
      <c r="B547" s="129" t="s">
        <v>3915</v>
      </c>
      <c r="C547" s="129">
        <v>7492</v>
      </c>
      <c r="D547" s="129" t="s">
        <v>3078</v>
      </c>
      <c r="E547" s="129">
        <v>111</v>
      </c>
      <c r="F547" s="129">
        <v>0</v>
      </c>
      <c r="G547" s="129">
        <v>46</v>
      </c>
      <c r="H547" s="129">
        <v>0</v>
      </c>
      <c r="I547" s="129">
        <v>41.4</v>
      </c>
      <c r="J547" s="129">
        <v>0</v>
      </c>
      <c r="K547" s="129">
        <v>2.1</v>
      </c>
      <c r="L547" s="129">
        <f t="shared" si="183"/>
        <v>111</v>
      </c>
      <c r="M547" s="129">
        <f t="shared" si="184"/>
        <v>46</v>
      </c>
      <c r="N547" s="128">
        <f t="shared" si="185"/>
        <v>0.41439999999999999</v>
      </c>
      <c r="O547" s="164">
        <f t="shared" si="186"/>
        <v>2.1</v>
      </c>
      <c r="P547" s="185">
        <f t="shared" si="187"/>
        <v>0</v>
      </c>
      <c r="Q547" s="185">
        <f t="shared" si="188"/>
        <v>2.1</v>
      </c>
      <c r="R547" s="162" t="b">
        <f t="shared" si="182"/>
        <v>0</v>
      </c>
    </row>
    <row r="548" spans="1:18">
      <c r="A548" s="129" t="s">
        <v>440</v>
      </c>
      <c r="B548" s="129" t="s">
        <v>3915</v>
      </c>
      <c r="C548" s="129">
        <v>7494</v>
      </c>
      <c r="D548" s="129" t="s">
        <v>3080</v>
      </c>
      <c r="E548" s="129">
        <v>164</v>
      </c>
      <c r="F548" s="129">
        <v>0</v>
      </c>
      <c r="G548" s="129">
        <v>55</v>
      </c>
      <c r="H548" s="129">
        <v>0</v>
      </c>
      <c r="I548" s="129">
        <v>33.5</v>
      </c>
      <c r="J548" s="129">
        <v>0</v>
      </c>
      <c r="K548" s="129">
        <v>0</v>
      </c>
      <c r="L548" s="129">
        <f t="shared" si="183"/>
        <v>164</v>
      </c>
      <c r="M548" s="129">
        <f t="shared" si="184"/>
        <v>55</v>
      </c>
      <c r="N548" s="128">
        <f t="shared" si="185"/>
        <v>0.33539999999999998</v>
      </c>
      <c r="O548" s="164">
        <f t="shared" si="186"/>
        <v>0</v>
      </c>
      <c r="P548" s="185">
        <f t="shared" si="187"/>
        <v>0</v>
      </c>
      <c r="Q548" s="185">
        <f t="shared" si="188"/>
        <v>0</v>
      </c>
      <c r="R548" s="162" t="b">
        <f t="shared" si="182"/>
        <v>0</v>
      </c>
    </row>
    <row r="549" spans="1:18">
      <c r="A549" s="129" t="s">
        <v>456</v>
      </c>
      <c r="B549" s="129" t="s">
        <v>3931</v>
      </c>
      <c r="C549" s="129">
        <v>8038</v>
      </c>
      <c r="D549" s="129" t="s">
        <v>3201</v>
      </c>
      <c r="E549" s="129">
        <v>58</v>
      </c>
      <c r="F549" s="129">
        <v>0</v>
      </c>
      <c r="G549" s="129">
        <v>27</v>
      </c>
      <c r="H549" s="129">
        <v>0</v>
      </c>
      <c r="I549" s="129">
        <v>46.6</v>
      </c>
      <c r="J549" s="129">
        <v>0</v>
      </c>
      <c r="K549" s="129">
        <v>2.2000000000000002</v>
      </c>
      <c r="L549" s="129">
        <f t="shared" si="183"/>
        <v>58</v>
      </c>
      <c r="M549" s="129">
        <f t="shared" si="184"/>
        <v>27</v>
      </c>
      <c r="N549" s="128">
        <f t="shared" si="185"/>
        <v>0.46550000000000002</v>
      </c>
      <c r="O549" s="164">
        <f t="shared" si="186"/>
        <v>2.2000000000000002</v>
      </c>
      <c r="P549" s="185">
        <f t="shared" si="187"/>
        <v>0</v>
      </c>
      <c r="Q549" s="185">
        <f t="shared" si="188"/>
        <v>2.2000000000000002</v>
      </c>
      <c r="R549" s="162" t="b">
        <f t="shared" si="182"/>
        <v>0</v>
      </c>
    </row>
    <row r="550" spans="1:18">
      <c r="A550" s="129" t="s">
        <v>456</v>
      </c>
      <c r="B550" s="129" t="s">
        <v>3931</v>
      </c>
      <c r="C550" s="129">
        <v>8046</v>
      </c>
      <c r="D550" s="129" t="s">
        <v>3203</v>
      </c>
      <c r="E550" s="129">
        <v>49</v>
      </c>
      <c r="F550" s="129">
        <v>0</v>
      </c>
      <c r="G550" s="129">
        <v>14</v>
      </c>
      <c r="H550" s="129">
        <v>0</v>
      </c>
      <c r="I550" s="129">
        <v>28.6</v>
      </c>
      <c r="J550" s="129">
        <v>0</v>
      </c>
      <c r="K550" s="129">
        <v>0</v>
      </c>
      <c r="L550" s="129">
        <f t="shared" si="183"/>
        <v>49</v>
      </c>
      <c r="M550" s="129">
        <f t="shared" si="184"/>
        <v>14</v>
      </c>
      <c r="N550" s="128">
        <f t="shared" si="185"/>
        <v>0.28570000000000001</v>
      </c>
      <c r="O550" s="164">
        <f t="shared" si="186"/>
        <v>0</v>
      </c>
      <c r="P550" s="185">
        <f t="shared" si="187"/>
        <v>0</v>
      </c>
      <c r="Q550" s="185">
        <f t="shared" si="188"/>
        <v>0</v>
      </c>
      <c r="R550" s="162" t="b">
        <f t="shared" si="182"/>
        <v>0</v>
      </c>
    </row>
    <row r="551" spans="1:18">
      <c r="A551" s="129" t="s">
        <v>456</v>
      </c>
      <c r="B551" s="129" t="s">
        <v>3931</v>
      </c>
      <c r="C551" s="129">
        <v>8050</v>
      </c>
      <c r="D551" s="129" t="s">
        <v>3205</v>
      </c>
      <c r="E551" s="129">
        <v>65</v>
      </c>
      <c r="F551" s="129">
        <v>0</v>
      </c>
      <c r="G551" s="129">
        <v>38</v>
      </c>
      <c r="H551" s="129">
        <v>0</v>
      </c>
      <c r="I551" s="129">
        <v>58.5</v>
      </c>
      <c r="J551" s="129">
        <v>4</v>
      </c>
      <c r="K551" s="129">
        <v>0</v>
      </c>
      <c r="L551" s="129">
        <f t="shared" si="183"/>
        <v>65</v>
      </c>
      <c r="M551" s="129">
        <f t="shared" si="184"/>
        <v>38</v>
      </c>
      <c r="N551" s="128">
        <f t="shared" si="185"/>
        <v>0.58460000000000001</v>
      </c>
      <c r="O551" s="164">
        <f t="shared" si="186"/>
        <v>0</v>
      </c>
      <c r="P551" s="185">
        <f t="shared" si="187"/>
        <v>4</v>
      </c>
      <c r="Q551" s="185">
        <f t="shared" si="188"/>
        <v>4</v>
      </c>
      <c r="R551" s="162" t="b">
        <f t="shared" si="182"/>
        <v>0</v>
      </c>
    </row>
    <row r="552" spans="1:18">
      <c r="A552" s="129" t="s">
        <v>456</v>
      </c>
      <c r="B552" s="129" t="s">
        <v>3931</v>
      </c>
      <c r="C552" s="129">
        <v>8051</v>
      </c>
      <c r="D552" s="129" t="s">
        <v>3207</v>
      </c>
      <c r="E552" s="129">
        <v>92</v>
      </c>
      <c r="F552" s="129">
        <v>0</v>
      </c>
      <c r="G552" s="129">
        <v>33</v>
      </c>
      <c r="H552" s="129">
        <v>0</v>
      </c>
      <c r="I552" s="129">
        <v>35.9</v>
      </c>
      <c r="J552" s="129">
        <v>0</v>
      </c>
      <c r="K552" s="129">
        <v>0.2</v>
      </c>
      <c r="L552" s="129">
        <f t="shared" si="183"/>
        <v>92</v>
      </c>
      <c r="M552" s="129">
        <f t="shared" si="184"/>
        <v>33</v>
      </c>
      <c r="N552" s="128">
        <f t="shared" si="185"/>
        <v>0.35870000000000002</v>
      </c>
      <c r="O552" s="164">
        <f t="shared" si="186"/>
        <v>0.2</v>
      </c>
      <c r="P552" s="185">
        <f t="shared" si="187"/>
        <v>0</v>
      </c>
      <c r="Q552" s="185">
        <f t="shared" si="188"/>
        <v>0.2</v>
      </c>
      <c r="R552" s="162" t="b">
        <f t="shared" si="182"/>
        <v>0</v>
      </c>
    </row>
    <row r="553" spans="1:18">
      <c r="A553" s="129" t="s">
        <v>221</v>
      </c>
      <c r="B553" s="129" t="s">
        <v>3714</v>
      </c>
      <c r="C553" s="129">
        <v>536</v>
      </c>
      <c r="D553" s="129" t="s">
        <v>1237</v>
      </c>
      <c r="E553" s="129">
        <v>166</v>
      </c>
      <c r="F553" s="129">
        <v>0</v>
      </c>
      <c r="G553" s="129">
        <v>77</v>
      </c>
      <c r="H553" s="129">
        <v>0</v>
      </c>
      <c r="I553" s="129">
        <v>46.4</v>
      </c>
      <c r="J553" s="129">
        <v>0</v>
      </c>
      <c r="K553" s="129">
        <v>6.1</v>
      </c>
      <c r="L553" s="129">
        <f t="shared" ref="L553:L579" si="189">SUM(E553:F553)</f>
        <v>166</v>
      </c>
      <c r="M553" s="129">
        <f t="shared" ref="M553:M579" si="190">SUM(G553:H553)</f>
        <v>77</v>
      </c>
      <c r="N553" s="128">
        <f t="shared" ref="N553:N579" si="191">IF(ISERROR(M553/L553),0,M553/L553)</f>
        <v>0.46389999999999998</v>
      </c>
      <c r="O553" s="164">
        <f t="shared" ref="O553:O579" si="192">IF(AND((N553-35%)&gt;0,N553&lt;50%),M553*(N553-35%)*0.7,0)</f>
        <v>6.1</v>
      </c>
      <c r="P553" s="185">
        <f t="shared" ref="P553:P579" si="193">IF(N553&gt;=50%,M553*10.5%,0)</f>
        <v>0</v>
      </c>
      <c r="Q553" s="185">
        <f t="shared" ref="Q553:Q579" si="194">MAX(O553,P553)</f>
        <v>6.1</v>
      </c>
      <c r="R553" s="162" t="b">
        <f t="shared" si="182"/>
        <v>0</v>
      </c>
    </row>
    <row r="554" spans="1:18">
      <c r="A554" s="129" t="s">
        <v>221</v>
      </c>
      <c r="B554" s="129" t="s">
        <v>3714</v>
      </c>
      <c r="C554" s="129">
        <v>538</v>
      </c>
      <c r="D554" s="129" t="s">
        <v>1239</v>
      </c>
      <c r="E554" s="129">
        <v>73</v>
      </c>
      <c r="F554" s="129">
        <v>0</v>
      </c>
      <c r="G554" s="129">
        <v>37</v>
      </c>
      <c r="H554" s="129">
        <v>0</v>
      </c>
      <c r="I554" s="129">
        <v>50.7</v>
      </c>
      <c r="J554" s="129">
        <v>3.9</v>
      </c>
      <c r="K554" s="129">
        <v>0</v>
      </c>
      <c r="L554" s="129">
        <f t="shared" si="189"/>
        <v>73</v>
      </c>
      <c r="M554" s="129">
        <f t="shared" si="190"/>
        <v>37</v>
      </c>
      <c r="N554" s="128">
        <f t="shared" si="191"/>
        <v>0.50680000000000003</v>
      </c>
      <c r="O554" s="164">
        <f t="shared" si="192"/>
        <v>0</v>
      </c>
      <c r="P554" s="185">
        <f t="shared" si="193"/>
        <v>3.9</v>
      </c>
      <c r="Q554" s="185">
        <f t="shared" si="194"/>
        <v>3.9</v>
      </c>
      <c r="R554" s="162" t="b">
        <f t="shared" si="182"/>
        <v>0</v>
      </c>
    </row>
    <row r="555" spans="1:18">
      <c r="A555" s="129" t="s">
        <v>240</v>
      </c>
      <c r="B555" s="129" t="s">
        <v>3732</v>
      </c>
      <c r="C555" s="129">
        <v>1134</v>
      </c>
      <c r="D555" s="129" t="s">
        <v>1547</v>
      </c>
      <c r="E555" s="129">
        <v>146</v>
      </c>
      <c r="F555" s="129">
        <v>0</v>
      </c>
      <c r="G555" s="129">
        <v>55</v>
      </c>
      <c r="H555" s="129">
        <v>0</v>
      </c>
      <c r="I555" s="129">
        <v>37.700000000000003</v>
      </c>
      <c r="J555" s="129">
        <v>0</v>
      </c>
      <c r="K555" s="129">
        <v>1</v>
      </c>
      <c r="L555" s="129">
        <f t="shared" si="189"/>
        <v>146</v>
      </c>
      <c r="M555" s="129">
        <f t="shared" si="190"/>
        <v>55</v>
      </c>
      <c r="N555" s="128">
        <f t="shared" si="191"/>
        <v>0.37669999999999998</v>
      </c>
      <c r="O555" s="164">
        <f t="shared" si="192"/>
        <v>1</v>
      </c>
      <c r="P555" s="185">
        <f t="shared" si="193"/>
        <v>0</v>
      </c>
      <c r="Q555" s="185">
        <f t="shared" si="194"/>
        <v>1</v>
      </c>
      <c r="R555" s="162" t="b">
        <f t="shared" si="182"/>
        <v>0</v>
      </c>
    </row>
    <row r="556" spans="1:18">
      <c r="A556" s="129" t="s">
        <v>240</v>
      </c>
      <c r="B556" s="129" t="s">
        <v>3732</v>
      </c>
      <c r="C556" s="129">
        <v>1136</v>
      </c>
      <c r="D556" s="129" t="s">
        <v>1549</v>
      </c>
      <c r="E556" s="129">
        <v>107</v>
      </c>
      <c r="F556" s="129">
        <v>0</v>
      </c>
      <c r="G556" s="129">
        <v>32</v>
      </c>
      <c r="H556" s="129">
        <v>0</v>
      </c>
      <c r="I556" s="129">
        <v>29.9</v>
      </c>
      <c r="J556" s="129">
        <v>0</v>
      </c>
      <c r="K556" s="129">
        <v>0</v>
      </c>
      <c r="L556" s="129">
        <f t="shared" si="189"/>
        <v>107</v>
      </c>
      <c r="M556" s="129">
        <f t="shared" si="190"/>
        <v>32</v>
      </c>
      <c r="N556" s="128">
        <f t="shared" si="191"/>
        <v>0.29909999999999998</v>
      </c>
      <c r="O556" s="164">
        <f t="shared" si="192"/>
        <v>0</v>
      </c>
      <c r="P556" s="185">
        <f t="shared" si="193"/>
        <v>0</v>
      </c>
      <c r="Q556" s="185">
        <f t="shared" si="194"/>
        <v>0</v>
      </c>
      <c r="R556" s="162" t="b">
        <f t="shared" si="182"/>
        <v>0</v>
      </c>
    </row>
    <row r="557" spans="1:18">
      <c r="A557" s="129" t="s">
        <v>240</v>
      </c>
      <c r="B557" s="129" t="s">
        <v>3732</v>
      </c>
      <c r="C557" s="129">
        <v>1138</v>
      </c>
      <c r="D557" s="129" t="s">
        <v>1551</v>
      </c>
      <c r="E557" s="129">
        <v>128</v>
      </c>
      <c r="F557" s="129">
        <v>0</v>
      </c>
      <c r="G557" s="129">
        <v>56</v>
      </c>
      <c r="H557" s="129">
        <v>0</v>
      </c>
      <c r="I557" s="129">
        <v>43.8</v>
      </c>
      <c r="J557" s="129">
        <v>0</v>
      </c>
      <c r="K557" s="129">
        <v>3.4</v>
      </c>
      <c r="L557" s="129">
        <f t="shared" si="189"/>
        <v>128</v>
      </c>
      <c r="M557" s="129">
        <f t="shared" si="190"/>
        <v>56</v>
      </c>
      <c r="N557" s="128">
        <f t="shared" si="191"/>
        <v>0.4375</v>
      </c>
      <c r="O557" s="164">
        <f t="shared" si="192"/>
        <v>3.4</v>
      </c>
      <c r="P557" s="185">
        <f t="shared" si="193"/>
        <v>0</v>
      </c>
      <c r="Q557" s="185">
        <f t="shared" si="194"/>
        <v>3.4</v>
      </c>
      <c r="R557" s="162" t="b">
        <f t="shared" si="182"/>
        <v>0</v>
      </c>
    </row>
    <row r="558" spans="1:18">
      <c r="A558" s="129" t="s">
        <v>240</v>
      </c>
      <c r="B558" s="129" t="s">
        <v>3732</v>
      </c>
      <c r="C558" s="129">
        <v>1140</v>
      </c>
      <c r="D558" s="129" t="s">
        <v>1553</v>
      </c>
      <c r="E558" s="129">
        <v>94</v>
      </c>
      <c r="F558" s="129">
        <v>0</v>
      </c>
      <c r="G558" s="129">
        <v>33</v>
      </c>
      <c r="H558" s="129">
        <v>0</v>
      </c>
      <c r="I558" s="129">
        <v>35.1</v>
      </c>
      <c r="J558" s="129">
        <v>0</v>
      </c>
      <c r="K558" s="129">
        <v>0</v>
      </c>
      <c r="L558" s="129">
        <f t="shared" si="189"/>
        <v>94</v>
      </c>
      <c r="M558" s="129">
        <f t="shared" si="190"/>
        <v>33</v>
      </c>
      <c r="N558" s="128">
        <f t="shared" si="191"/>
        <v>0.35110000000000002</v>
      </c>
      <c r="O558" s="164">
        <f t="shared" si="192"/>
        <v>0</v>
      </c>
      <c r="P558" s="185">
        <f t="shared" si="193"/>
        <v>0</v>
      </c>
      <c r="Q558" s="185">
        <f t="shared" si="194"/>
        <v>0</v>
      </c>
      <c r="R558" s="162" t="b">
        <f t="shared" si="182"/>
        <v>0</v>
      </c>
    </row>
    <row r="559" spans="1:18">
      <c r="A559" s="129" t="s">
        <v>241</v>
      </c>
      <c r="B559" s="129" t="s">
        <v>3733</v>
      </c>
      <c r="C559" s="129">
        <v>1154</v>
      </c>
      <c r="D559" s="129" t="s">
        <v>1555</v>
      </c>
      <c r="E559" s="129">
        <v>256</v>
      </c>
      <c r="F559" s="129">
        <v>0</v>
      </c>
      <c r="G559" s="129">
        <v>79</v>
      </c>
      <c r="H559" s="129">
        <v>0</v>
      </c>
      <c r="I559" s="129">
        <v>30.9</v>
      </c>
      <c r="J559" s="129">
        <v>0</v>
      </c>
      <c r="K559" s="129">
        <v>0</v>
      </c>
      <c r="L559" s="129">
        <f t="shared" si="189"/>
        <v>256</v>
      </c>
      <c r="M559" s="129">
        <f t="shared" si="190"/>
        <v>79</v>
      </c>
      <c r="N559" s="128">
        <f t="shared" si="191"/>
        <v>0.30859999999999999</v>
      </c>
      <c r="O559" s="164">
        <f t="shared" si="192"/>
        <v>0</v>
      </c>
      <c r="P559" s="185">
        <f t="shared" si="193"/>
        <v>0</v>
      </c>
      <c r="Q559" s="185">
        <f t="shared" si="194"/>
        <v>0</v>
      </c>
      <c r="R559" s="162" t="b">
        <f t="shared" si="182"/>
        <v>0</v>
      </c>
    </row>
    <row r="560" spans="1:18">
      <c r="A560" s="129" t="s">
        <v>241</v>
      </c>
      <c r="B560" s="129" t="s">
        <v>3733</v>
      </c>
      <c r="C560" s="129">
        <v>1163</v>
      </c>
      <c r="D560" s="129" t="s">
        <v>1557</v>
      </c>
      <c r="E560" s="129">
        <v>298</v>
      </c>
      <c r="F560" s="129">
        <v>0</v>
      </c>
      <c r="G560" s="129">
        <v>116</v>
      </c>
      <c r="H560" s="129">
        <v>0</v>
      </c>
      <c r="I560" s="129">
        <v>38.9</v>
      </c>
      <c r="J560" s="129">
        <v>0</v>
      </c>
      <c r="K560" s="129">
        <v>3.2</v>
      </c>
      <c r="L560" s="129">
        <f t="shared" si="189"/>
        <v>298</v>
      </c>
      <c r="M560" s="129">
        <f t="shared" si="190"/>
        <v>116</v>
      </c>
      <c r="N560" s="128">
        <f t="shared" si="191"/>
        <v>0.38929999999999998</v>
      </c>
      <c r="O560" s="164">
        <f t="shared" si="192"/>
        <v>3.2</v>
      </c>
      <c r="P560" s="185">
        <f t="shared" si="193"/>
        <v>0</v>
      </c>
      <c r="Q560" s="185">
        <f t="shared" si="194"/>
        <v>3.2</v>
      </c>
      <c r="R560" s="162" t="b">
        <f t="shared" si="182"/>
        <v>0</v>
      </c>
    </row>
    <row r="561" spans="1:18">
      <c r="A561" s="129" t="s">
        <v>241</v>
      </c>
      <c r="B561" s="129" t="s">
        <v>3733</v>
      </c>
      <c r="C561" s="129">
        <v>1165</v>
      </c>
      <c r="D561" s="129" t="s">
        <v>1559</v>
      </c>
      <c r="E561" s="129">
        <v>247</v>
      </c>
      <c r="F561" s="129">
        <v>0</v>
      </c>
      <c r="G561" s="129">
        <v>96</v>
      </c>
      <c r="H561" s="129">
        <v>0</v>
      </c>
      <c r="I561" s="129">
        <v>38.9</v>
      </c>
      <c r="J561" s="129">
        <v>0</v>
      </c>
      <c r="K561" s="129">
        <v>2.6</v>
      </c>
      <c r="L561" s="129">
        <f t="shared" si="189"/>
        <v>247</v>
      </c>
      <c r="M561" s="129">
        <f t="shared" si="190"/>
        <v>96</v>
      </c>
      <c r="N561" s="128">
        <f t="shared" si="191"/>
        <v>0.38869999999999999</v>
      </c>
      <c r="O561" s="164">
        <f t="shared" si="192"/>
        <v>2.6</v>
      </c>
      <c r="P561" s="185">
        <f t="shared" si="193"/>
        <v>0</v>
      </c>
      <c r="Q561" s="185">
        <f t="shared" si="194"/>
        <v>2.6</v>
      </c>
      <c r="R561" s="162" t="b">
        <f t="shared" si="182"/>
        <v>0</v>
      </c>
    </row>
    <row r="562" spans="1:18">
      <c r="A562" s="129" t="s">
        <v>283</v>
      </c>
      <c r="B562" s="129" t="s">
        <v>4140</v>
      </c>
      <c r="C562" s="129">
        <v>2666</v>
      </c>
      <c r="D562" s="129" t="s">
        <v>2038</v>
      </c>
      <c r="E562" s="129">
        <v>32</v>
      </c>
      <c r="F562" s="129">
        <v>0</v>
      </c>
      <c r="G562" s="129">
        <v>11</v>
      </c>
      <c r="H562" s="129">
        <v>0</v>
      </c>
      <c r="I562" s="129">
        <v>34.4</v>
      </c>
      <c r="J562" s="129">
        <v>0</v>
      </c>
      <c r="K562" s="129">
        <v>0</v>
      </c>
      <c r="L562" s="129">
        <f t="shared" si="189"/>
        <v>32</v>
      </c>
      <c r="M562" s="129">
        <f t="shared" si="190"/>
        <v>11</v>
      </c>
      <c r="N562" s="128">
        <f t="shared" si="191"/>
        <v>0.34379999999999999</v>
      </c>
      <c r="O562" s="164">
        <f t="shared" si="192"/>
        <v>0</v>
      </c>
      <c r="P562" s="185">
        <f t="shared" si="193"/>
        <v>0</v>
      </c>
      <c r="Q562" s="185">
        <f t="shared" si="194"/>
        <v>0</v>
      </c>
      <c r="R562" s="162" t="b">
        <f t="shared" si="182"/>
        <v>0</v>
      </c>
    </row>
    <row r="563" spans="1:18">
      <c r="A563" s="129" t="s">
        <v>283</v>
      </c>
      <c r="B563" s="129" t="s">
        <v>4140</v>
      </c>
      <c r="C563" s="129">
        <v>2671</v>
      </c>
      <c r="D563" s="129" t="s">
        <v>2040</v>
      </c>
      <c r="E563" s="129">
        <v>22</v>
      </c>
      <c r="F563" s="129">
        <v>0</v>
      </c>
      <c r="G563" s="129">
        <v>8</v>
      </c>
      <c r="H563" s="129">
        <v>0</v>
      </c>
      <c r="I563" s="129">
        <v>36.4</v>
      </c>
      <c r="J563" s="129">
        <v>0</v>
      </c>
      <c r="K563" s="129">
        <v>0.1</v>
      </c>
      <c r="L563" s="129">
        <f t="shared" si="189"/>
        <v>22</v>
      </c>
      <c r="M563" s="129">
        <f t="shared" si="190"/>
        <v>8</v>
      </c>
      <c r="N563" s="128">
        <f t="shared" si="191"/>
        <v>0.36359999999999998</v>
      </c>
      <c r="O563" s="164">
        <f t="shared" si="192"/>
        <v>0.1</v>
      </c>
      <c r="P563" s="185">
        <f t="shared" si="193"/>
        <v>0</v>
      </c>
      <c r="Q563" s="185">
        <f t="shared" si="194"/>
        <v>0.1</v>
      </c>
      <c r="R563" s="162" t="b">
        <f t="shared" si="182"/>
        <v>0</v>
      </c>
    </row>
    <row r="564" spans="1:18">
      <c r="A564" s="129" t="s">
        <v>317</v>
      </c>
      <c r="B564" s="129" t="s">
        <v>3802</v>
      </c>
      <c r="C564" s="129">
        <v>3871</v>
      </c>
      <c r="D564" s="129" t="s">
        <v>2259</v>
      </c>
      <c r="E564" s="129">
        <v>274</v>
      </c>
      <c r="F564" s="129">
        <v>0</v>
      </c>
      <c r="G564" s="129">
        <v>104</v>
      </c>
      <c r="H564" s="129">
        <v>0</v>
      </c>
      <c r="I564" s="129">
        <v>38</v>
      </c>
      <c r="J564" s="129">
        <v>0</v>
      </c>
      <c r="K564" s="129">
        <v>2.2000000000000002</v>
      </c>
      <c r="L564" s="129">
        <f t="shared" si="189"/>
        <v>274</v>
      </c>
      <c r="M564" s="129">
        <f t="shared" si="190"/>
        <v>104</v>
      </c>
      <c r="N564" s="128">
        <f t="shared" si="191"/>
        <v>0.37959999999999999</v>
      </c>
      <c r="O564" s="164">
        <f t="shared" si="192"/>
        <v>2.2000000000000002</v>
      </c>
      <c r="P564" s="185">
        <f t="shared" si="193"/>
        <v>0</v>
      </c>
      <c r="Q564" s="185">
        <f t="shared" si="194"/>
        <v>2.2000000000000002</v>
      </c>
      <c r="R564" s="162" t="b">
        <f t="shared" si="182"/>
        <v>0</v>
      </c>
    </row>
    <row r="565" spans="1:18">
      <c r="A565" s="129" t="s">
        <v>317</v>
      </c>
      <c r="B565" s="129" t="s">
        <v>3802</v>
      </c>
      <c r="C565" s="129">
        <v>3872</v>
      </c>
      <c r="D565" s="129" t="s">
        <v>2261</v>
      </c>
      <c r="E565" s="129">
        <v>221</v>
      </c>
      <c r="F565" s="129">
        <v>0</v>
      </c>
      <c r="G565" s="129">
        <v>92</v>
      </c>
      <c r="H565" s="129">
        <v>0</v>
      </c>
      <c r="I565" s="129">
        <v>41.6</v>
      </c>
      <c r="J565" s="129">
        <v>0</v>
      </c>
      <c r="K565" s="129">
        <v>4.3</v>
      </c>
      <c r="L565" s="129">
        <f t="shared" si="189"/>
        <v>221</v>
      </c>
      <c r="M565" s="129">
        <f t="shared" si="190"/>
        <v>92</v>
      </c>
      <c r="N565" s="128">
        <f t="shared" si="191"/>
        <v>0.4163</v>
      </c>
      <c r="O565" s="164">
        <f t="shared" si="192"/>
        <v>4.3</v>
      </c>
      <c r="P565" s="185">
        <f t="shared" si="193"/>
        <v>0</v>
      </c>
      <c r="Q565" s="185">
        <f t="shared" si="194"/>
        <v>4.3</v>
      </c>
      <c r="R565" s="162" t="b">
        <f t="shared" si="182"/>
        <v>0</v>
      </c>
    </row>
    <row r="566" spans="1:18">
      <c r="A566" s="129" t="s">
        <v>322</v>
      </c>
      <c r="B566" s="129" t="s">
        <v>3807</v>
      </c>
      <c r="C566" s="129">
        <v>3970</v>
      </c>
      <c r="D566" s="129" t="s">
        <v>2281</v>
      </c>
      <c r="E566" s="129">
        <v>255</v>
      </c>
      <c r="F566" s="129">
        <v>0</v>
      </c>
      <c r="G566" s="129">
        <v>56</v>
      </c>
      <c r="H566" s="129">
        <v>0</v>
      </c>
      <c r="I566" s="129">
        <v>22</v>
      </c>
      <c r="J566" s="129">
        <v>0</v>
      </c>
      <c r="K566" s="129">
        <v>0</v>
      </c>
      <c r="L566" s="129">
        <f t="shared" si="189"/>
        <v>255</v>
      </c>
      <c r="M566" s="129">
        <f t="shared" si="190"/>
        <v>56</v>
      </c>
      <c r="N566" s="128">
        <f t="shared" si="191"/>
        <v>0.21959999999999999</v>
      </c>
      <c r="O566" s="164">
        <f t="shared" si="192"/>
        <v>0</v>
      </c>
      <c r="P566" s="185">
        <f t="shared" si="193"/>
        <v>0</v>
      </c>
      <c r="Q566" s="185">
        <f t="shared" si="194"/>
        <v>0</v>
      </c>
      <c r="R566" s="162" t="b">
        <f t="shared" si="182"/>
        <v>0</v>
      </c>
    </row>
    <row r="567" spans="1:18">
      <c r="A567" s="129" t="s">
        <v>322</v>
      </c>
      <c r="B567" s="129" t="s">
        <v>3807</v>
      </c>
      <c r="C567" s="129">
        <v>3972</v>
      </c>
      <c r="D567" s="129" t="s">
        <v>2283</v>
      </c>
      <c r="E567" s="129">
        <v>265</v>
      </c>
      <c r="F567" s="129">
        <v>0</v>
      </c>
      <c r="G567" s="129">
        <v>67</v>
      </c>
      <c r="H567" s="129">
        <v>0</v>
      </c>
      <c r="I567" s="129">
        <v>25.3</v>
      </c>
      <c r="J567" s="129">
        <v>0</v>
      </c>
      <c r="K567" s="129">
        <v>0</v>
      </c>
      <c r="L567" s="129">
        <f t="shared" si="189"/>
        <v>265</v>
      </c>
      <c r="M567" s="129">
        <f t="shared" si="190"/>
        <v>67</v>
      </c>
      <c r="N567" s="128">
        <f t="shared" si="191"/>
        <v>0.25280000000000002</v>
      </c>
      <c r="O567" s="164">
        <f t="shared" si="192"/>
        <v>0</v>
      </c>
      <c r="P567" s="185">
        <f t="shared" si="193"/>
        <v>0</v>
      </c>
      <c r="Q567" s="185">
        <f t="shared" si="194"/>
        <v>0</v>
      </c>
      <c r="R567" s="162" t="b">
        <f t="shared" si="182"/>
        <v>0</v>
      </c>
    </row>
    <row r="568" spans="1:18">
      <c r="A568" s="129" t="s">
        <v>322</v>
      </c>
      <c r="B568" s="129" t="s">
        <v>3807</v>
      </c>
      <c r="C568" s="129">
        <v>3975</v>
      </c>
      <c r="D568" s="129" t="s">
        <v>2285</v>
      </c>
      <c r="E568" s="129">
        <v>326</v>
      </c>
      <c r="F568" s="129">
        <v>0</v>
      </c>
      <c r="G568" s="129">
        <v>89</v>
      </c>
      <c r="H568" s="129">
        <v>0</v>
      </c>
      <c r="I568" s="129">
        <v>27.3</v>
      </c>
      <c r="J568" s="129">
        <v>0</v>
      </c>
      <c r="K568" s="129">
        <v>0</v>
      </c>
      <c r="L568" s="129">
        <f t="shared" si="189"/>
        <v>326</v>
      </c>
      <c r="M568" s="129">
        <f t="shared" si="190"/>
        <v>89</v>
      </c>
      <c r="N568" s="128">
        <f t="shared" si="191"/>
        <v>0.27300000000000002</v>
      </c>
      <c r="O568" s="164">
        <f t="shared" si="192"/>
        <v>0</v>
      </c>
      <c r="P568" s="185">
        <f t="shared" si="193"/>
        <v>0</v>
      </c>
      <c r="Q568" s="185">
        <f t="shared" si="194"/>
        <v>0</v>
      </c>
      <c r="R568" s="162" t="b">
        <f t="shared" si="182"/>
        <v>0</v>
      </c>
    </row>
    <row r="569" spans="1:18">
      <c r="A569" s="129" t="s">
        <v>326</v>
      </c>
      <c r="B569" s="129" t="s">
        <v>3811</v>
      </c>
      <c r="C569" s="129">
        <v>4038</v>
      </c>
      <c r="D569" s="129" t="s">
        <v>2303</v>
      </c>
      <c r="E569" s="129">
        <v>179</v>
      </c>
      <c r="F569" s="129">
        <v>0</v>
      </c>
      <c r="G569" s="129">
        <v>94</v>
      </c>
      <c r="H569" s="129">
        <v>0</v>
      </c>
      <c r="I569" s="129">
        <v>52.5</v>
      </c>
      <c r="J569" s="129">
        <v>9.9</v>
      </c>
      <c r="K569" s="129">
        <v>0</v>
      </c>
      <c r="L569" s="129">
        <f t="shared" si="189"/>
        <v>179</v>
      </c>
      <c r="M569" s="129">
        <f t="shared" si="190"/>
        <v>94</v>
      </c>
      <c r="N569" s="128">
        <f t="shared" si="191"/>
        <v>0.52510000000000001</v>
      </c>
      <c r="O569" s="164">
        <f t="shared" si="192"/>
        <v>0</v>
      </c>
      <c r="P569" s="185">
        <f t="shared" si="193"/>
        <v>9.9</v>
      </c>
      <c r="Q569" s="185">
        <f t="shared" si="194"/>
        <v>9.9</v>
      </c>
      <c r="R569" s="162" t="b">
        <f t="shared" si="182"/>
        <v>0</v>
      </c>
    </row>
    <row r="570" spans="1:18">
      <c r="A570" s="129" t="s">
        <v>326</v>
      </c>
      <c r="B570" s="129" t="s">
        <v>3811</v>
      </c>
      <c r="C570" s="129">
        <v>4040</v>
      </c>
      <c r="D570" s="129" t="s">
        <v>2305</v>
      </c>
      <c r="E570" s="129">
        <v>170</v>
      </c>
      <c r="F570" s="129">
        <v>0</v>
      </c>
      <c r="G570" s="129">
        <v>67</v>
      </c>
      <c r="H570" s="129">
        <v>0</v>
      </c>
      <c r="I570" s="129">
        <v>39.4</v>
      </c>
      <c r="J570" s="129">
        <v>0</v>
      </c>
      <c r="K570" s="129">
        <v>2.1</v>
      </c>
      <c r="L570" s="129">
        <f t="shared" si="189"/>
        <v>170</v>
      </c>
      <c r="M570" s="129">
        <f t="shared" si="190"/>
        <v>67</v>
      </c>
      <c r="N570" s="128">
        <f t="shared" si="191"/>
        <v>0.39410000000000001</v>
      </c>
      <c r="O570" s="164">
        <f t="shared" si="192"/>
        <v>2.1</v>
      </c>
      <c r="P570" s="185">
        <f t="shared" si="193"/>
        <v>0</v>
      </c>
      <c r="Q570" s="185">
        <f t="shared" si="194"/>
        <v>2.1</v>
      </c>
      <c r="R570" s="162" t="b">
        <f t="shared" si="182"/>
        <v>0</v>
      </c>
    </row>
    <row r="571" spans="1:18">
      <c r="A571" s="129" t="s">
        <v>327</v>
      </c>
      <c r="B571" s="129" t="s">
        <v>3812</v>
      </c>
      <c r="C571" s="129">
        <v>4054</v>
      </c>
      <c r="D571" s="129" t="s">
        <v>2307</v>
      </c>
      <c r="E571" s="129">
        <v>544</v>
      </c>
      <c r="F571" s="129">
        <v>0</v>
      </c>
      <c r="G571" s="129">
        <v>326</v>
      </c>
      <c r="H571" s="129">
        <v>0</v>
      </c>
      <c r="I571" s="129">
        <v>59.9</v>
      </c>
      <c r="J571" s="129">
        <v>34.200000000000003</v>
      </c>
      <c r="K571" s="129">
        <v>0</v>
      </c>
      <c r="L571" s="129">
        <f t="shared" si="189"/>
        <v>544</v>
      </c>
      <c r="M571" s="129">
        <f t="shared" si="190"/>
        <v>326</v>
      </c>
      <c r="N571" s="128">
        <f t="shared" si="191"/>
        <v>0.59930000000000005</v>
      </c>
      <c r="O571" s="164">
        <f t="shared" si="192"/>
        <v>0</v>
      </c>
      <c r="P571" s="185">
        <f t="shared" si="193"/>
        <v>34.200000000000003</v>
      </c>
      <c r="Q571" s="185">
        <f t="shared" si="194"/>
        <v>34.200000000000003</v>
      </c>
      <c r="R571" s="162" t="b">
        <f t="shared" si="182"/>
        <v>0</v>
      </c>
    </row>
    <row r="572" spans="1:18">
      <c r="A572" s="129" t="s">
        <v>327</v>
      </c>
      <c r="B572" s="129" t="s">
        <v>3812</v>
      </c>
      <c r="C572" s="129">
        <v>4055</v>
      </c>
      <c r="D572" s="129" t="s">
        <v>2309</v>
      </c>
      <c r="E572" s="129">
        <v>299</v>
      </c>
      <c r="F572" s="129">
        <v>0</v>
      </c>
      <c r="G572" s="129">
        <v>94</v>
      </c>
      <c r="H572" s="129">
        <v>0</v>
      </c>
      <c r="I572" s="129">
        <v>31.4</v>
      </c>
      <c r="J572" s="129">
        <v>0</v>
      </c>
      <c r="K572" s="129">
        <v>0</v>
      </c>
      <c r="L572" s="129">
        <f t="shared" si="189"/>
        <v>299</v>
      </c>
      <c r="M572" s="129">
        <f t="shared" si="190"/>
        <v>94</v>
      </c>
      <c r="N572" s="128">
        <f t="shared" si="191"/>
        <v>0.31440000000000001</v>
      </c>
      <c r="O572" s="164">
        <f t="shared" si="192"/>
        <v>0</v>
      </c>
      <c r="P572" s="185">
        <f t="shared" si="193"/>
        <v>0</v>
      </c>
      <c r="Q572" s="185">
        <f t="shared" si="194"/>
        <v>0</v>
      </c>
      <c r="R572" s="162" t="b">
        <f t="shared" si="182"/>
        <v>0</v>
      </c>
    </row>
    <row r="573" spans="1:18">
      <c r="A573" s="129" t="s">
        <v>327</v>
      </c>
      <c r="B573" s="129" t="s">
        <v>3812</v>
      </c>
      <c r="C573" s="129">
        <v>4058</v>
      </c>
      <c r="D573" s="129" t="s">
        <v>2311</v>
      </c>
      <c r="E573" s="129">
        <v>313</v>
      </c>
      <c r="F573" s="129">
        <v>0</v>
      </c>
      <c r="G573" s="129">
        <v>63</v>
      </c>
      <c r="H573" s="129">
        <v>0</v>
      </c>
      <c r="I573" s="129">
        <v>20.100000000000001</v>
      </c>
      <c r="J573" s="129">
        <v>0</v>
      </c>
      <c r="K573" s="129">
        <v>0</v>
      </c>
      <c r="L573" s="129">
        <f t="shared" si="189"/>
        <v>313</v>
      </c>
      <c r="M573" s="129">
        <f t="shared" si="190"/>
        <v>63</v>
      </c>
      <c r="N573" s="128">
        <f t="shared" si="191"/>
        <v>0.20130000000000001</v>
      </c>
      <c r="O573" s="164">
        <f t="shared" si="192"/>
        <v>0</v>
      </c>
      <c r="P573" s="185">
        <f t="shared" si="193"/>
        <v>0</v>
      </c>
      <c r="Q573" s="185">
        <f t="shared" si="194"/>
        <v>0</v>
      </c>
      <c r="R573" s="162" t="b">
        <f t="shared" si="182"/>
        <v>0</v>
      </c>
    </row>
    <row r="574" spans="1:18">
      <c r="A574" s="129" t="s">
        <v>327</v>
      </c>
      <c r="B574" s="129" t="s">
        <v>3812</v>
      </c>
      <c r="C574" s="129">
        <v>4069</v>
      </c>
      <c r="D574" s="129" t="s">
        <v>2313</v>
      </c>
      <c r="E574" s="129">
        <v>418</v>
      </c>
      <c r="F574" s="129">
        <v>0</v>
      </c>
      <c r="G574" s="129">
        <v>151</v>
      </c>
      <c r="H574" s="129">
        <v>0</v>
      </c>
      <c r="I574" s="129">
        <v>36.1</v>
      </c>
      <c r="J574" s="129">
        <v>0</v>
      </c>
      <c r="K574" s="129">
        <v>1.2</v>
      </c>
      <c r="L574" s="129">
        <f t="shared" si="189"/>
        <v>418</v>
      </c>
      <c r="M574" s="129">
        <f t="shared" si="190"/>
        <v>151</v>
      </c>
      <c r="N574" s="128">
        <f t="shared" si="191"/>
        <v>0.36120000000000002</v>
      </c>
      <c r="O574" s="164">
        <f t="shared" si="192"/>
        <v>1.2</v>
      </c>
      <c r="P574" s="185">
        <f t="shared" si="193"/>
        <v>0</v>
      </c>
      <c r="Q574" s="185">
        <f t="shared" si="194"/>
        <v>1.2</v>
      </c>
      <c r="R574" s="162" t="b">
        <f t="shared" si="182"/>
        <v>0</v>
      </c>
    </row>
    <row r="575" spans="1:18">
      <c r="A575" s="129" t="s">
        <v>327</v>
      </c>
      <c r="B575" s="129" t="s">
        <v>3812</v>
      </c>
      <c r="C575" s="129">
        <v>4072</v>
      </c>
      <c r="D575" s="129" t="s">
        <v>2315</v>
      </c>
      <c r="E575" s="129">
        <v>437</v>
      </c>
      <c r="F575" s="129">
        <v>0</v>
      </c>
      <c r="G575" s="129">
        <v>107</v>
      </c>
      <c r="H575" s="129">
        <v>0</v>
      </c>
      <c r="I575" s="129">
        <v>24.5</v>
      </c>
      <c r="J575" s="129">
        <v>0</v>
      </c>
      <c r="K575" s="129">
        <v>0</v>
      </c>
      <c r="L575" s="129">
        <f t="shared" si="189"/>
        <v>437</v>
      </c>
      <c r="M575" s="129">
        <f t="shared" si="190"/>
        <v>107</v>
      </c>
      <c r="N575" s="128">
        <f t="shared" si="191"/>
        <v>0.24490000000000001</v>
      </c>
      <c r="O575" s="164">
        <f t="shared" si="192"/>
        <v>0</v>
      </c>
      <c r="P575" s="185">
        <f t="shared" si="193"/>
        <v>0</v>
      </c>
      <c r="Q575" s="185">
        <f t="shared" si="194"/>
        <v>0</v>
      </c>
      <c r="R575" s="162" t="b">
        <f t="shared" si="182"/>
        <v>0</v>
      </c>
    </row>
    <row r="576" spans="1:18">
      <c r="A576" s="129" t="s">
        <v>327</v>
      </c>
      <c r="B576" s="129" t="s">
        <v>3812</v>
      </c>
      <c r="C576" s="129">
        <v>4075</v>
      </c>
      <c r="D576" s="129" t="s">
        <v>2317</v>
      </c>
      <c r="E576" s="129">
        <v>555</v>
      </c>
      <c r="F576" s="129">
        <v>0</v>
      </c>
      <c r="G576" s="129">
        <v>183</v>
      </c>
      <c r="H576" s="129">
        <v>0</v>
      </c>
      <c r="I576" s="129">
        <v>33</v>
      </c>
      <c r="J576" s="129">
        <v>0</v>
      </c>
      <c r="K576" s="129">
        <v>0</v>
      </c>
      <c r="L576" s="129">
        <f t="shared" si="189"/>
        <v>555</v>
      </c>
      <c r="M576" s="129">
        <f t="shared" si="190"/>
        <v>183</v>
      </c>
      <c r="N576" s="128">
        <f t="shared" si="191"/>
        <v>0.32969999999999999</v>
      </c>
      <c r="O576" s="164">
        <f t="shared" si="192"/>
        <v>0</v>
      </c>
      <c r="P576" s="185">
        <f t="shared" si="193"/>
        <v>0</v>
      </c>
      <c r="Q576" s="185">
        <f t="shared" si="194"/>
        <v>0</v>
      </c>
      <c r="R576" s="162" t="b">
        <f t="shared" si="182"/>
        <v>0</v>
      </c>
    </row>
    <row r="577" spans="1:18">
      <c r="A577" s="129" t="s">
        <v>327</v>
      </c>
      <c r="B577" s="129" t="s">
        <v>3812</v>
      </c>
      <c r="C577" s="129">
        <v>4076</v>
      </c>
      <c r="D577" s="129" t="s">
        <v>2319</v>
      </c>
      <c r="E577" s="129">
        <v>1156</v>
      </c>
      <c r="F577" s="129">
        <v>0</v>
      </c>
      <c r="G577" s="129">
        <v>307</v>
      </c>
      <c r="H577" s="129">
        <v>0</v>
      </c>
      <c r="I577" s="129">
        <v>26.6</v>
      </c>
      <c r="J577" s="129">
        <v>0</v>
      </c>
      <c r="K577" s="129">
        <v>0</v>
      </c>
      <c r="L577" s="129">
        <f t="shared" si="189"/>
        <v>1156</v>
      </c>
      <c r="M577" s="129">
        <f t="shared" si="190"/>
        <v>307</v>
      </c>
      <c r="N577" s="128">
        <f t="shared" si="191"/>
        <v>0.2656</v>
      </c>
      <c r="O577" s="164">
        <f t="shared" si="192"/>
        <v>0</v>
      </c>
      <c r="P577" s="185">
        <f t="shared" si="193"/>
        <v>0</v>
      </c>
      <c r="Q577" s="185">
        <f t="shared" si="194"/>
        <v>0</v>
      </c>
      <c r="R577" s="162" t="b">
        <f t="shared" si="182"/>
        <v>0</v>
      </c>
    </row>
    <row r="578" spans="1:18">
      <c r="A578" s="129" t="s">
        <v>328</v>
      </c>
      <c r="B578" s="129" t="s">
        <v>3813</v>
      </c>
      <c r="C578" s="129">
        <v>4092</v>
      </c>
      <c r="D578" s="129" t="s">
        <v>2321</v>
      </c>
      <c r="E578" s="129">
        <v>336</v>
      </c>
      <c r="F578" s="129">
        <v>0</v>
      </c>
      <c r="G578" s="129">
        <v>192</v>
      </c>
      <c r="H578" s="129">
        <v>0</v>
      </c>
      <c r="I578" s="129">
        <v>57.1</v>
      </c>
      <c r="J578" s="129">
        <v>20.2</v>
      </c>
      <c r="K578" s="129">
        <v>0</v>
      </c>
      <c r="L578" s="129">
        <f t="shared" si="189"/>
        <v>336</v>
      </c>
      <c r="M578" s="129">
        <f t="shared" si="190"/>
        <v>192</v>
      </c>
      <c r="N578" s="128">
        <f t="shared" si="191"/>
        <v>0.57140000000000002</v>
      </c>
      <c r="O578" s="164">
        <f t="shared" si="192"/>
        <v>0</v>
      </c>
      <c r="P578" s="185">
        <f t="shared" si="193"/>
        <v>20.2</v>
      </c>
      <c r="Q578" s="185">
        <f t="shared" si="194"/>
        <v>20.2</v>
      </c>
      <c r="R578" s="162" t="b">
        <f t="shared" si="182"/>
        <v>0</v>
      </c>
    </row>
    <row r="579" spans="1:18">
      <c r="A579" s="129" t="s">
        <v>328</v>
      </c>
      <c r="B579" s="129" t="s">
        <v>3813</v>
      </c>
      <c r="C579" s="129">
        <v>4094</v>
      </c>
      <c r="D579" s="129" t="s">
        <v>2323</v>
      </c>
      <c r="E579" s="129">
        <v>246</v>
      </c>
      <c r="F579" s="129">
        <v>0</v>
      </c>
      <c r="G579" s="129">
        <v>104</v>
      </c>
      <c r="H579" s="129">
        <v>0</v>
      </c>
      <c r="I579" s="129">
        <v>42.3</v>
      </c>
      <c r="J579" s="129">
        <v>0</v>
      </c>
      <c r="K579" s="129">
        <v>5.3</v>
      </c>
      <c r="L579" s="129">
        <f t="shared" si="189"/>
        <v>246</v>
      </c>
      <c r="M579" s="129">
        <f t="shared" si="190"/>
        <v>104</v>
      </c>
      <c r="N579" s="128">
        <f t="shared" si="191"/>
        <v>0.42280000000000001</v>
      </c>
      <c r="O579" s="164">
        <f t="shared" si="192"/>
        <v>5.3</v>
      </c>
      <c r="P579" s="185">
        <f t="shared" si="193"/>
        <v>0</v>
      </c>
      <c r="Q579" s="185">
        <f t="shared" si="194"/>
        <v>5.3</v>
      </c>
      <c r="R579" s="162" t="b">
        <f t="shared" si="182"/>
        <v>0</v>
      </c>
    </row>
    <row r="580" spans="1:18">
      <c r="A580" s="129" t="s">
        <v>357</v>
      </c>
      <c r="B580" s="129" t="s">
        <v>4143</v>
      </c>
      <c r="C580" s="129">
        <v>4889</v>
      </c>
      <c r="D580" s="129" t="s">
        <v>2497</v>
      </c>
      <c r="E580" s="129">
        <v>249</v>
      </c>
      <c r="F580" s="129">
        <v>0</v>
      </c>
      <c r="G580" s="129">
        <v>113</v>
      </c>
      <c r="H580" s="129">
        <v>0</v>
      </c>
      <c r="I580" s="129">
        <v>45.4</v>
      </c>
      <c r="J580" s="129">
        <v>0</v>
      </c>
      <c r="K580" s="129">
        <v>8.1999999999999993</v>
      </c>
      <c r="L580" s="129">
        <f t="shared" ref="L580:L618" si="195">SUM(E580:F580)</f>
        <v>249</v>
      </c>
      <c r="M580" s="129">
        <f t="shared" ref="M580:M618" si="196">SUM(G580:H580)</f>
        <v>113</v>
      </c>
      <c r="N580" s="128">
        <f t="shared" ref="N580:N618" si="197">IF(ISERROR(M580/L580),0,M580/L580)</f>
        <v>0.45379999999999998</v>
      </c>
      <c r="O580" s="164">
        <f t="shared" ref="O580:O618" si="198">IF(AND((N580-35%)&gt;0,N580&lt;50%),M580*(N580-35%)*0.7,0)</f>
        <v>8.1999999999999993</v>
      </c>
      <c r="P580" s="185">
        <f t="shared" ref="P580:P618" si="199">IF(N580&gt;=50%,M580*10.5%,0)</f>
        <v>0</v>
      </c>
      <c r="Q580" s="185">
        <f t="shared" ref="Q580:Q618" si="200">MAX(O580,P580)</f>
        <v>8.1999999999999993</v>
      </c>
      <c r="R580" s="162" t="b">
        <f t="shared" si="182"/>
        <v>0</v>
      </c>
    </row>
    <row r="581" spans="1:18">
      <c r="A581" s="129" t="s">
        <v>357</v>
      </c>
      <c r="B581" s="129" t="s">
        <v>4143</v>
      </c>
      <c r="C581" s="129">
        <v>4891</v>
      </c>
      <c r="D581" s="129" t="s">
        <v>2499</v>
      </c>
      <c r="E581" s="129">
        <v>254</v>
      </c>
      <c r="F581" s="129">
        <v>0</v>
      </c>
      <c r="G581" s="129">
        <v>95</v>
      </c>
      <c r="H581" s="129">
        <v>0</v>
      </c>
      <c r="I581" s="129">
        <v>37.4</v>
      </c>
      <c r="J581" s="129">
        <v>0</v>
      </c>
      <c r="K581" s="129">
        <v>1.6</v>
      </c>
      <c r="L581" s="129">
        <f t="shared" si="195"/>
        <v>254</v>
      </c>
      <c r="M581" s="129">
        <f t="shared" si="196"/>
        <v>95</v>
      </c>
      <c r="N581" s="128">
        <f t="shared" si="197"/>
        <v>0.374</v>
      </c>
      <c r="O581" s="164">
        <f t="shared" si="198"/>
        <v>1.6</v>
      </c>
      <c r="P581" s="185">
        <f t="shared" si="199"/>
        <v>0</v>
      </c>
      <c r="Q581" s="185">
        <f t="shared" si="200"/>
        <v>1.6</v>
      </c>
      <c r="R581" s="162" t="b">
        <f t="shared" ref="R581:R644" si="201">COUNTIF(C:C,C581)&gt;1</f>
        <v>0</v>
      </c>
    </row>
    <row r="582" spans="1:18">
      <c r="A582" s="129" t="s">
        <v>387</v>
      </c>
      <c r="B582" s="129" t="s">
        <v>77</v>
      </c>
      <c r="C582" s="129">
        <v>5761</v>
      </c>
      <c r="D582" s="129" t="s">
        <v>2687</v>
      </c>
      <c r="E582" s="129">
        <v>694</v>
      </c>
      <c r="F582" s="129">
        <v>0</v>
      </c>
      <c r="G582" s="129">
        <v>422</v>
      </c>
      <c r="H582" s="129">
        <v>0</v>
      </c>
      <c r="I582" s="129">
        <v>60.8</v>
      </c>
      <c r="J582" s="129">
        <v>44.3</v>
      </c>
      <c r="K582" s="129">
        <v>0</v>
      </c>
      <c r="L582" s="129">
        <f t="shared" si="195"/>
        <v>694</v>
      </c>
      <c r="M582" s="129">
        <f t="shared" si="196"/>
        <v>422</v>
      </c>
      <c r="N582" s="128">
        <f t="shared" si="197"/>
        <v>0.60809999999999997</v>
      </c>
      <c r="O582" s="164">
        <f t="shared" si="198"/>
        <v>0</v>
      </c>
      <c r="P582" s="185">
        <f t="shared" si="199"/>
        <v>44.3</v>
      </c>
      <c r="Q582" s="185">
        <f t="shared" si="200"/>
        <v>44.3</v>
      </c>
      <c r="R582" s="162" t="b">
        <f t="shared" si="201"/>
        <v>0</v>
      </c>
    </row>
    <row r="583" spans="1:18">
      <c r="A583" s="129" t="s">
        <v>387</v>
      </c>
      <c r="B583" s="129" t="s">
        <v>77</v>
      </c>
      <c r="C583" s="129">
        <v>5770</v>
      </c>
      <c r="D583" s="129" t="s">
        <v>4144</v>
      </c>
      <c r="E583" s="129">
        <v>434</v>
      </c>
      <c r="F583" s="129">
        <v>0</v>
      </c>
      <c r="G583" s="129">
        <v>215</v>
      </c>
      <c r="H583" s="129">
        <v>0</v>
      </c>
      <c r="I583" s="129">
        <v>49.5</v>
      </c>
      <c r="J583" s="129">
        <v>0</v>
      </c>
      <c r="K583" s="129">
        <v>21.9</v>
      </c>
      <c r="L583" s="129">
        <f t="shared" si="195"/>
        <v>434</v>
      </c>
      <c r="M583" s="129">
        <f t="shared" si="196"/>
        <v>215</v>
      </c>
      <c r="N583" s="128">
        <f t="shared" si="197"/>
        <v>0.49540000000000001</v>
      </c>
      <c r="O583" s="164">
        <f t="shared" si="198"/>
        <v>21.9</v>
      </c>
      <c r="P583" s="185">
        <f t="shared" si="199"/>
        <v>0</v>
      </c>
      <c r="Q583" s="185">
        <f t="shared" si="200"/>
        <v>21.9</v>
      </c>
      <c r="R583" s="162" t="b">
        <f t="shared" si="201"/>
        <v>0</v>
      </c>
    </row>
    <row r="584" spans="1:18">
      <c r="A584" s="129" t="s">
        <v>387</v>
      </c>
      <c r="B584" s="129" t="s">
        <v>77</v>
      </c>
      <c r="C584" s="129">
        <v>5775</v>
      </c>
      <c r="D584" s="129" t="s">
        <v>2691</v>
      </c>
      <c r="E584" s="129">
        <v>47</v>
      </c>
      <c r="F584" s="129">
        <v>0</v>
      </c>
      <c r="G584" s="129">
        <v>36</v>
      </c>
      <c r="H584" s="129">
        <v>0</v>
      </c>
      <c r="I584" s="129">
        <v>76.599999999999994</v>
      </c>
      <c r="J584" s="129">
        <v>3.8</v>
      </c>
      <c r="K584" s="129">
        <v>0</v>
      </c>
      <c r="L584" s="129">
        <f t="shared" si="195"/>
        <v>47</v>
      </c>
      <c r="M584" s="129">
        <f t="shared" si="196"/>
        <v>36</v>
      </c>
      <c r="N584" s="128">
        <f t="shared" si="197"/>
        <v>0.76600000000000001</v>
      </c>
      <c r="O584" s="164">
        <f t="shared" si="198"/>
        <v>0</v>
      </c>
      <c r="P584" s="185">
        <f t="shared" si="199"/>
        <v>3.8</v>
      </c>
      <c r="Q584" s="185">
        <f t="shared" si="200"/>
        <v>3.8</v>
      </c>
      <c r="R584" s="162" t="b">
        <f t="shared" si="201"/>
        <v>0</v>
      </c>
    </row>
    <row r="585" spans="1:18">
      <c r="A585" s="129" t="s">
        <v>387</v>
      </c>
      <c r="B585" s="129" t="s">
        <v>77</v>
      </c>
      <c r="C585" s="129">
        <v>5776</v>
      </c>
      <c r="D585" s="129" t="s">
        <v>2693</v>
      </c>
      <c r="E585" s="129">
        <v>295</v>
      </c>
      <c r="F585" s="129">
        <v>0</v>
      </c>
      <c r="G585" s="129">
        <v>167</v>
      </c>
      <c r="H585" s="129">
        <v>0</v>
      </c>
      <c r="I585" s="129">
        <v>56.6</v>
      </c>
      <c r="J585" s="129">
        <v>17.5</v>
      </c>
      <c r="K585" s="129">
        <v>0</v>
      </c>
      <c r="L585" s="129">
        <f t="shared" si="195"/>
        <v>295</v>
      </c>
      <c r="M585" s="129">
        <f t="shared" si="196"/>
        <v>167</v>
      </c>
      <c r="N585" s="128">
        <f t="shared" si="197"/>
        <v>0.56610000000000005</v>
      </c>
      <c r="O585" s="164">
        <f t="shared" si="198"/>
        <v>0</v>
      </c>
      <c r="P585" s="185">
        <f t="shared" si="199"/>
        <v>17.5</v>
      </c>
      <c r="Q585" s="185">
        <f t="shared" si="200"/>
        <v>17.5</v>
      </c>
      <c r="R585" s="162" t="b">
        <f t="shared" si="201"/>
        <v>0</v>
      </c>
    </row>
    <row r="586" spans="1:18">
      <c r="A586" s="129" t="s">
        <v>390</v>
      </c>
      <c r="B586" s="129" t="s">
        <v>4145</v>
      </c>
      <c r="C586" s="129">
        <v>5852</v>
      </c>
      <c r="D586" s="129" t="s">
        <v>2703</v>
      </c>
      <c r="E586" s="129">
        <v>229</v>
      </c>
      <c r="F586" s="129">
        <v>0</v>
      </c>
      <c r="G586" s="129">
        <v>66</v>
      </c>
      <c r="H586" s="129">
        <v>0</v>
      </c>
      <c r="I586" s="129">
        <v>28.8</v>
      </c>
      <c r="J586" s="129">
        <v>0</v>
      </c>
      <c r="K586" s="129">
        <v>0</v>
      </c>
      <c r="L586" s="129">
        <f t="shared" si="195"/>
        <v>229</v>
      </c>
      <c r="M586" s="129">
        <f t="shared" si="196"/>
        <v>66</v>
      </c>
      <c r="N586" s="128">
        <f t="shared" si="197"/>
        <v>0.28820000000000001</v>
      </c>
      <c r="O586" s="164">
        <f t="shared" si="198"/>
        <v>0</v>
      </c>
      <c r="P586" s="185">
        <f t="shared" si="199"/>
        <v>0</v>
      </c>
      <c r="Q586" s="185">
        <f t="shared" si="200"/>
        <v>0</v>
      </c>
      <c r="R586" s="162" t="b">
        <f t="shared" si="201"/>
        <v>0</v>
      </c>
    </row>
    <row r="587" spans="1:18">
      <c r="A587" s="129" t="s">
        <v>390</v>
      </c>
      <c r="B587" s="129" t="s">
        <v>4145</v>
      </c>
      <c r="C587" s="129">
        <v>5854</v>
      </c>
      <c r="D587" s="129" t="s">
        <v>2705</v>
      </c>
      <c r="E587" s="129">
        <v>182</v>
      </c>
      <c r="F587" s="129">
        <v>0</v>
      </c>
      <c r="G587" s="129">
        <v>38</v>
      </c>
      <c r="H587" s="129">
        <v>0</v>
      </c>
      <c r="I587" s="129">
        <v>20.9</v>
      </c>
      <c r="J587" s="129">
        <v>0</v>
      </c>
      <c r="K587" s="129">
        <v>0</v>
      </c>
      <c r="L587" s="129">
        <f t="shared" si="195"/>
        <v>182</v>
      </c>
      <c r="M587" s="129">
        <f t="shared" si="196"/>
        <v>38</v>
      </c>
      <c r="N587" s="128">
        <f t="shared" si="197"/>
        <v>0.20880000000000001</v>
      </c>
      <c r="O587" s="164">
        <f t="shared" si="198"/>
        <v>0</v>
      </c>
      <c r="P587" s="185">
        <f t="shared" si="199"/>
        <v>0</v>
      </c>
      <c r="Q587" s="185">
        <f t="shared" si="200"/>
        <v>0</v>
      </c>
      <c r="R587" s="162" t="b">
        <f t="shared" si="201"/>
        <v>0</v>
      </c>
    </row>
    <row r="588" spans="1:18">
      <c r="A588" s="129" t="s">
        <v>397</v>
      </c>
      <c r="B588" s="129" t="s">
        <v>3873</v>
      </c>
      <c r="C588" s="129">
        <v>6088</v>
      </c>
      <c r="D588" s="129" t="s">
        <v>2747</v>
      </c>
      <c r="E588" s="129">
        <v>326</v>
      </c>
      <c r="F588" s="129">
        <v>0</v>
      </c>
      <c r="G588" s="129">
        <v>181</v>
      </c>
      <c r="H588" s="129">
        <v>0</v>
      </c>
      <c r="I588" s="129">
        <v>55.5</v>
      </c>
      <c r="J588" s="129">
        <v>19</v>
      </c>
      <c r="K588" s="129">
        <v>0</v>
      </c>
      <c r="L588" s="129">
        <f t="shared" si="195"/>
        <v>326</v>
      </c>
      <c r="M588" s="129">
        <f t="shared" si="196"/>
        <v>181</v>
      </c>
      <c r="N588" s="128">
        <f t="shared" si="197"/>
        <v>0.55520000000000003</v>
      </c>
      <c r="O588" s="164">
        <f t="shared" si="198"/>
        <v>0</v>
      </c>
      <c r="P588" s="185">
        <f t="shared" si="199"/>
        <v>19</v>
      </c>
      <c r="Q588" s="185">
        <f t="shared" si="200"/>
        <v>19</v>
      </c>
      <c r="R588" s="162" t="b">
        <f t="shared" si="201"/>
        <v>0</v>
      </c>
    </row>
    <row r="589" spans="1:18">
      <c r="A589" s="129" t="s">
        <v>397</v>
      </c>
      <c r="B589" s="129" t="s">
        <v>3873</v>
      </c>
      <c r="C589" s="129">
        <v>6090</v>
      </c>
      <c r="D589" s="129" t="s">
        <v>2749</v>
      </c>
      <c r="E589" s="129">
        <v>214</v>
      </c>
      <c r="F589" s="129">
        <v>0</v>
      </c>
      <c r="G589" s="129">
        <v>84</v>
      </c>
      <c r="H589" s="129">
        <v>0</v>
      </c>
      <c r="I589" s="129">
        <v>39.299999999999997</v>
      </c>
      <c r="J589" s="129">
        <v>0</v>
      </c>
      <c r="K589" s="129">
        <v>2.5</v>
      </c>
      <c r="L589" s="129">
        <f t="shared" si="195"/>
        <v>214</v>
      </c>
      <c r="M589" s="129">
        <f t="shared" si="196"/>
        <v>84</v>
      </c>
      <c r="N589" s="128">
        <f t="shared" si="197"/>
        <v>0.39250000000000002</v>
      </c>
      <c r="O589" s="164">
        <f t="shared" si="198"/>
        <v>2.5</v>
      </c>
      <c r="P589" s="185">
        <f t="shared" si="199"/>
        <v>0</v>
      </c>
      <c r="Q589" s="185">
        <f t="shared" si="200"/>
        <v>2.5</v>
      </c>
      <c r="R589" s="162" t="b">
        <f t="shared" si="201"/>
        <v>0</v>
      </c>
    </row>
    <row r="590" spans="1:18">
      <c r="A590" s="129" t="s">
        <v>397</v>
      </c>
      <c r="B590" s="129" t="s">
        <v>3873</v>
      </c>
      <c r="C590" s="129">
        <v>6091</v>
      </c>
      <c r="D590" s="129" t="s">
        <v>2751</v>
      </c>
      <c r="E590" s="129">
        <v>146</v>
      </c>
      <c r="F590" s="129">
        <v>0</v>
      </c>
      <c r="G590" s="129">
        <v>65</v>
      </c>
      <c r="H590" s="129">
        <v>0</v>
      </c>
      <c r="I590" s="129">
        <v>44.5</v>
      </c>
      <c r="J590" s="129">
        <v>0</v>
      </c>
      <c r="K590" s="129">
        <v>4.3</v>
      </c>
      <c r="L590" s="129">
        <f t="shared" si="195"/>
        <v>146</v>
      </c>
      <c r="M590" s="129">
        <f t="shared" si="196"/>
        <v>65</v>
      </c>
      <c r="N590" s="128">
        <f t="shared" si="197"/>
        <v>0.44519999999999998</v>
      </c>
      <c r="O590" s="164">
        <f t="shared" si="198"/>
        <v>4.3</v>
      </c>
      <c r="P590" s="185">
        <f t="shared" si="199"/>
        <v>0</v>
      </c>
      <c r="Q590" s="185">
        <f t="shared" si="200"/>
        <v>4.3</v>
      </c>
      <c r="R590" s="162" t="b">
        <f t="shared" si="201"/>
        <v>0</v>
      </c>
    </row>
    <row r="591" spans="1:18">
      <c r="A591" s="129" t="s">
        <v>408</v>
      </c>
      <c r="B591" s="129" t="s">
        <v>3884</v>
      </c>
      <c r="C591" s="129">
        <v>6464</v>
      </c>
      <c r="D591" s="129" t="s">
        <v>2812</v>
      </c>
      <c r="E591" s="129">
        <v>233</v>
      </c>
      <c r="F591" s="129">
        <v>0</v>
      </c>
      <c r="G591" s="129">
        <v>100</v>
      </c>
      <c r="H591" s="129">
        <v>0</v>
      </c>
      <c r="I591" s="129">
        <v>42.9</v>
      </c>
      <c r="J591" s="129">
        <v>0</v>
      </c>
      <c r="K591" s="129">
        <v>5.5</v>
      </c>
      <c r="L591" s="129">
        <f t="shared" si="195"/>
        <v>233</v>
      </c>
      <c r="M591" s="129">
        <f t="shared" si="196"/>
        <v>100</v>
      </c>
      <c r="N591" s="128">
        <f t="shared" si="197"/>
        <v>0.42920000000000003</v>
      </c>
      <c r="O591" s="164">
        <f t="shared" si="198"/>
        <v>5.5</v>
      </c>
      <c r="P591" s="185">
        <f t="shared" si="199"/>
        <v>0</v>
      </c>
      <c r="Q591" s="185">
        <f t="shared" si="200"/>
        <v>5.5</v>
      </c>
      <c r="R591" s="162" t="b">
        <f t="shared" si="201"/>
        <v>0</v>
      </c>
    </row>
    <row r="592" spans="1:18">
      <c r="A592" s="129" t="s">
        <v>408</v>
      </c>
      <c r="B592" s="129" t="s">
        <v>3884</v>
      </c>
      <c r="C592" s="129">
        <v>6466</v>
      </c>
      <c r="D592" s="129" t="s">
        <v>2356</v>
      </c>
      <c r="E592" s="129">
        <v>228</v>
      </c>
      <c r="F592" s="129">
        <v>0</v>
      </c>
      <c r="G592" s="129">
        <v>89</v>
      </c>
      <c r="H592" s="129">
        <v>0</v>
      </c>
      <c r="I592" s="129">
        <v>39</v>
      </c>
      <c r="J592" s="129">
        <v>0</v>
      </c>
      <c r="K592" s="129">
        <v>2.5</v>
      </c>
      <c r="L592" s="129">
        <f t="shared" si="195"/>
        <v>228</v>
      </c>
      <c r="M592" s="129">
        <f t="shared" si="196"/>
        <v>89</v>
      </c>
      <c r="N592" s="128">
        <f t="shared" si="197"/>
        <v>0.39040000000000002</v>
      </c>
      <c r="O592" s="164">
        <f t="shared" si="198"/>
        <v>2.5</v>
      </c>
      <c r="P592" s="185">
        <f t="shared" si="199"/>
        <v>0</v>
      </c>
      <c r="Q592" s="185">
        <f t="shared" si="200"/>
        <v>2.5</v>
      </c>
      <c r="R592" s="162" t="b">
        <f t="shared" si="201"/>
        <v>0</v>
      </c>
    </row>
    <row r="593" spans="1:18">
      <c r="A593" s="129" t="s">
        <v>408</v>
      </c>
      <c r="B593" s="129" t="s">
        <v>3884</v>
      </c>
      <c r="C593" s="129">
        <v>6470</v>
      </c>
      <c r="D593" s="129" t="s">
        <v>2815</v>
      </c>
      <c r="E593" s="129">
        <v>205</v>
      </c>
      <c r="F593" s="129">
        <v>0</v>
      </c>
      <c r="G593" s="129">
        <v>81</v>
      </c>
      <c r="H593" s="129">
        <v>0</v>
      </c>
      <c r="I593" s="129">
        <v>39.5</v>
      </c>
      <c r="J593" s="129">
        <v>0</v>
      </c>
      <c r="K593" s="129">
        <v>2.6</v>
      </c>
      <c r="L593" s="129">
        <f t="shared" si="195"/>
        <v>205</v>
      </c>
      <c r="M593" s="129">
        <f t="shared" si="196"/>
        <v>81</v>
      </c>
      <c r="N593" s="128">
        <f t="shared" si="197"/>
        <v>0.39510000000000001</v>
      </c>
      <c r="O593" s="164">
        <f t="shared" si="198"/>
        <v>2.6</v>
      </c>
      <c r="P593" s="185">
        <f t="shared" si="199"/>
        <v>0</v>
      </c>
      <c r="Q593" s="185">
        <f t="shared" si="200"/>
        <v>2.6</v>
      </c>
      <c r="R593" s="162" t="b">
        <f t="shared" si="201"/>
        <v>0</v>
      </c>
    </row>
    <row r="594" spans="1:18">
      <c r="A594" s="129" t="s">
        <v>408</v>
      </c>
      <c r="B594" s="129" t="s">
        <v>3884</v>
      </c>
      <c r="C594" s="129">
        <v>6472</v>
      </c>
      <c r="D594" s="129" t="s">
        <v>4058</v>
      </c>
      <c r="E594" s="129">
        <v>1</v>
      </c>
      <c r="F594" s="129">
        <v>0</v>
      </c>
      <c r="H594" s="129">
        <v>0</v>
      </c>
      <c r="J594" s="129">
        <v>0</v>
      </c>
      <c r="K594" s="129">
        <v>0</v>
      </c>
      <c r="L594" s="129">
        <f t="shared" si="195"/>
        <v>1</v>
      </c>
      <c r="M594" s="129">
        <f t="shared" si="196"/>
        <v>0</v>
      </c>
      <c r="N594" s="128">
        <f t="shared" si="197"/>
        <v>0</v>
      </c>
      <c r="O594" s="164">
        <f t="shared" si="198"/>
        <v>0</v>
      </c>
      <c r="P594" s="185">
        <f t="shared" si="199"/>
        <v>0</v>
      </c>
      <c r="Q594" s="185">
        <f t="shared" si="200"/>
        <v>0</v>
      </c>
      <c r="R594" s="162" t="b">
        <f t="shared" si="201"/>
        <v>0</v>
      </c>
    </row>
    <row r="595" spans="1:18">
      <c r="A595" s="129" t="s">
        <v>408</v>
      </c>
      <c r="B595" s="129" t="s">
        <v>3884</v>
      </c>
      <c r="C595" s="129">
        <v>6475</v>
      </c>
      <c r="D595" s="129" t="s">
        <v>2817</v>
      </c>
      <c r="E595" s="129">
        <v>331</v>
      </c>
      <c r="F595" s="129">
        <v>0</v>
      </c>
      <c r="G595" s="129">
        <v>151</v>
      </c>
      <c r="H595" s="129">
        <v>0</v>
      </c>
      <c r="I595" s="129">
        <v>45.6</v>
      </c>
      <c r="J595" s="129">
        <v>0</v>
      </c>
      <c r="K595" s="129">
        <v>11.2</v>
      </c>
      <c r="L595" s="129">
        <f t="shared" si="195"/>
        <v>331</v>
      </c>
      <c r="M595" s="129">
        <f t="shared" si="196"/>
        <v>151</v>
      </c>
      <c r="N595" s="128">
        <f t="shared" si="197"/>
        <v>0.45619999999999999</v>
      </c>
      <c r="O595" s="164">
        <f t="shared" si="198"/>
        <v>11.2</v>
      </c>
      <c r="P595" s="185">
        <f t="shared" si="199"/>
        <v>0</v>
      </c>
      <c r="Q595" s="185">
        <f t="shared" si="200"/>
        <v>11.2</v>
      </c>
      <c r="R595" s="162" t="b">
        <f t="shared" si="201"/>
        <v>0</v>
      </c>
    </row>
    <row r="596" spans="1:18">
      <c r="A596" s="129" t="s">
        <v>408</v>
      </c>
      <c r="B596" s="129" t="s">
        <v>3884</v>
      </c>
      <c r="C596" s="129">
        <v>6476</v>
      </c>
      <c r="D596" s="129" t="s">
        <v>2819</v>
      </c>
      <c r="E596" s="129">
        <v>457</v>
      </c>
      <c r="F596" s="129">
        <v>0</v>
      </c>
      <c r="G596" s="129">
        <v>148</v>
      </c>
      <c r="H596" s="129">
        <v>0</v>
      </c>
      <c r="I596" s="129">
        <v>32.4</v>
      </c>
      <c r="J596" s="129">
        <v>0</v>
      </c>
      <c r="K596" s="129">
        <v>0</v>
      </c>
      <c r="L596" s="129">
        <f t="shared" si="195"/>
        <v>457</v>
      </c>
      <c r="M596" s="129">
        <f t="shared" si="196"/>
        <v>148</v>
      </c>
      <c r="N596" s="128">
        <f t="shared" si="197"/>
        <v>0.32390000000000002</v>
      </c>
      <c r="O596" s="164">
        <f t="shared" si="198"/>
        <v>0</v>
      </c>
      <c r="P596" s="185">
        <f t="shared" si="199"/>
        <v>0</v>
      </c>
      <c r="Q596" s="185">
        <f t="shared" si="200"/>
        <v>0</v>
      </c>
      <c r="R596" s="162" t="b">
        <f t="shared" si="201"/>
        <v>0</v>
      </c>
    </row>
    <row r="597" spans="1:18">
      <c r="A597" s="129" t="s">
        <v>430</v>
      </c>
      <c r="B597" s="129" t="s">
        <v>3905</v>
      </c>
      <c r="C597" s="129">
        <v>7226</v>
      </c>
      <c r="D597" s="129" t="s">
        <v>3010</v>
      </c>
      <c r="E597" s="129">
        <v>234</v>
      </c>
      <c r="F597" s="129">
        <v>0</v>
      </c>
      <c r="G597" s="129">
        <v>118</v>
      </c>
      <c r="H597" s="129">
        <v>0</v>
      </c>
      <c r="I597" s="129">
        <v>50.4</v>
      </c>
      <c r="J597" s="129">
        <v>12.4</v>
      </c>
      <c r="K597" s="129">
        <v>0</v>
      </c>
      <c r="L597" s="129">
        <f t="shared" si="195"/>
        <v>234</v>
      </c>
      <c r="M597" s="129">
        <f t="shared" si="196"/>
        <v>118</v>
      </c>
      <c r="N597" s="128">
        <f t="shared" si="197"/>
        <v>0.50429999999999997</v>
      </c>
      <c r="O597" s="164">
        <f t="shared" si="198"/>
        <v>0</v>
      </c>
      <c r="P597" s="185">
        <f t="shared" si="199"/>
        <v>12.4</v>
      </c>
      <c r="Q597" s="185">
        <f t="shared" si="200"/>
        <v>12.4</v>
      </c>
      <c r="R597" s="162" t="b">
        <f t="shared" si="201"/>
        <v>0</v>
      </c>
    </row>
    <row r="598" spans="1:18">
      <c r="A598" s="129" t="s">
        <v>430</v>
      </c>
      <c r="B598" s="129" t="s">
        <v>3905</v>
      </c>
      <c r="C598" s="129">
        <v>7228</v>
      </c>
      <c r="D598" s="129" t="s">
        <v>3012</v>
      </c>
      <c r="E598" s="129">
        <v>176</v>
      </c>
      <c r="F598" s="129">
        <v>0</v>
      </c>
      <c r="G598" s="129">
        <v>91</v>
      </c>
      <c r="H598" s="129">
        <v>0</v>
      </c>
      <c r="I598" s="129">
        <v>51.7</v>
      </c>
      <c r="J598" s="129">
        <v>9.6</v>
      </c>
      <c r="K598" s="129">
        <v>0</v>
      </c>
      <c r="L598" s="129">
        <f t="shared" si="195"/>
        <v>176</v>
      </c>
      <c r="M598" s="129">
        <f t="shared" si="196"/>
        <v>91</v>
      </c>
      <c r="N598" s="128">
        <f t="shared" si="197"/>
        <v>0.51700000000000002</v>
      </c>
      <c r="O598" s="164">
        <f t="shared" si="198"/>
        <v>0</v>
      </c>
      <c r="P598" s="185">
        <f t="shared" si="199"/>
        <v>9.6</v>
      </c>
      <c r="Q598" s="185">
        <f t="shared" si="200"/>
        <v>9.6</v>
      </c>
      <c r="R598" s="162" t="b">
        <f t="shared" si="201"/>
        <v>0</v>
      </c>
    </row>
    <row r="599" spans="1:18">
      <c r="A599" s="129" t="s">
        <v>430</v>
      </c>
      <c r="B599" s="129" t="s">
        <v>3905</v>
      </c>
      <c r="C599" s="129">
        <v>7232</v>
      </c>
      <c r="D599" s="129" t="s">
        <v>3014</v>
      </c>
      <c r="E599" s="129">
        <v>346</v>
      </c>
      <c r="F599" s="129">
        <v>0</v>
      </c>
      <c r="G599" s="129">
        <v>137</v>
      </c>
      <c r="H599" s="129">
        <v>0</v>
      </c>
      <c r="I599" s="129">
        <v>39.6</v>
      </c>
      <c r="J599" s="129">
        <v>0</v>
      </c>
      <c r="K599" s="129">
        <v>4.4000000000000004</v>
      </c>
      <c r="L599" s="129">
        <f t="shared" si="195"/>
        <v>346</v>
      </c>
      <c r="M599" s="129">
        <f t="shared" si="196"/>
        <v>137</v>
      </c>
      <c r="N599" s="128">
        <f t="shared" si="197"/>
        <v>0.39600000000000002</v>
      </c>
      <c r="O599" s="164">
        <f t="shared" si="198"/>
        <v>4.4000000000000004</v>
      </c>
      <c r="P599" s="185">
        <f t="shared" si="199"/>
        <v>0</v>
      </c>
      <c r="Q599" s="185">
        <f t="shared" si="200"/>
        <v>4.4000000000000004</v>
      </c>
      <c r="R599" s="162" t="b">
        <f t="shared" si="201"/>
        <v>0</v>
      </c>
    </row>
    <row r="600" spans="1:18">
      <c r="A600" s="129" t="s">
        <v>431</v>
      </c>
      <c r="B600" s="129" t="s">
        <v>3906</v>
      </c>
      <c r="C600" s="129">
        <v>7246</v>
      </c>
      <c r="D600" s="129" t="s">
        <v>1417</v>
      </c>
      <c r="E600" s="129">
        <v>140</v>
      </c>
      <c r="F600" s="129">
        <v>0</v>
      </c>
      <c r="G600" s="129">
        <v>75</v>
      </c>
      <c r="H600" s="129">
        <v>0</v>
      </c>
      <c r="I600" s="129">
        <v>53.6</v>
      </c>
      <c r="J600" s="129">
        <v>7.9</v>
      </c>
      <c r="K600" s="129">
        <v>0</v>
      </c>
      <c r="L600" s="129">
        <f t="shared" si="195"/>
        <v>140</v>
      </c>
      <c r="M600" s="129">
        <f t="shared" si="196"/>
        <v>75</v>
      </c>
      <c r="N600" s="128">
        <f t="shared" si="197"/>
        <v>0.53569999999999995</v>
      </c>
      <c r="O600" s="164">
        <f t="shared" si="198"/>
        <v>0</v>
      </c>
      <c r="P600" s="185">
        <f t="shared" si="199"/>
        <v>7.9</v>
      </c>
      <c r="Q600" s="185">
        <f t="shared" si="200"/>
        <v>7.9</v>
      </c>
      <c r="R600" s="162" t="b">
        <f t="shared" si="201"/>
        <v>0</v>
      </c>
    </row>
    <row r="601" spans="1:18">
      <c r="A601" s="129" t="s">
        <v>431</v>
      </c>
      <c r="B601" s="129" t="s">
        <v>3906</v>
      </c>
      <c r="C601" s="129">
        <v>7254</v>
      </c>
      <c r="D601" s="129" t="s">
        <v>3017</v>
      </c>
      <c r="E601" s="129">
        <v>135</v>
      </c>
      <c r="F601" s="129">
        <v>0</v>
      </c>
      <c r="G601" s="129">
        <v>64</v>
      </c>
      <c r="H601" s="129">
        <v>0</v>
      </c>
      <c r="I601" s="129">
        <v>47.4</v>
      </c>
      <c r="J601" s="129">
        <v>0</v>
      </c>
      <c r="K601" s="129">
        <v>5.6</v>
      </c>
      <c r="L601" s="129">
        <f t="shared" si="195"/>
        <v>135</v>
      </c>
      <c r="M601" s="129">
        <f t="shared" si="196"/>
        <v>64</v>
      </c>
      <c r="N601" s="128">
        <f t="shared" si="197"/>
        <v>0.47410000000000002</v>
      </c>
      <c r="O601" s="164">
        <f t="shared" si="198"/>
        <v>5.6</v>
      </c>
      <c r="P601" s="185">
        <f t="shared" si="199"/>
        <v>0</v>
      </c>
      <c r="Q601" s="185">
        <f t="shared" si="200"/>
        <v>5.6</v>
      </c>
      <c r="R601" s="162" t="b">
        <f t="shared" si="201"/>
        <v>0</v>
      </c>
    </row>
    <row r="602" spans="1:18">
      <c r="A602" s="129" t="s">
        <v>441</v>
      </c>
      <c r="B602" s="129" t="s">
        <v>3916</v>
      </c>
      <c r="C602" s="129">
        <v>7534</v>
      </c>
      <c r="D602" s="129" t="s">
        <v>3082</v>
      </c>
      <c r="E602" s="129">
        <v>64</v>
      </c>
      <c r="F602" s="129">
        <v>0</v>
      </c>
      <c r="G602" s="129">
        <v>15</v>
      </c>
      <c r="H602" s="129">
        <v>0</v>
      </c>
      <c r="I602" s="129">
        <v>23.4</v>
      </c>
      <c r="J602" s="129">
        <v>0</v>
      </c>
      <c r="K602" s="129">
        <v>0</v>
      </c>
      <c r="L602" s="129">
        <f t="shared" si="195"/>
        <v>64</v>
      </c>
      <c r="M602" s="129">
        <f t="shared" si="196"/>
        <v>15</v>
      </c>
      <c r="N602" s="128">
        <f t="shared" si="197"/>
        <v>0.2344</v>
      </c>
      <c r="O602" s="164">
        <f t="shared" si="198"/>
        <v>0</v>
      </c>
      <c r="P602" s="185">
        <f t="shared" si="199"/>
        <v>0</v>
      </c>
      <c r="Q602" s="185">
        <f t="shared" si="200"/>
        <v>0</v>
      </c>
      <c r="R602" s="162" t="b">
        <f t="shared" si="201"/>
        <v>0</v>
      </c>
    </row>
    <row r="603" spans="1:18">
      <c r="A603" s="129" t="s">
        <v>441</v>
      </c>
      <c r="B603" s="129" t="s">
        <v>3916</v>
      </c>
      <c r="C603" s="129">
        <v>7540</v>
      </c>
      <c r="D603" s="129" t="s">
        <v>3084</v>
      </c>
      <c r="E603" s="129">
        <v>279</v>
      </c>
      <c r="F603" s="129">
        <v>0</v>
      </c>
      <c r="G603" s="129">
        <v>84</v>
      </c>
      <c r="H603" s="129">
        <v>0</v>
      </c>
      <c r="I603" s="129">
        <v>30.1</v>
      </c>
      <c r="J603" s="129">
        <v>0</v>
      </c>
      <c r="K603" s="129">
        <v>0</v>
      </c>
      <c r="L603" s="129">
        <f t="shared" si="195"/>
        <v>279</v>
      </c>
      <c r="M603" s="129">
        <f t="shared" si="196"/>
        <v>84</v>
      </c>
      <c r="N603" s="128">
        <f t="shared" si="197"/>
        <v>0.30109999999999998</v>
      </c>
      <c r="O603" s="164">
        <f t="shared" si="198"/>
        <v>0</v>
      </c>
      <c r="P603" s="185">
        <f t="shared" si="199"/>
        <v>0</v>
      </c>
      <c r="Q603" s="185">
        <f t="shared" si="200"/>
        <v>0</v>
      </c>
      <c r="R603" s="162" t="b">
        <f t="shared" si="201"/>
        <v>0</v>
      </c>
    </row>
    <row r="604" spans="1:18">
      <c r="A604" s="129" t="s">
        <v>441</v>
      </c>
      <c r="B604" s="129" t="s">
        <v>3916</v>
      </c>
      <c r="C604" s="129">
        <v>7541</v>
      </c>
      <c r="D604" s="129" t="s">
        <v>3086</v>
      </c>
      <c r="E604" s="129">
        <v>264</v>
      </c>
      <c r="F604" s="129">
        <v>0</v>
      </c>
      <c r="G604" s="129">
        <v>86</v>
      </c>
      <c r="H604" s="129">
        <v>0</v>
      </c>
      <c r="I604" s="129">
        <v>32.6</v>
      </c>
      <c r="J604" s="129">
        <v>0</v>
      </c>
      <c r="K604" s="129">
        <v>0</v>
      </c>
      <c r="L604" s="129">
        <f t="shared" si="195"/>
        <v>264</v>
      </c>
      <c r="M604" s="129">
        <f t="shared" si="196"/>
        <v>86</v>
      </c>
      <c r="N604" s="128">
        <f t="shared" si="197"/>
        <v>0.32579999999999998</v>
      </c>
      <c r="O604" s="164">
        <f t="shared" si="198"/>
        <v>0</v>
      </c>
      <c r="P604" s="185">
        <f t="shared" si="199"/>
        <v>0</v>
      </c>
      <c r="Q604" s="185">
        <f t="shared" si="200"/>
        <v>0</v>
      </c>
      <c r="R604" s="162" t="b">
        <f t="shared" si="201"/>
        <v>0</v>
      </c>
    </row>
    <row r="605" spans="1:18">
      <c r="A605" s="129" t="s">
        <v>441</v>
      </c>
      <c r="B605" s="129" t="s">
        <v>3916</v>
      </c>
      <c r="C605" s="129">
        <v>7542</v>
      </c>
      <c r="D605" s="129" t="s">
        <v>3088</v>
      </c>
      <c r="E605" s="129">
        <v>364</v>
      </c>
      <c r="F605" s="129">
        <v>0</v>
      </c>
      <c r="G605" s="129">
        <v>115</v>
      </c>
      <c r="H605" s="129">
        <v>0</v>
      </c>
      <c r="I605" s="129">
        <v>31.6</v>
      </c>
      <c r="J605" s="129">
        <v>0</v>
      </c>
      <c r="K605" s="129">
        <v>0</v>
      </c>
      <c r="L605" s="129">
        <f t="shared" si="195"/>
        <v>364</v>
      </c>
      <c r="M605" s="129">
        <f t="shared" si="196"/>
        <v>115</v>
      </c>
      <c r="N605" s="128">
        <f t="shared" si="197"/>
        <v>0.31590000000000001</v>
      </c>
      <c r="O605" s="164">
        <f t="shared" si="198"/>
        <v>0</v>
      </c>
      <c r="P605" s="185">
        <f t="shared" si="199"/>
        <v>0</v>
      </c>
      <c r="Q605" s="185">
        <f t="shared" si="200"/>
        <v>0</v>
      </c>
      <c r="R605" s="162" t="b">
        <f t="shared" si="201"/>
        <v>0</v>
      </c>
    </row>
    <row r="606" spans="1:18">
      <c r="A606" s="129" t="s">
        <v>441</v>
      </c>
      <c r="B606" s="129" t="s">
        <v>3916</v>
      </c>
      <c r="C606" s="129">
        <v>7546</v>
      </c>
      <c r="D606" s="129" t="s">
        <v>1691</v>
      </c>
      <c r="E606" s="129">
        <v>85</v>
      </c>
      <c r="F606" s="129">
        <v>0</v>
      </c>
      <c r="G606" s="129">
        <v>49</v>
      </c>
      <c r="H606" s="129">
        <v>0</v>
      </c>
      <c r="I606" s="129">
        <v>57.7</v>
      </c>
      <c r="J606" s="129">
        <v>5.0999999999999996</v>
      </c>
      <c r="K606" s="129">
        <v>0</v>
      </c>
      <c r="L606" s="129">
        <f t="shared" si="195"/>
        <v>85</v>
      </c>
      <c r="M606" s="129">
        <f t="shared" si="196"/>
        <v>49</v>
      </c>
      <c r="N606" s="128">
        <f t="shared" si="197"/>
        <v>0.57650000000000001</v>
      </c>
      <c r="O606" s="164">
        <f t="shared" si="198"/>
        <v>0</v>
      </c>
      <c r="P606" s="185">
        <f t="shared" si="199"/>
        <v>5.0999999999999996</v>
      </c>
      <c r="Q606" s="185">
        <f t="shared" si="200"/>
        <v>5.0999999999999996</v>
      </c>
      <c r="R606" s="162" t="b">
        <f t="shared" si="201"/>
        <v>0</v>
      </c>
    </row>
    <row r="607" spans="1:18">
      <c r="A607" s="129" t="s">
        <v>441</v>
      </c>
      <c r="B607" s="129" t="s">
        <v>3916</v>
      </c>
      <c r="C607" s="129">
        <v>7552</v>
      </c>
      <c r="D607" s="129" t="s">
        <v>3091</v>
      </c>
      <c r="E607" s="129">
        <v>51</v>
      </c>
      <c r="F607" s="129">
        <v>0</v>
      </c>
      <c r="G607" s="129">
        <v>16</v>
      </c>
      <c r="H607" s="129">
        <v>0</v>
      </c>
      <c r="I607" s="129">
        <v>31.4</v>
      </c>
      <c r="J607" s="129">
        <v>0</v>
      </c>
      <c r="K607" s="129">
        <v>0</v>
      </c>
      <c r="L607" s="129">
        <f t="shared" si="195"/>
        <v>51</v>
      </c>
      <c r="M607" s="129">
        <f t="shared" si="196"/>
        <v>16</v>
      </c>
      <c r="N607" s="128">
        <f t="shared" si="197"/>
        <v>0.31369999999999998</v>
      </c>
      <c r="O607" s="164">
        <f t="shared" si="198"/>
        <v>0</v>
      </c>
      <c r="P607" s="185">
        <f t="shared" si="199"/>
        <v>0</v>
      </c>
      <c r="Q607" s="185">
        <f t="shared" si="200"/>
        <v>0</v>
      </c>
      <c r="R607" s="162" t="b">
        <f t="shared" si="201"/>
        <v>0</v>
      </c>
    </row>
    <row r="608" spans="1:18">
      <c r="A608" s="129" t="s">
        <v>447</v>
      </c>
      <c r="B608" s="129" t="s">
        <v>3922</v>
      </c>
      <c r="C608" s="129">
        <v>7715</v>
      </c>
      <c r="D608" s="129" t="s">
        <v>2089</v>
      </c>
      <c r="E608" s="129">
        <v>514</v>
      </c>
      <c r="F608" s="129">
        <v>0</v>
      </c>
      <c r="G608" s="129">
        <v>395</v>
      </c>
      <c r="H608" s="129">
        <v>0</v>
      </c>
      <c r="I608" s="129">
        <v>76.900000000000006</v>
      </c>
      <c r="J608" s="129">
        <v>41.5</v>
      </c>
      <c r="K608" s="129">
        <v>0</v>
      </c>
      <c r="L608" s="129">
        <f t="shared" si="195"/>
        <v>514</v>
      </c>
      <c r="M608" s="129">
        <f t="shared" si="196"/>
        <v>395</v>
      </c>
      <c r="N608" s="128">
        <f t="shared" si="197"/>
        <v>0.76849999999999996</v>
      </c>
      <c r="O608" s="164">
        <f t="shared" si="198"/>
        <v>0</v>
      </c>
      <c r="P608" s="185">
        <f t="shared" si="199"/>
        <v>41.5</v>
      </c>
      <c r="Q608" s="185">
        <f t="shared" si="200"/>
        <v>41.5</v>
      </c>
      <c r="R608" s="162" t="b">
        <f t="shared" si="201"/>
        <v>0</v>
      </c>
    </row>
    <row r="609" spans="1:18">
      <c r="A609" s="129" t="s">
        <v>447</v>
      </c>
      <c r="B609" s="129" t="s">
        <v>3922</v>
      </c>
      <c r="C609" s="129">
        <v>7718</v>
      </c>
      <c r="D609" s="129" t="s">
        <v>3135</v>
      </c>
      <c r="E609" s="129">
        <v>377</v>
      </c>
      <c r="F609" s="129">
        <v>0</v>
      </c>
      <c r="G609" s="129">
        <v>247</v>
      </c>
      <c r="H609" s="129">
        <v>0</v>
      </c>
      <c r="I609" s="129">
        <v>65.5</v>
      </c>
      <c r="J609" s="129">
        <v>25.9</v>
      </c>
      <c r="K609" s="129">
        <v>0</v>
      </c>
      <c r="L609" s="129">
        <f t="shared" si="195"/>
        <v>377</v>
      </c>
      <c r="M609" s="129">
        <f t="shared" si="196"/>
        <v>247</v>
      </c>
      <c r="N609" s="128">
        <f t="shared" si="197"/>
        <v>0.6552</v>
      </c>
      <c r="O609" s="164">
        <f t="shared" si="198"/>
        <v>0</v>
      </c>
      <c r="P609" s="185">
        <f t="shared" si="199"/>
        <v>25.9</v>
      </c>
      <c r="Q609" s="185">
        <f t="shared" si="200"/>
        <v>25.9</v>
      </c>
      <c r="R609" s="162" t="b">
        <f t="shared" si="201"/>
        <v>0</v>
      </c>
    </row>
    <row r="610" spans="1:18">
      <c r="A610" s="129" t="s">
        <v>447</v>
      </c>
      <c r="B610" s="129" t="s">
        <v>3922</v>
      </c>
      <c r="C610" s="129">
        <v>7725</v>
      </c>
      <c r="D610" s="129" t="s">
        <v>2036</v>
      </c>
      <c r="E610" s="129">
        <v>553</v>
      </c>
      <c r="F610" s="129">
        <v>0</v>
      </c>
      <c r="G610" s="129">
        <v>427</v>
      </c>
      <c r="H610" s="129">
        <v>0</v>
      </c>
      <c r="I610" s="129">
        <v>77.2</v>
      </c>
      <c r="J610" s="129">
        <v>44.8</v>
      </c>
      <c r="K610" s="129">
        <v>0</v>
      </c>
      <c r="L610" s="129">
        <f t="shared" si="195"/>
        <v>553</v>
      </c>
      <c r="M610" s="129">
        <f t="shared" si="196"/>
        <v>427</v>
      </c>
      <c r="N610" s="128">
        <f t="shared" si="197"/>
        <v>0.7722</v>
      </c>
      <c r="O610" s="164">
        <f t="shared" si="198"/>
        <v>0</v>
      </c>
      <c r="P610" s="185">
        <f t="shared" si="199"/>
        <v>44.8</v>
      </c>
      <c r="Q610" s="185">
        <f t="shared" si="200"/>
        <v>44.8</v>
      </c>
      <c r="R610" s="162" t="b">
        <f t="shared" si="201"/>
        <v>0</v>
      </c>
    </row>
    <row r="611" spans="1:18">
      <c r="A611" s="129" t="s">
        <v>447</v>
      </c>
      <c r="B611" s="129" t="s">
        <v>3922</v>
      </c>
      <c r="C611" s="129">
        <v>7732</v>
      </c>
      <c r="D611" s="129" t="s">
        <v>3138</v>
      </c>
      <c r="E611" s="129">
        <v>1399</v>
      </c>
      <c r="F611" s="129">
        <v>0</v>
      </c>
      <c r="G611" s="129">
        <v>999</v>
      </c>
      <c r="H611" s="129">
        <v>0</v>
      </c>
      <c r="I611" s="129">
        <v>71.400000000000006</v>
      </c>
      <c r="J611" s="129">
        <v>104.9</v>
      </c>
      <c r="K611" s="129">
        <v>0</v>
      </c>
      <c r="L611" s="129">
        <f t="shared" si="195"/>
        <v>1399</v>
      </c>
      <c r="M611" s="129">
        <f t="shared" si="196"/>
        <v>999</v>
      </c>
      <c r="N611" s="128">
        <f t="shared" si="197"/>
        <v>0.71409999999999996</v>
      </c>
      <c r="O611" s="164">
        <f t="shared" si="198"/>
        <v>0</v>
      </c>
      <c r="P611" s="185">
        <f t="shared" si="199"/>
        <v>104.9</v>
      </c>
      <c r="Q611" s="185">
        <f t="shared" si="200"/>
        <v>104.9</v>
      </c>
      <c r="R611" s="162" t="b">
        <f t="shared" si="201"/>
        <v>0</v>
      </c>
    </row>
    <row r="612" spans="1:18">
      <c r="A612" s="129" t="s">
        <v>447</v>
      </c>
      <c r="B612" s="129" t="s">
        <v>3922</v>
      </c>
      <c r="C612" s="129">
        <v>7736</v>
      </c>
      <c r="D612" s="129" t="s">
        <v>3140</v>
      </c>
      <c r="E612" s="129">
        <v>540</v>
      </c>
      <c r="F612" s="129">
        <v>0</v>
      </c>
      <c r="G612" s="129">
        <v>383</v>
      </c>
      <c r="H612" s="129">
        <v>0</v>
      </c>
      <c r="I612" s="129">
        <v>70.900000000000006</v>
      </c>
      <c r="J612" s="129">
        <v>40.200000000000003</v>
      </c>
      <c r="K612" s="129">
        <v>0</v>
      </c>
      <c r="L612" s="129">
        <f t="shared" si="195"/>
        <v>540</v>
      </c>
      <c r="M612" s="129">
        <f t="shared" si="196"/>
        <v>383</v>
      </c>
      <c r="N612" s="128">
        <f t="shared" si="197"/>
        <v>0.70930000000000004</v>
      </c>
      <c r="O612" s="164">
        <f t="shared" si="198"/>
        <v>0</v>
      </c>
      <c r="P612" s="185">
        <f t="shared" si="199"/>
        <v>40.200000000000003</v>
      </c>
      <c r="Q612" s="185">
        <f t="shared" si="200"/>
        <v>40.200000000000003</v>
      </c>
      <c r="R612" s="162" t="b">
        <f t="shared" si="201"/>
        <v>0</v>
      </c>
    </row>
    <row r="613" spans="1:18">
      <c r="A613" s="129" t="s">
        <v>447</v>
      </c>
      <c r="B613" s="129" t="s">
        <v>3922</v>
      </c>
      <c r="C613" s="129">
        <v>7737</v>
      </c>
      <c r="D613" s="129" t="s">
        <v>3142</v>
      </c>
      <c r="E613" s="129">
        <v>416</v>
      </c>
      <c r="F613" s="129">
        <v>0</v>
      </c>
      <c r="G613" s="129">
        <v>317</v>
      </c>
      <c r="H613" s="129">
        <v>0</v>
      </c>
      <c r="I613" s="129">
        <v>76.2</v>
      </c>
      <c r="J613" s="129">
        <v>33.299999999999997</v>
      </c>
      <c r="K613" s="129">
        <v>0</v>
      </c>
      <c r="L613" s="129">
        <f t="shared" si="195"/>
        <v>416</v>
      </c>
      <c r="M613" s="129">
        <f t="shared" si="196"/>
        <v>317</v>
      </c>
      <c r="N613" s="128">
        <f t="shared" si="197"/>
        <v>0.76200000000000001</v>
      </c>
      <c r="O613" s="164">
        <f t="shared" si="198"/>
        <v>0</v>
      </c>
      <c r="P613" s="185">
        <f t="shared" si="199"/>
        <v>33.299999999999997</v>
      </c>
      <c r="Q613" s="185">
        <f t="shared" si="200"/>
        <v>33.299999999999997</v>
      </c>
      <c r="R613" s="162" t="b">
        <f t="shared" si="201"/>
        <v>0</v>
      </c>
    </row>
    <row r="614" spans="1:18">
      <c r="A614" s="129" t="s">
        <v>447</v>
      </c>
      <c r="B614" s="129" t="s">
        <v>3922</v>
      </c>
      <c r="C614" s="129">
        <v>7738</v>
      </c>
      <c r="D614" s="129" t="s">
        <v>3144</v>
      </c>
      <c r="E614" s="129">
        <v>358</v>
      </c>
      <c r="F614" s="129">
        <v>0</v>
      </c>
      <c r="G614" s="129">
        <v>314</v>
      </c>
      <c r="H614" s="129">
        <v>0</v>
      </c>
      <c r="I614" s="129">
        <v>87.7</v>
      </c>
      <c r="J614" s="129">
        <v>33</v>
      </c>
      <c r="K614" s="129">
        <v>0</v>
      </c>
      <c r="L614" s="129">
        <f t="shared" si="195"/>
        <v>358</v>
      </c>
      <c r="M614" s="129">
        <f t="shared" si="196"/>
        <v>314</v>
      </c>
      <c r="N614" s="128">
        <f t="shared" si="197"/>
        <v>0.87709999999999999</v>
      </c>
      <c r="O614" s="164">
        <f t="shared" si="198"/>
        <v>0</v>
      </c>
      <c r="P614" s="185">
        <f t="shared" si="199"/>
        <v>33</v>
      </c>
      <c r="Q614" s="185">
        <f t="shared" si="200"/>
        <v>33</v>
      </c>
      <c r="R614" s="162" t="b">
        <f t="shared" si="201"/>
        <v>0</v>
      </c>
    </row>
    <row r="615" spans="1:18">
      <c r="A615" s="129" t="s">
        <v>447</v>
      </c>
      <c r="B615" s="129" t="s">
        <v>3922</v>
      </c>
      <c r="C615" s="129">
        <v>7739</v>
      </c>
      <c r="D615" s="129" t="s">
        <v>3146</v>
      </c>
      <c r="E615" s="129">
        <v>503</v>
      </c>
      <c r="F615" s="129">
        <v>0</v>
      </c>
      <c r="G615" s="129">
        <v>404</v>
      </c>
      <c r="H615" s="129">
        <v>0</v>
      </c>
      <c r="I615" s="129">
        <v>80.3</v>
      </c>
      <c r="J615" s="129">
        <v>42.4</v>
      </c>
      <c r="K615" s="129">
        <v>0</v>
      </c>
      <c r="L615" s="129">
        <f t="shared" si="195"/>
        <v>503</v>
      </c>
      <c r="M615" s="129">
        <f t="shared" si="196"/>
        <v>404</v>
      </c>
      <c r="N615" s="128">
        <f t="shared" si="197"/>
        <v>0.80320000000000003</v>
      </c>
      <c r="O615" s="164">
        <f t="shared" si="198"/>
        <v>0</v>
      </c>
      <c r="P615" s="185">
        <f t="shared" si="199"/>
        <v>42.4</v>
      </c>
      <c r="Q615" s="185">
        <f t="shared" si="200"/>
        <v>42.4</v>
      </c>
      <c r="R615" s="162" t="b">
        <f t="shared" si="201"/>
        <v>0</v>
      </c>
    </row>
    <row r="616" spans="1:18">
      <c r="A616" s="129" t="s">
        <v>462</v>
      </c>
      <c r="B616" s="129" t="s">
        <v>3936</v>
      </c>
      <c r="C616" s="129">
        <v>8238</v>
      </c>
      <c r="D616" s="129" t="s">
        <v>3261</v>
      </c>
      <c r="E616" s="129">
        <v>116</v>
      </c>
      <c r="F616" s="129">
        <v>0</v>
      </c>
      <c r="G616" s="129">
        <v>47</v>
      </c>
      <c r="H616" s="129">
        <v>0</v>
      </c>
      <c r="I616" s="129">
        <v>40.5</v>
      </c>
      <c r="J616" s="129">
        <v>0</v>
      </c>
      <c r="K616" s="129">
        <v>1.8</v>
      </c>
      <c r="L616" s="129">
        <f t="shared" si="195"/>
        <v>116</v>
      </c>
      <c r="M616" s="129">
        <f t="shared" si="196"/>
        <v>47</v>
      </c>
      <c r="N616" s="128">
        <f t="shared" si="197"/>
        <v>0.4052</v>
      </c>
      <c r="O616" s="164">
        <f t="shared" si="198"/>
        <v>1.8</v>
      </c>
      <c r="P616" s="185">
        <f t="shared" si="199"/>
        <v>0</v>
      </c>
      <c r="Q616" s="185">
        <f t="shared" si="200"/>
        <v>1.8</v>
      </c>
      <c r="R616" s="162" t="b">
        <f t="shared" si="201"/>
        <v>0</v>
      </c>
    </row>
    <row r="617" spans="1:18">
      <c r="A617" s="129" t="s">
        <v>462</v>
      </c>
      <c r="B617" s="129" t="s">
        <v>3936</v>
      </c>
      <c r="C617" s="129">
        <v>8246</v>
      </c>
      <c r="D617" s="129" t="s">
        <v>3263</v>
      </c>
      <c r="E617" s="129">
        <v>98</v>
      </c>
      <c r="F617" s="129">
        <v>0</v>
      </c>
      <c r="G617" s="129">
        <v>51</v>
      </c>
      <c r="H617" s="129">
        <v>0</v>
      </c>
      <c r="I617" s="129">
        <v>52</v>
      </c>
      <c r="J617" s="129">
        <v>5.4</v>
      </c>
      <c r="K617" s="129">
        <v>0</v>
      </c>
      <c r="L617" s="129">
        <f t="shared" si="195"/>
        <v>98</v>
      </c>
      <c r="M617" s="129">
        <f t="shared" si="196"/>
        <v>51</v>
      </c>
      <c r="N617" s="128">
        <f t="shared" si="197"/>
        <v>0.52039999999999997</v>
      </c>
      <c r="O617" s="164">
        <f t="shared" si="198"/>
        <v>0</v>
      </c>
      <c r="P617" s="185">
        <f t="shared" si="199"/>
        <v>5.4</v>
      </c>
      <c r="Q617" s="185">
        <f t="shared" si="200"/>
        <v>5.4</v>
      </c>
      <c r="R617" s="162" t="b">
        <f t="shared" si="201"/>
        <v>0</v>
      </c>
    </row>
    <row r="618" spans="1:18">
      <c r="A618" s="129" t="s">
        <v>462</v>
      </c>
      <c r="B618" s="129" t="s">
        <v>3936</v>
      </c>
      <c r="C618" s="129">
        <v>8252</v>
      </c>
      <c r="D618" s="129" t="s">
        <v>3265</v>
      </c>
      <c r="E618" s="129">
        <v>178</v>
      </c>
      <c r="F618" s="129">
        <v>0</v>
      </c>
      <c r="G618" s="129">
        <v>58</v>
      </c>
      <c r="H618" s="129">
        <v>0</v>
      </c>
      <c r="I618" s="129">
        <v>32.6</v>
      </c>
      <c r="J618" s="129">
        <v>0</v>
      </c>
      <c r="K618" s="129">
        <v>0</v>
      </c>
      <c r="L618" s="129">
        <f t="shared" si="195"/>
        <v>178</v>
      </c>
      <c r="M618" s="129">
        <f t="shared" si="196"/>
        <v>58</v>
      </c>
      <c r="N618" s="128">
        <f t="shared" si="197"/>
        <v>0.32579999999999998</v>
      </c>
      <c r="O618" s="164">
        <f t="shared" si="198"/>
        <v>0</v>
      </c>
      <c r="P618" s="185">
        <f t="shared" si="199"/>
        <v>0</v>
      </c>
      <c r="Q618" s="185">
        <f t="shared" si="200"/>
        <v>0</v>
      </c>
      <c r="R618" s="162" t="b">
        <f t="shared" si="201"/>
        <v>0</v>
      </c>
    </row>
    <row r="619" spans="1:18">
      <c r="A619" s="129" t="s">
        <v>210</v>
      </c>
      <c r="B619" s="129" t="s">
        <v>3704</v>
      </c>
      <c r="C619" s="129">
        <v>286</v>
      </c>
      <c r="D619" s="129" t="s">
        <v>1170</v>
      </c>
      <c r="E619" s="129">
        <v>390</v>
      </c>
      <c r="F619" s="129">
        <v>8</v>
      </c>
      <c r="G619" s="129">
        <v>21</v>
      </c>
      <c r="H619" s="129">
        <v>0</v>
      </c>
      <c r="I619" s="129">
        <v>5.3</v>
      </c>
      <c r="J619" s="129">
        <v>0</v>
      </c>
      <c r="K619" s="129">
        <v>0</v>
      </c>
      <c r="L619" s="129">
        <f t="shared" ref="L619:L628" si="202">SUM(E619:F619)</f>
        <v>398</v>
      </c>
      <c r="M619" s="129">
        <f t="shared" ref="M619:M628" si="203">SUM(G619:H619)</f>
        <v>21</v>
      </c>
      <c r="N619" s="128">
        <f t="shared" ref="N619:N628" si="204">IF(ISERROR(M619/L619),0,M619/L619)</f>
        <v>5.28E-2</v>
      </c>
      <c r="O619" s="164">
        <f t="shared" ref="O619:O628" si="205">IF(AND((N619-35%)&gt;0,N619&lt;50%),M619*(N619-35%)*0.7,0)</f>
        <v>0</v>
      </c>
      <c r="P619" s="185">
        <f t="shared" ref="P619:P628" si="206">IF(N619&gt;=50%,M619*10.5%,0)</f>
        <v>0</v>
      </c>
      <c r="Q619" s="185">
        <f t="shared" ref="Q619:Q628" si="207">MAX(O619,P619)</f>
        <v>0</v>
      </c>
      <c r="R619" s="162" t="b">
        <f t="shared" si="201"/>
        <v>0</v>
      </c>
    </row>
    <row r="620" spans="1:18">
      <c r="A620" s="129" t="s">
        <v>210</v>
      </c>
      <c r="B620" s="129" t="s">
        <v>3704</v>
      </c>
      <c r="C620" s="129">
        <v>288</v>
      </c>
      <c r="D620" s="129" t="s">
        <v>1172</v>
      </c>
      <c r="E620" s="129">
        <v>290</v>
      </c>
      <c r="F620" s="129">
        <v>8</v>
      </c>
      <c r="G620" s="129">
        <v>16</v>
      </c>
      <c r="H620" s="129">
        <v>2</v>
      </c>
      <c r="I620" s="129">
        <v>6</v>
      </c>
      <c r="J620" s="129">
        <v>0</v>
      </c>
      <c r="K620" s="129">
        <v>0</v>
      </c>
      <c r="L620" s="129">
        <f t="shared" si="202"/>
        <v>298</v>
      </c>
      <c r="M620" s="129">
        <f t="shared" si="203"/>
        <v>18</v>
      </c>
      <c r="N620" s="128">
        <f t="shared" si="204"/>
        <v>6.0400000000000002E-2</v>
      </c>
      <c r="O620" s="164">
        <f t="shared" si="205"/>
        <v>0</v>
      </c>
      <c r="P620" s="185">
        <f t="shared" si="206"/>
        <v>0</v>
      </c>
      <c r="Q620" s="185">
        <f t="shared" si="207"/>
        <v>0</v>
      </c>
      <c r="R620" s="162" t="b">
        <f t="shared" si="201"/>
        <v>0</v>
      </c>
    </row>
    <row r="621" spans="1:18">
      <c r="A621" s="129" t="s">
        <v>210</v>
      </c>
      <c r="B621" s="129" t="s">
        <v>3704</v>
      </c>
      <c r="C621" s="129">
        <v>290</v>
      </c>
      <c r="D621" s="129" t="s">
        <v>1174</v>
      </c>
      <c r="E621" s="129">
        <v>355</v>
      </c>
      <c r="F621" s="129">
        <v>19</v>
      </c>
      <c r="G621" s="129">
        <v>4</v>
      </c>
      <c r="H621" s="129">
        <v>0</v>
      </c>
      <c r="I621" s="129">
        <v>1.1000000000000001</v>
      </c>
      <c r="J621" s="129">
        <v>0</v>
      </c>
      <c r="K621" s="129">
        <v>0</v>
      </c>
      <c r="L621" s="129">
        <f t="shared" si="202"/>
        <v>374</v>
      </c>
      <c r="M621" s="129">
        <f t="shared" si="203"/>
        <v>4</v>
      </c>
      <c r="N621" s="128">
        <f t="shared" si="204"/>
        <v>1.0699999999999999E-2</v>
      </c>
      <c r="O621" s="164">
        <f t="shared" si="205"/>
        <v>0</v>
      </c>
      <c r="P621" s="185">
        <f t="shared" si="206"/>
        <v>0</v>
      </c>
      <c r="Q621" s="185">
        <f t="shared" si="207"/>
        <v>0</v>
      </c>
      <c r="R621" s="162" t="b">
        <f t="shared" si="201"/>
        <v>0</v>
      </c>
    </row>
    <row r="622" spans="1:18">
      <c r="A622" s="129" t="s">
        <v>210</v>
      </c>
      <c r="B622" s="129" t="s">
        <v>3704</v>
      </c>
      <c r="C622" s="129">
        <v>294</v>
      </c>
      <c r="D622" s="129" t="s">
        <v>1176</v>
      </c>
      <c r="E622" s="129">
        <v>431</v>
      </c>
      <c r="F622" s="129">
        <v>9</v>
      </c>
      <c r="G622" s="129">
        <v>17</v>
      </c>
      <c r="H622" s="129">
        <v>0</v>
      </c>
      <c r="I622" s="129">
        <v>3.9</v>
      </c>
      <c r="J622" s="129">
        <v>0</v>
      </c>
      <c r="K622" s="129">
        <v>0</v>
      </c>
      <c r="L622" s="129">
        <f t="shared" si="202"/>
        <v>440</v>
      </c>
      <c r="M622" s="129">
        <f t="shared" si="203"/>
        <v>17</v>
      </c>
      <c r="N622" s="128">
        <f t="shared" si="204"/>
        <v>3.8600000000000002E-2</v>
      </c>
      <c r="O622" s="164">
        <f t="shared" si="205"/>
        <v>0</v>
      </c>
      <c r="P622" s="185">
        <f t="shared" si="206"/>
        <v>0</v>
      </c>
      <c r="Q622" s="185">
        <f t="shared" si="207"/>
        <v>0</v>
      </c>
      <c r="R622" s="162" t="b">
        <f t="shared" si="201"/>
        <v>0</v>
      </c>
    </row>
    <row r="623" spans="1:18">
      <c r="A623" s="129" t="s">
        <v>264</v>
      </c>
      <c r="B623" s="129" t="s">
        <v>3754</v>
      </c>
      <c r="C623" s="129">
        <v>2062</v>
      </c>
      <c r="D623" s="129" t="s">
        <v>1936</v>
      </c>
      <c r="E623" s="129">
        <v>433</v>
      </c>
      <c r="F623" s="129">
        <v>0</v>
      </c>
      <c r="G623" s="129">
        <v>39</v>
      </c>
      <c r="H623" s="129">
        <v>0</v>
      </c>
      <c r="I623" s="129">
        <v>9.01</v>
      </c>
      <c r="J623" s="129">
        <v>0</v>
      </c>
      <c r="K623" s="129">
        <v>0</v>
      </c>
      <c r="L623" s="129">
        <f t="shared" si="202"/>
        <v>433</v>
      </c>
      <c r="M623" s="129">
        <f t="shared" si="203"/>
        <v>39</v>
      </c>
      <c r="N623" s="128">
        <f t="shared" si="204"/>
        <v>9.01E-2</v>
      </c>
      <c r="O623" s="164">
        <f t="shared" si="205"/>
        <v>0</v>
      </c>
      <c r="P623" s="185">
        <f t="shared" si="206"/>
        <v>0</v>
      </c>
      <c r="Q623" s="185">
        <f t="shared" si="207"/>
        <v>0</v>
      </c>
      <c r="R623" s="162" t="b">
        <f t="shared" si="201"/>
        <v>0</v>
      </c>
    </row>
    <row r="624" spans="1:18">
      <c r="A624" s="129" t="s">
        <v>264</v>
      </c>
      <c r="B624" s="129" t="s">
        <v>3754</v>
      </c>
      <c r="C624" s="129">
        <v>2064</v>
      </c>
      <c r="D624" s="129" t="s">
        <v>1938</v>
      </c>
      <c r="E624" s="129">
        <v>383</v>
      </c>
      <c r="F624" s="129">
        <v>0</v>
      </c>
      <c r="G624" s="129">
        <v>34</v>
      </c>
      <c r="H624" s="129">
        <v>0</v>
      </c>
      <c r="I624" s="129">
        <v>8.8800000000000008</v>
      </c>
      <c r="J624" s="129">
        <v>0</v>
      </c>
      <c r="K624" s="129">
        <v>0</v>
      </c>
      <c r="L624" s="129">
        <f t="shared" si="202"/>
        <v>383</v>
      </c>
      <c r="M624" s="129">
        <f t="shared" si="203"/>
        <v>34</v>
      </c>
      <c r="N624" s="128">
        <f t="shared" si="204"/>
        <v>8.8800000000000004E-2</v>
      </c>
      <c r="O624" s="164">
        <f t="shared" si="205"/>
        <v>0</v>
      </c>
      <c r="P624" s="185">
        <f t="shared" si="206"/>
        <v>0</v>
      </c>
      <c r="Q624" s="185">
        <f t="shared" si="207"/>
        <v>0</v>
      </c>
      <c r="R624" s="162" t="b">
        <f t="shared" si="201"/>
        <v>0</v>
      </c>
    </row>
    <row r="625" spans="1:18">
      <c r="A625" s="129" t="s">
        <v>264</v>
      </c>
      <c r="B625" s="129" t="s">
        <v>3754</v>
      </c>
      <c r="C625" s="129">
        <v>2066</v>
      </c>
      <c r="D625" s="129" t="s">
        <v>1940</v>
      </c>
      <c r="E625" s="129">
        <v>213</v>
      </c>
      <c r="F625" s="129">
        <v>0</v>
      </c>
      <c r="G625" s="129">
        <v>62</v>
      </c>
      <c r="H625" s="129">
        <v>0</v>
      </c>
      <c r="I625" s="129">
        <v>29.11</v>
      </c>
      <c r="J625" s="129">
        <v>0</v>
      </c>
      <c r="K625" s="129">
        <v>0</v>
      </c>
      <c r="L625" s="129">
        <f t="shared" si="202"/>
        <v>213</v>
      </c>
      <c r="M625" s="129">
        <f t="shared" si="203"/>
        <v>62</v>
      </c>
      <c r="N625" s="128">
        <f t="shared" si="204"/>
        <v>0.29110000000000003</v>
      </c>
      <c r="O625" s="164">
        <f t="shared" si="205"/>
        <v>0</v>
      </c>
      <c r="P625" s="185">
        <f t="shared" si="206"/>
        <v>0</v>
      </c>
      <c r="Q625" s="185">
        <f t="shared" si="207"/>
        <v>0</v>
      </c>
      <c r="R625" s="162" t="b">
        <f t="shared" si="201"/>
        <v>0</v>
      </c>
    </row>
    <row r="626" spans="1:18">
      <c r="A626" s="129" t="s">
        <v>264</v>
      </c>
      <c r="B626" s="129" t="s">
        <v>3754</v>
      </c>
      <c r="C626" s="129">
        <v>2068</v>
      </c>
      <c r="D626" s="129" t="s">
        <v>1942</v>
      </c>
      <c r="E626" s="129">
        <v>446</v>
      </c>
      <c r="F626" s="129">
        <v>0</v>
      </c>
      <c r="G626" s="129">
        <v>50</v>
      </c>
      <c r="H626" s="129">
        <v>0</v>
      </c>
      <c r="I626" s="129">
        <v>11.21</v>
      </c>
      <c r="J626" s="129">
        <v>0</v>
      </c>
      <c r="K626" s="129">
        <v>0</v>
      </c>
      <c r="L626" s="129">
        <f t="shared" si="202"/>
        <v>446</v>
      </c>
      <c r="M626" s="129">
        <f t="shared" si="203"/>
        <v>50</v>
      </c>
      <c r="N626" s="128">
        <f t="shared" si="204"/>
        <v>0.11210000000000001</v>
      </c>
      <c r="O626" s="164">
        <f t="shared" si="205"/>
        <v>0</v>
      </c>
      <c r="P626" s="185">
        <f t="shared" si="206"/>
        <v>0</v>
      </c>
      <c r="Q626" s="185">
        <f t="shared" si="207"/>
        <v>0</v>
      </c>
      <c r="R626" s="162" t="b">
        <f t="shared" si="201"/>
        <v>0</v>
      </c>
    </row>
    <row r="627" spans="1:18">
      <c r="A627" s="129" t="s">
        <v>264</v>
      </c>
      <c r="B627" s="129" t="s">
        <v>3754</v>
      </c>
      <c r="C627" s="129">
        <v>2070</v>
      </c>
      <c r="D627" s="129" t="s">
        <v>1944</v>
      </c>
      <c r="E627" s="129">
        <v>167</v>
      </c>
      <c r="F627" s="129">
        <v>0</v>
      </c>
      <c r="G627" s="129">
        <v>21</v>
      </c>
      <c r="H627" s="129">
        <v>0</v>
      </c>
      <c r="I627" s="129">
        <v>12.57</v>
      </c>
      <c r="J627" s="129">
        <v>0</v>
      </c>
      <c r="K627" s="129">
        <v>0</v>
      </c>
      <c r="L627" s="129">
        <f t="shared" si="202"/>
        <v>167</v>
      </c>
      <c r="M627" s="129">
        <f t="shared" si="203"/>
        <v>21</v>
      </c>
      <c r="N627" s="128">
        <f t="shared" si="204"/>
        <v>0.12570000000000001</v>
      </c>
      <c r="O627" s="164">
        <f t="shared" si="205"/>
        <v>0</v>
      </c>
      <c r="P627" s="185">
        <f t="shared" si="206"/>
        <v>0</v>
      </c>
      <c r="Q627" s="185">
        <f t="shared" si="207"/>
        <v>0</v>
      </c>
      <c r="R627" s="162" t="b">
        <f t="shared" si="201"/>
        <v>0</v>
      </c>
    </row>
    <row r="628" spans="1:18">
      <c r="A628" s="129" t="s">
        <v>264</v>
      </c>
      <c r="B628" s="129" t="s">
        <v>3754</v>
      </c>
      <c r="C628" s="129">
        <v>2071</v>
      </c>
      <c r="D628" s="129" t="s">
        <v>1946</v>
      </c>
      <c r="E628" s="129">
        <v>323</v>
      </c>
      <c r="F628" s="129">
        <v>0</v>
      </c>
      <c r="G628" s="129">
        <v>35</v>
      </c>
      <c r="H628" s="129">
        <v>0</v>
      </c>
      <c r="I628" s="129">
        <v>10.84</v>
      </c>
      <c r="J628" s="129">
        <v>0</v>
      </c>
      <c r="K628" s="129">
        <v>0</v>
      </c>
      <c r="L628" s="129">
        <f t="shared" si="202"/>
        <v>323</v>
      </c>
      <c r="M628" s="129">
        <f t="shared" si="203"/>
        <v>35</v>
      </c>
      <c r="N628" s="128">
        <f t="shared" si="204"/>
        <v>0.1084</v>
      </c>
      <c r="O628" s="164">
        <f t="shared" si="205"/>
        <v>0</v>
      </c>
      <c r="P628" s="185">
        <f t="shared" si="206"/>
        <v>0</v>
      </c>
      <c r="Q628" s="185">
        <f t="shared" si="207"/>
        <v>0</v>
      </c>
      <c r="R628" s="162" t="b">
        <f t="shared" si="201"/>
        <v>0</v>
      </c>
    </row>
    <row r="629" spans="1:18">
      <c r="A629" s="129" t="s">
        <v>195</v>
      </c>
      <c r="B629" s="129" t="s">
        <v>3689</v>
      </c>
      <c r="C629" s="129">
        <v>2976</v>
      </c>
      <c r="D629" s="129" t="s">
        <v>1074</v>
      </c>
      <c r="E629" s="129">
        <v>190</v>
      </c>
      <c r="F629" s="129">
        <v>0</v>
      </c>
      <c r="G629" s="129">
        <v>98</v>
      </c>
      <c r="H629" s="129">
        <v>0</v>
      </c>
      <c r="I629" s="129">
        <v>51.6</v>
      </c>
      <c r="J629" s="129">
        <v>10.3</v>
      </c>
      <c r="K629" s="129">
        <v>0</v>
      </c>
      <c r="L629" s="129">
        <f t="shared" ref="L629:L686" si="208">SUM(E629:F629)</f>
        <v>190</v>
      </c>
      <c r="M629" s="129">
        <f t="shared" ref="M629:M686" si="209">SUM(G629:H629)</f>
        <v>98</v>
      </c>
      <c r="N629" s="128">
        <f t="shared" ref="N629:N686" si="210">IF(ISERROR(M629/L629),0,M629/L629)</f>
        <v>0.51580000000000004</v>
      </c>
      <c r="O629" s="164">
        <f t="shared" ref="O629:O686" si="211">IF(AND((N629-35%)&gt;0,N629&lt;50%),M629*(N629-35%)*0.7,0)</f>
        <v>0</v>
      </c>
      <c r="P629" s="185">
        <f t="shared" ref="P629:P686" si="212">IF(N629&gt;=50%,M629*10.5%,0)</f>
        <v>10.3</v>
      </c>
      <c r="Q629" s="185">
        <f t="shared" ref="Q629:Q686" si="213">MAX(O629,P629)</f>
        <v>10.3</v>
      </c>
      <c r="R629" s="162" t="b">
        <f t="shared" si="201"/>
        <v>0</v>
      </c>
    </row>
    <row r="630" spans="1:18">
      <c r="A630" s="129" t="s">
        <v>195</v>
      </c>
      <c r="B630" s="129" t="s">
        <v>3689</v>
      </c>
      <c r="C630" s="129">
        <v>2977</v>
      </c>
      <c r="D630" s="129" t="s">
        <v>1076</v>
      </c>
      <c r="E630" s="129">
        <v>178</v>
      </c>
      <c r="F630" s="129">
        <v>0</v>
      </c>
      <c r="G630" s="129">
        <v>65</v>
      </c>
      <c r="H630" s="129">
        <v>0</v>
      </c>
      <c r="I630" s="129">
        <v>36.5</v>
      </c>
      <c r="J630" s="129">
        <v>0</v>
      </c>
      <c r="K630" s="129">
        <v>0.7</v>
      </c>
      <c r="L630" s="129">
        <f t="shared" si="208"/>
        <v>178</v>
      </c>
      <c r="M630" s="129">
        <f t="shared" si="209"/>
        <v>65</v>
      </c>
      <c r="N630" s="128">
        <f t="shared" si="210"/>
        <v>0.36520000000000002</v>
      </c>
      <c r="O630" s="164">
        <f t="shared" si="211"/>
        <v>0.7</v>
      </c>
      <c r="P630" s="185">
        <f t="shared" si="212"/>
        <v>0</v>
      </c>
      <c r="Q630" s="185">
        <f t="shared" si="213"/>
        <v>0.7</v>
      </c>
      <c r="R630" s="162" t="b">
        <f t="shared" si="201"/>
        <v>0</v>
      </c>
    </row>
    <row r="631" spans="1:18">
      <c r="A631" s="129" t="s">
        <v>201</v>
      </c>
      <c r="B631" s="129" t="s">
        <v>3695</v>
      </c>
      <c r="C631" s="129">
        <v>399</v>
      </c>
      <c r="D631" s="129" t="s">
        <v>1102</v>
      </c>
      <c r="E631" s="129">
        <v>47</v>
      </c>
      <c r="F631" s="129">
        <v>0</v>
      </c>
      <c r="G631" s="129">
        <v>8</v>
      </c>
      <c r="H631" s="129">
        <v>0</v>
      </c>
      <c r="I631" s="129">
        <v>17</v>
      </c>
      <c r="J631" s="129">
        <v>0</v>
      </c>
      <c r="K631" s="129">
        <v>0</v>
      </c>
      <c r="L631" s="129">
        <f t="shared" si="208"/>
        <v>47</v>
      </c>
      <c r="M631" s="129">
        <f t="shared" si="209"/>
        <v>8</v>
      </c>
      <c r="N631" s="128">
        <f t="shared" si="210"/>
        <v>0.17019999999999999</v>
      </c>
      <c r="O631" s="164">
        <f t="shared" si="211"/>
        <v>0</v>
      </c>
      <c r="P631" s="185">
        <f t="shared" si="212"/>
        <v>0</v>
      </c>
      <c r="Q631" s="185">
        <f t="shared" si="213"/>
        <v>0</v>
      </c>
      <c r="R631" s="162" t="b">
        <f t="shared" si="201"/>
        <v>0</v>
      </c>
    </row>
    <row r="632" spans="1:18">
      <c r="A632" s="129" t="s">
        <v>201</v>
      </c>
      <c r="B632" s="129" t="s">
        <v>3695</v>
      </c>
      <c r="C632" s="129">
        <v>409</v>
      </c>
      <c r="D632" s="129" t="s">
        <v>1104</v>
      </c>
      <c r="E632" s="129">
        <v>376</v>
      </c>
      <c r="F632" s="129">
        <v>0</v>
      </c>
      <c r="G632" s="129">
        <v>114</v>
      </c>
      <c r="H632" s="129">
        <v>0</v>
      </c>
      <c r="I632" s="129">
        <v>30.3</v>
      </c>
      <c r="J632" s="129">
        <v>0</v>
      </c>
      <c r="K632" s="129">
        <v>0</v>
      </c>
      <c r="L632" s="129">
        <f t="shared" si="208"/>
        <v>376</v>
      </c>
      <c r="M632" s="129">
        <f t="shared" si="209"/>
        <v>114</v>
      </c>
      <c r="N632" s="128">
        <f t="shared" si="210"/>
        <v>0.30320000000000003</v>
      </c>
      <c r="O632" s="164">
        <f t="shared" si="211"/>
        <v>0</v>
      </c>
      <c r="P632" s="185">
        <f t="shared" si="212"/>
        <v>0</v>
      </c>
      <c r="Q632" s="185">
        <f t="shared" si="213"/>
        <v>0</v>
      </c>
      <c r="R632" s="162" t="b">
        <f t="shared" si="201"/>
        <v>0</v>
      </c>
    </row>
    <row r="633" spans="1:18">
      <c r="A633" s="129" t="s">
        <v>201</v>
      </c>
      <c r="B633" s="129" t="s">
        <v>3695</v>
      </c>
      <c r="C633" s="129">
        <v>410</v>
      </c>
      <c r="D633" s="129" t="s">
        <v>1106</v>
      </c>
      <c r="E633" s="129">
        <v>220</v>
      </c>
      <c r="F633" s="129">
        <v>0</v>
      </c>
      <c r="G633" s="129">
        <v>55</v>
      </c>
      <c r="H633" s="129">
        <v>0</v>
      </c>
      <c r="I633" s="129">
        <v>25</v>
      </c>
      <c r="J633" s="129">
        <v>0</v>
      </c>
      <c r="K633" s="129">
        <v>0</v>
      </c>
      <c r="L633" s="129">
        <f t="shared" si="208"/>
        <v>220</v>
      </c>
      <c r="M633" s="129">
        <f t="shared" si="209"/>
        <v>55</v>
      </c>
      <c r="N633" s="128">
        <f t="shared" si="210"/>
        <v>0.25</v>
      </c>
      <c r="O633" s="164">
        <f t="shared" si="211"/>
        <v>0</v>
      </c>
      <c r="P633" s="185">
        <f t="shared" si="212"/>
        <v>0</v>
      </c>
      <c r="Q633" s="185">
        <f t="shared" si="213"/>
        <v>0</v>
      </c>
      <c r="R633" s="162" t="b">
        <f t="shared" si="201"/>
        <v>0</v>
      </c>
    </row>
    <row r="634" spans="1:18">
      <c r="A634" s="129" t="s">
        <v>201</v>
      </c>
      <c r="B634" s="129" t="s">
        <v>3695</v>
      </c>
      <c r="C634" s="129">
        <v>411</v>
      </c>
      <c r="D634" s="129" t="s">
        <v>1108</v>
      </c>
      <c r="E634" s="129">
        <v>165</v>
      </c>
      <c r="F634" s="129">
        <v>0</v>
      </c>
      <c r="G634" s="129">
        <v>46</v>
      </c>
      <c r="H634" s="129">
        <v>0</v>
      </c>
      <c r="I634" s="129">
        <v>27.9</v>
      </c>
      <c r="J634" s="129">
        <v>0</v>
      </c>
      <c r="K634" s="129">
        <v>0</v>
      </c>
      <c r="L634" s="129">
        <f t="shared" si="208"/>
        <v>165</v>
      </c>
      <c r="M634" s="129">
        <f t="shared" si="209"/>
        <v>46</v>
      </c>
      <c r="N634" s="128">
        <f t="shared" si="210"/>
        <v>0.27879999999999999</v>
      </c>
      <c r="O634" s="164">
        <f t="shared" si="211"/>
        <v>0</v>
      </c>
      <c r="P634" s="185">
        <f t="shared" si="212"/>
        <v>0</v>
      </c>
      <c r="Q634" s="185">
        <f t="shared" si="213"/>
        <v>0</v>
      </c>
      <c r="R634" s="162" t="b">
        <f t="shared" si="201"/>
        <v>0</v>
      </c>
    </row>
    <row r="635" spans="1:18">
      <c r="A635" s="129" t="s">
        <v>201</v>
      </c>
      <c r="B635" s="129" t="s">
        <v>3695</v>
      </c>
      <c r="C635" s="129">
        <v>462</v>
      </c>
      <c r="D635" s="129" t="s">
        <v>1110</v>
      </c>
      <c r="E635" s="129">
        <v>113</v>
      </c>
      <c r="F635" s="129">
        <v>0</v>
      </c>
      <c r="G635" s="129">
        <v>20</v>
      </c>
      <c r="H635" s="129">
        <v>0</v>
      </c>
      <c r="I635" s="129">
        <v>17.7</v>
      </c>
      <c r="J635" s="129">
        <v>0</v>
      </c>
      <c r="K635" s="129">
        <v>0</v>
      </c>
      <c r="L635" s="129">
        <f t="shared" si="208"/>
        <v>113</v>
      </c>
      <c r="M635" s="129">
        <f t="shared" si="209"/>
        <v>20</v>
      </c>
      <c r="N635" s="128">
        <f t="shared" si="210"/>
        <v>0.17699999999999999</v>
      </c>
      <c r="O635" s="164">
        <f t="shared" si="211"/>
        <v>0</v>
      </c>
      <c r="P635" s="185">
        <f t="shared" si="212"/>
        <v>0</v>
      </c>
      <c r="Q635" s="185">
        <f t="shared" si="213"/>
        <v>0</v>
      </c>
      <c r="R635" s="162" t="b">
        <f t="shared" si="201"/>
        <v>0</v>
      </c>
    </row>
    <row r="636" spans="1:18">
      <c r="A636" s="129" t="s">
        <v>209</v>
      </c>
      <c r="B636" s="129" t="s">
        <v>3703</v>
      </c>
      <c r="C636" s="129">
        <v>260</v>
      </c>
      <c r="D636" s="129" t="s">
        <v>1164</v>
      </c>
      <c r="E636" s="129">
        <v>161</v>
      </c>
      <c r="F636" s="129">
        <v>0</v>
      </c>
      <c r="G636" s="129">
        <v>48</v>
      </c>
      <c r="H636" s="129">
        <v>0</v>
      </c>
      <c r="I636" s="129">
        <v>29.8</v>
      </c>
      <c r="J636" s="129">
        <v>0</v>
      </c>
      <c r="K636" s="129">
        <v>0</v>
      </c>
      <c r="L636" s="129">
        <f t="shared" si="208"/>
        <v>161</v>
      </c>
      <c r="M636" s="129">
        <f t="shared" si="209"/>
        <v>48</v>
      </c>
      <c r="N636" s="128">
        <f t="shared" si="210"/>
        <v>0.29809999999999998</v>
      </c>
      <c r="O636" s="164">
        <f t="shared" si="211"/>
        <v>0</v>
      </c>
      <c r="P636" s="185">
        <f t="shared" si="212"/>
        <v>0</v>
      </c>
      <c r="Q636" s="185">
        <f t="shared" si="213"/>
        <v>0</v>
      </c>
      <c r="R636" s="162" t="b">
        <f t="shared" si="201"/>
        <v>0</v>
      </c>
    </row>
    <row r="637" spans="1:18">
      <c r="A637" s="129" t="s">
        <v>209</v>
      </c>
      <c r="B637" s="129" t="s">
        <v>3703</v>
      </c>
      <c r="C637" s="129">
        <v>272</v>
      </c>
      <c r="D637" s="129" t="s">
        <v>1166</v>
      </c>
      <c r="E637" s="129">
        <v>196</v>
      </c>
      <c r="F637" s="129">
        <v>0</v>
      </c>
      <c r="G637" s="129">
        <v>80</v>
      </c>
      <c r="H637" s="129">
        <v>0</v>
      </c>
      <c r="I637" s="129">
        <v>40.799999999999997</v>
      </c>
      <c r="J637" s="129">
        <v>0</v>
      </c>
      <c r="K637" s="129">
        <v>3.3</v>
      </c>
      <c r="L637" s="129">
        <f t="shared" si="208"/>
        <v>196</v>
      </c>
      <c r="M637" s="129">
        <f t="shared" si="209"/>
        <v>80</v>
      </c>
      <c r="N637" s="128">
        <f t="shared" si="210"/>
        <v>0.40820000000000001</v>
      </c>
      <c r="O637" s="164">
        <f t="shared" si="211"/>
        <v>3.3</v>
      </c>
      <c r="P637" s="185">
        <f t="shared" si="212"/>
        <v>0</v>
      </c>
      <c r="Q637" s="185">
        <f t="shared" si="213"/>
        <v>3.3</v>
      </c>
      <c r="R637" s="162" t="b">
        <f t="shared" si="201"/>
        <v>0</v>
      </c>
    </row>
    <row r="638" spans="1:18">
      <c r="A638" s="129" t="s">
        <v>209</v>
      </c>
      <c r="B638" s="129" t="s">
        <v>3703</v>
      </c>
      <c r="C638" s="129">
        <v>274</v>
      </c>
      <c r="D638" s="129" t="s">
        <v>1168</v>
      </c>
      <c r="E638" s="129">
        <v>137</v>
      </c>
      <c r="F638" s="129">
        <v>0</v>
      </c>
      <c r="G638" s="129">
        <v>46</v>
      </c>
      <c r="H638" s="129">
        <v>0</v>
      </c>
      <c r="I638" s="129">
        <v>33.6</v>
      </c>
      <c r="J638" s="129">
        <v>0</v>
      </c>
      <c r="K638" s="129">
        <v>0</v>
      </c>
      <c r="L638" s="129">
        <f t="shared" si="208"/>
        <v>137</v>
      </c>
      <c r="M638" s="129">
        <f t="shared" si="209"/>
        <v>46</v>
      </c>
      <c r="N638" s="128">
        <f t="shared" si="210"/>
        <v>0.33579999999999999</v>
      </c>
      <c r="O638" s="164">
        <f t="shared" si="211"/>
        <v>0</v>
      </c>
      <c r="P638" s="185">
        <f t="shared" si="212"/>
        <v>0</v>
      </c>
      <c r="Q638" s="185">
        <f t="shared" si="213"/>
        <v>0</v>
      </c>
      <c r="R638" s="162" t="b">
        <f t="shared" si="201"/>
        <v>0</v>
      </c>
    </row>
    <row r="639" spans="1:18">
      <c r="A639" s="129" t="s">
        <v>214</v>
      </c>
      <c r="B639" s="129" t="s">
        <v>14</v>
      </c>
      <c r="C639" s="129">
        <v>374</v>
      </c>
      <c r="D639" s="129" t="s">
        <v>1172</v>
      </c>
      <c r="E639" s="129">
        <v>382</v>
      </c>
      <c r="F639" s="129">
        <v>0</v>
      </c>
      <c r="G639" s="129">
        <v>186</v>
      </c>
      <c r="H639" s="129">
        <v>0</v>
      </c>
      <c r="I639" s="129">
        <v>48.7</v>
      </c>
      <c r="J639" s="129">
        <v>0</v>
      </c>
      <c r="K639" s="129">
        <v>17.8</v>
      </c>
      <c r="L639" s="129">
        <f t="shared" si="208"/>
        <v>382</v>
      </c>
      <c r="M639" s="129">
        <f t="shared" si="209"/>
        <v>186</v>
      </c>
      <c r="N639" s="128">
        <f t="shared" si="210"/>
        <v>0.4869</v>
      </c>
      <c r="O639" s="164">
        <f t="shared" si="211"/>
        <v>17.8</v>
      </c>
      <c r="P639" s="185">
        <f t="shared" si="212"/>
        <v>0</v>
      </c>
      <c r="Q639" s="185">
        <f t="shared" si="213"/>
        <v>17.8</v>
      </c>
      <c r="R639" s="162" t="b">
        <f t="shared" si="201"/>
        <v>0</v>
      </c>
    </row>
    <row r="640" spans="1:18">
      <c r="A640" s="129" t="s">
        <v>214</v>
      </c>
      <c r="B640" s="129" t="s">
        <v>14</v>
      </c>
      <c r="C640" s="129">
        <v>378</v>
      </c>
      <c r="D640" s="129" t="s">
        <v>1195</v>
      </c>
      <c r="E640" s="129">
        <v>107</v>
      </c>
      <c r="F640" s="129">
        <v>0</v>
      </c>
      <c r="G640" s="129">
        <v>45</v>
      </c>
      <c r="H640" s="129">
        <v>0</v>
      </c>
      <c r="I640" s="129">
        <v>42.1</v>
      </c>
      <c r="J640" s="129">
        <v>0</v>
      </c>
      <c r="K640" s="129">
        <v>2.2000000000000002</v>
      </c>
      <c r="L640" s="129">
        <f t="shared" si="208"/>
        <v>107</v>
      </c>
      <c r="M640" s="129">
        <f t="shared" si="209"/>
        <v>45</v>
      </c>
      <c r="N640" s="128">
        <f t="shared" si="210"/>
        <v>0.42059999999999997</v>
      </c>
      <c r="O640" s="164">
        <f t="shared" si="211"/>
        <v>2.2000000000000002</v>
      </c>
      <c r="P640" s="185">
        <f t="shared" si="212"/>
        <v>0</v>
      </c>
      <c r="Q640" s="185">
        <f t="shared" si="213"/>
        <v>2.2000000000000002</v>
      </c>
      <c r="R640" s="162" t="b">
        <f t="shared" si="201"/>
        <v>0</v>
      </c>
    </row>
    <row r="641" spans="1:18">
      <c r="A641" s="129" t="s">
        <v>214</v>
      </c>
      <c r="B641" s="129" t="s">
        <v>14</v>
      </c>
      <c r="C641" s="129">
        <v>380</v>
      </c>
      <c r="D641" s="129" t="s">
        <v>1197</v>
      </c>
      <c r="E641" s="129">
        <v>187</v>
      </c>
      <c r="F641" s="129">
        <v>0</v>
      </c>
      <c r="G641" s="129">
        <v>65</v>
      </c>
      <c r="H641" s="129">
        <v>0</v>
      </c>
      <c r="I641" s="129">
        <v>34.799999999999997</v>
      </c>
      <c r="J641" s="129">
        <v>0</v>
      </c>
      <c r="K641" s="129">
        <v>0</v>
      </c>
      <c r="L641" s="129">
        <f t="shared" si="208"/>
        <v>187</v>
      </c>
      <c r="M641" s="129">
        <f t="shared" si="209"/>
        <v>65</v>
      </c>
      <c r="N641" s="128">
        <f t="shared" si="210"/>
        <v>0.34760000000000002</v>
      </c>
      <c r="O641" s="164">
        <f t="shared" si="211"/>
        <v>0</v>
      </c>
      <c r="P641" s="185">
        <f t="shared" si="212"/>
        <v>0</v>
      </c>
      <c r="Q641" s="185">
        <f t="shared" si="213"/>
        <v>0</v>
      </c>
      <c r="R641" s="162" t="b">
        <f t="shared" si="201"/>
        <v>0</v>
      </c>
    </row>
    <row r="642" spans="1:18">
      <c r="A642" s="129" t="s">
        <v>215</v>
      </c>
      <c r="B642" s="129" t="s">
        <v>3708</v>
      </c>
      <c r="C642" s="129">
        <v>404</v>
      </c>
      <c r="D642" s="129" t="s">
        <v>1199</v>
      </c>
      <c r="E642" s="129">
        <v>73</v>
      </c>
      <c r="F642" s="129">
        <v>0</v>
      </c>
      <c r="G642" s="129">
        <v>47</v>
      </c>
      <c r="H642" s="129">
        <v>0</v>
      </c>
      <c r="I642" s="129">
        <v>64.400000000000006</v>
      </c>
      <c r="J642" s="129">
        <v>4.9000000000000004</v>
      </c>
      <c r="K642" s="129">
        <v>0</v>
      </c>
      <c r="L642" s="129">
        <f t="shared" si="208"/>
        <v>73</v>
      </c>
      <c r="M642" s="129">
        <f t="shared" si="209"/>
        <v>47</v>
      </c>
      <c r="N642" s="128">
        <f t="shared" si="210"/>
        <v>0.64380000000000004</v>
      </c>
      <c r="O642" s="164">
        <f t="shared" si="211"/>
        <v>0</v>
      </c>
      <c r="P642" s="185">
        <f t="shared" si="212"/>
        <v>4.9000000000000004</v>
      </c>
      <c r="Q642" s="185">
        <f t="shared" si="213"/>
        <v>4.9000000000000004</v>
      </c>
      <c r="R642" s="162" t="b">
        <f t="shared" si="201"/>
        <v>0</v>
      </c>
    </row>
    <row r="643" spans="1:18">
      <c r="A643" s="129" t="s">
        <v>215</v>
      </c>
      <c r="B643" s="129" t="s">
        <v>3708</v>
      </c>
      <c r="C643" s="129">
        <v>406</v>
      </c>
      <c r="D643" s="129" t="s">
        <v>1201</v>
      </c>
      <c r="E643" s="129">
        <v>42</v>
      </c>
      <c r="F643" s="129">
        <v>0</v>
      </c>
      <c r="G643" s="129">
        <v>10</v>
      </c>
      <c r="H643" s="129">
        <v>0</v>
      </c>
      <c r="I643" s="129">
        <v>23.8</v>
      </c>
      <c r="J643" s="129">
        <v>0</v>
      </c>
      <c r="K643" s="129">
        <v>0</v>
      </c>
      <c r="L643" s="129">
        <f t="shared" si="208"/>
        <v>42</v>
      </c>
      <c r="M643" s="129">
        <f t="shared" si="209"/>
        <v>10</v>
      </c>
      <c r="N643" s="128">
        <f t="shared" si="210"/>
        <v>0.23810000000000001</v>
      </c>
      <c r="O643" s="164">
        <f t="shared" si="211"/>
        <v>0</v>
      </c>
      <c r="P643" s="185">
        <f t="shared" si="212"/>
        <v>0</v>
      </c>
      <c r="Q643" s="185">
        <f t="shared" si="213"/>
        <v>0</v>
      </c>
      <c r="R643" s="162" t="b">
        <f t="shared" si="201"/>
        <v>0</v>
      </c>
    </row>
    <row r="644" spans="1:18">
      <c r="A644" s="129" t="s">
        <v>215</v>
      </c>
      <c r="B644" s="129" t="s">
        <v>3708</v>
      </c>
      <c r="C644" s="129">
        <v>408</v>
      </c>
      <c r="D644" s="129" t="s">
        <v>1203</v>
      </c>
      <c r="E644" s="129">
        <v>38</v>
      </c>
      <c r="F644" s="129">
        <v>0</v>
      </c>
      <c r="G644" s="129">
        <v>22</v>
      </c>
      <c r="H644" s="129">
        <v>0</v>
      </c>
      <c r="I644" s="129">
        <v>57.9</v>
      </c>
      <c r="J644" s="129">
        <v>2.2999999999999998</v>
      </c>
      <c r="K644" s="129">
        <v>0</v>
      </c>
      <c r="L644" s="129">
        <f t="shared" si="208"/>
        <v>38</v>
      </c>
      <c r="M644" s="129">
        <f t="shared" si="209"/>
        <v>22</v>
      </c>
      <c r="N644" s="128">
        <f t="shared" si="210"/>
        <v>0.57889999999999997</v>
      </c>
      <c r="O644" s="164">
        <f t="shared" si="211"/>
        <v>0</v>
      </c>
      <c r="P644" s="185">
        <f t="shared" si="212"/>
        <v>2.2999999999999998</v>
      </c>
      <c r="Q644" s="185">
        <f t="shared" si="213"/>
        <v>2.2999999999999998</v>
      </c>
      <c r="R644" s="162" t="b">
        <f t="shared" si="201"/>
        <v>0</v>
      </c>
    </row>
    <row r="645" spans="1:18">
      <c r="A645" s="129" t="s">
        <v>224</v>
      </c>
      <c r="B645" s="129" t="s">
        <v>3717</v>
      </c>
      <c r="C645" s="129">
        <v>658</v>
      </c>
      <c r="D645" s="129" t="s">
        <v>1255</v>
      </c>
      <c r="E645" s="129">
        <v>83</v>
      </c>
      <c r="F645" s="129">
        <v>0</v>
      </c>
      <c r="G645" s="129">
        <v>23</v>
      </c>
      <c r="H645" s="129">
        <v>0</v>
      </c>
      <c r="I645" s="129">
        <v>27.7</v>
      </c>
      <c r="J645" s="129">
        <v>0</v>
      </c>
      <c r="K645" s="129">
        <v>0</v>
      </c>
      <c r="L645" s="129">
        <f t="shared" si="208"/>
        <v>83</v>
      </c>
      <c r="M645" s="129">
        <f t="shared" si="209"/>
        <v>23</v>
      </c>
      <c r="N645" s="128">
        <f t="shared" si="210"/>
        <v>0.27710000000000001</v>
      </c>
      <c r="O645" s="164">
        <f t="shared" si="211"/>
        <v>0</v>
      </c>
      <c r="P645" s="185">
        <f t="shared" si="212"/>
        <v>0</v>
      </c>
      <c r="Q645" s="185">
        <f t="shared" si="213"/>
        <v>0</v>
      </c>
      <c r="R645" s="162" t="b">
        <f t="shared" ref="R645:R708" si="214">COUNTIF(C:C,C645)&gt;1</f>
        <v>0</v>
      </c>
    </row>
    <row r="646" spans="1:18">
      <c r="A646" s="129" t="s">
        <v>224</v>
      </c>
      <c r="B646" s="129" t="s">
        <v>3717</v>
      </c>
      <c r="C646" s="129">
        <v>660</v>
      </c>
      <c r="D646" s="129" t="s">
        <v>1257</v>
      </c>
      <c r="E646" s="129">
        <v>115</v>
      </c>
      <c r="F646" s="129">
        <v>0</v>
      </c>
      <c r="G646" s="129">
        <v>32</v>
      </c>
      <c r="H646" s="129">
        <v>0</v>
      </c>
      <c r="I646" s="129">
        <v>27.8</v>
      </c>
      <c r="J646" s="129">
        <v>0</v>
      </c>
      <c r="K646" s="129">
        <v>0</v>
      </c>
      <c r="L646" s="129">
        <f t="shared" si="208"/>
        <v>115</v>
      </c>
      <c r="M646" s="129">
        <f t="shared" si="209"/>
        <v>32</v>
      </c>
      <c r="N646" s="128">
        <f t="shared" si="210"/>
        <v>0.27829999999999999</v>
      </c>
      <c r="O646" s="164">
        <f t="shared" si="211"/>
        <v>0</v>
      </c>
      <c r="P646" s="185">
        <f t="shared" si="212"/>
        <v>0</v>
      </c>
      <c r="Q646" s="185">
        <f t="shared" si="213"/>
        <v>0</v>
      </c>
      <c r="R646" s="162" t="b">
        <f t="shared" si="214"/>
        <v>0</v>
      </c>
    </row>
    <row r="647" spans="1:18">
      <c r="A647" s="129" t="s">
        <v>224</v>
      </c>
      <c r="B647" s="129" t="s">
        <v>3717</v>
      </c>
      <c r="C647" s="129">
        <v>668</v>
      </c>
      <c r="D647" s="129" t="s">
        <v>1259</v>
      </c>
      <c r="E647" s="129">
        <v>104</v>
      </c>
      <c r="F647" s="129">
        <v>0</v>
      </c>
      <c r="G647" s="129">
        <v>31</v>
      </c>
      <c r="H647" s="129">
        <v>0</v>
      </c>
      <c r="I647" s="129">
        <v>29.8</v>
      </c>
      <c r="J647" s="129">
        <v>0</v>
      </c>
      <c r="K647" s="129">
        <v>0</v>
      </c>
      <c r="L647" s="129">
        <f t="shared" si="208"/>
        <v>104</v>
      </c>
      <c r="M647" s="129">
        <f t="shared" si="209"/>
        <v>31</v>
      </c>
      <c r="N647" s="128">
        <f t="shared" si="210"/>
        <v>0.29809999999999998</v>
      </c>
      <c r="O647" s="164">
        <f t="shared" si="211"/>
        <v>0</v>
      </c>
      <c r="P647" s="185">
        <f t="shared" si="212"/>
        <v>0</v>
      </c>
      <c r="Q647" s="185">
        <f t="shared" si="213"/>
        <v>0</v>
      </c>
      <c r="R647" s="162" t="b">
        <f t="shared" si="214"/>
        <v>0</v>
      </c>
    </row>
    <row r="648" spans="1:18">
      <c r="A648" s="129" t="s">
        <v>229</v>
      </c>
      <c r="B648" s="129" t="s">
        <v>3721</v>
      </c>
      <c r="C648" s="129">
        <v>787</v>
      </c>
      <c r="D648" s="129" t="s">
        <v>1345</v>
      </c>
      <c r="E648" s="129">
        <v>567</v>
      </c>
      <c r="F648" s="129">
        <v>0</v>
      </c>
      <c r="G648" s="129">
        <v>130</v>
      </c>
      <c r="H648" s="129">
        <v>0</v>
      </c>
      <c r="I648" s="129">
        <v>22.9</v>
      </c>
      <c r="J648" s="129">
        <v>0</v>
      </c>
      <c r="K648" s="129">
        <v>0</v>
      </c>
      <c r="L648" s="129">
        <f t="shared" si="208"/>
        <v>567</v>
      </c>
      <c r="M648" s="129">
        <f t="shared" si="209"/>
        <v>130</v>
      </c>
      <c r="N648" s="128">
        <f t="shared" si="210"/>
        <v>0.2293</v>
      </c>
      <c r="O648" s="164">
        <f t="shared" si="211"/>
        <v>0</v>
      </c>
      <c r="P648" s="185">
        <f t="shared" si="212"/>
        <v>0</v>
      </c>
      <c r="Q648" s="185">
        <f t="shared" si="213"/>
        <v>0</v>
      </c>
      <c r="R648" s="162" t="b">
        <f t="shared" si="214"/>
        <v>0</v>
      </c>
    </row>
    <row r="649" spans="1:18">
      <c r="A649" s="129" t="s">
        <v>229</v>
      </c>
      <c r="B649" s="129" t="s">
        <v>3721</v>
      </c>
      <c r="C649" s="129">
        <v>790</v>
      </c>
      <c r="D649" s="129" t="s">
        <v>1347</v>
      </c>
      <c r="E649" s="129">
        <v>1037</v>
      </c>
      <c r="F649" s="129">
        <v>0</v>
      </c>
      <c r="G649" s="129">
        <v>158</v>
      </c>
      <c r="H649" s="129">
        <v>0</v>
      </c>
      <c r="I649" s="129">
        <v>15.2</v>
      </c>
      <c r="J649" s="129">
        <v>0</v>
      </c>
      <c r="K649" s="129">
        <v>0</v>
      </c>
      <c r="L649" s="129">
        <f t="shared" si="208"/>
        <v>1037</v>
      </c>
      <c r="M649" s="129">
        <f t="shared" si="209"/>
        <v>158</v>
      </c>
      <c r="N649" s="128">
        <f t="shared" si="210"/>
        <v>0.15240000000000001</v>
      </c>
      <c r="O649" s="164">
        <f t="shared" si="211"/>
        <v>0</v>
      </c>
      <c r="P649" s="185">
        <f t="shared" si="212"/>
        <v>0</v>
      </c>
      <c r="Q649" s="185">
        <f t="shared" si="213"/>
        <v>0</v>
      </c>
      <c r="R649" s="162" t="b">
        <f t="shared" si="214"/>
        <v>0</v>
      </c>
    </row>
    <row r="650" spans="1:18">
      <c r="A650" s="129" t="s">
        <v>229</v>
      </c>
      <c r="B650" s="129" t="s">
        <v>3721</v>
      </c>
      <c r="C650" s="129">
        <v>792</v>
      </c>
      <c r="D650" s="129" t="s">
        <v>1349</v>
      </c>
      <c r="E650" s="129">
        <v>283</v>
      </c>
      <c r="F650" s="129">
        <v>0</v>
      </c>
      <c r="G650" s="129">
        <v>79</v>
      </c>
      <c r="H650" s="129">
        <v>0</v>
      </c>
      <c r="I650" s="129">
        <v>27.9</v>
      </c>
      <c r="J650" s="129">
        <v>0</v>
      </c>
      <c r="K650" s="129">
        <v>0</v>
      </c>
      <c r="L650" s="129">
        <f t="shared" si="208"/>
        <v>283</v>
      </c>
      <c r="M650" s="129">
        <f t="shared" si="209"/>
        <v>79</v>
      </c>
      <c r="N650" s="128">
        <f t="shared" si="210"/>
        <v>0.2792</v>
      </c>
      <c r="O650" s="164">
        <f t="shared" si="211"/>
        <v>0</v>
      </c>
      <c r="P650" s="185">
        <f t="shared" si="212"/>
        <v>0</v>
      </c>
      <c r="Q650" s="185">
        <f t="shared" si="213"/>
        <v>0</v>
      </c>
      <c r="R650" s="162" t="b">
        <f t="shared" si="214"/>
        <v>0</v>
      </c>
    </row>
    <row r="651" spans="1:18">
      <c r="A651" s="129" t="s">
        <v>229</v>
      </c>
      <c r="B651" s="129" t="s">
        <v>3721</v>
      </c>
      <c r="C651" s="129">
        <v>793</v>
      </c>
      <c r="D651" s="129" t="s">
        <v>1351</v>
      </c>
      <c r="E651" s="129">
        <v>435</v>
      </c>
      <c r="F651" s="129">
        <v>0</v>
      </c>
      <c r="G651" s="129">
        <v>21</v>
      </c>
      <c r="H651" s="129">
        <v>0</v>
      </c>
      <c r="I651" s="129">
        <v>4.8</v>
      </c>
      <c r="J651" s="129">
        <v>0</v>
      </c>
      <c r="K651" s="129">
        <v>0</v>
      </c>
      <c r="L651" s="129">
        <f t="shared" si="208"/>
        <v>435</v>
      </c>
      <c r="M651" s="129">
        <f t="shared" si="209"/>
        <v>21</v>
      </c>
      <c r="N651" s="128">
        <f t="shared" si="210"/>
        <v>4.8300000000000003E-2</v>
      </c>
      <c r="O651" s="164">
        <f t="shared" si="211"/>
        <v>0</v>
      </c>
      <c r="P651" s="185">
        <f t="shared" si="212"/>
        <v>0</v>
      </c>
      <c r="Q651" s="185">
        <f t="shared" si="213"/>
        <v>0</v>
      </c>
      <c r="R651" s="162" t="b">
        <f t="shared" si="214"/>
        <v>0</v>
      </c>
    </row>
    <row r="652" spans="1:18">
      <c r="A652" s="129" t="s">
        <v>229</v>
      </c>
      <c r="B652" s="129" t="s">
        <v>3721</v>
      </c>
      <c r="C652" s="129">
        <v>929</v>
      </c>
      <c r="D652" s="129" t="s">
        <v>1353</v>
      </c>
      <c r="E652" s="129">
        <v>312</v>
      </c>
      <c r="F652" s="129">
        <v>0</v>
      </c>
      <c r="G652" s="129">
        <v>32</v>
      </c>
      <c r="H652" s="129">
        <v>0</v>
      </c>
      <c r="I652" s="129">
        <v>10.3</v>
      </c>
      <c r="J652" s="129">
        <v>0</v>
      </c>
      <c r="K652" s="129">
        <v>0</v>
      </c>
      <c r="L652" s="129">
        <f t="shared" si="208"/>
        <v>312</v>
      </c>
      <c r="M652" s="129">
        <f t="shared" si="209"/>
        <v>32</v>
      </c>
      <c r="N652" s="128">
        <f t="shared" si="210"/>
        <v>0.1026</v>
      </c>
      <c r="O652" s="164">
        <f t="shared" si="211"/>
        <v>0</v>
      </c>
      <c r="P652" s="185">
        <f t="shared" si="212"/>
        <v>0</v>
      </c>
      <c r="Q652" s="185">
        <f t="shared" si="213"/>
        <v>0</v>
      </c>
      <c r="R652" s="162" t="b">
        <f t="shared" si="214"/>
        <v>0</v>
      </c>
    </row>
    <row r="653" spans="1:18">
      <c r="A653" s="129" t="s">
        <v>229</v>
      </c>
      <c r="B653" s="129" t="s">
        <v>3721</v>
      </c>
      <c r="C653" s="129">
        <v>951</v>
      </c>
      <c r="D653" s="129" t="s">
        <v>1355</v>
      </c>
      <c r="E653" s="129">
        <v>374</v>
      </c>
      <c r="F653" s="129">
        <v>0</v>
      </c>
      <c r="G653" s="129">
        <v>30</v>
      </c>
      <c r="H653" s="129">
        <v>0</v>
      </c>
      <c r="I653" s="129">
        <v>8</v>
      </c>
      <c r="J653" s="129">
        <v>0</v>
      </c>
      <c r="K653" s="129">
        <v>0</v>
      </c>
      <c r="L653" s="129">
        <f t="shared" si="208"/>
        <v>374</v>
      </c>
      <c r="M653" s="129">
        <f t="shared" si="209"/>
        <v>30</v>
      </c>
      <c r="N653" s="128">
        <f t="shared" si="210"/>
        <v>8.0199999999999994E-2</v>
      </c>
      <c r="O653" s="164">
        <f t="shared" si="211"/>
        <v>0</v>
      </c>
      <c r="P653" s="185">
        <f t="shared" si="212"/>
        <v>0</v>
      </c>
      <c r="Q653" s="185">
        <f t="shared" si="213"/>
        <v>0</v>
      </c>
      <c r="R653" s="162" t="b">
        <f t="shared" si="214"/>
        <v>0</v>
      </c>
    </row>
    <row r="654" spans="1:18">
      <c r="A654" s="129" t="s">
        <v>229</v>
      </c>
      <c r="B654" s="129" t="s">
        <v>3721</v>
      </c>
      <c r="C654" s="129">
        <v>954</v>
      </c>
      <c r="D654" s="129" t="s">
        <v>1357</v>
      </c>
      <c r="E654" s="129">
        <v>335</v>
      </c>
      <c r="F654" s="129">
        <v>0</v>
      </c>
      <c r="G654" s="129">
        <v>18</v>
      </c>
      <c r="H654" s="129">
        <v>0</v>
      </c>
      <c r="I654" s="129">
        <v>5.4</v>
      </c>
      <c r="J654" s="129">
        <v>0</v>
      </c>
      <c r="K654" s="129">
        <v>0</v>
      </c>
      <c r="L654" s="129">
        <f t="shared" si="208"/>
        <v>335</v>
      </c>
      <c r="M654" s="129">
        <f t="shared" si="209"/>
        <v>18</v>
      </c>
      <c r="N654" s="128">
        <f t="shared" si="210"/>
        <v>5.3699999999999998E-2</v>
      </c>
      <c r="O654" s="164">
        <f t="shared" si="211"/>
        <v>0</v>
      </c>
      <c r="P654" s="185">
        <f t="shared" si="212"/>
        <v>0</v>
      </c>
      <c r="Q654" s="185">
        <f t="shared" si="213"/>
        <v>0</v>
      </c>
      <c r="R654" s="162" t="b">
        <f t="shared" si="214"/>
        <v>0</v>
      </c>
    </row>
    <row r="655" spans="1:18">
      <c r="A655" s="129" t="s">
        <v>229</v>
      </c>
      <c r="B655" s="129" t="s">
        <v>3721</v>
      </c>
      <c r="C655" s="129">
        <v>957</v>
      </c>
      <c r="D655" s="129" t="s">
        <v>1359</v>
      </c>
      <c r="E655" s="129">
        <v>277</v>
      </c>
      <c r="F655" s="129">
        <v>0</v>
      </c>
      <c r="G655" s="129">
        <v>35</v>
      </c>
      <c r="H655" s="129">
        <v>0</v>
      </c>
      <c r="I655" s="129">
        <v>12.6</v>
      </c>
      <c r="J655" s="129">
        <v>0</v>
      </c>
      <c r="K655" s="129">
        <v>0</v>
      </c>
      <c r="L655" s="129">
        <f t="shared" si="208"/>
        <v>277</v>
      </c>
      <c r="M655" s="129">
        <f t="shared" si="209"/>
        <v>35</v>
      </c>
      <c r="N655" s="128">
        <f t="shared" si="210"/>
        <v>0.12640000000000001</v>
      </c>
      <c r="O655" s="164">
        <f t="shared" si="211"/>
        <v>0</v>
      </c>
      <c r="P655" s="185">
        <f t="shared" si="212"/>
        <v>0</v>
      </c>
      <c r="Q655" s="185">
        <f t="shared" si="213"/>
        <v>0</v>
      </c>
      <c r="R655" s="162" t="b">
        <f t="shared" si="214"/>
        <v>0</v>
      </c>
    </row>
    <row r="656" spans="1:18">
      <c r="A656" s="129" t="s">
        <v>229</v>
      </c>
      <c r="B656" s="129" t="s">
        <v>3721</v>
      </c>
      <c r="C656" s="129">
        <v>1333</v>
      </c>
      <c r="D656" s="129" t="s">
        <v>1361</v>
      </c>
      <c r="E656" s="129">
        <v>283</v>
      </c>
      <c r="F656" s="129">
        <v>0</v>
      </c>
      <c r="G656" s="129">
        <v>36</v>
      </c>
      <c r="H656" s="129">
        <v>0</v>
      </c>
      <c r="I656" s="129">
        <v>12.7</v>
      </c>
      <c r="J656" s="129">
        <v>0</v>
      </c>
      <c r="K656" s="129">
        <v>0</v>
      </c>
      <c r="L656" s="129">
        <f t="shared" si="208"/>
        <v>283</v>
      </c>
      <c r="M656" s="129">
        <f t="shared" si="209"/>
        <v>36</v>
      </c>
      <c r="N656" s="128">
        <f t="shared" si="210"/>
        <v>0.12720000000000001</v>
      </c>
      <c r="O656" s="164">
        <f t="shared" si="211"/>
        <v>0</v>
      </c>
      <c r="P656" s="185">
        <f t="shared" si="212"/>
        <v>0</v>
      </c>
      <c r="Q656" s="185">
        <f t="shared" si="213"/>
        <v>0</v>
      </c>
      <c r="R656" s="162" t="b">
        <f t="shared" si="214"/>
        <v>0</v>
      </c>
    </row>
    <row r="657" spans="1:18">
      <c r="A657" s="129" t="s">
        <v>233</v>
      </c>
      <c r="B657" s="129" t="s">
        <v>3725</v>
      </c>
      <c r="C657" s="129">
        <v>898</v>
      </c>
      <c r="D657" s="129" t="s">
        <v>1511</v>
      </c>
      <c r="E657" s="129">
        <v>362</v>
      </c>
      <c r="F657" s="129">
        <v>0</v>
      </c>
      <c r="G657" s="129">
        <v>200</v>
      </c>
      <c r="H657" s="129">
        <v>0</v>
      </c>
      <c r="I657" s="129">
        <v>55.3</v>
      </c>
      <c r="J657" s="129">
        <v>21</v>
      </c>
      <c r="K657" s="129">
        <v>0</v>
      </c>
      <c r="L657" s="129">
        <f t="shared" si="208"/>
        <v>362</v>
      </c>
      <c r="M657" s="129">
        <f t="shared" si="209"/>
        <v>200</v>
      </c>
      <c r="N657" s="128">
        <f t="shared" si="210"/>
        <v>0.55249999999999999</v>
      </c>
      <c r="O657" s="164">
        <f t="shared" si="211"/>
        <v>0</v>
      </c>
      <c r="P657" s="185">
        <f t="shared" si="212"/>
        <v>21</v>
      </c>
      <c r="Q657" s="185">
        <f t="shared" si="213"/>
        <v>21</v>
      </c>
      <c r="R657" s="162" t="b">
        <f t="shared" si="214"/>
        <v>0</v>
      </c>
    </row>
    <row r="658" spans="1:18">
      <c r="A658" s="129" t="s">
        <v>233</v>
      </c>
      <c r="B658" s="129" t="s">
        <v>3725</v>
      </c>
      <c r="C658" s="129">
        <v>900</v>
      </c>
      <c r="D658" s="129" t="s">
        <v>1513</v>
      </c>
      <c r="E658" s="129">
        <v>427</v>
      </c>
      <c r="F658" s="129">
        <v>0</v>
      </c>
      <c r="G658" s="129">
        <v>277</v>
      </c>
      <c r="H658" s="129">
        <v>0</v>
      </c>
      <c r="I658" s="129">
        <v>64.900000000000006</v>
      </c>
      <c r="J658" s="129">
        <v>29.1</v>
      </c>
      <c r="K658" s="129">
        <v>0</v>
      </c>
      <c r="L658" s="129">
        <f t="shared" si="208"/>
        <v>427</v>
      </c>
      <c r="M658" s="129">
        <f t="shared" si="209"/>
        <v>277</v>
      </c>
      <c r="N658" s="128">
        <f t="shared" si="210"/>
        <v>0.64870000000000005</v>
      </c>
      <c r="O658" s="164">
        <f t="shared" si="211"/>
        <v>0</v>
      </c>
      <c r="P658" s="185">
        <f t="shared" si="212"/>
        <v>29.1</v>
      </c>
      <c r="Q658" s="185">
        <f t="shared" si="213"/>
        <v>29.1</v>
      </c>
      <c r="R658" s="162" t="b">
        <f t="shared" si="214"/>
        <v>0</v>
      </c>
    </row>
    <row r="659" spans="1:18">
      <c r="A659" s="129" t="s">
        <v>233</v>
      </c>
      <c r="B659" s="129" t="s">
        <v>3725</v>
      </c>
      <c r="C659" s="129">
        <v>902</v>
      </c>
      <c r="D659" s="129" t="s">
        <v>1515</v>
      </c>
      <c r="E659" s="129">
        <v>393</v>
      </c>
      <c r="F659" s="129">
        <v>0</v>
      </c>
      <c r="G659" s="129">
        <v>201</v>
      </c>
      <c r="H659" s="129">
        <v>0</v>
      </c>
      <c r="I659" s="129">
        <v>51.2</v>
      </c>
      <c r="J659" s="129">
        <v>21.1</v>
      </c>
      <c r="K659" s="129">
        <v>0</v>
      </c>
      <c r="L659" s="129">
        <f t="shared" si="208"/>
        <v>393</v>
      </c>
      <c r="M659" s="129">
        <f t="shared" si="209"/>
        <v>201</v>
      </c>
      <c r="N659" s="128">
        <f t="shared" si="210"/>
        <v>0.51149999999999995</v>
      </c>
      <c r="O659" s="164">
        <f t="shared" si="211"/>
        <v>0</v>
      </c>
      <c r="P659" s="185">
        <f t="shared" si="212"/>
        <v>21.1</v>
      </c>
      <c r="Q659" s="185">
        <f t="shared" si="213"/>
        <v>21.1</v>
      </c>
      <c r="R659" s="162" t="b">
        <f t="shared" si="214"/>
        <v>0</v>
      </c>
    </row>
    <row r="660" spans="1:18">
      <c r="A660" s="129" t="s">
        <v>233</v>
      </c>
      <c r="B660" s="129" t="s">
        <v>3725</v>
      </c>
      <c r="C660" s="129">
        <v>904</v>
      </c>
      <c r="D660" s="129" t="s">
        <v>1517</v>
      </c>
      <c r="E660" s="129">
        <v>553</v>
      </c>
      <c r="F660" s="129">
        <v>0</v>
      </c>
      <c r="G660" s="129">
        <v>282</v>
      </c>
      <c r="H660" s="129">
        <v>0</v>
      </c>
      <c r="I660" s="129">
        <v>51</v>
      </c>
      <c r="J660" s="129">
        <v>29.6</v>
      </c>
      <c r="K660" s="129">
        <v>0</v>
      </c>
      <c r="L660" s="129">
        <f t="shared" si="208"/>
        <v>553</v>
      </c>
      <c r="M660" s="129">
        <f t="shared" si="209"/>
        <v>282</v>
      </c>
      <c r="N660" s="128">
        <f t="shared" si="210"/>
        <v>0.50990000000000002</v>
      </c>
      <c r="O660" s="164">
        <f t="shared" si="211"/>
        <v>0</v>
      </c>
      <c r="P660" s="185">
        <f t="shared" si="212"/>
        <v>29.6</v>
      </c>
      <c r="Q660" s="185">
        <f t="shared" si="213"/>
        <v>29.6</v>
      </c>
      <c r="R660" s="162" t="b">
        <f t="shared" si="214"/>
        <v>0</v>
      </c>
    </row>
    <row r="661" spans="1:18">
      <c r="A661" s="129" t="s">
        <v>242</v>
      </c>
      <c r="B661" s="129" t="s">
        <v>3734</v>
      </c>
      <c r="C661" s="129">
        <v>1176</v>
      </c>
      <c r="D661" s="129" t="s">
        <v>1561</v>
      </c>
      <c r="E661" s="129">
        <v>38</v>
      </c>
      <c r="F661" s="129">
        <v>0</v>
      </c>
      <c r="G661" s="129">
        <v>13</v>
      </c>
      <c r="H661" s="129">
        <v>0</v>
      </c>
      <c r="I661" s="129">
        <v>34.200000000000003</v>
      </c>
      <c r="J661" s="129">
        <v>0</v>
      </c>
      <c r="K661" s="129">
        <v>0</v>
      </c>
      <c r="L661" s="129">
        <f t="shared" si="208"/>
        <v>38</v>
      </c>
      <c r="M661" s="129">
        <f t="shared" si="209"/>
        <v>13</v>
      </c>
      <c r="N661" s="128">
        <f t="shared" si="210"/>
        <v>0.34210000000000002</v>
      </c>
      <c r="O661" s="164">
        <f t="shared" si="211"/>
        <v>0</v>
      </c>
      <c r="P661" s="185">
        <f t="shared" si="212"/>
        <v>0</v>
      </c>
      <c r="Q661" s="185">
        <f t="shared" si="213"/>
        <v>0</v>
      </c>
      <c r="R661" s="162" t="b">
        <f t="shared" si="214"/>
        <v>0</v>
      </c>
    </row>
    <row r="662" spans="1:18">
      <c r="A662" s="129" t="s">
        <v>242</v>
      </c>
      <c r="B662" s="129" t="s">
        <v>3734</v>
      </c>
      <c r="C662" s="129">
        <v>1178</v>
      </c>
      <c r="D662" s="129" t="s">
        <v>1563</v>
      </c>
      <c r="E662" s="129">
        <v>74</v>
      </c>
      <c r="F662" s="129">
        <v>0</v>
      </c>
      <c r="G662" s="129">
        <v>37</v>
      </c>
      <c r="H662" s="129">
        <v>0</v>
      </c>
      <c r="I662" s="129">
        <v>50</v>
      </c>
      <c r="J662" s="129">
        <v>3.9</v>
      </c>
      <c r="K662" s="129">
        <v>0</v>
      </c>
      <c r="L662" s="129">
        <f t="shared" si="208"/>
        <v>74</v>
      </c>
      <c r="M662" s="129">
        <f t="shared" si="209"/>
        <v>37</v>
      </c>
      <c r="N662" s="128">
        <f t="shared" si="210"/>
        <v>0.5</v>
      </c>
      <c r="O662" s="164">
        <f t="shared" si="211"/>
        <v>0</v>
      </c>
      <c r="P662" s="185">
        <f t="shared" si="212"/>
        <v>3.9</v>
      </c>
      <c r="Q662" s="185">
        <f t="shared" si="213"/>
        <v>3.9</v>
      </c>
      <c r="R662" s="162" t="b">
        <f t="shared" si="214"/>
        <v>0</v>
      </c>
    </row>
    <row r="663" spans="1:18">
      <c r="A663" s="129" t="s">
        <v>242</v>
      </c>
      <c r="B663" s="129" t="s">
        <v>3734</v>
      </c>
      <c r="C663" s="129">
        <v>1182</v>
      </c>
      <c r="D663" s="129" t="s">
        <v>1565</v>
      </c>
      <c r="E663" s="129">
        <v>48</v>
      </c>
      <c r="F663" s="129">
        <v>0</v>
      </c>
      <c r="G663" s="129">
        <v>33</v>
      </c>
      <c r="H663" s="129">
        <v>0</v>
      </c>
      <c r="I663" s="129">
        <v>68.8</v>
      </c>
      <c r="J663" s="129">
        <v>3.5</v>
      </c>
      <c r="K663" s="129">
        <v>0</v>
      </c>
      <c r="L663" s="129">
        <f t="shared" si="208"/>
        <v>48</v>
      </c>
      <c r="M663" s="129">
        <f t="shared" si="209"/>
        <v>33</v>
      </c>
      <c r="N663" s="128">
        <f t="shared" si="210"/>
        <v>0.6875</v>
      </c>
      <c r="O663" s="164">
        <f t="shared" si="211"/>
        <v>0</v>
      </c>
      <c r="P663" s="185">
        <f t="shared" si="212"/>
        <v>3.5</v>
      </c>
      <c r="Q663" s="185">
        <f t="shared" si="213"/>
        <v>3.5</v>
      </c>
      <c r="R663" s="162" t="b">
        <f t="shared" si="214"/>
        <v>0</v>
      </c>
    </row>
    <row r="664" spans="1:18">
      <c r="A664" s="129" t="s">
        <v>268</v>
      </c>
      <c r="B664" s="129" t="s">
        <v>3758</v>
      </c>
      <c r="C664" s="129">
        <v>2156</v>
      </c>
      <c r="D664" s="129" t="s">
        <v>1964</v>
      </c>
      <c r="E664" s="129">
        <v>210</v>
      </c>
      <c r="F664" s="129">
        <v>0</v>
      </c>
      <c r="G664" s="129">
        <v>110</v>
      </c>
      <c r="H664" s="129">
        <v>0</v>
      </c>
      <c r="I664" s="129">
        <v>52.4</v>
      </c>
      <c r="J664" s="129">
        <v>11.6</v>
      </c>
      <c r="K664" s="129">
        <v>0</v>
      </c>
      <c r="L664" s="129">
        <f t="shared" si="208"/>
        <v>210</v>
      </c>
      <c r="M664" s="129">
        <f t="shared" si="209"/>
        <v>110</v>
      </c>
      <c r="N664" s="128">
        <f t="shared" si="210"/>
        <v>0.52380000000000004</v>
      </c>
      <c r="O664" s="164">
        <f t="shared" si="211"/>
        <v>0</v>
      </c>
      <c r="P664" s="185">
        <f t="shared" si="212"/>
        <v>11.6</v>
      </c>
      <c r="Q664" s="185">
        <f t="shared" si="213"/>
        <v>11.6</v>
      </c>
      <c r="R664" s="162" t="b">
        <f t="shared" si="214"/>
        <v>0</v>
      </c>
    </row>
    <row r="665" spans="1:18">
      <c r="A665" s="129" t="s">
        <v>268</v>
      </c>
      <c r="B665" s="129" t="s">
        <v>3758</v>
      </c>
      <c r="C665" s="129">
        <v>2158</v>
      </c>
      <c r="D665" s="129" t="s">
        <v>1966</v>
      </c>
      <c r="E665" s="129">
        <v>78</v>
      </c>
      <c r="F665" s="129">
        <v>0</v>
      </c>
      <c r="G665" s="129">
        <v>32</v>
      </c>
      <c r="H665" s="129">
        <v>0</v>
      </c>
      <c r="I665" s="129">
        <v>41</v>
      </c>
      <c r="J665" s="129">
        <v>0</v>
      </c>
      <c r="K665" s="129">
        <v>1.4</v>
      </c>
      <c r="L665" s="129">
        <f t="shared" si="208"/>
        <v>78</v>
      </c>
      <c r="M665" s="129">
        <f t="shared" si="209"/>
        <v>32</v>
      </c>
      <c r="N665" s="128">
        <f t="shared" si="210"/>
        <v>0.4103</v>
      </c>
      <c r="O665" s="164">
        <f t="shared" si="211"/>
        <v>1.4</v>
      </c>
      <c r="P665" s="185">
        <f t="shared" si="212"/>
        <v>0</v>
      </c>
      <c r="Q665" s="185">
        <f t="shared" si="213"/>
        <v>1.4</v>
      </c>
      <c r="R665" s="162" t="b">
        <f t="shared" si="214"/>
        <v>0</v>
      </c>
    </row>
    <row r="666" spans="1:18">
      <c r="A666" s="129" t="s">
        <v>277</v>
      </c>
      <c r="B666" s="129" t="s">
        <v>3767</v>
      </c>
      <c r="C666" s="129">
        <v>2518</v>
      </c>
      <c r="D666" s="129" t="s">
        <v>2002</v>
      </c>
      <c r="E666" s="129">
        <v>58</v>
      </c>
      <c r="F666" s="129">
        <v>0</v>
      </c>
      <c r="G666" s="129">
        <v>26</v>
      </c>
      <c r="H666" s="129">
        <v>0</v>
      </c>
      <c r="I666" s="129">
        <v>44.8</v>
      </c>
      <c r="J666" s="129">
        <v>0</v>
      </c>
      <c r="K666" s="129">
        <v>1.8</v>
      </c>
      <c r="L666" s="129">
        <f t="shared" si="208"/>
        <v>58</v>
      </c>
      <c r="M666" s="129">
        <f t="shared" si="209"/>
        <v>26</v>
      </c>
      <c r="N666" s="128">
        <f t="shared" si="210"/>
        <v>0.44829999999999998</v>
      </c>
      <c r="O666" s="164">
        <f t="shared" si="211"/>
        <v>1.8</v>
      </c>
      <c r="P666" s="185">
        <f t="shared" si="212"/>
        <v>0</v>
      </c>
      <c r="Q666" s="185">
        <f t="shared" si="213"/>
        <v>1.8</v>
      </c>
      <c r="R666" s="162" t="b">
        <f t="shared" si="214"/>
        <v>0</v>
      </c>
    </row>
    <row r="667" spans="1:18">
      <c r="A667" s="129" t="s">
        <v>277</v>
      </c>
      <c r="B667" s="129" t="s">
        <v>3767</v>
      </c>
      <c r="C667" s="129">
        <v>2520</v>
      </c>
      <c r="D667" s="129" t="s">
        <v>2004</v>
      </c>
      <c r="E667" s="129">
        <v>70</v>
      </c>
      <c r="F667" s="129">
        <v>0</v>
      </c>
      <c r="G667" s="129">
        <v>40</v>
      </c>
      <c r="H667" s="129">
        <v>0</v>
      </c>
      <c r="I667" s="129">
        <v>57.1</v>
      </c>
      <c r="J667" s="129">
        <v>4.2</v>
      </c>
      <c r="K667" s="129">
        <v>0</v>
      </c>
      <c r="L667" s="129">
        <f t="shared" si="208"/>
        <v>70</v>
      </c>
      <c r="M667" s="129">
        <f t="shared" si="209"/>
        <v>40</v>
      </c>
      <c r="N667" s="128">
        <f t="shared" si="210"/>
        <v>0.57140000000000002</v>
      </c>
      <c r="O667" s="164">
        <f t="shared" si="211"/>
        <v>0</v>
      </c>
      <c r="P667" s="185">
        <f t="shared" si="212"/>
        <v>4.2</v>
      </c>
      <c r="Q667" s="185">
        <f t="shared" si="213"/>
        <v>4.2</v>
      </c>
      <c r="R667" s="162" t="b">
        <f t="shared" si="214"/>
        <v>0</v>
      </c>
    </row>
    <row r="668" spans="1:18">
      <c r="A668" s="129" t="s">
        <v>281</v>
      </c>
      <c r="B668" s="129" t="s">
        <v>3771</v>
      </c>
      <c r="C668" s="129">
        <v>2620</v>
      </c>
      <c r="D668" s="129" t="s">
        <v>2022</v>
      </c>
      <c r="E668" s="129">
        <v>360</v>
      </c>
      <c r="F668" s="129">
        <v>0</v>
      </c>
      <c r="G668" s="129">
        <v>106</v>
      </c>
      <c r="H668" s="129">
        <v>0</v>
      </c>
      <c r="I668" s="129">
        <v>29.4</v>
      </c>
      <c r="J668" s="129">
        <v>0</v>
      </c>
      <c r="K668" s="129">
        <v>0</v>
      </c>
      <c r="L668" s="129">
        <f t="shared" si="208"/>
        <v>360</v>
      </c>
      <c r="M668" s="129">
        <f t="shared" si="209"/>
        <v>106</v>
      </c>
      <c r="N668" s="128">
        <f t="shared" si="210"/>
        <v>0.2944</v>
      </c>
      <c r="O668" s="164">
        <f t="shared" si="211"/>
        <v>0</v>
      </c>
      <c r="P668" s="185">
        <f t="shared" si="212"/>
        <v>0</v>
      </c>
      <c r="Q668" s="185">
        <f t="shared" si="213"/>
        <v>0</v>
      </c>
      <c r="R668" s="162" t="b">
        <f t="shared" si="214"/>
        <v>0</v>
      </c>
    </row>
    <row r="669" spans="1:18">
      <c r="A669" s="129" t="s">
        <v>281</v>
      </c>
      <c r="B669" s="129" t="s">
        <v>3771</v>
      </c>
      <c r="C669" s="129">
        <v>2621</v>
      </c>
      <c r="D669" s="129" t="s">
        <v>2024</v>
      </c>
      <c r="E669" s="129">
        <v>178</v>
      </c>
      <c r="F669" s="129">
        <v>0</v>
      </c>
      <c r="G669" s="129">
        <v>46</v>
      </c>
      <c r="H669" s="129">
        <v>0</v>
      </c>
      <c r="I669" s="129">
        <v>25.8</v>
      </c>
      <c r="J669" s="129">
        <v>0</v>
      </c>
      <c r="K669" s="129">
        <v>0</v>
      </c>
      <c r="L669" s="129">
        <f t="shared" si="208"/>
        <v>178</v>
      </c>
      <c r="M669" s="129">
        <f t="shared" si="209"/>
        <v>46</v>
      </c>
      <c r="N669" s="128">
        <f t="shared" si="210"/>
        <v>0.25840000000000002</v>
      </c>
      <c r="O669" s="164">
        <f t="shared" si="211"/>
        <v>0</v>
      </c>
      <c r="P669" s="185">
        <f t="shared" si="212"/>
        <v>0</v>
      </c>
      <c r="Q669" s="185">
        <f t="shared" si="213"/>
        <v>0</v>
      </c>
      <c r="R669" s="162" t="b">
        <f t="shared" si="214"/>
        <v>0</v>
      </c>
    </row>
    <row r="670" spans="1:18">
      <c r="A670" s="129" t="s">
        <v>281</v>
      </c>
      <c r="B670" s="129" t="s">
        <v>3771</v>
      </c>
      <c r="C670" s="129">
        <v>2622</v>
      </c>
      <c r="D670" s="129" t="s">
        <v>2026</v>
      </c>
      <c r="E670" s="129">
        <v>243</v>
      </c>
      <c r="F670" s="129">
        <v>0</v>
      </c>
      <c r="G670" s="129">
        <v>55</v>
      </c>
      <c r="H670" s="129">
        <v>0</v>
      </c>
      <c r="I670" s="129">
        <v>22.6</v>
      </c>
      <c r="J670" s="129">
        <v>0</v>
      </c>
      <c r="K670" s="129">
        <v>0</v>
      </c>
      <c r="L670" s="129">
        <f t="shared" si="208"/>
        <v>243</v>
      </c>
      <c r="M670" s="129">
        <f t="shared" si="209"/>
        <v>55</v>
      </c>
      <c r="N670" s="128">
        <f t="shared" si="210"/>
        <v>0.2263</v>
      </c>
      <c r="O670" s="164">
        <f t="shared" si="211"/>
        <v>0</v>
      </c>
      <c r="P670" s="185">
        <f t="shared" si="212"/>
        <v>0</v>
      </c>
      <c r="Q670" s="185">
        <f t="shared" si="213"/>
        <v>0</v>
      </c>
      <c r="R670" s="162" t="b">
        <f t="shared" si="214"/>
        <v>0</v>
      </c>
    </row>
    <row r="671" spans="1:18">
      <c r="A671" s="129" t="s">
        <v>294</v>
      </c>
      <c r="B671" s="129" t="s">
        <v>3782</v>
      </c>
      <c r="C671" s="129">
        <v>3080</v>
      </c>
      <c r="D671" s="129" t="s">
        <v>2103</v>
      </c>
      <c r="E671" s="129">
        <v>197</v>
      </c>
      <c r="F671" s="129">
        <v>0</v>
      </c>
      <c r="G671" s="129">
        <v>53</v>
      </c>
      <c r="H671" s="129">
        <v>0</v>
      </c>
      <c r="I671" s="129">
        <v>26.9</v>
      </c>
      <c r="J671" s="129">
        <v>0</v>
      </c>
      <c r="K671" s="129">
        <v>0</v>
      </c>
      <c r="L671" s="129">
        <f t="shared" si="208"/>
        <v>197</v>
      </c>
      <c r="M671" s="129">
        <f t="shared" si="209"/>
        <v>53</v>
      </c>
      <c r="N671" s="128">
        <f t="shared" si="210"/>
        <v>0.26900000000000002</v>
      </c>
      <c r="O671" s="164">
        <f t="shared" si="211"/>
        <v>0</v>
      </c>
      <c r="P671" s="185">
        <f t="shared" si="212"/>
        <v>0</v>
      </c>
      <c r="Q671" s="185">
        <f t="shared" si="213"/>
        <v>0</v>
      </c>
      <c r="R671" s="162" t="b">
        <f t="shared" si="214"/>
        <v>0</v>
      </c>
    </row>
    <row r="672" spans="1:18">
      <c r="A672" s="129" t="s">
        <v>294</v>
      </c>
      <c r="B672" s="129" t="s">
        <v>3782</v>
      </c>
      <c r="C672" s="129">
        <v>3082</v>
      </c>
      <c r="D672" s="129" t="s">
        <v>2105</v>
      </c>
      <c r="E672" s="129">
        <v>217</v>
      </c>
      <c r="F672" s="129">
        <v>0</v>
      </c>
      <c r="G672" s="129">
        <v>78</v>
      </c>
      <c r="H672" s="129">
        <v>0</v>
      </c>
      <c r="I672" s="129">
        <v>35.9</v>
      </c>
      <c r="J672" s="129">
        <v>0</v>
      </c>
      <c r="K672" s="129">
        <v>0.5</v>
      </c>
      <c r="L672" s="129">
        <f t="shared" si="208"/>
        <v>217</v>
      </c>
      <c r="M672" s="129">
        <f t="shared" si="209"/>
        <v>78</v>
      </c>
      <c r="N672" s="128">
        <f t="shared" si="210"/>
        <v>0.3594</v>
      </c>
      <c r="O672" s="164">
        <f t="shared" si="211"/>
        <v>0.5</v>
      </c>
      <c r="P672" s="185">
        <f t="shared" si="212"/>
        <v>0</v>
      </c>
      <c r="Q672" s="185">
        <f t="shared" si="213"/>
        <v>0.5</v>
      </c>
      <c r="R672" s="162" t="b">
        <f t="shared" si="214"/>
        <v>0</v>
      </c>
    </row>
    <row r="673" spans="1:18">
      <c r="A673" s="129" t="s">
        <v>296</v>
      </c>
      <c r="B673" s="129" t="s">
        <v>3784</v>
      </c>
      <c r="C673" s="129">
        <v>3164</v>
      </c>
      <c r="D673" s="129" t="s">
        <v>2125</v>
      </c>
      <c r="E673" s="129">
        <v>181</v>
      </c>
      <c r="F673" s="129">
        <v>0</v>
      </c>
      <c r="G673" s="129">
        <v>92</v>
      </c>
      <c r="H673" s="129">
        <v>0</v>
      </c>
      <c r="I673" s="129">
        <v>50.8</v>
      </c>
      <c r="J673" s="129">
        <v>9.6999999999999993</v>
      </c>
      <c r="K673" s="129">
        <v>0</v>
      </c>
      <c r="L673" s="129">
        <f t="shared" si="208"/>
        <v>181</v>
      </c>
      <c r="M673" s="129">
        <f t="shared" si="209"/>
        <v>92</v>
      </c>
      <c r="N673" s="128">
        <f t="shared" si="210"/>
        <v>0.50829999999999997</v>
      </c>
      <c r="O673" s="164">
        <f t="shared" si="211"/>
        <v>0</v>
      </c>
      <c r="P673" s="185">
        <f t="shared" si="212"/>
        <v>9.6999999999999993</v>
      </c>
      <c r="Q673" s="185">
        <f t="shared" si="213"/>
        <v>9.6999999999999993</v>
      </c>
      <c r="R673" s="162" t="b">
        <f t="shared" si="214"/>
        <v>0</v>
      </c>
    </row>
    <row r="674" spans="1:18">
      <c r="A674" s="129" t="s">
        <v>296</v>
      </c>
      <c r="B674" s="129" t="s">
        <v>3784</v>
      </c>
      <c r="C674" s="129">
        <v>3166</v>
      </c>
      <c r="D674" s="129" t="s">
        <v>2127</v>
      </c>
      <c r="E674" s="129">
        <v>293</v>
      </c>
      <c r="F674" s="129">
        <v>0</v>
      </c>
      <c r="G674" s="129">
        <v>115</v>
      </c>
      <c r="H674" s="129">
        <v>0</v>
      </c>
      <c r="I674" s="129">
        <v>39.299999999999997</v>
      </c>
      <c r="J674" s="129">
        <v>0</v>
      </c>
      <c r="K674" s="129">
        <v>3.4</v>
      </c>
      <c r="L674" s="129">
        <f t="shared" si="208"/>
        <v>293</v>
      </c>
      <c r="M674" s="129">
        <f t="shared" si="209"/>
        <v>115</v>
      </c>
      <c r="N674" s="128">
        <f t="shared" si="210"/>
        <v>0.39250000000000002</v>
      </c>
      <c r="O674" s="164">
        <f t="shared" si="211"/>
        <v>3.4</v>
      </c>
      <c r="P674" s="185">
        <f t="shared" si="212"/>
        <v>0</v>
      </c>
      <c r="Q674" s="185">
        <f t="shared" si="213"/>
        <v>3.4</v>
      </c>
      <c r="R674" s="162" t="b">
        <f t="shared" si="214"/>
        <v>0</v>
      </c>
    </row>
    <row r="675" spans="1:18">
      <c r="A675" s="129" t="s">
        <v>296</v>
      </c>
      <c r="B675" s="129" t="s">
        <v>3784</v>
      </c>
      <c r="C675" s="129">
        <v>3168</v>
      </c>
      <c r="D675" s="129" t="s">
        <v>2129</v>
      </c>
      <c r="E675" s="129">
        <v>129</v>
      </c>
      <c r="F675" s="129">
        <v>0</v>
      </c>
      <c r="G675" s="129">
        <v>60</v>
      </c>
      <c r="H675" s="129">
        <v>0</v>
      </c>
      <c r="I675" s="129">
        <v>46.5</v>
      </c>
      <c r="J675" s="129">
        <v>0</v>
      </c>
      <c r="K675" s="129">
        <v>4.8</v>
      </c>
      <c r="L675" s="129">
        <f t="shared" si="208"/>
        <v>129</v>
      </c>
      <c r="M675" s="129">
        <f t="shared" si="209"/>
        <v>60</v>
      </c>
      <c r="N675" s="128">
        <f t="shared" si="210"/>
        <v>0.46510000000000001</v>
      </c>
      <c r="O675" s="164">
        <f t="shared" si="211"/>
        <v>4.8</v>
      </c>
      <c r="P675" s="185">
        <f t="shared" si="212"/>
        <v>0</v>
      </c>
      <c r="Q675" s="185">
        <f t="shared" si="213"/>
        <v>4.8</v>
      </c>
      <c r="R675" s="162" t="b">
        <f t="shared" si="214"/>
        <v>0</v>
      </c>
    </row>
    <row r="676" spans="1:18">
      <c r="A676" s="129" t="s">
        <v>296</v>
      </c>
      <c r="B676" s="129" t="s">
        <v>3784</v>
      </c>
      <c r="C676" s="129">
        <v>3170</v>
      </c>
      <c r="D676" s="129" t="s">
        <v>2131</v>
      </c>
      <c r="E676" s="129">
        <v>308</v>
      </c>
      <c r="F676" s="129">
        <v>0</v>
      </c>
      <c r="G676" s="129">
        <v>135</v>
      </c>
      <c r="H676" s="129">
        <v>0</v>
      </c>
      <c r="I676" s="129">
        <v>43.8</v>
      </c>
      <c r="J676" s="129">
        <v>0</v>
      </c>
      <c r="K676" s="129">
        <v>8.3000000000000007</v>
      </c>
      <c r="L676" s="129">
        <f t="shared" si="208"/>
        <v>308</v>
      </c>
      <c r="M676" s="129">
        <f t="shared" si="209"/>
        <v>135</v>
      </c>
      <c r="N676" s="128">
        <f t="shared" si="210"/>
        <v>0.43830000000000002</v>
      </c>
      <c r="O676" s="164">
        <f t="shared" si="211"/>
        <v>8.3000000000000007</v>
      </c>
      <c r="P676" s="185">
        <f t="shared" si="212"/>
        <v>0</v>
      </c>
      <c r="Q676" s="185">
        <f t="shared" si="213"/>
        <v>8.3000000000000007</v>
      </c>
      <c r="R676" s="162" t="b">
        <f t="shared" si="214"/>
        <v>0</v>
      </c>
    </row>
    <row r="677" spans="1:18">
      <c r="A677" s="129" t="s">
        <v>306</v>
      </c>
      <c r="B677" s="129" t="s">
        <v>3794</v>
      </c>
      <c r="C677" s="129">
        <v>3454</v>
      </c>
      <c r="D677" s="129" t="s">
        <v>2189</v>
      </c>
      <c r="E677" s="129">
        <v>85</v>
      </c>
      <c r="F677" s="129">
        <v>0</v>
      </c>
      <c r="G677" s="129">
        <v>27</v>
      </c>
      <c r="H677" s="129">
        <v>0</v>
      </c>
      <c r="I677" s="129">
        <v>31.8</v>
      </c>
      <c r="J677" s="129">
        <v>0</v>
      </c>
      <c r="K677" s="129">
        <v>0</v>
      </c>
      <c r="L677" s="129">
        <f t="shared" si="208"/>
        <v>85</v>
      </c>
      <c r="M677" s="129">
        <f t="shared" si="209"/>
        <v>27</v>
      </c>
      <c r="N677" s="128">
        <f t="shared" si="210"/>
        <v>0.31759999999999999</v>
      </c>
      <c r="O677" s="164">
        <f t="shared" si="211"/>
        <v>0</v>
      </c>
      <c r="P677" s="185">
        <f t="shared" si="212"/>
        <v>0</v>
      </c>
      <c r="Q677" s="185">
        <f t="shared" si="213"/>
        <v>0</v>
      </c>
      <c r="R677" s="162" t="b">
        <f t="shared" si="214"/>
        <v>0</v>
      </c>
    </row>
    <row r="678" spans="1:18">
      <c r="A678" s="129" t="s">
        <v>306</v>
      </c>
      <c r="B678" s="129" t="s">
        <v>3794</v>
      </c>
      <c r="C678" s="129">
        <v>3456</v>
      </c>
      <c r="D678" s="129" t="s">
        <v>2191</v>
      </c>
      <c r="E678" s="129">
        <v>151</v>
      </c>
      <c r="F678" s="129">
        <v>0</v>
      </c>
      <c r="G678" s="129">
        <v>64</v>
      </c>
      <c r="H678" s="129">
        <v>0</v>
      </c>
      <c r="I678" s="129">
        <v>42.4</v>
      </c>
      <c r="J678" s="129">
        <v>0</v>
      </c>
      <c r="K678" s="129">
        <v>3.3</v>
      </c>
      <c r="L678" s="129">
        <f t="shared" si="208"/>
        <v>151</v>
      </c>
      <c r="M678" s="129">
        <f t="shared" si="209"/>
        <v>64</v>
      </c>
      <c r="N678" s="128">
        <f t="shared" si="210"/>
        <v>0.42380000000000001</v>
      </c>
      <c r="O678" s="164">
        <f t="shared" si="211"/>
        <v>3.3</v>
      </c>
      <c r="P678" s="185">
        <f t="shared" si="212"/>
        <v>0</v>
      </c>
      <c r="Q678" s="185">
        <f t="shared" si="213"/>
        <v>3.3</v>
      </c>
      <c r="R678" s="162" t="b">
        <f t="shared" si="214"/>
        <v>0</v>
      </c>
    </row>
    <row r="679" spans="1:18">
      <c r="A679" s="129" t="s">
        <v>306</v>
      </c>
      <c r="B679" s="129" t="s">
        <v>3794</v>
      </c>
      <c r="C679" s="129">
        <v>3458</v>
      </c>
      <c r="D679" s="129" t="s">
        <v>2193</v>
      </c>
      <c r="E679" s="129">
        <v>91</v>
      </c>
      <c r="F679" s="129">
        <v>0</v>
      </c>
      <c r="G679" s="129">
        <v>25</v>
      </c>
      <c r="H679" s="129">
        <v>0</v>
      </c>
      <c r="I679" s="129">
        <v>27.5</v>
      </c>
      <c r="J679" s="129">
        <v>0</v>
      </c>
      <c r="K679" s="129">
        <v>0</v>
      </c>
      <c r="L679" s="129">
        <f t="shared" si="208"/>
        <v>91</v>
      </c>
      <c r="M679" s="129">
        <f t="shared" si="209"/>
        <v>25</v>
      </c>
      <c r="N679" s="128">
        <f t="shared" si="210"/>
        <v>0.2747</v>
      </c>
      <c r="O679" s="164">
        <f t="shared" si="211"/>
        <v>0</v>
      </c>
      <c r="P679" s="185">
        <f t="shared" si="212"/>
        <v>0</v>
      </c>
      <c r="Q679" s="185">
        <f t="shared" si="213"/>
        <v>0</v>
      </c>
      <c r="R679" s="162" t="b">
        <f t="shared" si="214"/>
        <v>0</v>
      </c>
    </row>
    <row r="680" spans="1:18">
      <c r="A680" s="129" t="s">
        <v>336</v>
      </c>
      <c r="B680" s="129" t="s">
        <v>4141</v>
      </c>
      <c r="C680" s="129">
        <v>4318</v>
      </c>
      <c r="D680" s="129" t="s">
        <v>2364</v>
      </c>
      <c r="E680" s="129">
        <v>228</v>
      </c>
      <c r="F680" s="129">
        <v>0</v>
      </c>
      <c r="G680" s="129">
        <v>82</v>
      </c>
      <c r="H680" s="129">
        <v>0</v>
      </c>
      <c r="I680" s="129">
        <v>36</v>
      </c>
      <c r="J680" s="129">
        <v>0</v>
      </c>
      <c r="K680" s="129">
        <v>0.6</v>
      </c>
      <c r="L680" s="129">
        <f t="shared" si="208"/>
        <v>228</v>
      </c>
      <c r="M680" s="129">
        <f t="shared" si="209"/>
        <v>82</v>
      </c>
      <c r="N680" s="128">
        <f t="shared" si="210"/>
        <v>0.35959999999999998</v>
      </c>
      <c r="O680" s="164">
        <f t="shared" si="211"/>
        <v>0.6</v>
      </c>
      <c r="P680" s="185">
        <f t="shared" si="212"/>
        <v>0</v>
      </c>
      <c r="Q680" s="185">
        <f t="shared" si="213"/>
        <v>0.6</v>
      </c>
      <c r="R680" s="162" t="b">
        <f t="shared" si="214"/>
        <v>0</v>
      </c>
    </row>
    <row r="681" spans="1:18">
      <c r="A681" s="129" t="s">
        <v>336</v>
      </c>
      <c r="B681" s="129" t="s">
        <v>4141</v>
      </c>
      <c r="C681" s="129">
        <v>4320</v>
      </c>
      <c r="D681" s="129" t="s">
        <v>4142</v>
      </c>
      <c r="E681" s="129">
        <v>78</v>
      </c>
      <c r="F681" s="129">
        <v>0</v>
      </c>
      <c r="G681" s="129">
        <v>29</v>
      </c>
      <c r="H681" s="129">
        <v>0</v>
      </c>
      <c r="I681" s="129">
        <v>37.200000000000003</v>
      </c>
      <c r="J681" s="129">
        <v>0</v>
      </c>
      <c r="K681" s="129">
        <v>0.4</v>
      </c>
      <c r="L681" s="129">
        <f t="shared" si="208"/>
        <v>78</v>
      </c>
      <c r="M681" s="129">
        <f t="shared" si="209"/>
        <v>29</v>
      </c>
      <c r="N681" s="128">
        <f t="shared" si="210"/>
        <v>0.37180000000000002</v>
      </c>
      <c r="O681" s="164">
        <f t="shared" si="211"/>
        <v>0.4</v>
      </c>
      <c r="P681" s="185">
        <f t="shared" si="212"/>
        <v>0</v>
      </c>
      <c r="Q681" s="185">
        <f t="shared" si="213"/>
        <v>0.4</v>
      </c>
      <c r="R681" s="162" t="b">
        <f t="shared" si="214"/>
        <v>0</v>
      </c>
    </row>
    <row r="682" spans="1:18">
      <c r="A682" s="129" t="s">
        <v>336</v>
      </c>
      <c r="B682" s="129" t="s">
        <v>4141</v>
      </c>
      <c r="C682" s="129">
        <v>4322</v>
      </c>
      <c r="D682" s="129" t="s">
        <v>2368</v>
      </c>
      <c r="E682" s="129">
        <v>153</v>
      </c>
      <c r="F682" s="129">
        <v>0</v>
      </c>
      <c r="G682" s="129">
        <v>44</v>
      </c>
      <c r="H682" s="129">
        <v>0</v>
      </c>
      <c r="I682" s="129">
        <v>28.8</v>
      </c>
      <c r="J682" s="129">
        <v>0</v>
      </c>
      <c r="K682" s="129">
        <v>0</v>
      </c>
      <c r="L682" s="129">
        <f t="shared" si="208"/>
        <v>153</v>
      </c>
      <c r="M682" s="129">
        <f t="shared" si="209"/>
        <v>44</v>
      </c>
      <c r="N682" s="128">
        <f t="shared" si="210"/>
        <v>0.28760000000000002</v>
      </c>
      <c r="O682" s="164">
        <f t="shared" si="211"/>
        <v>0</v>
      </c>
      <c r="P682" s="185">
        <f t="shared" si="212"/>
        <v>0</v>
      </c>
      <c r="Q682" s="185">
        <f t="shared" si="213"/>
        <v>0</v>
      </c>
      <c r="R682" s="162" t="b">
        <f t="shared" si="214"/>
        <v>0</v>
      </c>
    </row>
    <row r="683" spans="1:18">
      <c r="A683" s="129" t="s">
        <v>344</v>
      </c>
      <c r="B683" s="129" t="s">
        <v>3827</v>
      </c>
      <c r="C683" s="129">
        <v>4516</v>
      </c>
      <c r="D683" s="129" t="s">
        <v>2407</v>
      </c>
      <c r="E683" s="129">
        <v>207</v>
      </c>
      <c r="F683" s="129">
        <v>0</v>
      </c>
      <c r="G683" s="129">
        <v>104</v>
      </c>
      <c r="H683" s="129">
        <v>0</v>
      </c>
      <c r="I683" s="129">
        <v>50.2</v>
      </c>
      <c r="J683" s="129">
        <v>10.9</v>
      </c>
      <c r="K683" s="129">
        <v>0</v>
      </c>
      <c r="L683" s="129">
        <f t="shared" si="208"/>
        <v>207</v>
      </c>
      <c r="M683" s="129">
        <f t="shared" si="209"/>
        <v>104</v>
      </c>
      <c r="N683" s="128">
        <f t="shared" si="210"/>
        <v>0.50239999999999996</v>
      </c>
      <c r="O683" s="164">
        <f t="shared" si="211"/>
        <v>0</v>
      </c>
      <c r="P683" s="185">
        <f t="shared" si="212"/>
        <v>10.9</v>
      </c>
      <c r="Q683" s="185">
        <f t="shared" si="213"/>
        <v>10.9</v>
      </c>
      <c r="R683" s="162" t="b">
        <f t="shared" si="214"/>
        <v>0</v>
      </c>
    </row>
    <row r="684" spans="1:18">
      <c r="A684" s="129" t="s">
        <v>344</v>
      </c>
      <c r="B684" s="129" t="s">
        <v>3827</v>
      </c>
      <c r="C684" s="129">
        <v>4517</v>
      </c>
      <c r="D684" s="129" t="s">
        <v>2409</v>
      </c>
      <c r="E684" s="129">
        <v>221</v>
      </c>
      <c r="F684" s="129">
        <v>0</v>
      </c>
      <c r="G684" s="129">
        <v>115</v>
      </c>
      <c r="H684" s="129">
        <v>0</v>
      </c>
      <c r="I684" s="129">
        <v>52</v>
      </c>
      <c r="J684" s="129">
        <v>12.1</v>
      </c>
      <c r="K684" s="129">
        <v>0</v>
      </c>
      <c r="L684" s="129">
        <f t="shared" si="208"/>
        <v>221</v>
      </c>
      <c r="M684" s="129">
        <f t="shared" si="209"/>
        <v>115</v>
      </c>
      <c r="N684" s="128">
        <f t="shared" si="210"/>
        <v>0.52039999999999997</v>
      </c>
      <c r="O684" s="164">
        <f t="shared" si="211"/>
        <v>0</v>
      </c>
      <c r="P684" s="185">
        <f t="shared" si="212"/>
        <v>12.1</v>
      </c>
      <c r="Q684" s="185">
        <f t="shared" si="213"/>
        <v>12.1</v>
      </c>
      <c r="R684" s="162" t="b">
        <f t="shared" si="214"/>
        <v>0</v>
      </c>
    </row>
    <row r="685" spans="1:18">
      <c r="A685" s="129" t="s">
        <v>344</v>
      </c>
      <c r="B685" s="129" t="s">
        <v>3827</v>
      </c>
      <c r="C685" s="129">
        <v>4518</v>
      </c>
      <c r="D685" s="129" t="s">
        <v>2411</v>
      </c>
      <c r="E685" s="129">
        <v>311</v>
      </c>
      <c r="F685" s="129">
        <v>0</v>
      </c>
      <c r="G685" s="129">
        <v>138</v>
      </c>
      <c r="H685" s="129">
        <v>0</v>
      </c>
      <c r="I685" s="129">
        <v>44.4</v>
      </c>
      <c r="J685" s="129">
        <v>0</v>
      </c>
      <c r="K685" s="129">
        <v>9.1</v>
      </c>
      <c r="L685" s="129">
        <f t="shared" si="208"/>
        <v>311</v>
      </c>
      <c r="M685" s="129">
        <f t="shared" si="209"/>
        <v>138</v>
      </c>
      <c r="N685" s="128">
        <f t="shared" si="210"/>
        <v>0.44369999999999998</v>
      </c>
      <c r="O685" s="164">
        <f t="shared" si="211"/>
        <v>9.1</v>
      </c>
      <c r="P685" s="185">
        <f t="shared" si="212"/>
        <v>0</v>
      </c>
      <c r="Q685" s="185">
        <f t="shared" si="213"/>
        <v>9.1</v>
      </c>
      <c r="R685" s="162" t="b">
        <f t="shared" si="214"/>
        <v>0</v>
      </c>
    </row>
    <row r="686" spans="1:18">
      <c r="A686" s="129" t="s">
        <v>344</v>
      </c>
      <c r="B686" s="129" t="s">
        <v>3827</v>
      </c>
      <c r="C686" s="129">
        <v>4519</v>
      </c>
      <c r="D686" s="129" t="s">
        <v>2413</v>
      </c>
      <c r="E686" s="129">
        <v>225</v>
      </c>
      <c r="F686" s="129">
        <v>0</v>
      </c>
      <c r="G686" s="129">
        <v>99</v>
      </c>
      <c r="H686" s="129">
        <v>0</v>
      </c>
      <c r="I686" s="129">
        <v>44</v>
      </c>
      <c r="J686" s="129">
        <v>0</v>
      </c>
      <c r="K686" s="129">
        <v>6.2</v>
      </c>
      <c r="L686" s="129">
        <f t="shared" si="208"/>
        <v>225</v>
      </c>
      <c r="M686" s="129">
        <f t="shared" si="209"/>
        <v>99</v>
      </c>
      <c r="N686" s="128">
        <f t="shared" si="210"/>
        <v>0.44</v>
      </c>
      <c r="O686" s="164">
        <f t="shared" si="211"/>
        <v>6.2</v>
      </c>
      <c r="P686" s="185">
        <f t="shared" si="212"/>
        <v>0</v>
      </c>
      <c r="Q686" s="185">
        <f t="shared" si="213"/>
        <v>6.2</v>
      </c>
      <c r="R686" s="162" t="b">
        <f t="shared" si="214"/>
        <v>0</v>
      </c>
    </row>
    <row r="687" spans="1:18">
      <c r="A687" s="129" t="s">
        <v>422</v>
      </c>
      <c r="B687" s="129" t="s">
        <v>3898</v>
      </c>
      <c r="C687" s="129">
        <v>6982</v>
      </c>
      <c r="D687" s="129" t="s">
        <v>2926</v>
      </c>
      <c r="E687" s="129">
        <v>237</v>
      </c>
      <c r="F687" s="129">
        <v>0</v>
      </c>
      <c r="G687" s="129">
        <v>114</v>
      </c>
      <c r="H687" s="129">
        <v>0</v>
      </c>
      <c r="I687" s="129">
        <v>48.1</v>
      </c>
      <c r="J687" s="129">
        <v>0</v>
      </c>
      <c r="K687" s="129">
        <v>10.5</v>
      </c>
      <c r="L687" s="129">
        <f t="shared" ref="L687:L690" si="215">SUM(E687:F687)</f>
        <v>237</v>
      </c>
      <c r="M687" s="129">
        <f t="shared" ref="M687:M690" si="216">SUM(G687:H687)</f>
        <v>114</v>
      </c>
      <c r="N687" s="128">
        <f t="shared" ref="N687:N690" si="217">IF(ISERROR(M687/L687),0,M687/L687)</f>
        <v>0.48099999999999998</v>
      </c>
      <c r="O687" s="164">
        <f t="shared" ref="O687:O690" si="218">IF(AND((N687-35%)&gt;0,N687&lt;50%),M687*(N687-35%)*0.7,0)</f>
        <v>10.5</v>
      </c>
      <c r="P687" s="185">
        <f t="shared" ref="P687:P690" si="219">IF(N687&gt;=50%,M687*10.5%,0)</f>
        <v>0</v>
      </c>
      <c r="Q687" s="185">
        <f t="shared" ref="Q687:Q690" si="220">MAX(O687,P687)</f>
        <v>10.5</v>
      </c>
      <c r="R687" s="162" t="b">
        <f t="shared" si="214"/>
        <v>0</v>
      </c>
    </row>
    <row r="688" spans="1:18">
      <c r="A688" s="129" t="s">
        <v>422</v>
      </c>
      <c r="B688" s="129" t="s">
        <v>3898</v>
      </c>
      <c r="C688" s="129">
        <v>6984</v>
      </c>
      <c r="D688" s="129" t="s">
        <v>2928</v>
      </c>
      <c r="E688" s="129">
        <v>185</v>
      </c>
      <c r="F688" s="129">
        <v>0</v>
      </c>
      <c r="G688" s="129">
        <v>93</v>
      </c>
      <c r="H688" s="129">
        <v>0</v>
      </c>
      <c r="I688" s="129">
        <v>50.3</v>
      </c>
      <c r="J688" s="129">
        <v>9.8000000000000007</v>
      </c>
      <c r="K688" s="129">
        <v>0</v>
      </c>
      <c r="L688" s="129">
        <f t="shared" si="215"/>
        <v>185</v>
      </c>
      <c r="M688" s="129">
        <f t="shared" si="216"/>
        <v>93</v>
      </c>
      <c r="N688" s="128">
        <f t="shared" si="217"/>
        <v>0.50270000000000004</v>
      </c>
      <c r="O688" s="164">
        <f t="shared" si="218"/>
        <v>0</v>
      </c>
      <c r="P688" s="185">
        <f t="shared" si="219"/>
        <v>9.8000000000000007</v>
      </c>
      <c r="Q688" s="185">
        <f t="shared" si="220"/>
        <v>9.8000000000000007</v>
      </c>
      <c r="R688" s="162" t="b">
        <f t="shared" si="214"/>
        <v>0</v>
      </c>
    </row>
    <row r="689" spans="1:18">
      <c r="A689" s="129" t="s">
        <v>458</v>
      </c>
      <c r="B689" s="129" t="s">
        <v>3933</v>
      </c>
      <c r="C689" s="129">
        <v>8110</v>
      </c>
      <c r="D689" s="129" t="s">
        <v>3215</v>
      </c>
      <c r="E689" s="129">
        <v>304</v>
      </c>
      <c r="F689" s="129">
        <v>0</v>
      </c>
      <c r="G689" s="129">
        <v>208</v>
      </c>
      <c r="H689" s="129">
        <v>0</v>
      </c>
      <c r="I689" s="129">
        <v>68.400000000000006</v>
      </c>
      <c r="J689" s="129">
        <v>21.8</v>
      </c>
      <c r="K689" s="129">
        <v>0</v>
      </c>
      <c r="L689" s="129">
        <f t="shared" si="215"/>
        <v>304</v>
      </c>
      <c r="M689" s="129">
        <f t="shared" si="216"/>
        <v>208</v>
      </c>
      <c r="N689" s="128">
        <f t="shared" si="217"/>
        <v>0.68420000000000003</v>
      </c>
      <c r="O689" s="164">
        <f t="shared" si="218"/>
        <v>0</v>
      </c>
      <c r="P689" s="185">
        <f t="shared" si="219"/>
        <v>21.8</v>
      </c>
      <c r="Q689" s="185">
        <f t="shared" si="220"/>
        <v>21.8</v>
      </c>
      <c r="R689" s="162" t="b">
        <f t="shared" si="214"/>
        <v>0</v>
      </c>
    </row>
    <row r="690" spans="1:18">
      <c r="A690" s="129" t="s">
        <v>458</v>
      </c>
      <c r="B690" s="129" t="s">
        <v>3933</v>
      </c>
      <c r="C690" s="129">
        <v>8114</v>
      </c>
      <c r="D690" s="129" t="s">
        <v>3217</v>
      </c>
      <c r="E690" s="129">
        <v>222</v>
      </c>
      <c r="F690" s="129">
        <v>0</v>
      </c>
      <c r="G690" s="129">
        <v>118</v>
      </c>
      <c r="H690" s="129">
        <v>0</v>
      </c>
      <c r="I690" s="129">
        <v>53.2</v>
      </c>
      <c r="J690" s="129">
        <v>12.4</v>
      </c>
      <c r="K690" s="129">
        <v>0</v>
      </c>
      <c r="L690" s="129">
        <f t="shared" si="215"/>
        <v>222</v>
      </c>
      <c r="M690" s="129">
        <f t="shared" si="216"/>
        <v>118</v>
      </c>
      <c r="N690" s="128">
        <f t="shared" si="217"/>
        <v>0.53149999999999997</v>
      </c>
      <c r="O690" s="164">
        <f t="shared" si="218"/>
        <v>0</v>
      </c>
      <c r="P690" s="185">
        <f t="shared" si="219"/>
        <v>12.4</v>
      </c>
      <c r="Q690" s="185">
        <f t="shared" si="220"/>
        <v>12.4</v>
      </c>
      <c r="R690" s="162" t="b">
        <f t="shared" si="214"/>
        <v>0</v>
      </c>
    </row>
    <row r="691" spans="1:18">
      <c r="A691" s="129" t="s">
        <v>191</v>
      </c>
      <c r="B691" s="129" t="s">
        <v>1019</v>
      </c>
      <c r="C691" s="129">
        <v>124</v>
      </c>
      <c r="D691" s="129" t="s">
        <v>1056</v>
      </c>
      <c r="E691" s="129">
        <v>319</v>
      </c>
      <c r="F691" s="129">
        <v>0</v>
      </c>
      <c r="G691" s="129">
        <v>104</v>
      </c>
      <c r="H691" s="129">
        <v>0</v>
      </c>
      <c r="I691" s="129">
        <v>32.6</v>
      </c>
      <c r="J691" s="129">
        <v>0</v>
      </c>
      <c r="K691" s="129">
        <v>0</v>
      </c>
      <c r="L691" s="129">
        <f t="shared" ref="L691:L727" si="221">SUM(E691:F691)</f>
        <v>319</v>
      </c>
      <c r="M691" s="129">
        <f t="shared" ref="M691:M727" si="222">SUM(G691:H691)</f>
        <v>104</v>
      </c>
      <c r="N691" s="128">
        <f t="shared" ref="N691:N727" si="223">IF(ISERROR(M691/L691),0,M691/L691)</f>
        <v>0.32600000000000001</v>
      </c>
      <c r="O691" s="164">
        <f t="shared" ref="O691:O727" si="224">IF(AND((N691-35%)&gt;0,N691&lt;50%),M691*(N691-35%)*0.7,0)</f>
        <v>0</v>
      </c>
      <c r="P691" s="185">
        <f t="shared" ref="P691:P727" si="225">IF(N691&gt;=50%,M691*10.5%,0)</f>
        <v>0</v>
      </c>
      <c r="Q691" s="185">
        <f t="shared" ref="Q691:Q727" si="226">MAX(O691,P691)</f>
        <v>0</v>
      </c>
      <c r="R691" s="162" t="b">
        <f t="shared" si="214"/>
        <v>0</v>
      </c>
    </row>
    <row r="692" spans="1:18">
      <c r="A692" s="129" t="s">
        <v>191</v>
      </c>
      <c r="B692" s="129" t="s">
        <v>1019</v>
      </c>
      <c r="C692" s="129">
        <v>125</v>
      </c>
      <c r="D692" s="129" t="s">
        <v>1058</v>
      </c>
      <c r="E692" s="129">
        <v>282</v>
      </c>
      <c r="F692" s="129">
        <v>0</v>
      </c>
      <c r="G692" s="129">
        <v>90</v>
      </c>
      <c r="H692" s="129">
        <v>0</v>
      </c>
      <c r="I692" s="129">
        <v>31.9</v>
      </c>
      <c r="J692" s="129">
        <v>0</v>
      </c>
      <c r="K692" s="129">
        <v>0</v>
      </c>
      <c r="L692" s="129">
        <f t="shared" si="221"/>
        <v>282</v>
      </c>
      <c r="M692" s="129">
        <f t="shared" si="222"/>
        <v>90</v>
      </c>
      <c r="N692" s="128">
        <f t="shared" si="223"/>
        <v>0.31909999999999999</v>
      </c>
      <c r="O692" s="164">
        <f t="shared" si="224"/>
        <v>0</v>
      </c>
      <c r="P692" s="185">
        <f t="shared" si="225"/>
        <v>0</v>
      </c>
      <c r="Q692" s="185">
        <f t="shared" si="226"/>
        <v>0</v>
      </c>
      <c r="R692" s="162" t="b">
        <f t="shared" si="214"/>
        <v>0</v>
      </c>
    </row>
    <row r="693" spans="1:18">
      <c r="A693" s="129" t="s">
        <v>192</v>
      </c>
      <c r="B693" s="129" t="s">
        <v>3686</v>
      </c>
      <c r="C693" s="129">
        <v>2780</v>
      </c>
      <c r="D693" s="129" t="s">
        <v>1060</v>
      </c>
      <c r="E693" s="129">
        <v>63</v>
      </c>
      <c r="F693" s="129">
        <v>0</v>
      </c>
      <c r="G693" s="129">
        <v>21</v>
      </c>
      <c r="H693" s="129">
        <v>0</v>
      </c>
      <c r="I693" s="129">
        <v>33.299999999999997</v>
      </c>
      <c r="J693" s="129">
        <v>0</v>
      </c>
      <c r="K693" s="129">
        <v>0</v>
      </c>
      <c r="L693" s="129">
        <f t="shared" si="221"/>
        <v>63</v>
      </c>
      <c r="M693" s="129">
        <f t="shared" si="222"/>
        <v>21</v>
      </c>
      <c r="N693" s="128">
        <f t="shared" si="223"/>
        <v>0.33329999999999999</v>
      </c>
      <c r="O693" s="164">
        <f t="shared" si="224"/>
        <v>0</v>
      </c>
      <c r="P693" s="185">
        <f t="shared" si="225"/>
        <v>0</v>
      </c>
      <c r="Q693" s="185">
        <f t="shared" si="226"/>
        <v>0</v>
      </c>
      <c r="R693" s="162" t="b">
        <f t="shared" si="214"/>
        <v>0</v>
      </c>
    </row>
    <row r="694" spans="1:18">
      <c r="A694" s="129" t="s">
        <v>192</v>
      </c>
      <c r="B694" s="129" t="s">
        <v>3686</v>
      </c>
      <c r="C694" s="129">
        <v>3374</v>
      </c>
      <c r="D694" s="129" t="s">
        <v>1062</v>
      </c>
      <c r="E694" s="129">
        <v>88</v>
      </c>
      <c r="F694" s="129">
        <v>0</v>
      </c>
      <c r="G694" s="129">
        <v>44</v>
      </c>
      <c r="H694" s="129">
        <v>0</v>
      </c>
      <c r="I694" s="129">
        <v>50</v>
      </c>
      <c r="J694" s="129">
        <v>4.5999999999999996</v>
      </c>
      <c r="K694" s="129">
        <v>0</v>
      </c>
      <c r="L694" s="129">
        <f t="shared" si="221"/>
        <v>88</v>
      </c>
      <c r="M694" s="129">
        <f t="shared" si="222"/>
        <v>44</v>
      </c>
      <c r="N694" s="128">
        <f t="shared" si="223"/>
        <v>0.5</v>
      </c>
      <c r="O694" s="164">
        <f t="shared" si="224"/>
        <v>0</v>
      </c>
      <c r="P694" s="185">
        <f t="shared" si="225"/>
        <v>4.5999999999999996</v>
      </c>
      <c r="Q694" s="185">
        <f t="shared" si="226"/>
        <v>4.5999999999999996</v>
      </c>
      <c r="R694" s="162" t="b">
        <f t="shared" si="214"/>
        <v>0</v>
      </c>
    </row>
    <row r="695" spans="1:18">
      <c r="A695" s="129" t="s">
        <v>193</v>
      </c>
      <c r="B695" s="129" t="s">
        <v>3687</v>
      </c>
      <c r="C695" s="129">
        <v>3348</v>
      </c>
      <c r="D695" s="129" t="s">
        <v>1064</v>
      </c>
      <c r="E695" s="129">
        <v>194</v>
      </c>
      <c r="F695" s="129">
        <v>0</v>
      </c>
      <c r="G695" s="129">
        <v>72</v>
      </c>
      <c r="H695" s="129">
        <v>0</v>
      </c>
      <c r="I695" s="129">
        <v>37.1</v>
      </c>
      <c r="J695" s="129">
        <v>0</v>
      </c>
      <c r="K695" s="129">
        <v>1.1000000000000001</v>
      </c>
      <c r="L695" s="129">
        <f t="shared" si="221"/>
        <v>194</v>
      </c>
      <c r="M695" s="129">
        <f t="shared" si="222"/>
        <v>72</v>
      </c>
      <c r="N695" s="128">
        <f t="shared" si="223"/>
        <v>0.37109999999999999</v>
      </c>
      <c r="O695" s="164">
        <f t="shared" si="224"/>
        <v>1.1000000000000001</v>
      </c>
      <c r="P695" s="185">
        <f t="shared" si="225"/>
        <v>0</v>
      </c>
      <c r="Q695" s="185">
        <f t="shared" si="226"/>
        <v>1.1000000000000001</v>
      </c>
      <c r="R695" s="162" t="b">
        <f t="shared" si="214"/>
        <v>0</v>
      </c>
    </row>
    <row r="696" spans="1:18">
      <c r="A696" s="129" t="s">
        <v>193</v>
      </c>
      <c r="B696" s="129" t="s">
        <v>3687</v>
      </c>
      <c r="C696" s="129">
        <v>3350</v>
      </c>
      <c r="D696" s="129" t="s">
        <v>1066</v>
      </c>
      <c r="E696" s="129">
        <v>167</v>
      </c>
      <c r="F696" s="129">
        <v>0</v>
      </c>
      <c r="G696" s="129">
        <v>46</v>
      </c>
      <c r="H696" s="129">
        <v>0</v>
      </c>
      <c r="I696" s="129">
        <v>27.5</v>
      </c>
      <c r="J696" s="129">
        <v>0</v>
      </c>
      <c r="K696" s="129">
        <v>0</v>
      </c>
      <c r="L696" s="129">
        <f t="shared" si="221"/>
        <v>167</v>
      </c>
      <c r="M696" s="129">
        <f t="shared" si="222"/>
        <v>46</v>
      </c>
      <c r="N696" s="128">
        <f t="shared" si="223"/>
        <v>0.27539999999999998</v>
      </c>
      <c r="O696" s="164">
        <f t="shared" si="224"/>
        <v>0</v>
      </c>
      <c r="P696" s="185">
        <f t="shared" si="225"/>
        <v>0</v>
      </c>
      <c r="Q696" s="185">
        <f t="shared" si="226"/>
        <v>0</v>
      </c>
      <c r="R696" s="162" t="b">
        <f t="shared" si="214"/>
        <v>0</v>
      </c>
    </row>
    <row r="697" spans="1:18">
      <c r="A697" s="129" t="s">
        <v>197</v>
      </c>
      <c r="B697" s="129" t="s">
        <v>3691</v>
      </c>
      <c r="C697" s="129">
        <v>2972</v>
      </c>
      <c r="D697" s="129" t="s">
        <v>1082</v>
      </c>
      <c r="E697" s="129">
        <v>262</v>
      </c>
      <c r="F697" s="129">
        <v>0</v>
      </c>
      <c r="G697" s="129">
        <v>122</v>
      </c>
      <c r="H697" s="129">
        <v>0</v>
      </c>
      <c r="I697" s="129">
        <v>46.6</v>
      </c>
      <c r="J697" s="129">
        <v>0</v>
      </c>
      <c r="K697" s="129">
        <v>9.9</v>
      </c>
      <c r="L697" s="129">
        <f t="shared" si="221"/>
        <v>262</v>
      </c>
      <c r="M697" s="129">
        <f t="shared" si="222"/>
        <v>122</v>
      </c>
      <c r="N697" s="128">
        <f t="shared" si="223"/>
        <v>0.46560000000000001</v>
      </c>
      <c r="O697" s="164">
        <f t="shared" si="224"/>
        <v>9.9</v>
      </c>
      <c r="P697" s="185">
        <f t="shared" si="225"/>
        <v>0</v>
      </c>
      <c r="Q697" s="185">
        <f t="shared" si="226"/>
        <v>9.9</v>
      </c>
      <c r="R697" s="162" t="b">
        <f t="shared" si="214"/>
        <v>0</v>
      </c>
    </row>
    <row r="698" spans="1:18">
      <c r="A698" s="129" t="s">
        <v>197</v>
      </c>
      <c r="B698" s="129" t="s">
        <v>3691</v>
      </c>
      <c r="C698" s="129">
        <v>3070</v>
      </c>
      <c r="D698" s="129" t="s">
        <v>1084</v>
      </c>
      <c r="E698" s="129">
        <v>253</v>
      </c>
      <c r="F698" s="129">
        <v>0</v>
      </c>
      <c r="G698" s="129">
        <v>109</v>
      </c>
      <c r="H698" s="129">
        <v>0</v>
      </c>
      <c r="I698" s="129">
        <v>43.1</v>
      </c>
      <c r="J698" s="129">
        <v>0</v>
      </c>
      <c r="K698" s="129">
        <v>6.2</v>
      </c>
      <c r="L698" s="129">
        <f t="shared" si="221"/>
        <v>253</v>
      </c>
      <c r="M698" s="129">
        <f t="shared" si="222"/>
        <v>109</v>
      </c>
      <c r="N698" s="128">
        <f t="shared" si="223"/>
        <v>0.43080000000000002</v>
      </c>
      <c r="O698" s="164">
        <f t="shared" si="224"/>
        <v>6.2</v>
      </c>
      <c r="P698" s="185">
        <f t="shared" si="225"/>
        <v>0</v>
      </c>
      <c r="Q698" s="185">
        <f t="shared" si="226"/>
        <v>6.2</v>
      </c>
      <c r="R698" s="162" t="b">
        <f t="shared" si="214"/>
        <v>0</v>
      </c>
    </row>
    <row r="699" spans="1:18">
      <c r="A699" s="129" t="s">
        <v>203</v>
      </c>
      <c r="B699" s="129" t="s">
        <v>3697</v>
      </c>
      <c r="C699" s="129">
        <v>280</v>
      </c>
      <c r="D699" s="129" t="s">
        <v>1120</v>
      </c>
      <c r="E699" s="129">
        <v>532</v>
      </c>
      <c r="F699" s="129">
        <v>0</v>
      </c>
      <c r="G699" s="129">
        <v>151</v>
      </c>
      <c r="H699" s="129">
        <v>0</v>
      </c>
      <c r="I699" s="129">
        <v>28.4</v>
      </c>
      <c r="J699" s="129">
        <v>0</v>
      </c>
      <c r="K699" s="129">
        <v>0</v>
      </c>
      <c r="L699" s="129">
        <f t="shared" si="221"/>
        <v>532</v>
      </c>
      <c r="M699" s="129">
        <f t="shared" si="222"/>
        <v>151</v>
      </c>
      <c r="N699" s="128">
        <f t="shared" si="223"/>
        <v>0.2838</v>
      </c>
      <c r="O699" s="164">
        <f t="shared" si="224"/>
        <v>0</v>
      </c>
      <c r="P699" s="185">
        <f t="shared" si="225"/>
        <v>0</v>
      </c>
      <c r="Q699" s="185">
        <f t="shared" si="226"/>
        <v>0</v>
      </c>
      <c r="R699" s="162" t="b">
        <f t="shared" si="214"/>
        <v>0</v>
      </c>
    </row>
    <row r="700" spans="1:18">
      <c r="A700" s="129" t="s">
        <v>203</v>
      </c>
      <c r="B700" s="129" t="s">
        <v>3697</v>
      </c>
      <c r="C700" s="129">
        <v>281</v>
      </c>
      <c r="D700" s="129" t="s">
        <v>1122</v>
      </c>
      <c r="E700" s="129">
        <v>224</v>
      </c>
      <c r="F700" s="129">
        <v>0</v>
      </c>
      <c r="G700" s="129">
        <v>21</v>
      </c>
      <c r="H700" s="129">
        <v>0</v>
      </c>
      <c r="I700" s="129">
        <v>9.4</v>
      </c>
      <c r="J700" s="129">
        <v>0</v>
      </c>
      <c r="K700" s="129">
        <v>0</v>
      </c>
      <c r="L700" s="129">
        <f t="shared" si="221"/>
        <v>224</v>
      </c>
      <c r="M700" s="129">
        <f t="shared" si="222"/>
        <v>21</v>
      </c>
      <c r="N700" s="128">
        <f t="shared" si="223"/>
        <v>9.3799999999999994E-2</v>
      </c>
      <c r="O700" s="164">
        <f t="shared" si="224"/>
        <v>0</v>
      </c>
      <c r="P700" s="185">
        <f t="shared" si="225"/>
        <v>0</v>
      </c>
      <c r="Q700" s="185">
        <f t="shared" si="226"/>
        <v>0</v>
      </c>
      <c r="R700" s="162" t="b">
        <f t="shared" si="214"/>
        <v>0</v>
      </c>
    </row>
    <row r="701" spans="1:18">
      <c r="A701" s="129" t="s">
        <v>223</v>
      </c>
      <c r="B701" s="129" t="s">
        <v>3716</v>
      </c>
      <c r="C701" s="129">
        <v>620</v>
      </c>
      <c r="D701" s="129" t="s">
        <v>1247</v>
      </c>
      <c r="E701" s="129">
        <v>218</v>
      </c>
      <c r="F701" s="129">
        <v>0</v>
      </c>
      <c r="G701" s="129">
        <v>27</v>
      </c>
      <c r="H701" s="129">
        <v>0</v>
      </c>
      <c r="I701" s="129">
        <v>12.4</v>
      </c>
      <c r="J701" s="129">
        <v>0</v>
      </c>
      <c r="K701" s="129">
        <v>0</v>
      </c>
      <c r="L701" s="129">
        <f t="shared" si="221"/>
        <v>218</v>
      </c>
      <c r="M701" s="129">
        <f t="shared" si="222"/>
        <v>27</v>
      </c>
      <c r="N701" s="128">
        <f t="shared" si="223"/>
        <v>0.1239</v>
      </c>
      <c r="O701" s="164">
        <f t="shared" si="224"/>
        <v>0</v>
      </c>
      <c r="P701" s="185">
        <f t="shared" si="225"/>
        <v>0</v>
      </c>
      <c r="Q701" s="185">
        <f t="shared" si="226"/>
        <v>0</v>
      </c>
      <c r="R701" s="162" t="b">
        <f t="shared" si="214"/>
        <v>0</v>
      </c>
    </row>
    <row r="702" spans="1:18">
      <c r="A702" s="129" t="s">
        <v>223</v>
      </c>
      <c r="B702" s="129" t="s">
        <v>3716</v>
      </c>
      <c r="C702" s="129">
        <v>622</v>
      </c>
      <c r="D702" s="129" t="s">
        <v>1249</v>
      </c>
      <c r="E702" s="129">
        <v>55</v>
      </c>
      <c r="F702" s="129">
        <v>0</v>
      </c>
      <c r="G702" s="129">
        <v>9</v>
      </c>
      <c r="H702" s="129">
        <v>0</v>
      </c>
      <c r="I702" s="129">
        <v>16.399999999999999</v>
      </c>
      <c r="J702" s="129">
        <v>0</v>
      </c>
      <c r="K702" s="129">
        <v>0</v>
      </c>
      <c r="L702" s="129">
        <f t="shared" si="221"/>
        <v>55</v>
      </c>
      <c r="M702" s="129">
        <f t="shared" si="222"/>
        <v>9</v>
      </c>
      <c r="N702" s="128">
        <f t="shared" si="223"/>
        <v>0.1636</v>
      </c>
      <c r="O702" s="164">
        <f t="shared" si="224"/>
        <v>0</v>
      </c>
      <c r="P702" s="185">
        <f t="shared" si="225"/>
        <v>0</v>
      </c>
      <c r="Q702" s="185">
        <f t="shared" si="226"/>
        <v>0</v>
      </c>
      <c r="R702" s="162" t="b">
        <f t="shared" si="214"/>
        <v>0</v>
      </c>
    </row>
    <row r="703" spans="1:18">
      <c r="A703" s="129" t="s">
        <v>223</v>
      </c>
      <c r="B703" s="129" t="s">
        <v>3716</v>
      </c>
      <c r="C703" s="129">
        <v>628</v>
      </c>
      <c r="D703" s="129" t="s">
        <v>1251</v>
      </c>
      <c r="E703" s="129">
        <v>173</v>
      </c>
      <c r="F703" s="129">
        <v>0</v>
      </c>
      <c r="G703" s="129">
        <v>57</v>
      </c>
      <c r="H703" s="129">
        <v>0</v>
      </c>
      <c r="I703" s="129">
        <v>33</v>
      </c>
      <c r="J703" s="129">
        <v>0</v>
      </c>
      <c r="K703" s="129">
        <v>0</v>
      </c>
      <c r="L703" s="129">
        <f t="shared" si="221"/>
        <v>173</v>
      </c>
      <c r="M703" s="129">
        <f t="shared" si="222"/>
        <v>57</v>
      </c>
      <c r="N703" s="128">
        <f t="shared" si="223"/>
        <v>0.32950000000000002</v>
      </c>
      <c r="O703" s="164">
        <f t="shared" si="224"/>
        <v>0</v>
      </c>
      <c r="P703" s="185">
        <f t="shared" si="225"/>
        <v>0</v>
      </c>
      <c r="Q703" s="185">
        <f t="shared" si="226"/>
        <v>0</v>
      </c>
      <c r="R703" s="162" t="b">
        <f t="shared" si="214"/>
        <v>0</v>
      </c>
    </row>
    <row r="704" spans="1:18">
      <c r="A704" s="129" t="s">
        <v>223</v>
      </c>
      <c r="B704" s="129" t="s">
        <v>3716</v>
      </c>
      <c r="C704" s="129">
        <v>630</v>
      </c>
      <c r="D704" s="129" t="s">
        <v>1253</v>
      </c>
      <c r="E704" s="129">
        <v>58</v>
      </c>
      <c r="F704" s="129">
        <v>0</v>
      </c>
      <c r="G704" s="129">
        <v>17</v>
      </c>
      <c r="H704" s="129">
        <v>0</v>
      </c>
      <c r="I704" s="129">
        <v>29.3</v>
      </c>
      <c r="J704" s="129">
        <v>0</v>
      </c>
      <c r="K704" s="129">
        <v>0</v>
      </c>
      <c r="L704" s="129">
        <f t="shared" si="221"/>
        <v>58</v>
      </c>
      <c r="M704" s="129">
        <f t="shared" si="222"/>
        <v>17</v>
      </c>
      <c r="N704" s="128">
        <f t="shared" si="223"/>
        <v>0.29310000000000003</v>
      </c>
      <c r="O704" s="164">
        <f t="shared" si="224"/>
        <v>0</v>
      </c>
      <c r="P704" s="185">
        <f t="shared" si="225"/>
        <v>0</v>
      </c>
      <c r="Q704" s="185">
        <f t="shared" si="226"/>
        <v>0</v>
      </c>
      <c r="R704" s="162" t="b">
        <f t="shared" si="214"/>
        <v>0</v>
      </c>
    </row>
    <row r="705" spans="1:18">
      <c r="A705" s="129" t="s">
        <v>235</v>
      </c>
      <c r="B705" s="129" t="s">
        <v>3727</v>
      </c>
      <c r="C705" s="129">
        <v>1010</v>
      </c>
      <c r="D705" s="129" t="s">
        <v>1523</v>
      </c>
      <c r="E705" s="129">
        <v>250</v>
      </c>
      <c r="F705" s="129">
        <v>0</v>
      </c>
      <c r="G705" s="129">
        <v>95</v>
      </c>
      <c r="H705" s="129">
        <v>0</v>
      </c>
      <c r="I705" s="129">
        <v>38</v>
      </c>
      <c r="J705" s="129">
        <v>0</v>
      </c>
      <c r="K705" s="129">
        <v>2</v>
      </c>
      <c r="L705" s="129">
        <f t="shared" si="221"/>
        <v>250</v>
      </c>
      <c r="M705" s="129">
        <f t="shared" si="222"/>
        <v>95</v>
      </c>
      <c r="N705" s="128">
        <f t="shared" si="223"/>
        <v>0.38</v>
      </c>
      <c r="O705" s="164">
        <f t="shared" si="224"/>
        <v>2</v>
      </c>
      <c r="P705" s="185">
        <f t="shared" si="225"/>
        <v>0</v>
      </c>
      <c r="Q705" s="185">
        <f t="shared" si="226"/>
        <v>2</v>
      </c>
      <c r="R705" s="162" t="b">
        <f t="shared" si="214"/>
        <v>0</v>
      </c>
    </row>
    <row r="706" spans="1:18">
      <c r="A706" s="129" t="s">
        <v>235</v>
      </c>
      <c r="B706" s="129" t="s">
        <v>3727</v>
      </c>
      <c r="C706" s="129">
        <v>1012</v>
      </c>
      <c r="D706" s="129" t="s">
        <v>1525</v>
      </c>
      <c r="E706" s="129">
        <v>200</v>
      </c>
      <c r="F706" s="129">
        <v>0</v>
      </c>
      <c r="G706" s="129">
        <v>81</v>
      </c>
      <c r="H706" s="129">
        <v>0</v>
      </c>
      <c r="I706" s="129">
        <v>40.5</v>
      </c>
      <c r="J706" s="129">
        <v>0</v>
      </c>
      <c r="K706" s="129">
        <v>3.1</v>
      </c>
      <c r="L706" s="129">
        <f t="shared" si="221"/>
        <v>200</v>
      </c>
      <c r="M706" s="129">
        <f t="shared" si="222"/>
        <v>81</v>
      </c>
      <c r="N706" s="128">
        <f t="shared" si="223"/>
        <v>0.40500000000000003</v>
      </c>
      <c r="O706" s="164">
        <f t="shared" si="224"/>
        <v>3.1</v>
      </c>
      <c r="P706" s="185">
        <f t="shared" si="225"/>
        <v>0</v>
      </c>
      <c r="Q706" s="185">
        <f t="shared" si="226"/>
        <v>3.1</v>
      </c>
      <c r="R706" s="162" t="b">
        <f t="shared" si="214"/>
        <v>0</v>
      </c>
    </row>
    <row r="707" spans="1:18">
      <c r="A707" s="129" t="s">
        <v>244</v>
      </c>
      <c r="B707" s="129" t="s">
        <v>4147</v>
      </c>
      <c r="C707" s="129">
        <v>1220</v>
      </c>
      <c r="D707" s="129" t="s">
        <v>1571</v>
      </c>
      <c r="E707" s="129">
        <v>129</v>
      </c>
      <c r="F707" s="129">
        <v>0</v>
      </c>
      <c r="G707" s="129">
        <v>86</v>
      </c>
      <c r="H707" s="129">
        <v>0</v>
      </c>
      <c r="I707" s="129">
        <v>66.7</v>
      </c>
      <c r="J707" s="129">
        <v>9</v>
      </c>
      <c r="K707" s="129">
        <v>0</v>
      </c>
      <c r="L707" s="129">
        <f t="shared" si="221"/>
        <v>129</v>
      </c>
      <c r="M707" s="129">
        <f t="shared" si="222"/>
        <v>86</v>
      </c>
      <c r="N707" s="128">
        <f t="shared" si="223"/>
        <v>0.66669999999999996</v>
      </c>
      <c r="O707" s="164">
        <f t="shared" si="224"/>
        <v>0</v>
      </c>
      <c r="P707" s="185">
        <f t="shared" si="225"/>
        <v>9</v>
      </c>
      <c r="Q707" s="185">
        <f t="shared" si="226"/>
        <v>9</v>
      </c>
      <c r="R707" s="162" t="b">
        <f t="shared" si="214"/>
        <v>0</v>
      </c>
    </row>
    <row r="708" spans="1:18">
      <c r="A708" s="129" t="s">
        <v>244</v>
      </c>
      <c r="B708" s="129" t="s">
        <v>4147</v>
      </c>
      <c r="C708" s="129">
        <v>1230</v>
      </c>
      <c r="D708" s="129" t="s">
        <v>1573</v>
      </c>
      <c r="E708" s="129">
        <v>157</v>
      </c>
      <c r="F708" s="129">
        <v>0</v>
      </c>
      <c r="G708" s="129">
        <v>93</v>
      </c>
      <c r="H708" s="129">
        <v>0</v>
      </c>
      <c r="I708" s="129">
        <v>59.2</v>
      </c>
      <c r="J708" s="129">
        <v>9.8000000000000007</v>
      </c>
      <c r="K708" s="129">
        <v>0</v>
      </c>
      <c r="L708" s="129">
        <f t="shared" si="221"/>
        <v>157</v>
      </c>
      <c r="M708" s="129">
        <f t="shared" si="222"/>
        <v>93</v>
      </c>
      <c r="N708" s="128">
        <f t="shared" si="223"/>
        <v>0.59240000000000004</v>
      </c>
      <c r="O708" s="164">
        <f t="shared" si="224"/>
        <v>0</v>
      </c>
      <c r="P708" s="185">
        <f t="shared" si="225"/>
        <v>9.8000000000000007</v>
      </c>
      <c r="Q708" s="185">
        <f t="shared" si="226"/>
        <v>9.8000000000000007</v>
      </c>
      <c r="R708" s="162" t="b">
        <f t="shared" si="214"/>
        <v>0</v>
      </c>
    </row>
    <row r="709" spans="1:18">
      <c r="A709" s="129" t="s">
        <v>244</v>
      </c>
      <c r="B709" s="129" t="s">
        <v>4147</v>
      </c>
      <c r="C709" s="129">
        <v>1232</v>
      </c>
      <c r="D709" s="129" t="s">
        <v>1575</v>
      </c>
      <c r="E709" s="129">
        <v>167</v>
      </c>
      <c r="F709" s="129">
        <v>0</v>
      </c>
      <c r="G709" s="129">
        <v>122</v>
      </c>
      <c r="H709" s="129">
        <v>0</v>
      </c>
      <c r="I709" s="129">
        <v>73.099999999999994</v>
      </c>
      <c r="J709" s="129">
        <v>12.8</v>
      </c>
      <c r="K709" s="129">
        <v>0</v>
      </c>
      <c r="L709" s="129">
        <f t="shared" si="221"/>
        <v>167</v>
      </c>
      <c r="M709" s="129">
        <f t="shared" si="222"/>
        <v>122</v>
      </c>
      <c r="N709" s="128">
        <f t="shared" si="223"/>
        <v>0.73050000000000004</v>
      </c>
      <c r="O709" s="164">
        <f t="shared" si="224"/>
        <v>0</v>
      </c>
      <c r="P709" s="185">
        <f t="shared" si="225"/>
        <v>12.8</v>
      </c>
      <c r="Q709" s="185">
        <f t="shared" si="226"/>
        <v>12.8</v>
      </c>
      <c r="R709" s="162" t="b">
        <f t="shared" ref="R709:R772" si="227">COUNTIF(C:C,C709)&gt;1</f>
        <v>0</v>
      </c>
    </row>
    <row r="710" spans="1:18">
      <c r="A710" s="129" t="s">
        <v>247</v>
      </c>
      <c r="B710" s="129" t="s">
        <v>3738</v>
      </c>
      <c r="C710" s="129">
        <v>1302</v>
      </c>
      <c r="D710" s="129" t="s">
        <v>1589</v>
      </c>
      <c r="E710" s="129">
        <v>318</v>
      </c>
      <c r="F710" s="129">
        <v>0</v>
      </c>
      <c r="G710" s="129">
        <v>172</v>
      </c>
      <c r="H710" s="129">
        <v>0</v>
      </c>
      <c r="I710" s="129">
        <v>54.1</v>
      </c>
      <c r="J710" s="129">
        <v>18.100000000000001</v>
      </c>
      <c r="K710" s="129">
        <v>0</v>
      </c>
      <c r="L710" s="129">
        <f t="shared" si="221"/>
        <v>318</v>
      </c>
      <c r="M710" s="129">
        <f t="shared" si="222"/>
        <v>172</v>
      </c>
      <c r="N710" s="128">
        <f t="shared" si="223"/>
        <v>0.54090000000000005</v>
      </c>
      <c r="O710" s="164">
        <f t="shared" si="224"/>
        <v>0</v>
      </c>
      <c r="P710" s="185">
        <f t="shared" si="225"/>
        <v>18.100000000000001</v>
      </c>
      <c r="Q710" s="185">
        <f t="shared" si="226"/>
        <v>18.100000000000001</v>
      </c>
      <c r="R710" s="162" t="b">
        <f t="shared" si="227"/>
        <v>0</v>
      </c>
    </row>
    <row r="711" spans="1:18">
      <c r="A711" s="129" t="s">
        <v>247</v>
      </c>
      <c r="B711" s="129" t="s">
        <v>3738</v>
      </c>
      <c r="C711" s="129">
        <v>1304</v>
      </c>
      <c r="D711" s="129" t="s">
        <v>1591</v>
      </c>
      <c r="E711" s="129">
        <v>391</v>
      </c>
      <c r="F711" s="129">
        <v>0</v>
      </c>
      <c r="G711" s="129">
        <v>239</v>
      </c>
      <c r="H711" s="129">
        <v>0</v>
      </c>
      <c r="I711" s="129">
        <v>61.1</v>
      </c>
      <c r="J711" s="129">
        <v>25.1</v>
      </c>
      <c r="K711" s="129">
        <v>0</v>
      </c>
      <c r="L711" s="129">
        <f t="shared" si="221"/>
        <v>391</v>
      </c>
      <c r="M711" s="129">
        <f t="shared" si="222"/>
        <v>239</v>
      </c>
      <c r="N711" s="128">
        <f t="shared" si="223"/>
        <v>0.61129999999999995</v>
      </c>
      <c r="O711" s="164">
        <f t="shared" si="224"/>
        <v>0</v>
      </c>
      <c r="P711" s="185">
        <f t="shared" si="225"/>
        <v>25.1</v>
      </c>
      <c r="Q711" s="185">
        <f t="shared" si="226"/>
        <v>25.1</v>
      </c>
      <c r="R711" s="162" t="b">
        <f t="shared" si="227"/>
        <v>0</v>
      </c>
    </row>
    <row r="712" spans="1:18">
      <c r="A712" s="129" t="s">
        <v>247</v>
      </c>
      <c r="B712" s="129" t="s">
        <v>3738</v>
      </c>
      <c r="C712" s="129">
        <v>1307</v>
      </c>
      <c r="D712" s="129" t="s">
        <v>1593</v>
      </c>
      <c r="E712" s="129">
        <v>414</v>
      </c>
      <c r="F712" s="129">
        <v>0</v>
      </c>
      <c r="G712" s="129">
        <v>317</v>
      </c>
      <c r="H712" s="129">
        <v>0</v>
      </c>
      <c r="I712" s="129">
        <v>76.599999999999994</v>
      </c>
      <c r="J712" s="129">
        <v>33.299999999999997</v>
      </c>
      <c r="K712" s="129">
        <v>0</v>
      </c>
      <c r="L712" s="129">
        <f t="shared" si="221"/>
        <v>414</v>
      </c>
      <c r="M712" s="129">
        <f t="shared" si="222"/>
        <v>317</v>
      </c>
      <c r="N712" s="128">
        <f t="shared" si="223"/>
        <v>0.76570000000000005</v>
      </c>
      <c r="O712" s="164">
        <f t="shared" si="224"/>
        <v>0</v>
      </c>
      <c r="P712" s="185">
        <f t="shared" si="225"/>
        <v>33.299999999999997</v>
      </c>
      <c r="Q712" s="185">
        <f t="shared" si="226"/>
        <v>33.299999999999997</v>
      </c>
      <c r="R712" s="162" t="b">
        <f t="shared" si="227"/>
        <v>0</v>
      </c>
    </row>
    <row r="713" spans="1:18">
      <c r="A713" s="129" t="s">
        <v>247</v>
      </c>
      <c r="B713" s="129" t="s">
        <v>3738</v>
      </c>
      <c r="C713" s="129">
        <v>1310</v>
      </c>
      <c r="D713" s="129" t="s">
        <v>1595</v>
      </c>
      <c r="E713" s="129">
        <v>501</v>
      </c>
      <c r="F713" s="129">
        <v>0</v>
      </c>
      <c r="G713" s="129">
        <v>327</v>
      </c>
      <c r="H713" s="129">
        <v>0</v>
      </c>
      <c r="I713" s="129">
        <v>65.3</v>
      </c>
      <c r="J713" s="129">
        <v>34.299999999999997</v>
      </c>
      <c r="K713" s="129">
        <v>0</v>
      </c>
      <c r="L713" s="129">
        <f t="shared" si="221"/>
        <v>501</v>
      </c>
      <c r="M713" s="129">
        <f t="shared" si="222"/>
        <v>327</v>
      </c>
      <c r="N713" s="128">
        <f t="shared" si="223"/>
        <v>0.65269999999999995</v>
      </c>
      <c r="O713" s="164">
        <f t="shared" si="224"/>
        <v>0</v>
      </c>
      <c r="P713" s="185">
        <f t="shared" si="225"/>
        <v>34.299999999999997</v>
      </c>
      <c r="Q713" s="185">
        <f t="shared" si="226"/>
        <v>34.299999999999997</v>
      </c>
      <c r="R713" s="162" t="b">
        <f t="shared" si="227"/>
        <v>0</v>
      </c>
    </row>
    <row r="714" spans="1:18">
      <c r="A714" s="129" t="s">
        <v>247</v>
      </c>
      <c r="B714" s="129" t="s">
        <v>3738</v>
      </c>
      <c r="C714" s="129">
        <v>1314</v>
      </c>
      <c r="D714" s="129" t="s">
        <v>1597</v>
      </c>
      <c r="E714" s="129">
        <v>705</v>
      </c>
      <c r="F714" s="129">
        <v>0</v>
      </c>
      <c r="G714" s="129">
        <v>440</v>
      </c>
      <c r="H714" s="129">
        <v>0</v>
      </c>
      <c r="I714" s="129">
        <v>62.4</v>
      </c>
      <c r="J714" s="129">
        <v>46.2</v>
      </c>
      <c r="K714" s="129">
        <v>0</v>
      </c>
      <c r="L714" s="129">
        <f t="shared" si="221"/>
        <v>705</v>
      </c>
      <c r="M714" s="129">
        <f t="shared" si="222"/>
        <v>440</v>
      </c>
      <c r="N714" s="128">
        <f t="shared" si="223"/>
        <v>0.62409999999999999</v>
      </c>
      <c r="O714" s="164">
        <f t="shared" si="224"/>
        <v>0</v>
      </c>
      <c r="P714" s="185">
        <f t="shared" si="225"/>
        <v>46.2</v>
      </c>
      <c r="Q714" s="185">
        <f t="shared" si="226"/>
        <v>46.2</v>
      </c>
      <c r="R714" s="162" t="b">
        <f t="shared" si="227"/>
        <v>0</v>
      </c>
    </row>
    <row r="715" spans="1:18">
      <c r="A715" s="129" t="s">
        <v>247</v>
      </c>
      <c r="B715" s="129" t="s">
        <v>3738</v>
      </c>
      <c r="C715" s="129">
        <v>1316</v>
      </c>
      <c r="D715" s="129" t="s">
        <v>1599</v>
      </c>
      <c r="E715" s="129">
        <v>1003</v>
      </c>
      <c r="F715" s="129">
        <v>0</v>
      </c>
      <c r="G715" s="129">
        <v>569</v>
      </c>
      <c r="H715" s="129">
        <v>0</v>
      </c>
      <c r="I715" s="129">
        <v>56.7</v>
      </c>
      <c r="J715" s="129">
        <v>59.7</v>
      </c>
      <c r="K715" s="129">
        <v>0</v>
      </c>
      <c r="L715" s="129">
        <f t="shared" si="221"/>
        <v>1003</v>
      </c>
      <c r="M715" s="129">
        <f t="shared" si="222"/>
        <v>569</v>
      </c>
      <c r="N715" s="128">
        <f t="shared" si="223"/>
        <v>0.56730000000000003</v>
      </c>
      <c r="O715" s="164">
        <f t="shared" si="224"/>
        <v>0</v>
      </c>
      <c r="P715" s="185">
        <f t="shared" si="225"/>
        <v>59.7</v>
      </c>
      <c r="Q715" s="185">
        <f t="shared" si="226"/>
        <v>59.7</v>
      </c>
      <c r="R715" s="162" t="b">
        <f t="shared" si="227"/>
        <v>0</v>
      </c>
    </row>
    <row r="716" spans="1:18">
      <c r="A716" s="129" t="s">
        <v>249</v>
      </c>
      <c r="B716" s="129" t="s">
        <v>3740</v>
      </c>
      <c r="C716" s="129">
        <v>1382</v>
      </c>
      <c r="D716" s="129" t="s">
        <v>1605</v>
      </c>
      <c r="E716" s="129">
        <v>99</v>
      </c>
      <c r="F716" s="129">
        <v>0</v>
      </c>
      <c r="G716" s="129">
        <v>53</v>
      </c>
      <c r="H716" s="129">
        <v>0</v>
      </c>
      <c r="I716" s="129">
        <v>53.5</v>
      </c>
      <c r="J716" s="129">
        <v>5.6</v>
      </c>
      <c r="K716" s="129">
        <v>0</v>
      </c>
      <c r="L716" s="129">
        <f t="shared" si="221"/>
        <v>99</v>
      </c>
      <c r="M716" s="129">
        <f t="shared" si="222"/>
        <v>53</v>
      </c>
      <c r="N716" s="128">
        <f t="shared" si="223"/>
        <v>0.53539999999999999</v>
      </c>
      <c r="O716" s="164">
        <f t="shared" si="224"/>
        <v>0</v>
      </c>
      <c r="P716" s="185">
        <f t="shared" si="225"/>
        <v>5.6</v>
      </c>
      <c r="Q716" s="185">
        <f t="shared" si="226"/>
        <v>5.6</v>
      </c>
      <c r="R716" s="162" t="b">
        <f t="shared" si="227"/>
        <v>0</v>
      </c>
    </row>
    <row r="717" spans="1:18">
      <c r="A717" s="129" t="s">
        <v>249</v>
      </c>
      <c r="B717" s="129" t="s">
        <v>3740</v>
      </c>
      <c r="C717" s="129">
        <v>1388</v>
      </c>
      <c r="D717" s="129" t="s">
        <v>1607</v>
      </c>
      <c r="E717" s="129">
        <v>120</v>
      </c>
      <c r="F717" s="129">
        <v>0</v>
      </c>
      <c r="G717" s="129">
        <v>50</v>
      </c>
      <c r="H717" s="129">
        <v>0</v>
      </c>
      <c r="I717" s="129">
        <v>41.7</v>
      </c>
      <c r="J717" s="129">
        <v>0</v>
      </c>
      <c r="K717" s="129">
        <v>2.2999999999999998</v>
      </c>
      <c r="L717" s="129">
        <f t="shared" si="221"/>
        <v>120</v>
      </c>
      <c r="M717" s="129">
        <f t="shared" si="222"/>
        <v>50</v>
      </c>
      <c r="N717" s="128">
        <f t="shared" si="223"/>
        <v>0.41670000000000001</v>
      </c>
      <c r="O717" s="164">
        <f t="shared" si="224"/>
        <v>2.2999999999999998</v>
      </c>
      <c r="P717" s="185">
        <f t="shared" si="225"/>
        <v>0</v>
      </c>
      <c r="Q717" s="185">
        <f t="shared" si="226"/>
        <v>2.2999999999999998</v>
      </c>
      <c r="R717" s="162" t="b">
        <f t="shared" si="227"/>
        <v>0</v>
      </c>
    </row>
    <row r="718" spans="1:18">
      <c r="A718" s="129" t="s">
        <v>249</v>
      </c>
      <c r="B718" s="129" t="s">
        <v>3740</v>
      </c>
      <c r="C718" s="129">
        <v>1392</v>
      </c>
      <c r="D718" s="129" t="s">
        <v>1609</v>
      </c>
      <c r="E718" s="129">
        <v>165</v>
      </c>
      <c r="F718" s="129">
        <v>0</v>
      </c>
      <c r="G718" s="129">
        <v>34</v>
      </c>
      <c r="H718" s="129">
        <v>0</v>
      </c>
      <c r="I718" s="129">
        <v>20.6</v>
      </c>
      <c r="J718" s="129">
        <v>0</v>
      </c>
      <c r="K718" s="129">
        <v>0</v>
      </c>
      <c r="L718" s="129">
        <f t="shared" si="221"/>
        <v>165</v>
      </c>
      <c r="M718" s="129">
        <f t="shared" si="222"/>
        <v>34</v>
      </c>
      <c r="N718" s="128">
        <f t="shared" si="223"/>
        <v>0.20610000000000001</v>
      </c>
      <c r="O718" s="164">
        <f t="shared" si="224"/>
        <v>0</v>
      </c>
      <c r="P718" s="185">
        <f t="shared" si="225"/>
        <v>0</v>
      </c>
      <c r="Q718" s="185">
        <f t="shared" si="226"/>
        <v>0</v>
      </c>
      <c r="R718" s="162" t="b">
        <f t="shared" si="227"/>
        <v>0</v>
      </c>
    </row>
    <row r="719" spans="1:18">
      <c r="A719" s="129" t="s">
        <v>249</v>
      </c>
      <c r="B719" s="129" t="s">
        <v>3740</v>
      </c>
      <c r="C719" s="129">
        <v>1394</v>
      </c>
      <c r="D719" s="129" t="s">
        <v>1611</v>
      </c>
      <c r="E719" s="129">
        <v>156</v>
      </c>
      <c r="F719" s="129">
        <v>0</v>
      </c>
      <c r="G719" s="129">
        <v>30</v>
      </c>
      <c r="H719" s="129">
        <v>0</v>
      </c>
      <c r="I719" s="129">
        <v>19.2</v>
      </c>
      <c r="J719" s="129">
        <v>0</v>
      </c>
      <c r="K719" s="129">
        <v>0</v>
      </c>
      <c r="L719" s="129">
        <f t="shared" si="221"/>
        <v>156</v>
      </c>
      <c r="M719" s="129">
        <f t="shared" si="222"/>
        <v>30</v>
      </c>
      <c r="N719" s="128">
        <f t="shared" si="223"/>
        <v>0.1923</v>
      </c>
      <c r="O719" s="164">
        <f t="shared" si="224"/>
        <v>0</v>
      </c>
      <c r="P719" s="185">
        <f t="shared" si="225"/>
        <v>0</v>
      </c>
      <c r="Q719" s="185">
        <f t="shared" si="226"/>
        <v>0</v>
      </c>
      <c r="R719" s="162" t="b">
        <f t="shared" si="227"/>
        <v>0</v>
      </c>
    </row>
    <row r="720" spans="1:18">
      <c r="A720" s="129" t="s">
        <v>272</v>
      </c>
      <c r="B720" s="129" t="s">
        <v>3762</v>
      </c>
      <c r="C720" s="129">
        <v>2286</v>
      </c>
      <c r="D720" s="129" t="s">
        <v>1984</v>
      </c>
      <c r="E720" s="129">
        <v>50</v>
      </c>
      <c r="F720" s="129">
        <v>0</v>
      </c>
      <c r="G720" s="129">
        <v>23</v>
      </c>
      <c r="H720" s="129">
        <v>0</v>
      </c>
      <c r="I720" s="129">
        <v>46</v>
      </c>
      <c r="J720" s="129">
        <v>0</v>
      </c>
      <c r="K720" s="129">
        <v>1.8</v>
      </c>
      <c r="L720" s="129">
        <f t="shared" si="221"/>
        <v>50</v>
      </c>
      <c r="M720" s="129">
        <f t="shared" si="222"/>
        <v>23</v>
      </c>
      <c r="N720" s="128">
        <f t="shared" si="223"/>
        <v>0.46</v>
      </c>
      <c r="O720" s="164">
        <f t="shared" si="224"/>
        <v>1.8</v>
      </c>
      <c r="P720" s="185">
        <f t="shared" si="225"/>
        <v>0</v>
      </c>
      <c r="Q720" s="185">
        <f t="shared" si="226"/>
        <v>1.8</v>
      </c>
      <c r="R720" s="162" t="b">
        <f t="shared" si="227"/>
        <v>0</v>
      </c>
    </row>
    <row r="721" spans="1:18">
      <c r="A721" s="129" t="s">
        <v>272</v>
      </c>
      <c r="B721" s="129" t="s">
        <v>3762</v>
      </c>
      <c r="C721" s="129">
        <v>2288</v>
      </c>
      <c r="D721" s="129" t="s">
        <v>1986</v>
      </c>
      <c r="E721" s="129">
        <v>23</v>
      </c>
      <c r="F721" s="129">
        <v>0</v>
      </c>
      <c r="G721" s="129">
        <v>9</v>
      </c>
      <c r="H721" s="129">
        <v>0</v>
      </c>
      <c r="I721" s="129">
        <v>39.1</v>
      </c>
      <c r="J721" s="129">
        <v>0</v>
      </c>
      <c r="K721" s="129">
        <v>0.3</v>
      </c>
      <c r="L721" s="129">
        <f t="shared" si="221"/>
        <v>23</v>
      </c>
      <c r="M721" s="129">
        <f t="shared" si="222"/>
        <v>9</v>
      </c>
      <c r="N721" s="128">
        <f t="shared" si="223"/>
        <v>0.39129999999999998</v>
      </c>
      <c r="O721" s="164">
        <f t="shared" si="224"/>
        <v>0.3</v>
      </c>
      <c r="P721" s="185">
        <f t="shared" si="225"/>
        <v>0</v>
      </c>
      <c r="Q721" s="185">
        <f t="shared" si="226"/>
        <v>0.3</v>
      </c>
      <c r="R721" s="162" t="b">
        <f t="shared" si="227"/>
        <v>0</v>
      </c>
    </row>
    <row r="722" spans="1:18">
      <c r="A722" s="129" t="s">
        <v>287</v>
      </c>
      <c r="B722" s="129" t="s">
        <v>4148</v>
      </c>
      <c r="C722" s="129">
        <v>2812</v>
      </c>
      <c r="D722" s="129" t="s">
        <v>2054</v>
      </c>
      <c r="E722" s="129">
        <v>135</v>
      </c>
      <c r="F722" s="129">
        <v>0</v>
      </c>
      <c r="G722" s="129">
        <v>39</v>
      </c>
      <c r="H722" s="129">
        <v>0</v>
      </c>
      <c r="I722" s="129">
        <v>28.9</v>
      </c>
      <c r="J722" s="129">
        <v>0</v>
      </c>
      <c r="K722" s="129">
        <v>0</v>
      </c>
      <c r="L722" s="129">
        <f t="shared" si="221"/>
        <v>135</v>
      </c>
      <c r="M722" s="129">
        <f t="shared" si="222"/>
        <v>39</v>
      </c>
      <c r="N722" s="128">
        <f t="shared" si="223"/>
        <v>0.28889999999999999</v>
      </c>
      <c r="O722" s="164">
        <f t="shared" si="224"/>
        <v>0</v>
      </c>
      <c r="P722" s="185">
        <f t="shared" si="225"/>
        <v>0</v>
      </c>
      <c r="Q722" s="185">
        <f t="shared" si="226"/>
        <v>0</v>
      </c>
      <c r="R722" s="162" t="b">
        <f t="shared" si="227"/>
        <v>0</v>
      </c>
    </row>
    <row r="723" spans="1:18">
      <c r="A723" s="129" t="s">
        <v>287</v>
      </c>
      <c r="B723" s="129" t="s">
        <v>4148</v>
      </c>
      <c r="C723" s="129">
        <v>2816</v>
      </c>
      <c r="D723" s="129" t="s">
        <v>2056</v>
      </c>
      <c r="E723" s="129">
        <v>165</v>
      </c>
      <c r="F723" s="129">
        <v>0</v>
      </c>
      <c r="G723" s="129">
        <v>56</v>
      </c>
      <c r="H723" s="129">
        <v>0</v>
      </c>
      <c r="I723" s="129">
        <v>33.9</v>
      </c>
      <c r="J723" s="129">
        <v>0</v>
      </c>
      <c r="K723" s="129">
        <v>0</v>
      </c>
      <c r="L723" s="129">
        <f t="shared" si="221"/>
        <v>165</v>
      </c>
      <c r="M723" s="129">
        <f t="shared" si="222"/>
        <v>56</v>
      </c>
      <c r="N723" s="128">
        <f t="shared" si="223"/>
        <v>0.33939999999999998</v>
      </c>
      <c r="O723" s="164">
        <f t="shared" si="224"/>
        <v>0</v>
      </c>
      <c r="P723" s="185">
        <f t="shared" si="225"/>
        <v>0</v>
      </c>
      <c r="Q723" s="185">
        <f t="shared" si="226"/>
        <v>0</v>
      </c>
      <c r="R723" s="162" t="b">
        <f t="shared" si="227"/>
        <v>0</v>
      </c>
    </row>
    <row r="724" spans="1:18">
      <c r="A724" s="129" t="s">
        <v>299</v>
      </c>
      <c r="B724" s="129" t="s">
        <v>4149</v>
      </c>
      <c r="C724" s="129">
        <v>3232</v>
      </c>
      <c r="D724" s="129" t="s">
        <v>2141</v>
      </c>
      <c r="E724" s="129">
        <v>340</v>
      </c>
      <c r="F724" s="129">
        <v>0</v>
      </c>
      <c r="G724" s="129">
        <v>144</v>
      </c>
      <c r="H724" s="129">
        <v>0</v>
      </c>
      <c r="I724" s="129">
        <v>42.4</v>
      </c>
      <c r="J724" s="129">
        <v>0</v>
      </c>
      <c r="K724" s="129">
        <v>7.4</v>
      </c>
      <c r="L724" s="129">
        <f t="shared" si="221"/>
        <v>340</v>
      </c>
      <c r="M724" s="129">
        <f t="shared" si="222"/>
        <v>144</v>
      </c>
      <c r="N724" s="128">
        <f t="shared" si="223"/>
        <v>0.42349999999999999</v>
      </c>
      <c r="O724" s="164">
        <f t="shared" si="224"/>
        <v>7.4</v>
      </c>
      <c r="P724" s="185">
        <f t="shared" si="225"/>
        <v>0</v>
      </c>
      <c r="Q724" s="185">
        <f t="shared" si="226"/>
        <v>7.4</v>
      </c>
      <c r="R724" s="162" t="b">
        <f t="shared" si="227"/>
        <v>0</v>
      </c>
    </row>
    <row r="725" spans="1:18">
      <c r="A725" s="129" t="s">
        <v>299</v>
      </c>
      <c r="B725" s="129" t="s">
        <v>4149</v>
      </c>
      <c r="C725" s="129">
        <v>3233</v>
      </c>
      <c r="D725" s="129" t="s">
        <v>2143</v>
      </c>
      <c r="E725" s="129">
        <v>125</v>
      </c>
      <c r="F725" s="129">
        <v>0</v>
      </c>
      <c r="G725" s="129">
        <v>49</v>
      </c>
      <c r="H725" s="129">
        <v>0</v>
      </c>
      <c r="I725" s="129">
        <v>39.200000000000003</v>
      </c>
      <c r="J725" s="129">
        <v>0</v>
      </c>
      <c r="K725" s="129">
        <v>1.4</v>
      </c>
      <c r="L725" s="129">
        <f t="shared" si="221"/>
        <v>125</v>
      </c>
      <c r="M725" s="129">
        <f t="shared" si="222"/>
        <v>49</v>
      </c>
      <c r="N725" s="128">
        <f t="shared" si="223"/>
        <v>0.39200000000000002</v>
      </c>
      <c r="O725" s="164">
        <f t="shared" si="224"/>
        <v>1.4</v>
      </c>
      <c r="P725" s="185">
        <f t="shared" si="225"/>
        <v>0</v>
      </c>
      <c r="Q725" s="185">
        <f t="shared" si="226"/>
        <v>1.4</v>
      </c>
      <c r="R725" s="162" t="b">
        <f t="shared" si="227"/>
        <v>0</v>
      </c>
    </row>
    <row r="726" spans="1:18">
      <c r="A726" s="129" t="s">
        <v>299</v>
      </c>
      <c r="B726" s="129" t="s">
        <v>4149</v>
      </c>
      <c r="C726" s="129">
        <v>3234</v>
      </c>
      <c r="D726" s="129" t="s">
        <v>2145</v>
      </c>
      <c r="E726" s="129">
        <v>208</v>
      </c>
      <c r="F726" s="129">
        <v>0</v>
      </c>
      <c r="G726" s="129">
        <v>61</v>
      </c>
      <c r="H726" s="129">
        <v>0</v>
      </c>
      <c r="I726" s="129">
        <v>29.3</v>
      </c>
      <c r="J726" s="129">
        <v>0</v>
      </c>
      <c r="K726" s="129">
        <v>0</v>
      </c>
      <c r="L726" s="129">
        <f t="shared" si="221"/>
        <v>208</v>
      </c>
      <c r="M726" s="129">
        <f t="shared" si="222"/>
        <v>61</v>
      </c>
      <c r="N726" s="128">
        <f t="shared" si="223"/>
        <v>0.29330000000000001</v>
      </c>
      <c r="O726" s="164">
        <f t="shared" si="224"/>
        <v>0</v>
      </c>
      <c r="P726" s="185">
        <f t="shared" si="225"/>
        <v>0</v>
      </c>
      <c r="Q726" s="185">
        <f t="shared" si="226"/>
        <v>0</v>
      </c>
      <c r="R726" s="162" t="b">
        <f t="shared" si="227"/>
        <v>0</v>
      </c>
    </row>
    <row r="727" spans="1:18">
      <c r="A727" s="129" t="s">
        <v>299</v>
      </c>
      <c r="B727" s="129" t="s">
        <v>4149</v>
      </c>
      <c r="C727" s="129">
        <v>3238</v>
      </c>
      <c r="D727" s="129" t="s">
        <v>2147</v>
      </c>
      <c r="E727" s="129">
        <v>89</v>
      </c>
      <c r="F727" s="129">
        <v>0</v>
      </c>
      <c r="G727" s="129">
        <v>35</v>
      </c>
      <c r="H727" s="129">
        <v>0</v>
      </c>
      <c r="I727" s="129">
        <v>39.299999999999997</v>
      </c>
      <c r="J727" s="129">
        <v>0</v>
      </c>
      <c r="K727" s="129">
        <v>1.1000000000000001</v>
      </c>
      <c r="L727" s="129">
        <f t="shared" si="221"/>
        <v>89</v>
      </c>
      <c r="M727" s="129">
        <f t="shared" si="222"/>
        <v>35</v>
      </c>
      <c r="N727" s="128">
        <f t="shared" si="223"/>
        <v>0.39329999999999998</v>
      </c>
      <c r="O727" s="164">
        <f t="shared" si="224"/>
        <v>1.1000000000000001</v>
      </c>
      <c r="P727" s="185">
        <f t="shared" si="225"/>
        <v>0</v>
      </c>
      <c r="Q727" s="185">
        <f t="shared" si="226"/>
        <v>1.1000000000000001</v>
      </c>
      <c r="R727" s="162" t="b">
        <f t="shared" si="227"/>
        <v>0</v>
      </c>
    </row>
    <row r="728" spans="1:18">
      <c r="A728" s="129" t="s">
        <v>314</v>
      </c>
      <c r="B728" s="129" t="s">
        <v>3799</v>
      </c>
      <c r="C728" s="129">
        <v>3748</v>
      </c>
      <c r="D728" s="129" t="s">
        <v>2241</v>
      </c>
      <c r="E728" s="129">
        <v>130</v>
      </c>
      <c r="F728" s="129">
        <v>0</v>
      </c>
      <c r="G728" s="129">
        <v>36</v>
      </c>
      <c r="H728" s="129">
        <v>0</v>
      </c>
      <c r="I728" s="129">
        <v>27.7</v>
      </c>
      <c r="J728" s="129">
        <v>0</v>
      </c>
      <c r="K728" s="129">
        <v>0</v>
      </c>
      <c r="L728" s="129">
        <f t="shared" ref="L728:L754" si="228">SUM(E728:F728)</f>
        <v>130</v>
      </c>
      <c r="M728" s="129">
        <f t="shared" ref="M728:M754" si="229">SUM(G728:H728)</f>
        <v>36</v>
      </c>
      <c r="N728" s="128">
        <f t="shared" ref="N728:N754" si="230">IF(ISERROR(M728/L728),0,M728/L728)</f>
        <v>0.27689999999999998</v>
      </c>
      <c r="O728" s="164">
        <f t="shared" ref="O728:O754" si="231">IF(AND((N728-35%)&gt;0,N728&lt;50%),M728*(N728-35%)*0.7,0)</f>
        <v>0</v>
      </c>
      <c r="P728" s="185">
        <f t="shared" ref="P728:P754" si="232">IF(N728&gt;=50%,M728*10.5%,0)</f>
        <v>0</v>
      </c>
      <c r="Q728" s="185">
        <f t="shared" ref="Q728:Q754" si="233">MAX(O728,P728)</f>
        <v>0</v>
      </c>
      <c r="R728" s="162" t="b">
        <f t="shared" si="227"/>
        <v>0</v>
      </c>
    </row>
    <row r="729" spans="1:18">
      <c r="A729" s="129" t="s">
        <v>314</v>
      </c>
      <c r="B729" s="129" t="s">
        <v>3799</v>
      </c>
      <c r="C729" s="129">
        <v>3750</v>
      </c>
      <c r="D729" s="129" t="s">
        <v>2243</v>
      </c>
      <c r="E729" s="129">
        <v>92</v>
      </c>
      <c r="F729" s="129">
        <v>0</v>
      </c>
      <c r="G729" s="129">
        <v>19</v>
      </c>
      <c r="H729" s="129">
        <v>0</v>
      </c>
      <c r="I729" s="129">
        <v>20.7</v>
      </c>
      <c r="J729" s="129">
        <v>0</v>
      </c>
      <c r="K729" s="129">
        <v>0</v>
      </c>
      <c r="L729" s="129">
        <f t="shared" si="228"/>
        <v>92</v>
      </c>
      <c r="M729" s="129">
        <f t="shared" si="229"/>
        <v>19</v>
      </c>
      <c r="N729" s="128">
        <f t="shared" si="230"/>
        <v>0.20649999999999999</v>
      </c>
      <c r="O729" s="164">
        <f t="shared" si="231"/>
        <v>0</v>
      </c>
      <c r="P729" s="185">
        <f t="shared" si="232"/>
        <v>0</v>
      </c>
      <c r="Q729" s="185">
        <f t="shared" si="233"/>
        <v>0</v>
      </c>
      <c r="R729" s="162" t="b">
        <f t="shared" si="227"/>
        <v>0</v>
      </c>
    </row>
    <row r="730" spans="1:18">
      <c r="A730" s="129" t="s">
        <v>360</v>
      </c>
      <c r="B730" s="129" t="s">
        <v>4150</v>
      </c>
      <c r="C730" s="129">
        <v>5032</v>
      </c>
      <c r="D730" s="129" t="s">
        <v>2515</v>
      </c>
      <c r="E730" s="129">
        <v>193</v>
      </c>
      <c r="F730" s="129">
        <v>0</v>
      </c>
      <c r="G730" s="129">
        <v>46</v>
      </c>
      <c r="H730" s="129">
        <v>0</v>
      </c>
      <c r="I730" s="129">
        <v>23.8</v>
      </c>
      <c r="J730" s="129">
        <v>0</v>
      </c>
      <c r="K730" s="129">
        <v>0</v>
      </c>
      <c r="L730" s="129">
        <f t="shared" si="228"/>
        <v>193</v>
      </c>
      <c r="M730" s="129">
        <f t="shared" si="229"/>
        <v>46</v>
      </c>
      <c r="N730" s="128">
        <f t="shared" si="230"/>
        <v>0.23830000000000001</v>
      </c>
      <c r="O730" s="164">
        <f t="shared" si="231"/>
        <v>0</v>
      </c>
      <c r="P730" s="185">
        <f t="shared" si="232"/>
        <v>0</v>
      </c>
      <c r="Q730" s="185">
        <f t="shared" si="233"/>
        <v>0</v>
      </c>
      <c r="R730" s="162" t="b">
        <f t="shared" si="227"/>
        <v>0</v>
      </c>
    </row>
    <row r="731" spans="1:18">
      <c r="A731" s="129" t="s">
        <v>360</v>
      </c>
      <c r="B731" s="129" t="s">
        <v>4150</v>
      </c>
      <c r="C731" s="129">
        <v>5034</v>
      </c>
      <c r="D731" s="129" t="s">
        <v>2517</v>
      </c>
      <c r="E731" s="129">
        <v>135</v>
      </c>
      <c r="F731" s="129">
        <v>0</v>
      </c>
      <c r="G731" s="129">
        <v>33</v>
      </c>
      <c r="H731" s="129">
        <v>0</v>
      </c>
      <c r="I731" s="129">
        <v>24.4</v>
      </c>
      <c r="J731" s="129">
        <v>0</v>
      </c>
      <c r="K731" s="129">
        <v>0</v>
      </c>
      <c r="L731" s="129">
        <f t="shared" si="228"/>
        <v>135</v>
      </c>
      <c r="M731" s="129">
        <f t="shared" si="229"/>
        <v>33</v>
      </c>
      <c r="N731" s="128">
        <f t="shared" si="230"/>
        <v>0.24440000000000001</v>
      </c>
      <c r="O731" s="164">
        <f t="shared" si="231"/>
        <v>0</v>
      </c>
      <c r="P731" s="185">
        <f t="shared" si="232"/>
        <v>0</v>
      </c>
      <c r="Q731" s="185">
        <f t="shared" si="233"/>
        <v>0</v>
      </c>
      <c r="R731" s="162" t="b">
        <f t="shared" si="227"/>
        <v>0</v>
      </c>
    </row>
    <row r="732" spans="1:18">
      <c r="A732" s="129" t="s">
        <v>360</v>
      </c>
      <c r="B732" s="129" t="s">
        <v>4150</v>
      </c>
      <c r="C732" s="129">
        <v>5036</v>
      </c>
      <c r="D732" s="129" t="s">
        <v>2519</v>
      </c>
      <c r="E732" s="129">
        <v>183</v>
      </c>
      <c r="F732" s="129">
        <v>0</v>
      </c>
      <c r="G732" s="129">
        <v>37</v>
      </c>
      <c r="H732" s="129">
        <v>0</v>
      </c>
      <c r="I732" s="129">
        <v>20.2</v>
      </c>
      <c r="J732" s="129">
        <v>0</v>
      </c>
      <c r="K732" s="129">
        <v>0</v>
      </c>
      <c r="L732" s="129">
        <f t="shared" si="228"/>
        <v>183</v>
      </c>
      <c r="M732" s="129">
        <f t="shared" si="229"/>
        <v>37</v>
      </c>
      <c r="N732" s="128">
        <f t="shared" si="230"/>
        <v>0.20219999999999999</v>
      </c>
      <c r="O732" s="164">
        <f t="shared" si="231"/>
        <v>0</v>
      </c>
      <c r="P732" s="185">
        <f t="shared" si="232"/>
        <v>0</v>
      </c>
      <c r="Q732" s="185">
        <f t="shared" si="233"/>
        <v>0</v>
      </c>
      <c r="R732" s="162" t="b">
        <f t="shared" si="227"/>
        <v>0</v>
      </c>
    </row>
    <row r="733" spans="1:18">
      <c r="A733" s="129" t="s">
        <v>360</v>
      </c>
      <c r="B733" s="129" t="s">
        <v>4150</v>
      </c>
      <c r="C733" s="129">
        <v>5038</v>
      </c>
      <c r="D733" s="129" t="s">
        <v>2521</v>
      </c>
      <c r="E733" s="129">
        <v>121</v>
      </c>
      <c r="F733" s="129">
        <v>0</v>
      </c>
      <c r="G733" s="129">
        <v>22</v>
      </c>
      <c r="H733" s="129">
        <v>0</v>
      </c>
      <c r="I733" s="129">
        <v>18.2</v>
      </c>
      <c r="J733" s="129">
        <v>0</v>
      </c>
      <c r="K733" s="129">
        <v>0</v>
      </c>
      <c r="L733" s="129">
        <f t="shared" si="228"/>
        <v>121</v>
      </c>
      <c r="M733" s="129">
        <f t="shared" si="229"/>
        <v>22</v>
      </c>
      <c r="N733" s="128">
        <f t="shared" si="230"/>
        <v>0.18179999999999999</v>
      </c>
      <c r="O733" s="164">
        <f t="shared" si="231"/>
        <v>0</v>
      </c>
      <c r="P733" s="185">
        <f t="shared" si="232"/>
        <v>0</v>
      </c>
      <c r="Q733" s="185">
        <f t="shared" si="233"/>
        <v>0</v>
      </c>
      <c r="R733" s="162" t="b">
        <f t="shared" si="227"/>
        <v>0</v>
      </c>
    </row>
    <row r="734" spans="1:18">
      <c r="A734" s="129" t="s">
        <v>385</v>
      </c>
      <c r="B734" s="129" t="s">
        <v>4151</v>
      </c>
      <c r="C734" s="129">
        <v>5718</v>
      </c>
      <c r="D734" s="129" t="s">
        <v>2673</v>
      </c>
      <c r="E734" s="129">
        <v>220</v>
      </c>
      <c r="F734" s="129">
        <v>0</v>
      </c>
      <c r="G734" s="129">
        <v>105</v>
      </c>
      <c r="H734" s="129">
        <v>0</v>
      </c>
      <c r="I734" s="129">
        <v>47.7</v>
      </c>
      <c r="J734" s="129">
        <v>0</v>
      </c>
      <c r="K734" s="129">
        <v>9.4</v>
      </c>
      <c r="L734" s="129">
        <f t="shared" si="228"/>
        <v>220</v>
      </c>
      <c r="M734" s="129">
        <f t="shared" si="229"/>
        <v>105</v>
      </c>
      <c r="N734" s="128">
        <f t="shared" si="230"/>
        <v>0.4773</v>
      </c>
      <c r="O734" s="164">
        <f t="shared" si="231"/>
        <v>9.4</v>
      </c>
      <c r="P734" s="185">
        <f t="shared" si="232"/>
        <v>0</v>
      </c>
      <c r="Q734" s="185">
        <f t="shared" si="233"/>
        <v>9.4</v>
      </c>
      <c r="R734" s="162" t="b">
        <f t="shared" si="227"/>
        <v>0</v>
      </c>
    </row>
    <row r="735" spans="1:18">
      <c r="A735" s="129" t="s">
        <v>385</v>
      </c>
      <c r="B735" s="129" t="s">
        <v>4151</v>
      </c>
      <c r="C735" s="129">
        <v>5720</v>
      </c>
      <c r="D735" s="129" t="s">
        <v>2675</v>
      </c>
      <c r="E735" s="129">
        <v>154</v>
      </c>
      <c r="F735" s="129">
        <v>0</v>
      </c>
      <c r="G735" s="129">
        <v>68</v>
      </c>
      <c r="H735" s="129">
        <v>0</v>
      </c>
      <c r="I735" s="129">
        <v>44.2</v>
      </c>
      <c r="J735" s="129">
        <v>0</v>
      </c>
      <c r="K735" s="129">
        <v>4.4000000000000004</v>
      </c>
      <c r="L735" s="129">
        <f t="shared" si="228"/>
        <v>154</v>
      </c>
      <c r="M735" s="129">
        <f t="shared" si="229"/>
        <v>68</v>
      </c>
      <c r="N735" s="128">
        <f t="shared" si="230"/>
        <v>0.44159999999999999</v>
      </c>
      <c r="O735" s="164">
        <f t="shared" si="231"/>
        <v>4.4000000000000004</v>
      </c>
      <c r="P735" s="185">
        <f t="shared" si="232"/>
        <v>0</v>
      </c>
      <c r="Q735" s="185">
        <f t="shared" si="233"/>
        <v>4.4000000000000004</v>
      </c>
      <c r="R735" s="162" t="b">
        <f t="shared" si="227"/>
        <v>0</v>
      </c>
    </row>
    <row r="736" spans="1:18">
      <c r="A736" s="129" t="s">
        <v>385</v>
      </c>
      <c r="B736" s="129" t="s">
        <v>4151</v>
      </c>
      <c r="C736" s="129">
        <v>5722</v>
      </c>
      <c r="D736" s="129" t="s">
        <v>2677</v>
      </c>
      <c r="E736" s="129">
        <v>188</v>
      </c>
      <c r="F736" s="129">
        <v>0</v>
      </c>
      <c r="G736" s="129">
        <v>75</v>
      </c>
      <c r="H736" s="129">
        <v>0</v>
      </c>
      <c r="I736" s="129">
        <v>39.9</v>
      </c>
      <c r="J736" s="129">
        <v>0</v>
      </c>
      <c r="K736" s="129">
        <v>2.6</v>
      </c>
      <c r="L736" s="129">
        <f t="shared" si="228"/>
        <v>188</v>
      </c>
      <c r="M736" s="129">
        <f t="shared" si="229"/>
        <v>75</v>
      </c>
      <c r="N736" s="128">
        <f t="shared" si="230"/>
        <v>0.39889999999999998</v>
      </c>
      <c r="O736" s="164">
        <f t="shared" si="231"/>
        <v>2.6</v>
      </c>
      <c r="P736" s="185">
        <f t="shared" si="232"/>
        <v>0</v>
      </c>
      <c r="Q736" s="185">
        <f t="shared" si="233"/>
        <v>2.6</v>
      </c>
      <c r="R736" s="162" t="b">
        <f t="shared" si="227"/>
        <v>0</v>
      </c>
    </row>
    <row r="737" spans="1:18">
      <c r="A737" s="129" t="s">
        <v>385</v>
      </c>
      <c r="B737" s="129" t="s">
        <v>4151</v>
      </c>
      <c r="C737" s="129">
        <v>5724</v>
      </c>
      <c r="D737" s="129" t="s">
        <v>2679</v>
      </c>
      <c r="E737" s="129">
        <v>214</v>
      </c>
      <c r="F737" s="129">
        <v>0</v>
      </c>
      <c r="G737" s="129">
        <v>100</v>
      </c>
      <c r="H737" s="129">
        <v>0</v>
      </c>
      <c r="I737" s="129">
        <v>46.7</v>
      </c>
      <c r="J737" s="129">
        <v>0</v>
      </c>
      <c r="K737" s="129">
        <v>8.1999999999999993</v>
      </c>
      <c r="L737" s="129">
        <f t="shared" si="228"/>
        <v>214</v>
      </c>
      <c r="M737" s="129">
        <f t="shared" si="229"/>
        <v>100</v>
      </c>
      <c r="N737" s="128">
        <f t="shared" si="230"/>
        <v>0.46729999999999999</v>
      </c>
      <c r="O737" s="164">
        <f t="shared" si="231"/>
        <v>8.1999999999999993</v>
      </c>
      <c r="P737" s="185">
        <f t="shared" si="232"/>
        <v>0</v>
      </c>
      <c r="Q737" s="185">
        <f t="shared" si="233"/>
        <v>8.1999999999999993</v>
      </c>
      <c r="R737" s="162" t="b">
        <f t="shared" si="227"/>
        <v>0</v>
      </c>
    </row>
    <row r="738" spans="1:18">
      <c r="A738" s="129" t="s">
        <v>396</v>
      </c>
      <c r="B738" s="129" t="s">
        <v>3872</v>
      </c>
      <c r="C738" s="129">
        <v>6066</v>
      </c>
      <c r="D738" s="129" t="s">
        <v>2743</v>
      </c>
      <c r="E738" s="129">
        <v>178</v>
      </c>
      <c r="F738" s="129">
        <v>0</v>
      </c>
      <c r="G738" s="129">
        <v>41</v>
      </c>
      <c r="H738" s="129">
        <v>0</v>
      </c>
      <c r="I738" s="129">
        <v>23</v>
      </c>
      <c r="J738" s="129">
        <v>0</v>
      </c>
      <c r="K738" s="129">
        <v>0</v>
      </c>
      <c r="L738" s="129">
        <f t="shared" si="228"/>
        <v>178</v>
      </c>
      <c r="M738" s="129">
        <f t="shared" si="229"/>
        <v>41</v>
      </c>
      <c r="N738" s="128">
        <f t="shared" si="230"/>
        <v>0.2303</v>
      </c>
      <c r="O738" s="164">
        <f t="shared" si="231"/>
        <v>0</v>
      </c>
      <c r="P738" s="185">
        <f t="shared" si="232"/>
        <v>0</v>
      </c>
      <c r="Q738" s="185">
        <f t="shared" si="233"/>
        <v>0</v>
      </c>
      <c r="R738" s="162" t="b">
        <f t="shared" si="227"/>
        <v>0</v>
      </c>
    </row>
    <row r="739" spans="1:18">
      <c r="A739" s="129" t="s">
        <v>396</v>
      </c>
      <c r="B739" s="129" t="s">
        <v>3872</v>
      </c>
      <c r="C739" s="129">
        <v>6070</v>
      </c>
      <c r="D739" s="129" t="s">
        <v>2745</v>
      </c>
      <c r="E739" s="129">
        <v>175</v>
      </c>
      <c r="F739" s="129">
        <v>0</v>
      </c>
      <c r="G739" s="129">
        <v>65</v>
      </c>
      <c r="H739" s="129">
        <v>0</v>
      </c>
      <c r="I739" s="129">
        <v>37.1</v>
      </c>
      <c r="J739" s="129">
        <v>0</v>
      </c>
      <c r="K739" s="129">
        <v>1</v>
      </c>
      <c r="L739" s="129">
        <f t="shared" si="228"/>
        <v>175</v>
      </c>
      <c r="M739" s="129">
        <f t="shared" si="229"/>
        <v>65</v>
      </c>
      <c r="N739" s="128">
        <f t="shared" si="230"/>
        <v>0.37140000000000001</v>
      </c>
      <c r="O739" s="164">
        <f t="shared" si="231"/>
        <v>1</v>
      </c>
      <c r="P739" s="185">
        <f t="shared" si="232"/>
        <v>0</v>
      </c>
      <c r="Q739" s="185">
        <f t="shared" si="233"/>
        <v>1</v>
      </c>
      <c r="R739" s="162" t="b">
        <f t="shared" si="227"/>
        <v>0</v>
      </c>
    </row>
    <row r="740" spans="1:18">
      <c r="A740" s="129" t="s">
        <v>401</v>
      </c>
      <c r="B740" s="129" t="s">
        <v>3877</v>
      </c>
      <c r="C740" s="129">
        <v>6192</v>
      </c>
      <c r="D740" s="129" t="s">
        <v>2767</v>
      </c>
      <c r="E740" s="129">
        <v>139</v>
      </c>
      <c r="F740" s="129">
        <v>0</v>
      </c>
      <c r="G740" s="129">
        <v>39</v>
      </c>
      <c r="H740" s="129">
        <v>0</v>
      </c>
      <c r="I740" s="129">
        <v>28.1</v>
      </c>
      <c r="J740" s="129">
        <v>0</v>
      </c>
      <c r="K740" s="129">
        <v>0</v>
      </c>
      <c r="L740" s="129">
        <f t="shared" si="228"/>
        <v>139</v>
      </c>
      <c r="M740" s="129">
        <f t="shared" si="229"/>
        <v>39</v>
      </c>
      <c r="N740" s="128">
        <f t="shared" si="230"/>
        <v>0.28060000000000002</v>
      </c>
      <c r="O740" s="164">
        <f t="shared" si="231"/>
        <v>0</v>
      </c>
      <c r="P740" s="185">
        <f t="shared" si="232"/>
        <v>0</v>
      </c>
      <c r="Q740" s="185">
        <f t="shared" si="233"/>
        <v>0</v>
      </c>
      <c r="R740" s="162" t="b">
        <f t="shared" si="227"/>
        <v>0</v>
      </c>
    </row>
    <row r="741" spans="1:18">
      <c r="A741" s="129" t="s">
        <v>401</v>
      </c>
      <c r="B741" s="129" t="s">
        <v>3877</v>
      </c>
      <c r="C741" s="129">
        <v>6194</v>
      </c>
      <c r="D741" s="129" t="s">
        <v>2769</v>
      </c>
      <c r="E741" s="129">
        <v>31</v>
      </c>
      <c r="F741" s="129">
        <v>0</v>
      </c>
      <c r="G741" s="129">
        <v>4</v>
      </c>
      <c r="H741" s="129">
        <v>0</v>
      </c>
      <c r="I741" s="129">
        <v>12.9</v>
      </c>
      <c r="J741" s="129">
        <v>0</v>
      </c>
      <c r="K741" s="129">
        <v>0</v>
      </c>
      <c r="L741" s="129">
        <f t="shared" si="228"/>
        <v>31</v>
      </c>
      <c r="M741" s="129">
        <f t="shared" si="229"/>
        <v>4</v>
      </c>
      <c r="N741" s="128">
        <f t="shared" si="230"/>
        <v>0.129</v>
      </c>
      <c r="O741" s="164">
        <f t="shared" si="231"/>
        <v>0</v>
      </c>
      <c r="P741" s="185">
        <f t="shared" si="232"/>
        <v>0</v>
      </c>
      <c r="Q741" s="185">
        <f t="shared" si="233"/>
        <v>0</v>
      </c>
      <c r="R741" s="162" t="b">
        <f t="shared" si="227"/>
        <v>0</v>
      </c>
    </row>
    <row r="742" spans="1:18">
      <c r="A742" s="129" t="s">
        <v>401</v>
      </c>
      <c r="B742" s="129" t="s">
        <v>3877</v>
      </c>
      <c r="C742" s="129">
        <v>6206</v>
      </c>
      <c r="D742" s="129" t="s">
        <v>2771</v>
      </c>
      <c r="E742" s="129">
        <v>47</v>
      </c>
      <c r="F742" s="129">
        <v>0</v>
      </c>
      <c r="G742" s="129">
        <v>15</v>
      </c>
      <c r="H742" s="129">
        <v>0</v>
      </c>
      <c r="I742" s="129">
        <v>31.9</v>
      </c>
      <c r="J742" s="129">
        <v>0</v>
      </c>
      <c r="K742" s="129">
        <v>0</v>
      </c>
      <c r="L742" s="129">
        <f t="shared" si="228"/>
        <v>47</v>
      </c>
      <c r="M742" s="129">
        <f t="shared" si="229"/>
        <v>15</v>
      </c>
      <c r="N742" s="128">
        <f t="shared" si="230"/>
        <v>0.31909999999999999</v>
      </c>
      <c r="O742" s="164">
        <f t="shared" si="231"/>
        <v>0</v>
      </c>
      <c r="P742" s="185">
        <f t="shared" si="232"/>
        <v>0</v>
      </c>
      <c r="Q742" s="185">
        <f t="shared" si="233"/>
        <v>0</v>
      </c>
      <c r="R742" s="162" t="b">
        <f t="shared" si="227"/>
        <v>0</v>
      </c>
    </row>
    <row r="743" spans="1:18">
      <c r="A743" s="129" t="s">
        <v>404</v>
      </c>
      <c r="B743" s="129" t="s">
        <v>3880</v>
      </c>
      <c r="C743" s="129">
        <v>6344</v>
      </c>
      <c r="D743" s="129" t="s">
        <v>2788</v>
      </c>
      <c r="E743" s="129">
        <v>138</v>
      </c>
      <c r="F743" s="129">
        <v>0</v>
      </c>
      <c r="G743" s="129">
        <v>74</v>
      </c>
      <c r="H743" s="129">
        <v>0</v>
      </c>
      <c r="I743" s="129">
        <v>53.6</v>
      </c>
      <c r="J743" s="129">
        <v>7.8</v>
      </c>
      <c r="K743" s="129">
        <v>0</v>
      </c>
      <c r="L743" s="129">
        <f t="shared" si="228"/>
        <v>138</v>
      </c>
      <c r="M743" s="129">
        <f t="shared" si="229"/>
        <v>74</v>
      </c>
      <c r="N743" s="128">
        <f t="shared" si="230"/>
        <v>0.53620000000000001</v>
      </c>
      <c r="O743" s="164">
        <f t="shared" si="231"/>
        <v>0</v>
      </c>
      <c r="P743" s="185">
        <f t="shared" si="232"/>
        <v>7.8</v>
      </c>
      <c r="Q743" s="185">
        <f t="shared" si="233"/>
        <v>7.8</v>
      </c>
      <c r="R743" s="162" t="b">
        <f t="shared" si="227"/>
        <v>0</v>
      </c>
    </row>
    <row r="744" spans="1:18">
      <c r="A744" s="129" t="s">
        <v>404</v>
      </c>
      <c r="B744" s="129" t="s">
        <v>3880</v>
      </c>
      <c r="C744" s="129">
        <v>6348</v>
      </c>
      <c r="D744" s="129" t="s">
        <v>2790</v>
      </c>
      <c r="E744" s="129">
        <v>217</v>
      </c>
      <c r="F744" s="129">
        <v>0</v>
      </c>
      <c r="G744" s="129">
        <v>119</v>
      </c>
      <c r="H744" s="129">
        <v>0</v>
      </c>
      <c r="I744" s="129">
        <v>54.8</v>
      </c>
      <c r="J744" s="129">
        <v>12.5</v>
      </c>
      <c r="K744" s="129">
        <v>0</v>
      </c>
      <c r="L744" s="129">
        <f t="shared" si="228"/>
        <v>217</v>
      </c>
      <c r="M744" s="129">
        <f t="shared" si="229"/>
        <v>119</v>
      </c>
      <c r="N744" s="128">
        <f t="shared" si="230"/>
        <v>0.5484</v>
      </c>
      <c r="O744" s="164">
        <f t="shared" si="231"/>
        <v>0</v>
      </c>
      <c r="P744" s="185">
        <f t="shared" si="232"/>
        <v>12.5</v>
      </c>
      <c r="Q744" s="185">
        <f t="shared" si="233"/>
        <v>12.5</v>
      </c>
      <c r="R744" s="162" t="b">
        <f t="shared" si="227"/>
        <v>0</v>
      </c>
    </row>
    <row r="745" spans="1:18">
      <c r="A745" s="129" t="s">
        <v>404</v>
      </c>
      <c r="B745" s="129" t="s">
        <v>3880</v>
      </c>
      <c r="C745" s="129">
        <v>6350</v>
      </c>
      <c r="D745" s="129" t="s">
        <v>2792</v>
      </c>
      <c r="E745" s="129">
        <v>160</v>
      </c>
      <c r="F745" s="129">
        <v>0</v>
      </c>
      <c r="G745" s="129">
        <v>81</v>
      </c>
      <c r="H745" s="129">
        <v>0</v>
      </c>
      <c r="I745" s="129">
        <v>50.6</v>
      </c>
      <c r="J745" s="129">
        <v>8.5</v>
      </c>
      <c r="K745" s="129">
        <v>0</v>
      </c>
      <c r="L745" s="129">
        <f t="shared" si="228"/>
        <v>160</v>
      </c>
      <c r="M745" s="129">
        <f t="shared" si="229"/>
        <v>81</v>
      </c>
      <c r="N745" s="128">
        <f t="shared" si="230"/>
        <v>0.50629999999999997</v>
      </c>
      <c r="O745" s="164">
        <f t="shared" si="231"/>
        <v>0</v>
      </c>
      <c r="P745" s="185">
        <f t="shared" si="232"/>
        <v>8.5</v>
      </c>
      <c r="Q745" s="185">
        <f t="shared" si="233"/>
        <v>8.5</v>
      </c>
      <c r="R745" s="162" t="b">
        <f t="shared" si="227"/>
        <v>0</v>
      </c>
    </row>
    <row r="746" spans="1:18">
      <c r="A746" s="129" t="s">
        <v>405</v>
      </c>
      <c r="B746" s="129" t="s">
        <v>3881</v>
      </c>
      <c r="C746" s="129">
        <v>6375</v>
      </c>
      <c r="D746" s="129" t="s">
        <v>2794</v>
      </c>
      <c r="E746" s="129">
        <v>194</v>
      </c>
      <c r="F746" s="129">
        <v>0</v>
      </c>
      <c r="G746" s="129">
        <v>92</v>
      </c>
      <c r="H746" s="129">
        <v>0</v>
      </c>
      <c r="I746" s="129">
        <v>47.4</v>
      </c>
      <c r="J746" s="129">
        <v>0</v>
      </c>
      <c r="K746" s="129">
        <v>8</v>
      </c>
      <c r="L746" s="129">
        <f t="shared" si="228"/>
        <v>194</v>
      </c>
      <c r="M746" s="129">
        <f t="shared" si="229"/>
        <v>92</v>
      </c>
      <c r="N746" s="128">
        <f t="shared" si="230"/>
        <v>0.47420000000000001</v>
      </c>
      <c r="O746" s="164">
        <f t="shared" si="231"/>
        <v>8</v>
      </c>
      <c r="P746" s="185">
        <f t="shared" si="232"/>
        <v>0</v>
      </c>
      <c r="Q746" s="185">
        <f t="shared" si="233"/>
        <v>8</v>
      </c>
      <c r="R746" s="162" t="b">
        <f t="shared" si="227"/>
        <v>0</v>
      </c>
    </row>
    <row r="747" spans="1:18">
      <c r="A747" s="129" t="s">
        <v>405</v>
      </c>
      <c r="B747" s="129" t="s">
        <v>3881</v>
      </c>
      <c r="C747" s="129">
        <v>6377</v>
      </c>
      <c r="D747" s="129" t="s">
        <v>2796</v>
      </c>
      <c r="E747" s="129">
        <v>120</v>
      </c>
      <c r="F747" s="129">
        <v>0</v>
      </c>
      <c r="G747" s="129">
        <v>63</v>
      </c>
      <c r="H747" s="129">
        <v>0</v>
      </c>
      <c r="I747" s="129">
        <v>52.5</v>
      </c>
      <c r="J747" s="129">
        <v>6.6</v>
      </c>
      <c r="K747" s="129">
        <v>0</v>
      </c>
      <c r="L747" s="129">
        <f t="shared" si="228"/>
        <v>120</v>
      </c>
      <c r="M747" s="129">
        <f t="shared" si="229"/>
        <v>63</v>
      </c>
      <c r="N747" s="128">
        <f t="shared" si="230"/>
        <v>0.52500000000000002</v>
      </c>
      <c r="O747" s="164">
        <f t="shared" si="231"/>
        <v>0</v>
      </c>
      <c r="P747" s="185">
        <f t="shared" si="232"/>
        <v>6.6</v>
      </c>
      <c r="Q747" s="185">
        <f t="shared" si="233"/>
        <v>6.6</v>
      </c>
      <c r="R747" s="162" t="b">
        <f t="shared" si="227"/>
        <v>0</v>
      </c>
    </row>
    <row r="748" spans="1:18">
      <c r="A748" s="129" t="s">
        <v>405</v>
      </c>
      <c r="B748" s="129" t="s">
        <v>3881</v>
      </c>
      <c r="C748" s="129">
        <v>6378</v>
      </c>
      <c r="D748" s="129" t="s">
        <v>2798</v>
      </c>
      <c r="E748" s="129">
        <v>168</v>
      </c>
      <c r="F748" s="129">
        <v>0</v>
      </c>
      <c r="G748" s="129">
        <v>68</v>
      </c>
      <c r="H748" s="129">
        <v>0</v>
      </c>
      <c r="I748" s="129">
        <v>40.5</v>
      </c>
      <c r="J748" s="129">
        <v>0</v>
      </c>
      <c r="K748" s="129">
        <v>2.6</v>
      </c>
      <c r="L748" s="129">
        <f t="shared" si="228"/>
        <v>168</v>
      </c>
      <c r="M748" s="129">
        <f t="shared" si="229"/>
        <v>68</v>
      </c>
      <c r="N748" s="128">
        <f t="shared" si="230"/>
        <v>0.40479999999999999</v>
      </c>
      <c r="O748" s="164">
        <f t="shared" si="231"/>
        <v>2.6</v>
      </c>
      <c r="P748" s="185">
        <f t="shared" si="232"/>
        <v>0</v>
      </c>
      <c r="Q748" s="185">
        <f t="shared" si="233"/>
        <v>2.6</v>
      </c>
      <c r="R748" s="162" t="b">
        <f t="shared" si="227"/>
        <v>0</v>
      </c>
    </row>
    <row r="749" spans="1:18">
      <c r="A749" s="129" t="s">
        <v>405</v>
      </c>
      <c r="B749" s="129" t="s">
        <v>3881</v>
      </c>
      <c r="C749" s="129">
        <v>6380</v>
      </c>
      <c r="D749" s="129" t="s">
        <v>2800</v>
      </c>
      <c r="E749" s="129">
        <v>215</v>
      </c>
      <c r="F749" s="129">
        <v>0</v>
      </c>
      <c r="G749" s="129">
        <v>84</v>
      </c>
      <c r="H749" s="129">
        <v>0</v>
      </c>
      <c r="I749" s="129">
        <v>39.1</v>
      </c>
      <c r="J749" s="129">
        <v>0</v>
      </c>
      <c r="K749" s="129">
        <v>2.4</v>
      </c>
      <c r="L749" s="129">
        <f t="shared" si="228"/>
        <v>215</v>
      </c>
      <c r="M749" s="129">
        <f t="shared" si="229"/>
        <v>84</v>
      </c>
      <c r="N749" s="128">
        <f t="shared" si="230"/>
        <v>0.39069999999999999</v>
      </c>
      <c r="O749" s="164">
        <f t="shared" si="231"/>
        <v>2.4</v>
      </c>
      <c r="P749" s="185">
        <f t="shared" si="232"/>
        <v>0</v>
      </c>
      <c r="Q749" s="185">
        <f t="shared" si="233"/>
        <v>2.4</v>
      </c>
      <c r="R749" s="162" t="b">
        <f t="shared" si="227"/>
        <v>0</v>
      </c>
    </row>
    <row r="750" spans="1:18">
      <c r="A750" s="129" t="s">
        <v>409</v>
      </c>
      <c r="B750" s="129" t="s">
        <v>3885</v>
      </c>
      <c r="C750" s="129">
        <v>6490</v>
      </c>
      <c r="D750" s="129" t="s">
        <v>2821</v>
      </c>
      <c r="E750" s="129">
        <v>444</v>
      </c>
      <c r="F750" s="129">
        <v>0</v>
      </c>
      <c r="G750" s="129">
        <v>185</v>
      </c>
      <c r="H750" s="129">
        <v>0</v>
      </c>
      <c r="I750" s="129">
        <v>41.7</v>
      </c>
      <c r="J750" s="129">
        <v>0</v>
      </c>
      <c r="K750" s="129">
        <v>8.6</v>
      </c>
      <c r="L750" s="129">
        <f t="shared" si="228"/>
        <v>444</v>
      </c>
      <c r="M750" s="129">
        <f t="shared" si="229"/>
        <v>185</v>
      </c>
      <c r="N750" s="128">
        <f t="shared" si="230"/>
        <v>0.41670000000000001</v>
      </c>
      <c r="O750" s="164">
        <f t="shared" si="231"/>
        <v>8.6</v>
      </c>
      <c r="P750" s="185">
        <f t="shared" si="232"/>
        <v>0</v>
      </c>
      <c r="Q750" s="185">
        <f t="shared" si="233"/>
        <v>8.6</v>
      </c>
      <c r="R750" s="162" t="b">
        <f t="shared" si="227"/>
        <v>0</v>
      </c>
    </row>
    <row r="751" spans="1:18">
      <c r="A751" s="129" t="s">
        <v>409</v>
      </c>
      <c r="B751" s="129" t="s">
        <v>3885</v>
      </c>
      <c r="C751" s="129">
        <v>6491</v>
      </c>
      <c r="D751" s="129" t="s">
        <v>2823</v>
      </c>
      <c r="E751" s="129">
        <v>2</v>
      </c>
      <c r="F751" s="129">
        <v>0</v>
      </c>
      <c r="G751" s="129">
        <v>1</v>
      </c>
      <c r="H751" s="129">
        <v>0</v>
      </c>
      <c r="I751" s="129">
        <v>50</v>
      </c>
      <c r="J751" s="129">
        <v>0.1</v>
      </c>
      <c r="K751" s="129">
        <v>0</v>
      </c>
      <c r="L751" s="129">
        <f t="shared" si="228"/>
        <v>2</v>
      </c>
      <c r="M751" s="129">
        <f t="shared" si="229"/>
        <v>1</v>
      </c>
      <c r="N751" s="128">
        <f t="shared" si="230"/>
        <v>0.5</v>
      </c>
      <c r="O751" s="164">
        <f t="shared" si="231"/>
        <v>0</v>
      </c>
      <c r="P751" s="185">
        <f t="shared" si="232"/>
        <v>0.1</v>
      </c>
      <c r="Q751" s="185">
        <f t="shared" si="233"/>
        <v>0.1</v>
      </c>
      <c r="R751" s="162" t="b">
        <f t="shared" si="227"/>
        <v>0</v>
      </c>
    </row>
    <row r="752" spans="1:18">
      <c r="A752" s="129" t="s">
        <v>409</v>
      </c>
      <c r="B752" s="129" t="s">
        <v>3885</v>
      </c>
      <c r="C752" s="129">
        <v>6492</v>
      </c>
      <c r="D752" s="129" t="s">
        <v>2825</v>
      </c>
      <c r="E752" s="129">
        <v>325</v>
      </c>
      <c r="F752" s="129">
        <v>0</v>
      </c>
      <c r="G752" s="129">
        <v>123</v>
      </c>
      <c r="H752" s="129">
        <v>0</v>
      </c>
      <c r="I752" s="129">
        <v>37.9</v>
      </c>
      <c r="J752" s="129">
        <v>0</v>
      </c>
      <c r="K752" s="129">
        <v>2.5</v>
      </c>
      <c r="L752" s="129">
        <f t="shared" si="228"/>
        <v>325</v>
      </c>
      <c r="M752" s="129">
        <f t="shared" si="229"/>
        <v>123</v>
      </c>
      <c r="N752" s="128">
        <f t="shared" si="230"/>
        <v>0.3785</v>
      </c>
      <c r="O752" s="164">
        <f t="shared" si="231"/>
        <v>2.5</v>
      </c>
      <c r="P752" s="185">
        <f t="shared" si="232"/>
        <v>0</v>
      </c>
      <c r="Q752" s="185">
        <f t="shared" si="233"/>
        <v>2.5</v>
      </c>
      <c r="R752" s="162" t="b">
        <f t="shared" si="227"/>
        <v>0</v>
      </c>
    </row>
    <row r="753" spans="1:18">
      <c r="A753" s="129" t="s">
        <v>412</v>
      </c>
      <c r="B753" s="129" t="s">
        <v>33</v>
      </c>
      <c r="C753" s="129">
        <v>6572</v>
      </c>
      <c r="D753" s="129" t="s">
        <v>4152</v>
      </c>
      <c r="E753" s="129">
        <v>270</v>
      </c>
      <c r="F753" s="129">
        <v>0</v>
      </c>
      <c r="G753" s="129">
        <v>96</v>
      </c>
      <c r="H753" s="129">
        <v>0</v>
      </c>
      <c r="I753" s="129">
        <v>35.6</v>
      </c>
      <c r="J753" s="129">
        <v>0</v>
      </c>
      <c r="K753" s="129">
        <v>0.4</v>
      </c>
      <c r="L753" s="129">
        <f t="shared" si="228"/>
        <v>270</v>
      </c>
      <c r="M753" s="129">
        <f t="shared" si="229"/>
        <v>96</v>
      </c>
      <c r="N753" s="128">
        <f t="shared" si="230"/>
        <v>0.35560000000000003</v>
      </c>
      <c r="O753" s="164">
        <f t="shared" si="231"/>
        <v>0.4</v>
      </c>
      <c r="P753" s="185">
        <f t="shared" si="232"/>
        <v>0</v>
      </c>
      <c r="Q753" s="185">
        <f t="shared" si="233"/>
        <v>0.4</v>
      </c>
      <c r="R753" s="162" t="b">
        <f t="shared" si="227"/>
        <v>0</v>
      </c>
    </row>
    <row r="754" spans="1:18">
      <c r="A754" s="129" t="s">
        <v>412</v>
      </c>
      <c r="B754" s="129" t="s">
        <v>33</v>
      </c>
      <c r="C754" s="129">
        <v>6574</v>
      </c>
      <c r="D754" s="129" t="s">
        <v>2851</v>
      </c>
      <c r="E754" s="129">
        <v>232</v>
      </c>
      <c r="F754" s="129">
        <v>0</v>
      </c>
      <c r="G754" s="129">
        <v>55</v>
      </c>
      <c r="H754" s="129">
        <v>0</v>
      </c>
      <c r="I754" s="129">
        <v>23.7</v>
      </c>
      <c r="J754" s="129">
        <v>0</v>
      </c>
      <c r="K754" s="129">
        <v>0</v>
      </c>
      <c r="L754" s="129">
        <f t="shared" si="228"/>
        <v>232</v>
      </c>
      <c r="M754" s="129">
        <f t="shared" si="229"/>
        <v>55</v>
      </c>
      <c r="N754" s="128">
        <f t="shared" si="230"/>
        <v>0.23710000000000001</v>
      </c>
      <c r="O754" s="164">
        <f t="shared" si="231"/>
        <v>0</v>
      </c>
      <c r="P754" s="185">
        <f t="shared" si="232"/>
        <v>0</v>
      </c>
      <c r="Q754" s="185">
        <f t="shared" si="233"/>
        <v>0</v>
      </c>
      <c r="R754" s="162" t="b">
        <f t="shared" si="227"/>
        <v>0</v>
      </c>
    </row>
    <row r="755" spans="1:18">
      <c r="A755" s="129" t="s">
        <v>432</v>
      </c>
      <c r="B755" s="129" t="s">
        <v>3907</v>
      </c>
      <c r="C755" s="129">
        <v>7270</v>
      </c>
      <c r="D755" s="129" t="s">
        <v>3019</v>
      </c>
      <c r="E755" s="129">
        <v>118</v>
      </c>
      <c r="F755" s="129">
        <v>0</v>
      </c>
      <c r="G755" s="129">
        <v>55</v>
      </c>
      <c r="H755" s="129">
        <v>0</v>
      </c>
      <c r="I755" s="129">
        <v>46.6</v>
      </c>
      <c r="J755" s="129">
        <v>0</v>
      </c>
      <c r="K755" s="129">
        <v>4.5</v>
      </c>
      <c r="L755" s="129">
        <f t="shared" ref="L755:L778" si="234">SUM(E755:F755)</f>
        <v>118</v>
      </c>
      <c r="M755" s="129">
        <f t="shared" ref="M755:M778" si="235">SUM(G755:H755)</f>
        <v>55</v>
      </c>
      <c r="N755" s="128">
        <f t="shared" ref="N755:N778" si="236">IF(ISERROR(M755/L755),0,M755/L755)</f>
        <v>0.46610000000000001</v>
      </c>
      <c r="O755" s="164">
        <f t="shared" ref="O755:O778" si="237">IF(AND((N755-35%)&gt;0,N755&lt;50%),M755*(N755-35%)*0.7,0)</f>
        <v>4.5</v>
      </c>
      <c r="P755" s="185">
        <f t="shared" ref="P755:P778" si="238">IF(N755&gt;=50%,M755*10.5%,0)</f>
        <v>0</v>
      </c>
      <c r="Q755" s="185">
        <f t="shared" ref="Q755:Q778" si="239">MAX(O755,P755)</f>
        <v>4.5</v>
      </c>
      <c r="R755" s="162" t="b">
        <f t="shared" si="227"/>
        <v>0</v>
      </c>
    </row>
    <row r="756" spans="1:18">
      <c r="A756" s="129" t="s">
        <v>432</v>
      </c>
      <c r="B756" s="129" t="s">
        <v>3907</v>
      </c>
      <c r="C756" s="129">
        <v>7271</v>
      </c>
      <c r="D756" s="129" t="s">
        <v>3021</v>
      </c>
      <c r="E756" s="129">
        <v>77</v>
      </c>
      <c r="F756" s="129">
        <v>0</v>
      </c>
      <c r="G756" s="129">
        <v>35</v>
      </c>
      <c r="H756" s="129">
        <v>0</v>
      </c>
      <c r="I756" s="129">
        <v>45.5</v>
      </c>
      <c r="J756" s="129">
        <v>0</v>
      </c>
      <c r="K756" s="129">
        <v>2.6</v>
      </c>
      <c r="L756" s="129">
        <f t="shared" si="234"/>
        <v>77</v>
      </c>
      <c r="M756" s="129">
        <f t="shared" si="235"/>
        <v>35</v>
      </c>
      <c r="N756" s="128">
        <f t="shared" si="236"/>
        <v>0.45450000000000002</v>
      </c>
      <c r="O756" s="164">
        <f t="shared" si="237"/>
        <v>2.6</v>
      </c>
      <c r="P756" s="185">
        <f t="shared" si="238"/>
        <v>0</v>
      </c>
      <c r="Q756" s="185">
        <f t="shared" si="239"/>
        <v>2.6</v>
      </c>
      <c r="R756" s="162" t="b">
        <f t="shared" si="227"/>
        <v>0</v>
      </c>
    </row>
    <row r="757" spans="1:18">
      <c r="A757" s="129" t="s">
        <v>432</v>
      </c>
      <c r="B757" s="129" t="s">
        <v>3907</v>
      </c>
      <c r="C757" s="129">
        <v>7272</v>
      </c>
      <c r="D757" s="129" t="s">
        <v>3023</v>
      </c>
      <c r="E757" s="129">
        <v>101</v>
      </c>
      <c r="F757" s="129">
        <v>0</v>
      </c>
      <c r="G757" s="129">
        <v>31</v>
      </c>
      <c r="H757" s="129">
        <v>0</v>
      </c>
      <c r="I757" s="129">
        <v>30.7</v>
      </c>
      <c r="J757" s="129">
        <v>0</v>
      </c>
      <c r="K757" s="129">
        <v>0</v>
      </c>
      <c r="L757" s="129">
        <f t="shared" si="234"/>
        <v>101</v>
      </c>
      <c r="M757" s="129">
        <f t="shared" si="235"/>
        <v>31</v>
      </c>
      <c r="N757" s="128">
        <f t="shared" si="236"/>
        <v>0.30690000000000001</v>
      </c>
      <c r="O757" s="164">
        <f t="shared" si="237"/>
        <v>0</v>
      </c>
      <c r="P757" s="185">
        <f t="shared" si="238"/>
        <v>0</v>
      </c>
      <c r="Q757" s="185">
        <f t="shared" si="239"/>
        <v>0</v>
      </c>
      <c r="R757" s="162" t="b">
        <f t="shared" si="227"/>
        <v>0</v>
      </c>
    </row>
    <row r="758" spans="1:18">
      <c r="A758" s="129" t="s">
        <v>439</v>
      </c>
      <c r="B758" s="129" t="s">
        <v>3914</v>
      </c>
      <c r="C758" s="129">
        <v>7440</v>
      </c>
      <c r="D758" s="129" t="s">
        <v>1653</v>
      </c>
      <c r="E758" s="129">
        <v>296</v>
      </c>
      <c r="F758" s="129">
        <v>0</v>
      </c>
      <c r="G758" s="129">
        <v>217</v>
      </c>
      <c r="H758" s="129">
        <v>0</v>
      </c>
      <c r="I758" s="129">
        <v>73.3</v>
      </c>
      <c r="J758" s="129">
        <v>22.8</v>
      </c>
      <c r="K758" s="129">
        <v>0</v>
      </c>
      <c r="L758" s="129">
        <f t="shared" si="234"/>
        <v>296</v>
      </c>
      <c r="M758" s="129">
        <f t="shared" si="235"/>
        <v>217</v>
      </c>
      <c r="N758" s="128">
        <f t="shared" si="236"/>
        <v>0.73309999999999997</v>
      </c>
      <c r="O758" s="164">
        <f t="shared" si="237"/>
        <v>0</v>
      </c>
      <c r="P758" s="185">
        <f t="shared" si="238"/>
        <v>22.8</v>
      </c>
      <c r="Q758" s="185">
        <f t="shared" si="239"/>
        <v>22.8</v>
      </c>
      <c r="R758" s="162" t="b">
        <f t="shared" si="227"/>
        <v>0</v>
      </c>
    </row>
    <row r="759" spans="1:18">
      <c r="A759" s="129" t="s">
        <v>439</v>
      </c>
      <c r="B759" s="129" t="s">
        <v>3914</v>
      </c>
      <c r="C759" s="129">
        <v>7442</v>
      </c>
      <c r="D759" s="129" t="s">
        <v>3066</v>
      </c>
      <c r="E759" s="129">
        <v>273</v>
      </c>
      <c r="F759" s="129">
        <v>0</v>
      </c>
      <c r="G759" s="129">
        <v>223</v>
      </c>
      <c r="H759" s="129">
        <v>0</v>
      </c>
      <c r="I759" s="129">
        <v>81.7</v>
      </c>
      <c r="J759" s="129">
        <v>23.4</v>
      </c>
      <c r="K759" s="129">
        <v>0</v>
      </c>
      <c r="L759" s="129">
        <f t="shared" si="234"/>
        <v>273</v>
      </c>
      <c r="M759" s="129">
        <f t="shared" si="235"/>
        <v>223</v>
      </c>
      <c r="N759" s="128">
        <f t="shared" si="236"/>
        <v>0.81679999999999997</v>
      </c>
      <c r="O759" s="164">
        <f t="shared" si="237"/>
        <v>0</v>
      </c>
      <c r="P759" s="185">
        <f t="shared" si="238"/>
        <v>23.4</v>
      </c>
      <c r="Q759" s="185">
        <f t="shared" si="239"/>
        <v>23.4</v>
      </c>
      <c r="R759" s="162" t="b">
        <f t="shared" si="227"/>
        <v>0</v>
      </c>
    </row>
    <row r="760" spans="1:18">
      <c r="A760" s="129" t="s">
        <v>439</v>
      </c>
      <c r="B760" s="129" t="s">
        <v>3914</v>
      </c>
      <c r="C760" s="129">
        <v>7443</v>
      </c>
      <c r="D760" s="129" t="s">
        <v>1721</v>
      </c>
      <c r="E760" s="129">
        <v>281</v>
      </c>
      <c r="F760" s="129">
        <v>0</v>
      </c>
      <c r="G760" s="129">
        <v>194</v>
      </c>
      <c r="H760" s="129">
        <v>0</v>
      </c>
      <c r="I760" s="129">
        <v>69</v>
      </c>
      <c r="J760" s="129">
        <v>20.399999999999999</v>
      </c>
      <c r="K760" s="129">
        <v>0</v>
      </c>
      <c r="L760" s="129">
        <f t="shared" si="234"/>
        <v>281</v>
      </c>
      <c r="M760" s="129">
        <f t="shared" si="235"/>
        <v>194</v>
      </c>
      <c r="N760" s="128">
        <f t="shared" si="236"/>
        <v>0.69040000000000001</v>
      </c>
      <c r="O760" s="164">
        <f t="shared" si="237"/>
        <v>0</v>
      </c>
      <c r="P760" s="185">
        <f t="shared" si="238"/>
        <v>20.399999999999999</v>
      </c>
      <c r="Q760" s="185">
        <f t="shared" si="239"/>
        <v>20.399999999999999</v>
      </c>
      <c r="R760" s="162" t="b">
        <f t="shared" si="227"/>
        <v>0</v>
      </c>
    </row>
    <row r="761" spans="1:18">
      <c r="A761" s="129" t="s">
        <v>439</v>
      </c>
      <c r="B761" s="129" t="s">
        <v>3914</v>
      </c>
      <c r="C761" s="129">
        <v>7448</v>
      </c>
      <c r="D761" s="129" t="s">
        <v>2736</v>
      </c>
      <c r="E761" s="129">
        <v>218</v>
      </c>
      <c r="F761" s="129">
        <v>0</v>
      </c>
      <c r="G761" s="129">
        <v>165</v>
      </c>
      <c r="H761" s="129">
        <v>0</v>
      </c>
      <c r="I761" s="129">
        <v>75.7</v>
      </c>
      <c r="J761" s="129">
        <v>17.3</v>
      </c>
      <c r="K761" s="129">
        <v>0</v>
      </c>
      <c r="L761" s="129">
        <f t="shared" si="234"/>
        <v>218</v>
      </c>
      <c r="M761" s="129">
        <f t="shared" si="235"/>
        <v>165</v>
      </c>
      <c r="N761" s="128">
        <f t="shared" si="236"/>
        <v>0.75690000000000002</v>
      </c>
      <c r="O761" s="164">
        <f t="shared" si="237"/>
        <v>0</v>
      </c>
      <c r="P761" s="185">
        <f t="shared" si="238"/>
        <v>17.3</v>
      </c>
      <c r="Q761" s="185">
        <f t="shared" si="239"/>
        <v>17.3</v>
      </c>
      <c r="R761" s="162" t="b">
        <f t="shared" si="227"/>
        <v>0</v>
      </c>
    </row>
    <row r="762" spans="1:18">
      <c r="A762" s="129" t="s">
        <v>439</v>
      </c>
      <c r="B762" s="129" t="s">
        <v>3914</v>
      </c>
      <c r="C762" s="129">
        <v>7454</v>
      </c>
      <c r="D762" s="129" t="s">
        <v>3070</v>
      </c>
      <c r="E762" s="129">
        <v>662</v>
      </c>
      <c r="F762" s="129">
        <v>0</v>
      </c>
      <c r="G762" s="129">
        <v>418</v>
      </c>
      <c r="H762" s="129">
        <v>0</v>
      </c>
      <c r="I762" s="129">
        <v>63.1</v>
      </c>
      <c r="J762" s="129">
        <v>43.9</v>
      </c>
      <c r="K762" s="129">
        <v>0</v>
      </c>
      <c r="L762" s="129">
        <f t="shared" si="234"/>
        <v>662</v>
      </c>
      <c r="M762" s="129">
        <f t="shared" si="235"/>
        <v>418</v>
      </c>
      <c r="N762" s="128">
        <f t="shared" si="236"/>
        <v>0.63139999999999996</v>
      </c>
      <c r="O762" s="164">
        <f t="shared" si="237"/>
        <v>0</v>
      </c>
      <c r="P762" s="185">
        <f t="shared" si="238"/>
        <v>43.9</v>
      </c>
      <c r="Q762" s="185">
        <f t="shared" si="239"/>
        <v>43.9</v>
      </c>
      <c r="R762" s="162" t="b">
        <f t="shared" si="227"/>
        <v>0</v>
      </c>
    </row>
    <row r="763" spans="1:18">
      <c r="A763" s="129" t="s">
        <v>439</v>
      </c>
      <c r="B763" s="129" t="s">
        <v>3914</v>
      </c>
      <c r="C763" s="129">
        <v>7456</v>
      </c>
      <c r="D763" s="129" t="s">
        <v>3072</v>
      </c>
      <c r="E763" s="129">
        <v>829</v>
      </c>
      <c r="F763" s="129">
        <v>0</v>
      </c>
      <c r="G763" s="129">
        <v>489</v>
      </c>
      <c r="H763" s="129">
        <v>0</v>
      </c>
      <c r="I763" s="129">
        <v>59</v>
      </c>
      <c r="J763" s="129">
        <v>51.3</v>
      </c>
      <c r="K763" s="129">
        <v>0</v>
      </c>
      <c r="L763" s="129">
        <f t="shared" si="234"/>
        <v>829</v>
      </c>
      <c r="M763" s="129">
        <f t="shared" si="235"/>
        <v>489</v>
      </c>
      <c r="N763" s="128">
        <f t="shared" si="236"/>
        <v>0.58989999999999998</v>
      </c>
      <c r="O763" s="164">
        <f t="shared" si="237"/>
        <v>0</v>
      </c>
      <c r="P763" s="185">
        <f t="shared" si="238"/>
        <v>51.3</v>
      </c>
      <c r="Q763" s="185">
        <f t="shared" si="239"/>
        <v>51.3</v>
      </c>
      <c r="R763" s="162" t="b">
        <f t="shared" si="227"/>
        <v>0</v>
      </c>
    </row>
    <row r="764" spans="1:18">
      <c r="A764" s="129" t="s">
        <v>439</v>
      </c>
      <c r="B764" s="129" t="s">
        <v>3914</v>
      </c>
      <c r="C764" s="129">
        <v>7458</v>
      </c>
      <c r="D764" s="129" t="s">
        <v>3074</v>
      </c>
      <c r="E764" s="129">
        <v>113</v>
      </c>
      <c r="F764" s="129">
        <v>0</v>
      </c>
      <c r="G764" s="129">
        <v>43</v>
      </c>
      <c r="H764" s="129">
        <v>0</v>
      </c>
      <c r="I764" s="129">
        <v>38.1</v>
      </c>
      <c r="J764" s="129">
        <v>0</v>
      </c>
      <c r="K764" s="129">
        <v>0.9</v>
      </c>
      <c r="L764" s="129">
        <f t="shared" si="234"/>
        <v>113</v>
      </c>
      <c r="M764" s="129">
        <f t="shared" si="235"/>
        <v>43</v>
      </c>
      <c r="N764" s="128">
        <f t="shared" si="236"/>
        <v>0.3805</v>
      </c>
      <c r="O764" s="164">
        <f t="shared" si="237"/>
        <v>0.9</v>
      </c>
      <c r="P764" s="185">
        <f t="shared" si="238"/>
        <v>0</v>
      </c>
      <c r="Q764" s="185">
        <f t="shared" si="239"/>
        <v>0.9</v>
      </c>
      <c r="R764" s="162" t="b">
        <f t="shared" si="227"/>
        <v>0</v>
      </c>
    </row>
    <row r="765" spans="1:18">
      <c r="A765" s="129" t="s">
        <v>439</v>
      </c>
      <c r="B765" s="129" t="s">
        <v>3914</v>
      </c>
      <c r="C765" s="129">
        <v>7466</v>
      </c>
      <c r="D765" s="129" t="s">
        <v>3076</v>
      </c>
      <c r="E765" s="129">
        <v>196</v>
      </c>
      <c r="F765" s="129">
        <v>0</v>
      </c>
      <c r="G765" s="129">
        <v>140</v>
      </c>
      <c r="H765" s="129">
        <v>0</v>
      </c>
      <c r="I765" s="129">
        <v>71.400000000000006</v>
      </c>
      <c r="J765" s="129">
        <v>14.7</v>
      </c>
      <c r="K765" s="129">
        <v>0</v>
      </c>
      <c r="L765" s="129">
        <f t="shared" si="234"/>
        <v>196</v>
      </c>
      <c r="M765" s="129">
        <f t="shared" si="235"/>
        <v>140</v>
      </c>
      <c r="N765" s="128">
        <f t="shared" si="236"/>
        <v>0.71430000000000005</v>
      </c>
      <c r="O765" s="164">
        <f t="shared" si="237"/>
        <v>0</v>
      </c>
      <c r="P765" s="185">
        <f t="shared" si="238"/>
        <v>14.7</v>
      </c>
      <c r="Q765" s="185">
        <f t="shared" si="239"/>
        <v>14.7</v>
      </c>
      <c r="R765" s="162" t="b">
        <f t="shared" si="227"/>
        <v>0</v>
      </c>
    </row>
    <row r="766" spans="1:18">
      <c r="A766" s="129" t="s">
        <v>448</v>
      </c>
      <c r="B766" s="129" t="s">
        <v>3923</v>
      </c>
      <c r="C766" s="129">
        <v>7750</v>
      </c>
      <c r="D766" s="129" t="s">
        <v>3148</v>
      </c>
      <c r="E766" s="129">
        <v>73</v>
      </c>
      <c r="F766" s="129">
        <v>0</v>
      </c>
      <c r="G766" s="129">
        <v>26</v>
      </c>
      <c r="H766" s="129">
        <v>0</v>
      </c>
      <c r="I766" s="129">
        <v>35.6</v>
      </c>
      <c r="J766" s="129">
        <v>0</v>
      </c>
      <c r="K766" s="129">
        <v>0.1</v>
      </c>
      <c r="L766" s="129">
        <f t="shared" si="234"/>
        <v>73</v>
      </c>
      <c r="M766" s="129">
        <f t="shared" si="235"/>
        <v>26</v>
      </c>
      <c r="N766" s="128">
        <f t="shared" si="236"/>
        <v>0.35620000000000002</v>
      </c>
      <c r="O766" s="164">
        <f t="shared" si="237"/>
        <v>0.1</v>
      </c>
      <c r="P766" s="185">
        <f t="shared" si="238"/>
        <v>0</v>
      </c>
      <c r="Q766" s="185">
        <f t="shared" si="239"/>
        <v>0.1</v>
      </c>
      <c r="R766" s="162" t="b">
        <f t="shared" si="227"/>
        <v>0</v>
      </c>
    </row>
    <row r="767" spans="1:18">
      <c r="A767" s="129" t="s">
        <v>448</v>
      </c>
      <c r="B767" s="129" t="s">
        <v>3923</v>
      </c>
      <c r="C767" s="129">
        <v>7752</v>
      </c>
      <c r="D767" s="129" t="s">
        <v>3150</v>
      </c>
      <c r="E767" s="129">
        <v>27</v>
      </c>
      <c r="F767" s="129">
        <v>0</v>
      </c>
      <c r="G767" s="129">
        <v>7</v>
      </c>
      <c r="H767" s="129">
        <v>0</v>
      </c>
      <c r="I767" s="129">
        <v>25.9</v>
      </c>
      <c r="J767" s="129">
        <v>0</v>
      </c>
      <c r="K767" s="129">
        <v>0</v>
      </c>
      <c r="L767" s="129">
        <f t="shared" si="234"/>
        <v>27</v>
      </c>
      <c r="M767" s="129">
        <f t="shared" si="235"/>
        <v>7</v>
      </c>
      <c r="N767" s="128">
        <f t="shared" si="236"/>
        <v>0.25929999999999997</v>
      </c>
      <c r="O767" s="164">
        <f t="shared" si="237"/>
        <v>0</v>
      </c>
      <c r="P767" s="185">
        <f t="shared" si="238"/>
        <v>0</v>
      </c>
      <c r="Q767" s="185">
        <f t="shared" si="239"/>
        <v>0</v>
      </c>
      <c r="R767" s="162" t="b">
        <f t="shared" si="227"/>
        <v>0</v>
      </c>
    </row>
    <row r="768" spans="1:18">
      <c r="A768" s="129" t="s">
        <v>448</v>
      </c>
      <c r="B768" s="129" t="s">
        <v>3923</v>
      </c>
      <c r="C768" s="129">
        <v>7758</v>
      </c>
      <c r="D768" s="129" t="s">
        <v>3152</v>
      </c>
      <c r="E768" s="129">
        <v>136</v>
      </c>
      <c r="F768" s="129">
        <v>0</v>
      </c>
      <c r="G768" s="129">
        <v>60</v>
      </c>
      <c r="H768" s="129">
        <v>0</v>
      </c>
      <c r="I768" s="129">
        <v>44.1</v>
      </c>
      <c r="J768" s="129">
        <v>0</v>
      </c>
      <c r="K768" s="129">
        <v>3.8</v>
      </c>
      <c r="L768" s="129">
        <f t="shared" si="234"/>
        <v>136</v>
      </c>
      <c r="M768" s="129">
        <f t="shared" si="235"/>
        <v>60</v>
      </c>
      <c r="N768" s="128">
        <f t="shared" si="236"/>
        <v>0.44119999999999998</v>
      </c>
      <c r="O768" s="164">
        <f t="shared" si="237"/>
        <v>3.8</v>
      </c>
      <c r="P768" s="185">
        <f t="shared" si="238"/>
        <v>0</v>
      </c>
      <c r="Q768" s="185">
        <f t="shared" si="239"/>
        <v>3.8</v>
      </c>
      <c r="R768" s="162" t="b">
        <f t="shared" si="227"/>
        <v>0</v>
      </c>
    </row>
    <row r="769" spans="1:18">
      <c r="A769" s="129" t="s">
        <v>448</v>
      </c>
      <c r="B769" s="129" t="s">
        <v>3923</v>
      </c>
      <c r="C769" s="129">
        <v>7760</v>
      </c>
      <c r="D769" s="129" t="s">
        <v>3154</v>
      </c>
      <c r="E769" s="129">
        <v>45</v>
      </c>
      <c r="F769" s="129">
        <v>0</v>
      </c>
      <c r="G769" s="129">
        <v>16</v>
      </c>
      <c r="H769" s="129">
        <v>0</v>
      </c>
      <c r="I769" s="129">
        <v>35.6</v>
      </c>
      <c r="J769" s="129">
        <v>0</v>
      </c>
      <c r="K769" s="129">
        <v>0.1</v>
      </c>
      <c r="L769" s="129">
        <f t="shared" si="234"/>
        <v>45</v>
      </c>
      <c r="M769" s="129">
        <f t="shared" si="235"/>
        <v>16</v>
      </c>
      <c r="N769" s="128">
        <f t="shared" si="236"/>
        <v>0.35560000000000003</v>
      </c>
      <c r="O769" s="164">
        <f t="shared" si="237"/>
        <v>0.1</v>
      </c>
      <c r="P769" s="185">
        <f t="shared" si="238"/>
        <v>0</v>
      </c>
      <c r="Q769" s="185">
        <f t="shared" si="239"/>
        <v>0.1</v>
      </c>
      <c r="R769" s="162" t="b">
        <f t="shared" si="227"/>
        <v>0</v>
      </c>
    </row>
    <row r="770" spans="1:18">
      <c r="A770" s="129" t="s">
        <v>452</v>
      </c>
      <c r="B770" s="129" t="s">
        <v>3927</v>
      </c>
      <c r="C770" s="129">
        <v>7888</v>
      </c>
      <c r="D770" s="129" t="s">
        <v>3171</v>
      </c>
      <c r="E770" s="129">
        <v>165</v>
      </c>
      <c r="F770" s="129">
        <v>0</v>
      </c>
      <c r="G770" s="129">
        <v>114</v>
      </c>
      <c r="H770" s="129">
        <v>0</v>
      </c>
      <c r="I770" s="129">
        <v>69.099999999999994</v>
      </c>
      <c r="J770" s="129">
        <v>12</v>
      </c>
      <c r="K770" s="129">
        <v>0</v>
      </c>
      <c r="L770" s="129">
        <f t="shared" si="234"/>
        <v>165</v>
      </c>
      <c r="M770" s="129">
        <f t="shared" si="235"/>
        <v>114</v>
      </c>
      <c r="N770" s="128">
        <f t="shared" si="236"/>
        <v>0.69089999999999996</v>
      </c>
      <c r="O770" s="164">
        <f t="shared" si="237"/>
        <v>0</v>
      </c>
      <c r="P770" s="185">
        <f t="shared" si="238"/>
        <v>12</v>
      </c>
      <c r="Q770" s="185">
        <f t="shared" si="239"/>
        <v>12</v>
      </c>
      <c r="R770" s="162" t="b">
        <f t="shared" si="227"/>
        <v>0</v>
      </c>
    </row>
    <row r="771" spans="1:18">
      <c r="A771" s="129" t="s">
        <v>452</v>
      </c>
      <c r="B771" s="129" t="s">
        <v>3927</v>
      </c>
      <c r="C771" s="129">
        <v>7890</v>
      </c>
      <c r="D771" s="129" t="s">
        <v>3173</v>
      </c>
      <c r="E771" s="129">
        <v>94</v>
      </c>
      <c r="F771" s="129">
        <v>0</v>
      </c>
      <c r="G771" s="129">
        <v>54</v>
      </c>
      <c r="H771" s="129">
        <v>0</v>
      </c>
      <c r="I771" s="129">
        <v>57.5</v>
      </c>
      <c r="J771" s="129">
        <v>5.7</v>
      </c>
      <c r="K771" s="129">
        <v>0</v>
      </c>
      <c r="L771" s="129">
        <f t="shared" si="234"/>
        <v>94</v>
      </c>
      <c r="M771" s="129">
        <f t="shared" si="235"/>
        <v>54</v>
      </c>
      <c r="N771" s="128">
        <f t="shared" si="236"/>
        <v>0.57450000000000001</v>
      </c>
      <c r="O771" s="164">
        <f t="shared" si="237"/>
        <v>0</v>
      </c>
      <c r="P771" s="185">
        <f t="shared" si="238"/>
        <v>5.7</v>
      </c>
      <c r="Q771" s="185">
        <f t="shared" si="239"/>
        <v>5.7</v>
      </c>
      <c r="R771" s="162" t="b">
        <f t="shared" si="227"/>
        <v>0</v>
      </c>
    </row>
    <row r="772" spans="1:18">
      <c r="A772" s="129" t="s">
        <v>452</v>
      </c>
      <c r="B772" s="129" t="s">
        <v>3927</v>
      </c>
      <c r="C772" s="129">
        <v>7892</v>
      </c>
      <c r="D772" s="129" t="s">
        <v>3175</v>
      </c>
      <c r="E772" s="129">
        <v>138</v>
      </c>
      <c r="F772" s="129">
        <v>0</v>
      </c>
      <c r="G772" s="129">
        <v>82</v>
      </c>
      <c r="H772" s="129">
        <v>0</v>
      </c>
      <c r="I772" s="129">
        <v>59.4</v>
      </c>
      <c r="J772" s="129">
        <v>8.6</v>
      </c>
      <c r="K772" s="129">
        <v>0</v>
      </c>
      <c r="L772" s="129">
        <f t="shared" si="234"/>
        <v>138</v>
      </c>
      <c r="M772" s="129">
        <f t="shared" si="235"/>
        <v>82</v>
      </c>
      <c r="N772" s="128">
        <f t="shared" si="236"/>
        <v>0.59419999999999995</v>
      </c>
      <c r="O772" s="164">
        <f t="shared" si="237"/>
        <v>0</v>
      </c>
      <c r="P772" s="185">
        <f t="shared" si="238"/>
        <v>8.6</v>
      </c>
      <c r="Q772" s="185">
        <f t="shared" si="239"/>
        <v>8.6</v>
      </c>
      <c r="R772" s="162" t="b">
        <f t="shared" si="227"/>
        <v>0</v>
      </c>
    </row>
    <row r="773" spans="1:18">
      <c r="A773" s="129" t="s">
        <v>459</v>
      </c>
      <c r="B773" s="129" t="s">
        <v>4153</v>
      </c>
      <c r="C773" s="129">
        <v>8133</v>
      </c>
      <c r="D773" s="129" t="s">
        <v>3219</v>
      </c>
      <c r="E773" s="129">
        <v>432</v>
      </c>
      <c r="F773" s="129">
        <v>0</v>
      </c>
      <c r="G773" s="129">
        <v>227</v>
      </c>
      <c r="H773" s="129">
        <v>0</v>
      </c>
      <c r="I773" s="129">
        <v>52.6</v>
      </c>
      <c r="J773" s="129">
        <v>23.8</v>
      </c>
      <c r="K773" s="129">
        <v>0</v>
      </c>
      <c r="L773" s="129">
        <f t="shared" si="234"/>
        <v>432</v>
      </c>
      <c r="M773" s="129">
        <f t="shared" si="235"/>
        <v>227</v>
      </c>
      <c r="N773" s="128">
        <f t="shared" si="236"/>
        <v>0.52549999999999997</v>
      </c>
      <c r="O773" s="164">
        <f t="shared" si="237"/>
        <v>0</v>
      </c>
      <c r="P773" s="185">
        <f t="shared" si="238"/>
        <v>23.8</v>
      </c>
      <c r="Q773" s="185">
        <f t="shared" si="239"/>
        <v>23.8</v>
      </c>
      <c r="R773" s="162" t="b">
        <f t="shared" ref="R773:R836" si="240">COUNTIF(C:C,C773)&gt;1</f>
        <v>0</v>
      </c>
    </row>
    <row r="774" spans="1:18">
      <c r="A774" s="129" t="s">
        <v>459</v>
      </c>
      <c r="B774" s="129" t="s">
        <v>4153</v>
      </c>
      <c r="C774" s="129">
        <v>8140</v>
      </c>
      <c r="D774" s="129" t="s">
        <v>3221</v>
      </c>
      <c r="E774" s="129">
        <v>195</v>
      </c>
      <c r="F774" s="129">
        <v>0</v>
      </c>
      <c r="G774" s="129">
        <v>85</v>
      </c>
      <c r="H774" s="129">
        <v>0</v>
      </c>
      <c r="I774" s="129">
        <v>43.6</v>
      </c>
      <c r="J774" s="129">
        <v>0</v>
      </c>
      <c r="K774" s="129">
        <v>5.0999999999999996</v>
      </c>
      <c r="L774" s="129">
        <f t="shared" si="234"/>
        <v>195</v>
      </c>
      <c r="M774" s="129">
        <f t="shared" si="235"/>
        <v>85</v>
      </c>
      <c r="N774" s="128">
        <f t="shared" si="236"/>
        <v>0.43590000000000001</v>
      </c>
      <c r="O774" s="164">
        <f t="shared" si="237"/>
        <v>5.0999999999999996</v>
      </c>
      <c r="P774" s="185">
        <f t="shared" si="238"/>
        <v>0</v>
      </c>
      <c r="Q774" s="185">
        <f t="shared" si="239"/>
        <v>5.0999999999999996</v>
      </c>
      <c r="R774" s="162" t="b">
        <f t="shared" si="240"/>
        <v>0</v>
      </c>
    </row>
    <row r="775" spans="1:18">
      <c r="A775" s="129" t="s">
        <v>459</v>
      </c>
      <c r="B775" s="129" t="s">
        <v>4153</v>
      </c>
      <c r="C775" s="129">
        <v>8142</v>
      </c>
      <c r="D775" s="129" t="s">
        <v>3223</v>
      </c>
      <c r="E775" s="129">
        <v>226</v>
      </c>
      <c r="F775" s="129">
        <v>0</v>
      </c>
      <c r="G775" s="129">
        <v>83</v>
      </c>
      <c r="H775" s="129">
        <v>0</v>
      </c>
      <c r="I775" s="129">
        <v>36.700000000000003</v>
      </c>
      <c r="J775" s="129">
        <v>0</v>
      </c>
      <c r="K775" s="129">
        <v>1</v>
      </c>
      <c r="L775" s="129">
        <f t="shared" si="234"/>
        <v>226</v>
      </c>
      <c r="M775" s="129">
        <f t="shared" si="235"/>
        <v>83</v>
      </c>
      <c r="N775" s="128">
        <f t="shared" si="236"/>
        <v>0.36730000000000002</v>
      </c>
      <c r="O775" s="164">
        <f t="shared" si="237"/>
        <v>1</v>
      </c>
      <c r="P775" s="185">
        <f t="shared" si="238"/>
        <v>0</v>
      </c>
      <c r="Q775" s="185">
        <f t="shared" si="239"/>
        <v>1</v>
      </c>
      <c r="R775" s="162" t="b">
        <f t="shared" si="240"/>
        <v>0</v>
      </c>
    </row>
    <row r="776" spans="1:18">
      <c r="A776" s="129" t="s">
        <v>466</v>
      </c>
      <c r="B776" s="129" t="s">
        <v>3940</v>
      </c>
      <c r="C776" s="129">
        <v>8580</v>
      </c>
      <c r="D776" s="129" t="s">
        <v>3406</v>
      </c>
      <c r="E776" s="129">
        <v>73</v>
      </c>
      <c r="F776" s="129">
        <v>0</v>
      </c>
      <c r="G776" s="129">
        <v>38</v>
      </c>
      <c r="H776" s="129">
        <v>0</v>
      </c>
      <c r="I776" s="129">
        <v>52.1</v>
      </c>
      <c r="J776" s="129">
        <v>4</v>
      </c>
      <c r="K776" s="129">
        <v>0</v>
      </c>
      <c r="L776" s="129">
        <f t="shared" si="234"/>
        <v>73</v>
      </c>
      <c r="M776" s="129">
        <f t="shared" si="235"/>
        <v>38</v>
      </c>
      <c r="N776" s="128">
        <f t="shared" si="236"/>
        <v>0.52049999999999996</v>
      </c>
      <c r="O776" s="164">
        <f t="shared" si="237"/>
        <v>0</v>
      </c>
      <c r="P776" s="185">
        <f t="shared" si="238"/>
        <v>4</v>
      </c>
      <c r="Q776" s="185">
        <f t="shared" si="239"/>
        <v>4</v>
      </c>
      <c r="R776" s="162" t="b">
        <f t="shared" si="240"/>
        <v>0</v>
      </c>
    </row>
    <row r="777" spans="1:18">
      <c r="A777" s="129" t="s">
        <v>473</v>
      </c>
      <c r="B777" s="129" t="s">
        <v>3947</v>
      </c>
      <c r="C777" s="129">
        <v>8742</v>
      </c>
      <c r="D777" s="129" t="s">
        <v>3454</v>
      </c>
      <c r="E777" s="129">
        <v>95</v>
      </c>
      <c r="F777" s="129">
        <v>0</v>
      </c>
      <c r="G777" s="129">
        <v>37</v>
      </c>
      <c r="H777" s="129">
        <v>0</v>
      </c>
      <c r="I777" s="129">
        <v>39</v>
      </c>
      <c r="J777" s="129">
        <v>0</v>
      </c>
      <c r="K777" s="129">
        <v>1</v>
      </c>
      <c r="L777" s="129">
        <f t="shared" si="234"/>
        <v>95</v>
      </c>
      <c r="M777" s="129">
        <f t="shared" si="235"/>
        <v>37</v>
      </c>
      <c r="N777" s="128">
        <f t="shared" si="236"/>
        <v>0.38950000000000001</v>
      </c>
      <c r="O777" s="164">
        <f t="shared" si="237"/>
        <v>1</v>
      </c>
      <c r="P777" s="185">
        <f t="shared" si="238"/>
        <v>0</v>
      </c>
      <c r="Q777" s="185">
        <f t="shared" si="239"/>
        <v>1</v>
      </c>
      <c r="R777" s="162" t="b">
        <f t="shared" si="240"/>
        <v>0</v>
      </c>
    </row>
    <row r="778" spans="1:18">
      <c r="A778" s="129" t="s">
        <v>473</v>
      </c>
      <c r="B778" s="129" t="s">
        <v>3947</v>
      </c>
      <c r="C778" s="129">
        <v>8744</v>
      </c>
      <c r="D778" s="129" t="s">
        <v>3456</v>
      </c>
      <c r="E778" s="129">
        <v>113</v>
      </c>
      <c r="F778" s="129">
        <v>0</v>
      </c>
      <c r="G778" s="129">
        <v>39</v>
      </c>
      <c r="H778" s="129">
        <v>0</v>
      </c>
      <c r="I778" s="129">
        <v>34.5</v>
      </c>
      <c r="J778" s="129">
        <v>0</v>
      </c>
      <c r="K778" s="129">
        <v>0</v>
      </c>
      <c r="L778" s="129">
        <f t="shared" si="234"/>
        <v>113</v>
      </c>
      <c r="M778" s="129">
        <f t="shared" si="235"/>
        <v>39</v>
      </c>
      <c r="N778" s="128">
        <f t="shared" si="236"/>
        <v>0.34510000000000002</v>
      </c>
      <c r="O778" s="164">
        <f t="shared" si="237"/>
        <v>0</v>
      </c>
      <c r="P778" s="185">
        <f t="shared" si="238"/>
        <v>0</v>
      </c>
      <c r="Q778" s="185">
        <f t="shared" si="239"/>
        <v>0</v>
      </c>
      <c r="R778" s="162" t="b">
        <f t="shared" si="240"/>
        <v>0</v>
      </c>
    </row>
    <row r="779" spans="1:18">
      <c r="A779" s="129" t="s">
        <v>196</v>
      </c>
      <c r="B779" s="129" t="s">
        <v>4154</v>
      </c>
      <c r="C779" s="129">
        <v>2981</v>
      </c>
      <c r="D779" s="129" t="s">
        <v>1078</v>
      </c>
      <c r="E779" s="129">
        <v>166</v>
      </c>
      <c r="F779" s="129">
        <v>0</v>
      </c>
      <c r="G779" s="129">
        <v>68</v>
      </c>
      <c r="H779" s="129">
        <v>0</v>
      </c>
      <c r="I779" s="129">
        <v>41</v>
      </c>
      <c r="J779" s="129">
        <v>0</v>
      </c>
      <c r="K779" s="129">
        <v>2.8</v>
      </c>
      <c r="L779" s="129">
        <f t="shared" ref="L779:L809" si="241">SUM(E779:F779)</f>
        <v>166</v>
      </c>
      <c r="M779" s="129">
        <f t="shared" ref="M779:M809" si="242">SUM(G779:H779)</f>
        <v>68</v>
      </c>
      <c r="N779" s="128">
        <f t="shared" ref="N779:N809" si="243">IF(ISERROR(M779/L779),0,M779/L779)</f>
        <v>0.40960000000000002</v>
      </c>
      <c r="O779" s="164">
        <f t="shared" ref="O779:O809" si="244">IF(AND((N779-35%)&gt;0,N779&lt;50%),M779*(N779-35%)*0.7,0)</f>
        <v>2.8</v>
      </c>
      <c r="P779" s="185">
        <f t="shared" ref="P779:P809" si="245">IF(N779&gt;=50%,M779*10.5%,0)</f>
        <v>0</v>
      </c>
      <c r="Q779" s="185">
        <f t="shared" ref="Q779:Q809" si="246">MAX(O779,P779)</f>
        <v>2.8</v>
      </c>
      <c r="R779" s="162" t="b">
        <f t="shared" si="240"/>
        <v>0</v>
      </c>
    </row>
    <row r="780" spans="1:18">
      <c r="A780" s="129" t="s">
        <v>196</v>
      </c>
      <c r="B780" s="129" t="s">
        <v>4154</v>
      </c>
      <c r="C780" s="129">
        <v>2983</v>
      </c>
      <c r="D780" s="129" t="s">
        <v>1080</v>
      </c>
      <c r="E780" s="129">
        <v>190</v>
      </c>
      <c r="F780" s="129">
        <v>0</v>
      </c>
      <c r="G780" s="129">
        <v>81</v>
      </c>
      <c r="H780" s="129">
        <v>0</v>
      </c>
      <c r="I780" s="129">
        <v>42.6</v>
      </c>
      <c r="J780" s="129">
        <v>0</v>
      </c>
      <c r="K780" s="129">
        <v>4.3</v>
      </c>
      <c r="L780" s="129">
        <f t="shared" si="241"/>
        <v>190</v>
      </c>
      <c r="M780" s="129">
        <f t="shared" si="242"/>
        <v>81</v>
      </c>
      <c r="N780" s="128">
        <f t="shared" si="243"/>
        <v>0.42630000000000001</v>
      </c>
      <c r="O780" s="164">
        <f t="shared" si="244"/>
        <v>4.3</v>
      </c>
      <c r="P780" s="185">
        <f t="shared" si="245"/>
        <v>0</v>
      </c>
      <c r="Q780" s="185">
        <f t="shared" si="246"/>
        <v>4.3</v>
      </c>
      <c r="R780" s="162" t="b">
        <f t="shared" si="240"/>
        <v>0</v>
      </c>
    </row>
    <row r="781" spans="1:18">
      <c r="A781" s="129" t="s">
        <v>218</v>
      </c>
      <c r="B781" s="129" t="s">
        <v>3711</v>
      </c>
      <c r="C781" s="129">
        <v>482</v>
      </c>
      <c r="D781" s="129" t="s">
        <v>1219</v>
      </c>
      <c r="E781" s="129">
        <v>131</v>
      </c>
      <c r="F781" s="129">
        <v>0</v>
      </c>
      <c r="G781" s="129">
        <v>79</v>
      </c>
      <c r="H781" s="129">
        <v>0</v>
      </c>
      <c r="I781" s="129">
        <v>60.3</v>
      </c>
      <c r="J781" s="129">
        <v>8.3000000000000007</v>
      </c>
      <c r="K781" s="129">
        <v>0</v>
      </c>
      <c r="L781" s="129">
        <f t="shared" si="241"/>
        <v>131</v>
      </c>
      <c r="M781" s="129">
        <f t="shared" si="242"/>
        <v>79</v>
      </c>
      <c r="N781" s="128">
        <f t="shared" si="243"/>
        <v>0.60309999999999997</v>
      </c>
      <c r="O781" s="164">
        <f t="shared" si="244"/>
        <v>0</v>
      </c>
      <c r="P781" s="185">
        <f t="shared" si="245"/>
        <v>8.3000000000000007</v>
      </c>
      <c r="Q781" s="185">
        <f t="shared" si="246"/>
        <v>8.3000000000000007</v>
      </c>
      <c r="R781" s="162" t="b">
        <f t="shared" si="240"/>
        <v>0</v>
      </c>
    </row>
    <row r="782" spans="1:18">
      <c r="A782" s="129" t="s">
        <v>218</v>
      </c>
      <c r="B782" s="129" t="s">
        <v>3711</v>
      </c>
      <c r="C782" s="129">
        <v>483</v>
      </c>
      <c r="D782" s="129" t="s">
        <v>1221</v>
      </c>
      <c r="E782" s="129">
        <v>49</v>
      </c>
      <c r="F782" s="129">
        <v>0</v>
      </c>
      <c r="G782" s="129">
        <v>30</v>
      </c>
      <c r="H782" s="129">
        <v>0</v>
      </c>
      <c r="I782" s="129">
        <v>61.2</v>
      </c>
      <c r="J782" s="129">
        <v>3.2</v>
      </c>
      <c r="K782" s="129">
        <v>0</v>
      </c>
      <c r="L782" s="129">
        <f t="shared" si="241"/>
        <v>49</v>
      </c>
      <c r="M782" s="129">
        <f t="shared" si="242"/>
        <v>30</v>
      </c>
      <c r="N782" s="128">
        <f t="shared" si="243"/>
        <v>0.61219999999999997</v>
      </c>
      <c r="O782" s="164">
        <f t="shared" si="244"/>
        <v>0</v>
      </c>
      <c r="P782" s="185">
        <f t="shared" si="245"/>
        <v>3.2</v>
      </c>
      <c r="Q782" s="185">
        <f t="shared" si="246"/>
        <v>3.2</v>
      </c>
      <c r="R782" s="162" t="b">
        <f t="shared" si="240"/>
        <v>0</v>
      </c>
    </row>
    <row r="783" spans="1:18">
      <c r="A783" s="129" t="s">
        <v>218</v>
      </c>
      <c r="B783" s="129" t="s">
        <v>3711</v>
      </c>
      <c r="C783" s="129">
        <v>484</v>
      </c>
      <c r="D783" s="129" t="s">
        <v>1223</v>
      </c>
      <c r="E783" s="129">
        <v>65</v>
      </c>
      <c r="F783" s="129">
        <v>0</v>
      </c>
      <c r="G783" s="129">
        <v>36</v>
      </c>
      <c r="H783" s="129">
        <v>0</v>
      </c>
      <c r="I783" s="129">
        <v>55.4</v>
      </c>
      <c r="J783" s="129">
        <v>3.8</v>
      </c>
      <c r="K783" s="129">
        <v>0</v>
      </c>
      <c r="L783" s="129">
        <f t="shared" si="241"/>
        <v>65</v>
      </c>
      <c r="M783" s="129">
        <f t="shared" si="242"/>
        <v>36</v>
      </c>
      <c r="N783" s="128">
        <f t="shared" si="243"/>
        <v>0.55379999999999996</v>
      </c>
      <c r="O783" s="164">
        <f t="shared" si="244"/>
        <v>0</v>
      </c>
      <c r="P783" s="185">
        <f t="shared" si="245"/>
        <v>3.8</v>
      </c>
      <c r="Q783" s="185">
        <f t="shared" si="246"/>
        <v>3.8</v>
      </c>
      <c r="R783" s="162" t="b">
        <f t="shared" si="240"/>
        <v>0</v>
      </c>
    </row>
    <row r="784" spans="1:18">
      <c r="A784" s="129" t="s">
        <v>248</v>
      </c>
      <c r="B784" s="129" t="s">
        <v>3739</v>
      </c>
      <c r="C784" s="129">
        <v>1350</v>
      </c>
      <c r="D784" s="129" t="s">
        <v>1601</v>
      </c>
      <c r="E784" s="129">
        <v>223</v>
      </c>
      <c r="F784" s="129">
        <v>0</v>
      </c>
      <c r="G784" s="129">
        <v>72</v>
      </c>
      <c r="H784" s="129">
        <v>0</v>
      </c>
      <c r="I784" s="129">
        <v>32.299999999999997</v>
      </c>
      <c r="J784" s="129">
        <v>0</v>
      </c>
      <c r="K784" s="129">
        <v>0</v>
      </c>
      <c r="L784" s="129">
        <f t="shared" si="241"/>
        <v>223</v>
      </c>
      <c r="M784" s="129">
        <f t="shared" si="242"/>
        <v>72</v>
      </c>
      <c r="N784" s="128">
        <f t="shared" si="243"/>
        <v>0.32290000000000002</v>
      </c>
      <c r="O784" s="164">
        <f t="shared" si="244"/>
        <v>0</v>
      </c>
      <c r="P784" s="185">
        <f t="shared" si="245"/>
        <v>0</v>
      </c>
      <c r="Q784" s="185">
        <f t="shared" si="246"/>
        <v>0</v>
      </c>
      <c r="R784" s="162" t="b">
        <f t="shared" si="240"/>
        <v>0</v>
      </c>
    </row>
    <row r="785" spans="1:18">
      <c r="A785" s="129" t="s">
        <v>248</v>
      </c>
      <c r="B785" s="129" t="s">
        <v>3739</v>
      </c>
      <c r="C785" s="129">
        <v>1358</v>
      </c>
      <c r="D785" s="129" t="s">
        <v>1603</v>
      </c>
      <c r="E785" s="129">
        <v>104</v>
      </c>
      <c r="F785" s="129">
        <v>0</v>
      </c>
      <c r="G785" s="129">
        <v>34</v>
      </c>
      <c r="H785" s="129">
        <v>0</v>
      </c>
      <c r="I785" s="129">
        <v>32.700000000000003</v>
      </c>
      <c r="J785" s="129">
        <v>0</v>
      </c>
      <c r="K785" s="129">
        <v>0</v>
      </c>
      <c r="L785" s="129">
        <f t="shared" si="241"/>
        <v>104</v>
      </c>
      <c r="M785" s="129">
        <f t="shared" si="242"/>
        <v>34</v>
      </c>
      <c r="N785" s="128">
        <f t="shared" si="243"/>
        <v>0.32690000000000002</v>
      </c>
      <c r="O785" s="164">
        <f t="shared" si="244"/>
        <v>0</v>
      </c>
      <c r="P785" s="185">
        <f t="shared" si="245"/>
        <v>0</v>
      </c>
      <c r="Q785" s="185">
        <f t="shared" si="246"/>
        <v>0</v>
      </c>
      <c r="R785" s="162" t="b">
        <f t="shared" si="240"/>
        <v>0</v>
      </c>
    </row>
    <row r="786" spans="1:18">
      <c r="A786" s="129" t="s">
        <v>275</v>
      </c>
      <c r="B786" s="129" t="s">
        <v>3765</v>
      </c>
      <c r="C786" s="129">
        <v>2470</v>
      </c>
      <c r="D786" s="129" t="s">
        <v>1994</v>
      </c>
      <c r="E786" s="129">
        <v>63</v>
      </c>
      <c r="F786" s="129">
        <v>0</v>
      </c>
      <c r="G786" s="129">
        <v>49</v>
      </c>
      <c r="H786" s="129">
        <v>0</v>
      </c>
      <c r="I786" s="129">
        <v>77.8</v>
      </c>
      <c r="J786" s="129">
        <v>5.0999999999999996</v>
      </c>
      <c r="K786" s="129">
        <v>0</v>
      </c>
      <c r="L786" s="129">
        <f t="shared" si="241"/>
        <v>63</v>
      </c>
      <c r="M786" s="129">
        <f t="shared" si="242"/>
        <v>49</v>
      </c>
      <c r="N786" s="128">
        <f t="shared" si="243"/>
        <v>0.77780000000000005</v>
      </c>
      <c r="O786" s="164">
        <f t="shared" si="244"/>
        <v>0</v>
      </c>
      <c r="P786" s="185">
        <f t="shared" si="245"/>
        <v>5.0999999999999996</v>
      </c>
      <c r="Q786" s="185">
        <f t="shared" si="246"/>
        <v>5.0999999999999996</v>
      </c>
      <c r="R786" s="162" t="b">
        <f t="shared" si="240"/>
        <v>0</v>
      </c>
    </row>
    <row r="787" spans="1:18">
      <c r="A787" s="129" t="s">
        <v>275</v>
      </c>
      <c r="B787" s="129" t="s">
        <v>3765</v>
      </c>
      <c r="C787" s="129">
        <v>2472</v>
      </c>
      <c r="D787" s="129" t="s">
        <v>1996</v>
      </c>
      <c r="E787" s="129">
        <v>57</v>
      </c>
      <c r="F787" s="129">
        <v>0</v>
      </c>
      <c r="G787" s="129">
        <v>44</v>
      </c>
      <c r="H787" s="129">
        <v>0</v>
      </c>
      <c r="I787" s="129">
        <v>77.2</v>
      </c>
      <c r="J787" s="129">
        <v>4.5999999999999996</v>
      </c>
      <c r="K787" s="129">
        <v>0</v>
      </c>
      <c r="L787" s="129">
        <f t="shared" si="241"/>
        <v>57</v>
      </c>
      <c r="M787" s="129">
        <f t="shared" si="242"/>
        <v>44</v>
      </c>
      <c r="N787" s="128">
        <f t="shared" si="243"/>
        <v>0.77190000000000003</v>
      </c>
      <c r="O787" s="164">
        <f t="shared" si="244"/>
        <v>0</v>
      </c>
      <c r="P787" s="185">
        <f t="shared" si="245"/>
        <v>4.5999999999999996</v>
      </c>
      <c r="Q787" s="185">
        <f t="shared" si="246"/>
        <v>4.5999999999999996</v>
      </c>
      <c r="R787" s="162" t="b">
        <f t="shared" si="240"/>
        <v>0</v>
      </c>
    </row>
    <row r="788" spans="1:18">
      <c r="A788" s="129" t="s">
        <v>280</v>
      </c>
      <c r="B788" s="129" t="s">
        <v>3770</v>
      </c>
      <c r="C788" s="129">
        <v>2584</v>
      </c>
      <c r="D788" s="129" t="s">
        <v>2018</v>
      </c>
      <c r="E788" s="129">
        <v>324</v>
      </c>
      <c r="F788" s="129">
        <v>0</v>
      </c>
      <c r="G788" s="129">
        <v>143</v>
      </c>
      <c r="H788" s="129">
        <v>0</v>
      </c>
      <c r="I788" s="129">
        <v>44.1</v>
      </c>
      <c r="J788" s="129">
        <v>0</v>
      </c>
      <c r="K788" s="129">
        <v>9.1</v>
      </c>
      <c r="L788" s="129">
        <f t="shared" si="241"/>
        <v>324</v>
      </c>
      <c r="M788" s="129">
        <f t="shared" si="242"/>
        <v>143</v>
      </c>
      <c r="N788" s="128">
        <f t="shared" si="243"/>
        <v>0.44140000000000001</v>
      </c>
      <c r="O788" s="164">
        <f t="shared" si="244"/>
        <v>9.1</v>
      </c>
      <c r="P788" s="185">
        <f t="shared" si="245"/>
        <v>0</v>
      </c>
      <c r="Q788" s="185">
        <f t="shared" si="246"/>
        <v>9.1</v>
      </c>
      <c r="R788" s="162" t="b">
        <f t="shared" si="240"/>
        <v>0</v>
      </c>
    </row>
    <row r="789" spans="1:18">
      <c r="A789" s="129" t="s">
        <v>280</v>
      </c>
      <c r="B789" s="129" t="s">
        <v>3770</v>
      </c>
      <c r="C789" s="129">
        <v>2585</v>
      </c>
      <c r="D789" s="129" t="s">
        <v>2020</v>
      </c>
      <c r="E789" s="129">
        <v>230</v>
      </c>
      <c r="F789" s="129">
        <v>0</v>
      </c>
      <c r="G789" s="129">
        <v>114</v>
      </c>
      <c r="H789" s="129">
        <v>0</v>
      </c>
      <c r="I789" s="129">
        <v>49.6</v>
      </c>
      <c r="J789" s="129">
        <v>0</v>
      </c>
      <c r="K789" s="129">
        <v>11.6</v>
      </c>
      <c r="L789" s="129">
        <f t="shared" si="241"/>
        <v>230</v>
      </c>
      <c r="M789" s="129">
        <f t="shared" si="242"/>
        <v>114</v>
      </c>
      <c r="N789" s="128">
        <f t="shared" si="243"/>
        <v>0.49569999999999997</v>
      </c>
      <c r="O789" s="164">
        <f t="shared" si="244"/>
        <v>11.6</v>
      </c>
      <c r="P789" s="185">
        <f t="shared" si="245"/>
        <v>0</v>
      </c>
      <c r="Q789" s="185">
        <f t="shared" si="246"/>
        <v>11.6</v>
      </c>
      <c r="R789" s="162" t="b">
        <f t="shared" si="240"/>
        <v>0</v>
      </c>
    </row>
    <row r="790" spans="1:18">
      <c r="A790" s="129" t="s">
        <v>286</v>
      </c>
      <c r="B790" s="129" t="s">
        <v>3775</v>
      </c>
      <c r="C790" s="129">
        <v>2738</v>
      </c>
      <c r="D790" s="129" t="s">
        <v>2050</v>
      </c>
      <c r="E790" s="129">
        <v>241</v>
      </c>
      <c r="F790" s="129">
        <v>0</v>
      </c>
      <c r="G790" s="129">
        <v>125</v>
      </c>
      <c r="H790" s="129">
        <v>0</v>
      </c>
      <c r="I790" s="129">
        <v>51.9</v>
      </c>
      <c r="J790" s="129">
        <v>13.1</v>
      </c>
      <c r="K790" s="129">
        <v>0</v>
      </c>
      <c r="L790" s="129">
        <f t="shared" si="241"/>
        <v>241</v>
      </c>
      <c r="M790" s="129">
        <f t="shared" si="242"/>
        <v>125</v>
      </c>
      <c r="N790" s="128">
        <f t="shared" si="243"/>
        <v>0.51870000000000005</v>
      </c>
      <c r="O790" s="164">
        <f t="shared" si="244"/>
        <v>0</v>
      </c>
      <c r="P790" s="185">
        <f t="shared" si="245"/>
        <v>13.1</v>
      </c>
      <c r="Q790" s="185">
        <f t="shared" si="246"/>
        <v>13.1</v>
      </c>
      <c r="R790" s="162" t="b">
        <f t="shared" si="240"/>
        <v>0</v>
      </c>
    </row>
    <row r="791" spans="1:18">
      <c r="A791" s="129" t="s">
        <v>286</v>
      </c>
      <c r="B791" s="129" t="s">
        <v>3775</v>
      </c>
      <c r="C791" s="129">
        <v>2740</v>
      </c>
      <c r="D791" s="129" t="s">
        <v>2052</v>
      </c>
      <c r="E791" s="129">
        <v>150</v>
      </c>
      <c r="F791" s="129">
        <v>0</v>
      </c>
      <c r="G791" s="129">
        <v>66</v>
      </c>
      <c r="H791" s="129">
        <v>0</v>
      </c>
      <c r="I791" s="129">
        <v>44</v>
      </c>
      <c r="J791" s="129">
        <v>0</v>
      </c>
      <c r="K791" s="129">
        <v>4.2</v>
      </c>
      <c r="L791" s="129">
        <f t="shared" si="241"/>
        <v>150</v>
      </c>
      <c r="M791" s="129">
        <f t="shared" si="242"/>
        <v>66</v>
      </c>
      <c r="N791" s="128">
        <f t="shared" si="243"/>
        <v>0.44</v>
      </c>
      <c r="O791" s="164">
        <f t="shared" si="244"/>
        <v>4.2</v>
      </c>
      <c r="P791" s="185">
        <f t="shared" si="245"/>
        <v>0</v>
      </c>
      <c r="Q791" s="185">
        <f t="shared" si="246"/>
        <v>4.2</v>
      </c>
      <c r="R791" s="162" t="b">
        <f t="shared" si="240"/>
        <v>0</v>
      </c>
    </row>
    <row r="792" spans="1:18">
      <c r="A792" s="129" t="s">
        <v>323</v>
      </c>
      <c r="B792" s="129" t="s">
        <v>4131</v>
      </c>
      <c r="C792" s="129">
        <v>3988</v>
      </c>
      <c r="D792" s="129" t="s">
        <v>2287</v>
      </c>
      <c r="E792" s="129">
        <v>272</v>
      </c>
      <c r="F792" s="129">
        <v>0</v>
      </c>
      <c r="G792" s="129">
        <v>105</v>
      </c>
      <c r="H792" s="129">
        <v>0</v>
      </c>
      <c r="I792" s="129">
        <v>38.6</v>
      </c>
      <c r="J792" s="129">
        <v>0</v>
      </c>
      <c r="K792" s="129">
        <v>2.6</v>
      </c>
      <c r="L792" s="129">
        <f t="shared" si="241"/>
        <v>272</v>
      </c>
      <c r="M792" s="129">
        <f t="shared" si="242"/>
        <v>105</v>
      </c>
      <c r="N792" s="128">
        <f t="shared" si="243"/>
        <v>0.38600000000000001</v>
      </c>
      <c r="O792" s="164">
        <f t="shared" si="244"/>
        <v>2.6</v>
      </c>
      <c r="P792" s="185">
        <f t="shared" si="245"/>
        <v>0</v>
      </c>
      <c r="Q792" s="185">
        <f t="shared" si="246"/>
        <v>2.6</v>
      </c>
      <c r="R792" s="162" t="b">
        <f t="shared" si="240"/>
        <v>0</v>
      </c>
    </row>
    <row r="793" spans="1:18">
      <c r="A793" s="129" t="s">
        <v>323</v>
      </c>
      <c r="B793" s="129" t="s">
        <v>4131</v>
      </c>
      <c r="C793" s="129">
        <v>3991</v>
      </c>
      <c r="D793" s="129" t="s">
        <v>2289</v>
      </c>
      <c r="E793" s="129">
        <v>258</v>
      </c>
      <c r="F793" s="129">
        <v>0</v>
      </c>
      <c r="G793" s="129">
        <v>90</v>
      </c>
      <c r="H793" s="129">
        <v>0</v>
      </c>
      <c r="I793" s="129">
        <v>34.9</v>
      </c>
      <c r="J793" s="129">
        <v>0</v>
      </c>
      <c r="K793" s="129">
        <v>0</v>
      </c>
      <c r="L793" s="129">
        <f t="shared" si="241"/>
        <v>258</v>
      </c>
      <c r="M793" s="129">
        <f t="shared" si="242"/>
        <v>90</v>
      </c>
      <c r="N793" s="128">
        <f t="shared" si="243"/>
        <v>0.3488</v>
      </c>
      <c r="O793" s="164">
        <f t="shared" si="244"/>
        <v>0</v>
      </c>
      <c r="P793" s="185">
        <f t="shared" si="245"/>
        <v>0</v>
      </c>
      <c r="Q793" s="185">
        <f t="shared" si="246"/>
        <v>0</v>
      </c>
      <c r="R793" s="162" t="b">
        <f t="shared" si="240"/>
        <v>0</v>
      </c>
    </row>
    <row r="794" spans="1:18">
      <c r="A794" s="129" t="s">
        <v>331</v>
      </c>
      <c r="B794" s="129" t="s">
        <v>64</v>
      </c>
      <c r="C794" s="129">
        <v>4158</v>
      </c>
      <c r="D794" s="129" t="s">
        <v>2337</v>
      </c>
      <c r="E794" s="129">
        <v>123</v>
      </c>
      <c r="F794" s="129">
        <v>0</v>
      </c>
      <c r="G794" s="129">
        <v>68</v>
      </c>
      <c r="H794" s="129">
        <v>0</v>
      </c>
      <c r="I794" s="129">
        <v>55.3</v>
      </c>
      <c r="J794" s="129">
        <v>7.1</v>
      </c>
      <c r="K794" s="129">
        <v>0</v>
      </c>
      <c r="L794" s="129">
        <f t="shared" si="241"/>
        <v>123</v>
      </c>
      <c r="M794" s="129">
        <f t="shared" si="242"/>
        <v>68</v>
      </c>
      <c r="N794" s="128">
        <f t="shared" si="243"/>
        <v>0.55279999999999996</v>
      </c>
      <c r="O794" s="164">
        <f t="shared" si="244"/>
        <v>0</v>
      </c>
      <c r="P794" s="185">
        <f t="shared" si="245"/>
        <v>7.1</v>
      </c>
      <c r="Q794" s="185">
        <f t="shared" si="246"/>
        <v>7.1</v>
      </c>
      <c r="R794" s="162" t="b">
        <f t="shared" si="240"/>
        <v>0</v>
      </c>
    </row>
    <row r="795" spans="1:18">
      <c r="A795" s="129" t="s">
        <v>331</v>
      </c>
      <c r="B795" s="129" t="s">
        <v>64</v>
      </c>
      <c r="C795" s="129">
        <v>4164</v>
      </c>
      <c r="D795" s="129" t="s">
        <v>2339</v>
      </c>
      <c r="E795" s="129">
        <v>113</v>
      </c>
      <c r="F795" s="129">
        <v>0</v>
      </c>
      <c r="G795" s="129">
        <v>63</v>
      </c>
      <c r="H795" s="129">
        <v>0</v>
      </c>
      <c r="I795" s="129">
        <v>55.8</v>
      </c>
      <c r="J795" s="129">
        <v>6.6</v>
      </c>
      <c r="K795" s="129">
        <v>0</v>
      </c>
      <c r="L795" s="129">
        <f t="shared" si="241"/>
        <v>113</v>
      </c>
      <c r="M795" s="129">
        <f t="shared" si="242"/>
        <v>63</v>
      </c>
      <c r="N795" s="128">
        <f t="shared" si="243"/>
        <v>0.5575</v>
      </c>
      <c r="O795" s="164">
        <f t="shared" si="244"/>
        <v>0</v>
      </c>
      <c r="P795" s="185">
        <f t="shared" si="245"/>
        <v>6.6</v>
      </c>
      <c r="Q795" s="185">
        <f t="shared" si="246"/>
        <v>6.6</v>
      </c>
      <c r="R795" s="162" t="b">
        <f t="shared" si="240"/>
        <v>0</v>
      </c>
    </row>
    <row r="796" spans="1:18">
      <c r="A796" s="129" t="s">
        <v>332</v>
      </c>
      <c r="B796" s="129" t="s">
        <v>4155</v>
      </c>
      <c r="C796" s="129">
        <v>4180</v>
      </c>
      <c r="D796" s="129" t="s">
        <v>2341</v>
      </c>
      <c r="E796" s="129">
        <v>193</v>
      </c>
      <c r="F796" s="129">
        <v>0</v>
      </c>
      <c r="G796" s="129">
        <v>73</v>
      </c>
      <c r="H796" s="129">
        <v>0</v>
      </c>
      <c r="I796" s="129">
        <v>37.799999999999997</v>
      </c>
      <c r="J796" s="129">
        <v>0</v>
      </c>
      <c r="K796" s="129">
        <v>1.4</v>
      </c>
      <c r="L796" s="129">
        <f t="shared" si="241"/>
        <v>193</v>
      </c>
      <c r="M796" s="129">
        <f t="shared" si="242"/>
        <v>73</v>
      </c>
      <c r="N796" s="128">
        <f t="shared" si="243"/>
        <v>0.37819999999999998</v>
      </c>
      <c r="O796" s="164">
        <f t="shared" si="244"/>
        <v>1.4</v>
      </c>
      <c r="P796" s="185">
        <f t="shared" si="245"/>
        <v>0</v>
      </c>
      <c r="Q796" s="185">
        <f t="shared" si="246"/>
        <v>1.4</v>
      </c>
      <c r="R796" s="162" t="b">
        <f t="shared" si="240"/>
        <v>0</v>
      </c>
    </row>
    <row r="797" spans="1:18">
      <c r="A797" s="129" t="s">
        <v>332</v>
      </c>
      <c r="B797" s="129" t="s">
        <v>4155</v>
      </c>
      <c r="C797" s="129">
        <v>4182</v>
      </c>
      <c r="D797" s="129" t="s">
        <v>2343</v>
      </c>
      <c r="E797" s="129">
        <v>133</v>
      </c>
      <c r="F797" s="129">
        <v>0</v>
      </c>
      <c r="G797" s="129">
        <v>56</v>
      </c>
      <c r="H797" s="129">
        <v>0</v>
      </c>
      <c r="I797" s="129">
        <v>42.1</v>
      </c>
      <c r="J797" s="129">
        <v>0</v>
      </c>
      <c r="K797" s="129">
        <v>2.8</v>
      </c>
      <c r="L797" s="129">
        <f t="shared" si="241"/>
        <v>133</v>
      </c>
      <c r="M797" s="129">
        <f t="shared" si="242"/>
        <v>56</v>
      </c>
      <c r="N797" s="128">
        <f t="shared" si="243"/>
        <v>0.42109999999999997</v>
      </c>
      <c r="O797" s="164">
        <f t="shared" si="244"/>
        <v>2.8</v>
      </c>
      <c r="P797" s="185">
        <f t="shared" si="245"/>
        <v>0</v>
      </c>
      <c r="Q797" s="185">
        <f t="shared" si="246"/>
        <v>2.8</v>
      </c>
      <c r="R797" s="162" t="b">
        <f t="shared" si="240"/>
        <v>0</v>
      </c>
    </row>
    <row r="798" spans="1:18">
      <c r="A798" s="129" t="s">
        <v>333</v>
      </c>
      <c r="B798" s="129" t="s">
        <v>3817</v>
      </c>
      <c r="C798" s="129">
        <v>4196</v>
      </c>
      <c r="D798" s="129" t="s">
        <v>2345</v>
      </c>
      <c r="E798" s="129">
        <v>97</v>
      </c>
      <c r="F798" s="129">
        <v>0</v>
      </c>
      <c r="G798" s="129">
        <v>53</v>
      </c>
      <c r="H798" s="129">
        <v>0</v>
      </c>
      <c r="I798" s="129">
        <v>54.6</v>
      </c>
      <c r="J798" s="129">
        <v>5.6</v>
      </c>
      <c r="K798" s="129">
        <v>0</v>
      </c>
      <c r="L798" s="129">
        <f t="shared" si="241"/>
        <v>97</v>
      </c>
      <c r="M798" s="129">
        <f t="shared" si="242"/>
        <v>53</v>
      </c>
      <c r="N798" s="128">
        <f t="shared" si="243"/>
        <v>0.5464</v>
      </c>
      <c r="O798" s="164">
        <f t="shared" si="244"/>
        <v>0</v>
      </c>
      <c r="P798" s="185">
        <f t="shared" si="245"/>
        <v>5.6</v>
      </c>
      <c r="Q798" s="185">
        <f t="shared" si="246"/>
        <v>5.6</v>
      </c>
      <c r="R798" s="162" t="b">
        <f t="shared" si="240"/>
        <v>0</v>
      </c>
    </row>
    <row r="799" spans="1:18">
      <c r="A799" s="129" t="s">
        <v>333</v>
      </c>
      <c r="B799" s="129" t="s">
        <v>3817</v>
      </c>
      <c r="C799" s="129">
        <v>4200</v>
      </c>
      <c r="D799" s="129" t="s">
        <v>2347</v>
      </c>
      <c r="E799" s="129">
        <v>81</v>
      </c>
      <c r="F799" s="129">
        <v>0</v>
      </c>
      <c r="G799" s="129">
        <v>45</v>
      </c>
      <c r="H799" s="129">
        <v>0</v>
      </c>
      <c r="I799" s="129">
        <v>55.6</v>
      </c>
      <c r="J799" s="129">
        <v>4.7</v>
      </c>
      <c r="K799" s="129">
        <v>0</v>
      </c>
      <c r="L799" s="129">
        <f t="shared" si="241"/>
        <v>81</v>
      </c>
      <c r="M799" s="129">
        <f t="shared" si="242"/>
        <v>45</v>
      </c>
      <c r="N799" s="128">
        <f t="shared" si="243"/>
        <v>0.55559999999999998</v>
      </c>
      <c r="O799" s="164">
        <f t="shared" si="244"/>
        <v>0</v>
      </c>
      <c r="P799" s="185">
        <f t="shared" si="245"/>
        <v>4.7</v>
      </c>
      <c r="Q799" s="185">
        <f t="shared" si="246"/>
        <v>4.7</v>
      </c>
      <c r="R799" s="162" t="b">
        <f t="shared" si="240"/>
        <v>0</v>
      </c>
    </row>
    <row r="800" spans="1:18">
      <c r="A800" s="129" t="s">
        <v>340</v>
      </c>
      <c r="B800" s="129" t="s">
        <v>4156</v>
      </c>
      <c r="C800" s="129">
        <v>4404</v>
      </c>
      <c r="D800" s="129" t="s">
        <v>2386</v>
      </c>
      <c r="E800" s="129">
        <v>63</v>
      </c>
      <c r="F800" s="129">
        <v>0</v>
      </c>
      <c r="G800" s="129">
        <v>30</v>
      </c>
      <c r="H800" s="129">
        <v>0</v>
      </c>
      <c r="I800" s="129">
        <v>47.6</v>
      </c>
      <c r="J800" s="129">
        <v>0</v>
      </c>
      <c r="K800" s="129">
        <v>2.7</v>
      </c>
      <c r="L800" s="129">
        <f t="shared" si="241"/>
        <v>63</v>
      </c>
      <c r="M800" s="129">
        <f t="shared" si="242"/>
        <v>30</v>
      </c>
      <c r="N800" s="128">
        <f t="shared" si="243"/>
        <v>0.47620000000000001</v>
      </c>
      <c r="O800" s="164">
        <f t="shared" si="244"/>
        <v>2.7</v>
      </c>
      <c r="P800" s="185">
        <f t="shared" si="245"/>
        <v>0</v>
      </c>
      <c r="Q800" s="185">
        <f t="shared" si="246"/>
        <v>2.7</v>
      </c>
      <c r="R800" s="162" t="b">
        <f t="shared" si="240"/>
        <v>0</v>
      </c>
    </row>
    <row r="801" spans="1:18">
      <c r="A801" s="129" t="s">
        <v>340</v>
      </c>
      <c r="B801" s="129" t="s">
        <v>4156</v>
      </c>
      <c r="C801" s="129">
        <v>4406</v>
      </c>
      <c r="D801" s="129" t="s">
        <v>2388</v>
      </c>
      <c r="E801" s="129">
        <v>72</v>
      </c>
      <c r="F801" s="129">
        <v>0</v>
      </c>
      <c r="G801" s="129">
        <v>22</v>
      </c>
      <c r="H801" s="129">
        <v>0</v>
      </c>
      <c r="I801" s="129">
        <v>30.6</v>
      </c>
      <c r="J801" s="129">
        <v>0</v>
      </c>
      <c r="K801" s="129">
        <v>0</v>
      </c>
      <c r="L801" s="129">
        <f t="shared" si="241"/>
        <v>72</v>
      </c>
      <c r="M801" s="129">
        <f t="shared" si="242"/>
        <v>22</v>
      </c>
      <c r="N801" s="128">
        <f t="shared" si="243"/>
        <v>0.30559999999999998</v>
      </c>
      <c r="O801" s="164">
        <f t="shared" si="244"/>
        <v>0</v>
      </c>
      <c r="P801" s="185">
        <f t="shared" si="245"/>
        <v>0</v>
      </c>
      <c r="Q801" s="185">
        <f t="shared" si="246"/>
        <v>0</v>
      </c>
      <c r="R801" s="162" t="b">
        <f t="shared" si="240"/>
        <v>0</v>
      </c>
    </row>
    <row r="802" spans="1:18">
      <c r="A802" s="129" t="s">
        <v>341</v>
      </c>
      <c r="B802" s="129" t="s">
        <v>3825</v>
      </c>
      <c r="C802" s="129">
        <v>4420</v>
      </c>
      <c r="D802" s="129" t="s">
        <v>1673</v>
      </c>
      <c r="E802" s="129">
        <v>126</v>
      </c>
      <c r="F802" s="129">
        <v>0</v>
      </c>
      <c r="G802" s="129">
        <v>74</v>
      </c>
      <c r="H802" s="129">
        <v>0</v>
      </c>
      <c r="I802" s="129">
        <v>58.7</v>
      </c>
      <c r="J802" s="129">
        <v>7.8</v>
      </c>
      <c r="K802" s="129">
        <v>0</v>
      </c>
      <c r="L802" s="129">
        <f t="shared" si="241"/>
        <v>126</v>
      </c>
      <c r="M802" s="129">
        <f t="shared" si="242"/>
        <v>74</v>
      </c>
      <c r="N802" s="128">
        <f t="shared" si="243"/>
        <v>0.58730000000000004</v>
      </c>
      <c r="O802" s="164">
        <f t="shared" si="244"/>
        <v>0</v>
      </c>
      <c r="P802" s="185">
        <f t="shared" si="245"/>
        <v>7.8</v>
      </c>
      <c r="Q802" s="185">
        <f t="shared" si="246"/>
        <v>7.8</v>
      </c>
      <c r="R802" s="162" t="b">
        <f t="shared" si="240"/>
        <v>0</v>
      </c>
    </row>
    <row r="803" spans="1:18">
      <c r="A803" s="129" t="s">
        <v>341</v>
      </c>
      <c r="B803" s="129" t="s">
        <v>3825</v>
      </c>
      <c r="C803" s="129">
        <v>4422</v>
      </c>
      <c r="D803" s="129" t="s">
        <v>2391</v>
      </c>
      <c r="E803" s="129">
        <v>107</v>
      </c>
      <c r="F803" s="129">
        <v>0</v>
      </c>
      <c r="G803" s="129">
        <v>66</v>
      </c>
      <c r="H803" s="129">
        <v>0</v>
      </c>
      <c r="I803" s="129">
        <v>61.7</v>
      </c>
      <c r="J803" s="129">
        <v>6.9</v>
      </c>
      <c r="K803" s="129">
        <v>0</v>
      </c>
      <c r="L803" s="129">
        <f t="shared" si="241"/>
        <v>107</v>
      </c>
      <c r="M803" s="129">
        <f t="shared" si="242"/>
        <v>66</v>
      </c>
      <c r="N803" s="128">
        <f t="shared" si="243"/>
        <v>0.61680000000000001</v>
      </c>
      <c r="O803" s="164">
        <f t="shared" si="244"/>
        <v>0</v>
      </c>
      <c r="P803" s="185">
        <f t="shared" si="245"/>
        <v>6.9</v>
      </c>
      <c r="Q803" s="185">
        <f t="shared" si="246"/>
        <v>6.9</v>
      </c>
      <c r="R803" s="162" t="b">
        <f t="shared" si="240"/>
        <v>0</v>
      </c>
    </row>
    <row r="804" spans="1:18">
      <c r="A804" s="129" t="s">
        <v>348</v>
      </c>
      <c r="B804" s="129" t="s">
        <v>3830</v>
      </c>
      <c r="C804" s="129">
        <v>4662</v>
      </c>
      <c r="D804" s="129" t="s">
        <v>2431</v>
      </c>
      <c r="E804" s="129">
        <v>353</v>
      </c>
      <c r="F804" s="129">
        <v>0</v>
      </c>
      <c r="G804" s="129">
        <v>212</v>
      </c>
      <c r="H804" s="129">
        <v>0</v>
      </c>
      <c r="I804" s="129">
        <v>60.1</v>
      </c>
      <c r="J804" s="129">
        <v>22.3</v>
      </c>
      <c r="K804" s="129">
        <v>0</v>
      </c>
      <c r="L804" s="129">
        <f t="shared" si="241"/>
        <v>353</v>
      </c>
      <c r="M804" s="129">
        <f t="shared" si="242"/>
        <v>212</v>
      </c>
      <c r="N804" s="128">
        <f t="shared" si="243"/>
        <v>0.60060000000000002</v>
      </c>
      <c r="O804" s="164">
        <f t="shared" si="244"/>
        <v>0</v>
      </c>
      <c r="P804" s="185">
        <f t="shared" si="245"/>
        <v>22.3</v>
      </c>
      <c r="Q804" s="185">
        <f t="shared" si="246"/>
        <v>22.3</v>
      </c>
      <c r="R804" s="162" t="b">
        <f t="shared" si="240"/>
        <v>0</v>
      </c>
    </row>
    <row r="805" spans="1:18">
      <c r="A805" s="129" t="s">
        <v>348</v>
      </c>
      <c r="B805" s="129" t="s">
        <v>3830</v>
      </c>
      <c r="C805" s="129">
        <v>4664</v>
      </c>
      <c r="D805" s="129" t="s">
        <v>2433</v>
      </c>
      <c r="E805" s="129">
        <v>164</v>
      </c>
      <c r="F805" s="129">
        <v>0</v>
      </c>
      <c r="G805" s="129">
        <v>98</v>
      </c>
      <c r="H805" s="129">
        <v>0</v>
      </c>
      <c r="I805" s="129">
        <v>59.8</v>
      </c>
      <c r="J805" s="129">
        <v>10.3</v>
      </c>
      <c r="K805" s="129">
        <v>0</v>
      </c>
      <c r="L805" s="129">
        <f t="shared" si="241"/>
        <v>164</v>
      </c>
      <c r="M805" s="129">
        <f t="shared" si="242"/>
        <v>98</v>
      </c>
      <c r="N805" s="128">
        <f t="shared" si="243"/>
        <v>0.59760000000000002</v>
      </c>
      <c r="O805" s="164">
        <f t="shared" si="244"/>
        <v>0</v>
      </c>
      <c r="P805" s="185">
        <f t="shared" si="245"/>
        <v>10.3</v>
      </c>
      <c r="Q805" s="185">
        <f t="shared" si="246"/>
        <v>10.3</v>
      </c>
      <c r="R805" s="162" t="b">
        <f t="shared" si="240"/>
        <v>0</v>
      </c>
    </row>
    <row r="806" spans="1:18">
      <c r="A806" s="129" t="s">
        <v>348</v>
      </c>
      <c r="B806" s="129" t="s">
        <v>3830</v>
      </c>
      <c r="C806" s="129">
        <v>4665</v>
      </c>
      <c r="D806" s="129" t="s">
        <v>2435</v>
      </c>
      <c r="E806" s="129">
        <v>209</v>
      </c>
      <c r="F806" s="129">
        <v>0</v>
      </c>
      <c r="G806" s="129">
        <v>109</v>
      </c>
      <c r="H806" s="129">
        <v>0</v>
      </c>
      <c r="I806" s="129">
        <v>52.2</v>
      </c>
      <c r="J806" s="129">
        <v>11.4</v>
      </c>
      <c r="K806" s="129">
        <v>0</v>
      </c>
      <c r="L806" s="129">
        <f t="shared" si="241"/>
        <v>209</v>
      </c>
      <c r="M806" s="129">
        <f t="shared" si="242"/>
        <v>109</v>
      </c>
      <c r="N806" s="128">
        <f t="shared" si="243"/>
        <v>0.52149999999999996</v>
      </c>
      <c r="O806" s="164">
        <f t="shared" si="244"/>
        <v>0</v>
      </c>
      <c r="P806" s="185">
        <f t="shared" si="245"/>
        <v>11.4</v>
      </c>
      <c r="Q806" s="185">
        <f t="shared" si="246"/>
        <v>11.4</v>
      </c>
      <c r="R806" s="162" t="b">
        <f t="shared" si="240"/>
        <v>0</v>
      </c>
    </row>
    <row r="807" spans="1:18">
      <c r="A807" s="129" t="s">
        <v>348</v>
      </c>
      <c r="B807" s="129" t="s">
        <v>3830</v>
      </c>
      <c r="C807" s="129">
        <v>4666</v>
      </c>
      <c r="D807" s="129" t="s">
        <v>2437</v>
      </c>
      <c r="E807" s="129">
        <v>280</v>
      </c>
      <c r="F807" s="129">
        <v>0</v>
      </c>
      <c r="G807" s="129">
        <v>126</v>
      </c>
      <c r="H807" s="129">
        <v>0</v>
      </c>
      <c r="I807" s="129">
        <v>45</v>
      </c>
      <c r="J807" s="129">
        <v>0</v>
      </c>
      <c r="K807" s="129">
        <v>8.8000000000000007</v>
      </c>
      <c r="L807" s="129">
        <f t="shared" si="241"/>
        <v>280</v>
      </c>
      <c r="M807" s="129">
        <f t="shared" si="242"/>
        <v>126</v>
      </c>
      <c r="N807" s="128">
        <f t="shared" si="243"/>
        <v>0.45</v>
      </c>
      <c r="O807" s="164">
        <f t="shared" si="244"/>
        <v>8.8000000000000007</v>
      </c>
      <c r="P807" s="185">
        <f t="shared" si="245"/>
        <v>0</v>
      </c>
      <c r="Q807" s="185">
        <f t="shared" si="246"/>
        <v>8.8000000000000007</v>
      </c>
      <c r="R807" s="162" t="b">
        <f t="shared" si="240"/>
        <v>0</v>
      </c>
    </row>
    <row r="808" spans="1:18">
      <c r="A808" s="129" t="s">
        <v>356</v>
      </c>
      <c r="B808" s="129" t="s">
        <v>3838</v>
      </c>
      <c r="C808" s="129">
        <v>4864</v>
      </c>
      <c r="D808" s="129" t="s">
        <v>2493</v>
      </c>
      <c r="E808" s="129">
        <v>256</v>
      </c>
      <c r="F808" s="129">
        <v>0</v>
      </c>
      <c r="G808" s="129">
        <v>83</v>
      </c>
      <c r="H808" s="129">
        <v>0</v>
      </c>
      <c r="I808" s="129">
        <v>32.4</v>
      </c>
      <c r="J808" s="129">
        <v>0</v>
      </c>
      <c r="K808" s="129">
        <v>0</v>
      </c>
      <c r="L808" s="129">
        <f t="shared" si="241"/>
        <v>256</v>
      </c>
      <c r="M808" s="129">
        <f t="shared" si="242"/>
        <v>83</v>
      </c>
      <c r="N808" s="128">
        <f t="shared" si="243"/>
        <v>0.32419999999999999</v>
      </c>
      <c r="O808" s="164">
        <f t="shared" si="244"/>
        <v>0</v>
      </c>
      <c r="P808" s="185">
        <f t="shared" si="245"/>
        <v>0</v>
      </c>
      <c r="Q808" s="185">
        <f t="shared" si="246"/>
        <v>0</v>
      </c>
      <c r="R808" s="162" t="b">
        <f t="shared" si="240"/>
        <v>0</v>
      </c>
    </row>
    <row r="809" spans="1:18">
      <c r="A809" s="129" t="s">
        <v>356</v>
      </c>
      <c r="B809" s="129" t="s">
        <v>3838</v>
      </c>
      <c r="C809" s="129">
        <v>4866</v>
      </c>
      <c r="D809" s="129" t="s">
        <v>2495</v>
      </c>
      <c r="E809" s="129">
        <v>240</v>
      </c>
      <c r="F809" s="129">
        <v>0</v>
      </c>
      <c r="G809" s="129">
        <v>66</v>
      </c>
      <c r="H809" s="129">
        <v>0</v>
      </c>
      <c r="I809" s="129">
        <v>27.5</v>
      </c>
      <c r="J809" s="129">
        <v>0</v>
      </c>
      <c r="K809" s="129">
        <v>0</v>
      </c>
      <c r="L809" s="129">
        <f t="shared" si="241"/>
        <v>240</v>
      </c>
      <c r="M809" s="129">
        <f t="shared" si="242"/>
        <v>66</v>
      </c>
      <c r="N809" s="128">
        <f t="shared" si="243"/>
        <v>0.27500000000000002</v>
      </c>
      <c r="O809" s="164">
        <f t="shared" si="244"/>
        <v>0</v>
      </c>
      <c r="P809" s="185">
        <f t="shared" si="245"/>
        <v>0</v>
      </c>
      <c r="Q809" s="185">
        <f t="shared" si="246"/>
        <v>0</v>
      </c>
      <c r="R809" s="162" t="b">
        <f t="shared" si="240"/>
        <v>0</v>
      </c>
    </row>
    <row r="810" spans="1:18">
      <c r="A810" s="129" t="s">
        <v>362</v>
      </c>
      <c r="B810" s="129" t="s">
        <v>81</v>
      </c>
      <c r="C810" s="129">
        <v>5088</v>
      </c>
      <c r="D810" s="129" t="s">
        <v>2527</v>
      </c>
      <c r="E810" s="129">
        <v>494</v>
      </c>
      <c r="F810" s="129">
        <v>0</v>
      </c>
      <c r="G810" s="129">
        <v>204</v>
      </c>
      <c r="H810" s="129">
        <v>0</v>
      </c>
      <c r="I810" s="129">
        <v>41.3</v>
      </c>
      <c r="J810" s="129">
        <v>0</v>
      </c>
      <c r="K810" s="129">
        <v>9</v>
      </c>
      <c r="L810" s="129">
        <f t="shared" ref="L810:L849" si="247">SUM(E810:F810)</f>
        <v>494</v>
      </c>
      <c r="M810" s="129">
        <f t="shared" ref="M810:M849" si="248">SUM(G810:H810)</f>
        <v>204</v>
      </c>
      <c r="N810" s="128">
        <f t="shared" ref="N810:N849" si="249">IF(ISERROR(M810/L810),0,M810/L810)</f>
        <v>0.41299999999999998</v>
      </c>
      <c r="O810" s="164">
        <f t="shared" ref="O810:O849" si="250">IF(AND((N810-35%)&gt;0,N810&lt;50%),M810*(N810-35%)*0.7,0)</f>
        <v>9</v>
      </c>
      <c r="P810" s="185">
        <f t="shared" ref="P810:P849" si="251">IF(N810&gt;=50%,M810*10.5%,0)</f>
        <v>0</v>
      </c>
      <c r="Q810" s="185">
        <f t="shared" ref="Q810:Q849" si="252">MAX(O810,P810)</f>
        <v>9</v>
      </c>
      <c r="R810" s="162" t="b">
        <f t="shared" si="240"/>
        <v>0</v>
      </c>
    </row>
    <row r="811" spans="1:18">
      <c r="A811" s="129" t="s">
        <v>362</v>
      </c>
      <c r="B811" s="129" t="s">
        <v>81</v>
      </c>
      <c r="C811" s="129">
        <v>5090</v>
      </c>
      <c r="D811" s="129" t="s">
        <v>2529</v>
      </c>
      <c r="E811" s="129">
        <v>362</v>
      </c>
      <c r="F811" s="129">
        <v>0</v>
      </c>
      <c r="G811" s="129">
        <v>172</v>
      </c>
      <c r="H811" s="129">
        <v>0</v>
      </c>
      <c r="I811" s="129">
        <v>47.5</v>
      </c>
      <c r="J811" s="129">
        <v>0</v>
      </c>
      <c r="K811" s="129">
        <v>15.1</v>
      </c>
      <c r="L811" s="129">
        <f t="shared" si="247"/>
        <v>362</v>
      </c>
      <c r="M811" s="129">
        <f t="shared" si="248"/>
        <v>172</v>
      </c>
      <c r="N811" s="128">
        <f t="shared" si="249"/>
        <v>0.47510000000000002</v>
      </c>
      <c r="O811" s="164">
        <f t="shared" si="250"/>
        <v>15.1</v>
      </c>
      <c r="P811" s="185">
        <f t="shared" si="251"/>
        <v>0</v>
      </c>
      <c r="Q811" s="185">
        <f t="shared" si="252"/>
        <v>15.1</v>
      </c>
      <c r="R811" s="162" t="b">
        <f t="shared" si="240"/>
        <v>0</v>
      </c>
    </row>
    <row r="812" spans="1:18">
      <c r="A812" s="129" t="s">
        <v>362</v>
      </c>
      <c r="B812" s="129" t="s">
        <v>81</v>
      </c>
      <c r="C812" s="129">
        <v>5092</v>
      </c>
      <c r="D812" s="129" t="s">
        <v>2531</v>
      </c>
      <c r="E812" s="129">
        <v>339</v>
      </c>
      <c r="F812" s="129">
        <v>0</v>
      </c>
      <c r="G812" s="129">
        <v>140</v>
      </c>
      <c r="H812" s="129">
        <v>0</v>
      </c>
      <c r="I812" s="129">
        <v>41.3</v>
      </c>
      <c r="J812" s="129">
        <v>0</v>
      </c>
      <c r="K812" s="129">
        <v>6.2</v>
      </c>
      <c r="L812" s="129">
        <f t="shared" si="247"/>
        <v>339</v>
      </c>
      <c r="M812" s="129">
        <f t="shared" si="248"/>
        <v>140</v>
      </c>
      <c r="N812" s="128">
        <f t="shared" si="249"/>
        <v>0.41299999999999998</v>
      </c>
      <c r="O812" s="164">
        <f t="shared" si="250"/>
        <v>6.2</v>
      </c>
      <c r="P812" s="185">
        <f t="shared" si="251"/>
        <v>0</v>
      </c>
      <c r="Q812" s="185">
        <f t="shared" si="252"/>
        <v>6.2</v>
      </c>
      <c r="R812" s="162" t="b">
        <f t="shared" si="240"/>
        <v>0</v>
      </c>
    </row>
    <row r="813" spans="1:18">
      <c r="A813" s="129" t="s">
        <v>367</v>
      </c>
      <c r="B813" s="129" t="s">
        <v>3847</v>
      </c>
      <c r="C813" s="129">
        <v>5215</v>
      </c>
      <c r="D813" s="129" t="s">
        <v>2584</v>
      </c>
      <c r="E813" s="129">
        <v>66</v>
      </c>
      <c r="F813" s="129">
        <v>0</v>
      </c>
      <c r="G813" s="129">
        <v>47</v>
      </c>
      <c r="H813" s="129">
        <v>0</v>
      </c>
      <c r="I813" s="129">
        <v>71.2</v>
      </c>
      <c r="J813" s="129">
        <v>4.9000000000000004</v>
      </c>
      <c r="K813" s="129">
        <v>0</v>
      </c>
      <c r="L813" s="129">
        <f t="shared" si="247"/>
        <v>66</v>
      </c>
      <c r="M813" s="129">
        <f t="shared" si="248"/>
        <v>47</v>
      </c>
      <c r="N813" s="128">
        <f t="shared" si="249"/>
        <v>0.71209999999999996</v>
      </c>
      <c r="O813" s="164">
        <f t="shared" si="250"/>
        <v>0</v>
      </c>
      <c r="P813" s="185">
        <f t="shared" si="251"/>
        <v>4.9000000000000004</v>
      </c>
      <c r="Q813" s="185">
        <f t="shared" si="252"/>
        <v>4.9000000000000004</v>
      </c>
      <c r="R813" s="162" t="b">
        <f t="shared" si="240"/>
        <v>0</v>
      </c>
    </row>
    <row r="814" spans="1:18">
      <c r="A814" s="129" t="s">
        <v>367</v>
      </c>
      <c r="B814" s="129" t="s">
        <v>3847</v>
      </c>
      <c r="C814" s="129">
        <v>5223</v>
      </c>
      <c r="D814" s="129" t="s">
        <v>2586</v>
      </c>
      <c r="E814" s="129">
        <v>81</v>
      </c>
      <c r="F814" s="129">
        <v>0</v>
      </c>
      <c r="G814" s="129">
        <v>48</v>
      </c>
      <c r="H814" s="129">
        <v>0</v>
      </c>
      <c r="I814" s="129">
        <v>59.3</v>
      </c>
      <c r="J814" s="129">
        <v>5</v>
      </c>
      <c r="K814" s="129">
        <v>0</v>
      </c>
      <c r="L814" s="129">
        <f t="shared" si="247"/>
        <v>81</v>
      </c>
      <c r="M814" s="129">
        <f t="shared" si="248"/>
        <v>48</v>
      </c>
      <c r="N814" s="128">
        <f t="shared" si="249"/>
        <v>0.59260000000000002</v>
      </c>
      <c r="O814" s="164">
        <f t="shared" si="250"/>
        <v>0</v>
      </c>
      <c r="P814" s="185">
        <f t="shared" si="251"/>
        <v>5</v>
      </c>
      <c r="Q814" s="185">
        <f t="shared" si="252"/>
        <v>5</v>
      </c>
      <c r="R814" s="162" t="b">
        <f t="shared" si="240"/>
        <v>0</v>
      </c>
    </row>
    <row r="815" spans="1:18">
      <c r="A815" s="129" t="s">
        <v>369</v>
      </c>
      <c r="B815" s="129" t="s">
        <v>3848</v>
      </c>
      <c r="C815" s="129">
        <v>5268</v>
      </c>
      <c r="D815" s="129" t="s">
        <v>2591</v>
      </c>
      <c r="E815" s="129">
        <v>239</v>
      </c>
      <c r="F815" s="129">
        <v>0</v>
      </c>
      <c r="G815" s="129">
        <v>129</v>
      </c>
      <c r="H815" s="129">
        <v>0</v>
      </c>
      <c r="I815" s="129">
        <v>54</v>
      </c>
      <c r="J815" s="129">
        <v>13.5</v>
      </c>
      <c r="K815" s="129">
        <v>0</v>
      </c>
      <c r="L815" s="129">
        <f t="shared" si="247"/>
        <v>239</v>
      </c>
      <c r="M815" s="129">
        <f t="shared" si="248"/>
        <v>129</v>
      </c>
      <c r="N815" s="128">
        <f t="shared" si="249"/>
        <v>0.53969999999999996</v>
      </c>
      <c r="O815" s="164">
        <f t="shared" si="250"/>
        <v>0</v>
      </c>
      <c r="P815" s="185">
        <f t="shared" si="251"/>
        <v>13.5</v>
      </c>
      <c r="Q815" s="185">
        <f t="shared" si="252"/>
        <v>13.5</v>
      </c>
      <c r="R815" s="162" t="b">
        <f t="shared" si="240"/>
        <v>0</v>
      </c>
    </row>
    <row r="816" spans="1:18">
      <c r="A816" s="129" t="s">
        <v>369</v>
      </c>
      <c r="B816" s="129" t="s">
        <v>3848</v>
      </c>
      <c r="C816" s="129">
        <v>5287</v>
      </c>
      <c r="D816" s="129" t="s">
        <v>2593</v>
      </c>
      <c r="E816" s="129">
        <v>307</v>
      </c>
      <c r="F816" s="129">
        <v>0</v>
      </c>
      <c r="G816" s="129">
        <v>203</v>
      </c>
      <c r="H816" s="129">
        <v>0</v>
      </c>
      <c r="I816" s="129">
        <v>66.099999999999994</v>
      </c>
      <c r="J816" s="129">
        <v>21.3</v>
      </c>
      <c r="K816" s="129">
        <v>0</v>
      </c>
      <c r="L816" s="129">
        <f t="shared" si="247"/>
        <v>307</v>
      </c>
      <c r="M816" s="129">
        <f t="shared" si="248"/>
        <v>203</v>
      </c>
      <c r="N816" s="128">
        <f t="shared" si="249"/>
        <v>0.66120000000000001</v>
      </c>
      <c r="O816" s="164">
        <f t="shared" si="250"/>
        <v>0</v>
      </c>
      <c r="P816" s="185">
        <f t="shared" si="251"/>
        <v>21.3</v>
      </c>
      <c r="Q816" s="185">
        <f t="shared" si="252"/>
        <v>21.3</v>
      </c>
      <c r="R816" s="162" t="b">
        <f t="shared" si="240"/>
        <v>0</v>
      </c>
    </row>
    <row r="817" spans="1:18">
      <c r="A817" s="129" t="s">
        <v>371</v>
      </c>
      <c r="B817" s="129" t="s">
        <v>3849</v>
      </c>
      <c r="C817" s="129">
        <v>5332</v>
      </c>
      <c r="D817" s="129" t="s">
        <v>2599</v>
      </c>
      <c r="E817" s="129">
        <v>193</v>
      </c>
      <c r="F817" s="129">
        <v>0</v>
      </c>
      <c r="G817" s="129">
        <v>83</v>
      </c>
      <c r="H817" s="129">
        <v>0</v>
      </c>
      <c r="I817" s="129">
        <v>43</v>
      </c>
      <c r="J817" s="129">
        <v>0</v>
      </c>
      <c r="K817" s="129">
        <v>4.7</v>
      </c>
      <c r="L817" s="129">
        <f t="shared" si="247"/>
        <v>193</v>
      </c>
      <c r="M817" s="129">
        <f t="shared" si="248"/>
        <v>83</v>
      </c>
      <c r="N817" s="128">
        <f t="shared" si="249"/>
        <v>0.43009999999999998</v>
      </c>
      <c r="O817" s="164">
        <f t="shared" si="250"/>
        <v>4.7</v>
      </c>
      <c r="P817" s="185">
        <f t="shared" si="251"/>
        <v>0</v>
      </c>
      <c r="Q817" s="185">
        <f t="shared" si="252"/>
        <v>4.7</v>
      </c>
      <c r="R817" s="162" t="b">
        <f t="shared" si="240"/>
        <v>0</v>
      </c>
    </row>
    <row r="818" spans="1:18">
      <c r="A818" s="129" t="s">
        <v>371</v>
      </c>
      <c r="B818" s="129" t="s">
        <v>3849</v>
      </c>
      <c r="C818" s="129">
        <v>5334</v>
      </c>
      <c r="D818" s="129" t="s">
        <v>2601</v>
      </c>
      <c r="E818" s="129">
        <v>148</v>
      </c>
      <c r="F818" s="129">
        <v>0</v>
      </c>
      <c r="G818" s="129">
        <v>49</v>
      </c>
      <c r="H818" s="129">
        <v>0</v>
      </c>
      <c r="I818" s="129">
        <v>33.1</v>
      </c>
      <c r="J818" s="129">
        <v>0</v>
      </c>
      <c r="K818" s="129">
        <v>0</v>
      </c>
      <c r="L818" s="129">
        <f t="shared" si="247"/>
        <v>148</v>
      </c>
      <c r="M818" s="129">
        <f t="shared" si="248"/>
        <v>49</v>
      </c>
      <c r="N818" s="128">
        <f t="shared" si="249"/>
        <v>0.33110000000000001</v>
      </c>
      <c r="O818" s="164">
        <f t="shared" si="250"/>
        <v>0</v>
      </c>
      <c r="P818" s="185">
        <f t="shared" si="251"/>
        <v>0</v>
      </c>
      <c r="Q818" s="185">
        <f t="shared" si="252"/>
        <v>0</v>
      </c>
      <c r="R818" s="162" t="b">
        <f t="shared" si="240"/>
        <v>0</v>
      </c>
    </row>
    <row r="819" spans="1:18">
      <c r="A819" s="129" t="s">
        <v>378</v>
      </c>
      <c r="B819" s="129" t="s">
        <v>3855</v>
      </c>
      <c r="C819" s="129">
        <v>5486</v>
      </c>
      <c r="D819" s="129" t="s">
        <v>2633</v>
      </c>
      <c r="E819" s="129">
        <v>52</v>
      </c>
      <c r="F819" s="129">
        <v>0</v>
      </c>
      <c r="G819" s="129">
        <v>22</v>
      </c>
      <c r="H819" s="129">
        <v>0</v>
      </c>
      <c r="I819" s="129">
        <v>42.3</v>
      </c>
      <c r="J819" s="129">
        <v>0</v>
      </c>
      <c r="K819" s="129">
        <v>1.1000000000000001</v>
      </c>
      <c r="L819" s="129">
        <f t="shared" si="247"/>
        <v>52</v>
      </c>
      <c r="M819" s="129">
        <f t="shared" si="248"/>
        <v>22</v>
      </c>
      <c r="N819" s="128">
        <f t="shared" si="249"/>
        <v>0.42309999999999998</v>
      </c>
      <c r="O819" s="164">
        <f t="shared" si="250"/>
        <v>1.1000000000000001</v>
      </c>
      <c r="P819" s="185">
        <f t="shared" si="251"/>
        <v>0</v>
      </c>
      <c r="Q819" s="185">
        <f t="shared" si="252"/>
        <v>1.1000000000000001</v>
      </c>
      <c r="R819" s="162" t="b">
        <f t="shared" si="240"/>
        <v>0</v>
      </c>
    </row>
    <row r="820" spans="1:18">
      <c r="A820" s="129" t="s">
        <v>378</v>
      </c>
      <c r="B820" s="129" t="s">
        <v>3855</v>
      </c>
      <c r="C820" s="129">
        <v>5488</v>
      </c>
      <c r="D820" s="129" t="s">
        <v>2635</v>
      </c>
      <c r="E820" s="129">
        <v>41</v>
      </c>
      <c r="F820" s="129">
        <v>0</v>
      </c>
      <c r="G820" s="129">
        <v>17</v>
      </c>
      <c r="H820" s="129">
        <v>0</v>
      </c>
      <c r="I820" s="129">
        <v>41.5</v>
      </c>
      <c r="J820" s="129">
        <v>0</v>
      </c>
      <c r="K820" s="129">
        <v>0.8</v>
      </c>
      <c r="L820" s="129">
        <f t="shared" si="247"/>
        <v>41</v>
      </c>
      <c r="M820" s="129">
        <f t="shared" si="248"/>
        <v>17</v>
      </c>
      <c r="N820" s="128">
        <f t="shared" si="249"/>
        <v>0.41460000000000002</v>
      </c>
      <c r="O820" s="164">
        <f t="shared" si="250"/>
        <v>0.8</v>
      </c>
      <c r="P820" s="185">
        <f t="shared" si="251"/>
        <v>0</v>
      </c>
      <c r="Q820" s="185">
        <f t="shared" si="252"/>
        <v>0.8</v>
      </c>
      <c r="R820" s="162" t="b">
        <f t="shared" si="240"/>
        <v>0</v>
      </c>
    </row>
    <row r="821" spans="1:18">
      <c r="A821" s="129" t="s">
        <v>380</v>
      </c>
      <c r="B821" s="129" t="s">
        <v>3857</v>
      </c>
      <c r="C821" s="129">
        <v>5534</v>
      </c>
      <c r="D821" s="129" t="s">
        <v>2643</v>
      </c>
      <c r="E821" s="129">
        <v>76</v>
      </c>
      <c r="F821" s="129">
        <v>0</v>
      </c>
      <c r="G821" s="129">
        <v>56</v>
      </c>
      <c r="H821" s="129">
        <v>0</v>
      </c>
      <c r="I821" s="129">
        <v>73.7</v>
      </c>
      <c r="J821" s="129">
        <v>5.9</v>
      </c>
      <c r="K821" s="129">
        <v>0</v>
      </c>
      <c r="L821" s="129">
        <f t="shared" si="247"/>
        <v>76</v>
      </c>
      <c r="M821" s="129">
        <f t="shared" si="248"/>
        <v>56</v>
      </c>
      <c r="N821" s="128">
        <f t="shared" si="249"/>
        <v>0.73680000000000001</v>
      </c>
      <c r="O821" s="164">
        <f t="shared" si="250"/>
        <v>0</v>
      </c>
      <c r="P821" s="185">
        <f t="shared" si="251"/>
        <v>5.9</v>
      </c>
      <c r="Q821" s="185">
        <f t="shared" si="252"/>
        <v>5.9</v>
      </c>
      <c r="R821" s="162" t="b">
        <f t="shared" si="240"/>
        <v>0</v>
      </c>
    </row>
    <row r="822" spans="1:18">
      <c r="A822" s="129" t="s">
        <v>380</v>
      </c>
      <c r="B822" s="129" t="s">
        <v>3857</v>
      </c>
      <c r="C822" s="129">
        <v>5536</v>
      </c>
      <c r="D822" s="129" t="s">
        <v>2645</v>
      </c>
      <c r="E822" s="129">
        <v>49</v>
      </c>
      <c r="F822" s="129">
        <v>0</v>
      </c>
      <c r="G822" s="129">
        <v>39</v>
      </c>
      <c r="H822" s="129">
        <v>0</v>
      </c>
      <c r="I822" s="129">
        <v>79.599999999999994</v>
      </c>
      <c r="J822" s="129">
        <v>4.0999999999999996</v>
      </c>
      <c r="K822" s="129">
        <v>0</v>
      </c>
      <c r="L822" s="129">
        <f t="shared" si="247"/>
        <v>49</v>
      </c>
      <c r="M822" s="129">
        <f t="shared" si="248"/>
        <v>39</v>
      </c>
      <c r="N822" s="128">
        <f t="shared" si="249"/>
        <v>0.79590000000000005</v>
      </c>
      <c r="O822" s="164">
        <f t="shared" si="250"/>
        <v>0</v>
      </c>
      <c r="P822" s="185">
        <f t="shared" si="251"/>
        <v>4.0999999999999996</v>
      </c>
      <c r="Q822" s="185">
        <f t="shared" si="252"/>
        <v>4.0999999999999996</v>
      </c>
      <c r="R822" s="162" t="b">
        <f t="shared" si="240"/>
        <v>0</v>
      </c>
    </row>
    <row r="823" spans="1:18">
      <c r="A823" s="129" t="s">
        <v>384</v>
      </c>
      <c r="B823" s="129" t="s">
        <v>3861</v>
      </c>
      <c r="C823" s="129">
        <v>5636</v>
      </c>
      <c r="D823" s="129" t="s">
        <v>2665</v>
      </c>
      <c r="E823" s="129">
        <v>150</v>
      </c>
      <c r="F823" s="129">
        <v>0</v>
      </c>
      <c r="G823" s="129">
        <v>105</v>
      </c>
      <c r="H823" s="129">
        <v>0</v>
      </c>
      <c r="I823" s="129">
        <v>70</v>
      </c>
      <c r="J823" s="129">
        <v>11</v>
      </c>
      <c r="K823" s="129">
        <v>0</v>
      </c>
      <c r="L823" s="129">
        <f t="shared" si="247"/>
        <v>150</v>
      </c>
      <c r="M823" s="129">
        <f t="shared" si="248"/>
        <v>105</v>
      </c>
      <c r="N823" s="128">
        <f t="shared" si="249"/>
        <v>0.7</v>
      </c>
      <c r="O823" s="164">
        <f t="shared" si="250"/>
        <v>0</v>
      </c>
      <c r="P823" s="185">
        <f t="shared" si="251"/>
        <v>11</v>
      </c>
      <c r="Q823" s="185">
        <f t="shared" si="252"/>
        <v>11</v>
      </c>
      <c r="R823" s="162" t="b">
        <f t="shared" si="240"/>
        <v>0</v>
      </c>
    </row>
    <row r="824" spans="1:18">
      <c r="A824" s="129" t="s">
        <v>384</v>
      </c>
      <c r="B824" s="129" t="s">
        <v>3861</v>
      </c>
      <c r="C824" s="129">
        <v>5638</v>
      </c>
      <c r="D824" s="129" t="s">
        <v>2667</v>
      </c>
      <c r="E824" s="129">
        <v>154</v>
      </c>
      <c r="F824" s="129">
        <v>0</v>
      </c>
      <c r="G824" s="129">
        <v>100</v>
      </c>
      <c r="H824" s="129">
        <v>0</v>
      </c>
      <c r="I824" s="129">
        <v>64.900000000000006</v>
      </c>
      <c r="J824" s="129">
        <v>10.5</v>
      </c>
      <c r="K824" s="129">
        <v>0</v>
      </c>
      <c r="L824" s="129">
        <f t="shared" si="247"/>
        <v>154</v>
      </c>
      <c r="M824" s="129">
        <f t="shared" si="248"/>
        <v>100</v>
      </c>
      <c r="N824" s="128">
        <f t="shared" si="249"/>
        <v>0.64939999999999998</v>
      </c>
      <c r="O824" s="164">
        <f t="shared" si="250"/>
        <v>0</v>
      </c>
      <c r="P824" s="185">
        <f t="shared" si="251"/>
        <v>10.5</v>
      </c>
      <c r="Q824" s="185">
        <f t="shared" si="252"/>
        <v>10.5</v>
      </c>
      <c r="R824" s="162" t="b">
        <f t="shared" si="240"/>
        <v>0</v>
      </c>
    </row>
    <row r="825" spans="1:18">
      <c r="A825" s="129" t="s">
        <v>384</v>
      </c>
      <c r="B825" s="129" t="s">
        <v>3861</v>
      </c>
      <c r="C825" s="129">
        <v>5640</v>
      </c>
      <c r="D825" s="129" t="s">
        <v>2669</v>
      </c>
      <c r="E825" s="129">
        <v>174</v>
      </c>
      <c r="F825" s="129">
        <v>0</v>
      </c>
      <c r="G825" s="129">
        <v>116</v>
      </c>
      <c r="H825" s="129">
        <v>0</v>
      </c>
      <c r="I825" s="129">
        <v>66.7</v>
      </c>
      <c r="J825" s="129">
        <v>12.2</v>
      </c>
      <c r="K825" s="129">
        <v>0</v>
      </c>
      <c r="L825" s="129">
        <f t="shared" si="247"/>
        <v>174</v>
      </c>
      <c r="M825" s="129">
        <f t="shared" si="248"/>
        <v>116</v>
      </c>
      <c r="N825" s="128">
        <f t="shared" si="249"/>
        <v>0.66669999999999996</v>
      </c>
      <c r="O825" s="164">
        <f t="shared" si="250"/>
        <v>0</v>
      </c>
      <c r="P825" s="185">
        <f t="shared" si="251"/>
        <v>12.2</v>
      </c>
      <c r="Q825" s="185">
        <f t="shared" si="252"/>
        <v>12.2</v>
      </c>
      <c r="R825" s="162" t="b">
        <f t="shared" si="240"/>
        <v>0</v>
      </c>
    </row>
    <row r="826" spans="1:18">
      <c r="A826" s="129" t="s">
        <v>384</v>
      </c>
      <c r="B826" s="129" t="s">
        <v>3861</v>
      </c>
      <c r="C826" s="129">
        <v>5642</v>
      </c>
      <c r="D826" s="129" t="s">
        <v>2671</v>
      </c>
      <c r="E826" s="129">
        <v>213</v>
      </c>
      <c r="F826" s="129">
        <v>0</v>
      </c>
      <c r="G826" s="129">
        <v>143</v>
      </c>
      <c r="H826" s="129">
        <v>0</v>
      </c>
      <c r="I826" s="129">
        <v>67.099999999999994</v>
      </c>
      <c r="J826" s="129">
        <v>15</v>
      </c>
      <c r="K826" s="129">
        <v>0</v>
      </c>
      <c r="L826" s="129">
        <f t="shared" si="247"/>
        <v>213</v>
      </c>
      <c r="M826" s="129">
        <f t="shared" si="248"/>
        <v>143</v>
      </c>
      <c r="N826" s="128">
        <f t="shared" si="249"/>
        <v>0.6714</v>
      </c>
      <c r="O826" s="164">
        <f t="shared" si="250"/>
        <v>0</v>
      </c>
      <c r="P826" s="185">
        <f t="shared" si="251"/>
        <v>15</v>
      </c>
      <c r="Q826" s="185">
        <f t="shared" si="252"/>
        <v>15</v>
      </c>
      <c r="R826" s="162" t="b">
        <f t="shared" si="240"/>
        <v>0</v>
      </c>
    </row>
    <row r="827" spans="1:18">
      <c r="A827" s="129" t="s">
        <v>399</v>
      </c>
      <c r="B827" s="129" t="s">
        <v>3875</v>
      </c>
      <c r="C827" s="129">
        <v>6118</v>
      </c>
      <c r="D827" s="129" t="s">
        <v>2757</v>
      </c>
      <c r="E827" s="129">
        <v>209</v>
      </c>
      <c r="F827" s="129">
        <v>0</v>
      </c>
      <c r="G827" s="129">
        <v>85</v>
      </c>
      <c r="H827" s="129">
        <v>0</v>
      </c>
      <c r="I827" s="129">
        <v>40.700000000000003</v>
      </c>
      <c r="J827" s="129">
        <v>0</v>
      </c>
      <c r="K827" s="129">
        <v>3.4</v>
      </c>
      <c r="L827" s="129">
        <f t="shared" si="247"/>
        <v>209</v>
      </c>
      <c r="M827" s="129">
        <f t="shared" si="248"/>
        <v>85</v>
      </c>
      <c r="N827" s="128">
        <f t="shared" si="249"/>
        <v>0.40670000000000001</v>
      </c>
      <c r="O827" s="164">
        <f t="shared" si="250"/>
        <v>3.4</v>
      </c>
      <c r="P827" s="185">
        <f t="shared" si="251"/>
        <v>0</v>
      </c>
      <c r="Q827" s="185">
        <f t="shared" si="252"/>
        <v>3.4</v>
      </c>
      <c r="R827" s="162" t="b">
        <f t="shared" si="240"/>
        <v>0</v>
      </c>
    </row>
    <row r="828" spans="1:18">
      <c r="A828" s="129" t="s">
        <v>399</v>
      </c>
      <c r="B828" s="129" t="s">
        <v>3875</v>
      </c>
      <c r="C828" s="129">
        <v>6122</v>
      </c>
      <c r="D828" s="129" t="s">
        <v>2759</v>
      </c>
      <c r="E828" s="129">
        <v>64</v>
      </c>
      <c r="F828" s="129">
        <v>0</v>
      </c>
      <c r="G828" s="129">
        <v>15</v>
      </c>
      <c r="H828" s="129">
        <v>0</v>
      </c>
      <c r="I828" s="129">
        <v>23.4</v>
      </c>
      <c r="J828" s="129">
        <v>0</v>
      </c>
      <c r="K828" s="129">
        <v>0</v>
      </c>
      <c r="L828" s="129">
        <f t="shared" si="247"/>
        <v>64</v>
      </c>
      <c r="M828" s="129">
        <f t="shared" si="248"/>
        <v>15</v>
      </c>
      <c r="N828" s="128">
        <f t="shared" si="249"/>
        <v>0.2344</v>
      </c>
      <c r="O828" s="164">
        <f t="shared" si="250"/>
        <v>0</v>
      </c>
      <c r="P828" s="185">
        <f t="shared" si="251"/>
        <v>0</v>
      </c>
      <c r="Q828" s="185">
        <f t="shared" si="252"/>
        <v>0</v>
      </c>
      <c r="R828" s="162" t="b">
        <f t="shared" si="240"/>
        <v>0</v>
      </c>
    </row>
    <row r="829" spans="1:18">
      <c r="A829" s="129" t="s">
        <v>402</v>
      </c>
      <c r="B829" s="129" t="s">
        <v>3878</v>
      </c>
      <c r="C829" s="129">
        <v>6256</v>
      </c>
      <c r="D829" s="129" t="s">
        <v>1172</v>
      </c>
      <c r="E829" s="129">
        <v>298</v>
      </c>
      <c r="F829" s="129">
        <v>0</v>
      </c>
      <c r="G829" s="129">
        <v>225</v>
      </c>
      <c r="H829" s="129">
        <v>0</v>
      </c>
      <c r="I829" s="129">
        <v>75.5</v>
      </c>
      <c r="J829" s="129">
        <v>23.6</v>
      </c>
      <c r="K829" s="129">
        <v>0</v>
      </c>
      <c r="L829" s="129">
        <f t="shared" si="247"/>
        <v>298</v>
      </c>
      <c r="M829" s="129">
        <f t="shared" si="248"/>
        <v>225</v>
      </c>
      <c r="N829" s="128">
        <f t="shared" si="249"/>
        <v>0.755</v>
      </c>
      <c r="O829" s="164">
        <f t="shared" si="250"/>
        <v>0</v>
      </c>
      <c r="P829" s="185">
        <f t="shared" si="251"/>
        <v>23.6</v>
      </c>
      <c r="Q829" s="185">
        <f t="shared" si="252"/>
        <v>23.6</v>
      </c>
      <c r="R829" s="162" t="b">
        <f t="shared" si="240"/>
        <v>0</v>
      </c>
    </row>
    <row r="830" spans="1:18">
      <c r="A830" s="129" t="s">
        <v>402</v>
      </c>
      <c r="B830" s="129" t="s">
        <v>3878</v>
      </c>
      <c r="C830" s="129">
        <v>6268</v>
      </c>
      <c r="D830" s="129" t="s">
        <v>1721</v>
      </c>
      <c r="E830" s="129">
        <v>282</v>
      </c>
      <c r="F830" s="129">
        <v>0</v>
      </c>
      <c r="G830" s="129">
        <v>121</v>
      </c>
      <c r="H830" s="129">
        <v>0</v>
      </c>
      <c r="I830" s="129">
        <v>42.9</v>
      </c>
      <c r="J830" s="129">
        <v>0</v>
      </c>
      <c r="K830" s="129">
        <v>6.7</v>
      </c>
      <c r="L830" s="129">
        <f t="shared" si="247"/>
        <v>282</v>
      </c>
      <c r="M830" s="129">
        <f t="shared" si="248"/>
        <v>121</v>
      </c>
      <c r="N830" s="128">
        <f t="shared" si="249"/>
        <v>0.42909999999999998</v>
      </c>
      <c r="O830" s="164">
        <f t="shared" si="250"/>
        <v>6.7</v>
      </c>
      <c r="P830" s="185">
        <f t="shared" si="251"/>
        <v>0</v>
      </c>
      <c r="Q830" s="185">
        <f t="shared" si="252"/>
        <v>6.7</v>
      </c>
      <c r="R830" s="162" t="b">
        <f t="shared" si="240"/>
        <v>0</v>
      </c>
    </row>
    <row r="831" spans="1:18">
      <c r="A831" s="129" t="s">
        <v>402</v>
      </c>
      <c r="B831" s="129" t="s">
        <v>3878</v>
      </c>
      <c r="C831" s="129">
        <v>6270</v>
      </c>
      <c r="D831" s="129" t="s">
        <v>2030</v>
      </c>
      <c r="E831" s="129">
        <v>239</v>
      </c>
      <c r="F831" s="129">
        <v>0</v>
      </c>
      <c r="G831" s="129">
        <v>120</v>
      </c>
      <c r="H831" s="129">
        <v>0</v>
      </c>
      <c r="I831" s="129">
        <v>50.2</v>
      </c>
      <c r="J831" s="129">
        <v>12.6</v>
      </c>
      <c r="K831" s="129">
        <v>0</v>
      </c>
      <c r="L831" s="129">
        <f t="shared" si="247"/>
        <v>239</v>
      </c>
      <c r="M831" s="129">
        <f t="shared" si="248"/>
        <v>120</v>
      </c>
      <c r="N831" s="128">
        <f t="shared" si="249"/>
        <v>0.50209999999999999</v>
      </c>
      <c r="O831" s="164">
        <f t="shared" si="250"/>
        <v>0</v>
      </c>
      <c r="P831" s="185">
        <f t="shared" si="251"/>
        <v>12.6</v>
      </c>
      <c r="Q831" s="185">
        <f t="shared" si="252"/>
        <v>12.6</v>
      </c>
      <c r="R831" s="162" t="b">
        <f t="shared" si="240"/>
        <v>0</v>
      </c>
    </row>
    <row r="832" spans="1:18">
      <c r="A832" s="129" t="s">
        <v>402</v>
      </c>
      <c r="B832" s="129" t="s">
        <v>3878</v>
      </c>
      <c r="C832" s="129">
        <v>6274</v>
      </c>
      <c r="D832" s="129" t="s">
        <v>2776</v>
      </c>
      <c r="E832" s="129">
        <v>265</v>
      </c>
      <c r="F832" s="129">
        <v>0</v>
      </c>
      <c r="G832" s="129">
        <v>207</v>
      </c>
      <c r="H832" s="129">
        <v>0</v>
      </c>
      <c r="I832" s="129">
        <v>78.099999999999994</v>
      </c>
      <c r="J832" s="129">
        <v>21.7</v>
      </c>
      <c r="K832" s="129">
        <v>0</v>
      </c>
      <c r="L832" s="129">
        <f t="shared" si="247"/>
        <v>265</v>
      </c>
      <c r="M832" s="129">
        <f t="shared" si="248"/>
        <v>207</v>
      </c>
      <c r="N832" s="128">
        <f t="shared" si="249"/>
        <v>0.78110000000000002</v>
      </c>
      <c r="O832" s="164">
        <f t="shared" si="250"/>
        <v>0</v>
      </c>
      <c r="P832" s="185">
        <f t="shared" si="251"/>
        <v>21.7</v>
      </c>
      <c r="Q832" s="185">
        <f t="shared" si="252"/>
        <v>21.7</v>
      </c>
      <c r="R832" s="162" t="b">
        <f t="shared" si="240"/>
        <v>0</v>
      </c>
    </row>
    <row r="833" spans="1:18">
      <c r="A833" s="129" t="s">
        <v>402</v>
      </c>
      <c r="B833" s="129" t="s">
        <v>3878</v>
      </c>
      <c r="C833" s="129">
        <v>6276</v>
      </c>
      <c r="D833" s="129" t="s">
        <v>2778</v>
      </c>
      <c r="E833" s="129">
        <v>290</v>
      </c>
      <c r="F833" s="129">
        <v>0</v>
      </c>
      <c r="G833" s="129">
        <v>256</v>
      </c>
      <c r="H833" s="129">
        <v>0</v>
      </c>
      <c r="I833" s="129">
        <v>88.3</v>
      </c>
      <c r="J833" s="129">
        <v>26.9</v>
      </c>
      <c r="K833" s="129">
        <v>0</v>
      </c>
      <c r="L833" s="129">
        <f t="shared" si="247"/>
        <v>290</v>
      </c>
      <c r="M833" s="129">
        <f t="shared" si="248"/>
        <v>256</v>
      </c>
      <c r="N833" s="128">
        <f t="shared" si="249"/>
        <v>0.88280000000000003</v>
      </c>
      <c r="O833" s="164">
        <f t="shared" si="250"/>
        <v>0</v>
      </c>
      <c r="P833" s="185">
        <f t="shared" si="251"/>
        <v>26.9</v>
      </c>
      <c r="Q833" s="185">
        <f t="shared" si="252"/>
        <v>26.9</v>
      </c>
      <c r="R833" s="162" t="b">
        <f t="shared" si="240"/>
        <v>0</v>
      </c>
    </row>
    <row r="834" spans="1:18">
      <c r="A834" s="129" t="s">
        <v>402</v>
      </c>
      <c r="B834" s="129" t="s">
        <v>3878</v>
      </c>
      <c r="C834" s="129">
        <v>6280</v>
      </c>
      <c r="D834" s="129" t="s">
        <v>2780</v>
      </c>
      <c r="E834" s="129">
        <v>423</v>
      </c>
      <c r="F834" s="129">
        <v>0</v>
      </c>
      <c r="G834" s="129">
        <v>245</v>
      </c>
      <c r="H834" s="129">
        <v>0</v>
      </c>
      <c r="I834" s="129">
        <v>57.9</v>
      </c>
      <c r="J834" s="129">
        <v>25.7</v>
      </c>
      <c r="K834" s="129">
        <v>0</v>
      </c>
      <c r="L834" s="129">
        <f t="shared" si="247"/>
        <v>423</v>
      </c>
      <c r="M834" s="129">
        <f t="shared" si="248"/>
        <v>245</v>
      </c>
      <c r="N834" s="128">
        <f t="shared" si="249"/>
        <v>0.57920000000000005</v>
      </c>
      <c r="O834" s="164">
        <f t="shared" si="250"/>
        <v>0</v>
      </c>
      <c r="P834" s="185">
        <f t="shared" si="251"/>
        <v>25.7</v>
      </c>
      <c r="Q834" s="185">
        <f t="shared" si="252"/>
        <v>25.7</v>
      </c>
      <c r="R834" s="162" t="b">
        <f t="shared" si="240"/>
        <v>0</v>
      </c>
    </row>
    <row r="835" spans="1:18">
      <c r="A835" s="129" t="s">
        <v>402</v>
      </c>
      <c r="B835" s="129" t="s">
        <v>3878</v>
      </c>
      <c r="C835" s="129">
        <v>6284</v>
      </c>
      <c r="D835" s="129" t="s">
        <v>2782</v>
      </c>
      <c r="E835" s="129">
        <v>939</v>
      </c>
      <c r="F835" s="129">
        <v>0</v>
      </c>
      <c r="G835" s="129">
        <v>534</v>
      </c>
      <c r="H835" s="129">
        <v>0</v>
      </c>
      <c r="I835" s="129">
        <v>56.9</v>
      </c>
      <c r="J835" s="129">
        <v>56.1</v>
      </c>
      <c r="K835" s="129">
        <v>0</v>
      </c>
      <c r="L835" s="129">
        <f t="shared" si="247"/>
        <v>939</v>
      </c>
      <c r="M835" s="129">
        <f t="shared" si="248"/>
        <v>534</v>
      </c>
      <c r="N835" s="128">
        <f t="shared" si="249"/>
        <v>0.56869999999999998</v>
      </c>
      <c r="O835" s="164">
        <f t="shared" si="250"/>
        <v>0</v>
      </c>
      <c r="P835" s="185">
        <f t="shared" si="251"/>
        <v>56.1</v>
      </c>
      <c r="Q835" s="185">
        <f t="shared" si="252"/>
        <v>56.1</v>
      </c>
      <c r="R835" s="162" t="b">
        <f t="shared" si="240"/>
        <v>0</v>
      </c>
    </row>
    <row r="836" spans="1:18">
      <c r="A836" s="129" t="s">
        <v>415</v>
      </c>
      <c r="B836" s="129" t="s">
        <v>3891</v>
      </c>
      <c r="C836" s="129">
        <v>6726</v>
      </c>
      <c r="D836" s="129" t="s">
        <v>2880</v>
      </c>
      <c r="E836" s="129">
        <v>44</v>
      </c>
      <c r="F836" s="129">
        <v>0</v>
      </c>
      <c r="G836" s="129">
        <v>12</v>
      </c>
      <c r="H836" s="129">
        <v>0</v>
      </c>
      <c r="I836" s="129">
        <v>27.3</v>
      </c>
      <c r="J836" s="129">
        <v>0</v>
      </c>
      <c r="K836" s="129">
        <v>0</v>
      </c>
      <c r="L836" s="129">
        <f t="shared" si="247"/>
        <v>44</v>
      </c>
      <c r="M836" s="129">
        <f t="shared" si="248"/>
        <v>12</v>
      </c>
      <c r="N836" s="128">
        <f t="shared" si="249"/>
        <v>0.2727</v>
      </c>
      <c r="O836" s="164">
        <f t="shared" si="250"/>
        <v>0</v>
      </c>
      <c r="P836" s="185">
        <f t="shared" si="251"/>
        <v>0</v>
      </c>
      <c r="Q836" s="185">
        <f t="shared" si="252"/>
        <v>0</v>
      </c>
      <c r="R836" s="162" t="b">
        <f t="shared" si="240"/>
        <v>0</v>
      </c>
    </row>
    <row r="837" spans="1:18">
      <c r="A837" s="129" t="s">
        <v>415</v>
      </c>
      <c r="B837" s="129" t="s">
        <v>3891</v>
      </c>
      <c r="C837" s="129">
        <v>6728</v>
      </c>
      <c r="D837" s="129" t="s">
        <v>2882</v>
      </c>
      <c r="E837" s="129">
        <v>79</v>
      </c>
      <c r="F837" s="129">
        <v>0</v>
      </c>
      <c r="G837" s="129">
        <v>14</v>
      </c>
      <c r="H837" s="129">
        <v>0</v>
      </c>
      <c r="I837" s="129">
        <v>17.7</v>
      </c>
      <c r="J837" s="129">
        <v>0</v>
      </c>
      <c r="K837" s="129">
        <v>0</v>
      </c>
      <c r="L837" s="129">
        <f t="shared" si="247"/>
        <v>79</v>
      </c>
      <c r="M837" s="129">
        <f t="shared" si="248"/>
        <v>14</v>
      </c>
      <c r="N837" s="128">
        <f t="shared" si="249"/>
        <v>0.1772</v>
      </c>
      <c r="O837" s="164">
        <f t="shared" si="250"/>
        <v>0</v>
      </c>
      <c r="P837" s="185">
        <f t="shared" si="251"/>
        <v>0</v>
      </c>
      <c r="Q837" s="185">
        <f t="shared" si="252"/>
        <v>0</v>
      </c>
      <c r="R837" s="162" t="b">
        <f t="shared" ref="R837:R900" si="253">COUNTIF(C:C,C837)&gt;1</f>
        <v>0</v>
      </c>
    </row>
    <row r="838" spans="1:18">
      <c r="A838" s="129" t="s">
        <v>415</v>
      </c>
      <c r="B838" s="129" t="s">
        <v>3891</v>
      </c>
      <c r="C838" s="129">
        <v>6734</v>
      </c>
      <c r="D838" s="129" t="s">
        <v>2884</v>
      </c>
      <c r="E838" s="129">
        <v>159</v>
      </c>
      <c r="F838" s="129">
        <v>0</v>
      </c>
      <c r="G838" s="129">
        <v>45</v>
      </c>
      <c r="H838" s="129">
        <v>0</v>
      </c>
      <c r="I838" s="129">
        <v>28.3</v>
      </c>
      <c r="J838" s="129">
        <v>0</v>
      </c>
      <c r="K838" s="129">
        <v>0</v>
      </c>
      <c r="L838" s="129">
        <f t="shared" si="247"/>
        <v>159</v>
      </c>
      <c r="M838" s="129">
        <f t="shared" si="248"/>
        <v>45</v>
      </c>
      <c r="N838" s="128">
        <f t="shared" si="249"/>
        <v>0.28299999999999997</v>
      </c>
      <c r="O838" s="164">
        <f t="shared" si="250"/>
        <v>0</v>
      </c>
      <c r="P838" s="185">
        <f t="shared" si="251"/>
        <v>0</v>
      </c>
      <c r="Q838" s="185">
        <f t="shared" si="252"/>
        <v>0</v>
      </c>
      <c r="R838" s="162" t="b">
        <f t="shared" si="253"/>
        <v>0</v>
      </c>
    </row>
    <row r="839" spans="1:18">
      <c r="A839" s="129" t="s">
        <v>423</v>
      </c>
      <c r="B839" s="129" t="s">
        <v>11</v>
      </c>
      <c r="C839" s="129">
        <v>7020</v>
      </c>
      <c r="D839" s="129" t="s">
        <v>2930</v>
      </c>
      <c r="E839" s="129">
        <v>1290</v>
      </c>
      <c r="F839" s="129">
        <v>0</v>
      </c>
      <c r="G839" s="129">
        <v>483</v>
      </c>
      <c r="H839" s="129">
        <v>0</v>
      </c>
      <c r="I839" s="129">
        <v>37.4</v>
      </c>
      <c r="J839" s="129">
        <v>0</v>
      </c>
      <c r="K839" s="129">
        <v>8.1999999999999993</v>
      </c>
      <c r="L839" s="129">
        <f t="shared" si="247"/>
        <v>1290</v>
      </c>
      <c r="M839" s="129">
        <f t="shared" si="248"/>
        <v>483</v>
      </c>
      <c r="N839" s="128">
        <f t="shared" si="249"/>
        <v>0.37440000000000001</v>
      </c>
      <c r="O839" s="164">
        <f t="shared" si="250"/>
        <v>8.1999999999999993</v>
      </c>
      <c r="P839" s="185">
        <f t="shared" si="251"/>
        <v>0</v>
      </c>
      <c r="Q839" s="185">
        <f t="shared" si="252"/>
        <v>8.1999999999999993</v>
      </c>
      <c r="R839" s="162" t="b">
        <f t="shared" si="253"/>
        <v>0</v>
      </c>
    </row>
    <row r="840" spans="1:18">
      <c r="A840" s="129" t="s">
        <v>423</v>
      </c>
      <c r="B840" s="129" t="s">
        <v>11</v>
      </c>
      <c r="C840" s="129">
        <v>7028</v>
      </c>
      <c r="D840" s="129" t="s">
        <v>2932</v>
      </c>
      <c r="E840" s="129">
        <v>324</v>
      </c>
      <c r="F840" s="129">
        <v>0</v>
      </c>
      <c r="G840" s="129">
        <v>156</v>
      </c>
      <c r="H840" s="129">
        <v>0</v>
      </c>
      <c r="I840" s="129">
        <v>48.2</v>
      </c>
      <c r="J840" s="129">
        <v>0</v>
      </c>
      <c r="K840" s="129">
        <v>14.4</v>
      </c>
      <c r="L840" s="129">
        <f t="shared" si="247"/>
        <v>324</v>
      </c>
      <c r="M840" s="129">
        <f t="shared" si="248"/>
        <v>156</v>
      </c>
      <c r="N840" s="128">
        <f t="shared" si="249"/>
        <v>0.48149999999999998</v>
      </c>
      <c r="O840" s="164">
        <f t="shared" si="250"/>
        <v>14.4</v>
      </c>
      <c r="P840" s="185">
        <f t="shared" si="251"/>
        <v>0</v>
      </c>
      <c r="Q840" s="185">
        <f t="shared" si="252"/>
        <v>14.4</v>
      </c>
      <c r="R840" s="162" t="b">
        <f t="shared" si="253"/>
        <v>0</v>
      </c>
    </row>
    <row r="841" spans="1:18">
      <c r="A841" s="129" t="s">
        <v>423</v>
      </c>
      <c r="B841" s="129" t="s">
        <v>11</v>
      </c>
      <c r="C841" s="129">
        <v>7029</v>
      </c>
      <c r="D841" s="129" t="s">
        <v>2934</v>
      </c>
      <c r="E841" s="129">
        <v>294</v>
      </c>
      <c r="F841" s="129">
        <v>0</v>
      </c>
      <c r="G841" s="129">
        <v>200</v>
      </c>
      <c r="H841" s="129">
        <v>0</v>
      </c>
      <c r="I841" s="129">
        <v>68</v>
      </c>
      <c r="J841" s="129">
        <v>21</v>
      </c>
      <c r="K841" s="129">
        <v>0</v>
      </c>
      <c r="L841" s="129">
        <f t="shared" si="247"/>
        <v>294</v>
      </c>
      <c r="M841" s="129">
        <f t="shared" si="248"/>
        <v>200</v>
      </c>
      <c r="N841" s="128">
        <f t="shared" si="249"/>
        <v>0.68030000000000002</v>
      </c>
      <c r="O841" s="164">
        <f t="shared" si="250"/>
        <v>0</v>
      </c>
      <c r="P841" s="185">
        <f t="shared" si="251"/>
        <v>21</v>
      </c>
      <c r="Q841" s="185">
        <f t="shared" si="252"/>
        <v>21</v>
      </c>
      <c r="R841" s="162" t="b">
        <f t="shared" si="253"/>
        <v>0</v>
      </c>
    </row>
    <row r="842" spans="1:18">
      <c r="A842" s="129" t="s">
        <v>423</v>
      </c>
      <c r="B842" s="129" t="s">
        <v>11</v>
      </c>
      <c r="C842" s="129">
        <v>7031</v>
      </c>
      <c r="D842" s="129" t="s">
        <v>2936</v>
      </c>
      <c r="E842" s="129">
        <v>337</v>
      </c>
      <c r="F842" s="129">
        <v>0</v>
      </c>
      <c r="G842" s="129">
        <v>207</v>
      </c>
      <c r="H842" s="129">
        <v>0</v>
      </c>
      <c r="I842" s="129">
        <v>61.4</v>
      </c>
      <c r="J842" s="129">
        <v>21.7</v>
      </c>
      <c r="K842" s="129">
        <v>0</v>
      </c>
      <c r="L842" s="129">
        <f t="shared" si="247"/>
        <v>337</v>
      </c>
      <c r="M842" s="129">
        <f t="shared" si="248"/>
        <v>207</v>
      </c>
      <c r="N842" s="128">
        <f t="shared" si="249"/>
        <v>0.61419999999999997</v>
      </c>
      <c r="O842" s="164">
        <f t="shared" si="250"/>
        <v>0</v>
      </c>
      <c r="P842" s="185">
        <f t="shared" si="251"/>
        <v>21.7</v>
      </c>
      <c r="Q842" s="185">
        <f t="shared" si="252"/>
        <v>21.7</v>
      </c>
      <c r="R842" s="162" t="b">
        <f t="shared" si="253"/>
        <v>0</v>
      </c>
    </row>
    <row r="843" spans="1:18">
      <c r="A843" s="129" t="s">
        <v>423</v>
      </c>
      <c r="B843" s="129" t="s">
        <v>11</v>
      </c>
      <c r="C843" s="129">
        <v>7033</v>
      </c>
      <c r="D843" s="129" t="s">
        <v>2938</v>
      </c>
      <c r="E843" s="129">
        <v>449</v>
      </c>
      <c r="F843" s="129">
        <v>0</v>
      </c>
      <c r="G843" s="129">
        <v>239</v>
      </c>
      <c r="H843" s="129">
        <v>0</v>
      </c>
      <c r="I843" s="129">
        <v>53.2</v>
      </c>
      <c r="J843" s="129">
        <v>25.1</v>
      </c>
      <c r="K843" s="129">
        <v>0</v>
      </c>
      <c r="L843" s="129">
        <f t="shared" si="247"/>
        <v>449</v>
      </c>
      <c r="M843" s="129">
        <f t="shared" si="248"/>
        <v>239</v>
      </c>
      <c r="N843" s="128">
        <f t="shared" si="249"/>
        <v>0.5323</v>
      </c>
      <c r="O843" s="164">
        <f t="shared" si="250"/>
        <v>0</v>
      </c>
      <c r="P843" s="185">
        <f t="shared" si="251"/>
        <v>25.1</v>
      </c>
      <c r="Q843" s="185">
        <f t="shared" si="252"/>
        <v>25.1</v>
      </c>
      <c r="R843" s="162" t="b">
        <f t="shared" si="253"/>
        <v>0</v>
      </c>
    </row>
    <row r="844" spans="1:18">
      <c r="A844" s="129" t="s">
        <v>423</v>
      </c>
      <c r="B844" s="129" t="s">
        <v>11</v>
      </c>
      <c r="C844" s="129">
        <v>7046</v>
      </c>
      <c r="D844" s="129" t="s">
        <v>2940</v>
      </c>
      <c r="E844" s="129">
        <v>451</v>
      </c>
      <c r="F844" s="129">
        <v>0</v>
      </c>
      <c r="G844" s="129">
        <v>259</v>
      </c>
      <c r="H844" s="129">
        <v>0</v>
      </c>
      <c r="I844" s="129">
        <v>57.4</v>
      </c>
      <c r="J844" s="129">
        <v>27.2</v>
      </c>
      <c r="K844" s="129">
        <v>0</v>
      </c>
      <c r="L844" s="129">
        <f t="shared" si="247"/>
        <v>451</v>
      </c>
      <c r="M844" s="129">
        <f t="shared" si="248"/>
        <v>259</v>
      </c>
      <c r="N844" s="128">
        <f t="shared" si="249"/>
        <v>0.57430000000000003</v>
      </c>
      <c r="O844" s="164">
        <f t="shared" si="250"/>
        <v>0</v>
      </c>
      <c r="P844" s="185">
        <f t="shared" si="251"/>
        <v>27.2</v>
      </c>
      <c r="Q844" s="185">
        <f t="shared" si="252"/>
        <v>27.2</v>
      </c>
      <c r="R844" s="162" t="b">
        <f t="shared" si="253"/>
        <v>0</v>
      </c>
    </row>
    <row r="845" spans="1:18">
      <c r="A845" s="129" t="s">
        <v>423</v>
      </c>
      <c r="B845" s="129" t="s">
        <v>11</v>
      </c>
      <c r="C845" s="129">
        <v>7047</v>
      </c>
      <c r="D845" s="129" t="s">
        <v>2942</v>
      </c>
      <c r="E845" s="129">
        <v>285</v>
      </c>
      <c r="F845" s="129">
        <v>0</v>
      </c>
      <c r="G845" s="129">
        <v>155</v>
      </c>
      <c r="H845" s="129">
        <v>0</v>
      </c>
      <c r="I845" s="129">
        <v>54.4</v>
      </c>
      <c r="J845" s="129">
        <v>16.3</v>
      </c>
      <c r="K845" s="129">
        <v>0</v>
      </c>
      <c r="L845" s="129">
        <f t="shared" si="247"/>
        <v>285</v>
      </c>
      <c r="M845" s="129">
        <f t="shared" si="248"/>
        <v>155</v>
      </c>
      <c r="N845" s="128">
        <f t="shared" si="249"/>
        <v>0.54390000000000005</v>
      </c>
      <c r="O845" s="164">
        <f t="shared" si="250"/>
        <v>0</v>
      </c>
      <c r="P845" s="185">
        <f t="shared" si="251"/>
        <v>16.3</v>
      </c>
      <c r="Q845" s="185">
        <f t="shared" si="252"/>
        <v>16.3</v>
      </c>
      <c r="R845" s="162" t="b">
        <f t="shared" si="253"/>
        <v>0</v>
      </c>
    </row>
    <row r="846" spans="1:18">
      <c r="A846" s="129" t="s">
        <v>438</v>
      </c>
      <c r="B846" s="129" t="s">
        <v>3913</v>
      </c>
      <c r="C846" s="129">
        <v>7420</v>
      </c>
      <c r="D846" s="129" t="s">
        <v>3057</v>
      </c>
      <c r="E846" s="129">
        <v>597</v>
      </c>
      <c r="F846" s="129">
        <v>0</v>
      </c>
      <c r="G846" s="129">
        <v>175</v>
      </c>
      <c r="H846" s="129">
        <v>0</v>
      </c>
      <c r="I846" s="129">
        <v>29.3</v>
      </c>
      <c r="J846" s="129">
        <v>0</v>
      </c>
      <c r="K846" s="129">
        <v>0</v>
      </c>
      <c r="L846" s="129">
        <f t="shared" si="247"/>
        <v>597</v>
      </c>
      <c r="M846" s="129">
        <f t="shared" si="248"/>
        <v>175</v>
      </c>
      <c r="N846" s="128">
        <f t="shared" si="249"/>
        <v>0.29310000000000003</v>
      </c>
      <c r="O846" s="164">
        <f t="shared" si="250"/>
        <v>0</v>
      </c>
      <c r="P846" s="185">
        <f t="shared" si="251"/>
        <v>0</v>
      </c>
      <c r="Q846" s="185">
        <f t="shared" si="252"/>
        <v>0</v>
      </c>
      <c r="R846" s="162" t="b">
        <f t="shared" si="253"/>
        <v>0</v>
      </c>
    </row>
    <row r="847" spans="1:18">
      <c r="A847" s="129" t="s">
        <v>438</v>
      </c>
      <c r="B847" s="129" t="s">
        <v>3913</v>
      </c>
      <c r="C847" s="129">
        <v>7423</v>
      </c>
      <c r="D847" s="129" t="s">
        <v>3059</v>
      </c>
      <c r="E847" s="129">
        <v>684</v>
      </c>
      <c r="F847" s="129">
        <v>0</v>
      </c>
      <c r="G847" s="129">
        <v>251</v>
      </c>
      <c r="H847" s="129">
        <v>0</v>
      </c>
      <c r="I847" s="129">
        <v>36.700000000000003</v>
      </c>
      <c r="J847" s="129">
        <v>0</v>
      </c>
      <c r="K847" s="129">
        <v>3</v>
      </c>
      <c r="L847" s="129">
        <f t="shared" si="247"/>
        <v>684</v>
      </c>
      <c r="M847" s="129">
        <f t="shared" si="248"/>
        <v>251</v>
      </c>
      <c r="N847" s="128">
        <f t="shared" si="249"/>
        <v>0.36699999999999999</v>
      </c>
      <c r="O847" s="164">
        <f t="shared" si="250"/>
        <v>3</v>
      </c>
      <c r="P847" s="185">
        <f t="shared" si="251"/>
        <v>0</v>
      </c>
      <c r="Q847" s="185">
        <f t="shared" si="252"/>
        <v>3</v>
      </c>
      <c r="R847" s="162" t="b">
        <f t="shared" si="253"/>
        <v>0</v>
      </c>
    </row>
    <row r="848" spans="1:18">
      <c r="A848" s="129" t="s">
        <v>438</v>
      </c>
      <c r="B848" s="129" t="s">
        <v>3913</v>
      </c>
      <c r="C848" s="129">
        <v>7426</v>
      </c>
      <c r="D848" s="129" t="s">
        <v>3061</v>
      </c>
      <c r="E848" s="129">
        <v>874</v>
      </c>
      <c r="F848" s="129">
        <v>0</v>
      </c>
      <c r="G848" s="129">
        <v>193</v>
      </c>
      <c r="H848" s="129">
        <v>0</v>
      </c>
      <c r="I848" s="129">
        <v>22.1</v>
      </c>
      <c r="J848" s="129">
        <v>0</v>
      </c>
      <c r="K848" s="129">
        <v>0</v>
      </c>
      <c r="L848" s="129">
        <f t="shared" si="247"/>
        <v>874</v>
      </c>
      <c r="M848" s="129">
        <f t="shared" si="248"/>
        <v>193</v>
      </c>
      <c r="N848" s="128">
        <f t="shared" si="249"/>
        <v>0.2208</v>
      </c>
      <c r="O848" s="164">
        <f t="shared" si="250"/>
        <v>0</v>
      </c>
      <c r="P848" s="185">
        <f t="shared" si="251"/>
        <v>0</v>
      </c>
      <c r="Q848" s="185">
        <f t="shared" si="252"/>
        <v>0</v>
      </c>
      <c r="R848" s="162" t="b">
        <f t="shared" si="253"/>
        <v>0</v>
      </c>
    </row>
    <row r="849" spans="1:18">
      <c r="A849" s="129" t="s">
        <v>438</v>
      </c>
      <c r="B849" s="129" t="s">
        <v>3913</v>
      </c>
      <c r="C849" s="129">
        <v>7435</v>
      </c>
      <c r="D849" s="129" t="s">
        <v>3063</v>
      </c>
      <c r="E849" s="129">
        <v>335</v>
      </c>
      <c r="F849" s="129">
        <v>0</v>
      </c>
      <c r="G849" s="129">
        <v>106</v>
      </c>
      <c r="H849" s="129">
        <v>0</v>
      </c>
      <c r="I849" s="129">
        <v>31.6</v>
      </c>
      <c r="J849" s="129">
        <v>0</v>
      </c>
      <c r="K849" s="129">
        <v>0</v>
      </c>
      <c r="L849" s="129">
        <f t="shared" si="247"/>
        <v>335</v>
      </c>
      <c r="M849" s="129">
        <f t="shared" si="248"/>
        <v>106</v>
      </c>
      <c r="N849" s="128">
        <f t="shared" si="249"/>
        <v>0.31640000000000001</v>
      </c>
      <c r="O849" s="164">
        <f t="shared" si="250"/>
        <v>0</v>
      </c>
      <c r="P849" s="185">
        <f t="shared" si="251"/>
        <v>0</v>
      </c>
      <c r="Q849" s="185">
        <f t="shared" si="252"/>
        <v>0</v>
      </c>
      <c r="R849" s="162" t="b">
        <f t="shared" si="253"/>
        <v>0</v>
      </c>
    </row>
    <row r="850" spans="1:18">
      <c r="A850" s="129" t="s">
        <v>442</v>
      </c>
      <c r="B850" s="129" t="s">
        <v>3917</v>
      </c>
      <c r="C850" s="129">
        <v>7574</v>
      </c>
      <c r="D850" s="129" t="s">
        <v>3093</v>
      </c>
      <c r="E850" s="129">
        <v>71</v>
      </c>
      <c r="F850" s="129">
        <v>0</v>
      </c>
      <c r="G850" s="129">
        <v>28</v>
      </c>
      <c r="H850" s="129">
        <v>0</v>
      </c>
      <c r="I850" s="129">
        <v>39.4</v>
      </c>
      <c r="J850" s="129">
        <v>0</v>
      </c>
      <c r="K850" s="129">
        <v>0.9</v>
      </c>
      <c r="L850" s="129">
        <f t="shared" ref="L850" si="254">SUM(E850:F850)</f>
        <v>71</v>
      </c>
      <c r="M850" s="129">
        <f t="shared" ref="M850" si="255">SUM(G850:H850)</f>
        <v>28</v>
      </c>
      <c r="N850" s="128">
        <f t="shared" ref="N850" si="256">IF(ISERROR(M850/L850),0,M850/L850)</f>
        <v>0.39439999999999997</v>
      </c>
      <c r="O850" s="164">
        <f t="shared" ref="O850" si="257">IF(AND((N850-35%)&gt;0,N850&lt;50%),M850*(N850-35%)*0.7,0)</f>
        <v>0.9</v>
      </c>
      <c r="P850" s="185">
        <f t="shared" ref="P850" si="258">IF(N850&gt;=50%,M850*10.5%,0)</f>
        <v>0</v>
      </c>
      <c r="Q850" s="185">
        <f t="shared" ref="Q850" si="259">MAX(O850,P850)</f>
        <v>0.9</v>
      </c>
      <c r="R850" s="162" t="b">
        <f t="shared" si="253"/>
        <v>0</v>
      </c>
    </row>
    <row r="851" spans="1:18">
      <c r="A851" s="129" t="s">
        <v>208</v>
      </c>
      <c r="B851" s="129" t="s">
        <v>3702</v>
      </c>
      <c r="C851" s="129">
        <v>238</v>
      </c>
      <c r="D851" s="129" t="s">
        <v>1160</v>
      </c>
      <c r="E851" s="129">
        <v>276</v>
      </c>
      <c r="F851" s="129">
        <v>0</v>
      </c>
      <c r="G851" s="129">
        <v>92</v>
      </c>
      <c r="H851" s="129">
        <v>0</v>
      </c>
      <c r="I851" s="129">
        <v>33.299999999999997</v>
      </c>
      <c r="J851" s="129">
        <v>0</v>
      </c>
      <c r="K851" s="129">
        <v>0</v>
      </c>
      <c r="L851" s="129">
        <f t="shared" ref="L851:L890" si="260">SUM(E851:F851)</f>
        <v>276</v>
      </c>
      <c r="M851" s="129">
        <f t="shared" ref="M851:M890" si="261">SUM(G851:H851)</f>
        <v>92</v>
      </c>
      <c r="N851" s="128">
        <f t="shared" ref="N851:N890" si="262">IF(ISERROR(M851/L851),0,M851/L851)</f>
        <v>0.33329999999999999</v>
      </c>
      <c r="O851" s="164">
        <f t="shared" ref="O851:O890" si="263">IF(AND((N851-35%)&gt;0,N851&lt;50%),M851*(N851-35%)*0.7,0)</f>
        <v>0</v>
      </c>
      <c r="P851" s="185">
        <f t="shared" ref="P851:P890" si="264">IF(N851&gt;=50%,M851*10.5%,0)</f>
        <v>0</v>
      </c>
      <c r="Q851" s="185">
        <f t="shared" ref="Q851:Q890" si="265">MAX(O851,P851)</f>
        <v>0</v>
      </c>
      <c r="R851" s="162" t="b">
        <f t="shared" si="253"/>
        <v>0</v>
      </c>
    </row>
    <row r="852" spans="1:18">
      <c r="A852" s="129" t="s">
        <v>208</v>
      </c>
      <c r="B852" s="129" t="s">
        <v>3702</v>
      </c>
      <c r="C852" s="129">
        <v>240</v>
      </c>
      <c r="D852" s="129" t="s">
        <v>1162</v>
      </c>
      <c r="E852" s="129">
        <v>244</v>
      </c>
      <c r="F852" s="129">
        <v>0</v>
      </c>
      <c r="G852" s="129">
        <v>89</v>
      </c>
      <c r="H852" s="129">
        <v>0</v>
      </c>
      <c r="I852" s="129">
        <v>36.5</v>
      </c>
      <c r="J852" s="129">
        <v>0</v>
      </c>
      <c r="K852" s="129">
        <v>0.9</v>
      </c>
      <c r="L852" s="129">
        <f t="shared" si="260"/>
        <v>244</v>
      </c>
      <c r="M852" s="129">
        <f t="shared" si="261"/>
        <v>89</v>
      </c>
      <c r="N852" s="128">
        <f t="shared" si="262"/>
        <v>0.36480000000000001</v>
      </c>
      <c r="O852" s="164">
        <f t="shared" si="263"/>
        <v>0.9</v>
      </c>
      <c r="P852" s="185">
        <f t="shared" si="264"/>
        <v>0</v>
      </c>
      <c r="Q852" s="185">
        <f t="shared" si="265"/>
        <v>0.9</v>
      </c>
      <c r="R852" s="162" t="b">
        <f t="shared" si="253"/>
        <v>0</v>
      </c>
    </row>
    <row r="853" spans="1:18">
      <c r="A853" s="129" t="s">
        <v>216</v>
      </c>
      <c r="B853" s="129" t="s">
        <v>3709</v>
      </c>
      <c r="C853" s="129">
        <v>443</v>
      </c>
      <c r="D853" s="129" t="s">
        <v>1205</v>
      </c>
      <c r="E853" s="129">
        <v>316</v>
      </c>
      <c r="F853" s="129">
        <v>0</v>
      </c>
      <c r="G853" s="129">
        <v>207</v>
      </c>
      <c r="H853" s="129">
        <v>0</v>
      </c>
      <c r="I853" s="129">
        <v>65.5</v>
      </c>
      <c r="J853" s="129">
        <v>21.7</v>
      </c>
      <c r="K853" s="129">
        <v>0</v>
      </c>
      <c r="L853" s="129">
        <f t="shared" si="260"/>
        <v>316</v>
      </c>
      <c r="M853" s="129">
        <f t="shared" si="261"/>
        <v>207</v>
      </c>
      <c r="N853" s="128">
        <f t="shared" si="262"/>
        <v>0.65510000000000002</v>
      </c>
      <c r="O853" s="164">
        <f t="shared" si="263"/>
        <v>0</v>
      </c>
      <c r="P853" s="185">
        <f t="shared" si="264"/>
        <v>21.7</v>
      </c>
      <c r="Q853" s="185">
        <f t="shared" si="265"/>
        <v>21.7</v>
      </c>
      <c r="R853" s="162" t="b">
        <f t="shared" si="253"/>
        <v>0</v>
      </c>
    </row>
    <row r="854" spans="1:18">
      <c r="A854" s="129" t="s">
        <v>216</v>
      </c>
      <c r="B854" s="129" t="s">
        <v>3709</v>
      </c>
      <c r="C854" s="129">
        <v>444</v>
      </c>
      <c r="D854" s="129" t="s">
        <v>1207</v>
      </c>
      <c r="E854" s="129">
        <v>318</v>
      </c>
      <c r="F854" s="129">
        <v>0</v>
      </c>
      <c r="G854" s="129">
        <v>207</v>
      </c>
      <c r="H854" s="129">
        <v>0</v>
      </c>
      <c r="I854" s="129">
        <v>65.099999999999994</v>
      </c>
      <c r="J854" s="129">
        <v>21.7</v>
      </c>
      <c r="K854" s="129">
        <v>0</v>
      </c>
      <c r="L854" s="129">
        <f t="shared" si="260"/>
        <v>318</v>
      </c>
      <c r="M854" s="129">
        <f t="shared" si="261"/>
        <v>207</v>
      </c>
      <c r="N854" s="128">
        <f t="shared" si="262"/>
        <v>0.65090000000000003</v>
      </c>
      <c r="O854" s="164">
        <f t="shared" si="263"/>
        <v>0</v>
      </c>
      <c r="P854" s="185">
        <f t="shared" si="264"/>
        <v>21.7</v>
      </c>
      <c r="Q854" s="185">
        <f t="shared" si="265"/>
        <v>21.7</v>
      </c>
      <c r="R854" s="162" t="b">
        <f t="shared" si="253"/>
        <v>0</v>
      </c>
    </row>
    <row r="855" spans="1:18">
      <c r="A855" s="129" t="s">
        <v>216</v>
      </c>
      <c r="B855" s="129" t="s">
        <v>3709</v>
      </c>
      <c r="C855" s="129">
        <v>446</v>
      </c>
      <c r="D855" s="129" t="s">
        <v>1209</v>
      </c>
      <c r="E855" s="129">
        <v>445</v>
      </c>
      <c r="F855" s="129">
        <v>0</v>
      </c>
      <c r="G855" s="129">
        <v>263</v>
      </c>
      <c r="H855" s="129">
        <v>0</v>
      </c>
      <c r="I855" s="129">
        <v>59.1</v>
      </c>
      <c r="J855" s="129">
        <v>27.6</v>
      </c>
      <c r="K855" s="129">
        <v>0</v>
      </c>
      <c r="L855" s="129">
        <f t="shared" si="260"/>
        <v>445</v>
      </c>
      <c r="M855" s="129">
        <f t="shared" si="261"/>
        <v>263</v>
      </c>
      <c r="N855" s="128">
        <f t="shared" si="262"/>
        <v>0.59099999999999997</v>
      </c>
      <c r="O855" s="164">
        <f t="shared" si="263"/>
        <v>0</v>
      </c>
      <c r="P855" s="185">
        <f t="shared" si="264"/>
        <v>27.6</v>
      </c>
      <c r="Q855" s="185">
        <f t="shared" si="265"/>
        <v>27.6</v>
      </c>
      <c r="R855" s="162" t="b">
        <f t="shared" si="253"/>
        <v>0</v>
      </c>
    </row>
    <row r="856" spans="1:18">
      <c r="A856" s="129" t="s">
        <v>216</v>
      </c>
      <c r="B856" s="129" t="s">
        <v>3709</v>
      </c>
      <c r="C856" s="129">
        <v>450</v>
      </c>
      <c r="D856" s="129" t="s">
        <v>1211</v>
      </c>
      <c r="E856" s="129">
        <v>349</v>
      </c>
      <c r="F856" s="129">
        <v>0</v>
      </c>
      <c r="G856" s="129">
        <v>169</v>
      </c>
      <c r="H856" s="129">
        <v>0</v>
      </c>
      <c r="I856" s="129">
        <v>48.4</v>
      </c>
      <c r="J856" s="129">
        <v>0</v>
      </c>
      <c r="K856" s="129">
        <v>15.9</v>
      </c>
      <c r="L856" s="129">
        <f t="shared" si="260"/>
        <v>349</v>
      </c>
      <c r="M856" s="129">
        <f t="shared" si="261"/>
        <v>169</v>
      </c>
      <c r="N856" s="128">
        <f t="shared" si="262"/>
        <v>0.48420000000000002</v>
      </c>
      <c r="O856" s="164">
        <f t="shared" si="263"/>
        <v>15.9</v>
      </c>
      <c r="P856" s="185">
        <f t="shared" si="264"/>
        <v>0</v>
      </c>
      <c r="Q856" s="185">
        <f t="shared" si="265"/>
        <v>15.9</v>
      </c>
      <c r="R856" s="162" t="b">
        <f t="shared" si="253"/>
        <v>0</v>
      </c>
    </row>
    <row r="857" spans="1:18">
      <c r="A857" s="129" t="s">
        <v>216</v>
      </c>
      <c r="B857" s="129" t="s">
        <v>3709</v>
      </c>
      <c r="C857" s="129">
        <v>1116</v>
      </c>
      <c r="D857" s="129" t="s">
        <v>3972</v>
      </c>
      <c r="E857" s="129">
        <v>2</v>
      </c>
      <c r="F857" s="129">
        <v>0</v>
      </c>
      <c r="H857" s="129">
        <v>0</v>
      </c>
      <c r="J857" s="129">
        <v>0</v>
      </c>
      <c r="K857" s="129">
        <v>0</v>
      </c>
      <c r="L857" s="129">
        <f t="shared" si="260"/>
        <v>2</v>
      </c>
      <c r="M857" s="129">
        <f t="shared" si="261"/>
        <v>0</v>
      </c>
      <c r="N857" s="128">
        <f t="shared" si="262"/>
        <v>0</v>
      </c>
      <c r="O857" s="164">
        <f t="shared" si="263"/>
        <v>0</v>
      </c>
      <c r="P857" s="185">
        <f t="shared" si="264"/>
        <v>0</v>
      </c>
      <c r="Q857" s="185">
        <f t="shared" si="265"/>
        <v>0</v>
      </c>
      <c r="R857" s="162" t="b">
        <f t="shared" si="253"/>
        <v>0</v>
      </c>
    </row>
    <row r="858" spans="1:18">
      <c r="A858" s="129" t="s">
        <v>255</v>
      </c>
      <c r="B858" s="129" t="s">
        <v>3746</v>
      </c>
      <c r="C858" s="129">
        <v>1592</v>
      </c>
      <c r="D858" s="129" t="s">
        <v>1647</v>
      </c>
      <c r="E858" s="129">
        <v>184</v>
      </c>
      <c r="F858" s="129">
        <v>0</v>
      </c>
      <c r="G858" s="129">
        <v>80</v>
      </c>
      <c r="H858" s="129">
        <v>0</v>
      </c>
      <c r="I858" s="129">
        <v>43.5</v>
      </c>
      <c r="J858" s="129">
        <v>0</v>
      </c>
      <c r="K858" s="129">
        <v>4.7</v>
      </c>
      <c r="L858" s="129">
        <f t="shared" si="260"/>
        <v>184</v>
      </c>
      <c r="M858" s="129">
        <f t="shared" si="261"/>
        <v>80</v>
      </c>
      <c r="N858" s="128">
        <f t="shared" si="262"/>
        <v>0.43480000000000002</v>
      </c>
      <c r="O858" s="164">
        <f t="shared" si="263"/>
        <v>4.7</v>
      </c>
      <c r="P858" s="185">
        <f t="shared" si="264"/>
        <v>0</v>
      </c>
      <c r="Q858" s="185">
        <f t="shared" si="265"/>
        <v>4.7</v>
      </c>
      <c r="R858" s="162" t="b">
        <f t="shared" si="253"/>
        <v>0</v>
      </c>
    </row>
    <row r="859" spans="1:18">
      <c r="A859" s="129" t="s">
        <v>255</v>
      </c>
      <c r="B859" s="129" t="s">
        <v>3746</v>
      </c>
      <c r="C859" s="129">
        <v>1596</v>
      </c>
      <c r="D859" s="129" t="s">
        <v>1649</v>
      </c>
      <c r="E859" s="129">
        <v>282</v>
      </c>
      <c r="F859" s="129">
        <v>0</v>
      </c>
      <c r="G859" s="129">
        <v>128</v>
      </c>
      <c r="H859" s="129">
        <v>0</v>
      </c>
      <c r="I859" s="129">
        <v>45.4</v>
      </c>
      <c r="J859" s="129">
        <v>0</v>
      </c>
      <c r="K859" s="129">
        <v>9.3000000000000007</v>
      </c>
      <c r="L859" s="129">
        <f t="shared" si="260"/>
        <v>282</v>
      </c>
      <c r="M859" s="129">
        <f t="shared" si="261"/>
        <v>128</v>
      </c>
      <c r="N859" s="128">
        <f t="shared" si="262"/>
        <v>0.45390000000000003</v>
      </c>
      <c r="O859" s="164">
        <f t="shared" si="263"/>
        <v>9.3000000000000007</v>
      </c>
      <c r="P859" s="185">
        <f t="shared" si="264"/>
        <v>0</v>
      </c>
      <c r="Q859" s="185">
        <f t="shared" si="265"/>
        <v>9.3000000000000007</v>
      </c>
      <c r="R859" s="162" t="b">
        <f t="shared" si="253"/>
        <v>0</v>
      </c>
    </row>
    <row r="860" spans="1:18">
      <c r="A860" s="129" t="s">
        <v>255</v>
      </c>
      <c r="B860" s="129" t="s">
        <v>3746</v>
      </c>
      <c r="C860" s="129">
        <v>1600</v>
      </c>
      <c r="D860" s="129" t="s">
        <v>1651</v>
      </c>
      <c r="E860" s="129">
        <v>135</v>
      </c>
      <c r="F860" s="129">
        <v>0</v>
      </c>
      <c r="G860" s="129">
        <v>62</v>
      </c>
      <c r="H860" s="129">
        <v>0</v>
      </c>
      <c r="I860" s="129">
        <v>45.9</v>
      </c>
      <c r="J860" s="129">
        <v>0</v>
      </c>
      <c r="K860" s="129">
        <v>4.7</v>
      </c>
      <c r="L860" s="129">
        <f t="shared" si="260"/>
        <v>135</v>
      </c>
      <c r="M860" s="129">
        <f t="shared" si="261"/>
        <v>62</v>
      </c>
      <c r="N860" s="128">
        <f t="shared" si="262"/>
        <v>0.45929999999999999</v>
      </c>
      <c r="O860" s="164">
        <f t="shared" si="263"/>
        <v>4.7</v>
      </c>
      <c r="P860" s="185">
        <f t="shared" si="264"/>
        <v>0</v>
      </c>
      <c r="Q860" s="185">
        <f t="shared" si="265"/>
        <v>4.7</v>
      </c>
      <c r="R860" s="162" t="b">
        <f t="shared" si="253"/>
        <v>0</v>
      </c>
    </row>
    <row r="861" spans="1:18">
      <c r="A861" s="129" t="s">
        <v>263</v>
      </c>
      <c r="B861" s="129" t="s">
        <v>3753</v>
      </c>
      <c r="C861" s="129">
        <v>2043</v>
      </c>
      <c r="D861" s="129" t="s">
        <v>1914</v>
      </c>
      <c r="E861" s="129">
        <v>492</v>
      </c>
      <c r="F861" s="129">
        <v>0</v>
      </c>
      <c r="G861" s="129">
        <v>130</v>
      </c>
      <c r="H861" s="129">
        <v>0</v>
      </c>
      <c r="I861" s="129">
        <v>26.4</v>
      </c>
      <c r="J861" s="129">
        <v>0</v>
      </c>
      <c r="K861" s="129">
        <v>0</v>
      </c>
      <c r="L861" s="129">
        <f t="shared" si="260"/>
        <v>492</v>
      </c>
      <c r="M861" s="129">
        <f t="shared" si="261"/>
        <v>130</v>
      </c>
      <c r="N861" s="128">
        <f t="shared" si="262"/>
        <v>0.26419999999999999</v>
      </c>
      <c r="O861" s="164">
        <f t="shared" si="263"/>
        <v>0</v>
      </c>
      <c r="P861" s="185">
        <f t="shared" si="264"/>
        <v>0</v>
      </c>
      <c r="Q861" s="185">
        <f t="shared" si="265"/>
        <v>0</v>
      </c>
      <c r="R861" s="162" t="b">
        <f t="shared" si="253"/>
        <v>0</v>
      </c>
    </row>
    <row r="862" spans="1:18">
      <c r="A862" s="129" t="s">
        <v>263</v>
      </c>
      <c r="B862" s="129" t="s">
        <v>3753</v>
      </c>
      <c r="C862" s="129">
        <v>2044</v>
      </c>
      <c r="D862" s="129" t="s">
        <v>1916</v>
      </c>
      <c r="E862" s="129">
        <v>668</v>
      </c>
      <c r="F862" s="129">
        <v>0</v>
      </c>
      <c r="G862" s="129">
        <v>190</v>
      </c>
      <c r="H862" s="129">
        <v>0</v>
      </c>
      <c r="I862" s="129">
        <v>28.4</v>
      </c>
      <c r="J862" s="129">
        <v>0</v>
      </c>
      <c r="K862" s="129">
        <v>0</v>
      </c>
      <c r="L862" s="129">
        <f t="shared" si="260"/>
        <v>668</v>
      </c>
      <c r="M862" s="129">
        <f t="shared" si="261"/>
        <v>190</v>
      </c>
      <c r="N862" s="128">
        <f t="shared" si="262"/>
        <v>0.28439999999999999</v>
      </c>
      <c r="O862" s="164">
        <f t="shared" si="263"/>
        <v>0</v>
      </c>
      <c r="P862" s="185">
        <f t="shared" si="264"/>
        <v>0</v>
      </c>
      <c r="Q862" s="185">
        <f t="shared" si="265"/>
        <v>0</v>
      </c>
      <c r="R862" s="162" t="b">
        <f t="shared" si="253"/>
        <v>0</v>
      </c>
    </row>
    <row r="863" spans="1:18">
      <c r="A863" s="129" t="s">
        <v>263</v>
      </c>
      <c r="B863" s="129" t="s">
        <v>3753</v>
      </c>
      <c r="C863" s="129">
        <v>2045</v>
      </c>
      <c r="D863" s="129" t="s">
        <v>1918</v>
      </c>
      <c r="E863" s="129">
        <v>520</v>
      </c>
      <c r="F863" s="129">
        <v>0</v>
      </c>
      <c r="G863" s="129">
        <v>127</v>
      </c>
      <c r="H863" s="129">
        <v>0</v>
      </c>
      <c r="I863" s="129">
        <v>24.4</v>
      </c>
      <c r="J863" s="129">
        <v>0</v>
      </c>
      <c r="K863" s="129">
        <v>0</v>
      </c>
      <c r="L863" s="129">
        <f t="shared" si="260"/>
        <v>520</v>
      </c>
      <c r="M863" s="129">
        <f t="shared" si="261"/>
        <v>127</v>
      </c>
      <c r="N863" s="128">
        <f t="shared" si="262"/>
        <v>0.2442</v>
      </c>
      <c r="O863" s="164">
        <f t="shared" si="263"/>
        <v>0</v>
      </c>
      <c r="P863" s="185">
        <f t="shared" si="264"/>
        <v>0</v>
      </c>
      <c r="Q863" s="185">
        <f t="shared" si="265"/>
        <v>0</v>
      </c>
      <c r="R863" s="162" t="b">
        <f t="shared" si="253"/>
        <v>0</v>
      </c>
    </row>
    <row r="864" spans="1:18">
      <c r="A864" s="129" t="s">
        <v>263</v>
      </c>
      <c r="B864" s="129" t="s">
        <v>3753</v>
      </c>
      <c r="C864" s="129">
        <v>2046</v>
      </c>
      <c r="D864" s="129" t="s">
        <v>1920</v>
      </c>
      <c r="E864" s="129">
        <v>420</v>
      </c>
      <c r="F864" s="129">
        <v>0</v>
      </c>
      <c r="G864" s="129">
        <v>119</v>
      </c>
      <c r="H864" s="129">
        <v>0</v>
      </c>
      <c r="I864" s="129">
        <v>28.3</v>
      </c>
      <c r="J864" s="129">
        <v>0</v>
      </c>
      <c r="K864" s="129">
        <v>0</v>
      </c>
      <c r="L864" s="129">
        <f t="shared" si="260"/>
        <v>420</v>
      </c>
      <c r="M864" s="129">
        <f t="shared" si="261"/>
        <v>119</v>
      </c>
      <c r="N864" s="128">
        <f t="shared" si="262"/>
        <v>0.2833</v>
      </c>
      <c r="O864" s="164">
        <f t="shared" si="263"/>
        <v>0</v>
      </c>
      <c r="P864" s="185">
        <f t="shared" si="264"/>
        <v>0</v>
      </c>
      <c r="Q864" s="185">
        <f t="shared" si="265"/>
        <v>0</v>
      </c>
      <c r="R864" s="162" t="b">
        <f t="shared" si="253"/>
        <v>0</v>
      </c>
    </row>
    <row r="865" spans="1:18">
      <c r="A865" s="129" t="s">
        <v>263</v>
      </c>
      <c r="B865" s="129" t="s">
        <v>3753</v>
      </c>
      <c r="C865" s="129">
        <v>2047</v>
      </c>
      <c r="D865" s="129" t="s">
        <v>1922</v>
      </c>
      <c r="E865" s="129">
        <v>523</v>
      </c>
      <c r="F865" s="129">
        <v>0</v>
      </c>
      <c r="G865" s="129">
        <v>128</v>
      </c>
      <c r="H865" s="129">
        <v>0</v>
      </c>
      <c r="I865" s="129">
        <v>24.5</v>
      </c>
      <c r="J865" s="129">
        <v>0</v>
      </c>
      <c r="K865" s="129">
        <v>0</v>
      </c>
      <c r="L865" s="129">
        <f t="shared" si="260"/>
        <v>523</v>
      </c>
      <c r="M865" s="129">
        <f t="shared" si="261"/>
        <v>128</v>
      </c>
      <c r="N865" s="128">
        <f t="shared" si="262"/>
        <v>0.2447</v>
      </c>
      <c r="O865" s="164">
        <f t="shared" si="263"/>
        <v>0</v>
      </c>
      <c r="P865" s="185">
        <f t="shared" si="264"/>
        <v>0</v>
      </c>
      <c r="Q865" s="185">
        <f t="shared" si="265"/>
        <v>0</v>
      </c>
      <c r="R865" s="162" t="b">
        <f t="shared" si="253"/>
        <v>0</v>
      </c>
    </row>
    <row r="866" spans="1:18">
      <c r="A866" s="129" t="s">
        <v>263</v>
      </c>
      <c r="B866" s="129" t="s">
        <v>3753</v>
      </c>
      <c r="C866" s="129">
        <v>2050</v>
      </c>
      <c r="D866" s="129" t="s">
        <v>1924</v>
      </c>
      <c r="E866" s="129">
        <v>1389</v>
      </c>
      <c r="F866" s="129">
        <v>0</v>
      </c>
      <c r="G866" s="129">
        <v>298</v>
      </c>
      <c r="H866" s="129">
        <v>0</v>
      </c>
      <c r="I866" s="129">
        <v>21.5</v>
      </c>
      <c r="J866" s="129">
        <v>0</v>
      </c>
      <c r="K866" s="129">
        <v>0</v>
      </c>
      <c r="L866" s="129">
        <f t="shared" si="260"/>
        <v>1389</v>
      </c>
      <c r="M866" s="129">
        <f t="shared" si="261"/>
        <v>298</v>
      </c>
      <c r="N866" s="128">
        <f t="shared" si="262"/>
        <v>0.2145</v>
      </c>
      <c r="O866" s="164">
        <f t="shared" si="263"/>
        <v>0</v>
      </c>
      <c r="P866" s="185">
        <f t="shared" si="264"/>
        <v>0</v>
      </c>
      <c r="Q866" s="185">
        <f t="shared" si="265"/>
        <v>0</v>
      </c>
      <c r="R866" s="162" t="b">
        <f t="shared" si="253"/>
        <v>0</v>
      </c>
    </row>
    <row r="867" spans="1:18">
      <c r="A867" s="129" t="s">
        <v>263</v>
      </c>
      <c r="B867" s="129" t="s">
        <v>3753</v>
      </c>
      <c r="C867" s="129">
        <v>2051</v>
      </c>
      <c r="D867" s="129" t="s">
        <v>1926</v>
      </c>
      <c r="E867" s="129">
        <v>542</v>
      </c>
      <c r="F867" s="129">
        <v>0</v>
      </c>
      <c r="G867" s="129">
        <v>131</v>
      </c>
      <c r="H867" s="129">
        <v>0</v>
      </c>
      <c r="I867" s="129">
        <v>24.2</v>
      </c>
      <c r="J867" s="129">
        <v>0</v>
      </c>
      <c r="K867" s="129">
        <v>0</v>
      </c>
      <c r="L867" s="129">
        <f t="shared" si="260"/>
        <v>542</v>
      </c>
      <c r="M867" s="129">
        <f t="shared" si="261"/>
        <v>131</v>
      </c>
      <c r="N867" s="128">
        <f t="shared" si="262"/>
        <v>0.2417</v>
      </c>
      <c r="O867" s="164">
        <f t="shared" si="263"/>
        <v>0</v>
      </c>
      <c r="P867" s="185">
        <f t="shared" si="264"/>
        <v>0</v>
      </c>
      <c r="Q867" s="185">
        <f t="shared" si="265"/>
        <v>0</v>
      </c>
      <c r="R867" s="162" t="b">
        <f t="shared" si="253"/>
        <v>0</v>
      </c>
    </row>
    <row r="868" spans="1:18">
      <c r="A868" s="129" t="s">
        <v>263</v>
      </c>
      <c r="B868" s="129" t="s">
        <v>3753</v>
      </c>
      <c r="C868" s="129">
        <v>2052</v>
      </c>
      <c r="D868" s="129" t="s">
        <v>1928</v>
      </c>
      <c r="E868" s="129">
        <v>1120</v>
      </c>
      <c r="F868" s="129">
        <v>0</v>
      </c>
      <c r="G868" s="129">
        <v>227</v>
      </c>
      <c r="H868" s="129">
        <v>0</v>
      </c>
      <c r="I868" s="129">
        <v>20.3</v>
      </c>
      <c r="J868" s="129">
        <v>0</v>
      </c>
      <c r="K868" s="129">
        <v>0</v>
      </c>
      <c r="L868" s="129">
        <f t="shared" si="260"/>
        <v>1120</v>
      </c>
      <c r="M868" s="129">
        <f t="shared" si="261"/>
        <v>227</v>
      </c>
      <c r="N868" s="128">
        <f t="shared" si="262"/>
        <v>0.20269999999999999</v>
      </c>
      <c r="O868" s="164">
        <f t="shared" si="263"/>
        <v>0</v>
      </c>
      <c r="P868" s="185">
        <f t="shared" si="264"/>
        <v>0</v>
      </c>
      <c r="Q868" s="185">
        <f t="shared" si="265"/>
        <v>0</v>
      </c>
      <c r="R868" s="162" t="b">
        <f t="shared" si="253"/>
        <v>0</v>
      </c>
    </row>
    <row r="869" spans="1:18">
      <c r="A869" s="129" t="s">
        <v>263</v>
      </c>
      <c r="B869" s="129" t="s">
        <v>3753</v>
      </c>
      <c r="C869" s="129">
        <v>2075</v>
      </c>
      <c r="D869" s="129" t="s">
        <v>1930</v>
      </c>
      <c r="E869" s="129">
        <v>692</v>
      </c>
      <c r="F869" s="129">
        <v>0</v>
      </c>
      <c r="G869" s="129">
        <v>190</v>
      </c>
      <c r="H869" s="129">
        <v>0</v>
      </c>
      <c r="I869" s="129">
        <v>27.5</v>
      </c>
      <c r="J869" s="129">
        <v>0</v>
      </c>
      <c r="K869" s="129">
        <v>0</v>
      </c>
      <c r="L869" s="129">
        <f t="shared" si="260"/>
        <v>692</v>
      </c>
      <c r="M869" s="129">
        <f t="shared" si="261"/>
        <v>190</v>
      </c>
      <c r="N869" s="128">
        <f t="shared" si="262"/>
        <v>0.27460000000000001</v>
      </c>
      <c r="O869" s="164">
        <f t="shared" si="263"/>
        <v>0</v>
      </c>
      <c r="P869" s="185">
        <f t="shared" si="264"/>
        <v>0</v>
      </c>
      <c r="Q869" s="185">
        <f t="shared" si="265"/>
        <v>0</v>
      </c>
      <c r="R869" s="162" t="b">
        <f t="shared" si="253"/>
        <v>0</v>
      </c>
    </row>
    <row r="870" spans="1:18">
      <c r="A870" s="129" t="s">
        <v>263</v>
      </c>
      <c r="B870" s="129" t="s">
        <v>3753</v>
      </c>
      <c r="C870" s="129">
        <v>2161</v>
      </c>
      <c r="D870" s="129" t="s">
        <v>1932</v>
      </c>
      <c r="E870" s="129">
        <v>644</v>
      </c>
      <c r="F870" s="129">
        <v>0</v>
      </c>
      <c r="G870" s="129">
        <v>176</v>
      </c>
      <c r="H870" s="129">
        <v>0</v>
      </c>
      <c r="I870" s="129">
        <v>27.3</v>
      </c>
      <c r="J870" s="129">
        <v>0</v>
      </c>
      <c r="K870" s="129">
        <v>0</v>
      </c>
      <c r="L870" s="129">
        <f t="shared" si="260"/>
        <v>644</v>
      </c>
      <c r="M870" s="129">
        <f t="shared" si="261"/>
        <v>176</v>
      </c>
      <c r="N870" s="128">
        <f t="shared" si="262"/>
        <v>0.27329999999999999</v>
      </c>
      <c r="O870" s="164">
        <f t="shared" si="263"/>
        <v>0</v>
      </c>
      <c r="P870" s="185">
        <f t="shared" si="264"/>
        <v>0</v>
      </c>
      <c r="Q870" s="185">
        <f t="shared" si="265"/>
        <v>0</v>
      </c>
      <c r="R870" s="162" t="b">
        <f t="shared" si="253"/>
        <v>0</v>
      </c>
    </row>
    <row r="871" spans="1:18">
      <c r="A871" s="129" t="s">
        <v>263</v>
      </c>
      <c r="B871" s="129" t="s">
        <v>3753</v>
      </c>
      <c r="C871" s="129">
        <v>2162</v>
      </c>
      <c r="D871" s="129" t="s">
        <v>1934</v>
      </c>
      <c r="E871" s="129">
        <v>454</v>
      </c>
      <c r="F871" s="129">
        <v>0</v>
      </c>
      <c r="G871" s="129">
        <v>90</v>
      </c>
      <c r="H871" s="129">
        <v>0</v>
      </c>
      <c r="I871" s="129">
        <v>19.8</v>
      </c>
      <c r="J871" s="129">
        <v>0</v>
      </c>
      <c r="K871" s="129">
        <v>0</v>
      </c>
      <c r="L871" s="129">
        <f t="shared" si="260"/>
        <v>454</v>
      </c>
      <c r="M871" s="129">
        <f t="shared" si="261"/>
        <v>90</v>
      </c>
      <c r="N871" s="128">
        <f t="shared" si="262"/>
        <v>0.19819999999999999</v>
      </c>
      <c r="O871" s="164">
        <f t="shared" si="263"/>
        <v>0</v>
      </c>
      <c r="P871" s="185">
        <f t="shared" si="264"/>
        <v>0</v>
      </c>
      <c r="Q871" s="185">
        <f t="shared" si="265"/>
        <v>0</v>
      </c>
      <c r="R871" s="162" t="b">
        <f t="shared" si="253"/>
        <v>0</v>
      </c>
    </row>
    <row r="872" spans="1:18">
      <c r="A872" s="129" t="s">
        <v>278</v>
      </c>
      <c r="B872" s="129" t="s">
        <v>4157</v>
      </c>
      <c r="C872" s="129">
        <v>2544</v>
      </c>
      <c r="D872" s="129" t="s">
        <v>2006</v>
      </c>
      <c r="E872" s="129">
        <v>173</v>
      </c>
      <c r="F872" s="129">
        <v>0</v>
      </c>
      <c r="G872" s="129">
        <v>110</v>
      </c>
      <c r="H872" s="129">
        <v>0</v>
      </c>
      <c r="I872" s="129">
        <v>63.6</v>
      </c>
      <c r="J872" s="129">
        <v>11.6</v>
      </c>
      <c r="K872" s="129">
        <v>0</v>
      </c>
      <c r="L872" s="129">
        <f t="shared" si="260"/>
        <v>173</v>
      </c>
      <c r="M872" s="129">
        <f t="shared" si="261"/>
        <v>110</v>
      </c>
      <c r="N872" s="128">
        <f t="shared" si="262"/>
        <v>0.63580000000000003</v>
      </c>
      <c r="O872" s="164">
        <f t="shared" si="263"/>
        <v>0</v>
      </c>
      <c r="P872" s="185">
        <f t="shared" si="264"/>
        <v>11.6</v>
      </c>
      <c r="Q872" s="185">
        <f t="shared" si="265"/>
        <v>11.6</v>
      </c>
      <c r="R872" s="162" t="b">
        <f t="shared" si="253"/>
        <v>0</v>
      </c>
    </row>
    <row r="873" spans="1:18">
      <c r="A873" s="129" t="s">
        <v>278</v>
      </c>
      <c r="B873" s="129" t="s">
        <v>4157</v>
      </c>
      <c r="C873" s="129">
        <v>2546</v>
      </c>
      <c r="D873" s="129" t="s">
        <v>2008</v>
      </c>
      <c r="E873" s="129">
        <v>188</v>
      </c>
      <c r="F873" s="129">
        <v>0</v>
      </c>
      <c r="G873" s="129">
        <v>111</v>
      </c>
      <c r="H873" s="129">
        <v>0</v>
      </c>
      <c r="I873" s="129">
        <v>59</v>
      </c>
      <c r="J873" s="129">
        <v>11.7</v>
      </c>
      <c r="K873" s="129">
        <v>0</v>
      </c>
      <c r="L873" s="129">
        <f t="shared" si="260"/>
        <v>188</v>
      </c>
      <c r="M873" s="129">
        <f t="shared" si="261"/>
        <v>111</v>
      </c>
      <c r="N873" s="128">
        <f t="shared" si="262"/>
        <v>0.59040000000000004</v>
      </c>
      <c r="O873" s="164">
        <f t="shared" si="263"/>
        <v>0</v>
      </c>
      <c r="P873" s="185">
        <f t="shared" si="264"/>
        <v>11.7</v>
      </c>
      <c r="Q873" s="185">
        <f t="shared" si="265"/>
        <v>11.7</v>
      </c>
      <c r="R873" s="162" t="b">
        <f t="shared" si="253"/>
        <v>0</v>
      </c>
    </row>
    <row r="874" spans="1:18">
      <c r="A874" s="129" t="s">
        <v>292</v>
      </c>
      <c r="B874" s="129" t="s">
        <v>3780</v>
      </c>
      <c r="C874" s="129">
        <v>2985</v>
      </c>
      <c r="D874" s="129" t="s">
        <v>2075</v>
      </c>
      <c r="E874" s="129">
        <v>400</v>
      </c>
      <c r="F874" s="129">
        <v>0</v>
      </c>
      <c r="G874" s="129">
        <v>163</v>
      </c>
      <c r="H874" s="129">
        <v>0</v>
      </c>
      <c r="I874" s="129">
        <v>40.799999999999997</v>
      </c>
      <c r="J874" s="129">
        <v>0</v>
      </c>
      <c r="K874" s="129">
        <v>6.6</v>
      </c>
      <c r="L874" s="129">
        <f t="shared" si="260"/>
        <v>400</v>
      </c>
      <c r="M874" s="129">
        <f t="shared" si="261"/>
        <v>163</v>
      </c>
      <c r="N874" s="128">
        <f t="shared" si="262"/>
        <v>0.40749999999999997</v>
      </c>
      <c r="O874" s="164">
        <f t="shared" si="263"/>
        <v>6.6</v>
      </c>
      <c r="P874" s="185">
        <f t="shared" si="264"/>
        <v>0</v>
      </c>
      <c r="Q874" s="185">
        <f t="shared" si="265"/>
        <v>6.6</v>
      </c>
      <c r="R874" s="162" t="b">
        <f t="shared" si="253"/>
        <v>0</v>
      </c>
    </row>
    <row r="875" spans="1:18">
      <c r="A875" s="129" t="s">
        <v>292</v>
      </c>
      <c r="B875" s="129" t="s">
        <v>3780</v>
      </c>
      <c r="C875" s="129">
        <v>2994</v>
      </c>
      <c r="D875" s="129" t="s">
        <v>2077</v>
      </c>
      <c r="E875" s="129">
        <v>382</v>
      </c>
      <c r="F875" s="129">
        <v>0</v>
      </c>
      <c r="G875" s="129">
        <v>202</v>
      </c>
      <c r="H875" s="129">
        <v>0</v>
      </c>
      <c r="I875" s="129">
        <v>52.9</v>
      </c>
      <c r="J875" s="129">
        <v>21.2</v>
      </c>
      <c r="K875" s="129">
        <v>0</v>
      </c>
      <c r="L875" s="129">
        <f t="shared" si="260"/>
        <v>382</v>
      </c>
      <c r="M875" s="129">
        <f t="shared" si="261"/>
        <v>202</v>
      </c>
      <c r="N875" s="128">
        <f t="shared" si="262"/>
        <v>0.52880000000000005</v>
      </c>
      <c r="O875" s="164">
        <f t="shared" si="263"/>
        <v>0</v>
      </c>
      <c r="P875" s="185">
        <f t="shared" si="264"/>
        <v>21.2</v>
      </c>
      <c r="Q875" s="185">
        <f t="shared" si="265"/>
        <v>21.2</v>
      </c>
      <c r="R875" s="162" t="b">
        <f t="shared" si="253"/>
        <v>0</v>
      </c>
    </row>
    <row r="876" spans="1:18">
      <c r="A876" s="129" t="s">
        <v>292</v>
      </c>
      <c r="B876" s="129" t="s">
        <v>3780</v>
      </c>
      <c r="C876" s="129">
        <v>3000</v>
      </c>
      <c r="D876" s="129" t="s">
        <v>2079</v>
      </c>
      <c r="E876" s="129">
        <v>432</v>
      </c>
      <c r="F876" s="129">
        <v>0</v>
      </c>
      <c r="G876" s="129">
        <v>128</v>
      </c>
      <c r="H876" s="129">
        <v>0</v>
      </c>
      <c r="I876" s="129">
        <v>29.6</v>
      </c>
      <c r="J876" s="129">
        <v>0</v>
      </c>
      <c r="K876" s="129">
        <v>0</v>
      </c>
      <c r="L876" s="129">
        <f t="shared" si="260"/>
        <v>432</v>
      </c>
      <c r="M876" s="129">
        <f t="shared" si="261"/>
        <v>128</v>
      </c>
      <c r="N876" s="128">
        <f t="shared" si="262"/>
        <v>0.29630000000000001</v>
      </c>
      <c r="O876" s="164">
        <f t="shared" si="263"/>
        <v>0</v>
      </c>
      <c r="P876" s="185">
        <f t="shared" si="264"/>
        <v>0</v>
      </c>
      <c r="Q876" s="185">
        <f t="shared" si="265"/>
        <v>0</v>
      </c>
      <c r="R876" s="162" t="b">
        <f t="shared" si="253"/>
        <v>0</v>
      </c>
    </row>
    <row r="877" spans="1:18">
      <c r="A877" s="129" t="s">
        <v>292</v>
      </c>
      <c r="B877" s="129" t="s">
        <v>3780</v>
      </c>
      <c r="C877" s="129">
        <v>3002</v>
      </c>
      <c r="D877" s="129" t="s">
        <v>2081</v>
      </c>
      <c r="E877" s="129">
        <v>294</v>
      </c>
      <c r="F877" s="129">
        <v>0</v>
      </c>
      <c r="G877" s="129">
        <v>229</v>
      </c>
      <c r="H877" s="129">
        <v>0</v>
      </c>
      <c r="I877" s="129">
        <v>77.900000000000006</v>
      </c>
      <c r="J877" s="129">
        <v>24</v>
      </c>
      <c r="K877" s="129">
        <v>0</v>
      </c>
      <c r="L877" s="129">
        <f t="shared" si="260"/>
        <v>294</v>
      </c>
      <c r="M877" s="129">
        <f t="shared" si="261"/>
        <v>229</v>
      </c>
      <c r="N877" s="128">
        <f t="shared" si="262"/>
        <v>0.77890000000000004</v>
      </c>
      <c r="O877" s="164">
        <f t="shared" si="263"/>
        <v>0</v>
      </c>
      <c r="P877" s="185">
        <f t="shared" si="264"/>
        <v>24</v>
      </c>
      <c r="Q877" s="185">
        <f t="shared" si="265"/>
        <v>24</v>
      </c>
      <c r="R877" s="162" t="b">
        <f t="shared" si="253"/>
        <v>0</v>
      </c>
    </row>
    <row r="878" spans="1:18">
      <c r="A878" s="129" t="s">
        <v>292</v>
      </c>
      <c r="B878" s="129" t="s">
        <v>3780</v>
      </c>
      <c r="C878" s="129">
        <v>3008</v>
      </c>
      <c r="D878" s="129" t="s">
        <v>2083</v>
      </c>
      <c r="E878" s="129">
        <v>399</v>
      </c>
      <c r="F878" s="129">
        <v>0</v>
      </c>
      <c r="G878" s="129">
        <v>280</v>
      </c>
      <c r="H878" s="129">
        <v>0</v>
      </c>
      <c r="I878" s="129">
        <v>70.2</v>
      </c>
      <c r="J878" s="129">
        <v>29.4</v>
      </c>
      <c r="K878" s="129">
        <v>0</v>
      </c>
      <c r="L878" s="129">
        <f t="shared" si="260"/>
        <v>399</v>
      </c>
      <c r="M878" s="129">
        <f t="shared" si="261"/>
        <v>280</v>
      </c>
      <c r="N878" s="128">
        <f t="shared" si="262"/>
        <v>0.70179999999999998</v>
      </c>
      <c r="O878" s="164">
        <f t="shared" si="263"/>
        <v>0</v>
      </c>
      <c r="P878" s="185">
        <f t="shared" si="264"/>
        <v>29.4</v>
      </c>
      <c r="Q878" s="185">
        <f t="shared" si="265"/>
        <v>29.4</v>
      </c>
      <c r="R878" s="162" t="b">
        <f t="shared" si="253"/>
        <v>0</v>
      </c>
    </row>
    <row r="879" spans="1:18">
      <c r="A879" s="129" t="s">
        <v>292</v>
      </c>
      <c r="B879" s="129" t="s">
        <v>3780</v>
      </c>
      <c r="C879" s="129">
        <v>3014</v>
      </c>
      <c r="D879" s="129" t="s">
        <v>2085</v>
      </c>
      <c r="E879" s="129">
        <v>424</v>
      </c>
      <c r="F879" s="129">
        <v>0</v>
      </c>
      <c r="G879" s="129">
        <v>150</v>
      </c>
      <c r="H879" s="129">
        <v>0</v>
      </c>
      <c r="I879" s="129">
        <v>35.4</v>
      </c>
      <c r="J879" s="129">
        <v>0</v>
      </c>
      <c r="K879" s="129">
        <v>0.4</v>
      </c>
      <c r="L879" s="129">
        <f t="shared" si="260"/>
        <v>424</v>
      </c>
      <c r="M879" s="129">
        <f t="shared" si="261"/>
        <v>150</v>
      </c>
      <c r="N879" s="128">
        <f t="shared" si="262"/>
        <v>0.3538</v>
      </c>
      <c r="O879" s="164">
        <f t="shared" si="263"/>
        <v>0.4</v>
      </c>
      <c r="P879" s="185">
        <f t="shared" si="264"/>
        <v>0</v>
      </c>
      <c r="Q879" s="185">
        <f t="shared" si="265"/>
        <v>0.4</v>
      </c>
      <c r="R879" s="162" t="b">
        <f t="shared" si="253"/>
        <v>0</v>
      </c>
    </row>
    <row r="880" spans="1:18">
      <c r="A880" s="129" t="s">
        <v>292</v>
      </c>
      <c r="B880" s="129" t="s">
        <v>3780</v>
      </c>
      <c r="C880" s="129">
        <v>3018</v>
      </c>
      <c r="D880" s="129" t="s">
        <v>2087</v>
      </c>
      <c r="E880" s="129">
        <v>379</v>
      </c>
      <c r="F880" s="129">
        <v>0</v>
      </c>
      <c r="G880" s="129">
        <v>261</v>
      </c>
      <c r="H880" s="129">
        <v>0</v>
      </c>
      <c r="I880" s="129">
        <v>68.900000000000006</v>
      </c>
      <c r="J880" s="129">
        <v>27.4</v>
      </c>
      <c r="K880" s="129">
        <v>0</v>
      </c>
      <c r="L880" s="129">
        <f t="shared" si="260"/>
        <v>379</v>
      </c>
      <c r="M880" s="129">
        <f t="shared" si="261"/>
        <v>261</v>
      </c>
      <c r="N880" s="128">
        <f t="shared" si="262"/>
        <v>0.68869999999999998</v>
      </c>
      <c r="O880" s="164">
        <f t="shared" si="263"/>
        <v>0</v>
      </c>
      <c r="P880" s="185">
        <f t="shared" si="264"/>
        <v>27.4</v>
      </c>
      <c r="Q880" s="185">
        <f t="shared" si="265"/>
        <v>27.4</v>
      </c>
      <c r="R880" s="162" t="b">
        <f t="shared" si="253"/>
        <v>0</v>
      </c>
    </row>
    <row r="881" spans="1:18">
      <c r="A881" s="129" t="s">
        <v>292</v>
      </c>
      <c r="B881" s="129" t="s">
        <v>3780</v>
      </c>
      <c r="C881" s="129">
        <v>3020</v>
      </c>
      <c r="D881" s="129" t="s">
        <v>2089</v>
      </c>
      <c r="E881" s="129">
        <v>319</v>
      </c>
      <c r="F881" s="129">
        <v>0</v>
      </c>
      <c r="G881" s="129">
        <v>231</v>
      </c>
      <c r="H881" s="129">
        <v>0</v>
      </c>
      <c r="I881" s="129">
        <v>72.400000000000006</v>
      </c>
      <c r="J881" s="129">
        <v>24.3</v>
      </c>
      <c r="K881" s="129">
        <v>0</v>
      </c>
      <c r="L881" s="129">
        <f t="shared" si="260"/>
        <v>319</v>
      </c>
      <c r="M881" s="129">
        <f t="shared" si="261"/>
        <v>231</v>
      </c>
      <c r="N881" s="128">
        <f t="shared" si="262"/>
        <v>0.72409999999999997</v>
      </c>
      <c r="O881" s="164">
        <f t="shared" si="263"/>
        <v>0</v>
      </c>
      <c r="P881" s="185">
        <f t="shared" si="264"/>
        <v>24.3</v>
      </c>
      <c r="Q881" s="185">
        <f t="shared" si="265"/>
        <v>24.3</v>
      </c>
      <c r="R881" s="162" t="b">
        <f t="shared" si="253"/>
        <v>0</v>
      </c>
    </row>
    <row r="882" spans="1:18">
      <c r="A882" s="129" t="s">
        <v>292</v>
      </c>
      <c r="B882" s="129" t="s">
        <v>3780</v>
      </c>
      <c r="C882" s="129">
        <v>3022</v>
      </c>
      <c r="D882" s="129" t="s">
        <v>2091</v>
      </c>
      <c r="E882" s="129">
        <v>676</v>
      </c>
      <c r="F882" s="129">
        <v>0</v>
      </c>
      <c r="G882" s="129">
        <v>373</v>
      </c>
      <c r="H882" s="129">
        <v>0</v>
      </c>
      <c r="I882" s="129">
        <v>55.2</v>
      </c>
      <c r="J882" s="129">
        <v>39.200000000000003</v>
      </c>
      <c r="K882" s="129">
        <v>0</v>
      </c>
      <c r="L882" s="129">
        <f t="shared" si="260"/>
        <v>676</v>
      </c>
      <c r="M882" s="129">
        <f t="shared" si="261"/>
        <v>373</v>
      </c>
      <c r="N882" s="128">
        <f t="shared" si="262"/>
        <v>0.55179999999999996</v>
      </c>
      <c r="O882" s="164">
        <f t="shared" si="263"/>
        <v>0</v>
      </c>
      <c r="P882" s="185">
        <f t="shared" si="264"/>
        <v>39.200000000000003</v>
      </c>
      <c r="Q882" s="185">
        <f t="shared" si="265"/>
        <v>39.200000000000003</v>
      </c>
      <c r="R882" s="162" t="b">
        <f t="shared" si="253"/>
        <v>0</v>
      </c>
    </row>
    <row r="883" spans="1:18">
      <c r="A883" s="129" t="s">
        <v>292</v>
      </c>
      <c r="B883" s="129" t="s">
        <v>3780</v>
      </c>
      <c r="C883" s="129">
        <v>3024</v>
      </c>
      <c r="D883" s="129" t="s">
        <v>2093</v>
      </c>
      <c r="E883" s="129">
        <v>782</v>
      </c>
      <c r="F883" s="129">
        <v>0</v>
      </c>
      <c r="G883" s="129">
        <v>396</v>
      </c>
      <c r="H883" s="129">
        <v>0</v>
      </c>
      <c r="I883" s="129">
        <v>50.6</v>
      </c>
      <c r="J883" s="129">
        <v>41.6</v>
      </c>
      <c r="K883" s="129">
        <v>0</v>
      </c>
      <c r="L883" s="129">
        <f t="shared" si="260"/>
        <v>782</v>
      </c>
      <c r="M883" s="129">
        <f t="shared" si="261"/>
        <v>396</v>
      </c>
      <c r="N883" s="128">
        <f t="shared" si="262"/>
        <v>0.50639999999999996</v>
      </c>
      <c r="O883" s="164">
        <f t="shared" si="263"/>
        <v>0</v>
      </c>
      <c r="P883" s="185">
        <f t="shared" si="264"/>
        <v>41.6</v>
      </c>
      <c r="Q883" s="185">
        <f t="shared" si="265"/>
        <v>41.6</v>
      </c>
      <c r="R883" s="162" t="b">
        <f t="shared" si="253"/>
        <v>0</v>
      </c>
    </row>
    <row r="884" spans="1:18">
      <c r="A884" s="129" t="s">
        <v>292</v>
      </c>
      <c r="B884" s="129" t="s">
        <v>3780</v>
      </c>
      <c r="C884" s="129">
        <v>3026</v>
      </c>
      <c r="D884" s="129" t="s">
        <v>2095</v>
      </c>
      <c r="E884" s="129">
        <v>949</v>
      </c>
      <c r="F884" s="129">
        <v>0</v>
      </c>
      <c r="G884" s="129">
        <v>482</v>
      </c>
      <c r="H884" s="129">
        <v>0</v>
      </c>
      <c r="I884" s="129">
        <v>50.8</v>
      </c>
      <c r="J884" s="129">
        <v>50.6</v>
      </c>
      <c r="K884" s="129">
        <v>0</v>
      </c>
      <c r="L884" s="129">
        <f t="shared" si="260"/>
        <v>949</v>
      </c>
      <c r="M884" s="129">
        <f t="shared" si="261"/>
        <v>482</v>
      </c>
      <c r="N884" s="128">
        <f t="shared" si="262"/>
        <v>0.50790000000000002</v>
      </c>
      <c r="O884" s="164">
        <f t="shared" si="263"/>
        <v>0</v>
      </c>
      <c r="P884" s="185">
        <f t="shared" si="264"/>
        <v>50.6</v>
      </c>
      <c r="Q884" s="185">
        <f t="shared" si="265"/>
        <v>50.6</v>
      </c>
      <c r="R884" s="162" t="b">
        <f t="shared" si="253"/>
        <v>0</v>
      </c>
    </row>
    <row r="885" spans="1:18">
      <c r="A885" s="129" t="s">
        <v>292</v>
      </c>
      <c r="B885" s="129" t="s">
        <v>3780</v>
      </c>
      <c r="C885" s="129">
        <v>3027</v>
      </c>
      <c r="D885" s="129" t="s">
        <v>2097</v>
      </c>
      <c r="E885" s="129">
        <v>1063</v>
      </c>
      <c r="F885" s="129">
        <v>0</v>
      </c>
      <c r="G885" s="129">
        <v>461</v>
      </c>
      <c r="H885" s="129">
        <v>0</v>
      </c>
      <c r="I885" s="129">
        <v>43.4</v>
      </c>
      <c r="J885" s="129">
        <v>0</v>
      </c>
      <c r="K885" s="129">
        <v>27</v>
      </c>
      <c r="L885" s="129">
        <f t="shared" si="260"/>
        <v>1063</v>
      </c>
      <c r="M885" s="129">
        <f t="shared" si="261"/>
        <v>461</v>
      </c>
      <c r="N885" s="128">
        <f t="shared" si="262"/>
        <v>0.43369999999999997</v>
      </c>
      <c r="O885" s="164">
        <f t="shared" si="263"/>
        <v>27</v>
      </c>
      <c r="P885" s="185">
        <f t="shared" si="264"/>
        <v>0</v>
      </c>
      <c r="Q885" s="185">
        <f t="shared" si="265"/>
        <v>27</v>
      </c>
      <c r="R885" s="162" t="b">
        <f t="shared" si="253"/>
        <v>0</v>
      </c>
    </row>
    <row r="886" spans="1:18">
      <c r="A886" s="129" t="s">
        <v>321</v>
      </c>
      <c r="B886" s="129" t="s">
        <v>3806</v>
      </c>
      <c r="C886" s="129">
        <v>3948</v>
      </c>
      <c r="D886" s="129" t="s">
        <v>4024</v>
      </c>
      <c r="E886" s="129">
        <v>135</v>
      </c>
      <c r="F886" s="129">
        <v>0</v>
      </c>
      <c r="G886" s="129">
        <v>39</v>
      </c>
      <c r="H886" s="129">
        <v>0</v>
      </c>
      <c r="I886" s="129">
        <v>28.9</v>
      </c>
      <c r="J886" s="129">
        <v>0</v>
      </c>
      <c r="K886" s="129">
        <v>0</v>
      </c>
      <c r="L886" s="129">
        <f t="shared" si="260"/>
        <v>135</v>
      </c>
      <c r="M886" s="129">
        <f t="shared" si="261"/>
        <v>39</v>
      </c>
      <c r="N886" s="128">
        <f t="shared" si="262"/>
        <v>0.28889999999999999</v>
      </c>
      <c r="O886" s="164">
        <f t="shared" si="263"/>
        <v>0</v>
      </c>
      <c r="P886" s="185">
        <f t="shared" si="264"/>
        <v>0</v>
      </c>
      <c r="Q886" s="185">
        <f t="shared" si="265"/>
        <v>0</v>
      </c>
      <c r="R886" s="162" t="b">
        <f t="shared" si="253"/>
        <v>0</v>
      </c>
    </row>
    <row r="887" spans="1:18">
      <c r="A887" s="129" t="s">
        <v>321</v>
      </c>
      <c r="B887" s="129" t="s">
        <v>3806</v>
      </c>
      <c r="C887" s="129">
        <v>3950</v>
      </c>
      <c r="D887" s="129" t="s">
        <v>2279</v>
      </c>
      <c r="E887" s="129">
        <v>314</v>
      </c>
      <c r="F887" s="129">
        <v>0</v>
      </c>
      <c r="G887" s="129">
        <v>94</v>
      </c>
      <c r="H887" s="129">
        <v>0</v>
      </c>
      <c r="I887" s="129">
        <v>29.9</v>
      </c>
      <c r="J887" s="129">
        <v>0</v>
      </c>
      <c r="K887" s="129">
        <v>0</v>
      </c>
      <c r="L887" s="129">
        <f t="shared" si="260"/>
        <v>314</v>
      </c>
      <c r="M887" s="129">
        <f t="shared" si="261"/>
        <v>94</v>
      </c>
      <c r="N887" s="128">
        <f t="shared" si="262"/>
        <v>0.2994</v>
      </c>
      <c r="O887" s="164">
        <f t="shared" si="263"/>
        <v>0</v>
      </c>
      <c r="P887" s="185">
        <f t="shared" si="264"/>
        <v>0</v>
      </c>
      <c r="Q887" s="185">
        <f t="shared" si="265"/>
        <v>0</v>
      </c>
      <c r="R887" s="162" t="b">
        <f t="shared" si="253"/>
        <v>0</v>
      </c>
    </row>
    <row r="888" spans="1:18">
      <c r="A888" s="129" t="s">
        <v>339</v>
      </c>
      <c r="B888" s="129" t="s">
        <v>3823</v>
      </c>
      <c r="C888" s="129">
        <v>4388</v>
      </c>
      <c r="D888" s="129" t="s">
        <v>2382</v>
      </c>
      <c r="E888" s="129">
        <v>196</v>
      </c>
      <c r="F888" s="129">
        <v>0</v>
      </c>
      <c r="G888" s="129">
        <v>74</v>
      </c>
      <c r="H888" s="129">
        <v>0</v>
      </c>
      <c r="I888" s="129">
        <v>37.799999999999997</v>
      </c>
      <c r="J888" s="129">
        <v>0</v>
      </c>
      <c r="K888" s="129">
        <v>1.4</v>
      </c>
      <c r="L888" s="129">
        <f t="shared" si="260"/>
        <v>196</v>
      </c>
      <c r="M888" s="129">
        <f t="shared" si="261"/>
        <v>74</v>
      </c>
      <c r="N888" s="128">
        <f t="shared" si="262"/>
        <v>0.37759999999999999</v>
      </c>
      <c r="O888" s="164">
        <f t="shared" si="263"/>
        <v>1.4</v>
      </c>
      <c r="P888" s="185">
        <f t="shared" si="264"/>
        <v>0</v>
      </c>
      <c r="Q888" s="185">
        <f t="shared" si="265"/>
        <v>1.4</v>
      </c>
      <c r="R888" s="162" t="b">
        <f t="shared" si="253"/>
        <v>0</v>
      </c>
    </row>
    <row r="889" spans="1:18">
      <c r="A889" s="129" t="s">
        <v>339</v>
      </c>
      <c r="B889" s="129" t="s">
        <v>3823</v>
      </c>
      <c r="C889" s="129">
        <v>4390</v>
      </c>
      <c r="D889" s="129" t="s">
        <v>2384</v>
      </c>
      <c r="E889" s="129">
        <v>202</v>
      </c>
      <c r="F889" s="129">
        <v>0</v>
      </c>
      <c r="G889" s="129">
        <v>60</v>
      </c>
      <c r="H889" s="129">
        <v>0</v>
      </c>
      <c r="I889" s="129">
        <v>29.7</v>
      </c>
      <c r="J889" s="129">
        <v>0</v>
      </c>
      <c r="K889" s="129">
        <v>0</v>
      </c>
      <c r="L889" s="129">
        <f t="shared" si="260"/>
        <v>202</v>
      </c>
      <c r="M889" s="129">
        <f t="shared" si="261"/>
        <v>60</v>
      </c>
      <c r="N889" s="128">
        <f t="shared" si="262"/>
        <v>0.29699999999999999</v>
      </c>
      <c r="O889" s="164">
        <f t="shared" si="263"/>
        <v>0</v>
      </c>
      <c r="P889" s="185">
        <f t="shared" si="264"/>
        <v>0</v>
      </c>
      <c r="Q889" s="185">
        <f t="shared" si="265"/>
        <v>0</v>
      </c>
      <c r="R889" s="162" t="b">
        <f t="shared" si="253"/>
        <v>0</v>
      </c>
    </row>
    <row r="890" spans="1:18">
      <c r="A890" s="129" t="s">
        <v>347</v>
      </c>
      <c r="B890" s="129" t="s">
        <v>72</v>
      </c>
      <c r="C890" s="129">
        <v>4639</v>
      </c>
      <c r="D890" s="129" t="s">
        <v>2427</v>
      </c>
      <c r="E890" s="129">
        <v>255</v>
      </c>
      <c r="F890" s="129">
        <v>0</v>
      </c>
      <c r="G890" s="129">
        <v>122</v>
      </c>
      <c r="H890" s="129">
        <v>0</v>
      </c>
      <c r="I890" s="129">
        <v>47.8</v>
      </c>
      <c r="J890" s="129">
        <v>0</v>
      </c>
      <c r="K890" s="129">
        <v>11</v>
      </c>
      <c r="L890" s="129">
        <f t="shared" si="260"/>
        <v>255</v>
      </c>
      <c r="M890" s="129">
        <f t="shared" si="261"/>
        <v>122</v>
      </c>
      <c r="N890" s="128">
        <f t="shared" si="262"/>
        <v>0.47839999999999999</v>
      </c>
      <c r="O890" s="164">
        <f t="shared" si="263"/>
        <v>11</v>
      </c>
      <c r="P890" s="185">
        <f t="shared" si="264"/>
        <v>0</v>
      </c>
      <c r="Q890" s="185">
        <f t="shared" si="265"/>
        <v>11</v>
      </c>
      <c r="R890" s="162" t="b">
        <f t="shared" si="253"/>
        <v>0</v>
      </c>
    </row>
    <row r="891" spans="1:18">
      <c r="A891" s="129" t="s">
        <v>347</v>
      </c>
      <c r="B891" s="129" t="s">
        <v>72</v>
      </c>
      <c r="C891" s="129">
        <v>4646</v>
      </c>
      <c r="D891" s="129" t="s">
        <v>2429</v>
      </c>
      <c r="E891" s="129">
        <v>170</v>
      </c>
      <c r="F891" s="129">
        <v>0</v>
      </c>
      <c r="G891" s="129">
        <v>71</v>
      </c>
      <c r="H891" s="129">
        <v>0</v>
      </c>
      <c r="I891" s="129">
        <v>41.8</v>
      </c>
      <c r="J891" s="129">
        <v>0</v>
      </c>
      <c r="K891" s="129">
        <v>3.4</v>
      </c>
      <c r="L891" s="129">
        <f t="shared" ref="L891:L925" si="266">SUM(E891:F891)</f>
        <v>170</v>
      </c>
      <c r="M891" s="129">
        <f t="shared" ref="M891:M925" si="267">SUM(G891:H891)</f>
        <v>71</v>
      </c>
      <c r="N891" s="128">
        <f t="shared" ref="N891:N925" si="268">IF(ISERROR(M891/L891),0,M891/L891)</f>
        <v>0.41760000000000003</v>
      </c>
      <c r="O891" s="164">
        <f t="shared" ref="O891:O925" si="269">IF(AND((N891-35%)&gt;0,N891&lt;50%),M891*(N891-35%)*0.7,0)</f>
        <v>3.4</v>
      </c>
      <c r="P891" s="185">
        <f t="shared" ref="P891:P925" si="270">IF(N891&gt;=50%,M891*10.5%,0)</f>
        <v>0</v>
      </c>
      <c r="Q891" s="185">
        <f t="shared" ref="Q891:Q925" si="271">MAX(O891,P891)</f>
        <v>3.4</v>
      </c>
      <c r="R891" s="162" t="b">
        <f t="shared" si="253"/>
        <v>0</v>
      </c>
    </row>
    <row r="892" spans="1:18">
      <c r="A892" s="129" t="s">
        <v>350</v>
      </c>
      <c r="B892" s="129" t="s">
        <v>3832</v>
      </c>
      <c r="C892" s="129">
        <v>4734</v>
      </c>
      <c r="D892" s="129" t="s">
        <v>2447</v>
      </c>
      <c r="E892" s="129">
        <v>68</v>
      </c>
      <c r="F892" s="129">
        <v>0</v>
      </c>
      <c r="G892" s="129">
        <v>27</v>
      </c>
      <c r="H892" s="129">
        <v>0</v>
      </c>
      <c r="I892" s="129">
        <v>39.700000000000003</v>
      </c>
      <c r="J892" s="129">
        <v>0</v>
      </c>
      <c r="K892" s="129">
        <v>0.9</v>
      </c>
      <c r="L892" s="129">
        <f t="shared" si="266"/>
        <v>68</v>
      </c>
      <c r="M892" s="129">
        <f t="shared" si="267"/>
        <v>27</v>
      </c>
      <c r="N892" s="128">
        <f t="shared" si="268"/>
        <v>0.39710000000000001</v>
      </c>
      <c r="O892" s="164">
        <f t="shared" si="269"/>
        <v>0.9</v>
      </c>
      <c r="P892" s="185">
        <f t="shared" si="270"/>
        <v>0</v>
      </c>
      <c r="Q892" s="185">
        <f t="shared" si="271"/>
        <v>0.9</v>
      </c>
      <c r="R892" s="162" t="b">
        <f t="shared" si="253"/>
        <v>0</v>
      </c>
    </row>
    <row r="893" spans="1:18">
      <c r="A893" s="129" t="s">
        <v>350</v>
      </c>
      <c r="B893" s="129" t="s">
        <v>3832</v>
      </c>
      <c r="C893" s="129">
        <v>4736</v>
      </c>
      <c r="D893" s="129" t="s">
        <v>2449</v>
      </c>
      <c r="E893" s="129">
        <v>69</v>
      </c>
      <c r="F893" s="129">
        <v>0</v>
      </c>
      <c r="G893" s="129">
        <v>33</v>
      </c>
      <c r="H893" s="129">
        <v>0</v>
      </c>
      <c r="I893" s="129">
        <v>47.8</v>
      </c>
      <c r="J893" s="129">
        <v>0</v>
      </c>
      <c r="K893" s="129">
        <v>3</v>
      </c>
      <c r="L893" s="129">
        <f t="shared" si="266"/>
        <v>69</v>
      </c>
      <c r="M893" s="129">
        <f t="shared" si="267"/>
        <v>33</v>
      </c>
      <c r="N893" s="128">
        <f t="shared" si="268"/>
        <v>0.4783</v>
      </c>
      <c r="O893" s="164">
        <f t="shared" si="269"/>
        <v>3</v>
      </c>
      <c r="P893" s="185">
        <f t="shared" si="270"/>
        <v>0</v>
      </c>
      <c r="Q893" s="185">
        <f t="shared" si="271"/>
        <v>3</v>
      </c>
      <c r="R893" s="162" t="b">
        <f t="shared" si="253"/>
        <v>0</v>
      </c>
    </row>
    <row r="894" spans="1:18">
      <c r="A894" s="129" t="s">
        <v>354</v>
      </c>
      <c r="B894" s="129" t="s">
        <v>3836</v>
      </c>
      <c r="C894" s="129">
        <v>4834</v>
      </c>
      <c r="D894" s="129" t="s">
        <v>2475</v>
      </c>
      <c r="E894" s="129">
        <v>198</v>
      </c>
      <c r="F894" s="129">
        <v>0</v>
      </c>
      <c r="G894" s="129">
        <v>131</v>
      </c>
      <c r="H894" s="129">
        <v>0</v>
      </c>
      <c r="I894" s="129">
        <v>66.2</v>
      </c>
      <c r="J894" s="129">
        <v>13.8</v>
      </c>
      <c r="K894" s="129">
        <v>0</v>
      </c>
      <c r="L894" s="129">
        <f t="shared" si="266"/>
        <v>198</v>
      </c>
      <c r="M894" s="129">
        <f t="shared" si="267"/>
        <v>131</v>
      </c>
      <c r="N894" s="128">
        <f t="shared" si="268"/>
        <v>0.66159999999999997</v>
      </c>
      <c r="O894" s="164">
        <f t="shared" si="269"/>
        <v>0</v>
      </c>
      <c r="P894" s="185">
        <f t="shared" si="270"/>
        <v>13.8</v>
      </c>
      <c r="Q894" s="185">
        <f t="shared" si="271"/>
        <v>13.8</v>
      </c>
      <c r="R894" s="162" t="b">
        <f t="shared" si="253"/>
        <v>0</v>
      </c>
    </row>
    <row r="895" spans="1:18">
      <c r="A895" s="129" t="s">
        <v>354</v>
      </c>
      <c r="B895" s="129" t="s">
        <v>3836</v>
      </c>
      <c r="C895" s="129">
        <v>4836</v>
      </c>
      <c r="D895" s="129" t="s">
        <v>2477</v>
      </c>
      <c r="E895" s="129">
        <v>122</v>
      </c>
      <c r="F895" s="129">
        <v>0</v>
      </c>
      <c r="G895" s="129">
        <v>65</v>
      </c>
      <c r="H895" s="129">
        <v>0</v>
      </c>
      <c r="I895" s="129">
        <v>53.3</v>
      </c>
      <c r="J895" s="129">
        <v>6.8</v>
      </c>
      <c r="K895" s="129">
        <v>0</v>
      </c>
      <c r="L895" s="129">
        <f t="shared" si="266"/>
        <v>122</v>
      </c>
      <c r="M895" s="129">
        <f t="shared" si="267"/>
        <v>65</v>
      </c>
      <c r="N895" s="128">
        <f t="shared" si="268"/>
        <v>0.53280000000000005</v>
      </c>
      <c r="O895" s="164">
        <f t="shared" si="269"/>
        <v>0</v>
      </c>
      <c r="P895" s="185">
        <f t="shared" si="270"/>
        <v>6.8</v>
      </c>
      <c r="Q895" s="185">
        <f t="shared" si="271"/>
        <v>6.8</v>
      </c>
      <c r="R895" s="162" t="b">
        <f t="shared" si="253"/>
        <v>0</v>
      </c>
    </row>
    <row r="896" spans="1:18">
      <c r="A896" s="129" t="s">
        <v>354</v>
      </c>
      <c r="B896" s="129" t="s">
        <v>3836</v>
      </c>
      <c r="C896" s="129">
        <v>4838</v>
      </c>
      <c r="D896" s="129" t="s">
        <v>2479</v>
      </c>
      <c r="E896" s="129">
        <v>57</v>
      </c>
      <c r="F896" s="129">
        <v>0</v>
      </c>
      <c r="G896" s="129">
        <v>35</v>
      </c>
      <c r="H896" s="129">
        <v>0</v>
      </c>
      <c r="I896" s="129">
        <v>61.4</v>
      </c>
      <c r="J896" s="129">
        <v>3.7</v>
      </c>
      <c r="K896" s="129">
        <v>0</v>
      </c>
      <c r="L896" s="129">
        <f t="shared" si="266"/>
        <v>57</v>
      </c>
      <c r="M896" s="129">
        <f t="shared" si="267"/>
        <v>35</v>
      </c>
      <c r="N896" s="128">
        <f t="shared" si="268"/>
        <v>0.61399999999999999</v>
      </c>
      <c r="O896" s="164">
        <f t="shared" si="269"/>
        <v>0</v>
      </c>
      <c r="P896" s="185">
        <f t="shared" si="270"/>
        <v>3.7</v>
      </c>
      <c r="Q896" s="185">
        <f t="shared" si="271"/>
        <v>3.7</v>
      </c>
      <c r="R896" s="162" t="b">
        <f t="shared" si="253"/>
        <v>0</v>
      </c>
    </row>
    <row r="897" spans="1:18">
      <c r="A897" s="129" t="s">
        <v>379</v>
      </c>
      <c r="B897" s="129" t="s">
        <v>3856</v>
      </c>
      <c r="C897" s="129">
        <v>5504</v>
      </c>
      <c r="D897" s="129" t="s">
        <v>2637</v>
      </c>
      <c r="E897" s="129">
        <v>294</v>
      </c>
      <c r="F897" s="129">
        <v>0</v>
      </c>
      <c r="G897" s="129">
        <v>96</v>
      </c>
      <c r="H897" s="129">
        <v>0</v>
      </c>
      <c r="I897" s="129">
        <v>32.700000000000003</v>
      </c>
      <c r="J897" s="129">
        <v>0</v>
      </c>
      <c r="K897" s="129">
        <v>0</v>
      </c>
      <c r="L897" s="129">
        <f t="shared" si="266"/>
        <v>294</v>
      </c>
      <c r="M897" s="129">
        <f t="shared" si="267"/>
        <v>96</v>
      </c>
      <c r="N897" s="128">
        <f t="shared" si="268"/>
        <v>0.32650000000000001</v>
      </c>
      <c r="O897" s="164">
        <f t="shared" si="269"/>
        <v>0</v>
      </c>
      <c r="P897" s="185">
        <f t="shared" si="270"/>
        <v>0</v>
      </c>
      <c r="Q897" s="185">
        <f t="shared" si="271"/>
        <v>0</v>
      </c>
      <c r="R897" s="162" t="b">
        <f t="shared" si="253"/>
        <v>0</v>
      </c>
    </row>
    <row r="898" spans="1:18">
      <c r="A898" s="129" t="s">
        <v>379</v>
      </c>
      <c r="B898" s="129" t="s">
        <v>3856</v>
      </c>
      <c r="C898" s="129">
        <v>5505</v>
      </c>
      <c r="D898" s="129" t="s">
        <v>2639</v>
      </c>
      <c r="E898" s="129">
        <v>254</v>
      </c>
      <c r="F898" s="129">
        <v>0</v>
      </c>
      <c r="G898" s="129">
        <v>74</v>
      </c>
      <c r="H898" s="129">
        <v>0</v>
      </c>
      <c r="I898" s="129">
        <v>29.1</v>
      </c>
      <c r="J898" s="129">
        <v>0</v>
      </c>
      <c r="K898" s="129">
        <v>0</v>
      </c>
      <c r="L898" s="129">
        <f t="shared" si="266"/>
        <v>254</v>
      </c>
      <c r="M898" s="129">
        <f t="shared" si="267"/>
        <v>74</v>
      </c>
      <c r="N898" s="128">
        <f t="shared" si="268"/>
        <v>0.2913</v>
      </c>
      <c r="O898" s="164">
        <f t="shared" si="269"/>
        <v>0</v>
      </c>
      <c r="P898" s="185">
        <f t="shared" si="270"/>
        <v>0</v>
      </c>
      <c r="Q898" s="185">
        <f t="shared" si="271"/>
        <v>0</v>
      </c>
      <c r="R898" s="162" t="b">
        <f t="shared" si="253"/>
        <v>0</v>
      </c>
    </row>
    <row r="899" spans="1:18">
      <c r="A899" s="129" t="s">
        <v>379</v>
      </c>
      <c r="B899" s="129" t="s">
        <v>3856</v>
      </c>
      <c r="C899" s="129">
        <v>5506</v>
      </c>
      <c r="D899" s="129" t="s">
        <v>2641</v>
      </c>
      <c r="E899" s="129">
        <v>252</v>
      </c>
      <c r="F899" s="129">
        <v>0</v>
      </c>
      <c r="G899" s="129">
        <v>60</v>
      </c>
      <c r="H899" s="129">
        <v>0</v>
      </c>
      <c r="I899" s="129">
        <v>23.8</v>
      </c>
      <c r="J899" s="129">
        <v>0</v>
      </c>
      <c r="K899" s="129">
        <v>0</v>
      </c>
      <c r="L899" s="129">
        <f t="shared" si="266"/>
        <v>252</v>
      </c>
      <c r="M899" s="129">
        <f t="shared" si="267"/>
        <v>60</v>
      </c>
      <c r="N899" s="128">
        <f t="shared" si="268"/>
        <v>0.23810000000000001</v>
      </c>
      <c r="O899" s="164">
        <f t="shared" si="269"/>
        <v>0</v>
      </c>
      <c r="P899" s="185">
        <f t="shared" si="270"/>
        <v>0</v>
      </c>
      <c r="Q899" s="185">
        <f t="shared" si="271"/>
        <v>0</v>
      </c>
      <c r="R899" s="162" t="b">
        <f t="shared" si="253"/>
        <v>0</v>
      </c>
    </row>
    <row r="900" spans="1:18">
      <c r="A900" s="129" t="s">
        <v>381</v>
      </c>
      <c r="B900" s="129" t="s">
        <v>3858</v>
      </c>
      <c r="C900" s="129">
        <v>5554</v>
      </c>
      <c r="D900" s="129" t="s">
        <v>2028</v>
      </c>
      <c r="E900" s="129">
        <v>255</v>
      </c>
      <c r="F900" s="129">
        <v>0</v>
      </c>
      <c r="G900" s="129">
        <v>96</v>
      </c>
      <c r="H900" s="129">
        <v>0</v>
      </c>
      <c r="I900" s="129">
        <v>37.700000000000003</v>
      </c>
      <c r="J900" s="129">
        <v>0</v>
      </c>
      <c r="K900" s="129">
        <v>1.8</v>
      </c>
      <c r="L900" s="129">
        <f t="shared" si="266"/>
        <v>255</v>
      </c>
      <c r="M900" s="129">
        <f t="shared" si="267"/>
        <v>96</v>
      </c>
      <c r="N900" s="128">
        <f t="shared" si="268"/>
        <v>0.3765</v>
      </c>
      <c r="O900" s="164">
        <f t="shared" si="269"/>
        <v>1.8</v>
      </c>
      <c r="P900" s="185">
        <f t="shared" si="270"/>
        <v>0</v>
      </c>
      <c r="Q900" s="185">
        <f t="shared" si="271"/>
        <v>1.8</v>
      </c>
      <c r="R900" s="162" t="b">
        <f t="shared" si="253"/>
        <v>0</v>
      </c>
    </row>
    <row r="901" spans="1:18">
      <c r="A901" s="129" t="s">
        <v>381</v>
      </c>
      <c r="B901" s="129" t="s">
        <v>3858</v>
      </c>
      <c r="C901" s="129">
        <v>5555</v>
      </c>
      <c r="D901" s="129" t="s">
        <v>2648</v>
      </c>
      <c r="E901" s="129">
        <v>354</v>
      </c>
      <c r="F901" s="129">
        <v>0</v>
      </c>
      <c r="G901" s="129">
        <v>142</v>
      </c>
      <c r="H901" s="129">
        <v>0</v>
      </c>
      <c r="I901" s="129">
        <v>40.1</v>
      </c>
      <c r="J901" s="129">
        <v>0</v>
      </c>
      <c r="K901" s="129">
        <v>5.0999999999999996</v>
      </c>
      <c r="L901" s="129">
        <f t="shared" si="266"/>
        <v>354</v>
      </c>
      <c r="M901" s="129">
        <f t="shared" si="267"/>
        <v>142</v>
      </c>
      <c r="N901" s="128">
        <f t="shared" si="268"/>
        <v>0.40110000000000001</v>
      </c>
      <c r="O901" s="164">
        <f t="shared" si="269"/>
        <v>5.0999999999999996</v>
      </c>
      <c r="P901" s="185">
        <f t="shared" si="270"/>
        <v>0</v>
      </c>
      <c r="Q901" s="185">
        <f t="shared" si="271"/>
        <v>5.0999999999999996</v>
      </c>
      <c r="R901" s="162" t="b">
        <f t="shared" ref="R901:R964" si="272">COUNTIF(C:C,C901)&gt;1</f>
        <v>0</v>
      </c>
    </row>
    <row r="902" spans="1:18">
      <c r="A902" s="129" t="s">
        <v>381</v>
      </c>
      <c r="B902" s="129" t="s">
        <v>3858</v>
      </c>
      <c r="C902" s="129">
        <v>5556</v>
      </c>
      <c r="D902" s="129" t="s">
        <v>2030</v>
      </c>
      <c r="E902" s="129">
        <v>304</v>
      </c>
      <c r="F902" s="129">
        <v>0</v>
      </c>
      <c r="G902" s="129">
        <v>125</v>
      </c>
      <c r="H902" s="129">
        <v>0</v>
      </c>
      <c r="I902" s="129">
        <v>41.1</v>
      </c>
      <c r="J902" s="129">
        <v>0</v>
      </c>
      <c r="K902" s="129">
        <v>5.4</v>
      </c>
      <c r="L902" s="129">
        <f t="shared" si="266"/>
        <v>304</v>
      </c>
      <c r="M902" s="129">
        <f t="shared" si="267"/>
        <v>125</v>
      </c>
      <c r="N902" s="128">
        <f t="shared" si="268"/>
        <v>0.41120000000000001</v>
      </c>
      <c r="O902" s="164">
        <f t="shared" si="269"/>
        <v>5.4</v>
      </c>
      <c r="P902" s="185">
        <f t="shared" si="270"/>
        <v>0</v>
      </c>
      <c r="Q902" s="185">
        <f t="shared" si="271"/>
        <v>5.4</v>
      </c>
      <c r="R902" s="162" t="b">
        <f t="shared" si="272"/>
        <v>0</v>
      </c>
    </row>
    <row r="903" spans="1:18">
      <c r="A903" s="129" t="s">
        <v>381</v>
      </c>
      <c r="B903" s="129" t="s">
        <v>3858</v>
      </c>
      <c r="C903" s="129">
        <v>5560</v>
      </c>
      <c r="D903" s="129" t="s">
        <v>2651</v>
      </c>
      <c r="E903" s="129">
        <v>452</v>
      </c>
      <c r="F903" s="129">
        <v>0</v>
      </c>
      <c r="G903" s="129">
        <v>169</v>
      </c>
      <c r="H903" s="129">
        <v>0</v>
      </c>
      <c r="I903" s="129">
        <v>37.4</v>
      </c>
      <c r="J903" s="129">
        <v>0</v>
      </c>
      <c r="K903" s="129">
        <v>2.8</v>
      </c>
      <c r="L903" s="129">
        <f t="shared" si="266"/>
        <v>452</v>
      </c>
      <c r="M903" s="129">
        <f t="shared" si="267"/>
        <v>169</v>
      </c>
      <c r="N903" s="128">
        <f t="shared" si="268"/>
        <v>0.37390000000000001</v>
      </c>
      <c r="O903" s="164">
        <f t="shared" si="269"/>
        <v>2.8</v>
      </c>
      <c r="P903" s="185">
        <f t="shared" si="270"/>
        <v>0</v>
      </c>
      <c r="Q903" s="185">
        <f t="shared" si="271"/>
        <v>2.8</v>
      </c>
      <c r="R903" s="162" t="b">
        <f t="shared" si="272"/>
        <v>0</v>
      </c>
    </row>
    <row r="904" spans="1:18">
      <c r="A904" s="129" t="s">
        <v>381</v>
      </c>
      <c r="B904" s="129" t="s">
        <v>3858</v>
      </c>
      <c r="C904" s="129">
        <v>5562</v>
      </c>
      <c r="D904" s="129" t="s">
        <v>2653</v>
      </c>
      <c r="E904" s="129">
        <v>625</v>
      </c>
      <c r="F904" s="129">
        <v>0</v>
      </c>
      <c r="G904" s="129">
        <v>196</v>
      </c>
      <c r="H904" s="129">
        <v>0</v>
      </c>
      <c r="I904" s="129">
        <v>31.4</v>
      </c>
      <c r="J904" s="129">
        <v>0</v>
      </c>
      <c r="K904" s="129">
        <v>0</v>
      </c>
      <c r="L904" s="129">
        <f t="shared" si="266"/>
        <v>625</v>
      </c>
      <c r="M904" s="129">
        <f t="shared" si="267"/>
        <v>196</v>
      </c>
      <c r="N904" s="128">
        <f t="shared" si="268"/>
        <v>0.31359999999999999</v>
      </c>
      <c r="O904" s="164">
        <f t="shared" si="269"/>
        <v>0</v>
      </c>
      <c r="P904" s="185">
        <f t="shared" si="270"/>
        <v>0</v>
      </c>
      <c r="Q904" s="185">
        <f t="shared" si="271"/>
        <v>0</v>
      </c>
      <c r="R904" s="162" t="b">
        <f t="shared" si="272"/>
        <v>0</v>
      </c>
    </row>
    <row r="905" spans="1:18">
      <c r="A905" s="129" t="s">
        <v>382</v>
      </c>
      <c r="B905" s="129" t="s">
        <v>3859</v>
      </c>
      <c r="C905" s="129">
        <v>5598</v>
      </c>
      <c r="D905" s="129" t="s">
        <v>2655</v>
      </c>
      <c r="E905" s="129">
        <v>84</v>
      </c>
      <c r="F905" s="129">
        <v>0</v>
      </c>
      <c r="G905" s="129">
        <v>31</v>
      </c>
      <c r="H905" s="129">
        <v>0</v>
      </c>
      <c r="I905" s="129">
        <v>36.9</v>
      </c>
      <c r="J905" s="129">
        <v>0</v>
      </c>
      <c r="K905" s="129">
        <v>0.4</v>
      </c>
      <c r="L905" s="129">
        <f t="shared" si="266"/>
        <v>84</v>
      </c>
      <c r="M905" s="129">
        <f t="shared" si="267"/>
        <v>31</v>
      </c>
      <c r="N905" s="128">
        <f t="shared" si="268"/>
        <v>0.36899999999999999</v>
      </c>
      <c r="O905" s="164">
        <f t="shared" si="269"/>
        <v>0.4</v>
      </c>
      <c r="P905" s="185">
        <f t="shared" si="270"/>
        <v>0</v>
      </c>
      <c r="Q905" s="185">
        <f t="shared" si="271"/>
        <v>0.4</v>
      </c>
      <c r="R905" s="162" t="b">
        <f t="shared" si="272"/>
        <v>0</v>
      </c>
    </row>
    <row r="906" spans="1:18">
      <c r="A906" s="129" t="s">
        <v>382</v>
      </c>
      <c r="B906" s="129" t="s">
        <v>3859</v>
      </c>
      <c r="C906" s="129">
        <v>5600</v>
      </c>
      <c r="D906" s="129" t="s">
        <v>2657</v>
      </c>
      <c r="E906" s="129">
        <v>85</v>
      </c>
      <c r="F906" s="129">
        <v>0</v>
      </c>
      <c r="G906" s="129">
        <v>32</v>
      </c>
      <c r="H906" s="129">
        <v>0</v>
      </c>
      <c r="I906" s="129">
        <v>37.700000000000003</v>
      </c>
      <c r="J906" s="129">
        <v>0</v>
      </c>
      <c r="K906" s="129">
        <v>0.6</v>
      </c>
      <c r="L906" s="129">
        <f t="shared" si="266"/>
        <v>85</v>
      </c>
      <c r="M906" s="129">
        <f t="shared" si="267"/>
        <v>32</v>
      </c>
      <c r="N906" s="128">
        <f t="shared" si="268"/>
        <v>0.3765</v>
      </c>
      <c r="O906" s="164">
        <f t="shared" si="269"/>
        <v>0.6</v>
      </c>
      <c r="P906" s="185">
        <f t="shared" si="270"/>
        <v>0</v>
      </c>
      <c r="Q906" s="185">
        <f t="shared" si="271"/>
        <v>0.6</v>
      </c>
      <c r="R906" s="162" t="b">
        <f t="shared" si="272"/>
        <v>0</v>
      </c>
    </row>
    <row r="907" spans="1:18">
      <c r="A907" s="129" t="s">
        <v>388</v>
      </c>
      <c r="B907" s="129" t="s">
        <v>4158</v>
      </c>
      <c r="C907" s="129">
        <v>5812</v>
      </c>
      <c r="D907" s="129" t="s">
        <v>2695</v>
      </c>
      <c r="E907" s="129">
        <v>295</v>
      </c>
      <c r="F907" s="129">
        <v>0</v>
      </c>
      <c r="G907" s="129">
        <v>131</v>
      </c>
      <c r="H907" s="129">
        <v>0</v>
      </c>
      <c r="I907" s="129">
        <v>44.4</v>
      </c>
      <c r="J907" s="129">
        <v>0</v>
      </c>
      <c r="K907" s="129">
        <v>8.6</v>
      </c>
      <c r="L907" s="129">
        <f t="shared" si="266"/>
        <v>295</v>
      </c>
      <c r="M907" s="129">
        <f t="shared" si="267"/>
        <v>131</v>
      </c>
      <c r="N907" s="128">
        <f t="shared" si="268"/>
        <v>0.44409999999999999</v>
      </c>
      <c r="O907" s="164">
        <f t="shared" si="269"/>
        <v>8.6</v>
      </c>
      <c r="P907" s="185">
        <f t="shared" si="270"/>
        <v>0</v>
      </c>
      <c r="Q907" s="185">
        <f t="shared" si="271"/>
        <v>8.6</v>
      </c>
      <c r="R907" s="162" t="b">
        <f t="shared" si="272"/>
        <v>0</v>
      </c>
    </row>
    <row r="908" spans="1:18">
      <c r="A908" s="129" t="s">
        <v>388</v>
      </c>
      <c r="B908" s="129" t="s">
        <v>4158</v>
      </c>
      <c r="C908" s="129">
        <v>5814</v>
      </c>
      <c r="D908" s="129" t="s">
        <v>2697</v>
      </c>
      <c r="E908" s="129">
        <v>308</v>
      </c>
      <c r="F908" s="129">
        <v>0</v>
      </c>
      <c r="G908" s="129">
        <v>94</v>
      </c>
      <c r="H908" s="129">
        <v>0</v>
      </c>
      <c r="I908" s="129">
        <v>30.5</v>
      </c>
      <c r="J908" s="129">
        <v>0</v>
      </c>
      <c r="K908" s="129">
        <v>0</v>
      </c>
      <c r="L908" s="129">
        <f t="shared" si="266"/>
        <v>308</v>
      </c>
      <c r="M908" s="129">
        <f t="shared" si="267"/>
        <v>94</v>
      </c>
      <c r="N908" s="128">
        <f t="shared" si="268"/>
        <v>0.30520000000000003</v>
      </c>
      <c r="O908" s="164">
        <f t="shared" si="269"/>
        <v>0</v>
      </c>
      <c r="P908" s="185">
        <f t="shared" si="270"/>
        <v>0</v>
      </c>
      <c r="Q908" s="185">
        <f t="shared" si="271"/>
        <v>0</v>
      </c>
      <c r="R908" s="162" t="b">
        <f t="shared" si="272"/>
        <v>0</v>
      </c>
    </row>
    <row r="909" spans="1:18">
      <c r="A909" s="129" t="s">
        <v>395</v>
      </c>
      <c r="B909" s="129" t="s">
        <v>91</v>
      </c>
      <c r="C909" s="129">
        <v>6028</v>
      </c>
      <c r="D909" s="129" t="s">
        <v>2733</v>
      </c>
      <c r="E909" s="129">
        <v>260</v>
      </c>
      <c r="F909" s="129">
        <v>0</v>
      </c>
      <c r="G909" s="129">
        <v>59</v>
      </c>
      <c r="H909" s="129">
        <v>0</v>
      </c>
      <c r="I909" s="129">
        <v>22.7</v>
      </c>
      <c r="J909" s="129">
        <v>0</v>
      </c>
      <c r="K909" s="129">
        <v>0</v>
      </c>
      <c r="L909" s="129">
        <f t="shared" si="266"/>
        <v>260</v>
      </c>
      <c r="M909" s="129">
        <f t="shared" si="267"/>
        <v>59</v>
      </c>
      <c r="N909" s="128">
        <f t="shared" si="268"/>
        <v>0.22689999999999999</v>
      </c>
      <c r="O909" s="164">
        <f t="shared" si="269"/>
        <v>0</v>
      </c>
      <c r="P909" s="185">
        <f t="shared" si="270"/>
        <v>0</v>
      </c>
      <c r="Q909" s="185">
        <f t="shared" si="271"/>
        <v>0</v>
      </c>
      <c r="R909" s="162" t="b">
        <f t="shared" si="272"/>
        <v>0</v>
      </c>
    </row>
    <row r="910" spans="1:18">
      <c r="A910" s="129" t="s">
        <v>395</v>
      </c>
      <c r="B910" s="129" t="s">
        <v>91</v>
      </c>
      <c r="C910" s="129">
        <v>6030</v>
      </c>
      <c r="D910" s="129" t="s">
        <v>2030</v>
      </c>
      <c r="E910" s="129">
        <v>239</v>
      </c>
      <c r="F910" s="129">
        <v>0</v>
      </c>
      <c r="G910" s="129">
        <v>127</v>
      </c>
      <c r="H910" s="129">
        <v>0</v>
      </c>
      <c r="I910" s="129">
        <v>53.1</v>
      </c>
      <c r="J910" s="129">
        <v>13.3</v>
      </c>
      <c r="K910" s="129">
        <v>0</v>
      </c>
      <c r="L910" s="129">
        <f t="shared" si="266"/>
        <v>239</v>
      </c>
      <c r="M910" s="129">
        <f t="shared" si="267"/>
        <v>127</v>
      </c>
      <c r="N910" s="128">
        <f t="shared" si="268"/>
        <v>0.53139999999999998</v>
      </c>
      <c r="O910" s="164">
        <f t="shared" si="269"/>
        <v>0</v>
      </c>
      <c r="P910" s="185">
        <f t="shared" si="270"/>
        <v>13.3</v>
      </c>
      <c r="Q910" s="185">
        <f t="shared" si="271"/>
        <v>13.3</v>
      </c>
      <c r="R910" s="162" t="b">
        <f t="shared" si="272"/>
        <v>0</v>
      </c>
    </row>
    <row r="911" spans="1:18">
      <c r="A911" s="129" t="s">
        <v>395</v>
      </c>
      <c r="B911" s="129" t="s">
        <v>91</v>
      </c>
      <c r="C911" s="129">
        <v>6032</v>
      </c>
      <c r="D911" s="129" t="s">
        <v>2736</v>
      </c>
      <c r="E911" s="129">
        <v>261</v>
      </c>
      <c r="F911" s="129">
        <v>0</v>
      </c>
      <c r="G911" s="129">
        <v>151</v>
      </c>
      <c r="H911" s="129">
        <v>0</v>
      </c>
      <c r="I911" s="129">
        <v>57.9</v>
      </c>
      <c r="J911" s="129">
        <v>15.9</v>
      </c>
      <c r="K911" s="129">
        <v>0</v>
      </c>
      <c r="L911" s="129">
        <f t="shared" si="266"/>
        <v>261</v>
      </c>
      <c r="M911" s="129">
        <f t="shared" si="267"/>
        <v>151</v>
      </c>
      <c r="N911" s="128">
        <f t="shared" si="268"/>
        <v>0.57850000000000001</v>
      </c>
      <c r="O911" s="164">
        <f t="shared" si="269"/>
        <v>0</v>
      </c>
      <c r="P911" s="185">
        <f t="shared" si="270"/>
        <v>15.9</v>
      </c>
      <c r="Q911" s="185">
        <f t="shared" si="271"/>
        <v>15.9</v>
      </c>
      <c r="R911" s="162" t="b">
        <f t="shared" si="272"/>
        <v>0</v>
      </c>
    </row>
    <row r="912" spans="1:18">
      <c r="A912" s="129" t="s">
        <v>395</v>
      </c>
      <c r="B912" s="129" t="s">
        <v>91</v>
      </c>
      <c r="C912" s="129">
        <v>6034</v>
      </c>
      <c r="D912" s="129" t="s">
        <v>1433</v>
      </c>
      <c r="E912" s="129">
        <v>263</v>
      </c>
      <c r="F912" s="129">
        <v>0</v>
      </c>
      <c r="G912" s="129">
        <v>109</v>
      </c>
      <c r="H912" s="129">
        <v>0</v>
      </c>
      <c r="I912" s="129">
        <v>41.4</v>
      </c>
      <c r="J912" s="129">
        <v>0</v>
      </c>
      <c r="K912" s="129">
        <v>4.9000000000000004</v>
      </c>
      <c r="L912" s="129">
        <f t="shared" si="266"/>
        <v>263</v>
      </c>
      <c r="M912" s="129">
        <f t="shared" si="267"/>
        <v>109</v>
      </c>
      <c r="N912" s="128">
        <f t="shared" si="268"/>
        <v>0.41439999999999999</v>
      </c>
      <c r="O912" s="164">
        <f t="shared" si="269"/>
        <v>4.9000000000000004</v>
      </c>
      <c r="P912" s="185">
        <f t="shared" si="270"/>
        <v>0</v>
      </c>
      <c r="Q912" s="185">
        <f t="shared" si="271"/>
        <v>4.9000000000000004</v>
      </c>
      <c r="R912" s="162" t="b">
        <f t="shared" si="272"/>
        <v>0</v>
      </c>
    </row>
    <row r="913" spans="1:18">
      <c r="A913" s="129" t="s">
        <v>395</v>
      </c>
      <c r="B913" s="129" t="s">
        <v>91</v>
      </c>
      <c r="C913" s="129">
        <v>6038</v>
      </c>
      <c r="D913" s="129" t="s">
        <v>2739</v>
      </c>
      <c r="E913" s="129">
        <v>469</v>
      </c>
      <c r="F913" s="129">
        <v>0</v>
      </c>
      <c r="G913" s="129">
        <v>170</v>
      </c>
      <c r="H913" s="129">
        <v>0</v>
      </c>
      <c r="I913" s="129">
        <v>36.299999999999997</v>
      </c>
      <c r="J913" s="129">
        <v>0</v>
      </c>
      <c r="K913" s="129">
        <v>1.5</v>
      </c>
      <c r="L913" s="129">
        <f t="shared" si="266"/>
        <v>469</v>
      </c>
      <c r="M913" s="129">
        <f t="shared" si="267"/>
        <v>170</v>
      </c>
      <c r="N913" s="128">
        <f t="shared" si="268"/>
        <v>0.36249999999999999</v>
      </c>
      <c r="O913" s="164">
        <f t="shared" si="269"/>
        <v>1.5</v>
      </c>
      <c r="P913" s="185">
        <f t="shared" si="270"/>
        <v>0</v>
      </c>
      <c r="Q913" s="185">
        <f t="shared" si="271"/>
        <v>1.5</v>
      </c>
      <c r="R913" s="162" t="b">
        <f t="shared" si="272"/>
        <v>0</v>
      </c>
    </row>
    <row r="914" spans="1:18">
      <c r="A914" s="129" t="s">
        <v>395</v>
      </c>
      <c r="B914" s="129" t="s">
        <v>91</v>
      </c>
      <c r="C914" s="129">
        <v>6040</v>
      </c>
      <c r="D914" s="129" t="s">
        <v>2741</v>
      </c>
      <c r="E914" s="129">
        <v>692</v>
      </c>
      <c r="F914" s="129">
        <v>0</v>
      </c>
      <c r="G914" s="129">
        <v>232</v>
      </c>
      <c r="H914" s="129">
        <v>0</v>
      </c>
      <c r="I914" s="129">
        <v>33.5</v>
      </c>
      <c r="J914" s="129">
        <v>0</v>
      </c>
      <c r="K914" s="129">
        <v>0</v>
      </c>
      <c r="L914" s="129">
        <f t="shared" si="266"/>
        <v>692</v>
      </c>
      <c r="M914" s="129">
        <f t="shared" si="267"/>
        <v>232</v>
      </c>
      <c r="N914" s="128">
        <f t="shared" si="268"/>
        <v>0.33529999999999999</v>
      </c>
      <c r="O914" s="164">
        <f t="shared" si="269"/>
        <v>0</v>
      </c>
      <c r="P914" s="185">
        <f t="shared" si="270"/>
        <v>0</v>
      </c>
      <c r="Q914" s="185">
        <f t="shared" si="271"/>
        <v>0</v>
      </c>
      <c r="R914" s="162" t="b">
        <f t="shared" si="272"/>
        <v>0</v>
      </c>
    </row>
    <row r="915" spans="1:18">
      <c r="A915" s="129" t="s">
        <v>429</v>
      </c>
      <c r="B915" s="129" t="s">
        <v>3904</v>
      </c>
      <c r="C915" s="129">
        <v>7206</v>
      </c>
      <c r="D915" s="129" t="s">
        <v>3004</v>
      </c>
      <c r="E915" s="129">
        <v>305</v>
      </c>
      <c r="F915" s="129">
        <v>0</v>
      </c>
      <c r="G915" s="129">
        <v>64</v>
      </c>
      <c r="H915" s="129">
        <v>0</v>
      </c>
      <c r="I915" s="129">
        <v>21</v>
      </c>
      <c r="J915" s="129">
        <v>0</v>
      </c>
      <c r="K915" s="129">
        <v>0</v>
      </c>
      <c r="L915" s="129">
        <f t="shared" si="266"/>
        <v>305</v>
      </c>
      <c r="M915" s="129">
        <f t="shared" si="267"/>
        <v>64</v>
      </c>
      <c r="N915" s="128">
        <f t="shared" si="268"/>
        <v>0.20979999999999999</v>
      </c>
      <c r="O915" s="164">
        <f t="shared" si="269"/>
        <v>0</v>
      </c>
      <c r="P915" s="185">
        <f t="shared" si="270"/>
        <v>0</v>
      </c>
      <c r="Q915" s="185">
        <f t="shared" si="271"/>
        <v>0</v>
      </c>
      <c r="R915" s="162" t="b">
        <f t="shared" si="272"/>
        <v>0</v>
      </c>
    </row>
    <row r="916" spans="1:18">
      <c r="A916" s="129" t="s">
        <v>429</v>
      </c>
      <c r="B916" s="129" t="s">
        <v>3904</v>
      </c>
      <c r="C916" s="129">
        <v>7208</v>
      </c>
      <c r="D916" s="129" t="s">
        <v>3006</v>
      </c>
      <c r="E916" s="129">
        <v>268</v>
      </c>
      <c r="F916" s="129">
        <v>0</v>
      </c>
      <c r="G916" s="129">
        <v>46</v>
      </c>
      <c r="H916" s="129">
        <v>0</v>
      </c>
      <c r="I916" s="129">
        <v>17.2</v>
      </c>
      <c r="J916" s="129">
        <v>0</v>
      </c>
      <c r="K916" s="129">
        <v>0</v>
      </c>
      <c r="L916" s="129">
        <f t="shared" si="266"/>
        <v>268</v>
      </c>
      <c r="M916" s="129">
        <f t="shared" si="267"/>
        <v>46</v>
      </c>
      <c r="N916" s="128">
        <f t="shared" si="268"/>
        <v>0.1716</v>
      </c>
      <c r="O916" s="164">
        <f t="shared" si="269"/>
        <v>0</v>
      </c>
      <c r="P916" s="185">
        <f t="shared" si="270"/>
        <v>0</v>
      </c>
      <c r="Q916" s="185">
        <f t="shared" si="271"/>
        <v>0</v>
      </c>
      <c r="R916" s="162" t="b">
        <f t="shared" si="272"/>
        <v>0</v>
      </c>
    </row>
    <row r="917" spans="1:18">
      <c r="A917" s="129" t="s">
        <v>429</v>
      </c>
      <c r="B917" s="129" t="s">
        <v>3904</v>
      </c>
      <c r="C917" s="129">
        <v>7210</v>
      </c>
      <c r="D917" s="129" t="s">
        <v>3008</v>
      </c>
      <c r="E917" s="129">
        <v>259</v>
      </c>
      <c r="F917" s="129">
        <v>0</v>
      </c>
      <c r="G917" s="129">
        <v>45</v>
      </c>
      <c r="H917" s="129">
        <v>0</v>
      </c>
      <c r="I917" s="129">
        <v>17.399999999999999</v>
      </c>
      <c r="J917" s="129">
        <v>0</v>
      </c>
      <c r="K917" s="129">
        <v>0</v>
      </c>
      <c r="L917" s="129">
        <f t="shared" si="266"/>
        <v>259</v>
      </c>
      <c r="M917" s="129">
        <f t="shared" si="267"/>
        <v>45</v>
      </c>
      <c r="N917" s="128">
        <f t="shared" si="268"/>
        <v>0.17369999999999999</v>
      </c>
      <c r="O917" s="164">
        <f t="shared" si="269"/>
        <v>0</v>
      </c>
      <c r="P917" s="185">
        <f t="shared" si="270"/>
        <v>0</v>
      </c>
      <c r="Q917" s="185">
        <f t="shared" si="271"/>
        <v>0</v>
      </c>
      <c r="R917" s="162" t="b">
        <f t="shared" si="272"/>
        <v>0</v>
      </c>
    </row>
    <row r="918" spans="1:18">
      <c r="A918" s="129" t="s">
        <v>455</v>
      </c>
      <c r="B918" s="129" t="s">
        <v>3930</v>
      </c>
      <c r="C918" s="129">
        <v>8022</v>
      </c>
      <c r="D918" s="129" t="s">
        <v>3195</v>
      </c>
      <c r="E918" s="129">
        <v>693</v>
      </c>
      <c r="F918" s="129">
        <v>0</v>
      </c>
      <c r="G918" s="129">
        <v>223</v>
      </c>
      <c r="H918" s="129">
        <v>0</v>
      </c>
      <c r="I918" s="129">
        <v>32.200000000000003</v>
      </c>
      <c r="J918" s="129">
        <v>0</v>
      </c>
      <c r="K918" s="129">
        <v>0</v>
      </c>
      <c r="L918" s="129">
        <f t="shared" si="266"/>
        <v>693</v>
      </c>
      <c r="M918" s="129">
        <f t="shared" si="267"/>
        <v>223</v>
      </c>
      <c r="N918" s="128">
        <f t="shared" si="268"/>
        <v>0.32179999999999997</v>
      </c>
      <c r="O918" s="164">
        <f t="shared" si="269"/>
        <v>0</v>
      </c>
      <c r="P918" s="185">
        <f t="shared" si="270"/>
        <v>0</v>
      </c>
      <c r="Q918" s="185">
        <f t="shared" si="271"/>
        <v>0</v>
      </c>
      <c r="R918" s="162" t="b">
        <f t="shared" si="272"/>
        <v>0</v>
      </c>
    </row>
    <row r="919" spans="1:18">
      <c r="A919" s="129" t="s">
        <v>455</v>
      </c>
      <c r="B919" s="129" t="s">
        <v>3930</v>
      </c>
      <c r="C919" s="129">
        <v>8023</v>
      </c>
      <c r="D919" s="129" t="s">
        <v>4159</v>
      </c>
      <c r="E919" s="129">
        <v>556</v>
      </c>
      <c r="F919" s="129">
        <v>0</v>
      </c>
      <c r="G919" s="129">
        <v>139</v>
      </c>
      <c r="H919" s="129">
        <v>0</v>
      </c>
      <c r="I919" s="129">
        <v>25</v>
      </c>
      <c r="J919" s="129">
        <v>0</v>
      </c>
      <c r="K919" s="129">
        <v>0</v>
      </c>
      <c r="L919" s="129">
        <f t="shared" si="266"/>
        <v>556</v>
      </c>
      <c r="M919" s="129">
        <f t="shared" si="267"/>
        <v>139</v>
      </c>
      <c r="N919" s="128">
        <f t="shared" si="268"/>
        <v>0.25</v>
      </c>
      <c r="O919" s="164">
        <f t="shared" si="269"/>
        <v>0</v>
      </c>
      <c r="P919" s="185">
        <f t="shared" si="270"/>
        <v>0</v>
      </c>
      <c r="Q919" s="185">
        <f t="shared" si="271"/>
        <v>0</v>
      </c>
      <c r="R919" s="162" t="b">
        <f t="shared" si="272"/>
        <v>0</v>
      </c>
    </row>
    <row r="920" spans="1:18">
      <c r="A920" s="129" t="s">
        <v>455</v>
      </c>
      <c r="B920" s="129" t="s">
        <v>3930</v>
      </c>
      <c r="C920" s="129">
        <v>8029</v>
      </c>
      <c r="D920" s="129" t="s">
        <v>3199</v>
      </c>
      <c r="E920" s="129">
        <v>391</v>
      </c>
      <c r="F920" s="129">
        <v>0</v>
      </c>
      <c r="G920" s="129">
        <v>104</v>
      </c>
      <c r="H920" s="129">
        <v>0</v>
      </c>
      <c r="I920" s="129">
        <v>26.6</v>
      </c>
      <c r="J920" s="129">
        <v>0</v>
      </c>
      <c r="K920" s="129">
        <v>0</v>
      </c>
      <c r="L920" s="129">
        <f t="shared" si="266"/>
        <v>391</v>
      </c>
      <c r="M920" s="129">
        <f t="shared" si="267"/>
        <v>104</v>
      </c>
      <c r="N920" s="128">
        <f t="shared" si="268"/>
        <v>0.26600000000000001</v>
      </c>
      <c r="O920" s="164">
        <f t="shared" si="269"/>
        <v>0</v>
      </c>
      <c r="P920" s="185">
        <f t="shared" si="270"/>
        <v>0</v>
      </c>
      <c r="Q920" s="185">
        <f t="shared" si="271"/>
        <v>0</v>
      </c>
      <c r="R920" s="162" t="b">
        <f t="shared" si="272"/>
        <v>0</v>
      </c>
    </row>
    <row r="921" spans="1:18">
      <c r="A921" s="129" t="s">
        <v>469</v>
      </c>
      <c r="B921" s="129" t="s">
        <v>4160</v>
      </c>
      <c r="C921" s="129">
        <v>8370</v>
      </c>
      <c r="D921" s="129" t="s">
        <v>3424</v>
      </c>
      <c r="E921" s="129">
        <v>125</v>
      </c>
      <c r="F921" s="129">
        <v>0</v>
      </c>
      <c r="G921" s="129">
        <v>49</v>
      </c>
      <c r="H921" s="129">
        <v>0</v>
      </c>
      <c r="I921" s="129">
        <v>39.200000000000003</v>
      </c>
      <c r="J921" s="129">
        <v>0</v>
      </c>
      <c r="K921" s="129">
        <v>1.4</v>
      </c>
      <c r="L921" s="129">
        <f t="shared" si="266"/>
        <v>125</v>
      </c>
      <c r="M921" s="129">
        <f t="shared" si="267"/>
        <v>49</v>
      </c>
      <c r="N921" s="128">
        <f t="shared" si="268"/>
        <v>0.39200000000000002</v>
      </c>
      <c r="O921" s="164">
        <f t="shared" si="269"/>
        <v>1.4</v>
      </c>
      <c r="P921" s="185">
        <f t="shared" si="270"/>
        <v>0</v>
      </c>
      <c r="Q921" s="185">
        <f t="shared" si="271"/>
        <v>1.4</v>
      </c>
      <c r="R921" s="162" t="b">
        <f t="shared" si="272"/>
        <v>0</v>
      </c>
    </row>
    <row r="922" spans="1:18">
      <c r="A922" s="129" t="s">
        <v>469</v>
      </c>
      <c r="B922" s="129" t="s">
        <v>4160</v>
      </c>
      <c r="C922" s="129">
        <v>8372</v>
      </c>
      <c r="D922" s="129" t="s">
        <v>3426</v>
      </c>
      <c r="E922" s="129">
        <v>67</v>
      </c>
      <c r="F922" s="129">
        <v>0</v>
      </c>
      <c r="G922" s="129">
        <v>21</v>
      </c>
      <c r="H922" s="129">
        <v>0</v>
      </c>
      <c r="I922" s="129">
        <v>31.3</v>
      </c>
      <c r="J922" s="129">
        <v>0</v>
      </c>
      <c r="K922" s="129">
        <v>0</v>
      </c>
      <c r="L922" s="129">
        <f t="shared" si="266"/>
        <v>67</v>
      </c>
      <c r="M922" s="129">
        <f t="shared" si="267"/>
        <v>21</v>
      </c>
      <c r="N922" s="128">
        <f t="shared" si="268"/>
        <v>0.31340000000000001</v>
      </c>
      <c r="O922" s="164">
        <f t="shared" si="269"/>
        <v>0</v>
      </c>
      <c r="P922" s="185">
        <f t="shared" si="270"/>
        <v>0</v>
      </c>
      <c r="Q922" s="185">
        <f t="shared" si="271"/>
        <v>0</v>
      </c>
      <c r="R922" s="162" t="b">
        <f t="shared" si="272"/>
        <v>0</v>
      </c>
    </row>
    <row r="923" spans="1:18">
      <c r="A923" s="129" t="s">
        <v>469</v>
      </c>
      <c r="B923" s="129" t="s">
        <v>4160</v>
      </c>
      <c r="C923" s="129">
        <v>8373</v>
      </c>
      <c r="D923" s="129" t="s">
        <v>3428</v>
      </c>
      <c r="E923" s="129">
        <v>51</v>
      </c>
      <c r="F923" s="129">
        <v>0</v>
      </c>
      <c r="G923" s="129">
        <v>15</v>
      </c>
      <c r="H923" s="129">
        <v>0</v>
      </c>
      <c r="I923" s="129">
        <v>29.4</v>
      </c>
      <c r="J923" s="129">
        <v>0</v>
      </c>
      <c r="K923" s="129">
        <v>0</v>
      </c>
      <c r="L923" s="129">
        <f t="shared" si="266"/>
        <v>51</v>
      </c>
      <c r="M923" s="129">
        <f t="shared" si="267"/>
        <v>15</v>
      </c>
      <c r="N923" s="128">
        <f t="shared" si="268"/>
        <v>0.29409999999999997</v>
      </c>
      <c r="O923" s="164">
        <f t="shared" si="269"/>
        <v>0</v>
      </c>
      <c r="P923" s="185">
        <f t="shared" si="270"/>
        <v>0</v>
      </c>
      <c r="Q923" s="185">
        <f t="shared" si="271"/>
        <v>0</v>
      </c>
      <c r="R923" s="162" t="b">
        <f t="shared" si="272"/>
        <v>0</v>
      </c>
    </row>
    <row r="924" spans="1:18">
      <c r="A924" s="129" t="s">
        <v>469</v>
      </c>
      <c r="B924" s="129" t="s">
        <v>4160</v>
      </c>
      <c r="C924" s="129">
        <v>8636</v>
      </c>
      <c r="D924" s="129" t="s">
        <v>3430</v>
      </c>
      <c r="E924" s="129">
        <v>63</v>
      </c>
      <c r="F924" s="129">
        <v>0</v>
      </c>
      <c r="G924" s="129">
        <v>46</v>
      </c>
      <c r="H924" s="129">
        <v>0</v>
      </c>
      <c r="I924" s="129">
        <v>73</v>
      </c>
      <c r="J924" s="129">
        <v>4.8</v>
      </c>
      <c r="K924" s="129">
        <v>0</v>
      </c>
      <c r="L924" s="129">
        <f t="shared" si="266"/>
        <v>63</v>
      </c>
      <c r="M924" s="129">
        <f t="shared" si="267"/>
        <v>46</v>
      </c>
      <c r="N924" s="128">
        <f t="shared" si="268"/>
        <v>0.73019999999999996</v>
      </c>
      <c r="O924" s="164">
        <f t="shared" si="269"/>
        <v>0</v>
      </c>
      <c r="P924" s="185">
        <f t="shared" si="270"/>
        <v>4.8</v>
      </c>
      <c r="Q924" s="185">
        <f t="shared" si="271"/>
        <v>4.8</v>
      </c>
      <c r="R924" s="162" t="b">
        <f t="shared" si="272"/>
        <v>0</v>
      </c>
    </row>
    <row r="925" spans="1:18">
      <c r="A925" s="129" t="s">
        <v>469</v>
      </c>
      <c r="B925" s="129" t="s">
        <v>4160</v>
      </c>
      <c r="C925" s="129">
        <v>8638</v>
      </c>
      <c r="D925" s="129" t="s">
        <v>3432</v>
      </c>
      <c r="E925" s="129">
        <v>81</v>
      </c>
      <c r="F925" s="129">
        <v>0</v>
      </c>
      <c r="G925" s="129">
        <v>53</v>
      </c>
      <c r="H925" s="129">
        <v>0</v>
      </c>
      <c r="I925" s="129">
        <v>65.400000000000006</v>
      </c>
      <c r="J925" s="129">
        <v>5.6</v>
      </c>
      <c r="K925" s="129">
        <v>0</v>
      </c>
      <c r="L925" s="129">
        <f t="shared" si="266"/>
        <v>81</v>
      </c>
      <c r="M925" s="129">
        <f t="shared" si="267"/>
        <v>53</v>
      </c>
      <c r="N925" s="128">
        <f t="shared" si="268"/>
        <v>0.65429999999999999</v>
      </c>
      <c r="O925" s="164">
        <f t="shared" si="269"/>
        <v>0</v>
      </c>
      <c r="P925" s="185">
        <f t="shared" si="270"/>
        <v>5.6</v>
      </c>
      <c r="Q925" s="185">
        <f t="shared" si="271"/>
        <v>5.6</v>
      </c>
      <c r="R925" s="162" t="b">
        <f t="shared" si="272"/>
        <v>0</v>
      </c>
    </row>
    <row r="926" spans="1:18">
      <c r="A926" s="129" t="s">
        <v>259</v>
      </c>
      <c r="B926" s="129" t="s">
        <v>4163</v>
      </c>
      <c r="C926" s="129">
        <v>1977</v>
      </c>
      <c r="D926" s="129" t="s">
        <v>1866</v>
      </c>
      <c r="E926" s="129">
        <v>455</v>
      </c>
      <c r="F926" s="129">
        <v>0</v>
      </c>
      <c r="G926" s="129">
        <v>159</v>
      </c>
      <c r="H926" s="129">
        <v>0</v>
      </c>
      <c r="I926" s="129">
        <v>35</v>
      </c>
      <c r="J926" s="129">
        <v>0</v>
      </c>
      <c r="K926" s="129">
        <v>0</v>
      </c>
      <c r="L926" s="129">
        <f t="shared" ref="L926:L939" si="273">SUM(E926:F926)</f>
        <v>455</v>
      </c>
      <c r="M926" s="129">
        <f t="shared" ref="M926:M939" si="274">SUM(G926:H926)</f>
        <v>159</v>
      </c>
      <c r="N926" s="128">
        <f t="shared" ref="N926:N939" si="275">IF(ISERROR(M926/L926),0,M926/L926)</f>
        <v>0.34949999999999998</v>
      </c>
      <c r="O926" s="164">
        <f t="shared" ref="O926:O939" si="276">IF(AND((N926-35%)&gt;0,N926&lt;50%),M926*(N926-35%)*0.7,0)</f>
        <v>0</v>
      </c>
      <c r="P926" s="185">
        <f t="shared" ref="P926:P939" si="277">IF(N926&gt;=50%,M926*10.5%,0)</f>
        <v>0</v>
      </c>
      <c r="Q926" s="185">
        <f t="shared" ref="Q926:Q939" si="278">MAX(O926,P926)</f>
        <v>0</v>
      </c>
      <c r="R926" s="162" t="b">
        <f t="shared" si="272"/>
        <v>0</v>
      </c>
    </row>
    <row r="927" spans="1:18">
      <c r="A927" s="129" t="s">
        <v>259</v>
      </c>
      <c r="B927" s="129" t="s">
        <v>4163</v>
      </c>
      <c r="C927" s="129">
        <v>1980</v>
      </c>
      <c r="D927" s="129" t="s">
        <v>1868</v>
      </c>
      <c r="E927" s="129">
        <v>247</v>
      </c>
      <c r="F927" s="129">
        <v>0</v>
      </c>
      <c r="G927" s="129">
        <v>108</v>
      </c>
      <c r="H927" s="129">
        <v>0</v>
      </c>
      <c r="I927" s="129">
        <v>43.7</v>
      </c>
      <c r="J927" s="129">
        <v>0</v>
      </c>
      <c r="K927" s="129">
        <v>6.6</v>
      </c>
      <c r="L927" s="129">
        <f t="shared" si="273"/>
        <v>247</v>
      </c>
      <c r="M927" s="129">
        <f t="shared" si="274"/>
        <v>108</v>
      </c>
      <c r="N927" s="128">
        <f t="shared" si="275"/>
        <v>0.43719999999999998</v>
      </c>
      <c r="O927" s="164">
        <f t="shared" si="276"/>
        <v>6.6</v>
      </c>
      <c r="P927" s="185">
        <f t="shared" si="277"/>
        <v>0</v>
      </c>
      <c r="Q927" s="185">
        <f t="shared" si="278"/>
        <v>6.6</v>
      </c>
      <c r="R927" s="162" t="b">
        <f t="shared" si="272"/>
        <v>0</v>
      </c>
    </row>
    <row r="928" spans="1:18">
      <c r="A928" s="129" t="s">
        <v>259</v>
      </c>
      <c r="B928" s="129" t="s">
        <v>4163</v>
      </c>
      <c r="C928" s="129">
        <v>1981</v>
      </c>
      <c r="D928" s="129" t="s">
        <v>1870</v>
      </c>
      <c r="E928" s="129">
        <v>335</v>
      </c>
      <c r="F928" s="129">
        <v>0</v>
      </c>
      <c r="G928" s="129">
        <v>115</v>
      </c>
      <c r="H928" s="129">
        <v>0</v>
      </c>
      <c r="I928" s="129">
        <v>34.299999999999997</v>
      </c>
      <c r="J928" s="129">
        <v>0</v>
      </c>
      <c r="K928" s="129">
        <v>0</v>
      </c>
      <c r="L928" s="129">
        <f t="shared" si="273"/>
        <v>335</v>
      </c>
      <c r="M928" s="129">
        <f t="shared" si="274"/>
        <v>115</v>
      </c>
      <c r="N928" s="128">
        <f t="shared" si="275"/>
        <v>0.34329999999999999</v>
      </c>
      <c r="O928" s="164">
        <f t="shared" si="276"/>
        <v>0</v>
      </c>
      <c r="P928" s="185">
        <f t="shared" si="277"/>
        <v>0</v>
      </c>
      <c r="Q928" s="185">
        <f t="shared" si="278"/>
        <v>0</v>
      </c>
      <c r="R928" s="162" t="b">
        <f t="shared" si="272"/>
        <v>0</v>
      </c>
    </row>
    <row r="929" spans="1:18">
      <c r="A929" s="129" t="s">
        <v>259</v>
      </c>
      <c r="B929" s="129" t="s">
        <v>4163</v>
      </c>
      <c r="C929" s="129">
        <v>1984</v>
      </c>
      <c r="D929" s="129" t="s">
        <v>1872</v>
      </c>
      <c r="E929" s="129">
        <v>279</v>
      </c>
      <c r="F929" s="129">
        <v>0</v>
      </c>
      <c r="G929" s="129">
        <v>116</v>
      </c>
      <c r="H929" s="129">
        <v>0</v>
      </c>
      <c r="I929" s="129">
        <v>41.6</v>
      </c>
      <c r="J929" s="129">
        <v>0</v>
      </c>
      <c r="K929" s="129">
        <v>5.3</v>
      </c>
      <c r="L929" s="129">
        <f t="shared" si="273"/>
        <v>279</v>
      </c>
      <c r="M929" s="129">
        <f t="shared" si="274"/>
        <v>116</v>
      </c>
      <c r="N929" s="128">
        <f t="shared" si="275"/>
        <v>0.4158</v>
      </c>
      <c r="O929" s="164">
        <f t="shared" si="276"/>
        <v>5.3</v>
      </c>
      <c r="P929" s="185">
        <f t="shared" si="277"/>
        <v>0</v>
      </c>
      <c r="Q929" s="185">
        <f t="shared" si="278"/>
        <v>5.3</v>
      </c>
      <c r="R929" s="162" t="b">
        <f t="shared" si="272"/>
        <v>0</v>
      </c>
    </row>
    <row r="930" spans="1:18">
      <c r="A930" s="129" t="s">
        <v>259</v>
      </c>
      <c r="B930" s="129" t="s">
        <v>4163</v>
      </c>
      <c r="C930" s="129">
        <v>1985</v>
      </c>
      <c r="D930" s="129" t="s">
        <v>1874</v>
      </c>
      <c r="E930" s="129">
        <v>762</v>
      </c>
      <c r="F930" s="129">
        <v>0</v>
      </c>
      <c r="G930" s="129">
        <v>279</v>
      </c>
      <c r="H930" s="129">
        <v>0</v>
      </c>
      <c r="I930" s="129">
        <v>36.6</v>
      </c>
      <c r="J930" s="129">
        <v>0</v>
      </c>
      <c r="K930" s="129">
        <v>3.1</v>
      </c>
      <c r="L930" s="129">
        <f t="shared" si="273"/>
        <v>762</v>
      </c>
      <c r="M930" s="129">
        <f t="shared" si="274"/>
        <v>279</v>
      </c>
      <c r="N930" s="128">
        <f t="shared" si="275"/>
        <v>0.36609999999999998</v>
      </c>
      <c r="O930" s="164">
        <f t="shared" si="276"/>
        <v>3.1</v>
      </c>
      <c r="P930" s="185">
        <f t="shared" si="277"/>
        <v>0</v>
      </c>
      <c r="Q930" s="185">
        <f t="shared" si="278"/>
        <v>3.1</v>
      </c>
      <c r="R930" s="162" t="b">
        <f t="shared" si="272"/>
        <v>0</v>
      </c>
    </row>
    <row r="931" spans="1:18">
      <c r="A931" s="129" t="s">
        <v>259</v>
      </c>
      <c r="B931" s="129" t="s">
        <v>4163</v>
      </c>
      <c r="C931" s="129">
        <v>1986</v>
      </c>
      <c r="D931" s="129" t="s">
        <v>1876</v>
      </c>
      <c r="E931" s="129">
        <v>1029</v>
      </c>
      <c r="F931" s="129">
        <v>0</v>
      </c>
      <c r="G931" s="129">
        <v>324</v>
      </c>
      <c r="H931" s="129">
        <v>0</v>
      </c>
      <c r="I931" s="129">
        <v>31.5</v>
      </c>
      <c r="J931" s="129">
        <v>0</v>
      </c>
      <c r="K931" s="129">
        <v>0</v>
      </c>
      <c r="L931" s="129">
        <f t="shared" si="273"/>
        <v>1029</v>
      </c>
      <c r="M931" s="129">
        <f t="shared" si="274"/>
        <v>324</v>
      </c>
      <c r="N931" s="128">
        <f t="shared" si="275"/>
        <v>0.31490000000000001</v>
      </c>
      <c r="O931" s="164">
        <f t="shared" si="276"/>
        <v>0</v>
      </c>
      <c r="P931" s="185">
        <f t="shared" si="277"/>
        <v>0</v>
      </c>
      <c r="Q931" s="185">
        <f t="shared" si="278"/>
        <v>0</v>
      </c>
      <c r="R931" s="162" t="b">
        <f t="shared" si="272"/>
        <v>0</v>
      </c>
    </row>
    <row r="932" spans="1:18">
      <c r="A932" s="129" t="s">
        <v>274</v>
      </c>
      <c r="B932" s="129" t="s">
        <v>3764</v>
      </c>
      <c r="C932" s="129">
        <v>2436</v>
      </c>
      <c r="D932" s="129" t="s">
        <v>1992</v>
      </c>
      <c r="E932" s="129">
        <v>369</v>
      </c>
      <c r="F932" s="129">
        <v>0</v>
      </c>
      <c r="G932" s="129">
        <v>178</v>
      </c>
      <c r="H932" s="129">
        <v>0</v>
      </c>
      <c r="I932" s="129">
        <v>48.2</v>
      </c>
      <c r="J932" s="129">
        <v>0</v>
      </c>
      <c r="K932" s="129">
        <v>16.5</v>
      </c>
      <c r="L932" s="129">
        <f t="shared" si="273"/>
        <v>369</v>
      </c>
      <c r="M932" s="129">
        <f t="shared" si="274"/>
        <v>178</v>
      </c>
      <c r="N932" s="128">
        <f t="shared" si="275"/>
        <v>0.4824</v>
      </c>
      <c r="O932" s="164">
        <f t="shared" si="276"/>
        <v>16.5</v>
      </c>
      <c r="P932" s="185">
        <f t="shared" si="277"/>
        <v>0</v>
      </c>
      <c r="Q932" s="185">
        <f t="shared" si="278"/>
        <v>16.5</v>
      </c>
      <c r="R932" s="162" t="b">
        <f t="shared" si="272"/>
        <v>0</v>
      </c>
    </row>
    <row r="933" spans="1:18">
      <c r="A933" s="129" t="s">
        <v>355</v>
      </c>
      <c r="B933" s="129" t="s">
        <v>3837</v>
      </c>
      <c r="C933" s="129">
        <v>4850</v>
      </c>
      <c r="D933" s="129" t="s">
        <v>2481</v>
      </c>
      <c r="E933" s="129">
        <v>266</v>
      </c>
      <c r="F933" s="129">
        <v>0</v>
      </c>
      <c r="G933" s="129">
        <v>76</v>
      </c>
      <c r="H933" s="129">
        <v>0</v>
      </c>
      <c r="I933" s="129">
        <v>28.6</v>
      </c>
      <c r="J933" s="129">
        <v>0</v>
      </c>
      <c r="K933" s="129">
        <v>0</v>
      </c>
      <c r="L933" s="129">
        <f t="shared" si="273"/>
        <v>266</v>
      </c>
      <c r="M933" s="129">
        <f t="shared" si="274"/>
        <v>76</v>
      </c>
      <c r="N933" s="128">
        <f t="shared" si="275"/>
        <v>0.28570000000000001</v>
      </c>
      <c r="O933" s="164">
        <f t="shared" si="276"/>
        <v>0</v>
      </c>
      <c r="P933" s="185">
        <f t="shared" si="277"/>
        <v>0</v>
      </c>
      <c r="Q933" s="185">
        <f t="shared" si="278"/>
        <v>0</v>
      </c>
      <c r="R933" s="162" t="b">
        <f t="shared" si="272"/>
        <v>0</v>
      </c>
    </row>
    <row r="934" spans="1:18">
      <c r="A934" s="129" t="s">
        <v>355</v>
      </c>
      <c r="B934" s="129" t="s">
        <v>3837</v>
      </c>
      <c r="C934" s="129">
        <v>4852</v>
      </c>
      <c r="D934" s="129" t="s">
        <v>2483</v>
      </c>
      <c r="E934" s="129">
        <v>589</v>
      </c>
      <c r="F934" s="129">
        <v>0</v>
      </c>
      <c r="G934" s="129">
        <v>161</v>
      </c>
      <c r="H934" s="129">
        <v>0</v>
      </c>
      <c r="I934" s="129">
        <v>27.3</v>
      </c>
      <c r="J934" s="129">
        <v>0</v>
      </c>
      <c r="K934" s="129">
        <v>0</v>
      </c>
      <c r="L934" s="129">
        <f t="shared" si="273"/>
        <v>589</v>
      </c>
      <c r="M934" s="129">
        <f t="shared" si="274"/>
        <v>161</v>
      </c>
      <c r="N934" s="128">
        <f t="shared" si="275"/>
        <v>0.27329999999999999</v>
      </c>
      <c r="O934" s="164">
        <f t="shared" si="276"/>
        <v>0</v>
      </c>
      <c r="P934" s="185">
        <f t="shared" si="277"/>
        <v>0</v>
      </c>
      <c r="Q934" s="185">
        <f t="shared" si="278"/>
        <v>0</v>
      </c>
      <c r="R934" s="162" t="b">
        <f t="shared" si="272"/>
        <v>0</v>
      </c>
    </row>
    <row r="935" spans="1:18">
      <c r="A935" s="129" t="s">
        <v>355</v>
      </c>
      <c r="B935" s="129" t="s">
        <v>3837</v>
      </c>
      <c r="C935" s="129">
        <v>4854</v>
      </c>
      <c r="D935" s="129" t="s">
        <v>2485</v>
      </c>
      <c r="E935" s="129">
        <v>260</v>
      </c>
      <c r="F935" s="129">
        <v>0</v>
      </c>
      <c r="G935" s="129">
        <v>104</v>
      </c>
      <c r="H935" s="129">
        <v>0</v>
      </c>
      <c r="I935" s="129">
        <v>40</v>
      </c>
      <c r="J935" s="129">
        <v>0</v>
      </c>
      <c r="K935" s="129">
        <v>3.6</v>
      </c>
      <c r="L935" s="129">
        <f t="shared" si="273"/>
        <v>260</v>
      </c>
      <c r="M935" s="129">
        <f t="shared" si="274"/>
        <v>104</v>
      </c>
      <c r="N935" s="128">
        <f t="shared" si="275"/>
        <v>0.4</v>
      </c>
      <c r="O935" s="164">
        <f t="shared" si="276"/>
        <v>3.6</v>
      </c>
      <c r="P935" s="185">
        <f t="shared" si="277"/>
        <v>0</v>
      </c>
      <c r="Q935" s="185">
        <f t="shared" si="278"/>
        <v>3.6</v>
      </c>
      <c r="R935" s="162" t="b">
        <f t="shared" si="272"/>
        <v>0</v>
      </c>
    </row>
    <row r="936" spans="1:18">
      <c r="A936" s="129" t="s">
        <v>355</v>
      </c>
      <c r="B936" s="129" t="s">
        <v>3837</v>
      </c>
      <c r="C936" s="129">
        <v>4856</v>
      </c>
      <c r="D936" s="129" t="s">
        <v>2487</v>
      </c>
      <c r="E936" s="129">
        <v>290</v>
      </c>
      <c r="F936" s="129">
        <v>0</v>
      </c>
      <c r="G936" s="129">
        <v>127</v>
      </c>
      <c r="H936" s="129">
        <v>0</v>
      </c>
      <c r="I936" s="129">
        <v>43.8</v>
      </c>
      <c r="J936" s="129">
        <v>0</v>
      </c>
      <c r="K936" s="129">
        <v>7.8</v>
      </c>
      <c r="L936" s="129">
        <f t="shared" si="273"/>
        <v>290</v>
      </c>
      <c r="M936" s="129">
        <f t="shared" si="274"/>
        <v>127</v>
      </c>
      <c r="N936" s="128">
        <f t="shared" si="275"/>
        <v>0.43790000000000001</v>
      </c>
      <c r="O936" s="164">
        <f t="shared" si="276"/>
        <v>7.8</v>
      </c>
      <c r="P936" s="185">
        <f t="shared" si="277"/>
        <v>0</v>
      </c>
      <c r="Q936" s="185">
        <f t="shared" si="278"/>
        <v>7.8</v>
      </c>
      <c r="R936" s="162" t="b">
        <f t="shared" si="272"/>
        <v>0</v>
      </c>
    </row>
    <row r="937" spans="1:18">
      <c r="A937" s="129" t="s">
        <v>355</v>
      </c>
      <c r="B937" s="129" t="s">
        <v>3837</v>
      </c>
      <c r="C937" s="129">
        <v>4859</v>
      </c>
      <c r="D937" s="129" t="s">
        <v>2489</v>
      </c>
      <c r="E937" s="129">
        <v>295</v>
      </c>
      <c r="F937" s="129">
        <v>0</v>
      </c>
      <c r="G937" s="129">
        <v>89</v>
      </c>
      <c r="H937" s="129">
        <v>0</v>
      </c>
      <c r="I937" s="129">
        <v>30.2</v>
      </c>
      <c r="J937" s="129">
        <v>0</v>
      </c>
      <c r="K937" s="129">
        <v>0</v>
      </c>
      <c r="L937" s="129">
        <f t="shared" si="273"/>
        <v>295</v>
      </c>
      <c r="M937" s="129">
        <f t="shared" si="274"/>
        <v>89</v>
      </c>
      <c r="N937" s="128">
        <f t="shared" si="275"/>
        <v>0.30170000000000002</v>
      </c>
      <c r="O937" s="164">
        <f t="shared" si="276"/>
        <v>0</v>
      </c>
      <c r="P937" s="185">
        <f t="shared" si="277"/>
        <v>0</v>
      </c>
      <c r="Q937" s="185">
        <f t="shared" si="278"/>
        <v>0</v>
      </c>
      <c r="R937" s="162" t="b">
        <f t="shared" si="272"/>
        <v>0</v>
      </c>
    </row>
    <row r="938" spans="1:18">
      <c r="A938" s="129" t="s">
        <v>355</v>
      </c>
      <c r="B938" s="129" t="s">
        <v>3837</v>
      </c>
      <c r="C938" s="129">
        <v>4876</v>
      </c>
      <c r="D938" s="129" t="s">
        <v>2491</v>
      </c>
      <c r="E938" s="129">
        <v>319</v>
      </c>
      <c r="F938" s="129">
        <v>0</v>
      </c>
      <c r="G938" s="129">
        <v>65</v>
      </c>
      <c r="H938" s="129">
        <v>0</v>
      </c>
      <c r="I938" s="129">
        <v>20.399999999999999</v>
      </c>
      <c r="J938" s="129">
        <v>0</v>
      </c>
      <c r="K938" s="129">
        <v>0</v>
      </c>
      <c r="L938" s="129">
        <f t="shared" si="273"/>
        <v>319</v>
      </c>
      <c r="M938" s="129">
        <f t="shared" si="274"/>
        <v>65</v>
      </c>
      <c r="N938" s="128">
        <f t="shared" si="275"/>
        <v>0.20380000000000001</v>
      </c>
      <c r="O938" s="164">
        <f t="shared" si="276"/>
        <v>0</v>
      </c>
      <c r="P938" s="185">
        <f t="shared" si="277"/>
        <v>0</v>
      </c>
      <c r="Q938" s="185">
        <f t="shared" si="278"/>
        <v>0</v>
      </c>
      <c r="R938" s="162" t="b">
        <f t="shared" si="272"/>
        <v>0</v>
      </c>
    </row>
    <row r="939" spans="1:18">
      <c r="A939" s="129" t="s">
        <v>376</v>
      </c>
      <c r="B939" s="129" t="s">
        <v>2627</v>
      </c>
      <c r="C939" s="129">
        <v>5435</v>
      </c>
      <c r="D939" s="129" t="s">
        <v>2627</v>
      </c>
      <c r="E939" s="129">
        <v>189</v>
      </c>
      <c r="F939" s="129">
        <v>0</v>
      </c>
      <c r="G939" s="129">
        <v>74</v>
      </c>
      <c r="H939" s="129">
        <v>0</v>
      </c>
      <c r="I939" s="129">
        <v>39.15</v>
      </c>
      <c r="J939" s="129">
        <v>0</v>
      </c>
      <c r="K939" s="129">
        <v>2.1</v>
      </c>
      <c r="L939" s="129">
        <f t="shared" si="273"/>
        <v>189</v>
      </c>
      <c r="M939" s="129">
        <f t="shared" si="274"/>
        <v>74</v>
      </c>
      <c r="N939" s="128">
        <f t="shared" si="275"/>
        <v>0.39150000000000001</v>
      </c>
      <c r="O939" s="164">
        <f t="shared" si="276"/>
        <v>2.1</v>
      </c>
      <c r="P939" s="185">
        <f t="shared" si="277"/>
        <v>0</v>
      </c>
      <c r="Q939" s="185">
        <f t="shared" si="278"/>
        <v>2.1</v>
      </c>
      <c r="R939" s="162" t="b">
        <f t="shared" si="272"/>
        <v>0</v>
      </c>
    </row>
    <row r="940" spans="1:18">
      <c r="A940" s="129" t="s">
        <v>353</v>
      </c>
      <c r="B940" s="129" t="s">
        <v>3835</v>
      </c>
      <c r="C940" s="129">
        <v>4810</v>
      </c>
      <c r="D940" s="129" t="s">
        <v>2459</v>
      </c>
      <c r="E940" s="129">
        <v>967</v>
      </c>
      <c r="F940" s="129">
        <v>0</v>
      </c>
      <c r="G940" s="129">
        <v>422</v>
      </c>
      <c r="H940" s="129">
        <v>0</v>
      </c>
      <c r="I940" s="129">
        <v>43.6</v>
      </c>
      <c r="J940" s="129">
        <v>0</v>
      </c>
      <c r="K940" s="129">
        <v>25.5</v>
      </c>
      <c r="L940" s="129">
        <f t="shared" ref="L940:L947" si="279">SUM(E940:F940)</f>
        <v>967</v>
      </c>
      <c r="M940" s="129">
        <f t="shared" ref="M940:M947" si="280">SUM(G940:H940)</f>
        <v>422</v>
      </c>
      <c r="N940" s="128">
        <f t="shared" ref="N940:N947" si="281">IF(ISERROR(M940/L940),0,M940/L940)</f>
        <v>0.43640000000000001</v>
      </c>
      <c r="O940" s="164">
        <f t="shared" ref="O940:O947" si="282">IF(AND((N940-35%)&gt;0,N940&lt;50%),M940*(N940-35%)*0.7,0)</f>
        <v>25.5</v>
      </c>
      <c r="P940" s="185">
        <f t="shared" ref="P940:P947" si="283">IF(N940&gt;=50%,M940*10.5%,0)</f>
        <v>0</v>
      </c>
      <c r="Q940" s="185">
        <f t="shared" ref="Q940:Q947" si="284">MAX(O940,P940)</f>
        <v>25.5</v>
      </c>
      <c r="R940" s="162" t="b">
        <f t="shared" si="272"/>
        <v>0</v>
      </c>
    </row>
    <row r="941" spans="1:18">
      <c r="A941" s="129" t="s">
        <v>353</v>
      </c>
      <c r="B941" s="129" t="s">
        <v>3835</v>
      </c>
      <c r="C941" s="129">
        <v>4821</v>
      </c>
      <c r="D941" s="129" t="s">
        <v>2461</v>
      </c>
      <c r="E941" s="129">
        <v>467</v>
      </c>
      <c r="F941" s="129">
        <v>0</v>
      </c>
      <c r="G941" s="129">
        <v>230</v>
      </c>
      <c r="H941" s="129">
        <v>0</v>
      </c>
      <c r="I941" s="129">
        <v>49.3</v>
      </c>
      <c r="J941" s="129">
        <v>0</v>
      </c>
      <c r="K941" s="129">
        <v>22.9</v>
      </c>
      <c r="L941" s="129">
        <f t="shared" si="279"/>
        <v>467</v>
      </c>
      <c r="M941" s="129">
        <f t="shared" si="280"/>
        <v>230</v>
      </c>
      <c r="N941" s="128">
        <f t="shared" si="281"/>
        <v>0.49249999999999999</v>
      </c>
      <c r="O941" s="164">
        <f t="shared" si="282"/>
        <v>22.9</v>
      </c>
      <c r="P941" s="185">
        <f t="shared" si="283"/>
        <v>0</v>
      </c>
      <c r="Q941" s="185">
        <f t="shared" si="284"/>
        <v>22.9</v>
      </c>
      <c r="R941" s="162" t="b">
        <f t="shared" si="272"/>
        <v>0</v>
      </c>
    </row>
    <row r="942" spans="1:18">
      <c r="A942" s="129" t="s">
        <v>353</v>
      </c>
      <c r="B942" s="129" t="s">
        <v>3835</v>
      </c>
      <c r="C942" s="129">
        <v>4823</v>
      </c>
      <c r="D942" s="129" t="s">
        <v>2463</v>
      </c>
      <c r="E942" s="129">
        <v>348</v>
      </c>
      <c r="F942" s="129">
        <v>0</v>
      </c>
      <c r="G942" s="129">
        <v>225</v>
      </c>
      <c r="H942" s="129">
        <v>0</v>
      </c>
      <c r="I942" s="129">
        <v>64.7</v>
      </c>
      <c r="J942" s="129">
        <v>23.6</v>
      </c>
      <c r="K942" s="129">
        <v>0</v>
      </c>
      <c r="L942" s="129">
        <f t="shared" si="279"/>
        <v>348</v>
      </c>
      <c r="M942" s="129">
        <f t="shared" si="280"/>
        <v>225</v>
      </c>
      <c r="N942" s="128">
        <f t="shared" si="281"/>
        <v>0.64659999999999995</v>
      </c>
      <c r="O942" s="164">
        <f t="shared" si="282"/>
        <v>0</v>
      </c>
      <c r="P942" s="185">
        <f t="shared" si="283"/>
        <v>23.6</v>
      </c>
      <c r="Q942" s="185">
        <f t="shared" si="284"/>
        <v>23.6</v>
      </c>
      <c r="R942" s="162" t="b">
        <f t="shared" si="272"/>
        <v>0</v>
      </c>
    </row>
    <row r="943" spans="1:18">
      <c r="A943" s="129" t="s">
        <v>353</v>
      </c>
      <c r="B943" s="129" t="s">
        <v>3835</v>
      </c>
      <c r="C943" s="129">
        <v>4824</v>
      </c>
      <c r="D943" s="129" t="s">
        <v>2465</v>
      </c>
      <c r="E943" s="129">
        <v>450</v>
      </c>
      <c r="F943" s="129">
        <v>0</v>
      </c>
      <c r="G943" s="129">
        <v>221</v>
      </c>
      <c r="H943" s="129">
        <v>0</v>
      </c>
      <c r="I943" s="129">
        <v>49.1</v>
      </c>
      <c r="J943" s="129">
        <v>0</v>
      </c>
      <c r="K943" s="129">
        <v>21.8</v>
      </c>
      <c r="L943" s="129">
        <f t="shared" si="279"/>
        <v>450</v>
      </c>
      <c r="M943" s="129">
        <f t="shared" si="280"/>
        <v>221</v>
      </c>
      <c r="N943" s="128">
        <f t="shared" si="281"/>
        <v>0.49109999999999998</v>
      </c>
      <c r="O943" s="164">
        <f t="shared" si="282"/>
        <v>21.8</v>
      </c>
      <c r="P943" s="185">
        <f t="shared" si="283"/>
        <v>0</v>
      </c>
      <c r="Q943" s="185">
        <f t="shared" si="284"/>
        <v>21.8</v>
      </c>
      <c r="R943" s="162" t="b">
        <f t="shared" si="272"/>
        <v>0</v>
      </c>
    </row>
    <row r="944" spans="1:18">
      <c r="A944" s="129" t="s">
        <v>353</v>
      </c>
      <c r="B944" s="129" t="s">
        <v>3835</v>
      </c>
      <c r="C944" s="129">
        <v>4827</v>
      </c>
      <c r="D944" s="129" t="s">
        <v>2467</v>
      </c>
      <c r="E944" s="129">
        <v>292</v>
      </c>
      <c r="F944" s="129">
        <v>0</v>
      </c>
      <c r="G944" s="129">
        <v>123</v>
      </c>
      <c r="H944" s="129">
        <v>0</v>
      </c>
      <c r="I944" s="129">
        <v>42.1</v>
      </c>
      <c r="J944" s="129">
        <v>0</v>
      </c>
      <c r="K944" s="129">
        <v>6.1</v>
      </c>
      <c r="L944" s="129">
        <f t="shared" si="279"/>
        <v>292</v>
      </c>
      <c r="M944" s="129">
        <f t="shared" si="280"/>
        <v>123</v>
      </c>
      <c r="N944" s="128">
        <f t="shared" si="281"/>
        <v>0.42120000000000002</v>
      </c>
      <c r="O944" s="164">
        <f t="shared" si="282"/>
        <v>6.1</v>
      </c>
      <c r="P944" s="185">
        <f t="shared" si="283"/>
        <v>0</v>
      </c>
      <c r="Q944" s="185">
        <f t="shared" si="284"/>
        <v>6.1</v>
      </c>
      <c r="R944" s="162" t="b">
        <f t="shared" si="272"/>
        <v>0</v>
      </c>
    </row>
    <row r="945" spans="1:18">
      <c r="A945" s="129" t="s">
        <v>353</v>
      </c>
      <c r="B945" s="129" t="s">
        <v>3835</v>
      </c>
      <c r="C945" s="129">
        <v>4831</v>
      </c>
      <c r="D945" s="129" t="s">
        <v>2469</v>
      </c>
      <c r="E945" s="129">
        <v>316</v>
      </c>
      <c r="F945" s="129">
        <v>0</v>
      </c>
      <c r="G945" s="129">
        <v>157</v>
      </c>
      <c r="H945" s="129">
        <v>0</v>
      </c>
      <c r="I945" s="129">
        <v>49.7</v>
      </c>
      <c r="J945" s="129">
        <v>0</v>
      </c>
      <c r="K945" s="129">
        <v>16.100000000000001</v>
      </c>
      <c r="L945" s="129">
        <f t="shared" si="279"/>
        <v>316</v>
      </c>
      <c r="M945" s="129">
        <f t="shared" si="280"/>
        <v>157</v>
      </c>
      <c r="N945" s="128">
        <f t="shared" si="281"/>
        <v>0.49680000000000002</v>
      </c>
      <c r="O945" s="164">
        <f t="shared" si="282"/>
        <v>16.100000000000001</v>
      </c>
      <c r="P945" s="185">
        <f t="shared" si="283"/>
        <v>0</v>
      </c>
      <c r="Q945" s="185">
        <f t="shared" si="284"/>
        <v>16.100000000000001</v>
      </c>
      <c r="R945" s="162" t="b">
        <f t="shared" si="272"/>
        <v>0</v>
      </c>
    </row>
    <row r="946" spans="1:18">
      <c r="A946" s="129" t="s">
        <v>353</v>
      </c>
      <c r="B946" s="129" t="s">
        <v>3835</v>
      </c>
      <c r="C946" s="129">
        <v>4842</v>
      </c>
      <c r="D946" s="129" t="s">
        <v>2471</v>
      </c>
      <c r="E946" s="129">
        <v>208</v>
      </c>
      <c r="F946" s="129">
        <v>0</v>
      </c>
      <c r="G946" s="129">
        <v>125</v>
      </c>
      <c r="H946" s="129">
        <v>0</v>
      </c>
      <c r="I946" s="129">
        <v>60.1</v>
      </c>
      <c r="J946" s="129">
        <v>13.1</v>
      </c>
      <c r="K946" s="129">
        <v>0</v>
      </c>
      <c r="L946" s="129">
        <f t="shared" si="279"/>
        <v>208</v>
      </c>
      <c r="M946" s="129">
        <f t="shared" si="280"/>
        <v>125</v>
      </c>
      <c r="N946" s="128">
        <f t="shared" si="281"/>
        <v>0.60099999999999998</v>
      </c>
      <c r="O946" s="164">
        <f t="shared" si="282"/>
        <v>0</v>
      </c>
      <c r="P946" s="185">
        <f t="shared" si="283"/>
        <v>13.1</v>
      </c>
      <c r="Q946" s="185">
        <f t="shared" si="284"/>
        <v>13.1</v>
      </c>
      <c r="R946" s="162" t="b">
        <f t="shared" si="272"/>
        <v>0</v>
      </c>
    </row>
    <row r="947" spans="1:18">
      <c r="A947" s="129" t="s">
        <v>353</v>
      </c>
      <c r="B947" s="129" t="s">
        <v>3835</v>
      </c>
      <c r="C947" s="129">
        <v>4847</v>
      </c>
      <c r="D947" s="129" t="s">
        <v>2473</v>
      </c>
      <c r="E947" s="129">
        <v>55</v>
      </c>
      <c r="F947" s="129">
        <v>0</v>
      </c>
      <c r="G947" s="129">
        <v>33</v>
      </c>
      <c r="H947" s="129">
        <v>0</v>
      </c>
      <c r="I947" s="129">
        <v>60</v>
      </c>
      <c r="J947" s="129">
        <v>3.5</v>
      </c>
      <c r="K947" s="129">
        <v>0</v>
      </c>
      <c r="L947" s="129">
        <f t="shared" si="279"/>
        <v>55</v>
      </c>
      <c r="M947" s="129">
        <f t="shared" si="280"/>
        <v>33</v>
      </c>
      <c r="N947" s="128">
        <f t="shared" si="281"/>
        <v>0.6</v>
      </c>
      <c r="O947" s="164">
        <f t="shared" si="282"/>
        <v>0</v>
      </c>
      <c r="P947" s="185">
        <f t="shared" si="283"/>
        <v>3.5</v>
      </c>
      <c r="Q947" s="185">
        <f t="shared" si="284"/>
        <v>3.5</v>
      </c>
      <c r="R947" s="162" t="b">
        <f t="shared" si="272"/>
        <v>0</v>
      </c>
    </row>
    <row r="948" spans="1:18">
      <c r="A948" s="129" t="s">
        <v>250</v>
      </c>
      <c r="B948" s="129" t="s">
        <v>3741</v>
      </c>
      <c r="C948" s="129">
        <v>1414</v>
      </c>
      <c r="D948" s="129" t="s">
        <v>1613</v>
      </c>
      <c r="E948" s="129">
        <v>386</v>
      </c>
      <c r="F948" s="129">
        <v>0</v>
      </c>
      <c r="G948" s="129">
        <v>175</v>
      </c>
      <c r="H948" s="129">
        <v>0</v>
      </c>
      <c r="I948" s="129">
        <v>45.3</v>
      </c>
      <c r="J948" s="129">
        <v>0</v>
      </c>
      <c r="K948" s="129">
        <v>12.7</v>
      </c>
      <c r="L948" s="129">
        <f t="shared" ref="L948:L965" si="285">SUM(E948:F948)</f>
        <v>386</v>
      </c>
      <c r="M948" s="129">
        <f t="shared" ref="M948:M965" si="286">SUM(G948:H948)</f>
        <v>175</v>
      </c>
      <c r="N948" s="128">
        <f t="shared" ref="N948:N965" si="287">IF(ISERROR(M948/L948),0,M948/L948)</f>
        <v>0.45340000000000003</v>
      </c>
      <c r="O948" s="164">
        <f t="shared" ref="O948:O965" si="288">IF(AND((N948-35%)&gt;0,N948&lt;50%),M948*(N948-35%)*0.7,0)</f>
        <v>12.7</v>
      </c>
      <c r="P948" s="185">
        <f t="shared" ref="P948:P965" si="289">IF(N948&gt;=50%,M948*10.5%,0)</f>
        <v>0</v>
      </c>
      <c r="Q948" s="185">
        <f t="shared" ref="Q948:Q965" si="290">MAX(O948,P948)</f>
        <v>12.7</v>
      </c>
      <c r="R948" s="162" t="b">
        <f t="shared" si="272"/>
        <v>0</v>
      </c>
    </row>
    <row r="949" spans="1:18">
      <c r="A949" s="129" t="s">
        <v>250</v>
      </c>
      <c r="B949" s="129" t="s">
        <v>3741</v>
      </c>
      <c r="C949" s="129">
        <v>1416</v>
      </c>
      <c r="D949" s="129" t="s">
        <v>1615</v>
      </c>
      <c r="E949" s="129">
        <v>281</v>
      </c>
      <c r="F949" s="129">
        <v>0</v>
      </c>
      <c r="G949" s="129">
        <v>141</v>
      </c>
      <c r="H949" s="129">
        <v>0</v>
      </c>
      <c r="I949" s="129">
        <v>50.2</v>
      </c>
      <c r="J949" s="129">
        <v>14.8</v>
      </c>
      <c r="K949" s="129">
        <v>0</v>
      </c>
      <c r="L949" s="129">
        <f t="shared" si="285"/>
        <v>281</v>
      </c>
      <c r="M949" s="129">
        <f t="shared" si="286"/>
        <v>141</v>
      </c>
      <c r="N949" s="128">
        <f t="shared" si="287"/>
        <v>0.50180000000000002</v>
      </c>
      <c r="O949" s="164">
        <f t="shared" si="288"/>
        <v>0</v>
      </c>
      <c r="P949" s="185">
        <f t="shared" si="289"/>
        <v>14.8</v>
      </c>
      <c r="Q949" s="185">
        <f t="shared" si="290"/>
        <v>14.8</v>
      </c>
      <c r="R949" s="162" t="b">
        <f t="shared" si="272"/>
        <v>0</v>
      </c>
    </row>
    <row r="950" spans="1:18">
      <c r="A950" s="129" t="s">
        <v>250</v>
      </c>
      <c r="B950" s="129" t="s">
        <v>3741</v>
      </c>
      <c r="C950" s="129">
        <v>1418</v>
      </c>
      <c r="D950" s="129" t="s">
        <v>1617</v>
      </c>
      <c r="E950" s="129">
        <v>244</v>
      </c>
      <c r="F950" s="129">
        <v>0</v>
      </c>
      <c r="G950" s="129">
        <v>178</v>
      </c>
      <c r="H950" s="129">
        <v>0</v>
      </c>
      <c r="I950" s="129">
        <v>73</v>
      </c>
      <c r="J950" s="129">
        <v>18.7</v>
      </c>
      <c r="K950" s="129">
        <v>0</v>
      </c>
      <c r="L950" s="129">
        <f t="shared" si="285"/>
        <v>244</v>
      </c>
      <c r="M950" s="129">
        <f t="shared" si="286"/>
        <v>178</v>
      </c>
      <c r="N950" s="128">
        <f t="shared" si="287"/>
        <v>0.72950000000000004</v>
      </c>
      <c r="O950" s="164">
        <f t="shared" si="288"/>
        <v>0</v>
      </c>
      <c r="P950" s="185">
        <f t="shared" si="289"/>
        <v>18.7</v>
      </c>
      <c r="Q950" s="185">
        <f t="shared" si="290"/>
        <v>18.7</v>
      </c>
      <c r="R950" s="162" t="b">
        <f t="shared" si="272"/>
        <v>0</v>
      </c>
    </row>
    <row r="951" spans="1:18">
      <c r="A951" s="129" t="s">
        <v>250</v>
      </c>
      <c r="B951" s="129" t="s">
        <v>3741</v>
      </c>
      <c r="C951" s="129">
        <v>1422</v>
      </c>
      <c r="D951" s="129" t="s">
        <v>1619</v>
      </c>
      <c r="E951" s="129">
        <v>852</v>
      </c>
      <c r="F951" s="129">
        <v>0</v>
      </c>
      <c r="G951" s="129">
        <v>442</v>
      </c>
      <c r="H951" s="129">
        <v>0</v>
      </c>
      <c r="I951" s="129">
        <v>51.9</v>
      </c>
      <c r="J951" s="129">
        <v>46.4</v>
      </c>
      <c r="K951" s="129">
        <v>0</v>
      </c>
      <c r="L951" s="129">
        <f t="shared" si="285"/>
        <v>852</v>
      </c>
      <c r="M951" s="129">
        <f t="shared" si="286"/>
        <v>442</v>
      </c>
      <c r="N951" s="128">
        <f t="shared" si="287"/>
        <v>0.51880000000000004</v>
      </c>
      <c r="O951" s="164">
        <f t="shared" si="288"/>
        <v>0</v>
      </c>
      <c r="P951" s="185">
        <f t="shared" si="289"/>
        <v>46.4</v>
      </c>
      <c r="Q951" s="185">
        <f t="shared" si="290"/>
        <v>46.4</v>
      </c>
      <c r="R951" s="162" t="b">
        <f t="shared" si="272"/>
        <v>0</v>
      </c>
    </row>
    <row r="952" spans="1:18">
      <c r="A952" s="129" t="s">
        <v>250</v>
      </c>
      <c r="B952" s="129" t="s">
        <v>3741</v>
      </c>
      <c r="C952" s="129">
        <v>1424</v>
      </c>
      <c r="D952" s="129" t="s">
        <v>1621</v>
      </c>
      <c r="E952" s="129">
        <v>1628</v>
      </c>
      <c r="F952" s="129">
        <v>0</v>
      </c>
      <c r="G952" s="129">
        <v>664</v>
      </c>
      <c r="H952" s="129">
        <v>0</v>
      </c>
      <c r="I952" s="129">
        <v>40.799999999999997</v>
      </c>
      <c r="J952" s="129">
        <v>0</v>
      </c>
      <c r="K952" s="129">
        <v>26.9</v>
      </c>
      <c r="L952" s="129">
        <f t="shared" si="285"/>
        <v>1628</v>
      </c>
      <c r="M952" s="129">
        <f t="shared" si="286"/>
        <v>664</v>
      </c>
      <c r="N952" s="128">
        <f t="shared" si="287"/>
        <v>0.40789999999999998</v>
      </c>
      <c r="O952" s="164">
        <f t="shared" si="288"/>
        <v>26.9</v>
      </c>
      <c r="P952" s="185">
        <f t="shared" si="289"/>
        <v>0</v>
      </c>
      <c r="Q952" s="185">
        <f t="shared" si="290"/>
        <v>26.9</v>
      </c>
      <c r="R952" s="162" t="b">
        <f t="shared" si="272"/>
        <v>0</v>
      </c>
    </row>
    <row r="953" spans="1:18">
      <c r="A953" s="129" t="s">
        <v>250</v>
      </c>
      <c r="B953" s="129" t="s">
        <v>3741</v>
      </c>
      <c r="C953" s="129">
        <v>1428</v>
      </c>
      <c r="D953" s="129" t="s">
        <v>1623</v>
      </c>
      <c r="E953" s="129">
        <v>213</v>
      </c>
      <c r="F953" s="129">
        <v>0</v>
      </c>
      <c r="G953" s="129">
        <v>131</v>
      </c>
      <c r="H953" s="129">
        <v>0</v>
      </c>
      <c r="I953" s="129">
        <v>61.5</v>
      </c>
      <c r="J953" s="129">
        <v>13.8</v>
      </c>
      <c r="K953" s="129">
        <v>0</v>
      </c>
      <c r="L953" s="129">
        <f t="shared" si="285"/>
        <v>213</v>
      </c>
      <c r="M953" s="129">
        <f t="shared" si="286"/>
        <v>131</v>
      </c>
      <c r="N953" s="128">
        <f t="shared" si="287"/>
        <v>0.61499999999999999</v>
      </c>
      <c r="O953" s="164">
        <f t="shared" si="288"/>
        <v>0</v>
      </c>
      <c r="P953" s="185">
        <f t="shared" si="289"/>
        <v>13.8</v>
      </c>
      <c r="Q953" s="185">
        <f t="shared" si="290"/>
        <v>13.8</v>
      </c>
      <c r="R953" s="162" t="b">
        <f t="shared" si="272"/>
        <v>0</v>
      </c>
    </row>
    <row r="954" spans="1:18">
      <c r="A954" s="129" t="s">
        <v>250</v>
      </c>
      <c r="B954" s="129" t="s">
        <v>3741</v>
      </c>
      <c r="C954" s="129">
        <v>1429</v>
      </c>
      <c r="D954" s="129" t="s">
        <v>1625</v>
      </c>
      <c r="E954" s="129">
        <v>420</v>
      </c>
      <c r="F954" s="129">
        <v>0</v>
      </c>
      <c r="G954" s="129">
        <v>290</v>
      </c>
      <c r="H954" s="129">
        <v>0</v>
      </c>
      <c r="I954" s="129">
        <v>69.099999999999994</v>
      </c>
      <c r="J954" s="129">
        <v>30.5</v>
      </c>
      <c r="K954" s="129">
        <v>0</v>
      </c>
      <c r="L954" s="129">
        <f t="shared" si="285"/>
        <v>420</v>
      </c>
      <c r="M954" s="129">
        <f t="shared" si="286"/>
        <v>290</v>
      </c>
      <c r="N954" s="128">
        <f t="shared" si="287"/>
        <v>0.6905</v>
      </c>
      <c r="O954" s="164">
        <f t="shared" si="288"/>
        <v>0</v>
      </c>
      <c r="P954" s="185">
        <f t="shared" si="289"/>
        <v>30.5</v>
      </c>
      <c r="Q954" s="185">
        <f t="shared" si="290"/>
        <v>30.5</v>
      </c>
      <c r="R954" s="162" t="b">
        <f t="shared" si="272"/>
        <v>0</v>
      </c>
    </row>
    <row r="955" spans="1:18">
      <c r="A955" s="129" t="s">
        <v>250</v>
      </c>
      <c r="B955" s="129" t="s">
        <v>3741</v>
      </c>
      <c r="C955" s="129">
        <v>1430</v>
      </c>
      <c r="D955" s="129" t="s">
        <v>1627</v>
      </c>
      <c r="E955" s="129">
        <v>367</v>
      </c>
      <c r="F955" s="129">
        <v>0</v>
      </c>
      <c r="G955" s="129">
        <v>132</v>
      </c>
      <c r="H955" s="129">
        <v>0</v>
      </c>
      <c r="I955" s="129">
        <v>36</v>
      </c>
      <c r="J955" s="129">
        <v>0</v>
      </c>
      <c r="K955" s="129">
        <v>0.9</v>
      </c>
      <c r="L955" s="129">
        <f t="shared" si="285"/>
        <v>367</v>
      </c>
      <c r="M955" s="129">
        <f t="shared" si="286"/>
        <v>132</v>
      </c>
      <c r="N955" s="128">
        <f t="shared" si="287"/>
        <v>0.35970000000000002</v>
      </c>
      <c r="O955" s="164">
        <f t="shared" si="288"/>
        <v>0.9</v>
      </c>
      <c r="P955" s="185">
        <f t="shared" si="289"/>
        <v>0</v>
      </c>
      <c r="Q955" s="185">
        <f t="shared" si="290"/>
        <v>0.9</v>
      </c>
      <c r="R955" s="162" t="b">
        <f t="shared" si="272"/>
        <v>0</v>
      </c>
    </row>
    <row r="956" spans="1:18">
      <c r="A956" s="129" t="s">
        <v>365</v>
      </c>
      <c r="B956" s="129" t="s">
        <v>3845</v>
      </c>
      <c r="C956" s="129">
        <v>5177</v>
      </c>
      <c r="D956" s="129" t="s">
        <v>2563</v>
      </c>
      <c r="E956" s="129">
        <v>408</v>
      </c>
      <c r="F956" s="129">
        <v>0</v>
      </c>
      <c r="G956" s="129">
        <v>96</v>
      </c>
      <c r="H956" s="129">
        <v>0</v>
      </c>
      <c r="I956" s="129">
        <v>23.5</v>
      </c>
      <c r="J956" s="129">
        <v>0</v>
      </c>
      <c r="K956" s="129">
        <v>0</v>
      </c>
      <c r="L956" s="129">
        <f t="shared" si="285"/>
        <v>408</v>
      </c>
      <c r="M956" s="129">
        <f t="shared" si="286"/>
        <v>96</v>
      </c>
      <c r="N956" s="128">
        <f t="shared" si="287"/>
        <v>0.23530000000000001</v>
      </c>
      <c r="O956" s="164">
        <f t="shared" si="288"/>
        <v>0</v>
      </c>
      <c r="P956" s="185">
        <f t="shared" si="289"/>
        <v>0</v>
      </c>
      <c r="Q956" s="185">
        <f t="shared" si="290"/>
        <v>0</v>
      </c>
      <c r="R956" s="162" t="b">
        <f t="shared" si="272"/>
        <v>0</v>
      </c>
    </row>
    <row r="957" spans="1:18">
      <c r="A957" s="129" t="s">
        <v>365</v>
      </c>
      <c r="B957" s="129" t="s">
        <v>3845</v>
      </c>
      <c r="C957" s="129">
        <v>5179</v>
      </c>
      <c r="D957" s="129" t="s">
        <v>2565</v>
      </c>
      <c r="E957" s="129">
        <v>739</v>
      </c>
      <c r="F957" s="129">
        <v>0</v>
      </c>
      <c r="G957" s="129">
        <v>129</v>
      </c>
      <c r="H957" s="129">
        <v>0</v>
      </c>
      <c r="I957" s="129">
        <v>17.5</v>
      </c>
      <c r="J957" s="129">
        <v>0</v>
      </c>
      <c r="K957" s="129">
        <v>0</v>
      </c>
      <c r="L957" s="129">
        <f t="shared" si="285"/>
        <v>739</v>
      </c>
      <c r="M957" s="129">
        <f t="shared" si="286"/>
        <v>129</v>
      </c>
      <c r="N957" s="128">
        <f t="shared" si="287"/>
        <v>0.17460000000000001</v>
      </c>
      <c r="O957" s="164">
        <f t="shared" si="288"/>
        <v>0</v>
      </c>
      <c r="P957" s="185">
        <f t="shared" si="289"/>
        <v>0</v>
      </c>
      <c r="Q957" s="185">
        <f t="shared" si="290"/>
        <v>0</v>
      </c>
      <c r="R957" s="162" t="b">
        <f t="shared" si="272"/>
        <v>0</v>
      </c>
    </row>
    <row r="958" spans="1:18">
      <c r="A958" s="129" t="s">
        <v>365</v>
      </c>
      <c r="B958" s="129" t="s">
        <v>3845</v>
      </c>
      <c r="C958" s="129">
        <v>5180</v>
      </c>
      <c r="D958" s="129" t="s">
        <v>2567</v>
      </c>
      <c r="E958" s="129">
        <v>1003</v>
      </c>
      <c r="F958" s="129">
        <v>0</v>
      </c>
      <c r="G958" s="129">
        <v>172</v>
      </c>
      <c r="H958" s="129">
        <v>0</v>
      </c>
      <c r="I958" s="129">
        <v>17.2</v>
      </c>
      <c r="J958" s="129">
        <v>0</v>
      </c>
      <c r="K958" s="129">
        <v>0</v>
      </c>
      <c r="L958" s="129">
        <f t="shared" si="285"/>
        <v>1003</v>
      </c>
      <c r="M958" s="129">
        <f t="shared" si="286"/>
        <v>172</v>
      </c>
      <c r="N958" s="128">
        <f t="shared" si="287"/>
        <v>0.17150000000000001</v>
      </c>
      <c r="O958" s="164">
        <f t="shared" si="288"/>
        <v>0</v>
      </c>
      <c r="P958" s="185">
        <f t="shared" si="289"/>
        <v>0</v>
      </c>
      <c r="Q958" s="185">
        <f t="shared" si="290"/>
        <v>0</v>
      </c>
      <c r="R958" s="162" t="b">
        <f t="shared" si="272"/>
        <v>0</v>
      </c>
    </row>
    <row r="959" spans="1:18">
      <c r="A959" s="129" t="s">
        <v>365</v>
      </c>
      <c r="B959" s="129" t="s">
        <v>3845</v>
      </c>
      <c r="C959" s="129">
        <v>5181</v>
      </c>
      <c r="D959" s="129" t="s">
        <v>2569</v>
      </c>
      <c r="E959" s="129">
        <v>500</v>
      </c>
      <c r="F959" s="129">
        <v>0</v>
      </c>
      <c r="G959" s="129">
        <v>61</v>
      </c>
      <c r="H959" s="129">
        <v>0</v>
      </c>
      <c r="I959" s="129">
        <v>12.2</v>
      </c>
      <c r="J959" s="129">
        <v>0</v>
      </c>
      <c r="K959" s="129">
        <v>0</v>
      </c>
      <c r="L959" s="129">
        <f t="shared" si="285"/>
        <v>500</v>
      </c>
      <c r="M959" s="129">
        <f t="shared" si="286"/>
        <v>61</v>
      </c>
      <c r="N959" s="128">
        <f t="shared" si="287"/>
        <v>0.122</v>
      </c>
      <c r="O959" s="164">
        <f t="shared" si="288"/>
        <v>0</v>
      </c>
      <c r="P959" s="185">
        <f t="shared" si="289"/>
        <v>0</v>
      </c>
      <c r="Q959" s="185">
        <f t="shared" si="290"/>
        <v>0</v>
      </c>
      <c r="R959" s="162" t="b">
        <f t="shared" si="272"/>
        <v>0</v>
      </c>
    </row>
    <row r="960" spans="1:18">
      <c r="A960" s="129" t="s">
        <v>365</v>
      </c>
      <c r="B960" s="129" t="s">
        <v>3845</v>
      </c>
      <c r="C960" s="129">
        <v>5182</v>
      </c>
      <c r="D960" s="129" t="s">
        <v>1593</v>
      </c>
      <c r="E960" s="129">
        <v>369</v>
      </c>
      <c r="F960" s="129">
        <v>0</v>
      </c>
      <c r="G960" s="129">
        <v>67</v>
      </c>
      <c r="H960" s="129">
        <v>0</v>
      </c>
      <c r="I960" s="129">
        <v>18.2</v>
      </c>
      <c r="J960" s="129">
        <v>0</v>
      </c>
      <c r="K960" s="129">
        <v>0</v>
      </c>
      <c r="L960" s="129">
        <f t="shared" si="285"/>
        <v>369</v>
      </c>
      <c r="M960" s="129">
        <f t="shared" si="286"/>
        <v>67</v>
      </c>
      <c r="N960" s="128">
        <f t="shared" si="287"/>
        <v>0.18160000000000001</v>
      </c>
      <c r="O960" s="164">
        <f t="shared" si="288"/>
        <v>0</v>
      </c>
      <c r="P960" s="185">
        <f t="shared" si="289"/>
        <v>0</v>
      </c>
      <c r="Q960" s="185">
        <f t="shared" si="290"/>
        <v>0</v>
      </c>
      <c r="R960" s="162" t="b">
        <f t="shared" si="272"/>
        <v>0</v>
      </c>
    </row>
    <row r="961" spans="1:18">
      <c r="A961" s="129" t="s">
        <v>365</v>
      </c>
      <c r="B961" s="129" t="s">
        <v>3845</v>
      </c>
      <c r="C961" s="129">
        <v>5183</v>
      </c>
      <c r="D961" s="129" t="s">
        <v>1351</v>
      </c>
      <c r="E961" s="129">
        <v>411</v>
      </c>
      <c r="F961" s="129">
        <v>0</v>
      </c>
      <c r="G961" s="129">
        <v>115</v>
      </c>
      <c r="H961" s="129">
        <v>0</v>
      </c>
      <c r="I961" s="129">
        <v>28</v>
      </c>
      <c r="J961" s="129">
        <v>0</v>
      </c>
      <c r="K961" s="129">
        <v>0</v>
      </c>
      <c r="L961" s="129">
        <f t="shared" si="285"/>
        <v>411</v>
      </c>
      <c r="M961" s="129">
        <f t="shared" si="286"/>
        <v>115</v>
      </c>
      <c r="N961" s="128">
        <f t="shared" si="287"/>
        <v>0.27979999999999999</v>
      </c>
      <c r="O961" s="164">
        <f t="shared" si="288"/>
        <v>0</v>
      </c>
      <c r="P961" s="185">
        <f t="shared" si="289"/>
        <v>0</v>
      </c>
      <c r="Q961" s="185">
        <f t="shared" si="290"/>
        <v>0</v>
      </c>
      <c r="R961" s="162" t="b">
        <f t="shared" si="272"/>
        <v>0</v>
      </c>
    </row>
    <row r="962" spans="1:18">
      <c r="A962" s="129" t="s">
        <v>365</v>
      </c>
      <c r="B962" s="129" t="s">
        <v>3845</v>
      </c>
      <c r="C962" s="129">
        <v>5184</v>
      </c>
      <c r="D962" s="129" t="s">
        <v>2036</v>
      </c>
      <c r="E962" s="129">
        <v>365</v>
      </c>
      <c r="F962" s="129">
        <v>0</v>
      </c>
      <c r="G962" s="129">
        <v>91</v>
      </c>
      <c r="H962" s="129">
        <v>0</v>
      </c>
      <c r="I962" s="129">
        <v>24.9</v>
      </c>
      <c r="J962" s="129">
        <v>0</v>
      </c>
      <c r="K962" s="129">
        <v>0</v>
      </c>
      <c r="L962" s="129">
        <f t="shared" si="285"/>
        <v>365</v>
      </c>
      <c r="M962" s="129">
        <f t="shared" si="286"/>
        <v>91</v>
      </c>
      <c r="N962" s="128">
        <f t="shared" si="287"/>
        <v>0.24929999999999999</v>
      </c>
      <c r="O962" s="164">
        <f t="shared" si="288"/>
        <v>0</v>
      </c>
      <c r="P962" s="185">
        <f t="shared" si="289"/>
        <v>0</v>
      </c>
      <c r="Q962" s="185">
        <f t="shared" si="290"/>
        <v>0</v>
      </c>
      <c r="R962" s="162" t="b">
        <f t="shared" si="272"/>
        <v>0</v>
      </c>
    </row>
    <row r="963" spans="1:18">
      <c r="A963" s="129" t="s">
        <v>365</v>
      </c>
      <c r="B963" s="129" t="s">
        <v>3845</v>
      </c>
      <c r="C963" s="129">
        <v>5185</v>
      </c>
      <c r="D963" s="129" t="s">
        <v>2574</v>
      </c>
      <c r="E963" s="129">
        <v>603</v>
      </c>
      <c r="F963" s="129">
        <v>0</v>
      </c>
      <c r="G963" s="129">
        <v>124</v>
      </c>
      <c r="H963" s="129">
        <v>0</v>
      </c>
      <c r="I963" s="129">
        <v>20.6</v>
      </c>
      <c r="J963" s="129">
        <v>0</v>
      </c>
      <c r="K963" s="129">
        <v>0</v>
      </c>
      <c r="L963" s="129">
        <f t="shared" si="285"/>
        <v>603</v>
      </c>
      <c r="M963" s="129">
        <f t="shared" si="286"/>
        <v>124</v>
      </c>
      <c r="N963" s="128">
        <f t="shared" si="287"/>
        <v>0.2056</v>
      </c>
      <c r="O963" s="164">
        <f t="shared" si="288"/>
        <v>0</v>
      </c>
      <c r="P963" s="185">
        <f t="shared" si="289"/>
        <v>0</v>
      </c>
      <c r="Q963" s="185">
        <f t="shared" si="290"/>
        <v>0</v>
      </c>
      <c r="R963" s="162" t="b">
        <f t="shared" si="272"/>
        <v>0</v>
      </c>
    </row>
    <row r="964" spans="1:18">
      <c r="A964" s="129" t="s">
        <v>365</v>
      </c>
      <c r="B964" s="129" t="s">
        <v>3845</v>
      </c>
      <c r="C964" s="129">
        <v>5186</v>
      </c>
      <c r="D964" s="129" t="s">
        <v>2576</v>
      </c>
      <c r="E964" s="129">
        <v>844</v>
      </c>
      <c r="F964" s="129">
        <v>0</v>
      </c>
      <c r="G964" s="129">
        <v>142</v>
      </c>
      <c r="H964" s="129">
        <v>0</v>
      </c>
      <c r="I964" s="129">
        <v>16.8</v>
      </c>
      <c r="J964" s="129">
        <v>0</v>
      </c>
      <c r="K964" s="129">
        <v>0</v>
      </c>
      <c r="L964" s="129">
        <f t="shared" si="285"/>
        <v>844</v>
      </c>
      <c r="M964" s="129">
        <f t="shared" si="286"/>
        <v>142</v>
      </c>
      <c r="N964" s="128">
        <f t="shared" si="287"/>
        <v>0.16819999999999999</v>
      </c>
      <c r="O964" s="164">
        <f t="shared" si="288"/>
        <v>0</v>
      </c>
      <c r="P964" s="185">
        <f t="shared" si="289"/>
        <v>0</v>
      </c>
      <c r="Q964" s="185">
        <f t="shared" si="290"/>
        <v>0</v>
      </c>
      <c r="R964" s="162" t="b">
        <f t="shared" si="272"/>
        <v>0</v>
      </c>
    </row>
    <row r="965" spans="1:18">
      <c r="A965" s="129" t="s">
        <v>365</v>
      </c>
      <c r="B965" s="129" t="s">
        <v>3845</v>
      </c>
      <c r="C965" s="129">
        <v>5187</v>
      </c>
      <c r="D965" s="129" t="s">
        <v>2578</v>
      </c>
      <c r="E965" s="129">
        <v>434</v>
      </c>
      <c r="F965" s="129">
        <v>0</v>
      </c>
      <c r="G965" s="129">
        <v>29</v>
      </c>
      <c r="H965" s="129">
        <v>0</v>
      </c>
      <c r="I965" s="129">
        <v>6.7</v>
      </c>
      <c r="J965" s="129">
        <v>0</v>
      </c>
      <c r="K965" s="129">
        <v>0</v>
      </c>
      <c r="L965" s="129">
        <f t="shared" si="285"/>
        <v>434</v>
      </c>
      <c r="M965" s="129">
        <f t="shared" si="286"/>
        <v>29</v>
      </c>
      <c r="N965" s="128">
        <f t="shared" si="287"/>
        <v>6.6799999999999998E-2</v>
      </c>
      <c r="O965" s="164">
        <f t="shared" si="288"/>
        <v>0</v>
      </c>
      <c r="P965" s="185">
        <f t="shared" si="289"/>
        <v>0</v>
      </c>
      <c r="Q965" s="185">
        <f t="shared" si="290"/>
        <v>0</v>
      </c>
      <c r="R965" s="162" t="b">
        <f t="shared" ref="R965:R1028" si="291">COUNTIF(C:C,C965)&gt;1</f>
        <v>0</v>
      </c>
    </row>
    <row r="966" spans="1:18">
      <c r="A966" s="129" t="s">
        <v>461</v>
      </c>
      <c r="B966" s="129" t="s">
        <v>3935</v>
      </c>
      <c r="C966" s="129">
        <v>8189</v>
      </c>
      <c r="D966" s="129" t="s">
        <v>1369</v>
      </c>
      <c r="E966" s="129">
        <v>452</v>
      </c>
      <c r="F966" s="129">
        <v>0</v>
      </c>
      <c r="G966" s="129">
        <v>175</v>
      </c>
      <c r="H966" s="129">
        <v>0</v>
      </c>
      <c r="I966" s="129">
        <v>38.700000000000003</v>
      </c>
      <c r="J966" s="129">
        <v>0</v>
      </c>
      <c r="K966" s="129">
        <v>4.5999999999999996</v>
      </c>
      <c r="L966" s="129">
        <f t="shared" ref="L966:L982" si="292">SUM(E966:F966)</f>
        <v>452</v>
      </c>
      <c r="M966" s="129">
        <f t="shared" ref="M966:M982" si="293">SUM(G966:H966)</f>
        <v>175</v>
      </c>
      <c r="N966" s="128">
        <f t="shared" ref="N966:N982" si="294">IF(ISERROR(M966/L966),0,M966/L966)</f>
        <v>0.38719999999999999</v>
      </c>
      <c r="O966" s="164">
        <f t="shared" ref="O966:O982" si="295">IF(AND((N966-35%)&gt;0,N966&lt;50%),M966*(N966-35%)*0.7,0)</f>
        <v>4.5999999999999996</v>
      </c>
      <c r="P966" s="185">
        <f t="shared" ref="P966:P982" si="296">IF(N966&gt;=50%,M966*10.5%,0)</f>
        <v>0</v>
      </c>
      <c r="Q966" s="185">
        <f t="shared" ref="Q966:Q982" si="297">MAX(O966,P966)</f>
        <v>4.5999999999999996</v>
      </c>
      <c r="R966" s="162" t="b">
        <f t="shared" si="291"/>
        <v>0</v>
      </c>
    </row>
    <row r="967" spans="1:18">
      <c r="A967" s="129" t="s">
        <v>461</v>
      </c>
      <c r="B967" s="129" t="s">
        <v>3935</v>
      </c>
      <c r="C967" s="129">
        <v>8190</v>
      </c>
      <c r="D967" s="129" t="s">
        <v>3230</v>
      </c>
      <c r="E967" s="129">
        <v>384</v>
      </c>
      <c r="F967" s="129">
        <v>0</v>
      </c>
      <c r="G967" s="129">
        <v>166</v>
      </c>
      <c r="H967" s="129">
        <v>0</v>
      </c>
      <c r="I967" s="129">
        <v>43.2</v>
      </c>
      <c r="J967" s="129">
        <v>0</v>
      </c>
      <c r="K967" s="129">
        <v>9.6</v>
      </c>
      <c r="L967" s="129">
        <f t="shared" si="292"/>
        <v>384</v>
      </c>
      <c r="M967" s="129">
        <f t="shared" si="293"/>
        <v>166</v>
      </c>
      <c r="N967" s="128">
        <f t="shared" si="294"/>
        <v>0.43230000000000002</v>
      </c>
      <c r="O967" s="164">
        <f t="shared" si="295"/>
        <v>9.6</v>
      </c>
      <c r="P967" s="185">
        <f t="shared" si="296"/>
        <v>0</v>
      </c>
      <c r="Q967" s="185">
        <f t="shared" si="297"/>
        <v>9.6</v>
      </c>
      <c r="R967" s="162" t="b">
        <f t="shared" si="291"/>
        <v>0</v>
      </c>
    </row>
    <row r="968" spans="1:18">
      <c r="A968" s="129" t="s">
        <v>461</v>
      </c>
      <c r="B968" s="129" t="s">
        <v>3935</v>
      </c>
      <c r="C968" s="129">
        <v>8194</v>
      </c>
      <c r="D968" s="129" t="s">
        <v>3232</v>
      </c>
      <c r="E968" s="129">
        <v>333</v>
      </c>
      <c r="F968" s="129">
        <v>0</v>
      </c>
      <c r="G968" s="129">
        <v>159</v>
      </c>
      <c r="H968" s="129">
        <v>0</v>
      </c>
      <c r="I968" s="129">
        <v>47.8</v>
      </c>
      <c r="J968" s="129">
        <v>0</v>
      </c>
      <c r="K968" s="129">
        <v>14.2</v>
      </c>
      <c r="L968" s="129">
        <f t="shared" si="292"/>
        <v>333</v>
      </c>
      <c r="M968" s="129">
        <f t="shared" si="293"/>
        <v>159</v>
      </c>
      <c r="N968" s="128">
        <f t="shared" si="294"/>
        <v>0.47749999999999998</v>
      </c>
      <c r="O968" s="164">
        <f t="shared" si="295"/>
        <v>14.2</v>
      </c>
      <c r="P968" s="185">
        <f t="shared" si="296"/>
        <v>0</v>
      </c>
      <c r="Q968" s="185">
        <f t="shared" si="297"/>
        <v>14.2</v>
      </c>
      <c r="R968" s="162" t="b">
        <f t="shared" si="291"/>
        <v>0</v>
      </c>
    </row>
    <row r="969" spans="1:18">
      <c r="A969" s="129" t="s">
        <v>461</v>
      </c>
      <c r="B969" s="129" t="s">
        <v>3935</v>
      </c>
      <c r="C969" s="129">
        <v>8195</v>
      </c>
      <c r="D969" s="129" t="s">
        <v>1219</v>
      </c>
      <c r="E969" s="129">
        <v>469</v>
      </c>
      <c r="F969" s="129">
        <v>0</v>
      </c>
      <c r="G969" s="129">
        <v>119</v>
      </c>
      <c r="H969" s="129">
        <v>0</v>
      </c>
      <c r="I969" s="129">
        <v>25.4</v>
      </c>
      <c r="J969" s="129">
        <v>0</v>
      </c>
      <c r="K969" s="129">
        <v>0</v>
      </c>
      <c r="L969" s="129">
        <f t="shared" si="292"/>
        <v>469</v>
      </c>
      <c r="M969" s="129">
        <f t="shared" si="293"/>
        <v>119</v>
      </c>
      <c r="N969" s="128">
        <f t="shared" si="294"/>
        <v>0.25369999999999998</v>
      </c>
      <c r="O969" s="164">
        <f t="shared" si="295"/>
        <v>0</v>
      </c>
      <c r="P969" s="185">
        <f t="shared" si="296"/>
        <v>0</v>
      </c>
      <c r="Q969" s="185">
        <f t="shared" si="297"/>
        <v>0</v>
      </c>
      <c r="R969" s="162" t="b">
        <f t="shared" si="291"/>
        <v>0</v>
      </c>
    </row>
    <row r="970" spans="1:18">
      <c r="A970" s="129" t="s">
        <v>461</v>
      </c>
      <c r="B970" s="129" t="s">
        <v>3935</v>
      </c>
      <c r="C970" s="129">
        <v>8198</v>
      </c>
      <c r="D970" s="129" t="s">
        <v>3235</v>
      </c>
      <c r="E970" s="129">
        <v>415</v>
      </c>
      <c r="F970" s="129">
        <v>0</v>
      </c>
      <c r="G970" s="129">
        <v>219</v>
      </c>
      <c r="H970" s="129">
        <v>0</v>
      </c>
      <c r="I970" s="129">
        <v>52.8</v>
      </c>
      <c r="J970" s="129">
        <v>23</v>
      </c>
      <c r="K970" s="129">
        <v>0</v>
      </c>
      <c r="L970" s="129">
        <f t="shared" si="292"/>
        <v>415</v>
      </c>
      <c r="M970" s="129">
        <f t="shared" si="293"/>
        <v>219</v>
      </c>
      <c r="N970" s="128">
        <f t="shared" si="294"/>
        <v>0.52769999999999995</v>
      </c>
      <c r="O970" s="164">
        <f t="shared" si="295"/>
        <v>0</v>
      </c>
      <c r="P970" s="185">
        <f t="shared" si="296"/>
        <v>23</v>
      </c>
      <c r="Q970" s="185">
        <f t="shared" si="297"/>
        <v>23</v>
      </c>
      <c r="R970" s="162" t="b">
        <f t="shared" si="291"/>
        <v>0</v>
      </c>
    </row>
    <row r="971" spans="1:18">
      <c r="A971" s="129" t="s">
        <v>461</v>
      </c>
      <c r="B971" s="129" t="s">
        <v>3935</v>
      </c>
      <c r="C971" s="129">
        <v>8202</v>
      </c>
      <c r="D971" s="129" t="s">
        <v>3237</v>
      </c>
      <c r="E971" s="129">
        <v>416</v>
      </c>
      <c r="F971" s="129">
        <v>0</v>
      </c>
      <c r="G971" s="129">
        <v>94</v>
      </c>
      <c r="H971" s="129">
        <v>0</v>
      </c>
      <c r="I971" s="129">
        <v>22.6</v>
      </c>
      <c r="J971" s="129">
        <v>0</v>
      </c>
      <c r="K971" s="129">
        <v>0</v>
      </c>
      <c r="L971" s="129">
        <f t="shared" si="292"/>
        <v>416</v>
      </c>
      <c r="M971" s="129">
        <f t="shared" si="293"/>
        <v>94</v>
      </c>
      <c r="N971" s="128">
        <f t="shared" si="294"/>
        <v>0.22600000000000001</v>
      </c>
      <c r="O971" s="164">
        <f t="shared" si="295"/>
        <v>0</v>
      </c>
      <c r="P971" s="185">
        <f t="shared" si="296"/>
        <v>0</v>
      </c>
      <c r="Q971" s="185">
        <f t="shared" si="297"/>
        <v>0</v>
      </c>
      <c r="R971" s="162" t="b">
        <f t="shared" si="291"/>
        <v>0</v>
      </c>
    </row>
    <row r="972" spans="1:18">
      <c r="A972" s="129" t="s">
        <v>461</v>
      </c>
      <c r="B972" s="129" t="s">
        <v>3935</v>
      </c>
      <c r="C972" s="129">
        <v>8204</v>
      </c>
      <c r="D972" s="129" t="s">
        <v>3239</v>
      </c>
      <c r="E972" s="129">
        <v>371</v>
      </c>
      <c r="F972" s="129">
        <v>0</v>
      </c>
      <c r="G972" s="129">
        <v>199</v>
      </c>
      <c r="H972" s="129">
        <v>0</v>
      </c>
      <c r="I972" s="129">
        <v>53.6</v>
      </c>
      <c r="J972" s="129">
        <v>20.9</v>
      </c>
      <c r="K972" s="129">
        <v>0</v>
      </c>
      <c r="L972" s="129">
        <f t="shared" si="292"/>
        <v>371</v>
      </c>
      <c r="M972" s="129">
        <f t="shared" si="293"/>
        <v>199</v>
      </c>
      <c r="N972" s="128">
        <f t="shared" si="294"/>
        <v>0.53639999999999999</v>
      </c>
      <c r="O972" s="164">
        <f t="shared" si="295"/>
        <v>0</v>
      </c>
      <c r="P972" s="185">
        <f t="shared" si="296"/>
        <v>20.9</v>
      </c>
      <c r="Q972" s="185">
        <f t="shared" si="297"/>
        <v>20.9</v>
      </c>
      <c r="R972" s="162" t="b">
        <f t="shared" si="291"/>
        <v>0</v>
      </c>
    </row>
    <row r="973" spans="1:18">
      <c r="A973" s="129" t="s">
        <v>461</v>
      </c>
      <c r="B973" s="129" t="s">
        <v>3935</v>
      </c>
      <c r="C973" s="129">
        <v>8208</v>
      </c>
      <c r="D973" s="129" t="s">
        <v>3241</v>
      </c>
      <c r="E973" s="129">
        <v>407</v>
      </c>
      <c r="F973" s="129">
        <v>0</v>
      </c>
      <c r="G973" s="129">
        <v>219</v>
      </c>
      <c r="H973" s="129">
        <v>0</v>
      </c>
      <c r="I973" s="129">
        <v>53.8</v>
      </c>
      <c r="J973" s="129">
        <v>23</v>
      </c>
      <c r="K973" s="129">
        <v>0</v>
      </c>
      <c r="L973" s="129">
        <f t="shared" si="292"/>
        <v>407</v>
      </c>
      <c r="M973" s="129">
        <f t="shared" si="293"/>
        <v>219</v>
      </c>
      <c r="N973" s="128">
        <f t="shared" si="294"/>
        <v>0.53810000000000002</v>
      </c>
      <c r="O973" s="164">
        <f t="shared" si="295"/>
        <v>0</v>
      </c>
      <c r="P973" s="185">
        <f t="shared" si="296"/>
        <v>23</v>
      </c>
      <c r="Q973" s="185">
        <f t="shared" si="297"/>
        <v>23</v>
      </c>
      <c r="R973" s="162" t="b">
        <f t="shared" si="291"/>
        <v>0</v>
      </c>
    </row>
    <row r="974" spans="1:18">
      <c r="A974" s="129" t="s">
        <v>461</v>
      </c>
      <c r="B974" s="129" t="s">
        <v>3935</v>
      </c>
      <c r="C974" s="129">
        <v>8210</v>
      </c>
      <c r="D974" s="129" t="s">
        <v>3243</v>
      </c>
      <c r="E974" s="129">
        <v>398</v>
      </c>
      <c r="F974" s="129">
        <v>0</v>
      </c>
      <c r="G974" s="129">
        <v>179</v>
      </c>
      <c r="H974" s="129">
        <v>0</v>
      </c>
      <c r="I974" s="129">
        <v>45</v>
      </c>
      <c r="J974" s="129">
        <v>0</v>
      </c>
      <c r="K974" s="129">
        <v>12.5</v>
      </c>
      <c r="L974" s="129">
        <f t="shared" si="292"/>
        <v>398</v>
      </c>
      <c r="M974" s="129">
        <f t="shared" si="293"/>
        <v>179</v>
      </c>
      <c r="N974" s="128">
        <f t="shared" si="294"/>
        <v>0.44969999999999999</v>
      </c>
      <c r="O974" s="164">
        <f t="shared" si="295"/>
        <v>12.5</v>
      </c>
      <c r="P974" s="185">
        <f t="shared" si="296"/>
        <v>0</v>
      </c>
      <c r="Q974" s="185">
        <f t="shared" si="297"/>
        <v>12.5</v>
      </c>
      <c r="R974" s="162" t="b">
        <f t="shared" si="291"/>
        <v>0</v>
      </c>
    </row>
    <row r="975" spans="1:18">
      <c r="A975" s="129" t="s">
        <v>461</v>
      </c>
      <c r="B975" s="129" t="s">
        <v>3935</v>
      </c>
      <c r="C975" s="129">
        <v>8212</v>
      </c>
      <c r="D975" s="129" t="s">
        <v>3245</v>
      </c>
      <c r="E975" s="129">
        <v>238</v>
      </c>
      <c r="F975" s="129">
        <v>0</v>
      </c>
      <c r="G975" s="129">
        <v>120</v>
      </c>
      <c r="H975" s="129">
        <v>0</v>
      </c>
      <c r="I975" s="129">
        <v>50.4</v>
      </c>
      <c r="J975" s="129">
        <v>12.6</v>
      </c>
      <c r="K975" s="129">
        <v>0</v>
      </c>
      <c r="L975" s="129">
        <f t="shared" si="292"/>
        <v>238</v>
      </c>
      <c r="M975" s="129">
        <f t="shared" si="293"/>
        <v>120</v>
      </c>
      <c r="N975" s="128">
        <f t="shared" si="294"/>
        <v>0.50419999999999998</v>
      </c>
      <c r="O975" s="164">
        <f t="shared" si="295"/>
        <v>0</v>
      </c>
      <c r="P975" s="185">
        <f t="shared" si="296"/>
        <v>12.6</v>
      </c>
      <c r="Q975" s="185">
        <f t="shared" si="297"/>
        <v>12.6</v>
      </c>
      <c r="R975" s="162" t="b">
        <f t="shared" si="291"/>
        <v>0</v>
      </c>
    </row>
    <row r="976" spans="1:18">
      <c r="A976" s="129" t="s">
        <v>461</v>
      </c>
      <c r="B976" s="129" t="s">
        <v>3935</v>
      </c>
      <c r="C976" s="129">
        <v>8213</v>
      </c>
      <c r="D976" s="129" t="s">
        <v>3247</v>
      </c>
      <c r="E976" s="129">
        <v>544</v>
      </c>
      <c r="F976" s="129">
        <v>0</v>
      </c>
      <c r="G976" s="129">
        <v>65</v>
      </c>
      <c r="H976" s="129">
        <v>0</v>
      </c>
      <c r="I976" s="129">
        <v>12</v>
      </c>
      <c r="J976" s="129">
        <v>0</v>
      </c>
      <c r="K976" s="129">
        <v>0</v>
      </c>
      <c r="L976" s="129">
        <f t="shared" si="292"/>
        <v>544</v>
      </c>
      <c r="M976" s="129">
        <f t="shared" si="293"/>
        <v>65</v>
      </c>
      <c r="N976" s="128">
        <f t="shared" si="294"/>
        <v>0.1195</v>
      </c>
      <c r="O976" s="164">
        <f t="shared" si="295"/>
        <v>0</v>
      </c>
      <c r="P976" s="185">
        <f t="shared" si="296"/>
        <v>0</v>
      </c>
      <c r="Q976" s="185">
        <f t="shared" si="297"/>
        <v>0</v>
      </c>
      <c r="R976" s="162" t="b">
        <f t="shared" si="291"/>
        <v>0</v>
      </c>
    </row>
    <row r="977" spans="1:18">
      <c r="A977" s="129" t="s">
        <v>461</v>
      </c>
      <c r="B977" s="129" t="s">
        <v>3935</v>
      </c>
      <c r="C977" s="129">
        <v>8214</v>
      </c>
      <c r="D977" s="129" t="s">
        <v>3249</v>
      </c>
      <c r="E977" s="129">
        <v>395</v>
      </c>
      <c r="F977" s="129">
        <v>0</v>
      </c>
      <c r="G977" s="129">
        <v>201</v>
      </c>
      <c r="H977" s="129">
        <v>0</v>
      </c>
      <c r="I977" s="129">
        <v>50.9</v>
      </c>
      <c r="J977" s="129">
        <v>21.1</v>
      </c>
      <c r="K977" s="129">
        <v>0</v>
      </c>
      <c r="L977" s="129">
        <f t="shared" si="292"/>
        <v>395</v>
      </c>
      <c r="M977" s="129">
        <f t="shared" si="293"/>
        <v>201</v>
      </c>
      <c r="N977" s="128">
        <f t="shared" si="294"/>
        <v>0.50890000000000002</v>
      </c>
      <c r="O977" s="164">
        <f t="shared" si="295"/>
        <v>0</v>
      </c>
      <c r="P977" s="185">
        <f t="shared" si="296"/>
        <v>21.1</v>
      </c>
      <c r="Q977" s="185">
        <f t="shared" si="297"/>
        <v>21.1</v>
      </c>
      <c r="R977" s="162" t="b">
        <f t="shared" si="291"/>
        <v>0</v>
      </c>
    </row>
    <row r="978" spans="1:18">
      <c r="A978" s="129" t="s">
        <v>461</v>
      </c>
      <c r="B978" s="129" t="s">
        <v>3935</v>
      </c>
      <c r="C978" s="129">
        <v>8215</v>
      </c>
      <c r="D978" s="129" t="s">
        <v>3251</v>
      </c>
      <c r="E978" s="129">
        <v>484</v>
      </c>
      <c r="F978" s="129">
        <v>0</v>
      </c>
      <c r="G978" s="129">
        <v>228</v>
      </c>
      <c r="H978" s="129">
        <v>0</v>
      </c>
      <c r="I978" s="129">
        <v>47.1</v>
      </c>
      <c r="J978" s="129">
        <v>0</v>
      </c>
      <c r="K978" s="129">
        <v>19.3</v>
      </c>
      <c r="L978" s="129">
        <f t="shared" si="292"/>
        <v>484</v>
      </c>
      <c r="M978" s="129">
        <f t="shared" si="293"/>
        <v>228</v>
      </c>
      <c r="N978" s="128">
        <f t="shared" si="294"/>
        <v>0.47110000000000002</v>
      </c>
      <c r="O978" s="164">
        <f t="shared" si="295"/>
        <v>19.3</v>
      </c>
      <c r="P978" s="185">
        <f t="shared" si="296"/>
        <v>0</v>
      </c>
      <c r="Q978" s="185">
        <f t="shared" si="297"/>
        <v>19.3</v>
      </c>
      <c r="R978" s="162" t="b">
        <f t="shared" si="291"/>
        <v>0</v>
      </c>
    </row>
    <row r="979" spans="1:18">
      <c r="A979" s="129" t="s">
        <v>461</v>
      </c>
      <c r="B979" s="129" t="s">
        <v>3935</v>
      </c>
      <c r="C979" s="129">
        <v>8216</v>
      </c>
      <c r="D979" s="129" t="s">
        <v>3253</v>
      </c>
      <c r="E979" s="129">
        <v>686</v>
      </c>
      <c r="F979" s="129">
        <v>0</v>
      </c>
      <c r="G979" s="129">
        <v>215</v>
      </c>
      <c r="H979" s="129">
        <v>0</v>
      </c>
      <c r="I979" s="129">
        <v>31.3</v>
      </c>
      <c r="J979" s="129">
        <v>0</v>
      </c>
      <c r="K979" s="129">
        <v>0</v>
      </c>
      <c r="L979" s="129">
        <f t="shared" si="292"/>
        <v>686</v>
      </c>
      <c r="M979" s="129">
        <f t="shared" si="293"/>
        <v>215</v>
      </c>
      <c r="N979" s="128">
        <f t="shared" si="294"/>
        <v>0.31340000000000001</v>
      </c>
      <c r="O979" s="164">
        <f t="shared" si="295"/>
        <v>0</v>
      </c>
      <c r="P979" s="185">
        <f t="shared" si="296"/>
        <v>0</v>
      </c>
      <c r="Q979" s="185">
        <f t="shared" si="297"/>
        <v>0</v>
      </c>
      <c r="R979" s="162" t="b">
        <f t="shared" si="291"/>
        <v>0</v>
      </c>
    </row>
    <row r="980" spans="1:18">
      <c r="A980" s="129" t="s">
        <v>461</v>
      </c>
      <c r="B980" s="129" t="s">
        <v>3935</v>
      </c>
      <c r="C980" s="129">
        <v>8217</v>
      </c>
      <c r="D980" s="129" t="s">
        <v>3255</v>
      </c>
      <c r="E980" s="129">
        <v>655</v>
      </c>
      <c r="F980" s="129">
        <v>0</v>
      </c>
      <c r="G980" s="129">
        <v>131</v>
      </c>
      <c r="H980" s="129">
        <v>0</v>
      </c>
      <c r="I980" s="129">
        <v>20</v>
      </c>
      <c r="J980" s="129">
        <v>0</v>
      </c>
      <c r="K980" s="129">
        <v>0</v>
      </c>
      <c r="L980" s="129">
        <f t="shared" si="292"/>
        <v>655</v>
      </c>
      <c r="M980" s="129">
        <f t="shared" si="293"/>
        <v>131</v>
      </c>
      <c r="N980" s="128">
        <f t="shared" si="294"/>
        <v>0.2</v>
      </c>
      <c r="O980" s="164">
        <f t="shared" si="295"/>
        <v>0</v>
      </c>
      <c r="P980" s="185">
        <f t="shared" si="296"/>
        <v>0</v>
      </c>
      <c r="Q980" s="185">
        <f t="shared" si="297"/>
        <v>0</v>
      </c>
      <c r="R980" s="162" t="b">
        <f t="shared" si="291"/>
        <v>0</v>
      </c>
    </row>
    <row r="981" spans="1:18">
      <c r="A981" s="129" t="s">
        <v>461</v>
      </c>
      <c r="B981" s="129" t="s">
        <v>3935</v>
      </c>
      <c r="C981" s="129">
        <v>8218</v>
      </c>
      <c r="D981" s="129" t="s">
        <v>3257</v>
      </c>
      <c r="E981" s="129">
        <v>1503</v>
      </c>
      <c r="F981" s="129">
        <v>0</v>
      </c>
      <c r="G981" s="129">
        <v>551</v>
      </c>
      <c r="H981" s="129">
        <v>0</v>
      </c>
      <c r="I981" s="129">
        <v>36.700000000000003</v>
      </c>
      <c r="J981" s="129">
        <v>0</v>
      </c>
      <c r="K981" s="129">
        <v>6.4</v>
      </c>
      <c r="L981" s="129">
        <f t="shared" si="292"/>
        <v>1503</v>
      </c>
      <c r="M981" s="129">
        <f t="shared" si="293"/>
        <v>551</v>
      </c>
      <c r="N981" s="128">
        <f t="shared" si="294"/>
        <v>0.36659999999999998</v>
      </c>
      <c r="O981" s="164">
        <f t="shared" si="295"/>
        <v>6.4</v>
      </c>
      <c r="P981" s="185">
        <f t="shared" si="296"/>
        <v>0</v>
      </c>
      <c r="Q981" s="185">
        <f t="shared" si="297"/>
        <v>6.4</v>
      </c>
      <c r="R981" s="162" t="b">
        <f t="shared" si="291"/>
        <v>0</v>
      </c>
    </row>
    <row r="982" spans="1:18">
      <c r="A982" s="129" t="s">
        <v>461</v>
      </c>
      <c r="B982" s="129" t="s">
        <v>3935</v>
      </c>
      <c r="C982" s="129">
        <v>8224</v>
      </c>
      <c r="D982" s="129" t="s">
        <v>3259</v>
      </c>
      <c r="E982" s="129">
        <v>1790</v>
      </c>
      <c r="F982" s="129">
        <v>0</v>
      </c>
      <c r="G982" s="129">
        <v>465</v>
      </c>
      <c r="H982" s="129">
        <v>0</v>
      </c>
      <c r="I982" s="129">
        <v>26</v>
      </c>
      <c r="J982" s="129">
        <v>0</v>
      </c>
      <c r="K982" s="129">
        <v>0</v>
      </c>
      <c r="L982" s="129">
        <f t="shared" si="292"/>
        <v>1790</v>
      </c>
      <c r="M982" s="129">
        <f t="shared" si="293"/>
        <v>465</v>
      </c>
      <c r="N982" s="128">
        <f t="shared" si="294"/>
        <v>0.25979999999999998</v>
      </c>
      <c r="O982" s="164">
        <f t="shared" si="295"/>
        <v>0</v>
      </c>
      <c r="P982" s="185">
        <f t="shared" si="296"/>
        <v>0</v>
      </c>
      <c r="Q982" s="185">
        <f t="shared" si="297"/>
        <v>0</v>
      </c>
      <c r="R982" s="162" t="b">
        <f t="shared" si="291"/>
        <v>0</v>
      </c>
    </row>
    <row r="983" spans="1:18">
      <c r="A983" s="129" t="s">
        <v>373</v>
      </c>
      <c r="B983" s="129" t="s">
        <v>4164</v>
      </c>
      <c r="C983" s="129">
        <v>5370</v>
      </c>
      <c r="D983" s="129" t="s">
        <v>2607</v>
      </c>
      <c r="E983" s="129">
        <v>422</v>
      </c>
      <c r="F983" s="129">
        <v>0</v>
      </c>
      <c r="G983" s="129">
        <v>114</v>
      </c>
      <c r="H983" s="129">
        <v>0</v>
      </c>
      <c r="I983" s="129">
        <v>27</v>
      </c>
      <c r="J983" s="129">
        <v>0</v>
      </c>
      <c r="K983" s="129">
        <v>0</v>
      </c>
      <c r="L983" s="129">
        <f t="shared" ref="L983:L989" si="298">SUM(E983:F983)</f>
        <v>422</v>
      </c>
      <c r="M983" s="129">
        <f t="shared" ref="M983:M989" si="299">SUM(G983:H983)</f>
        <v>114</v>
      </c>
      <c r="N983" s="128">
        <f t="shared" ref="N983:N989" si="300">IF(ISERROR(M983/L983),0,M983/L983)</f>
        <v>0.27010000000000001</v>
      </c>
      <c r="O983" s="164">
        <f t="shared" ref="O983:O989" si="301">IF(AND((N983-35%)&gt;0,N983&lt;50%),M983*(N983-35%)*0.7,0)</f>
        <v>0</v>
      </c>
      <c r="P983" s="185">
        <f t="shared" ref="P983:P989" si="302">IF(N983&gt;=50%,M983*10.5%,0)</f>
        <v>0</v>
      </c>
      <c r="Q983" s="185">
        <f t="shared" ref="Q983:Q989" si="303">MAX(O983,P983)</f>
        <v>0</v>
      </c>
      <c r="R983" s="162" t="b">
        <f t="shared" si="291"/>
        <v>0</v>
      </c>
    </row>
    <row r="984" spans="1:18">
      <c r="A984" s="129" t="s">
        <v>373</v>
      </c>
      <c r="B984" s="129" t="s">
        <v>4164</v>
      </c>
      <c r="C984" s="129">
        <v>5371</v>
      </c>
      <c r="D984" s="129" t="s">
        <v>2609</v>
      </c>
      <c r="E984" s="129">
        <v>328</v>
      </c>
      <c r="F984" s="129">
        <v>0</v>
      </c>
      <c r="G984" s="129">
        <v>99</v>
      </c>
      <c r="H984" s="129">
        <v>0</v>
      </c>
      <c r="I984" s="129">
        <v>30.2</v>
      </c>
      <c r="J984" s="129">
        <v>0</v>
      </c>
      <c r="K984" s="129">
        <v>0</v>
      </c>
      <c r="L984" s="129">
        <f t="shared" si="298"/>
        <v>328</v>
      </c>
      <c r="M984" s="129">
        <f t="shared" si="299"/>
        <v>99</v>
      </c>
      <c r="N984" s="128">
        <f t="shared" si="300"/>
        <v>0.30180000000000001</v>
      </c>
      <c r="O984" s="164">
        <f t="shared" si="301"/>
        <v>0</v>
      </c>
      <c r="P984" s="185">
        <f t="shared" si="302"/>
        <v>0</v>
      </c>
      <c r="Q984" s="185">
        <f t="shared" si="303"/>
        <v>0</v>
      </c>
      <c r="R984" s="162" t="b">
        <f t="shared" si="291"/>
        <v>0</v>
      </c>
    </row>
    <row r="985" spans="1:18">
      <c r="A985" s="129" t="s">
        <v>373</v>
      </c>
      <c r="B985" s="129" t="s">
        <v>4164</v>
      </c>
      <c r="C985" s="129">
        <v>5372</v>
      </c>
      <c r="D985" s="129" t="s">
        <v>2611</v>
      </c>
      <c r="E985" s="129">
        <v>544</v>
      </c>
      <c r="F985" s="129">
        <v>0</v>
      </c>
      <c r="G985" s="129">
        <v>140</v>
      </c>
      <c r="H985" s="129">
        <v>0</v>
      </c>
      <c r="I985" s="129">
        <v>25.7</v>
      </c>
      <c r="J985" s="129">
        <v>0</v>
      </c>
      <c r="K985" s="129">
        <v>0</v>
      </c>
      <c r="L985" s="129">
        <f t="shared" si="298"/>
        <v>544</v>
      </c>
      <c r="M985" s="129">
        <f t="shared" si="299"/>
        <v>140</v>
      </c>
      <c r="N985" s="128">
        <f t="shared" si="300"/>
        <v>0.25740000000000002</v>
      </c>
      <c r="O985" s="164">
        <f t="shared" si="301"/>
        <v>0</v>
      </c>
      <c r="P985" s="185">
        <f t="shared" si="302"/>
        <v>0</v>
      </c>
      <c r="Q985" s="185">
        <f t="shared" si="303"/>
        <v>0</v>
      </c>
      <c r="R985" s="162" t="b">
        <f t="shared" si="291"/>
        <v>0</v>
      </c>
    </row>
    <row r="986" spans="1:18">
      <c r="A986" s="129" t="s">
        <v>373</v>
      </c>
      <c r="B986" s="129" t="s">
        <v>4164</v>
      </c>
      <c r="C986" s="129">
        <v>5374</v>
      </c>
      <c r="D986" s="129" t="s">
        <v>2613</v>
      </c>
      <c r="E986" s="129">
        <v>328</v>
      </c>
      <c r="F986" s="129">
        <v>0</v>
      </c>
      <c r="G986" s="129">
        <v>90</v>
      </c>
      <c r="H986" s="129">
        <v>0</v>
      </c>
      <c r="I986" s="129">
        <v>27.4</v>
      </c>
      <c r="J986" s="129">
        <v>0</v>
      </c>
      <c r="K986" s="129">
        <v>0</v>
      </c>
      <c r="L986" s="129">
        <f t="shared" si="298"/>
        <v>328</v>
      </c>
      <c r="M986" s="129">
        <f t="shared" si="299"/>
        <v>90</v>
      </c>
      <c r="N986" s="128">
        <f t="shared" si="300"/>
        <v>0.27439999999999998</v>
      </c>
      <c r="O986" s="164">
        <f t="shared" si="301"/>
        <v>0</v>
      </c>
      <c r="P986" s="185">
        <f t="shared" si="302"/>
        <v>0</v>
      </c>
      <c r="Q986" s="185">
        <f t="shared" si="303"/>
        <v>0</v>
      </c>
      <c r="R986" s="162" t="b">
        <f t="shared" si="291"/>
        <v>0</v>
      </c>
    </row>
    <row r="987" spans="1:18">
      <c r="A987" s="129" t="s">
        <v>375</v>
      </c>
      <c r="B987" s="129" t="s">
        <v>4165</v>
      </c>
      <c r="C987" s="129">
        <v>5411</v>
      </c>
      <c r="D987" s="129" t="s">
        <v>2621</v>
      </c>
      <c r="E987" s="129">
        <v>261</v>
      </c>
      <c r="F987" s="129">
        <v>0</v>
      </c>
      <c r="G987" s="129">
        <v>106</v>
      </c>
      <c r="H987" s="129">
        <v>0</v>
      </c>
      <c r="I987" s="129">
        <v>40.6</v>
      </c>
      <c r="J987" s="129">
        <v>0</v>
      </c>
      <c r="K987" s="129">
        <v>4.2</v>
      </c>
      <c r="L987" s="129">
        <f t="shared" si="298"/>
        <v>261</v>
      </c>
      <c r="M987" s="129">
        <f t="shared" si="299"/>
        <v>106</v>
      </c>
      <c r="N987" s="128">
        <f t="shared" si="300"/>
        <v>0.40610000000000002</v>
      </c>
      <c r="O987" s="164">
        <f t="shared" si="301"/>
        <v>4.2</v>
      </c>
      <c r="P987" s="185">
        <f t="shared" si="302"/>
        <v>0</v>
      </c>
      <c r="Q987" s="185">
        <f t="shared" si="303"/>
        <v>4.2</v>
      </c>
      <c r="R987" s="162" t="b">
        <f t="shared" si="291"/>
        <v>0</v>
      </c>
    </row>
    <row r="988" spans="1:18">
      <c r="A988" s="129" t="s">
        <v>375</v>
      </c>
      <c r="B988" s="129" t="s">
        <v>4165</v>
      </c>
      <c r="C988" s="129">
        <v>5413</v>
      </c>
      <c r="D988" s="129" t="s">
        <v>2623</v>
      </c>
      <c r="E988" s="129">
        <v>133</v>
      </c>
      <c r="F988" s="129">
        <v>0</v>
      </c>
      <c r="G988" s="129">
        <v>56</v>
      </c>
      <c r="H988" s="129">
        <v>0</v>
      </c>
      <c r="I988" s="129">
        <v>42.1</v>
      </c>
      <c r="J988" s="129">
        <v>0</v>
      </c>
      <c r="K988" s="129">
        <v>2.8</v>
      </c>
      <c r="L988" s="129">
        <f t="shared" si="298"/>
        <v>133</v>
      </c>
      <c r="M988" s="129">
        <f t="shared" si="299"/>
        <v>56</v>
      </c>
      <c r="N988" s="128">
        <f t="shared" si="300"/>
        <v>0.42109999999999997</v>
      </c>
      <c r="O988" s="164">
        <f t="shared" si="301"/>
        <v>2.8</v>
      </c>
      <c r="P988" s="185">
        <f t="shared" si="302"/>
        <v>0</v>
      </c>
      <c r="Q988" s="185">
        <f t="shared" si="303"/>
        <v>2.8</v>
      </c>
      <c r="R988" s="162" t="b">
        <f t="shared" si="291"/>
        <v>0</v>
      </c>
    </row>
    <row r="989" spans="1:18">
      <c r="A989" s="129" t="s">
        <v>375</v>
      </c>
      <c r="B989" s="129" t="s">
        <v>4165</v>
      </c>
      <c r="C989" s="129">
        <v>5414</v>
      </c>
      <c r="D989" s="129" t="s">
        <v>2625</v>
      </c>
      <c r="E989" s="129">
        <v>205</v>
      </c>
      <c r="F989" s="129">
        <v>0</v>
      </c>
      <c r="G989" s="129">
        <v>61</v>
      </c>
      <c r="H989" s="129">
        <v>0</v>
      </c>
      <c r="I989" s="129">
        <v>29.8</v>
      </c>
      <c r="J989" s="129">
        <v>0</v>
      </c>
      <c r="K989" s="129">
        <v>0</v>
      </c>
      <c r="L989" s="129">
        <f t="shared" si="298"/>
        <v>205</v>
      </c>
      <c r="M989" s="129">
        <f t="shared" si="299"/>
        <v>61</v>
      </c>
      <c r="N989" s="128">
        <f t="shared" si="300"/>
        <v>0.29759999999999998</v>
      </c>
      <c r="O989" s="164">
        <f t="shared" si="301"/>
        <v>0</v>
      </c>
      <c r="P989" s="185">
        <f t="shared" si="302"/>
        <v>0</v>
      </c>
      <c r="Q989" s="185">
        <f t="shared" si="303"/>
        <v>0</v>
      </c>
      <c r="R989" s="162" t="b">
        <f t="shared" si="291"/>
        <v>0</v>
      </c>
    </row>
    <row r="990" spans="1:18">
      <c r="A990" s="129" t="s">
        <v>467</v>
      </c>
      <c r="B990" s="129" t="s">
        <v>3941</v>
      </c>
      <c r="C990" s="129">
        <v>8594</v>
      </c>
      <c r="D990" s="129" t="s">
        <v>3408</v>
      </c>
      <c r="E990" s="129">
        <v>263</v>
      </c>
      <c r="F990" s="129">
        <v>0</v>
      </c>
      <c r="G990" s="129">
        <v>183</v>
      </c>
      <c r="H990" s="129">
        <v>0</v>
      </c>
      <c r="I990" s="129">
        <v>69.599999999999994</v>
      </c>
      <c r="J990" s="129">
        <v>19.2</v>
      </c>
      <c r="K990" s="129">
        <v>0</v>
      </c>
      <c r="L990" s="129">
        <f t="shared" ref="L990:L994" si="304">SUM(E990:F990)</f>
        <v>263</v>
      </c>
      <c r="M990" s="129">
        <f t="shared" ref="M990:M994" si="305">SUM(G990:H990)</f>
        <v>183</v>
      </c>
      <c r="N990" s="128">
        <f t="shared" ref="N990:N994" si="306">IF(ISERROR(M990/L990),0,M990/L990)</f>
        <v>0.69579999999999997</v>
      </c>
      <c r="O990" s="164">
        <f t="shared" ref="O990:O994" si="307">IF(AND((N990-35%)&gt;0,N990&lt;50%),M990*(N990-35%)*0.7,0)</f>
        <v>0</v>
      </c>
      <c r="P990" s="185">
        <f t="shared" ref="P990:P994" si="308">IF(N990&gt;=50%,M990*10.5%,0)</f>
        <v>19.2</v>
      </c>
      <c r="Q990" s="185">
        <f t="shared" ref="Q990:Q994" si="309">MAX(O990,P990)</f>
        <v>19.2</v>
      </c>
      <c r="R990" s="162" t="b">
        <f t="shared" si="291"/>
        <v>0</v>
      </c>
    </row>
    <row r="991" spans="1:18">
      <c r="A991" s="129" t="s">
        <v>467</v>
      </c>
      <c r="B991" s="129" t="s">
        <v>3941</v>
      </c>
      <c r="C991" s="129">
        <v>8596</v>
      </c>
      <c r="D991" s="129" t="s">
        <v>3410</v>
      </c>
      <c r="E991" s="129">
        <v>413</v>
      </c>
      <c r="F991" s="129">
        <v>0</v>
      </c>
      <c r="G991" s="129">
        <v>261</v>
      </c>
      <c r="H991" s="129">
        <v>0</v>
      </c>
      <c r="I991" s="129">
        <v>63.2</v>
      </c>
      <c r="J991" s="129">
        <v>27.4</v>
      </c>
      <c r="K991" s="129">
        <v>0</v>
      </c>
      <c r="L991" s="129">
        <f t="shared" si="304"/>
        <v>413</v>
      </c>
      <c r="M991" s="129">
        <f t="shared" si="305"/>
        <v>261</v>
      </c>
      <c r="N991" s="128">
        <f t="shared" si="306"/>
        <v>0.63200000000000001</v>
      </c>
      <c r="O991" s="164">
        <f t="shared" si="307"/>
        <v>0</v>
      </c>
      <c r="P991" s="185">
        <f t="shared" si="308"/>
        <v>27.4</v>
      </c>
      <c r="Q991" s="185">
        <f t="shared" si="309"/>
        <v>27.4</v>
      </c>
      <c r="R991" s="162" t="b">
        <f t="shared" si="291"/>
        <v>0</v>
      </c>
    </row>
    <row r="992" spans="1:18">
      <c r="A992" s="129" t="s">
        <v>467</v>
      </c>
      <c r="B992" s="129" t="s">
        <v>3941</v>
      </c>
      <c r="C992" s="129">
        <v>8602</v>
      </c>
      <c r="D992" s="129" t="s">
        <v>3412</v>
      </c>
      <c r="E992" s="129">
        <v>189</v>
      </c>
      <c r="F992" s="129">
        <v>0</v>
      </c>
      <c r="G992" s="129">
        <v>127</v>
      </c>
      <c r="H992" s="129">
        <v>0</v>
      </c>
      <c r="I992" s="129">
        <v>67.2</v>
      </c>
      <c r="J992" s="129">
        <v>13.3</v>
      </c>
      <c r="K992" s="129">
        <v>0</v>
      </c>
      <c r="L992" s="129">
        <f t="shared" si="304"/>
        <v>189</v>
      </c>
      <c r="M992" s="129">
        <f t="shared" si="305"/>
        <v>127</v>
      </c>
      <c r="N992" s="128">
        <f t="shared" si="306"/>
        <v>0.67200000000000004</v>
      </c>
      <c r="O992" s="164">
        <f t="shared" si="307"/>
        <v>0</v>
      </c>
      <c r="P992" s="185">
        <f t="shared" si="308"/>
        <v>13.3</v>
      </c>
      <c r="Q992" s="185">
        <f t="shared" si="309"/>
        <v>13.3</v>
      </c>
      <c r="R992" s="162" t="b">
        <f t="shared" si="291"/>
        <v>0</v>
      </c>
    </row>
    <row r="993" spans="1:18">
      <c r="A993" s="129" t="s">
        <v>467</v>
      </c>
      <c r="B993" s="129" t="s">
        <v>3941</v>
      </c>
      <c r="C993" s="129">
        <v>8603</v>
      </c>
      <c r="D993" s="129" t="s">
        <v>3414</v>
      </c>
      <c r="E993" s="129">
        <v>188</v>
      </c>
      <c r="F993" s="129">
        <v>0</v>
      </c>
      <c r="G993" s="129">
        <v>132</v>
      </c>
      <c r="H993" s="129">
        <v>0</v>
      </c>
      <c r="I993" s="129">
        <v>70.2</v>
      </c>
      <c r="J993" s="129">
        <v>13.9</v>
      </c>
      <c r="K993" s="129">
        <v>0</v>
      </c>
      <c r="L993" s="129">
        <f t="shared" si="304"/>
        <v>188</v>
      </c>
      <c r="M993" s="129">
        <f t="shared" si="305"/>
        <v>132</v>
      </c>
      <c r="N993" s="128">
        <f t="shared" si="306"/>
        <v>0.70209999999999995</v>
      </c>
      <c r="O993" s="164">
        <f t="shared" si="307"/>
        <v>0</v>
      </c>
      <c r="P993" s="185">
        <f t="shared" si="308"/>
        <v>13.9</v>
      </c>
      <c r="Q993" s="185">
        <f t="shared" si="309"/>
        <v>13.9</v>
      </c>
      <c r="R993" s="162" t="b">
        <f t="shared" si="291"/>
        <v>0</v>
      </c>
    </row>
    <row r="994" spans="1:18">
      <c r="A994" s="129" t="s">
        <v>467</v>
      </c>
      <c r="B994" s="129" t="s">
        <v>3941</v>
      </c>
      <c r="C994" s="129">
        <v>8604</v>
      </c>
      <c r="D994" s="129" t="s">
        <v>3416</v>
      </c>
      <c r="E994" s="129">
        <v>258</v>
      </c>
      <c r="F994" s="129">
        <v>0</v>
      </c>
      <c r="G994" s="129">
        <v>193</v>
      </c>
      <c r="H994" s="129">
        <v>0</v>
      </c>
      <c r="I994" s="129">
        <v>74.8</v>
      </c>
      <c r="J994" s="129">
        <v>20.3</v>
      </c>
      <c r="K994" s="129">
        <v>0</v>
      </c>
      <c r="L994" s="129">
        <f t="shared" si="304"/>
        <v>258</v>
      </c>
      <c r="M994" s="129">
        <f t="shared" si="305"/>
        <v>193</v>
      </c>
      <c r="N994" s="128">
        <f t="shared" si="306"/>
        <v>0.74809999999999999</v>
      </c>
      <c r="O994" s="164">
        <f t="shared" si="307"/>
        <v>0</v>
      </c>
      <c r="P994" s="185">
        <f t="shared" si="308"/>
        <v>20.3</v>
      </c>
      <c r="Q994" s="185">
        <f t="shared" si="309"/>
        <v>20.3</v>
      </c>
      <c r="R994" s="162" t="b">
        <f t="shared" si="291"/>
        <v>0</v>
      </c>
    </row>
    <row r="995" spans="1:18">
      <c r="A995" s="129" t="s">
        <v>232</v>
      </c>
      <c r="B995" s="129" t="s">
        <v>3724</v>
      </c>
      <c r="C995" s="129">
        <v>845</v>
      </c>
      <c r="D995" s="129" t="s">
        <v>1409</v>
      </c>
      <c r="E995" s="129">
        <v>1964</v>
      </c>
      <c r="F995" s="129">
        <v>0</v>
      </c>
      <c r="G995" s="129">
        <v>264</v>
      </c>
      <c r="H995" s="129">
        <v>0</v>
      </c>
      <c r="I995" s="129">
        <v>13.4</v>
      </c>
      <c r="J995" s="129">
        <v>0</v>
      </c>
      <c r="K995" s="129">
        <v>0</v>
      </c>
      <c r="L995" s="129">
        <f t="shared" ref="L995:L1045" si="310">SUM(E995:F995)</f>
        <v>1964</v>
      </c>
      <c r="M995" s="129">
        <f t="shared" ref="M995:M1045" si="311">SUM(G995:H995)</f>
        <v>264</v>
      </c>
      <c r="N995" s="128">
        <f t="shared" ref="N995:N1045" si="312">IF(ISERROR(M995/L995),0,M995/L995)</f>
        <v>0.13439999999999999</v>
      </c>
      <c r="O995" s="164">
        <f t="shared" ref="O995:O1045" si="313">IF(AND((N995-35%)&gt;0,N995&lt;50%),M995*(N995-35%)*0.7,0)</f>
        <v>0</v>
      </c>
      <c r="P995" s="185">
        <f t="shared" ref="P995:P1045" si="314">IF(N995&gt;=50%,M995*10.5%,0)</f>
        <v>0</v>
      </c>
      <c r="Q995" s="185">
        <f t="shared" ref="Q995:Q1045" si="315">MAX(O995,P995)</f>
        <v>0</v>
      </c>
      <c r="R995" s="162" t="b">
        <f t="shared" si="291"/>
        <v>0</v>
      </c>
    </row>
    <row r="996" spans="1:18">
      <c r="A996" s="129" t="s">
        <v>232</v>
      </c>
      <c r="B996" s="129" t="s">
        <v>3724</v>
      </c>
      <c r="C996" s="129">
        <v>846</v>
      </c>
      <c r="D996" s="129" t="s">
        <v>1411</v>
      </c>
      <c r="E996" s="129">
        <v>439</v>
      </c>
      <c r="F996" s="129">
        <v>0</v>
      </c>
      <c r="G996" s="129">
        <v>61</v>
      </c>
      <c r="H996" s="129">
        <v>0</v>
      </c>
      <c r="I996" s="129">
        <v>13.9</v>
      </c>
      <c r="J996" s="129">
        <v>0</v>
      </c>
      <c r="K996" s="129">
        <v>0</v>
      </c>
      <c r="L996" s="129">
        <f t="shared" si="310"/>
        <v>439</v>
      </c>
      <c r="M996" s="129">
        <f t="shared" si="311"/>
        <v>61</v>
      </c>
      <c r="N996" s="128">
        <f t="shared" si="312"/>
        <v>0.13900000000000001</v>
      </c>
      <c r="O996" s="164">
        <f t="shared" si="313"/>
        <v>0</v>
      </c>
      <c r="P996" s="185">
        <f t="shared" si="314"/>
        <v>0</v>
      </c>
      <c r="Q996" s="185">
        <f t="shared" si="315"/>
        <v>0</v>
      </c>
      <c r="R996" s="162" t="b">
        <f t="shared" si="291"/>
        <v>0</v>
      </c>
    </row>
    <row r="997" spans="1:18">
      <c r="A997" s="129" t="s">
        <v>232</v>
      </c>
      <c r="B997" s="129" t="s">
        <v>3724</v>
      </c>
      <c r="C997" s="129">
        <v>847</v>
      </c>
      <c r="D997" s="129" t="s">
        <v>1413</v>
      </c>
      <c r="E997" s="129">
        <v>666</v>
      </c>
      <c r="F997" s="129">
        <v>0</v>
      </c>
      <c r="G997" s="129">
        <v>127</v>
      </c>
      <c r="H997" s="129">
        <v>0</v>
      </c>
      <c r="I997" s="129">
        <v>19.100000000000001</v>
      </c>
      <c r="J997" s="129">
        <v>0</v>
      </c>
      <c r="K997" s="129">
        <v>0</v>
      </c>
      <c r="L997" s="129">
        <f t="shared" si="310"/>
        <v>666</v>
      </c>
      <c r="M997" s="129">
        <f t="shared" si="311"/>
        <v>127</v>
      </c>
      <c r="N997" s="128">
        <f t="shared" si="312"/>
        <v>0.19070000000000001</v>
      </c>
      <c r="O997" s="164">
        <f t="shared" si="313"/>
        <v>0</v>
      </c>
      <c r="P997" s="185">
        <f t="shared" si="314"/>
        <v>0</v>
      </c>
      <c r="Q997" s="185">
        <f t="shared" si="315"/>
        <v>0</v>
      </c>
      <c r="R997" s="162" t="b">
        <f t="shared" si="291"/>
        <v>0</v>
      </c>
    </row>
    <row r="998" spans="1:18">
      <c r="A998" s="129" t="s">
        <v>232</v>
      </c>
      <c r="B998" s="129" t="s">
        <v>3724</v>
      </c>
      <c r="C998" s="129">
        <v>849</v>
      </c>
      <c r="D998" s="129" t="s">
        <v>1415</v>
      </c>
      <c r="E998" s="129">
        <v>307</v>
      </c>
      <c r="F998" s="129">
        <v>0</v>
      </c>
      <c r="G998" s="129">
        <v>34</v>
      </c>
      <c r="H998" s="129">
        <v>0</v>
      </c>
      <c r="I998" s="129">
        <v>11.1</v>
      </c>
      <c r="J998" s="129">
        <v>0</v>
      </c>
      <c r="K998" s="129">
        <v>0</v>
      </c>
      <c r="L998" s="129">
        <f t="shared" si="310"/>
        <v>307</v>
      </c>
      <c r="M998" s="129">
        <f t="shared" si="311"/>
        <v>34</v>
      </c>
      <c r="N998" s="128">
        <f t="shared" si="312"/>
        <v>0.11070000000000001</v>
      </c>
      <c r="O998" s="164">
        <f t="shared" si="313"/>
        <v>0</v>
      </c>
      <c r="P998" s="185">
        <f t="shared" si="314"/>
        <v>0</v>
      </c>
      <c r="Q998" s="185">
        <f t="shared" si="315"/>
        <v>0</v>
      </c>
      <c r="R998" s="162" t="b">
        <f t="shared" si="291"/>
        <v>0</v>
      </c>
    </row>
    <row r="999" spans="1:18">
      <c r="A999" s="129" t="s">
        <v>232</v>
      </c>
      <c r="B999" s="129" t="s">
        <v>3724</v>
      </c>
      <c r="C999" s="129">
        <v>850</v>
      </c>
      <c r="D999" s="129" t="s">
        <v>1417</v>
      </c>
      <c r="E999" s="129">
        <v>259</v>
      </c>
      <c r="F999" s="129">
        <v>0</v>
      </c>
      <c r="G999" s="129">
        <v>163</v>
      </c>
      <c r="H999" s="129">
        <v>0</v>
      </c>
      <c r="I999" s="129">
        <v>62.9</v>
      </c>
      <c r="J999" s="129">
        <v>17.100000000000001</v>
      </c>
      <c r="K999" s="129">
        <v>0</v>
      </c>
      <c r="L999" s="129">
        <f t="shared" si="310"/>
        <v>259</v>
      </c>
      <c r="M999" s="129">
        <f t="shared" si="311"/>
        <v>163</v>
      </c>
      <c r="N999" s="128">
        <f t="shared" si="312"/>
        <v>0.62929999999999997</v>
      </c>
      <c r="O999" s="164">
        <f t="shared" si="313"/>
        <v>0</v>
      </c>
      <c r="P999" s="185">
        <f t="shared" si="314"/>
        <v>17.100000000000001</v>
      </c>
      <c r="Q999" s="185">
        <f t="shared" si="315"/>
        <v>17.100000000000001</v>
      </c>
      <c r="R999" s="162" t="b">
        <f t="shared" si="291"/>
        <v>0</v>
      </c>
    </row>
    <row r="1000" spans="1:18">
      <c r="A1000" s="129" t="s">
        <v>232</v>
      </c>
      <c r="B1000" s="129" t="s">
        <v>3724</v>
      </c>
      <c r="C1000" s="129">
        <v>851</v>
      </c>
      <c r="D1000" s="129" t="s">
        <v>1419</v>
      </c>
      <c r="E1000" s="129">
        <v>348</v>
      </c>
      <c r="F1000" s="129">
        <v>0</v>
      </c>
      <c r="G1000" s="129">
        <v>170</v>
      </c>
      <c r="H1000" s="129">
        <v>0</v>
      </c>
      <c r="I1000" s="129">
        <v>48.9</v>
      </c>
      <c r="J1000" s="129">
        <v>0</v>
      </c>
      <c r="K1000" s="129">
        <v>16.5</v>
      </c>
      <c r="L1000" s="129">
        <f t="shared" si="310"/>
        <v>348</v>
      </c>
      <c r="M1000" s="129">
        <f t="shared" si="311"/>
        <v>170</v>
      </c>
      <c r="N1000" s="128">
        <f t="shared" si="312"/>
        <v>0.48849999999999999</v>
      </c>
      <c r="O1000" s="164">
        <f t="shared" si="313"/>
        <v>16.5</v>
      </c>
      <c r="P1000" s="185">
        <f t="shared" si="314"/>
        <v>0</v>
      </c>
      <c r="Q1000" s="185">
        <f t="shared" si="315"/>
        <v>16.5</v>
      </c>
      <c r="R1000" s="162" t="b">
        <f t="shared" si="291"/>
        <v>0</v>
      </c>
    </row>
    <row r="1001" spans="1:18">
      <c r="A1001" s="129" t="s">
        <v>232</v>
      </c>
      <c r="B1001" s="129" t="s">
        <v>3724</v>
      </c>
      <c r="C1001" s="129">
        <v>852</v>
      </c>
      <c r="D1001" s="129" t="s">
        <v>1421</v>
      </c>
      <c r="E1001" s="129">
        <v>248</v>
      </c>
      <c r="F1001" s="129">
        <v>0</v>
      </c>
      <c r="G1001" s="129">
        <v>141</v>
      </c>
      <c r="H1001" s="129">
        <v>0</v>
      </c>
      <c r="I1001" s="129">
        <v>56.9</v>
      </c>
      <c r="J1001" s="129">
        <v>14.8</v>
      </c>
      <c r="K1001" s="129">
        <v>0</v>
      </c>
      <c r="L1001" s="129">
        <f t="shared" si="310"/>
        <v>248</v>
      </c>
      <c r="M1001" s="129">
        <f t="shared" si="311"/>
        <v>141</v>
      </c>
      <c r="N1001" s="128">
        <f t="shared" si="312"/>
        <v>0.56850000000000001</v>
      </c>
      <c r="O1001" s="164">
        <f t="shared" si="313"/>
        <v>0</v>
      </c>
      <c r="P1001" s="185">
        <f t="shared" si="314"/>
        <v>14.8</v>
      </c>
      <c r="Q1001" s="185">
        <f t="shared" si="315"/>
        <v>14.8</v>
      </c>
      <c r="R1001" s="162" t="b">
        <f t="shared" si="291"/>
        <v>0</v>
      </c>
    </row>
    <row r="1002" spans="1:18">
      <c r="A1002" s="129" t="s">
        <v>232</v>
      </c>
      <c r="B1002" s="129" t="s">
        <v>3724</v>
      </c>
      <c r="C1002" s="129">
        <v>853</v>
      </c>
      <c r="D1002" s="129" t="s">
        <v>1423</v>
      </c>
      <c r="E1002" s="129">
        <v>328</v>
      </c>
      <c r="F1002" s="129">
        <v>0</v>
      </c>
      <c r="G1002" s="129">
        <v>77</v>
      </c>
      <c r="H1002" s="129">
        <v>0</v>
      </c>
      <c r="I1002" s="129">
        <v>23.5</v>
      </c>
      <c r="J1002" s="129">
        <v>0</v>
      </c>
      <c r="K1002" s="129">
        <v>0</v>
      </c>
      <c r="L1002" s="129">
        <f t="shared" si="310"/>
        <v>328</v>
      </c>
      <c r="M1002" s="129">
        <f t="shared" si="311"/>
        <v>77</v>
      </c>
      <c r="N1002" s="128">
        <f t="shared" si="312"/>
        <v>0.23480000000000001</v>
      </c>
      <c r="O1002" s="164">
        <f t="shared" si="313"/>
        <v>0</v>
      </c>
      <c r="P1002" s="185">
        <f t="shared" si="314"/>
        <v>0</v>
      </c>
      <c r="Q1002" s="185">
        <f t="shared" si="315"/>
        <v>0</v>
      </c>
      <c r="R1002" s="162" t="b">
        <f t="shared" si="291"/>
        <v>0</v>
      </c>
    </row>
    <row r="1003" spans="1:18">
      <c r="A1003" s="129" t="s">
        <v>232</v>
      </c>
      <c r="B1003" s="129" t="s">
        <v>3724</v>
      </c>
      <c r="C1003" s="129">
        <v>854</v>
      </c>
      <c r="D1003" s="129" t="s">
        <v>1425</v>
      </c>
      <c r="E1003" s="129">
        <v>238</v>
      </c>
      <c r="F1003" s="129">
        <v>0</v>
      </c>
      <c r="G1003" s="129">
        <v>141</v>
      </c>
      <c r="H1003" s="129">
        <v>0</v>
      </c>
      <c r="I1003" s="129">
        <v>59.2</v>
      </c>
      <c r="J1003" s="129">
        <v>14.8</v>
      </c>
      <c r="K1003" s="129">
        <v>0</v>
      </c>
      <c r="L1003" s="129">
        <f t="shared" si="310"/>
        <v>238</v>
      </c>
      <c r="M1003" s="129">
        <f t="shared" si="311"/>
        <v>141</v>
      </c>
      <c r="N1003" s="128">
        <f t="shared" si="312"/>
        <v>0.59240000000000004</v>
      </c>
      <c r="O1003" s="164">
        <f t="shared" si="313"/>
        <v>0</v>
      </c>
      <c r="P1003" s="185">
        <f t="shared" si="314"/>
        <v>14.8</v>
      </c>
      <c r="Q1003" s="185">
        <f t="shared" si="315"/>
        <v>14.8</v>
      </c>
      <c r="R1003" s="162" t="b">
        <f t="shared" si="291"/>
        <v>0</v>
      </c>
    </row>
    <row r="1004" spans="1:18">
      <c r="A1004" s="129" t="s">
        <v>232</v>
      </c>
      <c r="B1004" s="129" t="s">
        <v>3724</v>
      </c>
      <c r="C1004" s="129">
        <v>855</v>
      </c>
      <c r="D1004" s="129" t="s">
        <v>1427</v>
      </c>
      <c r="E1004" s="129">
        <v>397</v>
      </c>
      <c r="F1004" s="129">
        <v>0</v>
      </c>
      <c r="G1004" s="129">
        <v>95</v>
      </c>
      <c r="H1004" s="129">
        <v>0</v>
      </c>
      <c r="I1004" s="129">
        <v>23.9</v>
      </c>
      <c r="J1004" s="129">
        <v>0</v>
      </c>
      <c r="K1004" s="129">
        <v>0</v>
      </c>
      <c r="L1004" s="129">
        <f t="shared" si="310"/>
        <v>397</v>
      </c>
      <c r="M1004" s="129">
        <f t="shared" si="311"/>
        <v>95</v>
      </c>
      <c r="N1004" s="128">
        <f t="shared" si="312"/>
        <v>0.23930000000000001</v>
      </c>
      <c r="O1004" s="164">
        <f t="shared" si="313"/>
        <v>0</v>
      </c>
      <c r="P1004" s="185">
        <f t="shared" si="314"/>
        <v>0</v>
      </c>
      <c r="Q1004" s="185">
        <f t="shared" si="315"/>
        <v>0</v>
      </c>
      <c r="R1004" s="162" t="b">
        <f t="shared" si="291"/>
        <v>0</v>
      </c>
    </row>
    <row r="1005" spans="1:18">
      <c r="A1005" s="129" t="s">
        <v>232</v>
      </c>
      <c r="B1005" s="129" t="s">
        <v>3724</v>
      </c>
      <c r="C1005" s="129">
        <v>856</v>
      </c>
      <c r="D1005" s="129" t="s">
        <v>1429</v>
      </c>
      <c r="E1005" s="129">
        <v>362</v>
      </c>
      <c r="F1005" s="129">
        <v>0</v>
      </c>
      <c r="G1005" s="129">
        <v>49</v>
      </c>
      <c r="H1005" s="129">
        <v>0</v>
      </c>
      <c r="I1005" s="129">
        <v>13.5</v>
      </c>
      <c r="J1005" s="129">
        <v>0</v>
      </c>
      <c r="K1005" s="129">
        <v>0</v>
      </c>
      <c r="L1005" s="129">
        <f t="shared" si="310"/>
        <v>362</v>
      </c>
      <c r="M1005" s="129">
        <f t="shared" si="311"/>
        <v>49</v>
      </c>
      <c r="N1005" s="128">
        <f t="shared" si="312"/>
        <v>0.13539999999999999</v>
      </c>
      <c r="O1005" s="164">
        <f t="shared" si="313"/>
        <v>0</v>
      </c>
      <c r="P1005" s="185">
        <f t="shared" si="314"/>
        <v>0</v>
      </c>
      <c r="Q1005" s="185">
        <f t="shared" si="315"/>
        <v>0</v>
      </c>
      <c r="R1005" s="162" t="b">
        <f t="shared" si="291"/>
        <v>0</v>
      </c>
    </row>
    <row r="1006" spans="1:18">
      <c r="A1006" s="129" t="s">
        <v>232</v>
      </c>
      <c r="B1006" s="129" t="s">
        <v>3724</v>
      </c>
      <c r="C1006" s="129">
        <v>857</v>
      </c>
      <c r="D1006" s="129" t="s">
        <v>1431</v>
      </c>
      <c r="E1006" s="129">
        <v>581</v>
      </c>
      <c r="F1006" s="129">
        <v>0</v>
      </c>
      <c r="G1006" s="129">
        <v>259</v>
      </c>
      <c r="H1006" s="129">
        <v>0</v>
      </c>
      <c r="I1006" s="129">
        <v>44.6</v>
      </c>
      <c r="J1006" s="129">
        <v>0</v>
      </c>
      <c r="K1006" s="129">
        <v>17.399999999999999</v>
      </c>
      <c r="L1006" s="129">
        <f t="shared" si="310"/>
        <v>581</v>
      </c>
      <c r="M1006" s="129">
        <f t="shared" si="311"/>
        <v>259</v>
      </c>
      <c r="N1006" s="128">
        <f t="shared" si="312"/>
        <v>0.44579999999999997</v>
      </c>
      <c r="O1006" s="164">
        <f t="shared" si="313"/>
        <v>17.399999999999999</v>
      </c>
      <c r="P1006" s="185">
        <f t="shared" si="314"/>
        <v>0</v>
      </c>
      <c r="Q1006" s="185">
        <f t="shared" si="315"/>
        <v>17.399999999999999</v>
      </c>
      <c r="R1006" s="162" t="b">
        <f t="shared" si="291"/>
        <v>0</v>
      </c>
    </row>
    <row r="1007" spans="1:18">
      <c r="A1007" s="129" t="s">
        <v>232</v>
      </c>
      <c r="B1007" s="129" t="s">
        <v>3724</v>
      </c>
      <c r="C1007" s="129">
        <v>858</v>
      </c>
      <c r="D1007" s="129" t="s">
        <v>1433</v>
      </c>
      <c r="E1007" s="129">
        <v>358</v>
      </c>
      <c r="F1007" s="129">
        <v>0</v>
      </c>
      <c r="G1007" s="129">
        <v>266</v>
      </c>
      <c r="H1007" s="129">
        <v>0</v>
      </c>
      <c r="I1007" s="129">
        <v>74.3</v>
      </c>
      <c r="J1007" s="129">
        <v>27.9</v>
      </c>
      <c r="K1007" s="129">
        <v>0</v>
      </c>
      <c r="L1007" s="129">
        <f t="shared" si="310"/>
        <v>358</v>
      </c>
      <c r="M1007" s="129">
        <f t="shared" si="311"/>
        <v>266</v>
      </c>
      <c r="N1007" s="128">
        <f t="shared" si="312"/>
        <v>0.74299999999999999</v>
      </c>
      <c r="O1007" s="164">
        <f t="shared" si="313"/>
        <v>0</v>
      </c>
      <c r="P1007" s="185">
        <f t="shared" si="314"/>
        <v>27.9</v>
      </c>
      <c r="Q1007" s="185">
        <f t="shared" si="315"/>
        <v>27.9</v>
      </c>
      <c r="R1007" s="162" t="b">
        <f t="shared" si="291"/>
        <v>0</v>
      </c>
    </row>
    <row r="1008" spans="1:18">
      <c r="A1008" s="129" t="s">
        <v>232</v>
      </c>
      <c r="B1008" s="129" t="s">
        <v>3724</v>
      </c>
      <c r="C1008" s="129">
        <v>859</v>
      </c>
      <c r="D1008" s="129" t="s">
        <v>1435</v>
      </c>
      <c r="E1008" s="129">
        <v>332</v>
      </c>
      <c r="F1008" s="129">
        <v>0</v>
      </c>
      <c r="G1008" s="129">
        <v>162</v>
      </c>
      <c r="H1008" s="129">
        <v>0</v>
      </c>
      <c r="I1008" s="129">
        <v>48.8</v>
      </c>
      <c r="J1008" s="129">
        <v>0</v>
      </c>
      <c r="K1008" s="129">
        <v>15.6</v>
      </c>
      <c r="L1008" s="129">
        <f t="shared" si="310"/>
        <v>332</v>
      </c>
      <c r="M1008" s="129">
        <f t="shared" si="311"/>
        <v>162</v>
      </c>
      <c r="N1008" s="128">
        <f t="shared" si="312"/>
        <v>0.48799999999999999</v>
      </c>
      <c r="O1008" s="164">
        <f t="shared" si="313"/>
        <v>15.6</v>
      </c>
      <c r="P1008" s="185">
        <f t="shared" si="314"/>
        <v>0</v>
      </c>
      <c r="Q1008" s="185">
        <f t="shared" si="315"/>
        <v>15.6</v>
      </c>
      <c r="R1008" s="162" t="b">
        <f t="shared" si="291"/>
        <v>0</v>
      </c>
    </row>
    <row r="1009" spans="1:18">
      <c r="A1009" s="129" t="s">
        <v>232</v>
      </c>
      <c r="B1009" s="129" t="s">
        <v>3724</v>
      </c>
      <c r="C1009" s="129">
        <v>860</v>
      </c>
      <c r="D1009" s="129" t="s">
        <v>1437</v>
      </c>
      <c r="E1009" s="129">
        <v>159</v>
      </c>
      <c r="F1009" s="129">
        <v>0</v>
      </c>
      <c r="G1009" s="129">
        <v>110</v>
      </c>
      <c r="H1009" s="129">
        <v>0</v>
      </c>
      <c r="I1009" s="129">
        <v>69.2</v>
      </c>
      <c r="J1009" s="129">
        <v>11.6</v>
      </c>
      <c r="K1009" s="129">
        <v>0</v>
      </c>
      <c r="L1009" s="129">
        <f t="shared" si="310"/>
        <v>159</v>
      </c>
      <c r="M1009" s="129">
        <f t="shared" si="311"/>
        <v>110</v>
      </c>
      <c r="N1009" s="128">
        <f t="shared" si="312"/>
        <v>0.69179999999999997</v>
      </c>
      <c r="O1009" s="164">
        <f t="shared" si="313"/>
        <v>0</v>
      </c>
      <c r="P1009" s="185">
        <f t="shared" si="314"/>
        <v>11.6</v>
      </c>
      <c r="Q1009" s="185">
        <f t="shared" si="315"/>
        <v>11.6</v>
      </c>
      <c r="R1009" s="162" t="b">
        <f t="shared" si="291"/>
        <v>0</v>
      </c>
    </row>
    <row r="1010" spans="1:18">
      <c r="A1010" s="129" t="s">
        <v>232</v>
      </c>
      <c r="B1010" s="129" t="s">
        <v>3724</v>
      </c>
      <c r="C1010" s="129">
        <v>861</v>
      </c>
      <c r="D1010" s="129" t="s">
        <v>1439</v>
      </c>
      <c r="E1010" s="129">
        <v>617</v>
      </c>
      <c r="F1010" s="129">
        <v>0</v>
      </c>
      <c r="G1010" s="129">
        <v>304</v>
      </c>
      <c r="H1010" s="129">
        <v>0</v>
      </c>
      <c r="I1010" s="129">
        <v>49.3</v>
      </c>
      <c r="J1010" s="129">
        <v>0</v>
      </c>
      <c r="K1010" s="129">
        <v>30.4</v>
      </c>
      <c r="L1010" s="129">
        <f t="shared" si="310"/>
        <v>617</v>
      </c>
      <c r="M1010" s="129">
        <f t="shared" si="311"/>
        <v>304</v>
      </c>
      <c r="N1010" s="128">
        <f t="shared" si="312"/>
        <v>0.49270000000000003</v>
      </c>
      <c r="O1010" s="164">
        <f t="shared" si="313"/>
        <v>30.4</v>
      </c>
      <c r="P1010" s="185">
        <f t="shared" si="314"/>
        <v>0</v>
      </c>
      <c r="Q1010" s="185">
        <f t="shared" si="315"/>
        <v>30.4</v>
      </c>
      <c r="R1010" s="162" t="b">
        <f t="shared" si="291"/>
        <v>0</v>
      </c>
    </row>
    <row r="1011" spans="1:18">
      <c r="A1011" s="129" t="s">
        <v>232</v>
      </c>
      <c r="B1011" s="129" t="s">
        <v>3724</v>
      </c>
      <c r="C1011" s="129">
        <v>862</v>
      </c>
      <c r="D1011" s="129" t="s">
        <v>1441</v>
      </c>
      <c r="E1011" s="129">
        <v>637</v>
      </c>
      <c r="F1011" s="129">
        <v>0</v>
      </c>
      <c r="G1011" s="129">
        <v>249</v>
      </c>
      <c r="H1011" s="129">
        <v>0</v>
      </c>
      <c r="I1011" s="129">
        <v>39.1</v>
      </c>
      <c r="J1011" s="129">
        <v>0</v>
      </c>
      <c r="K1011" s="129">
        <v>7.1</v>
      </c>
      <c r="L1011" s="129">
        <f t="shared" si="310"/>
        <v>637</v>
      </c>
      <c r="M1011" s="129">
        <f t="shared" si="311"/>
        <v>249</v>
      </c>
      <c r="N1011" s="128">
        <f t="shared" si="312"/>
        <v>0.39090000000000003</v>
      </c>
      <c r="O1011" s="164">
        <f t="shared" si="313"/>
        <v>7.1</v>
      </c>
      <c r="P1011" s="185">
        <f t="shared" si="314"/>
        <v>0</v>
      </c>
      <c r="Q1011" s="185">
        <f t="shared" si="315"/>
        <v>7.1</v>
      </c>
      <c r="R1011" s="162" t="b">
        <f t="shared" si="291"/>
        <v>0</v>
      </c>
    </row>
    <row r="1012" spans="1:18">
      <c r="A1012" s="129" t="s">
        <v>232</v>
      </c>
      <c r="B1012" s="129" t="s">
        <v>3724</v>
      </c>
      <c r="C1012" s="129">
        <v>863</v>
      </c>
      <c r="D1012" s="129" t="s">
        <v>1443</v>
      </c>
      <c r="E1012" s="129">
        <v>559</v>
      </c>
      <c r="F1012" s="129">
        <v>0</v>
      </c>
      <c r="G1012" s="129">
        <v>238</v>
      </c>
      <c r="H1012" s="129">
        <v>0</v>
      </c>
      <c r="I1012" s="129">
        <v>42.6</v>
      </c>
      <c r="J1012" s="129">
        <v>0</v>
      </c>
      <c r="K1012" s="129">
        <v>12.6</v>
      </c>
      <c r="L1012" s="129">
        <f t="shared" si="310"/>
        <v>559</v>
      </c>
      <c r="M1012" s="129">
        <f t="shared" si="311"/>
        <v>238</v>
      </c>
      <c r="N1012" s="128">
        <f t="shared" si="312"/>
        <v>0.42580000000000001</v>
      </c>
      <c r="O1012" s="164">
        <f t="shared" si="313"/>
        <v>12.6</v>
      </c>
      <c r="P1012" s="185">
        <f t="shared" si="314"/>
        <v>0</v>
      </c>
      <c r="Q1012" s="185">
        <f t="shared" si="315"/>
        <v>12.6</v>
      </c>
      <c r="R1012" s="162" t="b">
        <f t="shared" si="291"/>
        <v>0</v>
      </c>
    </row>
    <row r="1013" spans="1:18">
      <c r="A1013" s="129" t="s">
        <v>232</v>
      </c>
      <c r="B1013" s="129" t="s">
        <v>3724</v>
      </c>
      <c r="C1013" s="129">
        <v>864</v>
      </c>
      <c r="D1013" s="129" t="s">
        <v>1445</v>
      </c>
      <c r="E1013" s="129">
        <v>2029</v>
      </c>
      <c r="F1013" s="129">
        <v>0</v>
      </c>
      <c r="G1013" s="129">
        <v>765</v>
      </c>
      <c r="H1013" s="129">
        <v>0</v>
      </c>
      <c r="I1013" s="129">
        <v>37.700000000000003</v>
      </c>
      <c r="J1013" s="129">
        <v>0</v>
      </c>
      <c r="K1013" s="129">
        <v>14.5</v>
      </c>
      <c r="L1013" s="129">
        <f t="shared" si="310"/>
        <v>2029</v>
      </c>
      <c r="M1013" s="129">
        <f t="shared" si="311"/>
        <v>765</v>
      </c>
      <c r="N1013" s="128">
        <f t="shared" si="312"/>
        <v>0.377</v>
      </c>
      <c r="O1013" s="164">
        <f t="shared" si="313"/>
        <v>14.5</v>
      </c>
      <c r="P1013" s="185">
        <f t="shared" si="314"/>
        <v>0</v>
      </c>
      <c r="Q1013" s="185">
        <f t="shared" si="315"/>
        <v>14.5</v>
      </c>
      <c r="R1013" s="162" t="b">
        <f t="shared" si="291"/>
        <v>0</v>
      </c>
    </row>
    <row r="1014" spans="1:18">
      <c r="A1014" s="129" t="s">
        <v>232</v>
      </c>
      <c r="B1014" s="129" t="s">
        <v>3724</v>
      </c>
      <c r="C1014" s="129">
        <v>865</v>
      </c>
      <c r="D1014" s="129" t="s">
        <v>1447</v>
      </c>
      <c r="E1014" s="129">
        <v>1839</v>
      </c>
      <c r="F1014" s="129">
        <v>0</v>
      </c>
      <c r="G1014" s="129">
        <v>348</v>
      </c>
      <c r="H1014" s="129">
        <v>0</v>
      </c>
      <c r="I1014" s="129">
        <v>18.899999999999999</v>
      </c>
      <c r="J1014" s="129">
        <v>0</v>
      </c>
      <c r="K1014" s="129">
        <v>0</v>
      </c>
      <c r="L1014" s="129">
        <f t="shared" si="310"/>
        <v>1839</v>
      </c>
      <c r="M1014" s="129">
        <f t="shared" si="311"/>
        <v>348</v>
      </c>
      <c r="N1014" s="128">
        <f t="shared" si="312"/>
        <v>0.18920000000000001</v>
      </c>
      <c r="O1014" s="164">
        <f t="shared" si="313"/>
        <v>0</v>
      </c>
      <c r="P1014" s="185">
        <f t="shared" si="314"/>
        <v>0</v>
      </c>
      <c r="Q1014" s="185">
        <f t="shared" si="315"/>
        <v>0</v>
      </c>
      <c r="R1014" s="162" t="b">
        <f t="shared" si="291"/>
        <v>0</v>
      </c>
    </row>
    <row r="1015" spans="1:18">
      <c r="A1015" s="129" t="s">
        <v>232</v>
      </c>
      <c r="B1015" s="129" t="s">
        <v>3724</v>
      </c>
      <c r="C1015" s="129">
        <v>868</v>
      </c>
      <c r="D1015" s="129" t="s">
        <v>1449</v>
      </c>
      <c r="E1015" s="129">
        <v>362</v>
      </c>
      <c r="F1015" s="129">
        <v>0</v>
      </c>
      <c r="G1015" s="129">
        <v>25</v>
      </c>
      <c r="H1015" s="129">
        <v>0</v>
      </c>
      <c r="I1015" s="129">
        <v>6.9</v>
      </c>
      <c r="J1015" s="129">
        <v>0</v>
      </c>
      <c r="K1015" s="129">
        <v>0</v>
      </c>
      <c r="L1015" s="129">
        <f t="shared" si="310"/>
        <v>362</v>
      </c>
      <c r="M1015" s="129">
        <f t="shared" si="311"/>
        <v>25</v>
      </c>
      <c r="N1015" s="128">
        <f t="shared" si="312"/>
        <v>6.9099999999999995E-2</v>
      </c>
      <c r="O1015" s="164">
        <f t="shared" si="313"/>
        <v>0</v>
      </c>
      <c r="P1015" s="185">
        <f t="shared" si="314"/>
        <v>0</v>
      </c>
      <c r="Q1015" s="185">
        <f t="shared" si="315"/>
        <v>0</v>
      </c>
      <c r="R1015" s="162" t="b">
        <f t="shared" si="291"/>
        <v>0</v>
      </c>
    </row>
    <row r="1016" spans="1:18">
      <c r="A1016" s="129" t="s">
        <v>232</v>
      </c>
      <c r="B1016" s="129" t="s">
        <v>3724</v>
      </c>
      <c r="C1016" s="129">
        <v>870</v>
      </c>
      <c r="D1016" s="129" t="s">
        <v>1451</v>
      </c>
      <c r="E1016" s="129">
        <v>368</v>
      </c>
      <c r="F1016" s="129">
        <v>0</v>
      </c>
      <c r="G1016" s="129">
        <v>211</v>
      </c>
      <c r="H1016" s="129">
        <v>0</v>
      </c>
      <c r="I1016" s="129">
        <v>57.3</v>
      </c>
      <c r="J1016" s="129">
        <v>22.2</v>
      </c>
      <c r="K1016" s="129">
        <v>0</v>
      </c>
      <c r="L1016" s="129">
        <f t="shared" si="310"/>
        <v>368</v>
      </c>
      <c r="M1016" s="129">
        <f t="shared" si="311"/>
        <v>211</v>
      </c>
      <c r="N1016" s="128">
        <f t="shared" si="312"/>
        <v>0.57340000000000002</v>
      </c>
      <c r="O1016" s="164">
        <f t="shared" si="313"/>
        <v>0</v>
      </c>
      <c r="P1016" s="185">
        <f t="shared" si="314"/>
        <v>22.2</v>
      </c>
      <c r="Q1016" s="185">
        <f t="shared" si="315"/>
        <v>22.2</v>
      </c>
      <c r="R1016" s="162" t="b">
        <f t="shared" si="291"/>
        <v>0</v>
      </c>
    </row>
    <row r="1017" spans="1:18">
      <c r="A1017" s="129" t="s">
        <v>232</v>
      </c>
      <c r="B1017" s="129" t="s">
        <v>3724</v>
      </c>
      <c r="C1017" s="129">
        <v>871</v>
      </c>
      <c r="D1017" s="129" t="s">
        <v>1453</v>
      </c>
      <c r="E1017" s="129">
        <v>222</v>
      </c>
      <c r="F1017" s="129">
        <v>0</v>
      </c>
      <c r="G1017" s="129">
        <v>122</v>
      </c>
      <c r="H1017" s="129">
        <v>0</v>
      </c>
      <c r="I1017" s="129">
        <v>55</v>
      </c>
      <c r="J1017" s="129">
        <v>12.8</v>
      </c>
      <c r="K1017" s="129">
        <v>0</v>
      </c>
      <c r="L1017" s="129">
        <f t="shared" si="310"/>
        <v>222</v>
      </c>
      <c r="M1017" s="129">
        <f t="shared" si="311"/>
        <v>122</v>
      </c>
      <c r="N1017" s="128">
        <f t="shared" si="312"/>
        <v>0.54949999999999999</v>
      </c>
      <c r="O1017" s="164">
        <f t="shared" si="313"/>
        <v>0</v>
      </c>
      <c r="P1017" s="185">
        <f t="shared" si="314"/>
        <v>12.8</v>
      </c>
      <c r="Q1017" s="185">
        <f t="shared" si="315"/>
        <v>12.8</v>
      </c>
      <c r="R1017" s="162" t="b">
        <f t="shared" si="291"/>
        <v>0</v>
      </c>
    </row>
    <row r="1018" spans="1:18">
      <c r="A1018" s="129" t="s">
        <v>232</v>
      </c>
      <c r="B1018" s="129" t="s">
        <v>3724</v>
      </c>
      <c r="C1018" s="129">
        <v>872</v>
      </c>
      <c r="D1018" s="129" t="s">
        <v>1455</v>
      </c>
      <c r="E1018" s="129">
        <v>270</v>
      </c>
      <c r="F1018" s="129">
        <v>0</v>
      </c>
      <c r="G1018" s="129">
        <v>142</v>
      </c>
      <c r="H1018" s="129">
        <v>0</v>
      </c>
      <c r="I1018" s="129">
        <v>52.6</v>
      </c>
      <c r="J1018" s="129">
        <v>14.9</v>
      </c>
      <c r="K1018" s="129">
        <v>0</v>
      </c>
      <c r="L1018" s="129">
        <f t="shared" si="310"/>
        <v>270</v>
      </c>
      <c r="M1018" s="129">
        <f t="shared" si="311"/>
        <v>142</v>
      </c>
      <c r="N1018" s="128">
        <f t="shared" si="312"/>
        <v>0.52590000000000003</v>
      </c>
      <c r="O1018" s="164">
        <f t="shared" si="313"/>
        <v>0</v>
      </c>
      <c r="P1018" s="185">
        <f t="shared" si="314"/>
        <v>14.9</v>
      </c>
      <c r="Q1018" s="185">
        <f t="shared" si="315"/>
        <v>14.9</v>
      </c>
      <c r="R1018" s="162" t="b">
        <f t="shared" si="291"/>
        <v>0</v>
      </c>
    </row>
    <row r="1019" spans="1:18">
      <c r="A1019" s="129" t="s">
        <v>232</v>
      </c>
      <c r="B1019" s="129" t="s">
        <v>3724</v>
      </c>
      <c r="C1019" s="129">
        <v>874</v>
      </c>
      <c r="D1019" s="129" t="s">
        <v>1457</v>
      </c>
      <c r="E1019" s="129">
        <v>285</v>
      </c>
      <c r="F1019" s="129">
        <v>0</v>
      </c>
      <c r="G1019" s="129">
        <v>77</v>
      </c>
      <c r="H1019" s="129">
        <v>0</v>
      </c>
      <c r="I1019" s="129">
        <v>27</v>
      </c>
      <c r="J1019" s="129">
        <v>0</v>
      </c>
      <c r="K1019" s="129">
        <v>0</v>
      </c>
      <c r="L1019" s="129">
        <f t="shared" si="310"/>
        <v>285</v>
      </c>
      <c r="M1019" s="129">
        <f t="shared" si="311"/>
        <v>77</v>
      </c>
      <c r="N1019" s="128">
        <f t="shared" si="312"/>
        <v>0.2702</v>
      </c>
      <c r="O1019" s="164">
        <f t="shared" si="313"/>
        <v>0</v>
      </c>
      <c r="P1019" s="185">
        <f t="shared" si="314"/>
        <v>0</v>
      </c>
      <c r="Q1019" s="185">
        <f t="shared" si="315"/>
        <v>0</v>
      </c>
      <c r="R1019" s="162" t="b">
        <f t="shared" si="291"/>
        <v>0</v>
      </c>
    </row>
    <row r="1020" spans="1:18">
      <c r="A1020" s="129" t="s">
        <v>232</v>
      </c>
      <c r="B1020" s="129" t="s">
        <v>3724</v>
      </c>
      <c r="C1020" s="129">
        <v>875</v>
      </c>
      <c r="D1020" s="129" t="s">
        <v>1459</v>
      </c>
      <c r="E1020" s="129">
        <v>325</v>
      </c>
      <c r="F1020" s="129">
        <v>0</v>
      </c>
      <c r="G1020" s="129">
        <v>119</v>
      </c>
      <c r="H1020" s="129">
        <v>0</v>
      </c>
      <c r="I1020" s="129">
        <v>36.6</v>
      </c>
      <c r="J1020" s="129">
        <v>0</v>
      </c>
      <c r="K1020" s="129">
        <v>1.3</v>
      </c>
      <c r="L1020" s="129">
        <f t="shared" si="310"/>
        <v>325</v>
      </c>
      <c r="M1020" s="129">
        <f t="shared" si="311"/>
        <v>119</v>
      </c>
      <c r="N1020" s="128">
        <f t="shared" si="312"/>
        <v>0.36620000000000003</v>
      </c>
      <c r="O1020" s="164">
        <f t="shared" si="313"/>
        <v>1.3</v>
      </c>
      <c r="P1020" s="185">
        <f t="shared" si="314"/>
        <v>0</v>
      </c>
      <c r="Q1020" s="185">
        <f t="shared" si="315"/>
        <v>1.3</v>
      </c>
      <c r="R1020" s="162" t="b">
        <f t="shared" si="291"/>
        <v>0</v>
      </c>
    </row>
    <row r="1021" spans="1:18">
      <c r="A1021" s="129" t="s">
        <v>232</v>
      </c>
      <c r="B1021" s="129" t="s">
        <v>3724</v>
      </c>
      <c r="C1021" s="129">
        <v>876</v>
      </c>
      <c r="D1021" s="129" t="s">
        <v>1461</v>
      </c>
      <c r="E1021" s="129">
        <v>349</v>
      </c>
      <c r="F1021" s="129">
        <v>0</v>
      </c>
      <c r="G1021" s="129">
        <v>48</v>
      </c>
      <c r="H1021" s="129">
        <v>0</v>
      </c>
      <c r="I1021" s="129">
        <v>13.8</v>
      </c>
      <c r="J1021" s="129">
        <v>0</v>
      </c>
      <c r="K1021" s="129">
        <v>0</v>
      </c>
      <c r="L1021" s="129">
        <f t="shared" si="310"/>
        <v>349</v>
      </c>
      <c r="M1021" s="129">
        <f t="shared" si="311"/>
        <v>48</v>
      </c>
      <c r="N1021" s="128">
        <f t="shared" si="312"/>
        <v>0.13750000000000001</v>
      </c>
      <c r="O1021" s="164">
        <f t="shared" si="313"/>
        <v>0</v>
      </c>
      <c r="P1021" s="185">
        <f t="shared" si="314"/>
        <v>0</v>
      </c>
      <c r="Q1021" s="185">
        <f t="shared" si="315"/>
        <v>0</v>
      </c>
      <c r="R1021" s="162" t="b">
        <f t="shared" si="291"/>
        <v>0</v>
      </c>
    </row>
    <row r="1022" spans="1:18">
      <c r="A1022" s="129" t="s">
        <v>232</v>
      </c>
      <c r="B1022" s="129" t="s">
        <v>3724</v>
      </c>
      <c r="C1022" s="129">
        <v>877</v>
      </c>
      <c r="D1022" s="129" t="s">
        <v>1463</v>
      </c>
      <c r="E1022" s="129">
        <v>339</v>
      </c>
      <c r="F1022" s="129">
        <v>0</v>
      </c>
      <c r="G1022" s="129">
        <v>140</v>
      </c>
      <c r="H1022" s="129">
        <v>0</v>
      </c>
      <c r="I1022" s="129">
        <v>41.3</v>
      </c>
      <c r="J1022" s="129">
        <v>0</v>
      </c>
      <c r="K1022" s="129">
        <v>6.2</v>
      </c>
      <c r="L1022" s="129">
        <f t="shared" si="310"/>
        <v>339</v>
      </c>
      <c r="M1022" s="129">
        <f t="shared" si="311"/>
        <v>140</v>
      </c>
      <c r="N1022" s="128">
        <f t="shared" si="312"/>
        <v>0.41299999999999998</v>
      </c>
      <c r="O1022" s="164">
        <f t="shared" si="313"/>
        <v>6.2</v>
      </c>
      <c r="P1022" s="185">
        <f t="shared" si="314"/>
        <v>0</v>
      </c>
      <c r="Q1022" s="185">
        <f t="shared" si="315"/>
        <v>6.2</v>
      </c>
      <c r="R1022" s="162" t="b">
        <f t="shared" si="291"/>
        <v>0</v>
      </c>
    </row>
    <row r="1023" spans="1:18">
      <c r="A1023" s="129" t="s">
        <v>232</v>
      </c>
      <c r="B1023" s="129" t="s">
        <v>3724</v>
      </c>
      <c r="C1023" s="129">
        <v>885</v>
      </c>
      <c r="D1023" s="129" t="s">
        <v>1465</v>
      </c>
      <c r="E1023" s="129">
        <v>1816</v>
      </c>
      <c r="F1023" s="129">
        <v>0</v>
      </c>
      <c r="G1023" s="129">
        <v>470</v>
      </c>
      <c r="H1023" s="129">
        <v>0</v>
      </c>
      <c r="I1023" s="129">
        <v>25.9</v>
      </c>
      <c r="J1023" s="129">
        <v>0</v>
      </c>
      <c r="K1023" s="129">
        <v>0</v>
      </c>
      <c r="L1023" s="129">
        <f t="shared" si="310"/>
        <v>1816</v>
      </c>
      <c r="M1023" s="129">
        <f t="shared" si="311"/>
        <v>470</v>
      </c>
      <c r="N1023" s="128">
        <f t="shared" si="312"/>
        <v>0.25879999999999997</v>
      </c>
      <c r="O1023" s="164">
        <f t="shared" si="313"/>
        <v>0</v>
      </c>
      <c r="P1023" s="185">
        <f t="shared" si="314"/>
        <v>0</v>
      </c>
      <c r="Q1023" s="185">
        <f t="shared" si="315"/>
        <v>0</v>
      </c>
      <c r="R1023" s="162" t="b">
        <f t="shared" si="291"/>
        <v>0</v>
      </c>
    </row>
    <row r="1024" spans="1:18">
      <c r="A1024" s="129" t="s">
        <v>232</v>
      </c>
      <c r="B1024" s="129" t="s">
        <v>3724</v>
      </c>
      <c r="C1024" s="129">
        <v>913</v>
      </c>
      <c r="D1024" s="129" t="s">
        <v>1467</v>
      </c>
      <c r="E1024" s="129">
        <v>699</v>
      </c>
      <c r="F1024" s="129">
        <v>0</v>
      </c>
      <c r="G1024" s="129">
        <v>73</v>
      </c>
      <c r="H1024" s="129">
        <v>0</v>
      </c>
      <c r="I1024" s="129">
        <v>10.4</v>
      </c>
      <c r="J1024" s="129">
        <v>0</v>
      </c>
      <c r="K1024" s="129">
        <v>0</v>
      </c>
      <c r="L1024" s="129">
        <f t="shared" si="310"/>
        <v>699</v>
      </c>
      <c r="M1024" s="129">
        <f t="shared" si="311"/>
        <v>73</v>
      </c>
      <c r="N1024" s="128">
        <f t="shared" si="312"/>
        <v>0.10440000000000001</v>
      </c>
      <c r="O1024" s="164">
        <f t="shared" si="313"/>
        <v>0</v>
      </c>
      <c r="P1024" s="185">
        <f t="shared" si="314"/>
        <v>0</v>
      </c>
      <c r="Q1024" s="185">
        <f t="shared" si="315"/>
        <v>0</v>
      </c>
      <c r="R1024" s="162" t="b">
        <f t="shared" si="291"/>
        <v>0</v>
      </c>
    </row>
    <row r="1025" spans="1:18">
      <c r="A1025" s="129" t="s">
        <v>232</v>
      </c>
      <c r="B1025" s="129" t="s">
        <v>3724</v>
      </c>
      <c r="C1025" s="129">
        <v>934</v>
      </c>
      <c r="D1025" s="129" t="s">
        <v>1469</v>
      </c>
      <c r="E1025" s="129">
        <v>407</v>
      </c>
      <c r="F1025" s="129">
        <v>0</v>
      </c>
      <c r="G1025" s="129">
        <v>65</v>
      </c>
      <c r="H1025" s="129">
        <v>0</v>
      </c>
      <c r="I1025" s="129">
        <v>16</v>
      </c>
      <c r="J1025" s="129">
        <v>0</v>
      </c>
      <c r="K1025" s="129">
        <v>0</v>
      </c>
      <c r="L1025" s="129">
        <f t="shared" si="310"/>
        <v>407</v>
      </c>
      <c r="M1025" s="129">
        <f t="shared" si="311"/>
        <v>65</v>
      </c>
      <c r="N1025" s="128">
        <f t="shared" si="312"/>
        <v>0.15970000000000001</v>
      </c>
      <c r="O1025" s="164">
        <f t="shared" si="313"/>
        <v>0</v>
      </c>
      <c r="P1025" s="185">
        <f t="shared" si="314"/>
        <v>0</v>
      </c>
      <c r="Q1025" s="185">
        <f t="shared" si="315"/>
        <v>0</v>
      </c>
      <c r="R1025" s="162" t="b">
        <f t="shared" si="291"/>
        <v>0</v>
      </c>
    </row>
    <row r="1026" spans="1:18">
      <c r="A1026" s="129" t="s">
        <v>232</v>
      </c>
      <c r="B1026" s="129" t="s">
        <v>3724</v>
      </c>
      <c r="C1026" s="129">
        <v>939</v>
      </c>
      <c r="D1026" s="129" t="s">
        <v>1471</v>
      </c>
      <c r="E1026" s="129">
        <v>1598</v>
      </c>
      <c r="F1026" s="129">
        <v>0</v>
      </c>
      <c r="G1026" s="129">
        <v>343</v>
      </c>
      <c r="H1026" s="129">
        <v>0</v>
      </c>
      <c r="I1026" s="129">
        <v>21.5</v>
      </c>
      <c r="J1026" s="129">
        <v>0</v>
      </c>
      <c r="K1026" s="129">
        <v>0</v>
      </c>
      <c r="L1026" s="129">
        <f t="shared" si="310"/>
        <v>1598</v>
      </c>
      <c r="M1026" s="129">
        <f t="shared" si="311"/>
        <v>343</v>
      </c>
      <c r="N1026" s="128">
        <f t="shared" si="312"/>
        <v>0.21460000000000001</v>
      </c>
      <c r="O1026" s="164">
        <f t="shared" si="313"/>
        <v>0</v>
      </c>
      <c r="P1026" s="185">
        <f t="shared" si="314"/>
        <v>0</v>
      </c>
      <c r="Q1026" s="185">
        <f t="shared" si="315"/>
        <v>0</v>
      </c>
      <c r="R1026" s="162" t="b">
        <f t="shared" si="291"/>
        <v>0</v>
      </c>
    </row>
    <row r="1027" spans="1:18">
      <c r="A1027" s="129" t="s">
        <v>232</v>
      </c>
      <c r="B1027" s="129" t="s">
        <v>3724</v>
      </c>
      <c r="C1027" s="129">
        <v>950</v>
      </c>
      <c r="D1027" s="129" t="s">
        <v>1473</v>
      </c>
      <c r="E1027" s="129">
        <v>563</v>
      </c>
      <c r="F1027" s="129">
        <v>0</v>
      </c>
      <c r="G1027" s="129">
        <v>151</v>
      </c>
      <c r="H1027" s="129">
        <v>0</v>
      </c>
      <c r="I1027" s="129">
        <v>26.8</v>
      </c>
      <c r="J1027" s="129">
        <v>0</v>
      </c>
      <c r="K1027" s="129">
        <v>0</v>
      </c>
      <c r="L1027" s="129">
        <f t="shared" si="310"/>
        <v>563</v>
      </c>
      <c r="M1027" s="129">
        <f t="shared" si="311"/>
        <v>151</v>
      </c>
      <c r="N1027" s="128">
        <f t="shared" si="312"/>
        <v>0.26819999999999999</v>
      </c>
      <c r="O1027" s="164">
        <f t="shared" si="313"/>
        <v>0</v>
      </c>
      <c r="P1027" s="185">
        <f t="shared" si="314"/>
        <v>0</v>
      </c>
      <c r="Q1027" s="185">
        <f t="shared" si="315"/>
        <v>0</v>
      </c>
      <c r="R1027" s="162" t="b">
        <f t="shared" si="291"/>
        <v>0</v>
      </c>
    </row>
    <row r="1028" spans="1:18">
      <c r="A1028" s="129" t="s">
        <v>232</v>
      </c>
      <c r="B1028" s="129" t="s">
        <v>3724</v>
      </c>
      <c r="C1028" s="129">
        <v>953</v>
      </c>
      <c r="D1028" s="129" t="s">
        <v>1475</v>
      </c>
      <c r="E1028" s="129">
        <v>434</v>
      </c>
      <c r="F1028" s="129">
        <v>0</v>
      </c>
      <c r="G1028" s="129">
        <v>15</v>
      </c>
      <c r="H1028" s="129">
        <v>0</v>
      </c>
      <c r="I1028" s="129">
        <v>3.5</v>
      </c>
      <c r="J1028" s="129">
        <v>0</v>
      </c>
      <c r="K1028" s="129">
        <v>0</v>
      </c>
      <c r="L1028" s="129">
        <f t="shared" si="310"/>
        <v>434</v>
      </c>
      <c r="M1028" s="129">
        <f t="shared" si="311"/>
        <v>15</v>
      </c>
      <c r="N1028" s="128">
        <f t="shared" si="312"/>
        <v>3.4599999999999999E-2</v>
      </c>
      <c r="O1028" s="164">
        <f t="shared" si="313"/>
        <v>0</v>
      </c>
      <c r="P1028" s="185">
        <f t="shared" si="314"/>
        <v>0</v>
      </c>
      <c r="Q1028" s="185">
        <f t="shared" si="315"/>
        <v>0</v>
      </c>
      <c r="R1028" s="162" t="b">
        <f t="shared" si="291"/>
        <v>0</v>
      </c>
    </row>
    <row r="1029" spans="1:18">
      <c r="A1029" s="129" t="s">
        <v>232</v>
      </c>
      <c r="B1029" s="129" t="s">
        <v>3724</v>
      </c>
      <c r="C1029" s="129">
        <v>2781</v>
      </c>
      <c r="D1029" s="129" t="s">
        <v>1477</v>
      </c>
      <c r="E1029" s="129">
        <v>245</v>
      </c>
      <c r="F1029" s="129">
        <v>0</v>
      </c>
      <c r="G1029" s="129">
        <v>28</v>
      </c>
      <c r="H1029" s="129">
        <v>0</v>
      </c>
      <c r="I1029" s="129">
        <v>11.4</v>
      </c>
      <c r="J1029" s="129">
        <v>0</v>
      </c>
      <c r="K1029" s="129">
        <v>0</v>
      </c>
      <c r="L1029" s="129">
        <f t="shared" si="310"/>
        <v>245</v>
      </c>
      <c r="M1029" s="129">
        <f t="shared" si="311"/>
        <v>28</v>
      </c>
      <c r="N1029" s="128">
        <f t="shared" si="312"/>
        <v>0.1143</v>
      </c>
      <c r="O1029" s="164">
        <f t="shared" si="313"/>
        <v>0</v>
      </c>
      <c r="P1029" s="185">
        <f t="shared" si="314"/>
        <v>0</v>
      </c>
      <c r="Q1029" s="185">
        <f t="shared" si="315"/>
        <v>0</v>
      </c>
      <c r="R1029" s="162" t="b">
        <f t="shared" ref="R1029:R1092" si="316">COUNTIF(C:C,C1029)&gt;1</f>
        <v>0</v>
      </c>
    </row>
    <row r="1030" spans="1:18">
      <c r="A1030" s="129" t="s">
        <v>232</v>
      </c>
      <c r="B1030" s="129" t="s">
        <v>3724</v>
      </c>
      <c r="C1030" s="129">
        <v>2782</v>
      </c>
      <c r="D1030" s="129" t="s">
        <v>1479</v>
      </c>
      <c r="E1030" s="129">
        <v>430</v>
      </c>
      <c r="F1030" s="129">
        <v>0</v>
      </c>
      <c r="G1030" s="129">
        <v>156</v>
      </c>
      <c r="H1030" s="129">
        <v>0</v>
      </c>
      <c r="I1030" s="129">
        <v>36.299999999999997</v>
      </c>
      <c r="J1030" s="129">
        <v>0</v>
      </c>
      <c r="K1030" s="129">
        <v>1.4</v>
      </c>
      <c r="L1030" s="129">
        <f t="shared" si="310"/>
        <v>430</v>
      </c>
      <c r="M1030" s="129">
        <f t="shared" si="311"/>
        <v>156</v>
      </c>
      <c r="N1030" s="128">
        <f t="shared" si="312"/>
        <v>0.36280000000000001</v>
      </c>
      <c r="O1030" s="164">
        <f t="shared" si="313"/>
        <v>1.4</v>
      </c>
      <c r="P1030" s="185">
        <f t="shared" si="314"/>
        <v>0</v>
      </c>
      <c r="Q1030" s="185">
        <f t="shared" si="315"/>
        <v>1.4</v>
      </c>
      <c r="R1030" s="162" t="b">
        <f t="shared" si="316"/>
        <v>0</v>
      </c>
    </row>
    <row r="1031" spans="1:18">
      <c r="A1031" s="129" t="s">
        <v>232</v>
      </c>
      <c r="B1031" s="129" t="s">
        <v>3724</v>
      </c>
      <c r="C1031" s="129">
        <v>2783</v>
      </c>
      <c r="D1031" s="129" t="s">
        <v>1481</v>
      </c>
      <c r="E1031" s="129">
        <v>300</v>
      </c>
      <c r="F1031" s="129">
        <v>0</v>
      </c>
      <c r="G1031" s="129">
        <v>51</v>
      </c>
      <c r="H1031" s="129">
        <v>0</v>
      </c>
      <c r="I1031" s="129">
        <v>17</v>
      </c>
      <c r="J1031" s="129">
        <v>0</v>
      </c>
      <c r="K1031" s="129">
        <v>0</v>
      </c>
      <c r="L1031" s="129">
        <f t="shared" si="310"/>
        <v>300</v>
      </c>
      <c r="M1031" s="129">
        <f t="shared" si="311"/>
        <v>51</v>
      </c>
      <c r="N1031" s="128">
        <f t="shared" si="312"/>
        <v>0.17</v>
      </c>
      <c r="O1031" s="164">
        <f t="shared" si="313"/>
        <v>0</v>
      </c>
      <c r="P1031" s="185">
        <f t="shared" si="314"/>
        <v>0</v>
      </c>
      <c r="Q1031" s="185">
        <f t="shared" si="315"/>
        <v>0</v>
      </c>
      <c r="R1031" s="162" t="b">
        <f t="shared" si="316"/>
        <v>0</v>
      </c>
    </row>
    <row r="1032" spans="1:18">
      <c r="A1032" s="129" t="s">
        <v>232</v>
      </c>
      <c r="B1032" s="129" t="s">
        <v>3724</v>
      </c>
      <c r="C1032" s="129">
        <v>2784</v>
      </c>
      <c r="D1032" s="129" t="s">
        <v>1483</v>
      </c>
      <c r="E1032" s="129">
        <v>397</v>
      </c>
      <c r="F1032" s="129">
        <v>0</v>
      </c>
      <c r="G1032" s="129">
        <v>104</v>
      </c>
      <c r="H1032" s="129">
        <v>0</v>
      </c>
      <c r="I1032" s="129">
        <v>26.2</v>
      </c>
      <c r="J1032" s="129">
        <v>0</v>
      </c>
      <c r="K1032" s="129">
        <v>0</v>
      </c>
      <c r="L1032" s="129">
        <f t="shared" si="310"/>
        <v>397</v>
      </c>
      <c r="M1032" s="129">
        <f t="shared" si="311"/>
        <v>104</v>
      </c>
      <c r="N1032" s="128">
        <f t="shared" si="312"/>
        <v>0.26200000000000001</v>
      </c>
      <c r="O1032" s="164">
        <f t="shared" si="313"/>
        <v>0</v>
      </c>
      <c r="P1032" s="185">
        <f t="shared" si="314"/>
        <v>0</v>
      </c>
      <c r="Q1032" s="185">
        <f t="shared" si="315"/>
        <v>0</v>
      </c>
      <c r="R1032" s="162" t="b">
        <f t="shared" si="316"/>
        <v>0</v>
      </c>
    </row>
    <row r="1033" spans="1:18">
      <c r="A1033" s="129" t="s">
        <v>232</v>
      </c>
      <c r="B1033" s="129" t="s">
        <v>3724</v>
      </c>
      <c r="C1033" s="129">
        <v>2785</v>
      </c>
      <c r="D1033" s="129" t="s">
        <v>1485</v>
      </c>
      <c r="E1033" s="129">
        <v>332</v>
      </c>
      <c r="F1033" s="129">
        <v>0</v>
      </c>
      <c r="G1033" s="129">
        <v>39</v>
      </c>
      <c r="H1033" s="129">
        <v>0</v>
      </c>
      <c r="I1033" s="129">
        <v>11.8</v>
      </c>
      <c r="J1033" s="129">
        <v>0</v>
      </c>
      <c r="K1033" s="129">
        <v>0</v>
      </c>
      <c r="L1033" s="129">
        <f t="shared" si="310"/>
        <v>332</v>
      </c>
      <c r="M1033" s="129">
        <f t="shared" si="311"/>
        <v>39</v>
      </c>
      <c r="N1033" s="128">
        <f t="shared" si="312"/>
        <v>0.11749999999999999</v>
      </c>
      <c r="O1033" s="164">
        <f t="shared" si="313"/>
        <v>0</v>
      </c>
      <c r="P1033" s="185">
        <f t="shared" si="314"/>
        <v>0</v>
      </c>
      <c r="Q1033" s="185">
        <f t="shared" si="315"/>
        <v>0</v>
      </c>
      <c r="R1033" s="162" t="b">
        <f t="shared" si="316"/>
        <v>0</v>
      </c>
    </row>
    <row r="1034" spans="1:18">
      <c r="A1034" s="129" t="s">
        <v>232</v>
      </c>
      <c r="B1034" s="129" t="s">
        <v>3724</v>
      </c>
      <c r="C1034" s="129">
        <v>2786</v>
      </c>
      <c r="D1034" s="129" t="s">
        <v>1487</v>
      </c>
      <c r="E1034" s="129">
        <v>584</v>
      </c>
      <c r="F1034" s="129">
        <v>0</v>
      </c>
      <c r="G1034" s="129">
        <v>66</v>
      </c>
      <c r="H1034" s="129">
        <v>0</v>
      </c>
      <c r="I1034" s="129">
        <v>11.3</v>
      </c>
      <c r="J1034" s="129">
        <v>0</v>
      </c>
      <c r="K1034" s="129">
        <v>0</v>
      </c>
      <c r="L1034" s="129">
        <f t="shared" si="310"/>
        <v>584</v>
      </c>
      <c r="M1034" s="129">
        <f t="shared" si="311"/>
        <v>66</v>
      </c>
      <c r="N1034" s="128">
        <f t="shared" si="312"/>
        <v>0.113</v>
      </c>
      <c r="O1034" s="164">
        <f t="shared" si="313"/>
        <v>0</v>
      </c>
      <c r="P1034" s="185">
        <f t="shared" si="314"/>
        <v>0</v>
      </c>
      <c r="Q1034" s="185">
        <f t="shared" si="315"/>
        <v>0</v>
      </c>
      <c r="R1034" s="162" t="b">
        <f t="shared" si="316"/>
        <v>0</v>
      </c>
    </row>
    <row r="1035" spans="1:18">
      <c r="A1035" s="129" t="s">
        <v>232</v>
      </c>
      <c r="B1035" s="129" t="s">
        <v>3724</v>
      </c>
      <c r="C1035" s="129">
        <v>2787</v>
      </c>
      <c r="D1035" s="129" t="s">
        <v>1489</v>
      </c>
      <c r="E1035" s="129">
        <v>403</v>
      </c>
      <c r="F1035" s="129">
        <v>0</v>
      </c>
      <c r="G1035" s="129">
        <v>19</v>
      </c>
      <c r="H1035" s="129">
        <v>0</v>
      </c>
      <c r="I1035" s="129">
        <v>4.7</v>
      </c>
      <c r="J1035" s="129">
        <v>0</v>
      </c>
      <c r="K1035" s="129">
        <v>0</v>
      </c>
      <c r="L1035" s="129">
        <f t="shared" si="310"/>
        <v>403</v>
      </c>
      <c r="M1035" s="129">
        <f t="shared" si="311"/>
        <v>19</v>
      </c>
      <c r="N1035" s="128">
        <f t="shared" si="312"/>
        <v>4.7100000000000003E-2</v>
      </c>
      <c r="O1035" s="164">
        <f t="shared" si="313"/>
        <v>0</v>
      </c>
      <c r="P1035" s="185">
        <f t="shared" si="314"/>
        <v>0</v>
      </c>
      <c r="Q1035" s="185">
        <f t="shared" si="315"/>
        <v>0</v>
      </c>
      <c r="R1035" s="162" t="b">
        <f t="shared" si="316"/>
        <v>0</v>
      </c>
    </row>
    <row r="1036" spans="1:18">
      <c r="A1036" s="129" t="s">
        <v>232</v>
      </c>
      <c r="B1036" s="129" t="s">
        <v>3724</v>
      </c>
      <c r="C1036" s="129">
        <v>2789</v>
      </c>
      <c r="D1036" s="129" t="s">
        <v>1491</v>
      </c>
      <c r="E1036" s="129">
        <v>381</v>
      </c>
      <c r="F1036" s="129">
        <v>0</v>
      </c>
      <c r="G1036" s="129">
        <v>72</v>
      </c>
      <c r="H1036" s="129">
        <v>0</v>
      </c>
      <c r="I1036" s="129">
        <v>18.899999999999999</v>
      </c>
      <c r="J1036" s="129">
        <v>0</v>
      </c>
      <c r="K1036" s="129">
        <v>0</v>
      </c>
      <c r="L1036" s="129">
        <f t="shared" si="310"/>
        <v>381</v>
      </c>
      <c r="M1036" s="129">
        <f t="shared" si="311"/>
        <v>72</v>
      </c>
      <c r="N1036" s="128">
        <f t="shared" si="312"/>
        <v>0.189</v>
      </c>
      <c r="O1036" s="164">
        <f t="shared" si="313"/>
        <v>0</v>
      </c>
      <c r="P1036" s="185">
        <f t="shared" si="314"/>
        <v>0</v>
      </c>
      <c r="Q1036" s="185">
        <f t="shared" si="315"/>
        <v>0</v>
      </c>
      <c r="R1036" s="162" t="b">
        <f t="shared" si="316"/>
        <v>0</v>
      </c>
    </row>
    <row r="1037" spans="1:18">
      <c r="A1037" s="129" t="s">
        <v>232</v>
      </c>
      <c r="B1037" s="129" t="s">
        <v>3724</v>
      </c>
      <c r="C1037" s="129">
        <v>2790</v>
      </c>
      <c r="D1037" s="129" t="s">
        <v>1493</v>
      </c>
      <c r="E1037" s="129">
        <v>299</v>
      </c>
      <c r="F1037" s="129">
        <v>0</v>
      </c>
      <c r="G1037" s="129">
        <v>65</v>
      </c>
      <c r="H1037" s="129">
        <v>0</v>
      </c>
      <c r="I1037" s="129">
        <v>21.7</v>
      </c>
      <c r="J1037" s="129">
        <v>0</v>
      </c>
      <c r="K1037" s="129">
        <v>0</v>
      </c>
      <c r="L1037" s="129">
        <f t="shared" si="310"/>
        <v>299</v>
      </c>
      <c r="M1037" s="129">
        <f t="shared" si="311"/>
        <v>65</v>
      </c>
      <c r="N1037" s="128">
        <f t="shared" si="312"/>
        <v>0.21740000000000001</v>
      </c>
      <c r="O1037" s="164">
        <f t="shared" si="313"/>
        <v>0</v>
      </c>
      <c r="P1037" s="185">
        <f t="shared" si="314"/>
        <v>0</v>
      </c>
      <c r="Q1037" s="185">
        <f t="shared" si="315"/>
        <v>0</v>
      </c>
      <c r="R1037" s="162" t="b">
        <f t="shared" si="316"/>
        <v>0</v>
      </c>
    </row>
    <row r="1038" spans="1:18">
      <c r="A1038" s="129" t="s">
        <v>232</v>
      </c>
      <c r="B1038" s="129" t="s">
        <v>3724</v>
      </c>
      <c r="C1038" s="129">
        <v>9300</v>
      </c>
      <c r="D1038" s="129" t="s">
        <v>1495</v>
      </c>
      <c r="E1038" s="129">
        <v>327</v>
      </c>
      <c r="F1038" s="129">
        <v>0</v>
      </c>
      <c r="G1038" s="129">
        <v>38</v>
      </c>
      <c r="H1038" s="129">
        <v>0</v>
      </c>
      <c r="I1038" s="129">
        <v>11.6</v>
      </c>
      <c r="J1038" s="129">
        <v>0</v>
      </c>
      <c r="K1038" s="129">
        <v>0</v>
      </c>
      <c r="L1038" s="129">
        <f t="shared" si="310"/>
        <v>327</v>
      </c>
      <c r="M1038" s="129">
        <f t="shared" si="311"/>
        <v>38</v>
      </c>
      <c r="N1038" s="128">
        <f t="shared" si="312"/>
        <v>0.1162</v>
      </c>
      <c r="O1038" s="164">
        <f t="shared" si="313"/>
        <v>0</v>
      </c>
      <c r="P1038" s="185">
        <f t="shared" si="314"/>
        <v>0</v>
      </c>
      <c r="Q1038" s="185">
        <f t="shared" si="315"/>
        <v>0</v>
      </c>
      <c r="R1038" s="162" t="b">
        <f t="shared" si="316"/>
        <v>0</v>
      </c>
    </row>
    <row r="1039" spans="1:18">
      <c r="A1039" s="129" t="s">
        <v>232</v>
      </c>
      <c r="B1039" s="129" t="s">
        <v>3724</v>
      </c>
      <c r="C1039" s="129">
        <v>9301</v>
      </c>
      <c r="D1039" s="129" t="s">
        <v>1497</v>
      </c>
      <c r="E1039" s="129">
        <v>575</v>
      </c>
      <c r="F1039" s="129">
        <v>0</v>
      </c>
      <c r="G1039" s="129">
        <v>67</v>
      </c>
      <c r="H1039" s="129">
        <v>0</v>
      </c>
      <c r="I1039" s="129">
        <v>11.7</v>
      </c>
      <c r="J1039" s="129">
        <v>0</v>
      </c>
      <c r="K1039" s="129">
        <v>0</v>
      </c>
      <c r="L1039" s="129">
        <f t="shared" si="310"/>
        <v>575</v>
      </c>
      <c r="M1039" s="129">
        <f t="shared" si="311"/>
        <v>67</v>
      </c>
      <c r="N1039" s="128">
        <f t="shared" si="312"/>
        <v>0.11650000000000001</v>
      </c>
      <c r="O1039" s="164">
        <f t="shared" si="313"/>
        <v>0</v>
      </c>
      <c r="P1039" s="185">
        <f t="shared" si="314"/>
        <v>0</v>
      </c>
      <c r="Q1039" s="185">
        <f t="shared" si="315"/>
        <v>0</v>
      </c>
      <c r="R1039" s="162" t="b">
        <f t="shared" si="316"/>
        <v>0</v>
      </c>
    </row>
    <row r="1040" spans="1:18">
      <c r="A1040" s="129" t="s">
        <v>232</v>
      </c>
      <c r="B1040" s="129" t="s">
        <v>3724</v>
      </c>
      <c r="C1040" s="129">
        <v>9302</v>
      </c>
      <c r="D1040" s="129" t="s">
        <v>1499</v>
      </c>
      <c r="E1040" s="129">
        <v>362</v>
      </c>
      <c r="F1040" s="129">
        <v>0</v>
      </c>
      <c r="G1040" s="129">
        <v>37</v>
      </c>
      <c r="H1040" s="129">
        <v>0</v>
      </c>
      <c r="I1040" s="129">
        <v>10.199999999999999</v>
      </c>
      <c r="J1040" s="129">
        <v>0</v>
      </c>
      <c r="K1040" s="129">
        <v>0</v>
      </c>
      <c r="L1040" s="129">
        <f t="shared" si="310"/>
        <v>362</v>
      </c>
      <c r="M1040" s="129">
        <f t="shared" si="311"/>
        <v>37</v>
      </c>
      <c r="N1040" s="128">
        <f t="shared" si="312"/>
        <v>0.1022</v>
      </c>
      <c r="O1040" s="164">
        <f t="shared" si="313"/>
        <v>0</v>
      </c>
      <c r="P1040" s="185">
        <f t="shared" si="314"/>
        <v>0</v>
      </c>
      <c r="Q1040" s="185">
        <f t="shared" si="315"/>
        <v>0</v>
      </c>
      <c r="R1040" s="162" t="b">
        <f t="shared" si="316"/>
        <v>0</v>
      </c>
    </row>
    <row r="1041" spans="1:18">
      <c r="A1041" s="129" t="s">
        <v>232</v>
      </c>
      <c r="B1041" s="129" t="s">
        <v>3724</v>
      </c>
      <c r="C1041" s="129">
        <v>9304</v>
      </c>
      <c r="D1041" s="129" t="s">
        <v>1501</v>
      </c>
      <c r="E1041" s="129">
        <v>612</v>
      </c>
      <c r="F1041" s="129">
        <v>0</v>
      </c>
      <c r="G1041" s="129">
        <v>35</v>
      </c>
      <c r="H1041" s="129">
        <v>0</v>
      </c>
      <c r="I1041" s="129">
        <v>5.7</v>
      </c>
      <c r="J1041" s="129">
        <v>0</v>
      </c>
      <c r="K1041" s="129">
        <v>0</v>
      </c>
      <c r="L1041" s="129">
        <f t="shared" si="310"/>
        <v>612</v>
      </c>
      <c r="M1041" s="129">
        <f t="shared" si="311"/>
        <v>35</v>
      </c>
      <c r="N1041" s="128">
        <f t="shared" si="312"/>
        <v>5.7200000000000001E-2</v>
      </c>
      <c r="O1041" s="164">
        <f t="shared" si="313"/>
        <v>0</v>
      </c>
      <c r="P1041" s="185">
        <f t="shared" si="314"/>
        <v>0</v>
      </c>
      <c r="Q1041" s="185">
        <f t="shared" si="315"/>
        <v>0</v>
      </c>
      <c r="R1041" s="162" t="b">
        <f t="shared" si="316"/>
        <v>0</v>
      </c>
    </row>
    <row r="1042" spans="1:18">
      <c r="A1042" s="129" t="s">
        <v>232</v>
      </c>
      <c r="B1042" s="129" t="s">
        <v>3724</v>
      </c>
      <c r="C1042" s="129">
        <v>9305</v>
      </c>
      <c r="D1042" s="129" t="s">
        <v>1503</v>
      </c>
      <c r="E1042" s="129">
        <v>561</v>
      </c>
      <c r="F1042" s="129">
        <v>0</v>
      </c>
      <c r="G1042" s="129">
        <v>68</v>
      </c>
      <c r="H1042" s="129">
        <v>0</v>
      </c>
      <c r="I1042" s="129">
        <v>12.1</v>
      </c>
      <c r="J1042" s="129">
        <v>0</v>
      </c>
      <c r="K1042" s="129">
        <v>0</v>
      </c>
      <c r="L1042" s="129">
        <f t="shared" si="310"/>
        <v>561</v>
      </c>
      <c r="M1042" s="129">
        <f t="shared" si="311"/>
        <v>68</v>
      </c>
      <c r="N1042" s="128">
        <f t="shared" si="312"/>
        <v>0.1212</v>
      </c>
      <c r="O1042" s="164">
        <f t="shared" si="313"/>
        <v>0</v>
      </c>
      <c r="P1042" s="185">
        <f t="shared" si="314"/>
        <v>0</v>
      </c>
      <c r="Q1042" s="185">
        <f t="shared" si="315"/>
        <v>0</v>
      </c>
      <c r="R1042" s="162" t="b">
        <f t="shared" si="316"/>
        <v>0</v>
      </c>
    </row>
    <row r="1043" spans="1:18">
      <c r="A1043" s="129" t="s">
        <v>232</v>
      </c>
      <c r="B1043" s="129" t="s">
        <v>3724</v>
      </c>
      <c r="C1043" s="129">
        <v>9306</v>
      </c>
      <c r="D1043" s="129" t="s">
        <v>1505</v>
      </c>
      <c r="E1043" s="129">
        <v>735</v>
      </c>
      <c r="F1043" s="129">
        <v>0</v>
      </c>
      <c r="G1043" s="129">
        <v>46</v>
      </c>
      <c r="H1043" s="129">
        <v>0</v>
      </c>
      <c r="I1043" s="129">
        <v>6.3</v>
      </c>
      <c r="J1043" s="129">
        <v>0</v>
      </c>
      <c r="K1043" s="129">
        <v>0</v>
      </c>
      <c r="L1043" s="129">
        <f t="shared" si="310"/>
        <v>735</v>
      </c>
      <c r="M1043" s="129">
        <f t="shared" si="311"/>
        <v>46</v>
      </c>
      <c r="N1043" s="128">
        <f t="shared" si="312"/>
        <v>6.2600000000000003E-2</v>
      </c>
      <c r="O1043" s="164">
        <f t="shared" si="313"/>
        <v>0</v>
      </c>
      <c r="P1043" s="185">
        <f t="shared" si="314"/>
        <v>0</v>
      </c>
      <c r="Q1043" s="185">
        <f t="shared" si="315"/>
        <v>0</v>
      </c>
      <c r="R1043" s="162" t="b">
        <f t="shared" si="316"/>
        <v>0</v>
      </c>
    </row>
    <row r="1044" spans="1:18">
      <c r="A1044" s="129" t="s">
        <v>232</v>
      </c>
      <c r="B1044" s="129" t="s">
        <v>3724</v>
      </c>
      <c r="C1044" s="129">
        <v>9307</v>
      </c>
      <c r="D1044" s="129" t="s">
        <v>1507</v>
      </c>
      <c r="E1044" s="129">
        <v>424</v>
      </c>
      <c r="F1044" s="129">
        <v>0</v>
      </c>
      <c r="G1044" s="129">
        <v>114</v>
      </c>
      <c r="H1044" s="129">
        <v>0</v>
      </c>
      <c r="I1044" s="129">
        <v>26.9</v>
      </c>
      <c r="J1044" s="129">
        <v>0</v>
      </c>
      <c r="K1044" s="129">
        <v>0</v>
      </c>
      <c r="L1044" s="129">
        <f t="shared" si="310"/>
        <v>424</v>
      </c>
      <c r="M1044" s="129">
        <f t="shared" si="311"/>
        <v>114</v>
      </c>
      <c r="N1044" s="128">
        <f t="shared" si="312"/>
        <v>0.26889999999999997</v>
      </c>
      <c r="O1044" s="164">
        <f t="shared" si="313"/>
        <v>0</v>
      </c>
      <c r="P1044" s="185">
        <f t="shared" si="314"/>
        <v>0</v>
      </c>
      <c r="Q1044" s="185">
        <f t="shared" si="315"/>
        <v>0</v>
      </c>
      <c r="R1044" s="162" t="b">
        <f t="shared" si="316"/>
        <v>0</v>
      </c>
    </row>
    <row r="1045" spans="1:18">
      <c r="A1045" s="129" t="s">
        <v>232</v>
      </c>
      <c r="B1045" s="129" t="s">
        <v>3724</v>
      </c>
      <c r="C1045" s="129">
        <v>9311</v>
      </c>
      <c r="D1045" s="129" t="s">
        <v>1509</v>
      </c>
      <c r="E1045" s="129">
        <v>435</v>
      </c>
      <c r="F1045" s="129">
        <v>0</v>
      </c>
      <c r="G1045" s="129">
        <v>52</v>
      </c>
      <c r="H1045" s="129">
        <v>0</v>
      </c>
      <c r="I1045" s="129">
        <v>12</v>
      </c>
      <c r="J1045" s="129">
        <v>0</v>
      </c>
      <c r="K1045" s="129">
        <v>0</v>
      </c>
      <c r="L1045" s="129">
        <f t="shared" si="310"/>
        <v>435</v>
      </c>
      <c r="M1045" s="129">
        <f t="shared" si="311"/>
        <v>52</v>
      </c>
      <c r="N1045" s="128">
        <f t="shared" si="312"/>
        <v>0.1195</v>
      </c>
      <c r="O1045" s="164">
        <f t="shared" si="313"/>
        <v>0</v>
      </c>
      <c r="P1045" s="185">
        <f t="shared" si="314"/>
        <v>0</v>
      </c>
      <c r="Q1045" s="185">
        <f t="shared" si="315"/>
        <v>0</v>
      </c>
      <c r="R1045" s="162" t="b">
        <f t="shared" si="316"/>
        <v>0</v>
      </c>
    </row>
    <row r="1046" spans="1:18">
      <c r="A1046" s="129" t="s">
        <v>426</v>
      </c>
      <c r="B1046" s="129" t="s">
        <v>3901</v>
      </c>
      <c r="C1046" s="129">
        <v>7115</v>
      </c>
      <c r="D1046" s="129" t="s">
        <v>2954</v>
      </c>
      <c r="E1046" s="129">
        <v>178</v>
      </c>
      <c r="F1046" s="129">
        <v>0</v>
      </c>
      <c r="G1046" s="129">
        <v>126</v>
      </c>
      <c r="H1046" s="129">
        <v>0</v>
      </c>
      <c r="I1046" s="129">
        <v>70.8</v>
      </c>
      <c r="J1046" s="129">
        <v>13.2</v>
      </c>
      <c r="K1046" s="129">
        <v>0</v>
      </c>
      <c r="L1046" s="129">
        <f t="shared" ref="L1046:L1063" si="317">SUM(E1046:F1046)</f>
        <v>178</v>
      </c>
      <c r="M1046" s="129">
        <f t="shared" ref="M1046:M1063" si="318">SUM(G1046:H1046)</f>
        <v>126</v>
      </c>
      <c r="N1046" s="128">
        <f t="shared" ref="N1046:N1063" si="319">IF(ISERROR(M1046/L1046),0,M1046/L1046)</f>
        <v>0.70789999999999997</v>
      </c>
      <c r="O1046" s="164">
        <f t="shared" ref="O1046:O1063" si="320">IF(AND((N1046-35%)&gt;0,N1046&lt;50%),M1046*(N1046-35%)*0.7,0)</f>
        <v>0</v>
      </c>
      <c r="P1046" s="185">
        <f t="shared" ref="P1046:P1063" si="321">IF(N1046&gt;=50%,M1046*10.5%,0)</f>
        <v>13.2</v>
      </c>
      <c r="Q1046" s="185">
        <f t="shared" ref="Q1046:Q1063" si="322">MAX(O1046,P1046)</f>
        <v>13.2</v>
      </c>
      <c r="R1046" s="162" t="b">
        <f t="shared" si="316"/>
        <v>0</v>
      </c>
    </row>
    <row r="1047" spans="1:18">
      <c r="A1047" s="129" t="s">
        <v>426</v>
      </c>
      <c r="B1047" s="129" t="s">
        <v>3901</v>
      </c>
      <c r="C1047" s="129">
        <v>7118</v>
      </c>
      <c r="D1047" s="129" t="s">
        <v>2956</v>
      </c>
      <c r="E1047" s="129">
        <v>320</v>
      </c>
      <c r="F1047" s="129">
        <v>0</v>
      </c>
      <c r="G1047" s="129">
        <v>237</v>
      </c>
      <c r="H1047" s="129">
        <v>0</v>
      </c>
      <c r="I1047" s="129">
        <v>74.099999999999994</v>
      </c>
      <c r="J1047" s="129">
        <v>24.9</v>
      </c>
      <c r="K1047" s="129">
        <v>0</v>
      </c>
      <c r="L1047" s="129">
        <f t="shared" si="317"/>
        <v>320</v>
      </c>
      <c r="M1047" s="129">
        <f t="shared" si="318"/>
        <v>237</v>
      </c>
      <c r="N1047" s="128">
        <f t="shared" si="319"/>
        <v>0.74060000000000004</v>
      </c>
      <c r="O1047" s="164">
        <f t="shared" si="320"/>
        <v>0</v>
      </c>
      <c r="P1047" s="185">
        <f t="shared" si="321"/>
        <v>24.9</v>
      </c>
      <c r="Q1047" s="185">
        <f t="shared" si="322"/>
        <v>24.9</v>
      </c>
      <c r="R1047" s="162" t="b">
        <f t="shared" si="316"/>
        <v>0</v>
      </c>
    </row>
    <row r="1048" spans="1:18">
      <c r="A1048" s="129" t="s">
        <v>426</v>
      </c>
      <c r="B1048" s="129" t="s">
        <v>3901</v>
      </c>
      <c r="C1048" s="129">
        <v>7119</v>
      </c>
      <c r="D1048" s="129" t="s">
        <v>2958</v>
      </c>
      <c r="E1048" s="129">
        <v>361</v>
      </c>
      <c r="F1048" s="129">
        <v>0</v>
      </c>
      <c r="G1048" s="129">
        <v>227</v>
      </c>
      <c r="H1048" s="129">
        <v>0</v>
      </c>
      <c r="I1048" s="129">
        <v>62.9</v>
      </c>
      <c r="J1048" s="129">
        <v>23.8</v>
      </c>
      <c r="K1048" s="129">
        <v>0</v>
      </c>
      <c r="L1048" s="129">
        <f t="shared" si="317"/>
        <v>361</v>
      </c>
      <c r="M1048" s="129">
        <f t="shared" si="318"/>
        <v>227</v>
      </c>
      <c r="N1048" s="128">
        <f t="shared" si="319"/>
        <v>0.62880000000000003</v>
      </c>
      <c r="O1048" s="164">
        <f t="shared" si="320"/>
        <v>0</v>
      </c>
      <c r="P1048" s="185">
        <f t="shared" si="321"/>
        <v>23.8</v>
      </c>
      <c r="Q1048" s="185">
        <f t="shared" si="322"/>
        <v>23.8</v>
      </c>
      <c r="R1048" s="162" t="b">
        <f t="shared" si="316"/>
        <v>0</v>
      </c>
    </row>
    <row r="1049" spans="1:18">
      <c r="A1049" s="129" t="s">
        <v>426</v>
      </c>
      <c r="B1049" s="129" t="s">
        <v>3901</v>
      </c>
      <c r="C1049" s="129">
        <v>7120</v>
      </c>
      <c r="D1049" s="129" t="s">
        <v>2960</v>
      </c>
      <c r="E1049" s="129">
        <v>307</v>
      </c>
      <c r="F1049" s="129">
        <v>0</v>
      </c>
      <c r="G1049" s="129">
        <v>252</v>
      </c>
      <c r="H1049" s="129">
        <v>0</v>
      </c>
      <c r="I1049" s="129">
        <v>82.1</v>
      </c>
      <c r="J1049" s="129">
        <v>26.5</v>
      </c>
      <c r="K1049" s="129">
        <v>0</v>
      </c>
      <c r="L1049" s="129">
        <f t="shared" si="317"/>
        <v>307</v>
      </c>
      <c r="M1049" s="129">
        <f t="shared" si="318"/>
        <v>252</v>
      </c>
      <c r="N1049" s="128">
        <f t="shared" si="319"/>
        <v>0.82079999999999997</v>
      </c>
      <c r="O1049" s="164">
        <f t="shared" si="320"/>
        <v>0</v>
      </c>
      <c r="P1049" s="185">
        <f t="shared" si="321"/>
        <v>26.5</v>
      </c>
      <c r="Q1049" s="185">
        <f t="shared" si="322"/>
        <v>26.5</v>
      </c>
      <c r="R1049" s="162" t="b">
        <f t="shared" si="316"/>
        <v>0</v>
      </c>
    </row>
    <row r="1050" spans="1:18">
      <c r="A1050" s="129" t="s">
        <v>426</v>
      </c>
      <c r="B1050" s="129" t="s">
        <v>3901</v>
      </c>
      <c r="C1050" s="129">
        <v>7124</v>
      </c>
      <c r="D1050" s="129" t="s">
        <v>2962</v>
      </c>
      <c r="E1050" s="129">
        <v>240</v>
      </c>
      <c r="F1050" s="129">
        <v>0</v>
      </c>
      <c r="G1050" s="129">
        <v>190</v>
      </c>
      <c r="H1050" s="129">
        <v>0</v>
      </c>
      <c r="I1050" s="129">
        <v>79.2</v>
      </c>
      <c r="J1050" s="129">
        <v>20</v>
      </c>
      <c r="K1050" s="129">
        <v>0</v>
      </c>
      <c r="L1050" s="129">
        <f t="shared" si="317"/>
        <v>240</v>
      </c>
      <c r="M1050" s="129">
        <f t="shared" si="318"/>
        <v>190</v>
      </c>
      <c r="N1050" s="128">
        <f t="shared" si="319"/>
        <v>0.79169999999999996</v>
      </c>
      <c r="O1050" s="164">
        <f t="shared" si="320"/>
        <v>0</v>
      </c>
      <c r="P1050" s="185">
        <f t="shared" si="321"/>
        <v>20</v>
      </c>
      <c r="Q1050" s="185">
        <f t="shared" si="322"/>
        <v>20</v>
      </c>
      <c r="R1050" s="162" t="b">
        <f t="shared" si="316"/>
        <v>0</v>
      </c>
    </row>
    <row r="1051" spans="1:18">
      <c r="A1051" s="129" t="s">
        <v>426</v>
      </c>
      <c r="B1051" s="129" t="s">
        <v>3901</v>
      </c>
      <c r="C1051" s="129">
        <v>7126</v>
      </c>
      <c r="D1051" s="129" t="s">
        <v>2964</v>
      </c>
      <c r="E1051" s="129">
        <v>126</v>
      </c>
      <c r="F1051" s="129">
        <v>0</v>
      </c>
      <c r="G1051" s="129">
        <v>83</v>
      </c>
      <c r="H1051" s="129">
        <v>0</v>
      </c>
      <c r="I1051" s="129">
        <v>65.900000000000006</v>
      </c>
      <c r="J1051" s="129">
        <v>8.6999999999999993</v>
      </c>
      <c r="K1051" s="129">
        <v>0</v>
      </c>
      <c r="L1051" s="129">
        <f t="shared" si="317"/>
        <v>126</v>
      </c>
      <c r="M1051" s="129">
        <f t="shared" si="318"/>
        <v>83</v>
      </c>
      <c r="N1051" s="128">
        <f t="shared" si="319"/>
        <v>0.65869999999999995</v>
      </c>
      <c r="O1051" s="164">
        <f t="shared" si="320"/>
        <v>0</v>
      </c>
      <c r="P1051" s="185">
        <f t="shared" si="321"/>
        <v>8.6999999999999993</v>
      </c>
      <c r="Q1051" s="185">
        <f t="shared" si="322"/>
        <v>8.6999999999999993</v>
      </c>
      <c r="R1051" s="162" t="b">
        <f t="shared" si="316"/>
        <v>0</v>
      </c>
    </row>
    <row r="1052" spans="1:18">
      <c r="A1052" s="129" t="s">
        <v>426</v>
      </c>
      <c r="B1052" s="129" t="s">
        <v>3901</v>
      </c>
      <c r="C1052" s="129">
        <v>7128</v>
      </c>
      <c r="D1052" s="129" t="s">
        <v>2966</v>
      </c>
      <c r="E1052" s="129">
        <v>688</v>
      </c>
      <c r="F1052" s="129">
        <v>0</v>
      </c>
      <c r="G1052" s="129">
        <v>465</v>
      </c>
      <c r="H1052" s="129">
        <v>0</v>
      </c>
      <c r="I1052" s="129">
        <v>67.599999999999994</v>
      </c>
      <c r="J1052" s="129">
        <v>48.8</v>
      </c>
      <c r="K1052" s="129">
        <v>0</v>
      </c>
      <c r="L1052" s="129">
        <f t="shared" si="317"/>
        <v>688</v>
      </c>
      <c r="M1052" s="129">
        <f t="shared" si="318"/>
        <v>465</v>
      </c>
      <c r="N1052" s="128">
        <f t="shared" si="319"/>
        <v>0.67589999999999995</v>
      </c>
      <c r="O1052" s="164">
        <f t="shared" si="320"/>
        <v>0</v>
      </c>
      <c r="P1052" s="185">
        <f t="shared" si="321"/>
        <v>48.8</v>
      </c>
      <c r="Q1052" s="185">
        <f t="shared" si="322"/>
        <v>48.8</v>
      </c>
      <c r="R1052" s="162" t="b">
        <f t="shared" si="316"/>
        <v>0</v>
      </c>
    </row>
    <row r="1053" spans="1:18">
      <c r="A1053" s="129" t="s">
        <v>426</v>
      </c>
      <c r="B1053" s="129" t="s">
        <v>3901</v>
      </c>
      <c r="C1053" s="129">
        <v>7130</v>
      </c>
      <c r="D1053" s="129" t="s">
        <v>2968</v>
      </c>
      <c r="E1053" s="129">
        <v>1970</v>
      </c>
      <c r="F1053" s="129">
        <v>0</v>
      </c>
      <c r="G1053" s="129">
        <v>1088</v>
      </c>
      <c r="H1053" s="129">
        <v>0</v>
      </c>
      <c r="I1053" s="129">
        <v>55.2</v>
      </c>
      <c r="J1053" s="129">
        <v>114.2</v>
      </c>
      <c r="K1053" s="129">
        <v>0</v>
      </c>
      <c r="L1053" s="129">
        <f t="shared" si="317"/>
        <v>1970</v>
      </c>
      <c r="M1053" s="129">
        <f t="shared" si="318"/>
        <v>1088</v>
      </c>
      <c r="N1053" s="128">
        <f t="shared" si="319"/>
        <v>0.55230000000000001</v>
      </c>
      <c r="O1053" s="164">
        <f t="shared" si="320"/>
        <v>0</v>
      </c>
      <c r="P1053" s="185">
        <f t="shared" si="321"/>
        <v>114.2</v>
      </c>
      <c r="Q1053" s="185">
        <f t="shared" si="322"/>
        <v>114.2</v>
      </c>
      <c r="R1053" s="162" t="b">
        <f t="shared" si="316"/>
        <v>0</v>
      </c>
    </row>
    <row r="1054" spans="1:18">
      <c r="A1054" s="129" t="s">
        <v>426</v>
      </c>
      <c r="B1054" s="129" t="s">
        <v>3901</v>
      </c>
      <c r="C1054" s="129">
        <v>7131</v>
      </c>
      <c r="D1054" s="129" t="s">
        <v>2970</v>
      </c>
      <c r="E1054" s="129">
        <v>216</v>
      </c>
      <c r="F1054" s="129">
        <v>0</v>
      </c>
      <c r="G1054" s="129">
        <v>165</v>
      </c>
      <c r="H1054" s="129">
        <v>0</v>
      </c>
      <c r="I1054" s="129">
        <v>76.400000000000006</v>
      </c>
      <c r="J1054" s="129">
        <v>17.3</v>
      </c>
      <c r="K1054" s="129">
        <v>0</v>
      </c>
      <c r="L1054" s="129">
        <f t="shared" si="317"/>
        <v>216</v>
      </c>
      <c r="M1054" s="129">
        <f t="shared" si="318"/>
        <v>165</v>
      </c>
      <c r="N1054" s="128">
        <f t="shared" si="319"/>
        <v>0.76390000000000002</v>
      </c>
      <c r="O1054" s="164">
        <f t="shared" si="320"/>
        <v>0</v>
      </c>
      <c r="P1054" s="185">
        <f t="shared" si="321"/>
        <v>17.3</v>
      </c>
      <c r="Q1054" s="185">
        <f t="shared" si="322"/>
        <v>17.3</v>
      </c>
      <c r="R1054" s="162" t="b">
        <f t="shared" si="316"/>
        <v>0</v>
      </c>
    </row>
    <row r="1055" spans="1:18">
      <c r="A1055" s="129" t="s">
        <v>426</v>
      </c>
      <c r="B1055" s="129" t="s">
        <v>3901</v>
      </c>
      <c r="C1055" s="129">
        <v>7132</v>
      </c>
      <c r="D1055" s="129" t="s">
        <v>2972</v>
      </c>
      <c r="E1055" s="129">
        <v>172</v>
      </c>
      <c r="F1055" s="129">
        <v>0</v>
      </c>
      <c r="G1055" s="129">
        <v>51</v>
      </c>
      <c r="H1055" s="129">
        <v>0</v>
      </c>
      <c r="I1055" s="129">
        <v>29.7</v>
      </c>
      <c r="J1055" s="129">
        <v>0</v>
      </c>
      <c r="K1055" s="129">
        <v>0</v>
      </c>
      <c r="L1055" s="129">
        <f t="shared" si="317"/>
        <v>172</v>
      </c>
      <c r="M1055" s="129">
        <f t="shared" si="318"/>
        <v>51</v>
      </c>
      <c r="N1055" s="128">
        <f t="shared" si="319"/>
        <v>0.29649999999999999</v>
      </c>
      <c r="O1055" s="164">
        <f t="shared" si="320"/>
        <v>0</v>
      </c>
      <c r="P1055" s="185">
        <f t="shared" si="321"/>
        <v>0</v>
      </c>
      <c r="Q1055" s="185">
        <f t="shared" si="322"/>
        <v>0</v>
      </c>
      <c r="R1055" s="162" t="b">
        <f t="shared" si="316"/>
        <v>0</v>
      </c>
    </row>
    <row r="1056" spans="1:18">
      <c r="A1056" s="129" t="s">
        <v>426</v>
      </c>
      <c r="B1056" s="129" t="s">
        <v>3901</v>
      </c>
      <c r="C1056" s="129">
        <v>7133</v>
      </c>
      <c r="D1056" s="129" t="s">
        <v>2974</v>
      </c>
      <c r="E1056" s="129">
        <v>722</v>
      </c>
      <c r="F1056" s="129">
        <v>0</v>
      </c>
      <c r="G1056" s="129">
        <v>458</v>
      </c>
      <c r="H1056" s="129">
        <v>0</v>
      </c>
      <c r="I1056" s="129">
        <v>63.4</v>
      </c>
      <c r="J1056" s="129">
        <v>48.1</v>
      </c>
      <c r="K1056" s="129">
        <v>0</v>
      </c>
      <c r="L1056" s="129">
        <f t="shared" si="317"/>
        <v>722</v>
      </c>
      <c r="M1056" s="129">
        <f t="shared" si="318"/>
        <v>458</v>
      </c>
      <c r="N1056" s="128">
        <f t="shared" si="319"/>
        <v>0.63429999999999997</v>
      </c>
      <c r="O1056" s="164">
        <f t="shared" si="320"/>
        <v>0</v>
      </c>
      <c r="P1056" s="185">
        <f t="shared" si="321"/>
        <v>48.1</v>
      </c>
      <c r="Q1056" s="185">
        <f t="shared" si="322"/>
        <v>48.1</v>
      </c>
      <c r="R1056" s="162" t="b">
        <f t="shared" si="316"/>
        <v>0</v>
      </c>
    </row>
    <row r="1057" spans="1:18">
      <c r="A1057" s="129" t="s">
        <v>426</v>
      </c>
      <c r="B1057" s="129" t="s">
        <v>3901</v>
      </c>
      <c r="C1057" s="129">
        <v>7138</v>
      </c>
      <c r="D1057" s="129" t="s">
        <v>2976</v>
      </c>
      <c r="E1057" s="129">
        <v>390</v>
      </c>
      <c r="F1057" s="129">
        <v>0</v>
      </c>
      <c r="G1057" s="129">
        <v>229</v>
      </c>
      <c r="H1057" s="129">
        <v>0</v>
      </c>
      <c r="I1057" s="129">
        <v>58.7</v>
      </c>
      <c r="J1057" s="129">
        <v>24</v>
      </c>
      <c r="K1057" s="129">
        <v>0</v>
      </c>
      <c r="L1057" s="129">
        <f t="shared" si="317"/>
        <v>390</v>
      </c>
      <c r="M1057" s="129">
        <f t="shared" si="318"/>
        <v>229</v>
      </c>
      <c r="N1057" s="128">
        <f t="shared" si="319"/>
        <v>0.58720000000000006</v>
      </c>
      <c r="O1057" s="164">
        <f t="shared" si="320"/>
        <v>0</v>
      </c>
      <c r="P1057" s="185">
        <f t="shared" si="321"/>
        <v>24</v>
      </c>
      <c r="Q1057" s="185">
        <f t="shared" si="322"/>
        <v>24</v>
      </c>
      <c r="R1057" s="162" t="b">
        <f t="shared" si="316"/>
        <v>0</v>
      </c>
    </row>
    <row r="1058" spans="1:18">
      <c r="A1058" s="129" t="s">
        <v>426</v>
      </c>
      <c r="B1058" s="129" t="s">
        <v>3901</v>
      </c>
      <c r="C1058" s="129">
        <v>7140</v>
      </c>
      <c r="D1058" s="129" t="s">
        <v>2978</v>
      </c>
      <c r="E1058" s="129">
        <v>127</v>
      </c>
      <c r="F1058" s="129">
        <v>0</v>
      </c>
      <c r="G1058" s="129">
        <v>36</v>
      </c>
      <c r="H1058" s="129">
        <v>0</v>
      </c>
      <c r="I1058" s="129">
        <v>28.4</v>
      </c>
      <c r="J1058" s="129">
        <v>0</v>
      </c>
      <c r="K1058" s="129">
        <v>0</v>
      </c>
      <c r="L1058" s="129">
        <f t="shared" si="317"/>
        <v>127</v>
      </c>
      <c r="M1058" s="129">
        <f t="shared" si="318"/>
        <v>36</v>
      </c>
      <c r="N1058" s="128">
        <f t="shared" si="319"/>
        <v>0.28349999999999997</v>
      </c>
      <c r="O1058" s="164">
        <f t="shared" si="320"/>
        <v>0</v>
      </c>
      <c r="P1058" s="185">
        <f t="shared" si="321"/>
        <v>0</v>
      </c>
      <c r="Q1058" s="185">
        <f t="shared" si="322"/>
        <v>0</v>
      </c>
      <c r="R1058" s="162" t="b">
        <f t="shared" si="316"/>
        <v>0</v>
      </c>
    </row>
    <row r="1059" spans="1:18">
      <c r="A1059" s="129" t="s">
        <v>426</v>
      </c>
      <c r="B1059" s="129" t="s">
        <v>3901</v>
      </c>
      <c r="C1059" s="129">
        <v>7143</v>
      </c>
      <c r="D1059" s="129" t="s">
        <v>2980</v>
      </c>
      <c r="E1059" s="129">
        <v>385</v>
      </c>
      <c r="F1059" s="129">
        <v>0</v>
      </c>
      <c r="G1059" s="129">
        <v>277</v>
      </c>
      <c r="H1059" s="129">
        <v>0</v>
      </c>
      <c r="I1059" s="129">
        <v>72</v>
      </c>
      <c r="J1059" s="129">
        <v>29.1</v>
      </c>
      <c r="K1059" s="129">
        <v>0</v>
      </c>
      <c r="L1059" s="129">
        <f t="shared" si="317"/>
        <v>385</v>
      </c>
      <c r="M1059" s="129">
        <f t="shared" si="318"/>
        <v>277</v>
      </c>
      <c r="N1059" s="128">
        <f t="shared" si="319"/>
        <v>0.71950000000000003</v>
      </c>
      <c r="O1059" s="164">
        <f t="shared" si="320"/>
        <v>0</v>
      </c>
      <c r="P1059" s="185">
        <f t="shared" si="321"/>
        <v>29.1</v>
      </c>
      <c r="Q1059" s="185">
        <f t="shared" si="322"/>
        <v>29.1</v>
      </c>
      <c r="R1059" s="162" t="b">
        <f t="shared" si="316"/>
        <v>0</v>
      </c>
    </row>
    <row r="1060" spans="1:18">
      <c r="A1060" s="129" t="s">
        <v>426</v>
      </c>
      <c r="B1060" s="129" t="s">
        <v>3901</v>
      </c>
      <c r="C1060" s="129">
        <v>7147</v>
      </c>
      <c r="D1060" s="129" t="s">
        <v>2982</v>
      </c>
      <c r="E1060" s="129">
        <v>351</v>
      </c>
      <c r="F1060" s="129">
        <v>0</v>
      </c>
      <c r="G1060" s="129">
        <v>259</v>
      </c>
      <c r="H1060" s="129">
        <v>0</v>
      </c>
      <c r="I1060" s="129">
        <v>73.8</v>
      </c>
      <c r="J1060" s="129">
        <v>27.2</v>
      </c>
      <c r="K1060" s="129">
        <v>0</v>
      </c>
      <c r="L1060" s="129">
        <f t="shared" si="317"/>
        <v>351</v>
      </c>
      <c r="M1060" s="129">
        <f t="shared" si="318"/>
        <v>259</v>
      </c>
      <c r="N1060" s="128">
        <f t="shared" si="319"/>
        <v>0.7379</v>
      </c>
      <c r="O1060" s="164">
        <f t="shared" si="320"/>
        <v>0</v>
      </c>
      <c r="P1060" s="185">
        <f t="shared" si="321"/>
        <v>27.2</v>
      </c>
      <c r="Q1060" s="185">
        <f t="shared" si="322"/>
        <v>27.2</v>
      </c>
      <c r="R1060" s="162" t="b">
        <f t="shared" si="316"/>
        <v>0</v>
      </c>
    </row>
    <row r="1061" spans="1:18">
      <c r="A1061" s="129" t="s">
        <v>426</v>
      </c>
      <c r="B1061" s="129" t="s">
        <v>3901</v>
      </c>
      <c r="C1061" s="129">
        <v>7148</v>
      </c>
      <c r="D1061" s="129" t="s">
        <v>2984</v>
      </c>
      <c r="E1061" s="129">
        <v>362</v>
      </c>
      <c r="F1061" s="129">
        <v>0</v>
      </c>
      <c r="G1061" s="129">
        <v>237</v>
      </c>
      <c r="H1061" s="129">
        <v>0</v>
      </c>
      <c r="I1061" s="129">
        <v>65.5</v>
      </c>
      <c r="J1061" s="129">
        <v>24.9</v>
      </c>
      <c r="K1061" s="129">
        <v>0</v>
      </c>
      <c r="L1061" s="129">
        <f t="shared" si="317"/>
        <v>362</v>
      </c>
      <c r="M1061" s="129">
        <f t="shared" si="318"/>
        <v>237</v>
      </c>
      <c r="N1061" s="128">
        <f t="shared" si="319"/>
        <v>0.65469999999999995</v>
      </c>
      <c r="O1061" s="164">
        <f t="shared" si="320"/>
        <v>0</v>
      </c>
      <c r="P1061" s="185">
        <f t="shared" si="321"/>
        <v>24.9</v>
      </c>
      <c r="Q1061" s="185">
        <f t="shared" si="322"/>
        <v>24.9</v>
      </c>
      <c r="R1061" s="162" t="b">
        <f t="shared" si="316"/>
        <v>0</v>
      </c>
    </row>
    <row r="1062" spans="1:18">
      <c r="A1062" s="129" t="s">
        <v>426</v>
      </c>
      <c r="B1062" s="129" t="s">
        <v>3901</v>
      </c>
      <c r="C1062" s="129">
        <v>7177</v>
      </c>
      <c r="D1062" s="129" t="s">
        <v>2986</v>
      </c>
      <c r="E1062" s="129">
        <v>107</v>
      </c>
      <c r="F1062" s="129">
        <v>0</v>
      </c>
      <c r="G1062" s="129">
        <v>80</v>
      </c>
      <c r="H1062" s="129">
        <v>0</v>
      </c>
      <c r="I1062" s="129">
        <v>74.8</v>
      </c>
      <c r="J1062" s="129">
        <v>8.4</v>
      </c>
      <c r="K1062" s="129">
        <v>0</v>
      </c>
      <c r="L1062" s="129">
        <f t="shared" si="317"/>
        <v>107</v>
      </c>
      <c r="M1062" s="129">
        <f t="shared" si="318"/>
        <v>80</v>
      </c>
      <c r="N1062" s="128">
        <f t="shared" si="319"/>
        <v>0.74770000000000003</v>
      </c>
      <c r="O1062" s="164">
        <f t="shared" si="320"/>
        <v>0</v>
      </c>
      <c r="P1062" s="185">
        <f t="shared" si="321"/>
        <v>8.4</v>
      </c>
      <c r="Q1062" s="185">
        <f t="shared" si="322"/>
        <v>8.4</v>
      </c>
      <c r="R1062" s="162" t="b">
        <f t="shared" si="316"/>
        <v>0</v>
      </c>
    </row>
    <row r="1063" spans="1:18">
      <c r="A1063" s="129" t="s">
        <v>426</v>
      </c>
      <c r="B1063" s="129" t="s">
        <v>3901</v>
      </c>
      <c r="C1063" s="129">
        <v>7189</v>
      </c>
      <c r="D1063" s="129" t="s">
        <v>4066</v>
      </c>
      <c r="E1063" s="129">
        <v>2</v>
      </c>
      <c r="F1063" s="129">
        <v>0</v>
      </c>
      <c r="G1063" s="129">
        <v>1</v>
      </c>
      <c r="H1063" s="129">
        <v>0</v>
      </c>
      <c r="I1063" s="129">
        <v>50</v>
      </c>
      <c r="J1063" s="129">
        <v>0.1</v>
      </c>
      <c r="K1063" s="129">
        <v>0</v>
      </c>
      <c r="L1063" s="129">
        <f t="shared" si="317"/>
        <v>2</v>
      </c>
      <c r="M1063" s="129">
        <f t="shared" si="318"/>
        <v>1</v>
      </c>
      <c r="N1063" s="128">
        <f t="shared" si="319"/>
        <v>0.5</v>
      </c>
      <c r="O1063" s="164">
        <f t="shared" si="320"/>
        <v>0</v>
      </c>
      <c r="P1063" s="185">
        <f t="shared" si="321"/>
        <v>0.1</v>
      </c>
      <c r="Q1063" s="185">
        <f t="shared" si="322"/>
        <v>0.1</v>
      </c>
      <c r="R1063" s="162" t="b">
        <f t="shared" si="316"/>
        <v>0</v>
      </c>
    </row>
    <row r="1064" spans="1:18">
      <c r="A1064" s="129" t="s">
        <v>257</v>
      </c>
      <c r="B1064" s="129" t="s">
        <v>3747</v>
      </c>
      <c r="C1064" s="129">
        <v>1926</v>
      </c>
      <c r="D1064" s="129" t="s">
        <v>1824</v>
      </c>
      <c r="E1064" s="129">
        <v>898</v>
      </c>
      <c r="F1064" s="129">
        <v>1</v>
      </c>
      <c r="G1064" s="129">
        <v>364</v>
      </c>
      <c r="H1064" s="129">
        <v>0</v>
      </c>
      <c r="I1064" s="129">
        <v>40.5</v>
      </c>
      <c r="J1064" s="129">
        <v>0</v>
      </c>
      <c r="K1064" s="129">
        <v>14</v>
      </c>
      <c r="L1064" s="129">
        <f t="shared" ref="L1064:L1089" si="323">SUM(E1064:F1064)</f>
        <v>899</v>
      </c>
      <c r="M1064" s="129">
        <f t="shared" ref="M1064:M1089" si="324">SUM(G1064:H1064)</f>
        <v>364</v>
      </c>
      <c r="N1064" s="128">
        <f t="shared" ref="N1064:N1089" si="325">IF(ISERROR(M1064/L1064),0,M1064/L1064)</f>
        <v>0.40489999999999998</v>
      </c>
      <c r="O1064" s="164">
        <f t="shared" ref="O1064:O1089" si="326">IF(AND((N1064-35%)&gt;0,N1064&lt;50%),M1064*(N1064-35%)*0.7,0)</f>
        <v>14</v>
      </c>
      <c r="P1064" s="185">
        <f t="shared" ref="P1064:P1089" si="327">IF(N1064&gt;=50%,M1064*10.5%,0)</f>
        <v>0</v>
      </c>
      <c r="Q1064" s="185">
        <f t="shared" ref="Q1064:Q1089" si="328">MAX(O1064,P1064)</f>
        <v>14</v>
      </c>
      <c r="R1064" s="162" t="b">
        <f t="shared" si="316"/>
        <v>0</v>
      </c>
    </row>
    <row r="1065" spans="1:18">
      <c r="A1065" s="129" t="s">
        <v>257</v>
      </c>
      <c r="B1065" s="129" t="s">
        <v>3747</v>
      </c>
      <c r="C1065" s="129">
        <v>1927</v>
      </c>
      <c r="D1065" s="129" t="s">
        <v>1826</v>
      </c>
      <c r="E1065" s="129">
        <v>278</v>
      </c>
      <c r="F1065" s="129">
        <v>1</v>
      </c>
      <c r="G1065" s="129">
        <v>108</v>
      </c>
      <c r="H1065" s="129">
        <v>0</v>
      </c>
      <c r="I1065" s="129">
        <v>38.700000000000003</v>
      </c>
      <c r="J1065" s="129">
        <v>0</v>
      </c>
      <c r="K1065" s="129">
        <v>2.8</v>
      </c>
      <c r="L1065" s="129">
        <f t="shared" si="323"/>
        <v>279</v>
      </c>
      <c r="M1065" s="129">
        <f t="shared" si="324"/>
        <v>108</v>
      </c>
      <c r="N1065" s="128">
        <f t="shared" si="325"/>
        <v>0.3871</v>
      </c>
      <c r="O1065" s="164">
        <f t="shared" si="326"/>
        <v>2.8</v>
      </c>
      <c r="P1065" s="185">
        <f t="shared" si="327"/>
        <v>0</v>
      </c>
      <c r="Q1065" s="185">
        <f t="shared" si="328"/>
        <v>2.8</v>
      </c>
      <c r="R1065" s="162" t="b">
        <f t="shared" si="316"/>
        <v>0</v>
      </c>
    </row>
    <row r="1066" spans="1:18">
      <c r="A1066" s="129" t="s">
        <v>257</v>
      </c>
      <c r="B1066" s="129" t="s">
        <v>3747</v>
      </c>
      <c r="C1066" s="129">
        <v>1928</v>
      </c>
      <c r="D1066" s="129" t="s">
        <v>1828</v>
      </c>
      <c r="E1066" s="129">
        <v>251</v>
      </c>
      <c r="F1066" s="129">
        <v>0</v>
      </c>
      <c r="G1066" s="129">
        <v>193</v>
      </c>
      <c r="H1066" s="129">
        <v>0</v>
      </c>
      <c r="I1066" s="129">
        <v>76.900000000000006</v>
      </c>
      <c r="J1066" s="129">
        <v>20.3</v>
      </c>
      <c r="K1066" s="129">
        <v>0</v>
      </c>
      <c r="L1066" s="129">
        <f t="shared" si="323"/>
        <v>251</v>
      </c>
      <c r="M1066" s="129">
        <f t="shared" si="324"/>
        <v>193</v>
      </c>
      <c r="N1066" s="128">
        <f t="shared" si="325"/>
        <v>0.76890000000000003</v>
      </c>
      <c r="O1066" s="164">
        <f t="shared" si="326"/>
        <v>0</v>
      </c>
      <c r="P1066" s="185">
        <f t="shared" si="327"/>
        <v>20.3</v>
      </c>
      <c r="Q1066" s="185">
        <f t="shared" si="328"/>
        <v>20.3</v>
      </c>
      <c r="R1066" s="162" t="b">
        <f t="shared" si="316"/>
        <v>0</v>
      </c>
    </row>
    <row r="1067" spans="1:18">
      <c r="A1067" s="129" t="s">
        <v>257</v>
      </c>
      <c r="B1067" s="129" t="s">
        <v>3747</v>
      </c>
      <c r="C1067" s="129">
        <v>1930</v>
      </c>
      <c r="D1067" s="129" t="s">
        <v>1830</v>
      </c>
      <c r="E1067" s="129">
        <v>285</v>
      </c>
      <c r="F1067" s="129">
        <v>0</v>
      </c>
      <c r="G1067" s="129">
        <v>204</v>
      </c>
      <c r="H1067" s="129">
        <v>0</v>
      </c>
      <c r="I1067" s="129">
        <v>71.599999999999994</v>
      </c>
      <c r="J1067" s="129">
        <v>21.4</v>
      </c>
      <c r="K1067" s="129">
        <v>0</v>
      </c>
      <c r="L1067" s="129">
        <f t="shared" si="323"/>
        <v>285</v>
      </c>
      <c r="M1067" s="129">
        <f t="shared" si="324"/>
        <v>204</v>
      </c>
      <c r="N1067" s="128">
        <f t="shared" si="325"/>
        <v>0.71579999999999999</v>
      </c>
      <c r="O1067" s="164">
        <f t="shared" si="326"/>
        <v>0</v>
      </c>
      <c r="P1067" s="185">
        <f t="shared" si="327"/>
        <v>21.4</v>
      </c>
      <c r="Q1067" s="185">
        <f t="shared" si="328"/>
        <v>21.4</v>
      </c>
      <c r="R1067" s="162" t="b">
        <f t="shared" si="316"/>
        <v>0</v>
      </c>
    </row>
    <row r="1068" spans="1:18">
      <c r="A1068" s="129" t="s">
        <v>257</v>
      </c>
      <c r="B1068" s="129" t="s">
        <v>3747</v>
      </c>
      <c r="C1068" s="129">
        <v>1934</v>
      </c>
      <c r="D1068" s="129" t="s">
        <v>1832</v>
      </c>
      <c r="E1068" s="129">
        <v>361</v>
      </c>
      <c r="F1068" s="129">
        <v>2</v>
      </c>
      <c r="G1068" s="129">
        <v>196</v>
      </c>
      <c r="H1068" s="129">
        <v>0</v>
      </c>
      <c r="I1068" s="129">
        <v>54</v>
      </c>
      <c r="J1068" s="129">
        <v>20.6</v>
      </c>
      <c r="K1068" s="129">
        <v>0</v>
      </c>
      <c r="L1068" s="129">
        <f t="shared" si="323"/>
        <v>363</v>
      </c>
      <c r="M1068" s="129">
        <f t="shared" si="324"/>
        <v>196</v>
      </c>
      <c r="N1068" s="128">
        <f t="shared" si="325"/>
        <v>0.53990000000000005</v>
      </c>
      <c r="O1068" s="164">
        <f t="shared" si="326"/>
        <v>0</v>
      </c>
      <c r="P1068" s="185">
        <f t="shared" si="327"/>
        <v>20.6</v>
      </c>
      <c r="Q1068" s="185">
        <f t="shared" si="328"/>
        <v>20.6</v>
      </c>
      <c r="R1068" s="162" t="b">
        <f t="shared" si="316"/>
        <v>0</v>
      </c>
    </row>
    <row r="1069" spans="1:18">
      <c r="A1069" s="129" t="s">
        <v>257</v>
      </c>
      <c r="B1069" s="129" t="s">
        <v>3747</v>
      </c>
      <c r="C1069" s="129">
        <v>1936</v>
      </c>
      <c r="D1069" s="129" t="s">
        <v>1834</v>
      </c>
      <c r="E1069" s="129">
        <v>370</v>
      </c>
      <c r="F1069" s="129">
        <v>16</v>
      </c>
      <c r="G1069" s="129">
        <v>145</v>
      </c>
      <c r="H1069" s="129">
        <v>4</v>
      </c>
      <c r="I1069" s="129">
        <v>38.6</v>
      </c>
      <c r="J1069" s="129">
        <v>0</v>
      </c>
      <c r="K1069" s="129">
        <v>3.8</v>
      </c>
      <c r="L1069" s="129">
        <f t="shared" si="323"/>
        <v>386</v>
      </c>
      <c r="M1069" s="129">
        <f t="shared" si="324"/>
        <v>149</v>
      </c>
      <c r="N1069" s="128">
        <f t="shared" si="325"/>
        <v>0.38600000000000001</v>
      </c>
      <c r="O1069" s="164">
        <f t="shared" si="326"/>
        <v>3.8</v>
      </c>
      <c r="P1069" s="185">
        <f t="shared" si="327"/>
        <v>0</v>
      </c>
      <c r="Q1069" s="185">
        <f t="shared" si="328"/>
        <v>3.8</v>
      </c>
      <c r="R1069" s="162" t="b">
        <f t="shared" si="316"/>
        <v>0</v>
      </c>
    </row>
    <row r="1070" spans="1:18">
      <c r="A1070" s="129" t="s">
        <v>257</v>
      </c>
      <c r="B1070" s="129" t="s">
        <v>3747</v>
      </c>
      <c r="C1070" s="129">
        <v>1941</v>
      </c>
      <c r="D1070" s="129" t="s">
        <v>1836</v>
      </c>
      <c r="E1070" s="129">
        <v>370</v>
      </c>
      <c r="F1070" s="129">
        <v>1</v>
      </c>
      <c r="G1070" s="129">
        <v>140</v>
      </c>
      <c r="H1070" s="129">
        <v>0</v>
      </c>
      <c r="I1070" s="129">
        <v>37.700000000000003</v>
      </c>
      <c r="J1070" s="129">
        <v>0</v>
      </c>
      <c r="K1070" s="129">
        <v>2.7</v>
      </c>
      <c r="L1070" s="129">
        <f t="shared" si="323"/>
        <v>371</v>
      </c>
      <c r="M1070" s="129">
        <f t="shared" si="324"/>
        <v>140</v>
      </c>
      <c r="N1070" s="128">
        <f t="shared" si="325"/>
        <v>0.37740000000000001</v>
      </c>
      <c r="O1070" s="164">
        <f t="shared" si="326"/>
        <v>2.7</v>
      </c>
      <c r="P1070" s="185">
        <f t="shared" si="327"/>
        <v>0</v>
      </c>
      <c r="Q1070" s="185">
        <f t="shared" si="328"/>
        <v>2.7</v>
      </c>
      <c r="R1070" s="162" t="b">
        <f t="shared" si="316"/>
        <v>0</v>
      </c>
    </row>
    <row r="1071" spans="1:18">
      <c r="A1071" s="129" t="s">
        <v>257</v>
      </c>
      <c r="B1071" s="129" t="s">
        <v>3747</v>
      </c>
      <c r="C1071" s="129">
        <v>1942</v>
      </c>
      <c r="D1071" s="129" t="s">
        <v>1838</v>
      </c>
      <c r="E1071" s="129">
        <v>2150</v>
      </c>
      <c r="F1071" s="129">
        <v>0</v>
      </c>
      <c r="G1071" s="129">
        <v>794</v>
      </c>
      <c r="H1071" s="129">
        <v>0</v>
      </c>
      <c r="I1071" s="129">
        <v>36.9</v>
      </c>
      <c r="J1071" s="129">
        <v>0</v>
      </c>
      <c r="K1071" s="129">
        <v>10.7</v>
      </c>
      <c r="L1071" s="129">
        <f t="shared" si="323"/>
        <v>2150</v>
      </c>
      <c r="M1071" s="129">
        <f t="shared" si="324"/>
        <v>794</v>
      </c>
      <c r="N1071" s="128">
        <f t="shared" si="325"/>
        <v>0.36930000000000002</v>
      </c>
      <c r="O1071" s="164">
        <f t="shared" si="326"/>
        <v>10.7</v>
      </c>
      <c r="P1071" s="185">
        <f t="shared" si="327"/>
        <v>0</v>
      </c>
      <c r="Q1071" s="185">
        <f t="shared" si="328"/>
        <v>10.7</v>
      </c>
      <c r="R1071" s="162" t="b">
        <f t="shared" si="316"/>
        <v>0</v>
      </c>
    </row>
    <row r="1072" spans="1:18">
      <c r="A1072" s="129" t="s">
        <v>257</v>
      </c>
      <c r="B1072" s="129" t="s">
        <v>3747</v>
      </c>
      <c r="C1072" s="129">
        <v>1944</v>
      </c>
      <c r="D1072" s="129" t="s">
        <v>1840</v>
      </c>
      <c r="E1072" s="129">
        <v>595</v>
      </c>
      <c r="F1072" s="129">
        <v>1</v>
      </c>
      <c r="G1072" s="129">
        <v>101</v>
      </c>
      <c r="H1072" s="129">
        <v>0</v>
      </c>
      <c r="I1072" s="129">
        <v>17</v>
      </c>
      <c r="J1072" s="129">
        <v>0</v>
      </c>
      <c r="K1072" s="129">
        <v>0</v>
      </c>
      <c r="L1072" s="129">
        <f t="shared" si="323"/>
        <v>596</v>
      </c>
      <c r="M1072" s="129">
        <f t="shared" si="324"/>
        <v>101</v>
      </c>
      <c r="N1072" s="128">
        <f t="shared" si="325"/>
        <v>0.16950000000000001</v>
      </c>
      <c r="O1072" s="164">
        <f t="shared" si="326"/>
        <v>0</v>
      </c>
      <c r="P1072" s="185">
        <f t="shared" si="327"/>
        <v>0</v>
      </c>
      <c r="Q1072" s="185">
        <f t="shared" si="328"/>
        <v>0</v>
      </c>
      <c r="R1072" s="162" t="b">
        <f t="shared" si="316"/>
        <v>0</v>
      </c>
    </row>
    <row r="1073" spans="1:18">
      <c r="A1073" s="129" t="s">
        <v>257</v>
      </c>
      <c r="B1073" s="129" t="s">
        <v>3747</v>
      </c>
      <c r="C1073" s="129">
        <v>1945</v>
      </c>
      <c r="D1073" s="129" t="s">
        <v>1842</v>
      </c>
      <c r="E1073" s="129">
        <v>400</v>
      </c>
      <c r="F1073" s="129">
        <v>0</v>
      </c>
      <c r="G1073" s="129">
        <v>107</v>
      </c>
      <c r="H1073" s="129">
        <v>0</v>
      </c>
      <c r="I1073" s="129">
        <v>26.8</v>
      </c>
      <c r="J1073" s="129">
        <v>0</v>
      </c>
      <c r="K1073" s="129">
        <v>0</v>
      </c>
      <c r="L1073" s="129">
        <f t="shared" si="323"/>
        <v>400</v>
      </c>
      <c r="M1073" s="129">
        <f t="shared" si="324"/>
        <v>107</v>
      </c>
      <c r="N1073" s="128">
        <f t="shared" si="325"/>
        <v>0.26750000000000002</v>
      </c>
      <c r="O1073" s="164">
        <f t="shared" si="326"/>
        <v>0</v>
      </c>
      <c r="P1073" s="185">
        <f t="shared" si="327"/>
        <v>0</v>
      </c>
      <c r="Q1073" s="185">
        <f t="shared" si="328"/>
        <v>0</v>
      </c>
      <c r="R1073" s="162" t="b">
        <f t="shared" si="316"/>
        <v>0</v>
      </c>
    </row>
    <row r="1074" spans="1:18">
      <c r="A1074" s="129" t="s">
        <v>257</v>
      </c>
      <c r="B1074" s="129" t="s">
        <v>3747</v>
      </c>
      <c r="C1074" s="129">
        <v>1976</v>
      </c>
      <c r="D1074" s="129" t="s">
        <v>1844</v>
      </c>
      <c r="E1074" s="129">
        <v>855</v>
      </c>
      <c r="F1074" s="129">
        <v>6</v>
      </c>
      <c r="G1074" s="129">
        <v>342</v>
      </c>
      <c r="H1074" s="129">
        <v>0</v>
      </c>
      <c r="I1074" s="129">
        <v>39.700000000000003</v>
      </c>
      <c r="J1074" s="129">
        <v>0</v>
      </c>
      <c r="K1074" s="129">
        <v>11.3</v>
      </c>
      <c r="L1074" s="129">
        <f t="shared" si="323"/>
        <v>861</v>
      </c>
      <c r="M1074" s="129">
        <f t="shared" si="324"/>
        <v>342</v>
      </c>
      <c r="N1074" s="128">
        <f t="shared" si="325"/>
        <v>0.3972</v>
      </c>
      <c r="O1074" s="164">
        <f t="shared" si="326"/>
        <v>11.3</v>
      </c>
      <c r="P1074" s="185">
        <f t="shared" si="327"/>
        <v>0</v>
      </c>
      <c r="Q1074" s="185">
        <f t="shared" si="328"/>
        <v>11.3</v>
      </c>
      <c r="R1074" s="162" t="b">
        <f t="shared" si="316"/>
        <v>0</v>
      </c>
    </row>
    <row r="1075" spans="1:18">
      <c r="A1075" s="129" t="s">
        <v>257</v>
      </c>
      <c r="B1075" s="129" t="s">
        <v>3747</v>
      </c>
      <c r="C1075" s="129">
        <v>2106</v>
      </c>
      <c r="D1075" s="129" t="s">
        <v>1846</v>
      </c>
      <c r="E1075" s="129">
        <v>428</v>
      </c>
      <c r="F1075" s="129">
        <v>0</v>
      </c>
      <c r="G1075" s="129">
        <v>112</v>
      </c>
      <c r="H1075" s="129">
        <v>0</v>
      </c>
      <c r="I1075" s="129">
        <v>26.2</v>
      </c>
      <c r="J1075" s="129">
        <v>0</v>
      </c>
      <c r="K1075" s="129">
        <v>0</v>
      </c>
      <c r="L1075" s="129">
        <f t="shared" si="323"/>
        <v>428</v>
      </c>
      <c r="M1075" s="129">
        <f t="shared" si="324"/>
        <v>112</v>
      </c>
      <c r="N1075" s="128">
        <f t="shared" si="325"/>
        <v>0.26169999999999999</v>
      </c>
      <c r="O1075" s="164">
        <f t="shared" si="326"/>
        <v>0</v>
      </c>
      <c r="P1075" s="185">
        <f t="shared" si="327"/>
        <v>0</v>
      </c>
      <c r="Q1075" s="185">
        <f t="shared" si="328"/>
        <v>0</v>
      </c>
      <c r="R1075" s="162" t="b">
        <f t="shared" si="316"/>
        <v>0</v>
      </c>
    </row>
    <row r="1076" spans="1:18">
      <c r="A1076" s="129" t="s">
        <v>443</v>
      </c>
      <c r="B1076" s="129" t="s">
        <v>4161</v>
      </c>
      <c r="C1076" s="129">
        <v>7592</v>
      </c>
      <c r="D1076" s="129" t="s">
        <v>3095</v>
      </c>
      <c r="E1076" s="129">
        <v>82</v>
      </c>
      <c r="F1076" s="129">
        <v>1</v>
      </c>
      <c r="G1076" s="129">
        <v>58</v>
      </c>
      <c r="H1076" s="129">
        <v>1</v>
      </c>
      <c r="I1076" s="129">
        <v>71.099999999999994</v>
      </c>
      <c r="J1076" s="129">
        <v>6.2</v>
      </c>
      <c r="K1076" s="129">
        <v>0</v>
      </c>
      <c r="L1076" s="129">
        <f t="shared" si="323"/>
        <v>83</v>
      </c>
      <c r="M1076" s="129">
        <f t="shared" si="324"/>
        <v>59</v>
      </c>
      <c r="N1076" s="128">
        <f t="shared" si="325"/>
        <v>0.71079999999999999</v>
      </c>
      <c r="O1076" s="164">
        <f t="shared" si="326"/>
        <v>0</v>
      </c>
      <c r="P1076" s="185">
        <f t="shared" si="327"/>
        <v>6.2</v>
      </c>
      <c r="Q1076" s="185">
        <f t="shared" si="328"/>
        <v>6.2</v>
      </c>
      <c r="R1076" s="162" t="b">
        <f t="shared" si="316"/>
        <v>0</v>
      </c>
    </row>
    <row r="1077" spans="1:18">
      <c r="A1077" s="129" t="s">
        <v>443</v>
      </c>
      <c r="B1077" s="129" t="s">
        <v>4161</v>
      </c>
      <c r="C1077" s="129">
        <v>7593</v>
      </c>
      <c r="D1077" s="129" t="s">
        <v>3097</v>
      </c>
      <c r="E1077" s="129">
        <v>434</v>
      </c>
      <c r="F1077" s="129">
        <v>19</v>
      </c>
      <c r="G1077" s="129">
        <v>173</v>
      </c>
      <c r="H1077" s="129">
        <v>2</v>
      </c>
      <c r="I1077" s="129">
        <v>38.6</v>
      </c>
      <c r="J1077" s="129">
        <v>0</v>
      </c>
      <c r="K1077" s="129">
        <v>4.4000000000000004</v>
      </c>
      <c r="L1077" s="129">
        <f t="shared" si="323"/>
        <v>453</v>
      </c>
      <c r="M1077" s="129">
        <f t="shared" si="324"/>
        <v>175</v>
      </c>
      <c r="N1077" s="128">
        <f t="shared" si="325"/>
        <v>0.38629999999999998</v>
      </c>
      <c r="O1077" s="164">
        <f t="shared" si="326"/>
        <v>4.4000000000000004</v>
      </c>
      <c r="P1077" s="185">
        <f t="shared" si="327"/>
        <v>0</v>
      </c>
      <c r="Q1077" s="185">
        <f t="shared" si="328"/>
        <v>4.4000000000000004</v>
      </c>
      <c r="R1077" s="162" t="b">
        <f t="shared" si="316"/>
        <v>0</v>
      </c>
    </row>
    <row r="1078" spans="1:18">
      <c r="A1078" s="129" t="s">
        <v>443</v>
      </c>
      <c r="B1078" s="129" t="s">
        <v>4161</v>
      </c>
      <c r="C1078" s="129">
        <v>7598</v>
      </c>
      <c r="D1078" s="129" t="s">
        <v>1172</v>
      </c>
      <c r="E1078" s="129">
        <v>326</v>
      </c>
      <c r="F1078" s="129">
        <v>16</v>
      </c>
      <c r="G1078" s="129">
        <v>136</v>
      </c>
      <c r="H1078" s="129">
        <v>5</v>
      </c>
      <c r="I1078" s="129">
        <v>41.2</v>
      </c>
      <c r="J1078" s="129">
        <v>0</v>
      </c>
      <c r="K1078" s="129">
        <v>6.1</v>
      </c>
      <c r="L1078" s="129">
        <f t="shared" si="323"/>
        <v>342</v>
      </c>
      <c r="M1078" s="129">
        <f t="shared" si="324"/>
        <v>141</v>
      </c>
      <c r="N1078" s="128">
        <f t="shared" si="325"/>
        <v>0.4123</v>
      </c>
      <c r="O1078" s="164">
        <f t="shared" si="326"/>
        <v>6.1</v>
      </c>
      <c r="P1078" s="185">
        <f t="shared" si="327"/>
        <v>0</v>
      </c>
      <c r="Q1078" s="185">
        <f t="shared" si="328"/>
        <v>6.1</v>
      </c>
      <c r="R1078" s="162" t="b">
        <f t="shared" si="316"/>
        <v>0</v>
      </c>
    </row>
    <row r="1079" spans="1:18">
      <c r="A1079" s="129" t="s">
        <v>443</v>
      </c>
      <c r="B1079" s="129" t="s">
        <v>4161</v>
      </c>
      <c r="C1079" s="129">
        <v>7600</v>
      </c>
      <c r="D1079" s="129" t="s">
        <v>3100</v>
      </c>
      <c r="E1079" s="129">
        <v>360</v>
      </c>
      <c r="F1079" s="129">
        <v>38</v>
      </c>
      <c r="G1079" s="129">
        <v>76</v>
      </c>
      <c r="H1079" s="129">
        <v>8</v>
      </c>
      <c r="I1079" s="129">
        <v>21.1</v>
      </c>
      <c r="J1079" s="129">
        <v>0</v>
      </c>
      <c r="K1079" s="129">
        <v>0</v>
      </c>
      <c r="L1079" s="129">
        <f t="shared" si="323"/>
        <v>398</v>
      </c>
      <c r="M1079" s="129">
        <f t="shared" si="324"/>
        <v>84</v>
      </c>
      <c r="N1079" s="128">
        <f t="shared" si="325"/>
        <v>0.21110000000000001</v>
      </c>
      <c r="O1079" s="164">
        <f t="shared" si="326"/>
        <v>0</v>
      </c>
      <c r="P1079" s="185">
        <f t="shared" si="327"/>
        <v>0</v>
      </c>
      <c r="Q1079" s="185">
        <f t="shared" si="328"/>
        <v>0</v>
      </c>
      <c r="R1079" s="162" t="b">
        <f t="shared" si="316"/>
        <v>0</v>
      </c>
    </row>
    <row r="1080" spans="1:18">
      <c r="A1080" s="129" t="s">
        <v>443</v>
      </c>
      <c r="B1080" s="129" t="s">
        <v>4161</v>
      </c>
      <c r="C1080" s="129">
        <v>7601</v>
      </c>
      <c r="D1080" s="129" t="s">
        <v>3102</v>
      </c>
      <c r="E1080" s="129">
        <v>604</v>
      </c>
      <c r="F1080" s="129">
        <v>68</v>
      </c>
      <c r="G1080" s="129">
        <v>138</v>
      </c>
      <c r="H1080" s="129">
        <v>19</v>
      </c>
      <c r="I1080" s="129">
        <v>23.4</v>
      </c>
      <c r="J1080" s="129">
        <v>0</v>
      </c>
      <c r="K1080" s="129">
        <v>0</v>
      </c>
      <c r="L1080" s="129">
        <f t="shared" si="323"/>
        <v>672</v>
      </c>
      <c r="M1080" s="129">
        <f t="shared" si="324"/>
        <v>157</v>
      </c>
      <c r="N1080" s="128">
        <f t="shared" si="325"/>
        <v>0.2336</v>
      </c>
      <c r="O1080" s="164">
        <f t="shared" si="326"/>
        <v>0</v>
      </c>
      <c r="P1080" s="185">
        <f t="shared" si="327"/>
        <v>0</v>
      </c>
      <c r="Q1080" s="185">
        <f t="shared" si="328"/>
        <v>0</v>
      </c>
      <c r="R1080" s="162" t="b">
        <f t="shared" si="316"/>
        <v>0</v>
      </c>
    </row>
    <row r="1081" spans="1:18">
      <c r="A1081" s="129" t="s">
        <v>443</v>
      </c>
      <c r="B1081" s="129" t="s">
        <v>4161</v>
      </c>
      <c r="C1081" s="129">
        <v>7606</v>
      </c>
      <c r="D1081" s="129" t="s">
        <v>2030</v>
      </c>
      <c r="E1081" s="129">
        <v>295</v>
      </c>
      <c r="F1081" s="129">
        <v>1</v>
      </c>
      <c r="G1081" s="129">
        <v>120</v>
      </c>
      <c r="H1081" s="129">
        <v>0</v>
      </c>
      <c r="I1081" s="129">
        <v>40.5</v>
      </c>
      <c r="J1081" s="129">
        <v>0</v>
      </c>
      <c r="K1081" s="129">
        <v>4.7</v>
      </c>
      <c r="L1081" s="129">
        <f t="shared" si="323"/>
        <v>296</v>
      </c>
      <c r="M1081" s="129">
        <f t="shared" si="324"/>
        <v>120</v>
      </c>
      <c r="N1081" s="128">
        <f t="shared" si="325"/>
        <v>0.40539999999999998</v>
      </c>
      <c r="O1081" s="164">
        <f t="shared" si="326"/>
        <v>4.7</v>
      </c>
      <c r="P1081" s="185">
        <f t="shared" si="327"/>
        <v>0</v>
      </c>
      <c r="Q1081" s="185">
        <f t="shared" si="328"/>
        <v>4.7</v>
      </c>
      <c r="R1081" s="162" t="b">
        <f t="shared" si="316"/>
        <v>0</v>
      </c>
    </row>
    <row r="1082" spans="1:18">
      <c r="A1082" s="129" t="s">
        <v>443</v>
      </c>
      <c r="B1082" s="129" t="s">
        <v>4161</v>
      </c>
      <c r="C1082" s="129">
        <v>7608</v>
      </c>
      <c r="D1082" s="129" t="s">
        <v>3105</v>
      </c>
      <c r="E1082" s="129">
        <v>342</v>
      </c>
      <c r="F1082" s="129">
        <v>51</v>
      </c>
      <c r="G1082" s="129">
        <v>81</v>
      </c>
      <c r="H1082" s="129">
        <v>21</v>
      </c>
      <c r="I1082" s="129">
        <v>26</v>
      </c>
      <c r="J1082" s="129">
        <v>0</v>
      </c>
      <c r="K1082" s="129">
        <v>0</v>
      </c>
      <c r="L1082" s="129">
        <f t="shared" si="323"/>
        <v>393</v>
      </c>
      <c r="M1082" s="129">
        <f t="shared" si="324"/>
        <v>102</v>
      </c>
      <c r="N1082" s="128">
        <f t="shared" si="325"/>
        <v>0.25950000000000001</v>
      </c>
      <c r="O1082" s="164">
        <f t="shared" si="326"/>
        <v>0</v>
      </c>
      <c r="P1082" s="185">
        <f t="shared" si="327"/>
        <v>0</v>
      </c>
      <c r="Q1082" s="185">
        <f t="shared" si="328"/>
        <v>0</v>
      </c>
      <c r="R1082" s="162" t="b">
        <f t="shared" si="316"/>
        <v>0</v>
      </c>
    </row>
    <row r="1083" spans="1:18">
      <c r="A1083" s="129" t="s">
        <v>443</v>
      </c>
      <c r="B1083" s="129" t="s">
        <v>4161</v>
      </c>
      <c r="C1083" s="129">
        <v>7610</v>
      </c>
      <c r="D1083" s="129" t="s">
        <v>3107</v>
      </c>
      <c r="E1083" s="129">
        <v>274</v>
      </c>
      <c r="F1083" s="129">
        <v>3</v>
      </c>
      <c r="G1083" s="129">
        <v>136</v>
      </c>
      <c r="H1083" s="129">
        <v>0</v>
      </c>
      <c r="I1083" s="129">
        <v>49.1</v>
      </c>
      <c r="J1083" s="129">
        <v>0</v>
      </c>
      <c r="K1083" s="129">
        <v>13.4</v>
      </c>
      <c r="L1083" s="129">
        <f t="shared" si="323"/>
        <v>277</v>
      </c>
      <c r="M1083" s="129">
        <f t="shared" si="324"/>
        <v>136</v>
      </c>
      <c r="N1083" s="128">
        <f t="shared" si="325"/>
        <v>0.49099999999999999</v>
      </c>
      <c r="O1083" s="164">
        <f t="shared" si="326"/>
        <v>13.4</v>
      </c>
      <c r="P1083" s="185">
        <f t="shared" si="327"/>
        <v>0</v>
      </c>
      <c r="Q1083" s="185">
        <f t="shared" si="328"/>
        <v>13.4</v>
      </c>
      <c r="R1083" s="162" t="b">
        <f t="shared" si="316"/>
        <v>0</v>
      </c>
    </row>
    <row r="1084" spans="1:18">
      <c r="A1084" s="129" t="s">
        <v>443</v>
      </c>
      <c r="B1084" s="129" t="s">
        <v>4161</v>
      </c>
      <c r="C1084" s="129">
        <v>7612</v>
      </c>
      <c r="D1084" s="129" t="s">
        <v>1433</v>
      </c>
      <c r="E1084" s="129">
        <v>344</v>
      </c>
      <c r="F1084" s="129">
        <v>1</v>
      </c>
      <c r="G1084" s="129">
        <v>285</v>
      </c>
      <c r="H1084" s="129">
        <v>0</v>
      </c>
      <c r="I1084" s="129">
        <v>82.6</v>
      </c>
      <c r="J1084" s="129">
        <v>29.9</v>
      </c>
      <c r="K1084" s="129">
        <v>0</v>
      </c>
      <c r="L1084" s="129">
        <f t="shared" si="323"/>
        <v>345</v>
      </c>
      <c r="M1084" s="129">
        <f t="shared" si="324"/>
        <v>285</v>
      </c>
      <c r="N1084" s="128">
        <f t="shared" si="325"/>
        <v>0.82609999999999995</v>
      </c>
      <c r="O1084" s="164">
        <f t="shared" si="326"/>
        <v>0</v>
      </c>
      <c r="P1084" s="185">
        <f t="shared" si="327"/>
        <v>29.9</v>
      </c>
      <c r="Q1084" s="185">
        <f t="shared" si="328"/>
        <v>29.9</v>
      </c>
      <c r="R1084" s="162" t="b">
        <f t="shared" si="316"/>
        <v>0</v>
      </c>
    </row>
    <row r="1085" spans="1:18">
      <c r="A1085" s="129" t="s">
        <v>443</v>
      </c>
      <c r="B1085" s="129" t="s">
        <v>4161</v>
      </c>
      <c r="C1085" s="129">
        <v>7614</v>
      </c>
      <c r="D1085" s="129" t="s">
        <v>3110</v>
      </c>
      <c r="E1085" s="129">
        <v>252</v>
      </c>
      <c r="F1085" s="129">
        <v>2</v>
      </c>
      <c r="G1085" s="129">
        <v>170</v>
      </c>
      <c r="H1085" s="129">
        <v>0</v>
      </c>
      <c r="I1085" s="129">
        <v>66.900000000000006</v>
      </c>
      <c r="J1085" s="129">
        <v>17.899999999999999</v>
      </c>
      <c r="K1085" s="129">
        <v>0</v>
      </c>
      <c r="L1085" s="129">
        <f t="shared" si="323"/>
        <v>254</v>
      </c>
      <c r="M1085" s="129">
        <f t="shared" si="324"/>
        <v>170</v>
      </c>
      <c r="N1085" s="128">
        <f t="shared" si="325"/>
        <v>0.66930000000000001</v>
      </c>
      <c r="O1085" s="164">
        <f t="shared" si="326"/>
        <v>0</v>
      </c>
      <c r="P1085" s="185">
        <f t="shared" si="327"/>
        <v>17.899999999999999</v>
      </c>
      <c r="Q1085" s="185">
        <f t="shared" si="328"/>
        <v>17.899999999999999</v>
      </c>
      <c r="R1085" s="162" t="b">
        <f t="shared" si="316"/>
        <v>0</v>
      </c>
    </row>
    <row r="1086" spans="1:18">
      <c r="A1086" s="129" t="s">
        <v>443</v>
      </c>
      <c r="B1086" s="129" t="s">
        <v>4161</v>
      </c>
      <c r="C1086" s="129">
        <v>7616</v>
      </c>
      <c r="D1086" s="129" t="s">
        <v>3112</v>
      </c>
      <c r="E1086" s="129">
        <v>523</v>
      </c>
      <c r="F1086" s="129">
        <v>53</v>
      </c>
      <c r="G1086" s="129">
        <v>119</v>
      </c>
      <c r="H1086" s="129">
        <v>11</v>
      </c>
      <c r="I1086" s="129">
        <v>22.6</v>
      </c>
      <c r="J1086" s="129">
        <v>0</v>
      </c>
      <c r="K1086" s="129">
        <v>0</v>
      </c>
      <c r="L1086" s="129">
        <f t="shared" si="323"/>
        <v>576</v>
      </c>
      <c r="M1086" s="129">
        <f t="shared" si="324"/>
        <v>130</v>
      </c>
      <c r="N1086" s="128">
        <f t="shared" si="325"/>
        <v>0.22570000000000001</v>
      </c>
      <c r="O1086" s="164">
        <f t="shared" si="326"/>
        <v>0</v>
      </c>
      <c r="P1086" s="185">
        <f t="shared" si="327"/>
        <v>0</v>
      </c>
      <c r="Q1086" s="185">
        <f t="shared" si="328"/>
        <v>0</v>
      </c>
      <c r="R1086" s="162" t="b">
        <f t="shared" si="316"/>
        <v>0</v>
      </c>
    </row>
    <row r="1087" spans="1:18">
      <c r="A1087" s="129" t="s">
        <v>443</v>
      </c>
      <c r="B1087" s="129" t="s">
        <v>4161</v>
      </c>
      <c r="C1087" s="129">
        <v>7618</v>
      </c>
      <c r="D1087" s="129" t="s">
        <v>3114</v>
      </c>
      <c r="E1087" s="129">
        <v>908</v>
      </c>
      <c r="F1087" s="129">
        <v>5</v>
      </c>
      <c r="G1087" s="129">
        <v>468</v>
      </c>
      <c r="H1087" s="129">
        <v>1</v>
      </c>
      <c r="I1087" s="129">
        <v>51.4</v>
      </c>
      <c r="J1087" s="129">
        <v>49.2</v>
      </c>
      <c r="K1087" s="129">
        <v>0</v>
      </c>
      <c r="L1087" s="129">
        <f t="shared" si="323"/>
        <v>913</v>
      </c>
      <c r="M1087" s="129">
        <f t="shared" si="324"/>
        <v>469</v>
      </c>
      <c r="N1087" s="128">
        <f t="shared" si="325"/>
        <v>0.51370000000000005</v>
      </c>
      <c r="O1087" s="164">
        <f t="shared" si="326"/>
        <v>0</v>
      </c>
      <c r="P1087" s="185">
        <f t="shared" si="327"/>
        <v>49.2</v>
      </c>
      <c r="Q1087" s="185">
        <f t="shared" si="328"/>
        <v>49.2</v>
      </c>
      <c r="R1087" s="162" t="b">
        <f t="shared" si="316"/>
        <v>0</v>
      </c>
    </row>
    <row r="1088" spans="1:18">
      <c r="A1088" s="129" t="s">
        <v>443</v>
      </c>
      <c r="B1088" s="129" t="s">
        <v>4161</v>
      </c>
      <c r="C1088" s="129">
        <v>7620</v>
      </c>
      <c r="D1088" s="129" t="s">
        <v>3116</v>
      </c>
      <c r="E1088" s="129">
        <v>1718</v>
      </c>
      <c r="F1088" s="129">
        <v>37</v>
      </c>
      <c r="G1088" s="129">
        <v>690</v>
      </c>
      <c r="H1088" s="129">
        <v>10</v>
      </c>
      <c r="I1088" s="129">
        <v>39.9</v>
      </c>
      <c r="J1088" s="129">
        <v>0</v>
      </c>
      <c r="K1088" s="129">
        <v>24</v>
      </c>
      <c r="L1088" s="129">
        <f t="shared" si="323"/>
        <v>1755</v>
      </c>
      <c r="M1088" s="129">
        <f t="shared" si="324"/>
        <v>700</v>
      </c>
      <c r="N1088" s="128">
        <f t="shared" si="325"/>
        <v>0.39889999999999998</v>
      </c>
      <c r="O1088" s="164">
        <f t="shared" si="326"/>
        <v>24</v>
      </c>
      <c r="P1088" s="185">
        <f t="shared" si="327"/>
        <v>0</v>
      </c>
      <c r="Q1088" s="185">
        <f t="shared" si="328"/>
        <v>24</v>
      </c>
      <c r="R1088" s="162" t="b">
        <f t="shared" si="316"/>
        <v>0</v>
      </c>
    </row>
    <row r="1089" spans="1:18">
      <c r="A1089" s="129" t="s">
        <v>443</v>
      </c>
      <c r="B1089" s="129" t="s">
        <v>4161</v>
      </c>
      <c r="C1089" s="129">
        <v>7624</v>
      </c>
      <c r="D1089" s="129" t="s">
        <v>3118</v>
      </c>
      <c r="E1089" s="129">
        <v>85</v>
      </c>
      <c r="F1089" s="129">
        <v>2</v>
      </c>
      <c r="G1089" s="129">
        <v>30</v>
      </c>
      <c r="H1089" s="129">
        <v>0</v>
      </c>
      <c r="I1089" s="129">
        <v>34.5</v>
      </c>
      <c r="J1089" s="129">
        <v>0</v>
      </c>
      <c r="K1089" s="129">
        <v>0</v>
      </c>
      <c r="L1089" s="129">
        <f t="shared" si="323"/>
        <v>87</v>
      </c>
      <c r="M1089" s="129">
        <f t="shared" si="324"/>
        <v>30</v>
      </c>
      <c r="N1089" s="128">
        <f t="shared" si="325"/>
        <v>0.3448</v>
      </c>
      <c r="O1089" s="164">
        <f t="shared" si="326"/>
        <v>0</v>
      </c>
      <c r="P1089" s="185">
        <f t="shared" si="327"/>
        <v>0</v>
      </c>
      <c r="Q1089" s="185">
        <f t="shared" si="328"/>
        <v>0</v>
      </c>
      <c r="R1089" s="162" t="b">
        <f t="shared" si="316"/>
        <v>0</v>
      </c>
    </row>
    <row r="1090" spans="1:18">
      <c r="A1090" s="129" t="s">
        <v>443</v>
      </c>
      <c r="B1090" s="129" t="s">
        <v>4161</v>
      </c>
      <c r="C1090" s="129">
        <v>7630</v>
      </c>
      <c r="D1090" s="129" t="s">
        <v>3120</v>
      </c>
      <c r="E1090" s="129">
        <v>678</v>
      </c>
      <c r="F1090" s="129">
        <v>60</v>
      </c>
      <c r="G1090" s="129">
        <v>231</v>
      </c>
      <c r="H1090" s="129">
        <v>17</v>
      </c>
      <c r="I1090" s="129">
        <v>33.6</v>
      </c>
      <c r="J1090" s="129">
        <v>0</v>
      </c>
      <c r="K1090" s="129">
        <v>0</v>
      </c>
      <c r="L1090" s="129">
        <f t="shared" ref="L1090" si="329">SUM(E1090:F1090)</f>
        <v>738</v>
      </c>
      <c r="M1090" s="129">
        <f t="shared" ref="M1090" si="330">SUM(G1090:H1090)</f>
        <v>248</v>
      </c>
      <c r="N1090" s="128">
        <f t="shared" ref="N1090" si="331">IF(ISERROR(M1090/L1090),0,M1090/L1090)</f>
        <v>0.33600000000000002</v>
      </c>
      <c r="O1090" s="164">
        <f t="shared" ref="O1090" si="332">IF(AND((N1090-35%)&gt;0,N1090&lt;50%),M1090*(N1090-35%)*0.7,0)</f>
        <v>0</v>
      </c>
      <c r="P1090" s="185">
        <f t="shared" ref="P1090" si="333">IF(N1090&gt;=50%,M1090*10.5%,0)</f>
        <v>0</v>
      </c>
      <c r="Q1090" s="185">
        <f t="shared" ref="Q1090" si="334">MAX(O1090,P1090)</f>
        <v>0</v>
      </c>
      <c r="R1090" s="162" t="b">
        <f t="shared" si="316"/>
        <v>0</v>
      </c>
    </row>
    <row r="1091" spans="1:18">
      <c r="A1091" s="129" t="s">
        <v>427</v>
      </c>
      <c r="B1091" s="129" t="s">
        <v>3902</v>
      </c>
      <c r="C1091" s="129">
        <v>7188</v>
      </c>
      <c r="D1091" s="129" t="s">
        <v>4068</v>
      </c>
      <c r="E1091" s="129">
        <v>5</v>
      </c>
      <c r="F1091" s="129">
        <v>0</v>
      </c>
      <c r="H1091" s="129">
        <v>0</v>
      </c>
      <c r="J1091" s="129">
        <v>0</v>
      </c>
      <c r="K1091" s="129">
        <v>0</v>
      </c>
      <c r="L1091" s="129">
        <f t="shared" ref="L1091" si="335">SUM(E1091:F1091)</f>
        <v>5</v>
      </c>
      <c r="M1091" s="129">
        <f t="shared" ref="M1091" si="336">SUM(G1091:H1091)</f>
        <v>0</v>
      </c>
      <c r="N1091" s="128">
        <f t="shared" ref="N1091" si="337">IF(ISERROR(M1091/L1091),0,M1091/L1091)</f>
        <v>0</v>
      </c>
      <c r="O1091" s="164">
        <f t="shared" ref="O1091" si="338">IF(AND((N1091-35%)&gt;0,N1091&lt;50%),M1091*(N1091-35%)*0.7,0)</f>
        <v>0</v>
      </c>
      <c r="P1091" s="185">
        <f t="shared" ref="P1091" si="339">IF(N1091&gt;=50%,M1091*10.5%,0)</f>
        <v>0</v>
      </c>
      <c r="Q1091" s="185">
        <f t="shared" ref="Q1091" si="340">MAX(O1091,P1091)</f>
        <v>0</v>
      </c>
      <c r="R1091" s="162" t="b">
        <f t="shared" si="316"/>
        <v>0</v>
      </c>
    </row>
    <row r="1092" spans="1:18">
      <c r="A1092" s="129" t="s">
        <v>295</v>
      </c>
      <c r="B1092" s="129" t="s">
        <v>4166</v>
      </c>
      <c r="C1092" s="129">
        <v>3101</v>
      </c>
      <c r="D1092" s="129" t="s">
        <v>2107</v>
      </c>
      <c r="E1092" s="129">
        <v>260</v>
      </c>
      <c r="F1092" s="129">
        <v>0</v>
      </c>
      <c r="G1092" s="129">
        <v>150</v>
      </c>
      <c r="H1092" s="129">
        <v>0</v>
      </c>
      <c r="I1092" s="129">
        <v>57.7</v>
      </c>
      <c r="J1092" s="129">
        <v>15.8</v>
      </c>
      <c r="K1092" s="129">
        <v>0</v>
      </c>
      <c r="L1092" s="129">
        <f t="shared" ref="L1092:L1106" si="341">SUM(E1092:F1092)</f>
        <v>260</v>
      </c>
      <c r="M1092" s="129">
        <f t="shared" ref="M1092:M1106" si="342">SUM(G1092:H1092)</f>
        <v>150</v>
      </c>
      <c r="N1092" s="128">
        <f t="shared" ref="N1092:N1106" si="343">IF(ISERROR(M1092/L1092),0,M1092/L1092)</f>
        <v>0.57689999999999997</v>
      </c>
      <c r="O1092" s="164">
        <f t="shared" ref="O1092:O1106" si="344">IF(AND((N1092-35%)&gt;0,N1092&lt;50%),M1092*(N1092-35%)*0.7,0)</f>
        <v>0</v>
      </c>
      <c r="P1092" s="185">
        <f t="shared" ref="P1092:P1106" si="345">IF(N1092&gt;=50%,M1092*10.5%,0)</f>
        <v>15.8</v>
      </c>
      <c r="Q1092" s="185">
        <f t="shared" ref="Q1092:Q1106" si="346">MAX(O1092,P1092)</f>
        <v>15.8</v>
      </c>
      <c r="R1092" s="162" t="b">
        <f t="shared" si="316"/>
        <v>0</v>
      </c>
    </row>
    <row r="1093" spans="1:18">
      <c r="A1093" s="129" t="s">
        <v>295</v>
      </c>
      <c r="B1093" s="129" t="s">
        <v>4166</v>
      </c>
      <c r="C1093" s="129">
        <v>3106</v>
      </c>
      <c r="D1093" s="129" t="s">
        <v>2109</v>
      </c>
      <c r="E1093" s="129">
        <v>294</v>
      </c>
      <c r="F1093" s="129">
        <v>0</v>
      </c>
      <c r="G1093" s="129">
        <v>243</v>
      </c>
      <c r="H1093" s="129">
        <v>0</v>
      </c>
      <c r="I1093" s="129">
        <v>82.7</v>
      </c>
      <c r="J1093" s="129">
        <v>25.5</v>
      </c>
      <c r="K1093" s="129">
        <v>0</v>
      </c>
      <c r="L1093" s="129">
        <f t="shared" si="341"/>
        <v>294</v>
      </c>
      <c r="M1093" s="129">
        <f t="shared" si="342"/>
        <v>243</v>
      </c>
      <c r="N1093" s="128">
        <f t="shared" si="343"/>
        <v>0.82650000000000001</v>
      </c>
      <c r="O1093" s="164">
        <f t="shared" si="344"/>
        <v>0</v>
      </c>
      <c r="P1093" s="185">
        <f t="shared" si="345"/>
        <v>25.5</v>
      </c>
      <c r="Q1093" s="185">
        <f t="shared" si="346"/>
        <v>25.5</v>
      </c>
      <c r="R1093" s="162" t="b">
        <f t="shared" ref="R1093:R1156" si="347">COUNTIF(C:C,C1093)&gt;1</f>
        <v>0</v>
      </c>
    </row>
    <row r="1094" spans="1:18">
      <c r="A1094" s="129" t="s">
        <v>295</v>
      </c>
      <c r="B1094" s="129" t="s">
        <v>4166</v>
      </c>
      <c r="C1094" s="129">
        <v>3108</v>
      </c>
      <c r="D1094" s="129" t="s">
        <v>2111</v>
      </c>
      <c r="E1094" s="129">
        <v>277</v>
      </c>
      <c r="F1094" s="129">
        <v>0</v>
      </c>
      <c r="G1094" s="129">
        <v>161</v>
      </c>
      <c r="H1094" s="129">
        <v>0</v>
      </c>
      <c r="I1094" s="129">
        <v>58.1</v>
      </c>
      <c r="J1094" s="129">
        <v>16.899999999999999</v>
      </c>
      <c r="K1094" s="129">
        <v>0</v>
      </c>
      <c r="L1094" s="129">
        <f t="shared" si="341"/>
        <v>277</v>
      </c>
      <c r="M1094" s="129">
        <f t="shared" si="342"/>
        <v>161</v>
      </c>
      <c r="N1094" s="128">
        <f t="shared" si="343"/>
        <v>0.58120000000000005</v>
      </c>
      <c r="O1094" s="164">
        <f t="shared" si="344"/>
        <v>0</v>
      </c>
      <c r="P1094" s="185">
        <f t="shared" si="345"/>
        <v>16.899999999999999</v>
      </c>
      <c r="Q1094" s="185">
        <f t="shared" si="346"/>
        <v>16.899999999999999</v>
      </c>
      <c r="R1094" s="162" t="b">
        <f t="shared" si="347"/>
        <v>0</v>
      </c>
    </row>
    <row r="1095" spans="1:18">
      <c r="A1095" s="129" t="s">
        <v>295</v>
      </c>
      <c r="B1095" s="129" t="s">
        <v>4166</v>
      </c>
      <c r="C1095" s="129">
        <v>3116</v>
      </c>
      <c r="D1095" s="129" t="s">
        <v>2113</v>
      </c>
      <c r="E1095" s="129">
        <v>353</v>
      </c>
      <c r="F1095" s="129">
        <v>0</v>
      </c>
      <c r="G1095" s="129">
        <v>277</v>
      </c>
      <c r="H1095" s="129">
        <v>0</v>
      </c>
      <c r="I1095" s="129">
        <v>78.5</v>
      </c>
      <c r="J1095" s="129">
        <v>29.1</v>
      </c>
      <c r="K1095" s="129">
        <v>0</v>
      </c>
      <c r="L1095" s="129">
        <f t="shared" si="341"/>
        <v>353</v>
      </c>
      <c r="M1095" s="129">
        <f t="shared" si="342"/>
        <v>277</v>
      </c>
      <c r="N1095" s="128">
        <f t="shared" si="343"/>
        <v>0.78469999999999995</v>
      </c>
      <c r="O1095" s="164">
        <f t="shared" si="344"/>
        <v>0</v>
      </c>
      <c r="P1095" s="185">
        <f t="shared" si="345"/>
        <v>29.1</v>
      </c>
      <c r="Q1095" s="185">
        <f t="shared" si="346"/>
        <v>29.1</v>
      </c>
      <c r="R1095" s="162" t="b">
        <f t="shared" si="347"/>
        <v>0</v>
      </c>
    </row>
    <row r="1096" spans="1:18">
      <c r="A1096" s="129" t="s">
        <v>295</v>
      </c>
      <c r="B1096" s="129" t="s">
        <v>4166</v>
      </c>
      <c r="C1096" s="129">
        <v>3118</v>
      </c>
      <c r="D1096" s="129" t="s">
        <v>2115</v>
      </c>
      <c r="E1096" s="129">
        <v>386</v>
      </c>
      <c r="F1096" s="129">
        <v>0</v>
      </c>
      <c r="G1096" s="129">
        <v>171</v>
      </c>
      <c r="H1096" s="129">
        <v>0</v>
      </c>
      <c r="I1096" s="129">
        <v>44.3</v>
      </c>
      <c r="J1096" s="129">
        <v>0</v>
      </c>
      <c r="K1096" s="129">
        <v>11.1</v>
      </c>
      <c r="L1096" s="129">
        <f t="shared" si="341"/>
        <v>386</v>
      </c>
      <c r="M1096" s="129">
        <f t="shared" si="342"/>
        <v>171</v>
      </c>
      <c r="N1096" s="128">
        <f t="shared" si="343"/>
        <v>0.443</v>
      </c>
      <c r="O1096" s="164">
        <f t="shared" si="344"/>
        <v>11.1</v>
      </c>
      <c r="P1096" s="185">
        <f t="shared" si="345"/>
        <v>0</v>
      </c>
      <c r="Q1096" s="185">
        <f t="shared" si="346"/>
        <v>11.1</v>
      </c>
      <c r="R1096" s="162" t="b">
        <f t="shared" si="347"/>
        <v>0</v>
      </c>
    </row>
    <row r="1097" spans="1:18">
      <c r="A1097" s="129" t="s">
        <v>295</v>
      </c>
      <c r="B1097" s="129" t="s">
        <v>4166</v>
      </c>
      <c r="C1097" s="129">
        <v>3124</v>
      </c>
      <c r="D1097" s="129" t="s">
        <v>2117</v>
      </c>
      <c r="E1097" s="129">
        <v>311</v>
      </c>
      <c r="F1097" s="129">
        <v>0</v>
      </c>
      <c r="G1097" s="129">
        <v>156</v>
      </c>
      <c r="H1097" s="129">
        <v>0</v>
      </c>
      <c r="I1097" s="129">
        <v>50.2</v>
      </c>
      <c r="J1097" s="129">
        <v>16.399999999999999</v>
      </c>
      <c r="K1097" s="129">
        <v>0</v>
      </c>
      <c r="L1097" s="129">
        <f t="shared" si="341"/>
        <v>311</v>
      </c>
      <c r="M1097" s="129">
        <f t="shared" si="342"/>
        <v>156</v>
      </c>
      <c r="N1097" s="128">
        <f t="shared" si="343"/>
        <v>0.50160000000000005</v>
      </c>
      <c r="O1097" s="164">
        <f t="shared" si="344"/>
        <v>0</v>
      </c>
      <c r="P1097" s="185">
        <f t="shared" si="345"/>
        <v>16.399999999999999</v>
      </c>
      <c r="Q1097" s="185">
        <f t="shared" si="346"/>
        <v>16.399999999999999</v>
      </c>
      <c r="R1097" s="162" t="b">
        <f t="shared" si="347"/>
        <v>0</v>
      </c>
    </row>
    <row r="1098" spans="1:18">
      <c r="A1098" s="129" t="s">
        <v>295</v>
      </c>
      <c r="B1098" s="129" t="s">
        <v>4166</v>
      </c>
      <c r="C1098" s="129">
        <v>3130</v>
      </c>
      <c r="D1098" s="129" t="s">
        <v>2119</v>
      </c>
      <c r="E1098" s="129">
        <v>305</v>
      </c>
      <c r="F1098" s="129">
        <v>0</v>
      </c>
      <c r="G1098" s="129">
        <v>173</v>
      </c>
      <c r="H1098" s="129">
        <v>0</v>
      </c>
      <c r="I1098" s="129">
        <v>56.7</v>
      </c>
      <c r="J1098" s="129">
        <v>18.2</v>
      </c>
      <c r="K1098" s="129">
        <v>0</v>
      </c>
      <c r="L1098" s="129">
        <f t="shared" si="341"/>
        <v>305</v>
      </c>
      <c r="M1098" s="129">
        <f t="shared" si="342"/>
        <v>173</v>
      </c>
      <c r="N1098" s="128">
        <f t="shared" si="343"/>
        <v>0.56720000000000004</v>
      </c>
      <c r="O1098" s="164">
        <f t="shared" si="344"/>
        <v>0</v>
      </c>
      <c r="P1098" s="185">
        <f t="shared" si="345"/>
        <v>18.2</v>
      </c>
      <c r="Q1098" s="185">
        <f t="shared" si="346"/>
        <v>18.2</v>
      </c>
      <c r="R1098" s="162" t="b">
        <f t="shared" si="347"/>
        <v>0</v>
      </c>
    </row>
    <row r="1099" spans="1:18">
      <c r="A1099" s="129" t="s">
        <v>295</v>
      </c>
      <c r="B1099" s="129" t="s">
        <v>4166</v>
      </c>
      <c r="C1099" s="129">
        <v>3134</v>
      </c>
      <c r="D1099" s="129" t="s">
        <v>2121</v>
      </c>
      <c r="E1099" s="129">
        <v>1283</v>
      </c>
      <c r="F1099" s="129">
        <v>0</v>
      </c>
      <c r="G1099" s="129">
        <v>698</v>
      </c>
      <c r="H1099" s="129">
        <v>0</v>
      </c>
      <c r="I1099" s="129">
        <v>54.4</v>
      </c>
      <c r="J1099" s="129">
        <v>73.3</v>
      </c>
      <c r="K1099" s="129">
        <v>0</v>
      </c>
      <c r="L1099" s="129">
        <f t="shared" si="341"/>
        <v>1283</v>
      </c>
      <c r="M1099" s="129">
        <f t="shared" si="342"/>
        <v>698</v>
      </c>
      <c r="N1099" s="128">
        <f t="shared" si="343"/>
        <v>0.54400000000000004</v>
      </c>
      <c r="O1099" s="164">
        <f t="shared" si="344"/>
        <v>0</v>
      </c>
      <c r="P1099" s="185">
        <f t="shared" si="345"/>
        <v>73.3</v>
      </c>
      <c r="Q1099" s="185">
        <f t="shared" si="346"/>
        <v>73.3</v>
      </c>
      <c r="R1099" s="162" t="b">
        <f t="shared" si="347"/>
        <v>0</v>
      </c>
    </row>
    <row r="1100" spans="1:18">
      <c r="A1100" s="129" t="s">
        <v>295</v>
      </c>
      <c r="B1100" s="129" t="s">
        <v>4166</v>
      </c>
      <c r="C1100" s="129">
        <v>3139</v>
      </c>
      <c r="D1100" s="129" t="s">
        <v>2123</v>
      </c>
      <c r="E1100" s="129">
        <v>278</v>
      </c>
      <c r="F1100" s="129">
        <v>0</v>
      </c>
      <c r="G1100" s="129">
        <v>183</v>
      </c>
      <c r="H1100" s="129">
        <v>0</v>
      </c>
      <c r="I1100" s="129">
        <v>65.8</v>
      </c>
      <c r="J1100" s="129">
        <v>19.2</v>
      </c>
      <c r="K1100" s="129">
        <v>0</v>
      </c>
      <c r="L1100" s="129">
        <f t="shared" si="341"/>
        <v>278</v>
      </c>
      <c r="M1100" s="129">
        <f t="shared" si="342"/>
        <v>183</v>
      </c>
      <c r="N1100" s="128">
        <f t="shared" si="343"/>
        <v>0.6583</v>
      </c>
      <c r="O1100" s="164">
        <f t="shared" si="344"/>
        <v>0</v>
      </c>
      <c r="P1100" s="185">
        <f t="shared" si="345"/>
        <v>19.2</v>
      </c>
      <c r="Q1100" s="185">
        <f t="shared" si="346"/>
        <v>19.2</v>
      </c>
      <c r="R1100" s="162" t="b">
        <f t="shared" si="347"/>
        <v>0</v>
      </c>
    </row>
    <row r="1101" spans="1:18">
      <c r="A1101" s="129" t="s">
        <v>434</v>
      </c>
      <c r="B1101" s="129" t="s">
        <v>3909</v>
      </c>
      <c r="C1101" s="129">
        <v>7310</v>
      </c>
      <c r="D1101" s="129" t="s">
        <v>3031</v>
      </c>
      <c r="E1101" s="129">
        <v>124</v>
      </c>
      <c r="F1101" s="129">
        <v>0</v>
      </c>
      <c r="G1101" s="129">
        <v>46</v>
      </c>
      <c r="H1101" s="129">
        <v>0</v>
      </c>
      <c r="I1101" s="129">
        <v>37.1</v>
      </c>
      <c r="J1101" s="129">
        <v>0</v>
      </c>
      <c r="K1101" s="129">
        <v>0.7</v>
      </c>
      <c r="L1101" s="129">
        <f t="shared" si="341"/>
        <v>124</v>
      </c>
      <c r="M1101" s="129">
        <f t="shared" si="342"/>
        <v>46</v>
      </c>
      <c r="N1101" s="128">
        <f t="shared" si="343"/>
        <v>0.371</v>
      </c>
      <c r="O1101" s="164">
        <f t="shared" si="344"/>
        <v>0.7</v>
      </c>
      <c r="P1101" s="185">
        <f t="shared" si="345"/>
        <v>0</v>
      </c>
      <c r="Q1101" s="185">
        <f t="shared" si="346"/>
        <v>0.7</v>
      </c>
      <c r="R1101" s="162" t="b">
        <f t="shared" si="347"/>
        <v>0</v>
      </c>
    </row>
    <row r="1102" spans="1:18">
      <c r="A1102" s="129" t="s">
        <v>434</v>
      </c>
      <c r="B1102" s="129" t="s">
        <v>3909</v>
      </c>
      <c r="C1102" s="129">
        <v>7324</v>
      </c>
      <c r="D1102" s="129" t="s">
        <v>3033</v>
      </c>
      <c r="E1102" s="129">
        <v>250</v>
      </c>
      <c r="F1102" s="129">
        <v>0</v>
      </c>
      <c r="G1102" s="129">
        <v>171</v>
      </c>
      <c r="H1102" s="129">
        <v>0</v>
      </c>
      <c r="I1102" s="129">
        <v>68.400000000000006</v>
      </c>
      <c r="J1102" s="129">
        <v>18</v>
      </c>
      <c r="K1102" s="129">
        <v>0</v>
      </c>
      <c r="L1102" s="129">
        <f t="shared" si="341"/>
        <v>250</v>
      </c>
      <c r="M1102" s="129">
        <f t="shared" si="342"/>
        <v>171</v>
      </c>
      <c r="N1102" s="128">
        <f t="shared" si="343"/>
        <v>0.68400000000000005</v>
      </c>
      <c r="O1102" s="164">
        <f t="shared" si="344"/>
        <v>0</v>
      </c>
      <c r="P1102" s="185">
        <f t="shared" si="345"/>
        <v>18</v>
      </c>
      <c r="Q1102" s="185">
        <f t="shared" si="346"/>
        <v>18</v>
      </c>
      <c r="R1102" s="162" t="b">
        <f t="shared" si="347"/>
        <v>0</v>
      </c>
    </row>
    <row r="1103" spans="1:18">
      <c r="A1103" s="129" t="s">
        <v>434</v>
      </c>
      <c r="B1103" s="129" t="s">
        <v>3909</v>
      </c>
      <c r="C1103" s="129">
        <v>7326</v>
      </c>
      <c r="D1103" s="129" t="s">
        <v>3035</v>
      </c>
      <c r="E1103" s="129">
        <v>210</v>
      </c>
      <c r="F1103" s="129">
        <v>0</v>
      </c>
      <c r="G1103" s="129">
        <v>107</v>
      </c>
      <c r="H1103" s="129">
        <v>0</v>
      </c>
      <c r="I1103" s="129">
        <v>51</v>
      </c>
      <c r="J1103" s="129">
        <v>11.2</v>
      </c>
      <c r="K1103" s="129">
        <v>0</v>
      </c>
      <c r="L1103" s="129">
        <f t="shared" si="341"/>
        <v>210</v>
      </c>
      <c r="M1103" s="129">
        <f t="shared" si="342"/>
        <v>107</v>
      </c>
      <c r="N1103" s="128">
        <f t="shared" si="343"/>
        <v>0.50949999999999995</v>
      </c>
      <c r="O1103" s="164">
        <f t="shared" si="344"/>
        <v>0</v>
      </c>
      <c r="P1103" s="185">
        <f t="shared" si="345"/>
        <v>11.2</v>
      </c>
      <c r="Q1103" s="185">
        <f t="shared" si="346"/>
        <v>11.2</v>
      </c>
      <c r="R1103" s="162" t="b">
        <f t="shared" si="347"/>
        <v>0</v>
      </c>
    </row>
    <row r="1104" spans="1:18">
      <c r="A1104" s="129" t="s">
        <v>434</v>
      </c>
      <c r="B1104" s="129" t="s">
        <v>3909</v>
      </c>
      <c r="C1104" s="129">
        <v>7330</v>
      </c>
      <c r="D1104" s="129" t="s">
        <v>3037</v>
      </c>
      <c r="E1104" s="129">
        <v>259</v>
      </c>
      <c r="F1104" s="129">
        <v>0</v>
      </c>
      <c r="G1104" s="129">
        <v>118</v>
      </c>
      <c r="H1104" s="129">
        <v>0</v>
      </c>
      <c r="I1104" s="129">
        <v>45.6</v>
      </c>
      <c r="J1104" s="129">
        <v>0</v>
      </c>
      <c r="K1104" s="129">
        <v>8.6999999999999993</v>
      </c>
      <c r="L1104" s="129">
        <f t="shared" si="341"/>
        <v>259</v>
      </c>
      <c r="M1104" s="129">
        <f t="shared" si="342"/>
        <v>118</v>
      </c>
      <c r="N1104" s="128">
        <f t="shared" si="343"/>
        <v>0.4556</v>
      </c>
      <c r="O1104" s="164">
        <f t="shared" si="344"/>
        <v>8.6999999999999993</v>
      </c>
      <c r="P1104" s="185">
        <f t="shared" si="345"/>
        <v>0</v>
      </c>
      <c r="Q1104" s="185">
        <f t="shared" si="346"/>
        <v>8.6999999999999993</v>
      </c>
      <c r="R1104" s="162" t="b">
        <f t="shared" si="347"/>
        <v>0</v>
      </c>
    </row>
    <row r="1105" spans="1:18">
      <c r="A1105" s="129" t="s">
        <v>434</v>
      </c>
      <c r="B1105" s="129" t="s">
        <v>3909</v>
      </c>
      <c r="C1105" s="129">
        <v>7332</v>
      </c>
      <c r="D1105" s="129" t="s">
        <v>3039</v>
      </c>
      <c r="E1105" s="129">
        <v>636</v>
      </c>
      <c r="F1105" s="129">
        <v>0</v>
      </c>
      <c r="G1105" s="129">
        <v>287</v>
      </c>
      <c r="H1105" s="129">
        <v>0</v>
      </c>
      <c r="I1105" s="129">
        <v>45.1</v>
      </c>
      <c r="J1105" s="129">
        <v>0</v>
      </c>
      <c r="K1105" s="129">
        <v>20.399999999999999</v>
      </c>
      <c r="L1105" s="129">
        <f t="shared" si="341"/>
        <v>636</v>
      </c>
      <c r="M1105" s="129">
        <f t="shared" si="342"/>
        <v>287</v>
      </c>
      <c r="N1105" s="128">
        <f t="shared" si="343"/>
        <v>0.45129999999999998</v>
      </c>
      <c r="O1105" s="164">
        <f t="shared" si="344"/>
        <v>20.399999999999999</v>
      </c>
      <c r="P1105" s="185">
        <f t="shared" si="345"/>
        <v>0</v>
      </c>
      <c r="Q1105" s="185">
        <f t="shared" si="346"/>
        <v>20.399999999999999</v>
      </c>
      <c r="R1105" s="162" t="b">
        <f t="shared" si="347"/>
        <v>0</v>
      </c>
    </row>
    <row r="1106" spans="1:18">
      <c r="A1106" s="129" t="s">
        <v>434</v>
      </c>
      <c r="B1106" s="129" t="s">
        <v>3909</v>
      </c>
      <c r="C1106" s="129">
        <v>7333</v>
      </c>
      <c r="D1106" s="129" t="s">
        <v>3041</v>
      </c>
      <c r="E1106" s="129">
        <v>471</v>
      </c>
      <c r="F1106" s="129">
        <v>0</v>
      </c>
      <c r="G1106" s="129">
        <v>248</v>
      </c>
      <c r="H1106" s="129">
        <v>0</v>
      </c>
      <c r="I1106" s="129">
        <v>52.7</v>
      </c>
      <c r="J1106" s="129">
        <v>26</v>
      </c>
      <c r="K1106" s="129">
        <v>0</v>
      </c>
      <c r="L1106" s="129">
        <f t="shared" si="341"/>
        <v>471</v>
      </c>
      <c r="M1106" s="129">
        <f t="shared" si="342"/>
        <v>248</v>
      </c>
      <c r="N1106" s="128">
        <f t="shared" si="343"/>
        <v>0.52649999999999997</v>
      </c>
      <c r="O1106" s="164">
        <f t="shared" si="344"/>
        <v>0</v>
      </c>
      <c r="P1106" s="185">
        <f t="shared" si="345"/>
        <v>26</v>
      </c>
      <c r="Q1106" s="185">
        <f t="shared" si="346"/>
        <v>26</v>
      </c>
      <c r="R1106" s="162" t="b">
        <f t="shared" si="347"/>
        <v>0</v>
      </c>
    </row>
    <row r="1107" spans="1:18">
      <c r="A1107" s="129" t="s">
        <v>205</v>
      </c>
      <c r="B1107" s="129" t="s">
        <v>4116</v>
      </c>
      <c r="C1107" s="129">
        <v>154</v>
      </c>
      <c r="D1107" s="129" t="s">
        <v>1128</v>
      </c>
      <c r="E1107" s="129">
        <v>240</v>
      </c>
      <c r="F1107" s="129">
        <v>0</v>
      </c>
      <c r="G1107" s="129">
        <v>162</v>
      </c>
      <c r="H1107" s="129">
        <v>0</v>
      </c>
      <c r="I1107" s="129">
        <v>67.5</v>
      </c>
      <c r="J1107" s="129">
        <v>17</v>
      </c>
      <c r="K1107" s="129">
        <v>0</v>
      </c>
      <c r="L1107" s="129">
        <f t="shared" ref="L1107:L1150" si="348">SUM(E1107:F1107)</f>
        <v>240</v>
      </c>
      <c r="M1107" s="129">
        <f t="shared" ref="M1107:M1150" si="349">SUM(G1107:H1107)</f>
        <v>162</v>
      </c>
      <c r="N1107" s="128">
        <f t="shared" ref="N1107:N1150" si="350">IF(ISERROR(M1107/L1107),0,M1107/L1107)</f>
        <v>0.67500000000000004</v>
      </c>
      <c r="O1107" s="164">
        <f t="shared" ref="O1107:O1150" si="351">IF(AND((N1107-35%)&gt;0,N1107&lt;50%),M1107*(N1107-35%)*0.7,0)</f>
        <v>0</v>
      </c>
      <c r="P1107" s="185">
        <f t="shared" ref="P1107:P1150" si="352">IF(N1107&gt;=50%,M1107*10.5%,0)</f>
        <v>17</v>
      </c>
      <c r="Q1107" s="185">
        <f t="shared" ref="Q1107:Q1150" si="353">MAX(O1107,P1107)</f>
        <v>17</v>
      </c>
      <c r="R1107" s="162" t="b">
        <f t="shared" si="347"/>
        <v>0</v>
      </c>
    </row>
    <row r="1108" spans="1:18">
      <c r="A1108" s="129" t="s">
        <v>205</v>
      </c>
      <c r="B1108" s="129" t="s">
        <v>4116</v>
      </c>
      <c r="C1108" s="129">
        <v>155</v>
      </c>
      <c r="D1108" s="129" t="s">
        <v>1130</v>
      </c>
      <c r="E1108" s="129">
        <v>281</v>
      </c>
      <c r="F1108" s="129">
        <v>0</v>
      </c>
      <c r="G1108" s="129">
        <v>211</v>
      </c>
      <c r="H1108" s="129">
        <v>0</v>
      </c>
      <c r="I1108" s="129">
        <v>75.099999999999994</v>
      </c>
      <c r="J1108" s="129">
        <v>22.2</v>
      </c>
      <c r="K1108" s="129">
        <v>0</v>
      </c>
      <c r="L1108" s="129">
        <f t="shared" si="348"/>
        <v>281</v>
      </c>
      <c r="M1108" s="129">
        <f t="shared" si="349"/>
        <v>211</v>
      </c>
      <c r="N1108" s="128">
        <f t="shared" si="350"/>
        <v>0.75090000000000001</v>
      </c>
      <c r="O1108" s="164">
        <f t="shared" si="351"/>
        <v>0</v>
      </c>
      <c r="P1108" s="185">
        <f t="shared" si="352"/>
        <v>22.2</v>
      </c>
      <c r="Q1108" s="185">
        <f t="shared" si="353"/>
        <v>22.2</v>
      </c>
      <c r="R1108" s="162" t="b">
        <f t="shared" si="347"/>
        <v>0</v>
      </c>
    </row>
    <row r="1109" spans="1:18">
      <c r="A1109" s="129" t="s">
        <v>205</v>
      </c>
      <c r="B1109" s="129" t="s">
        <v>4116</v>
      </c>
      <c r="C1109" s="129">
        <v>157</v>
      </c>
      <c r="D1109" s="129" t="s">
        <v>1132</v>
      </c>
      <c r="E1109" s="129">
        <v>483</v>
      </c>
      <c r="F1109" s="129">
        <v>0</v>
      </c>
      <c r="G1109" s="129">
        <v>400</v>
      </c>
      <c r="H1109" s="129">
        <v>0</v>
      </c>
      <c r="I1109" s="129">
        <v>82.8</v>
      </c>
      <c r="J1109" s="129">
        <v>42</v>
      </c>
      <c r="K1109" s="129">
        <v>0</v>
      </c>
      <c r="L1109" s="129">
        <f t="shared" si="348"/>
        <v>483</v>
      </c>
      <c r="M1109" s="129">
        <f t="shared" si="349"/>
        <v>400</v>
      </c>
      <c r="N1109" s="128">
        <f t="shared" si="350"/>
        <v>0.82820000000000005</v>
      </c>
      <c r="O1109" s="164">
        <f t="shared" si="351"/>
        <v>0</v>
      </c>
      <c r="P1109" s="185">
        <f t="shared" si="352"/>
        <v>42</v>
      </c>
      <c r="Q1109" s="185">
        <f t="shared" si="353"/>
        <v>42</v>
      </c>
      <c r="R1109" s="162" t="b">
        <f t="shared" si="347"/>
        <v>0</v>
      </c>
    </row>
    <row r="1110" spans="1:18">
      <c r="A1110" s="129" t="s">
        <v>205</v>
      </c>
      <c r="B1110" s="129" t="s">
        <v>4116</v>
      </c>
      <c r="C1110" s="129">
        <v>160</v>
      </c>
      <c r="D1110" s="129" t="s">
        <v>1134</v>
      </c>
      <c r="E1110" s="129">
        <v>517</v>
      </c>
      <c r="F1110" s="129">
        <v>0</v>
      </c>
      <c r="G1110" s="129">
        <v>343</v>
      </c>
      <c r="H1110" s="129">
        <v>0</v>
      </c>
      <c r="I1110" s="129">
        <v>66.3</v>
      </c>
      <c r="J1110" s="129">
        <v>36</v>
      </c>
      <c r="K1110" s="129">
        <v>0</v>
      </c>
      <c r="L1110" s="129">
        <f t="shared" si="348"/>
        <v>517</v>
      </c>
      <c r="M1110" s="129">
        <f t="shared" si="349"/>
        <v>343</v>
      </c>
      <c r="N1110" s="128">
        <f t="shared" si="350"/>
        <v>0.66339999999999999</v>
      </c>
      <c r="O1110" s="164">
        <f t="shared" si="351"/>
        <v>0</v>
      </c>
      <c r="P1110" s="185">
        <f t="shared" si="352"/>
        <v>36</v>
      </c>
      <c r="Q1110" s="185">
        <f t="shared" si="353"/>
        <v>36</v>
      </c>
      <c r="R1110" s="162" t="b">
        <f t="shared" si="347"/>
        <v>0</v>
      </c>
    </row>
    <row r="1111" spans="1:18">
      <c r="A1111" s="129" t="s">
        <v>205</v>
      </c>
      <c r="B1111" s="129" t="s">
        <v>4116</v>
      </c>
      <c r="C1111" s="129">
        <v>164</v>
      </c>
      <c r="D1111" s="129" t="s">
        <v>1136</v>
      </c>
      <c r="E1111" s="129">
        <v>560</v>
      </c>
      <c r="F1111" s="129">
        <v>0</v>
      </c>
      <c r="G1111" s="129">
        <v>423</v>
      </c>
      <c r="H1111" s="129">
        <v>0</v>
      </c>
      <c r="I1111" s="129">
        <v>75.5</v>
      </c>
      <c r="J1111" s="129">
        <v>44.4</v>
      </c>
      <c r="K1111" s="129">
        <v>0</v>
      </c>
      <c r="L1111" s="129">
        <f t="shared" si="348"/>
        <v>560</v>
      </c>
      <c r="M1111" s="129">
        <f t="shared" si="349"/>
        <v>423</v>
      </c>
      <c r="N1111" s="128">
        <f t="shared" si="350"/>
        <v>0.75539999999999996</v>
      </c>
      <c r="O1111" s="164">
        <f t="shared" si="351"/>
        <v>0</v>
      </c>
      <c r="P1111" s="185">
        <f t="shared" si="352"/>
        <v>44.4</v>
      </c>
      <c r="Q1111" s="185">
        <f t="shared" si="353"/>
        <v>44.4</v>
      </c>
      <c r="R1111" s="162" t="b">
        <f t="shared" si="347"/>
        <v>0</v>
      </c>
    </row>
    <row r="1112" spans="1:18">
      <c r="A1112" s="129" t="s">
        <v>205</v>
      </c>
      <c r="B1112" s="129" t="s">
        <v>4116</v>
      </c>
      <c r="C1112" s="129">
        <v>167</v>
      </c>
      <c r="D1112" s="129" t="s">
        <v>1138</v>
      </c>
      <c r="E1112" s="129">
        <v>572</v>
      </c>
      <c r="F1112" s="129">
        <v>0</v>
      </c>
      <c r="G1112" s="129">
        <v>405</v>
      </c>
      <c r="H1112" s="129">
        <v>0</v>
      </c>
      <c r="I1112" s="129">
        <v>70.8</v>
      </c>
      <c r="J1112" s="129">
        <v>42.5</v>
      </c>
      <c r="K1112" s="129">
        <v>0</v>
      </c>
      <c r="L1112" s="129">
        <f t="shared" si="348"/>
        <v>572</v>
      </c>
      <c r="M1112" s="129">
        <f t="shared" si="349"/>
        <v>405</v>
      </c>
      <c r="N1112" s="128">
        <f t="shared" si="350"/>
        <v>0.70799999999999996</v>
      </c>
      <c r="O1112" s="164">
        <f t="shared" si="351"/>
        <v>0</v>
      </c>
      <c r="P1112" s="185">
        <f t="shared" si="352"/>
        <v>42.5</v>
      </c>
      <c r="Q1112" s="185">
        <f t="shared" si="353"/>
        <v>42.5</v>
      </c>
      <c r="R1112" s="162" t="b">
        <f t="shared" si="347"/>
        <v>0</v>
      </c>
    </row>
    <row r="1113" spans="1:18">
      <c r="A1113" s="129" t="s">
        <v>205</v>
      </c>
      <c r="B1113" s="129" t="s">
        <v>4116</v>
      </c>
      <c r="C1113" s="129">
        <v>168</v>
      </c>
      <c r="D1113" s="129" t="s">
        <v>1140</v>
      </c>
      <c r="E1113" s="129">
        <v>1135</v>
      </c>
      <c r="F1113" s="129">
        <v>0</v>
      </c>
      <c r="G1113" s="129">
        <v>739</v>
      </c>
      <c r="H1113" s="129">
        <v>0</v>
      </c>
      <c r="I1113" s="129">
        <v>65.099999999999994</v>
      </c>
      <c r="J1113" s="129">
        <v>77.599999999999994</v>
      </c>
      <c r="K1113" s="129">
        <v>0</v>
      </c>
      <c r="L1113" s="129">
        <f t="shared" si="348"/>
        <v>1135</v>
      </c>
      <c r="M1113" s="129">
        <f t="shared" si="349"/>
        <v>739</v>
      </c>
      <c r="N1113" s="128">
        <f t="shared" si="350"/>
        <v>0.65110000000000001</v>
      </c>
      <c r="O1113" s="164">
        <f t="shared" si="351"/>
        <v>0</v>
      </c>
      <c r="P1113" s="185">
        <f t="shared" si="352"/>
        <v>77.599999999999994</v>
      </c>
      <c r="Q1113" s="185">
        <f t="shared" si="353"/>
        <v>77.599999999999994</v>
      </c>
      <c r="R1113" s="162" t="b">
        <f t="shared" si="347"/>
        <v>0</v>
      </c>
    </row>
    <row r="1114" spans="1:18">
      <c r="A1114" s="129" t="s">
        <v>231</v>
      </c>
      <c r="B1114" s="129" t="s">
        <v>4126</v>
      </c>
      <c r="C1114" s="129">
        <v>825</v>
      </c>
      <c r="D1114" s="129" t="s">
        <v>1385</v>
      </c>
      <c r="E1114" s="129">
        <v>503</v>
      </c>
      <c r="F1114" s="129">
        <v>0</v>
      </c>
      <c r="G1114" s="129">
        <v>41</v>
      </c>
      <c r="H1114" s="129">
        <v>0</v>
      </c>
      <c r="I1114" s="129">
        <v>8.1999999999999993</v>
      </c>
      <c r="J1114" s="129">
        <v>0</v>
      </c>
      <c r="K1114" s="129">
        <v>0</v>
      </c>
      <c r="L1114" s="129">
        <f t="shared" si="348"/>
        <v>503</v>
      </c>
      <c r="M1114" s="129">
        <f t="shared" si="349"/>
        <v>41</v>
      </c>
      <c r="N1114" s="128">
        <f t="shared" si="350"/>
        <v>8.1500000000000003E-2</v>
      </c>
      <c r="O1114" s="164">
        <f t="shared" si="351"/>
        <v>0</v>
      </c>
      <c r="P1114" s="185">
        <f t="shared" si="352"/>
        <v>0</v>
      </c>
      <c r="Q1114" s="185">
        <f t="shared" si="353"/>
        <v>0</v>
      </c>
      <c r="R1114" s="162" t="b">
        <f t="shared" si="347"/>
        <v>0</v>
      </c>
    </row>
    <row r="1115" spans="1:18">
      <c r="A1115" s="129" t="s">
        <v>231</v>
      </c>
      <c r="B1115" s="129" t="s">
        <v>4126</v>
      </c>
      <c r="C1115" s="129">
        <v>829</v>
      </c>
      <c r="D1115" s="129" t="s">
        <v>1387</v>
      </c>
      <c r="E1115" s="129">
        <v>347</v>
      </c>
      <c r="F1115" s="129">
        <v>0</v>
      </c>
      <c r="G1115" s="129">
        <v>49</v>
      </c>
      <c r="H1115" s="129">
        <v>0</v>
      </c>
      <c r="I1115" s="129">
        <v>14.1</v>
      </c>
      <c r="J1115" s="129">
        <v>0</v>
      </c>
      <c r="K1115" s="129">
        <v>0</v>
      </c>
      <c r="L1115" s="129">
        <f t="shared" si="348"/>
        <v>347</v>
      </c>
      <c r="M1115" s="129">
        <f t="shared" si="349"/>
        <v>49</v>
      </c>
      <c r="N1115" s="128">
        <f t="shared" si="350"/>
        <v>0.14119999999999999</v>
      </c>
      <c r="O1115" s="164">
        <f t="shared" si="351"/>
        <v>0</v>
      </c>
      <c r="P1115" s="185">
        <f t="shared" si="352"/>
        <v>0</v>
      </c>
      <c r="Q1115" s="185">
        <f t="shared" si="353"/>
        <v>0</v>
      </c>
      <c r="R1115" s="162" t="b">
        <f t="shared" si="347"/>
        <v>0</v>
      </c>
    </row>
    <row r="1116" spans="1:18">
      <c r="A1116" s="129" t="s">
        <v>231</v>
      </c>
      <c r="B1116" s="129" t="s">
        <v>4126</v>
      </c>
      <c r="C1116" s="129">
        <v>832</v>
      </c>
      <c r="D1116" s="129" t="s">
        <v>4127</v>
      </c>
      <c r="E1116" s="129">
        <v>980</v>
      </c>
      <c r="F1116" s="129">
        <v>0</v>
      </c>
      <c r="G1116" s="129">
        <v>145</v>
      </c>
      <c r="H1116" s="129">
        <v>0</v>
      </c>
      <c r="I1116" s="129">
        <v>14.8</v>
      </c>
      <c r="J1116" s="129">
        <v>0</v>
      </c>
      <c r="K1116" s="129">
        <v>0</v>
      </c>
      <c r="L1116" s="129">
        <f t="shared" si="348"/>
        <v>980</v>
      </c>
      <c r="M1116" s="129">
        <f t="shared" si="349"/>
        <v>145</v>
      </c>
      <c r="N1116" s="128">
        <f t="shared" si="350"/>
        <v>0.14799999999999999</v>
      </c>
      <c r="O1116" s="164">
        <f t="shared" si="351"/>
        <v>0</v>
      </c>
      <c r="P1116" s="185">
        <f t="shared" si="352"/>
        <v>0</v>
      </c>
      <c r="Q1116" s="185">
        <f t="shared" si="353"/>
        <v>0</v>
      </c>
      <c r="R1116" s="162" t="b">
        <f t="shared" si="347"/>
        <v>0</v>
      </c>
    </row>
    <row r="1117" spans="1:18">
      <c r="A1117" s="129" t="s">
        <v>231</v>
      </c>
      <c r="B1117" s="129" t="s">
        <v>4126</v>
      </c>
      <c r="C1117" s="129">
        <v>833</v>
      </c>
      <c r="D1117" s="129" t="s">
        <v>1391</v>
      </c>
      <c r="E1117" s="129">
        <v>1388</v>
      </c>
      <c r="F1117" s="129">
        <v>0</v>
      </c>
      <c r="G1117" s="129">
        <v>91</v>
      </c>
      <c r="H1117" s="129">
        <v>0</v>
      </c>
      <c r="I1117" s="129">
        <v>6.6</v>
      </c>
      <c r="J1117" s="129">
        <v>0</v>
      </c>
      <c r="K1117" s="129">
        <v>0</v>
      </c>
      <c r="L1117" s="129">
        <f t="shared" si="348"/>
        <v>1388</v>
      </c>
      <c r="M1117" s="129">
        <f t="shared" si="349"/>
        <v>91</v>
      </c>
      <c r="N1117" s="128">
        <f t="shared" si="350"/>
        <v>6.5600000000000006E-2</v>
      </c>
      <c r="O1117" s="164">
        <f t="shared" si="351"/>
        <v>0</v>
      </c>
      <c r="P1117" s="185">
        <f t="shared" si="352"/>
        <v>0</v>
      </c>
      <c r="Q1117" s="185">
        <f t="shared" si="353"/>
        <v>0</v>
      </c>
      <c r="R1117" s="162" t="b">
        <f t="shared" si="347"/>
        <v>0</v>
      </c>
    </row>
    <row r="1118" spans="1:18">
      <c r="A1118" s="129" t="s">
        <v>231</v>
      </c>
      <c r="B1118" s="129" t="s">
        <v>4126</v>
      </c>
      <c r="C1118" s="129">
        <v>835</v>
      </c>
      <c r="D1118" s="129" t="s">
        <v>1393</v>
      </c>
      <c r="E1118" s="129">
        <v>684</v>
      </c>
      <c r="F1118" s="129">
        <v>0</v>
      </c>
      <c r="G1118" s="129">
        <v>68</v>
      </c>
      <c r="H1118" s="129">
        <v>0</v>
      </c>
      <c r="I1118" s="129">
        <v>9.9</v>
      </c>
      <c r="J1118" s="129">
        <v>0</v>
      </c>
      <c r="K1118" s="129">
        <v>0</v>
      </c>
      <c r="L1118" s="129">
        <f t="shared" si="348"/>
        <v>684</v>
      </c>
      <c r="M1118" s="129">
        <f t="shared" si="349"/>
        <v>68</v>
      </c>
      <c r="N1118" s="128">
        <f t="shared" si="350"/>
        <v>9.9400000000000002E-2</v>
      </c>
      <c r="O1118" s="164">
        <f t="shared" si="351"/>
        <v>0</v>
      </c>
      <c r="P1118" s="185">
        <f t="shared" si="352"/>
        <v>0</v>
      </c>
      <c r="Q1118" s="185">
        <f t="shared" si="353"/>
        <v>0</v>
      </c>
      <c r="R1118" s="162" t="b">
        <f t="shared" si="347"/>
        <v>0</v>
      </c>
    </row>
    <row r="1119" spans="1:18">
      <c r="A1119" s="129" t="s">
        <v>231</v>
      </c>
      <c r="B1119" s="129" t="s">
        <v>4126</v>
      </c>
      <c r="C1119" s="129">
        <v>836</v>
      </c>
      <c r="D1119" s="129" t="s">
        <v>1395</v>
      </c>
      <c r="E1119" s="129">
        <v>385</v>
      </c>
      <c r="F1119" s="129">
        <v>0</v>
      </c>
      <c r="G1119" s="129">
        <v>100</v>
      </c>
      <c r="H1119" s="129">
        <v>0</v>
      </c>
      <c r="I1119" s="129">
        <v>26</v>
      </c>
      <c r="J1119" s="129">
        <v>0</v>
      </c>
      <c r="K1119" s="129">
        <v>0</v>
      </c>
      <c r="L1119" s="129">
        <f t="shared" si="348"/>
        <v>385</v>
      </c>
      <c r="M1119" s="129">
        <f t="shared" si="349"/>
        <v>100</v>
      </c>
      <c r="N1119" s="128">
        <f t="shared" si="350"/>
        <v>0.25969999999999999</v>
      </c>
      <c r="O1119" s="164">
        <f t="shared" si="351"/>
        <v>0</v>
      </c>
      <c r="P1119" s="185">
        <f t="shared" si="352"/>
        <v>0</v>
      </c>
      <c r="Q1119" s="185">
        <f t="shared" si="353"/>
        <v>0</v>
      </c>
      <c r="R1119" s="162" t="b">
        <f t="shared" si="347"/>
        <v>0</v>
      </c>
    </row>
    <row r="1120" spans="1:18">
      <c r="A1120" s="129" t="s">
        <v>231</v>
      </c>
      <c r="B1120" s="129" t="s">
        <v>4126</v>
      </c>
      <c r="C1120" s="129">
        <v>837</v>
      </c>
      <c r="D1120" s="129" t="s">
        <v>1397</v>
      </c>
      <c r="E1120" s="129">
        <v>439</v>
      </c>
      <c r="F1120" s="129">
        <v>0</v>
      </c>
      <c r="G1120" s="129">
        <v>174</v>
      </c>
      <c r="H1120" s="129">
        <v>0</v>
      </c>
      <c r="I1120" s="129">
        <v>39.6</v>
      </c>
      <c r="J1120" s="129">
        <v>0</v>
      </c>
      <c r="K1120" s="129">
        <v>5.7</v>
      </c>
      <c r="L1120" s="129">
        <f t="shared" si="348"/>
        <v>439</v>
      </c>
      <c r="M1120" s="129">
        <f t="shared" si="349"/>
        <v>174</v>
      </c>
      <c r="N1120" s="128">
        <f t="shared" si="350"/>
        <v>0.39639999999999997</v>
      </c>
      <c r="O1120" s="164">
        <f t="shared" si="351"/>
        <v>5.7</v>
      </c>
      <c r="P1120" s="185">
        <f t="shared" si="352"/>
        <v>0</v>
      </c>
      <c r="Q1120" s="185">
        <f t="shared" si="353"/>
        <v>5.7</v>
      </c>
      <c r="R1120" s="162" t="b">
        <f t="shared" si="347"/>
        <v>0</v>
      </c>
    </row>
    <row r="1121" spans="1:18">
      <c r="A1121" s="129" t="s">
        <v>231</v>
      </c>
      <c r="B1121" s="129" t="s">
        <v>4126</v>
      </c>
      <c r="C1121" s="129">
        <v>841</v>
      </c>
      <c r="D1121" s="129" t="s">
        <v>1399</v>
      </c>
      <c r="E1121" s="129">
        <v>455</v>
      </c>
      <c r="F1121" s="129">
        <v>0</v>
      </c>
      <c r="G1121" s="129">
        <v>27</v>
      </c>
      <c r="H1121" s="129">
        <v>0</v>
      </c>
      <c r="I1121" s="129">
        <v>5.9</v>
      </c>
      <c r="J1121" s="129">
        <v>0</v>
      </c>
      <c r="K1121" s="129">
        <v>0</v>
      </c>
      <c r="L1121" s="129">
        <f t="shared" si="348"/>
        <v>455</v>
      </c>
      <c r="M1121" s="129">
        <f t="shared" si="349"/>
        <v>27</v>
      </c>
      <c r="N1121" s="128">
        <f t="shared" si="350"/>
        <v>5.9299999999999999E-2</v>
      </c>
      <c r="O1121" s="164">
        <f t="shared" si="351"/>
        <v>0</v>
      </c>
      <c r="P1121" s="185">
        <f t="shared" si="352"/>
        <v>0</v>
      </c>
      <c r="Q1121" s="185">
        <f t="shared" si="353"/>
        <v>0</v>
      </c>
      <c r="R1121" s="162" t="b">
        <f t="shared" si="347"/>
        <v>0</v>
      </c>
    </row>
    <row r="1122" spans="1:18">
      <c r="A1122" s="129" t="s">
        <v>231</v>
      </c>
      <c r="B1122" s="129" t="s">
        <v>4126</v>
      </c>
      <c r="C1122" s="129">
        <v>842</v>
      </c>
      <c r="D1122" s="129" t="s">
        <v>1401</v>
      </c>
      <c r="E1122" s="129">
        <v>453</v>
      </c>
      <c r="F1122" s="129">
        <v>0</v>
      </c>
      <c r="G1122" s="129">
        <v>33</v>
      </c>
      <c r="H1122" s="129">
        <v>0</v>
      </c>
      <c r="I1122" s="129">
        <v>7.3</v>
      </c>
      <c r="J1122" s="129">
        <v>0</v>
      </c>
      <c r="K1122" s="129">
        <v>0</v>
      </c>
      <c r="L1122" s="129">
        <f t="shared" si="348"/>
        <v>453</v>
      </c>
      <c r="M1122" s="129">
        <f t="shared" si="349"/>
        <v>33</v>
      </c>
      <c r="N1122" s="128">
        <f t="shared" si="350"/>
        <v>7.2800000000000004E-2</v>
      </c>
      <c r="O1122" s="164">
        <f t="shared" si="351"/>
        <v>0</v>
      </c>
      <c r="P1122" s="185">
        <f t="shared" si="352"/>
        <v>0</v>
      </c>
      <c r="Q1122" s="185">
        <f t="shared" si="353"/>
        <v>0</v>
      </c>
      <c r="R1122" s="162" t="b">
        <f t="shared" si="347"/>
        <v>0</v>
      </c>
    </row>
    <row r="1123" spans="1:18">
      <c r="A1123" s="129" t="s">
        <v>231</v>
      </c>
      <c r="B1123" s="129" t="s">
        <v>4126</v>
      </c>
      <c r="C1123" s="129">
        <v>843</v>
      </c>
      <c r="D1123" s="129" t="s">
        <v>1403</v>
      </c>
      <c r="E1123" s="129">
        <v>457</v>
      </c>
      <c r="F1123" s="129">
        <v>0</v>
      </c>
      <c r="G1123" s="129">
        <v>34</v>
      </c>
      <c r="H1123" s="129">
        <v>0</v>
      </c>
      <c r="I1123" s="129">
        <v>7.4</v>
      </c>
      <c r="J1123" s="129">
        <v>0</v>
      </c>
      <c r="K1123" s="129">
        <v>0</v>
      </c>
      <c r="L1123" s="129">
        <f t="shared" si="348"/>
        <v>457</v>
      </c>
      <c r="M1123" s="129">
        <f t="shared" si="349"/>
        <v>34</v>
      </c>
      <c r="N1123" s="128">
        <f t="shared" si="350"/>
        <v>7.4399999999999994E-2</v>
      </c>
      <c r="O1123" s="164">
        <f t="shared" si="351"/>
        <v>0</v>
      </c>
      <c r="P1123" s="185">
        <f t="shared" si="352"/>
        <v>0</v>
      </c>
      <c r="Q1123" s="185">
        <f t="shared" si="353"/>
        <v>0</v>
      </c>
      <c r="R1123" s="162" t="b">
        <f t="shared" si="347"/>
        <v>0</v>
      </c>
    </row>
    <row r="1124" spans="1:18">
      <c r="A1124" s="129" t="s">
        <v>231</v>
      </c>
      <c r="B1124" s="129" t="s">
        <v>4126</v>
      </c>
      <c r="C1124" s="129">
        <v>844</v>
      </c>
      <c r="D1124" s="129" t="s">
        <v>1405</v>
      </c>
      <c r="E1124" s="129">
        <v>665</v>
      </c>
      <c r="F1124" s="129">
        <v>0</v>
      </c>
      <c r="G1124" s="129">
        <v>52</v>
      </c>
      <c r="H1124" s="129">
        <v>0</v>
      </c>
      <c r="I1124" s="129">
        <v>7.8</v>
      </c>
      <c r="J1124" s="129">
        <v>0</v>
      </c>
      <c r="K1124" s="129">
        <v>0</v>
      </c>
      <c r="L1124" s="129">
        <f t="shared" si="348"/>
        <v>665</v>
      </c>
      <c r="M1124" s="129">
        <f t="shared" si="349"/>
        <v>52</v>
      </c>
      <c r="N1124" s="128">
        <f t="shared" si="350"/>
        <v>7.8200000000000006E-2</v>
      </c>
      <c r="O1124" s="164">
        <f t="shared" si="351"/>
        <v>0</v>
      </c>
      <c r="P1124" s="185">
        <f t="shared" si="352"/>
        <v>0</v>
      </c>
      <c r="Q1124" s="185">
        <f t="shared" si="353"/>
        <v>0</v>
      </c>
      <c r="R1124" s="162" t="b">
        <f t="shared" si="347"/>
        <v>0</v>
      </c>
    </row>
    <row r="1125" spans="1:18">
      <c r="A1125" s="129" t="s">
        <v>231</v>
      </c>
      <c r="B1125" s="129" t="s">
        <v>4126</v>
      </c>
      <c r="C1125" s="129">
        <v>912</v>
      </c>
      <c r="D1125" s="129" t="s">
        <v>1407</v>
      </c>
      <c r="E1125" s="129">
        <v>369</v>
      </c>
      <c r="F1125" s="129">
        <v>0</v>
      </c>
      <c r="G1125" s="129">
        <v>52</v>
      </c>
      <c r="H1125" s="129">
        <v>0</v>
      </c>
      <c r="I1125" s="129">
        <v>14.1</v>
      </c>
      <c r="J1125" s="129">
        <v>0</v>
      </c>
      <c r="K1125" s="129">
        <v>0</v>
      </c>
      <c r="L1125" s="129">
        <f t="shared" si="348"/>
        <v>369</v>
      </c>
      <c r="M1125" s="129">
        <f t="shared" si="349"/>
        <v>52</v>
      </c>
      <c r="N1125" s="128">
        <f t="shared" si="350"/>
        <v>0.1409</v>
      </c>
      <c r="O1125" s="164">
        <f t="shared" si="351"/>
        <v>0</v>
      </c>
      <c r="P1125" s="185">
        <f t="shared" si="352"/>
        <v>0</v>
      </c>
      <c r="Q1125" s="185">
        <f t="shared" si="353"/>
        <v>0</v>
      </c>
      <c r="R1125" s="162" t="b">
        <f t="shared" si="347"/>
        <v>0</v>
      </c>
    </row>
    <row r="1126" spans="1:18">
      <c r="A1126" s="129" t="s">
        <v>243</v>
      </c>
      <c r="B1126" s="129" t="s">
        <v>3735</v>
      </c>
      <c r="C1126" s="129">
        <v>1194</v>
      </c>
      <c r="D1126" s="129" t="s">
        <v>1567</v>
      </c>
      <c r="E1126" s="129">
        <v>322</v>
      </c>
      <c r="F1126" s="129">
        <v>0</v>
      </c>
      <c r="G1126" s="129">
        <v>225</v>
      </c>
      <c r="H1126" s="129">
        <v>0</v>
      </c>
      <c r="I1126" s="129">
        <v>69.900000000000006</v>
      </c>
      <c r="J1126" s="129">
        <v>23.6</v>
      </c>
      <c r="K1126" s="129">
        <v>0</v>
      </c>
      <c r="L1126" s="129">
        <f t="shared" si="348"/>
        <v>322</v>
      </c>
      <c r="M1126" s="129">
        <f t="shared" si="349"/>
        <v>225</v>
      </c>
      <c r="N1126" s="128">
        <f t="shared" si="350"/>
        <v>0.69879999999999998</v>
      </c>
      <c r="O1126" s="164">
        <f t="shared" si="351"/>
        <v>0</v>
      </c>
      <c r="P1126" s="185">
        <f t="shared" si="352"/>
        <v>23.6</v>
      </c>
      <c r="Q1126" s="185">
        <f t="shared" si="353"/>
        <v>23.6</v>
      </c>
      <c r="R1126" s="162" t="b">
        <f t="shared" si="347"/>
        <v>0</v>
      </c>
    </row>
    <row r="1127" spans="1:18">
      <c r="A1127" s="129" t="s">
        <v>243</v>
      </c>
      <c r="B1127" s="129" t="s">
        <v>3735</v>
      </c>
      <c r="C1127" s="129">
        <v>1198</v>
      </c>
      <c r="D1127" s="129" t="s">
        <v>1569</v>
      </c>
      <c r="E1127" s="129">
        <v>127</v>
      </c>
      <c r="F1127" s="129">
        <v>0</v>
      </c>
      <c r="G1127" s="129">
        <v>72</v>
      </c>
      <c r="H1127" s="129">
        <v>0</v>
      </c>
      <c r="I1127" s="129">
        <v>56.7</v>
      </c>
      <c r="J1127" s="129">
        <v>7.6</v>
      </c>
      <c r="K1127" s="129">
        <v>0</v>
      </c>
      <c r="L1127" s="129">
        <f t="shared" si="348"/>
        <v>127</v>
      </c>
      <c r="M1127" s="129">
        <f t="shared" si="349"/>
        <v>72</v>
      </c>
      <c r="N1127" s="128">
        <f t="shared" si="350"/>
        <v>0.56689999999999996</v>
      </c>
      <c r="O1127" s="164">
        <f t="shared" si="351"/>
        <v>0</v>
      </c>
      <c r="P1127" s="185">
        <f t="shared" si="352"/>
        <v>7.6</v>
      </c>
      <c r="Q1127" s="185">
        <f t="shared" si="353"/>
        <v>7.6</v>
      </c>
      <c r="R1127" s="162" t="b">
        <f t="shared" si="347"/>
        <v>0</v>
      </c>
    </row>
    <row r="1128" spans="1:18">
      <c r="A1128" s="129" t="s">
        <v>245</v>
      </c>
      <c r="B1128" s="129" t="s">
        <v>3736</v>
      </c>
      <c r="C1128" s="129">
        <v>1258</v>
      </c>
      <c r="D1128" s="129" t="s">
        <v>1577</v>
      </c>
      <c r="E1128" s="129">
        <v>482</v>
      </c>
      <c r="F1128" s="129">
        <v>0</v>
      </c>
      <c r="G1128" s="129">
        <v>217</v>
      </c>
      <c r="H1128" s="129">
        <v>0</v>
      </c>
      <c r="I1128" s="129">
        <v>45</v>
      </c>
      <c r="J1128" s="129">
        <v>0</v>
      </c>
      <c r="K1128" s="129">
        <v>15.2</v>
      </c>
      <c r="L1128" s="129">
        <f t="shared" si="348"/>
        <v>482</v>
      </c>
      <c r="M1128" s="129">
        <f t="shared" si="349"/>
        <v>217</v>
      </c>
      <c r="N1128" s="128">
        <f t="shared" si="350"/>
        <v>0.45019999999999999</v>
      </c>
      <c r="O1128" s="164">
        <f t="shared" si="351"/>
        <v>15.2</v>
      </c>
      <c r="P1128" s="185">
        <f t="shared" si="352"/>
        <v>0</v>
      </c>
      <c r="Q1128" s="185">
        <f t="shared" si="353"/>
        <v>15.2</v>
      </c>
      <c r="R1128" s="162" t="b">
        <f t="shared" si="347"/>
        <v>0</v>
      </c>
    </row>
    <row r="1129" spans="1:18">
      <c r="A1129" s="129" t="s">
        <v>245</v>
      </c>
      <c r="B1129" s="129" t="s">
        <v>3736</v>
      </c>
      <c r="C1129" s="129">
        <v>1260</v>
      </c>
      <c r="D1129" s="129" t="s">
        <v>1579</v>
      </c>
      <c r="E1129" s="129">
        <v>212</v>
      </c>
      <c r="F1129" s="129">
        <v>0</v>
      </c>
      <c r="G1129" s="129">
        <v>89</v>
      </c>
      <c r="H1129" s="129">
        <v>0</v>
      </c>
      <c r="I1129" s="129">
        <v>42</v>
      </c>
      <c r="J1129" s="129">
        <v>0</v>
      </c>
      <c r="K1129" s="129">
        <v>4.3</v>
      </c>
      <c r="L1129" s="129">
        <f t="shared" si="348"/>
        <v>212</v>
      </c>
      <c r="M1129" s="129">
        <f t="shared" si="349"/>
        <v>89</v>
      </c>
      <c r="N1129" s="128">
        <f t="shared" si="350"/>
        <v>0.41980000000000001</v>
      </c>
      <c r="O1129" s="164">
        <f t="shared" si="351"/>
        <v>4.3</v>
      </c>
      <c r="P1129" s="185">
        <f t="shared" si="352"/>
        <v>0</v>
      </c>
      <c r="Q1129" s="185">
        <f t="shared" si="353"/>
        <v>4.3</v>
      </c>
      <c r="R1129" s="162" t="b">
        <f t="shared" si="347"/>
        <v>0</v>
      </c>
    </row>
    <row r="1130" spans="1:18">
      <c r="A1130" s="129" t="s">
        <v>245</v>
      </c>
      <c r="B1130" s="129" t="s">
        <v>3736</v>
      </c>
      <c r="C1130" s="129">
        <v>1262</v>
      </c>
      <c r="D1130" s="129" t="s">
        <v>1581</v>
      </c>
      <c r="E1130" s="129">
        <v>272</v>
      </c>
      <c r="F1130" s="129">
        <v>0</v>
      </c>
      <c r="G1130" s="129">
        <v>105</v>
      </c>
      <c r="H1130" s="129">
        <v>0</v>
      </c>
      <c r="I1130" s="129">
        <v>38.6</v>
      </c>
      <c r="J1130" s="129">
        <v>0</v>
      </c>
      <c r="K1130" s="129">
        <v>2.6</v>
      </c>
      <c r="L1130" s="129">
        <f t="shared" si="348"/>
        <v>272</v>
      </c>
      <c r="M1130" s="129">
        <f t="shared" si="349"/>
        <v>105</v>
      </c>
      <c r="N1130" s="128">
        <f t="shared" si="350"/>
        <v>0.38600000000000001</v>
      </c>
      <c r="O1130" s="164">
        <f t="shared" si="351"/>
        <v>2.6</v>
      </c>
      <c r="P1130" s="185">
        <f t="shared" si="352"/>
        <v>0</v>
      </c>
      <c r="Q1130" s="185">
        <f t="shared" si="353"/>
        <v>2.6</v>
      </c>
      <c r="R1130" s="162" t="b">
        <f t="shared" si="347"/>
        <v>0</v>
      </c>
    </row>
    <row r="1131" spans="1:18">
      <c r="A1131" s="129" t="s">
        <v>254</v>
      </c>
      <c r="B1131" s="129" t="s">
        <v>3745</v>
      </c>
      <c r="C1131" s="129">
        <v>1562</v>
      </c>
      <c r="D1131" s="129" t="s">
        <v>1641</v>
      </c>
      <c r="E1131" s="129">
        <v>218</v>
      </c>
      <c r="F1131" s="129">
        <v>0</v>
      </c>
      <c r="G1131" s="129">
        <v>134</v>
      </c>
      <c r="H1131" s="129">
        <v>0</v>
      </c>
      <c r="I1131" s="129">
        <v>61.5</v>
      </c>
      <c r="J1131" s="129">
        <v>14.1</v>
      </c>
      <c r="K1131" s="129">
        <v>0</v>
      </c>
      <c r="L1131" s="129">
        <f t="shared" si="348"/>
        <v>218</v>
      </c>
      <c r="M1131" s="129">
        <f t="shared" si="349"/>
        <v>134</v>
      </c>
      <c r="N1131" s="128">
        <f t="shared" si="350"/>
        <v>0.61470000000000002</v>
      </c>
      <c r="O1131" s="164">
        <f t="shared" si="351"/>
        <v>0</v>
      </c>
      <c r="P1131" s="185">
        <f t="shared" si="352"/>
        <v>14.1</v>
      </c>
      <c r="Q1131" s="185">
        <f t="shared" si="353"/>
        <v>14.1</v>
      </c>
      <c r="R1131" s="162" t="b">
        <f t="shared" si="347"/>
        <v>0</v>
      </c>
    </row>
    <row r="1132" spans="1:18">
      <c r="A1132" s="129" t="s">
        <v>254</v>
      </c>
      <c r="B1132" s="129" t="s">
        <v>3745</v>
      </c>
      <c r="C1132" s="129">
        <v>1563</v>
      </c>
      <c r="D1132" s="129" t="s">
        <v>1643</v>
      </c>
      <c r="E1132" s="129">
        <v>588</v>
      </c>
      <c r="F1132" s="129">
        <v>0</v>
      </c>
      <c r="G1132" s="129">
        <v>322</v>
      </c>
      <c r="H1132" s="129">
        <v>0</v>
      </c>
      <c r="I1132" s="129">
        <v>54.8</v>
      </c>
      <c r="J1132" s="129">
        <v>33.799999999999997</v>
      </c>
      <c r="K1132" s="129">
        <v>0</v>
      </c>
      <c r="L1132" s="129">
        <f t="shared" si="348"/>
        <v>588</v>
      </c>
      <c r="M1132" s="129">
        <f t="shared" si="349"/>
        <v>322</v>
      </c>
      <c r="N1132" s="128">
        <f t="shared" si="350"/>
        <v>0.54759999999999998</v>
      </c>
      <c r="O1132" s="164">
        <f t="shared" si="351"/>
        <v>0</v>
      </c>
      <c r="P1132" s="185">
        <f t="shared" si="352"/>
        <v>33.799999999999997</v>
      </c>
      <c r="Q1132" s="185">
        <f t="shared" si="353"/>
        <v>33.799999999999997</v>
      </c>
      <c r="R1132" s="162" t="b">
        <f t="shared" si="347"/>
        <v>0</v>
      </c>
    </row>
    <row r="1133" spans="1:18">
      <c r="A1133" s="129" t="s">
        <v>254</v>
      </c>
      <c r="B1133" s="129" t="s">
        <v>3745</v>
      </c>
      <c r="C1133" s="129">
        <v>1564</v>
      </c>
      <c r="D1133" s="129" t="s">
        <v>1645</v>
      </c>
      <c r="E1133" s="129">
        <v>322</v>
      </c>
      <c r="F1133" s="129">
        <v>0</v>
      </c>
      <c r="G1133" s="129">
        <v>159</v>
      </c>
      <c r="H1133" s="129">
        <v>0</v>
      </c>
      <c r="I1133" s="129">
        <v>49.4</v>
      </c>
      <c r="J1133" s="129">
        <v>0</v>
      </c>
      <c r="K1133" s="129">
        <v>16</v>
      </c>
      <c r="L1133" s="129">
        <f t="shared" si="348"/>
        <v>322</v>
      </c>
      <c r="M1133" s="129">
        <f t="shared" si="349"/>
        <v>159</v>
      </c>
      <c r="N1133" s="128">
        <f t="shared" si="350"/>
        <v>0.49380000000000002</v>
      </c>
      <c r="O1133" s="164">
        <f t="shared" si="351"/>
        <v>16</v>
      </c>
      <c r="P1133" s="185">
        <f t="shared" si="352"/>
        <v>0</v>
      </c>
      <c r="Q1133" s="185">
        <f t="shared" si="353"/>
        <v>16</v>
      </c>
      <c r="R1133" s="162" t="b">
        <f t="shared" si="347"/>
        <v>0</v>
      </c>
    </row>
    <row r="1134" spans="1:18">
      <c r="A1134" s="129" t="s">
        <v>262</v>
      </c>
      <c r="B1134" s="129" t="s">
        <v>3752</v>
      </c>
      <c r="C1134" s="129">
        <v>2025</v>
      </c>
      <c r="D1134" s="129" t="s">
        <v>1892</v>
      </c>
      <c r="E1134" s="129">
        <v>430</v>
      </c>
      <c r="F1134" s="129">
        <v>0</v>
      </c>
      <c r="G1134" s="129">
        <v>142</v>
      </c>
      <c r="H1134" s="129">
        <v>0</v>
      </c>
      <c r="I1134" s="129">
        <v>33</v>
      </c>
      <c r="J1134" s="129">
        <v>0</v>
      </c>
      <c r="K1134" s="129">
        <v>0</v>
      </c>
      <c r="L1134" s="129">
        <f t="shared" si="348"/>
        <v>430</v>
      </c>
      <c r="M1134" s="129">
        <f t="shared" si="349"/>
        <v>142</v>
      </c>
      <c r="N1134" s="128">
        <f t="shared" si="350"/>
        <v>0.33019999999999999</v>
      </c>
      <c r="O1134" s="164">
        <f t="shared" si="351"/>
        <v>0</v>
      </c>
      <c r="P1134" s="185">
        <f t="shared" si="352"/>
        <v>0</v>
      </c>
      <c r="Q1134" s="185">
        <f t="shared" si="353"/>
        <v>0</v>
      </c>
      <c r="R1134" s="162" t="b">
        <f t="shared" si="347"/>
        <v>0</v>
      </c>
    </row>
    <row r="1135" spans="1:18">
      <c r="A1135" s="129" t="s">
        <v>262</v>
      </c>
      <c r="B1135" s="129" t="s">
        <v>3752</v>
      </c>
      <c r="C1135" s="129">
        <v>2026</v>
      </c>
      <c r="D1135" s="129" t="s">
        <v>1894</v>
      </c>
      <c r="E1135" s="129">
        <v>364</v>
      </c>
      <c r="F1135" s="129">
        <v>0</v>
      </c>
      <c r="G1135" s="129">
        <v>101</v>
      </c>
      <c r="H1135" s="129">
        <v>0</v>
      </c>
      <c r="I1135" s="129">
        <v>27.8</v>
      </c>
      <c r="J1135" s="129">
        <v>0</v>
      </c>
      <c r="K1135" s="129">
        <v>0</v>
      </c>
      <c r="L1135" s="129">
        <f t="shared" si="348"/>
        <v>364</v>
      </c>
      <c r="M1135" s="129">
        <f t="shared" si="349"/>
        <v>101</v>
      </c>
      <c r="N1135" s="128">
        <f t="shared" si="350"/>
        <v>0.27750000000000002</v>
      </c>
      <c r="O1135" s="164">
        <f t="shared" si="351"/>
        <v>0</v>
      </c>
      <c r="P1135" s="185">
        <f t="shared" si="352"/>
        <v>0</v>
      </c>
      <c r="Q1135" s="185">
        <f t="shared" si="353"/>
        <v>0</v>
      </c>
      <c r="R1135" s="162" t="b">
        <f t="shared" si="347"/>
        <v>0</v>
      </c>
    </row>
    <row r="1136" spans="1:18">
      <c r="A1136" s="129" t="s">
        <v>262</v>
      </c>
      <c r="B1136" s="129" t="s">
        <v>3752</v>
      </c>
      <c r="C1136" s="129">
        <v>2027</v>
      </c>
      <c r="D1136" s="129" t="s">
        <v>1896</v>
      </c>
      <c r="E1136" s="129">
        <v>476</v>
      </c>
      <c r="F1136" s="129">
        <v>0</v>
      </c>
      <c r="G1136" s="129">
        <v>129</v>
      </c>
      <c r="H1136" s="129">
        <v>0</v>
      </c>
      <c r="I1136" s="129">
        <v>27.1</v>
      </c>
      <c r="J1136" s="129">
        <v>0</v>
      </c>
      <c r="K1136" s="129">
        <v>0</v>
      </c>
      <c r="L1136" s="129">
        <f t="shared" si="348"/>
        <v>476</v>
      </c>
      <c r="M1136" s="129">
        <f t="shared" si="349"/>
        <v>129</v>
      </c>
      <c r="N1136" s="128">
        <f t="shared" si="350"/>
        <v>0.27100000000000002</v>
      </c>
      <c r="O1136" s="164">
        <f t="shared" si="351"/>
        <v>0</v>
      </c>
      <c r="P1136" s="185">
        <f t="shared" si="352"/>
        <v>0</v>
      </c>
      <c r="Q1136" s="185">
        <f t="shared" si="353"/>
        <v>0</v>
      </c>
      <c r="R1136" s="162" t="b">
        <f t="shared" si="347"/>
        <v>0</v>
      </c>
    </row>
    <row r="1137" spans="1:18">
      <c r="A1137" s="129" t="s">
        <v>262</v>
      </c>
      <c r="B1137" s="129" t="s">
        <v>3752</v>
      </c>
      <c r="C1137" s="129">
        <v>2028</v>
      </c>
      <c r="D1137" s="129" t="s">
        <v>1898</v>
      </c>
      <c r="E1137" s="129">
        <v>405</v>
      </c>
      <c r="F1137" s="129">
        <v>0</v>
      </c>
      <c r="G1137" s="129">
        <v>128</v>
      </c>
      <c r="H1137" s="129">
        <v>0</v>
      </c>
      <c r="I1137" s="129">
        <v>31.6</v>
      </c>
      <c r="J1137" s="129">
        <v>0</v>
      </c>
      <c r="K1137" s="129">
        <v>0</v>
      </c>
      <c r="L1137" s="129">
        <f t="shared" si="348"/>
        <v>405</v>
      </c>
      <c r="M1137" s="129">
        <f t="shared" si="349"/>
        <v>128</v>
      </c>
      <c r="N1137" s="128">
        <f t="shared" si="350"/>
        <v>0.316</v>
      </c>
      <c r="O1137" s="164">
        <f t="shared" si="351"/>
        <v>0</v>
      </c>
      <c r="P1137" s="185">
        <f t="shared" si="352"/>
        <v>0</v>
      </c>
      <c r="Q1137" s="185">
        <f t="shared" si="353"/>
        <v>0</v>
      </c>
      <c r="R1137" s="162" t="b">
        <f t="shared" si="347"/>
        <v>0</v>
      </c>
    </row>
    <row r="1138" spans="1:18">
      <c r="A1138" s="129" t="s">
        <v>262</v>
      </c>
      <c r="B1138" s="129" t="s">
        <v>3752</v>
      </c>
      <c r="C1138" s="129">
        <v>2029</v>
      </c>
      <c r="D1138" s="129" t="s">
        <v>1900</v>
      </c>
      <c r="E1138" s="129">
        <v>584</v>
      </c>
      <c r="F1138" s="129">
        <v>0</v>
      </c>
      <c r="G1138" s="129">
        <v>100</v>
      </c>
      <c r="H1138" s="129">
        <v>0</v>
      </c>
      <c r="I1138" s="129">
        <v>17.100000000000001</v>
      </c>
      <c r="J1138" s="129">
        <v>0</v>
      </c>
      <c r="K1138" s="129">
        <v>0</v>
      </c>
      <c r="L1138" s="129">
        <f t="shared" si="348"/>
        <v>584</v>
      </c>
      <c r="M1138" s="129">
        <f t="shared" si="349"/>
        <v>100</v>
      </c>
      <c r="N1138" s="128">
        <f t="shared" si="350"/>
        <v>0.17119999999999999</v>
      </c>
      <c r="O1138" s="164">
        <f t="shared" si="351"/>
        <v>0</v>
      </c>
      <c r="P1138" s="185">
        <f t="shared" si="352"/>
        <v>0</v>
      </c>
      <c r="Q1138" s="185">
        <f t="shared" si="353"/>
        <v>0</v>
      </c>
      <c r="R1138" s="162" t="b">
        <f t="shared" si="347"/>
        <v>0</v>
      </c>
    </row>
    <row r="1139" spans="1:18">
      <c r="A1139" s="129" t="s">
        <v>262</v>
      </c>
      <c r="B1139" s="129" t="s">
        <v>3752</v>
      </c>
      <c r="C1139" s="129">
        <v>2030</v>
      </c>
      <c r="D1139" s="129" t="s">
        <v>1902</v>
      </c>
      <c r="E1139" s="129">
        <v>999</v>
      </c>
      <c r="F1139" s="129">
        <v>0</v>
      </c>
      <c r="G1139" s="129">
        <v>269</v>
      </c>
      <c r="H1139" s="129">
        <v>0</v>
      </c>
      <c r="I1139" s="129">
        <v>26.9</v>
      </c>
      <c r="J1139" s="129">
        <v>0</v>
      </c>
      <c r="K1139" s="129">
        <v>0</v>
      </c>
      <c r="L1139" s="129">
        <f t="shared" si="348"/>
        <v>999</v>
      </c>
      <c r="M1139" s="129">
        <f t="shared" si="349"/>
        <v>269</v>
      </c>
      <c r="N1139" s="128">
        <f t="shared" si="350"/>
        <v>0.26929999999999998</v>
      </c>
      <c r="O1139" s="164">
        <f t="shared" si="351"/>
        <v>0</v>
      </c>
      <c r="P1139" s="185">
        <f t="shared" si="352"/>
        <v>0</v>
      </c>
      <c r="Q1139" s="185">
        <f t="shared" si="353"/>
        <v>0</v>
      </c>
      <c r="R1139" s="162" t="b">
        <f t="shared" si="347"/>
        <v>0</v>
      </c>
    </row>
    <row r="1140" spans="1:18">
      <c r="A1140" s="129" t="s">
        <v>262</v>
      </c>
      <c r="B1140" s="129" t="s">
        <v>3752</v>
      </c>
      <c r="C1140" s="129">
        <v>2033</v>
      </c>
      <c r="D1140" s="129" t="s">
        <v>1904</v>
      </c>
      <c r="E1140" s="129">
        <v>497</v>
      </c>
      <c r="F1140" s="129">
        <v>0</v>
      </c>
      <c r="G1140" s="129">
        <v>118</v>
      </c>
      <c r="H1140" s="129">
        <v>0</v>
      </c>
      <c r="I1140" s="129">
        <v>23.7</v>
      </c>
      <c r="J1140" s="129">
        <v>0</v>
      </c>
      <c r="K1140" s="129">
        <v>0</v>
      </c>
      <c r="L1140" s="129">
        <f t="shared" si="348"/>
        <v>497</v>
      </c>
      <c r="M1140" s="129">
        <f t="shared" si="349"/>
        <v>118</v>
      </c>
      <c r="N1140" s="128">
        <f t="shared" si="350"/>
        <v>0.2374</v>
      </c>
      <c r="O1140" s="164">
        <f t="shared" si="351"/>
        <v>0</v>
      </c>
      <c r="P1140" s="185">
        <f t="shared" si="352"/>
        <v>0</v>
      </c>
      <c r="Q1140" s="185">
        <f t="shared" si="353"/>
        <v>0</v>
      </c>
      <c r="R1140" s="162" t="b">
        <f t="shared" si="347"/>
        <v>0</v>
      </c>
    </row>
    <row r="1141" spans="1:18">
      <c r="A1141" s="129" t="s">
        <v>262</v>
      </c>
      <c r="B1141" s="129" t="s">
        <v>3752</v>
      </c>
      <c r="C1141" s="129">
        <v>2034</v>
      </c>
      <c r="D1141" s="129" t="s">
        <v>1906</v>
      </c>
      <c r="E1141" s="129">
        <v>535</v>
      </c>
      <c r="F1141" s="129">
        <v>0</v>
      </c>
      <c r="G1141" s="129">
        <v>108</v>
      </c>
      <c r="H1141" s="129">
        <v>0</v>
      </c>
      <c r="I1141" s="129">
        <v>20.2</v>
      </c>
      <c r="J1141" s="129">
        <v>0</v>
      </c>
      <c r="K1141" s="129">
        <v>0</v>
      </c>
      <c r="L1141" s="129">
        <f t="shared" si="348"/>
        <v>535</v>
      </c>
      <c r="M1141" s="129">
        <f t="shared" si="349"/>
        <v>108</v>
      </c>
      <c r="N1141" s="128">
        <f t="shared" si="350"/>
        <v>0.2019</v>
      </c>
      <c r="O1141" s="164">
        <f t="shared" si="351"/>
        <v>0</v>
      </c>
      <c r="P1141" s="185">
        <f t="shared" si="352"/>
        <v>0</v>
      </c>
      <c r="Q1141" s="185">
        <f t="shared" si="353"/>
        <v>0</v>
      </c>
      <c r="R1141" s="162" t="b">
        <f t="shared" si="347"/>
        <v>0</v>
      </c>
    </row>
    <row r="1142" spans="1:18">
      <c r="A1142" s="129" t="s">
        <v>262</v>
      </c>
      <c r="B1142" s="129" t="s">
        <v>3752</v>
      </c>
      <c r="C1142" s="129">
        <v>2035</v>
      </c>
      <c r="D1142" s="129" t="s">
        <v>1908</v>
      </c>
      <c r="E1142" s="129">
        <v>419</v>
      </c>
      <c r="F1142" s="129">
        <v>0</v>
      </c>
      <c r="G1142" s="129">
        <v>99</v>
      </c>
      <c r="H1142" s="129">
        <v>0</v>
      </c>
      <c r="I1142" s="129">
        <v>23.6</v>
      </c>
      <c r="J1142" s="129">
        <v>0</v>
      </c>
      <c r="K1142" s="129">
        <v>0</v>
      </c>
      <c r="L1142" s="129">
        <f t="shared" si="348"/>
        <v>419</v>
      </c>
      <c r="M1142" s="129">
        <f t="shared" si="349"/>
        <v>99</v>
      </c>
      <c r="N1142" s="128">
        <f t="shared" si="350"/>
        <v>0.23630000000000001</v>
      </c>
      <c r="O1142" s="164">
        <f t="shared" si="351"/>
        <v>0</v>
      </c>
      <c r="P1142" s="185">
        <f t="shared" si="352"/>
        <v>0</v>
      </c>
      <c r="Q1142" s="185">
        <f t="shared" si="353"/>
        <v>0</v>
      </c>
      <c r="R1142" s="162" t="b">
        <f t="shared" si="347"/>
        <v>0</v>
      </c>
    </row>
    <row r="1143" spans="1:18">
      <c r="A1143" s="129" t="s">
        <v>262</v>
      </c>
      <c r="B1143" s="129" t="s">
        <v>3752</v>
      </c>
      <c r="C1143" s="129">
        <v>2069</v>
      </c>
      <c r="D1143" s="129" t="s">
        <v>1910</v>
      </c>
      <c r="E1143" s="129">
        <v>519</v>
      </c>
      <c r="F1143" s="129">
        <v>0</v>
      </c>
      <c r="G1143" s="129">
        <v>115</v>
      </c>
      <c r="H1143" s="129">
        <v>0</v>
      </c>
      <c r="I1143" s="129">
        <v>22.2</v>
      </c>
      <c r="J1143" s="129">
        <v>0</v>
      </c>
      <c r="K1143" s="129">
        <v>0</v>
      </c>
      <c r="L1143" s="129">
        <f t="shared" si="348"/>
        <v>519</v>
      </c>
      <c r="M1143" s="129">
        <f t="shared" si="349"/>
        <v>115</v>
      </c>
      <c r="N1143" s="128">
        <f t="shared" si="350"/>
        <v>0.22159999999999999</v>
      </c>
      <c r="O1143" s="164">
        <f t="shared" si="351"/>
        <v>0</v>
      </c>
      <c r="P1143" s="185">
        <f t="shared" si="352"/>
        <v>0</v>
      </c>
      <c r="Q1143" s="185">
        <f t="shared" si="353"/>
        <v>0</v>
      </c>
      <c r="R1143" s="162" t="b">
        <f t="shared" si="347"/>
        <v>0</v>
      </c>
    </row>
    <row r="1144" spans="1:18">
      <c r="A1144" s="129" t="s">
        <v>262</v>
      </c>
      <c r="B1144" s="129" t="s">
        <v>3752</v>
      </c>
      <c r="C1144" s="129">
        <v>2073</v>
      </c>
      <c r="D1144" s="129" t="s">
        <v>1912</v>
      </c>
      <c r="E1144" s="129">
        <v>987</v>
      </c>
      <c r="F1144" s="129">
        <v>0</v>
      </c>
      <c r="G1144" s="129">
        <v>185</v>
      </c>
      <c r="H1144" s="129">
        <v>0</v>
      </c>
      <c r="I1144" s="129">
        <v>18.7</v>
      </c>
      <c r="J1144" s="129">
        <v>0</v>
      </c>
      <c r="K1144" s="129">
        <v>0</v>
      </c>
      <c r="L1144" s="129">
        <f t="shared" si="348"/>
        <v>987</v>
      </c>
      <c r="M1144" s="129">
        <f t="shared" si="349"/>
        <v>185</v>
      </c>
      <c r="N1144" s="128">
        <f t="shared" si="350"/>
        <v>0.18740000000000001</v>
      </c>
      <c r="O1144" s="164">
        <f t="shared" si="351"/>
        <v>0</v>
      </c>
      <c r="P1144" s="185">
        <f t="shared" si="352"/>
        <v>0</v>
      </c>
      <c r="Q1144" s="185">
        <f t="shared" si="353"/>
        <v>0</v>
      </c>
      <c r="R1144" s="162" t="b">
        <f t="shared" si="347"/>
        <v>0</v>
      </c>
    </row>
    <row r="1145" spans="1:18">
      <c r="A1145" s="129" t="s">
        <v>300</v>
      </c>
      <c r="B1145" s="129" t="s">
        <v>3788</v>
      </c>
      <c r="C1145" s="129">
        <v>3252</v>
      </c>
      <c r="D1145" s="129" t="s">
        <v>2149</v>
      </c>
      <c r="E1145" s="129">
        <v>225</v>
      </c>
      <c r="F1145" s="129">
        <v>0</v>
      </c>
      <c r="G1145" s="129">
        <v>83</v>
      </c>
      <c r="H1145" s="129">
        <v>0</v>
      </c>
      <c r="I1145" s="129">
        <v>36.9</v>
      </c>
      <c r="J1145" s="129">
        <v>0</v>
      </c>
      <c r="K1145" s="129">
        <v>1.1000000000000001</v>
      </c>
      <c r="L1145" s="129">
        <f t="shared" si="348"/>
        <v>225</v>
      </c>
      <c r="M1145" s="129">
        <f t="shared" si="349"/>
        <v>83</v>
      </c>
      <c r="N1145" s="128">
        <f t="shared" si="350"/>
        <v>0.36890000000000001</v>
      </c>
      <c r="O1145" s="164">
        <f t="shared" si="351"/>
        <v>1.1000000000000001</v>
      </c>
      <c r="P1145" s="185">
        <f t="shared" si="352"/>
        <v>0</v>
      </c>
      <c r="Q1145" s="185">
        <f t="shared" si="353"/>
        <v>1.1000000000000001</v>
      </c>
      <c r="R1145" s="162" t="b">
        <f t="shared" si="347"/>
        <v>0</v>
      </c>
    </row>
    <row r="1146" spans="1:18">
      <c r="A1146" s="129" t="s">
        <v>300</v>
      </c>
      <c r="B1146" s="129" t="s">
        <v>3788</v>
      </c>
      <c r="C1146" s="129">
        <v>3254</v>
      </c>
      <c r="D1146" s="129" t="s">
        <v>2151</v>
      </c>
      <c r="E1146" s="129">
        <v>676</v>
      </c>
      <c r="F1146" s="129">
        <v>0</v>
      </c>
      <c r="G1146" s="129">
        <v>155</v>
      </c>
      <c r="H1146" s="129">
        <v>0</v>
      </c>
      <c r="I1146" s="129">
        <v>22.9</v>
      </c>
      <c r="J1146" s="129">
        <v>0</v>
      </c>
      <c r="K1146" s="129">
        <v>0</v>
      </c>
      <c r="L1146" s="129">
        <f t="shared" si="348"/>
        <v>676</v>
      </c>
      <c r="M1146" s="129">
        <f t="shared" si="349"/>
        <v>155</v>
      </c>
      <c r="N1146" s="128">
        <f t="shared" si="350"/>
        <v>0.2293</v>
      </c>
      <c r="O1146" s="164">
        <f t="shared" si="351"/>
        <v>0</v>
      </c>
      <c r="P1146" s="185">
        <f t="shared" si="352"/>
        <v>0</v>
      </c>
      <c r="Q1146" s="185">
        <f t="shared" si="353"/>
        <v>0</v>
      </c>
      <c r="R1146" s="162" t="b">
        <f t="shared" si="347"/>
        <v>0</v>
      </c>
    </row>
    <row r="1147" spans="1:18">
      <c r="A1147" s="129" t="s">
        <v>300</v>
      </c>
      <c r="B1147" s="129" t="s">
        <v>3788</v>
      </c>
      <c r="C1147" s="129">
        <v>3261</v>
      </c>
      <c r="D1147" s="129" t="s">
        <v>2153</v>
      </c>
      <c r="E1147" s="129">
        <v>423</v>
      </c>
      <c r="F1147" s="129">
        <v>0</v>
      </c>
      <c r="G1147" s="129">
        <v>137</v>
      </c>
      <c r="H1147" s="129">
        <v>0</v>
      </c>
      <c r="I1147" s="129">
        <v>32.4</v>
      </c>
      <c r="J1147" s="129">
        <v>0</v>
      </c>
      <c r="K1147" s="129">
        <v>0</v>
      </c>
      <c r="L1147" s="129">
        <f t="shared" si="348"/>
        <v>423</v>
      </c>
      <c r="M1147" s="129">
        <f t="shared" si="349"/>
        <v>137</v>
      </c>
      <c r="N1147" s="128">
        <f t="shared" si="350"/>
        <v>0.32390000000000002</v>
      </c>
      <c r="O1147" s="164">
        <f t="shared" si="351"/>
        <v>0</v>
      </c>
      <c r="P1147" s="185">
        <f t="shared" si="352"/>
        <v>0</v>
      </c>
      <c r="Q1147" s="185">
        <f t="shared" si="353"/>
        <v>0</v>
      </c>
      <c r="R1147" s="162" t="b">
        <f t="shared" si="347"/>
        <v>0</v>
      </c>
    </row>
    <row r="1148" spans="1:18">
      <c r="A1148" s="129" t="s">
        <v>300</v>
      </c>
      <c r="B1148" s="129" t="s">
        <v>3788</v>
      </c>
      <c r="C1148" s="129">
        <v>3262</v>
      </c>
      <c r="D1148" s="129" t="s">
        <v>2155</v>
      </c>
      <c r="E1148" s="129">
        <v>517</v>
      </c>
      <c r="F1148" s="129">
        <v>0</v>
      </c>
      <c r="G1148" s="129">
        <v>150</v>
      </c>
      <c r="H1148" s="129">
        <v>0</v>
      </c>
      <c r="I1148" s="129">
        <v>29</v>
      </c>
      <c r="J1148" s="129">
        <v>0</v>
      </c>
      <c r="K1148" s="129">
        <v>0</v>
      </c>
      <c r="L1148" s="129">
        <f t="shared" si="348"/>
        <v>517</v>
      </c>
      <c r="M1148" s="129">
        <f t="shared" si="349"/>
        <v>150</v>
      </c>
      <c r="N1148" s="128">
        <f t="shared" si="350"/>
        <v>0.29010000000000002</v>
      </c>
      <c r="O1148" s="164">
        <f t="shared" si="351"/>
        <v>0</v>
      </c>
      <c r="P1148" s="185">
        <f t="shared" si="352"/>
        <v>0</v>
      </c>
      <c r="Q1148" s="185">
        <f t="shared" si="353"/>
        <v>0</v>
      </c>
      <c r="R1148" s="162" t="b">
        <f t="shared" si="347"/>
        <v>0</v>
      </c>
    </row>
    <row r="1149" spans="1:18">
      <c r="A1149" s="129" t="s">
        <v>300</v>
      </c>
      <c r="B1149" s="129" t="s">
        <v>3788</v>
      </c>
      <c r="C1149" s="129">
        <v>3264</v>
      </c>
      <c r="D1149" s="129" t="s">
        <v>2157</v>
      </c>
      <c r="E1149" s="129">
        <v>400</v>
      </c>
      <c r="F1149" s="129">
        <v>0</v>
      </c>
      <c r="G1149" s="129">
        <v>151</v>
      </c>
      <c r="H1149" s="129">
        <v>0</v>
      </c>
      <c r="I1149" s="129">
        <v>37.799999999999997</v>
      </c>
      <c r="J1149" s="129">
        <v>0</v>
      </c>
      <c r="K1149" s="129">
        <v>2.9</v>
      </c>
      <c r="L1149" s="129">
        <f t="shared" si="348"/>
        <v>400</v>
      </c>
      <c r="M1149" s="129">
        <f t="shared" si="349"/>
        <v>151</v>
      </c>
      <c r="N1149" s="128">
        <f t="shared" si="350"/>
        <v>0.3775</v>
      </c>
      <c r="O1149" s="164">
        <f t="shared" si="351"/>
        <v>2.9</v>
      </c>
      <c r="P1149" s="185">
        <f t="shared" si="352"/>
        <v>0</v>
      </c>
      <c r="Q1149" s="185">
        <f t="shared" si="353"/>
        <v>2.9</v>
      </c>
      <c r="R1149" s="162" t="b">
        <f t="shared" si="347"/>
        <v>0</v>
      </c>
    </row>
    <row r="1150" spans="1:18">
      <c r="A1150" s="129" t="s">
        <v>300</v>
      </c>
      <c r="B1150" s="129" t="s">
        <v>3788</v>
      </c>
      <c r="C1150" s="129">
        <v>3266</v>
      </c>
      <c r="D1150" s="129" t="s">
        <v>4016</v>
      </c>
      <c r="E1150" s="129">
        <v>8</v>
      </c>
      <c r="F1150" s="129">
        <v>0</v>
      </c>
      <c r="G1150" s="129">
        <v>2</v>
      </c>
      <c r="H1150" s="129">
        <v>0</v>
      </c>
      <c r="I1150" s="129">
        <v>25</v>
      </c>
      <c r="J1150" s="129">
        <v>0</v>
      </c>
      <c r="K1150" s="129">
        <v>0</v>
      </c>
      <c r="L1150" s="129">
        <f t="shared" si="348"/>
        <v>8</v>
      </c>
      <c r="M1150" s="129">
        <f t="shared" si="349"/>
        <v>2</v>
      </c>
      <c r="N1150" s="128">
        <f t="shared" si="350"/>
        <v>0.25</v>
      </c>
      <c r="O1150" s="164">
        <f t="shared" si="351"/>
        <v>0</v>
      </c>
      <c r="P1150" s="185">
        <f t="shared" si="352"/>
        <v>0</v>
      </c>
      <c r="Q1150" s="185">
        <f t="shared" si="353"/>
        <v>0</v>
      </c>
      <c r="R1150" s="162" t="b">
        <f t="shared" si="347"/>
        <v>0</v>
      </c>
    </row>
    <row r="1151" spans="1:18">
      <c r="A1151" s="129" t="s">
        <v>334</v>
      </c>
      <c r="B1151" s="129" t="s">
        <v>3818</v>
      </c>
      <c r="C1151" s="129">
        <v>4228</v>
      </c>
      <c r="D1151" s="129" t="s">
        <v>2349</v>
      </c>
      <c r="E1151" s="129">
        <v>392</v>
      </c>
      <c r="F1151" s="129">
        <v>0</v>
      </c>
      <c r="G1151" s="129">
        <v>164</v>
      </c>
      <c r="H1151" s="129">
        <v>0</v>
      </c>
      <c r="I1151" s="129">
        <v>41.8</v>
      </c>
      <c r="J1151" s="129">
        <v>0</v>
      </c>
      <c r="K1151" s="129">
        <v>7.9</v>
      </c>
      <c r="L1151" s="129">
        <f t="shared" ref="L1151:L1198" si="354">SUM(E1151:F1151)</f>
        <v>392</v>
      </c>
      <c r="M1151" s="129">
        <f t="shared" ref="M1151:M1198" si="355">SUM(G1151:H1151)</f>
        <v>164</v>
      </c>
      <c r="N1151" s="128">
        <f t="shared" ref="N1151:N1198" si="356">IF(ISERROR(M1151/L1151),0,M1151/L1151)</f>
        <v>0.41839999999999999</v>
      </c>
      <c r="O1151" s="164">
        <f t="shared" ref="O1151:O1198" si="357">IF(AND((N1151-35%)&gt;0,N1151&lt;50%),M1151*(N1151-35%)*0.7,0)</f>
        <v>7.9</v>
      </c>
      <c r="P1151" s="185">
        <f t="shared" ref="P1151:P1198" si="358">IF(N1151&gt;=50%,M1151*10.5%,0)</f>
        <v>0</v>
      </c>
      <c r="Q1151" s="185">
        <f t="shared" ref="Q1151:Q1198" si="359">MAX(O1151,P1151)</f>
        <v>7.9</v>
      </c>
      <c r="R1151" s="162" t="b">
        <f t="shared" si="347"/>
        <v>0</v>
      </c>
    </row>
    <row r="1152" spans="1:18">
      <c r="A1152" s="129" t="s">
        <v>334</v>
      </c>
      <c r="B1152" s="129" t="s">
        <v>3818</v>
      </c>
      <c r="C1152" s="129">
        <v>4230</v>
      </c>
      <c r="D1152" s="129" t="s">
        <v>2351</v>
      </c>
      <c r="E1152" s="129">
        <v>264</v>
      </c>
      <c r="F1152" s="129">
        <v>0</v>
      </c>
      <c r="G1152" s="129">
        <v>127</v>
      </c>
      <c r="H1152" s="129">
        <v>0</v>
      </c>
      <c r="I1152" s="129">
        <v>48.1</v>
      </c>
      <c r="J1152" s="129">
        <v>0</v>
      </c>
      <c r="K1152" s="129">
        <v>11.7</v>
      </c>
      <c r="L1152" s="129">
        <f t="shared" si="354"/>
        <v>264</v>
      </c>
      <c r="M1152" s="129">
        <f t="shared" si="355"/>
        <v>127</v>
      </c>
      <c r="N1152" s="128">
        <f t="shared" si="356"/>
        <v>0.48110000000000003</v>
      </c>
      <c r="O1152" s="164">
        <f t="shared" si="357"/>
        <v>11.7</v>
      </c>
      <c r="P1152" s="185">
        <f t="shared" si="358"/>
        <v>0</v>
      </c>
      <c r="Q1152" s="185">
        <f t="shared" si="359"/>
        <v>11.7</v>
      </c>
      <c r="R1152" s="162" t="b">
        <f t="shared" si="347"/>
        <v>0</v>
      </c>
    </row>
    <row r="1153" spans="1:18">
      <c r="A1153" s="129" t="s">
        <v>334</v>
      </c>
      <c r="B1153" s="129" t="s">
        <v>3818</v>
      </c>
      <c r="C1153" s="129">
        <v>4239</v>
      </c>
      <c r="D1153" s="129" t="s">
        <v>2353</v>
      </c>
      <c r="E1153" s="129">
        <v>220</v>
      </c>
      <c r="F1153" s="129">
        <v>0</v>
      </c>
      <c r="G1153" s="129">
        <v>111</v>
      </c>
      <c r="H1153" s="129">
        <v>0</v>
      </c>
      <c r="I1153" s="129">
        <v>50.5</v>
      </c>
      <c r="J1153" s="129">
        <v>11.7</v>
      </c>
      <c r="K1153" s="129">
        <v>0</v>
      </c>
      <c r="L1153" s="129">
        <f t="shared" si="354"/>
        <v>220</v>
      </c>
      <c r="M1153" s="129">
        <f t="shared" si="355"/>
        <v>111</v>
      </c>
      <c r="N1153" s="128">
        <f t="shared" si="356"/>
        <v>0.50449999999999995</v>
      </c>
      <c r="O1153" s="164">
        <f t="shared" si="357"/>
        <v>0</v>
      </c>
      <c r="P1153" s="185">
        <f t="shared" si="358"/>
        <v>11.7</v>
      </c>
      <c r="Q1153" s="185">
        <f t="shared" si="359"/>
        <v>11.7</v>
      </c>
      <c r="R1153" s="162" t="b">
        <f t="shared" si="347"/>
        <v>0</v>
      </c>
    </row>
    <row r="1154" spans="1:18">
      <c r="A1154" s="129" t="s">
        <v>338</v>
      </c>
      <c r="B1154" s="129" t="s">
        <v>3822</v>
      </c>
      <c r="C1154" s="129">
        <v>4362</v>
      </c>
      <c r="D1154" s="129" t="s">
        <v>2376</v>
      </c>
      <c r="E1154" s="129">
        <v>201</v>
      </c>
      <c r="F1154" s="129">
        <v>0</v>
      </c>
      <c r="G1154" s="129">
        <v>94</v>
      </c>
      <c r="H1154" s="129">
        <v>0</v>
      </c>
      <c r="I1154" s="129">
        <v>46.8</v>
      </c>
      <c r="J1154" s="129">
        <v>0</v>
      </c>
      <c r="K1154" s="129">
        <v>7.7</v>
      </c>
      <c r="L1154" s="129">
        <f t="shared" si="354"/>
        <v>201</v>
      </c>
      <c r="M1154" s="129">
        <f t="shared" si="355"/>
        <v>94</v>
      </c>
      <c r="N1154" s="128">
        <f t="shared" si="356"/>
        <v>0.4677</v>
      </c>
      <c r="O1154" s="164">
        <f t="shared" si="357"/>
        <v>7.7</v>
      </c>
      <c r="P1154" s="185">
        <f t="shared" si="358"/>
        <v>0</v>
      </c>
      <c r="Q1154" s="185">
        <f t="shared" si="359"/>
        <v>7.7</v>
      </c>
      <c r="R1154" s="162" t="b">
        <f t="shared" si="347"/>
        <v>0</v>
      </c>
    </row>
    <row r="1155" spans="1:18">
      <c r="A1155" s="129" t="s">
        <v>338</v>
      </c>
      <c r="B1155" s="129" t="s">
        <v>3822</v>
      </c>
      <c r="C1155" s="129">
        <v>4363</v>
      </c>
      <c r="D1155" s="129" t="s">
        <v>2378</v>
      </c>
      <c r="E1155" s="129">
        <v>161</v>
      </c>
      <c r="F1155" s="129">
        <v>0</v>
      </c>
      <c r="G1155" s="129">
        <v>64</v>
      </c>
      <c r="H1155" s="129">
        <v>0</v>
      </c>
      <c r="I1155" s="129">
        <v>39.799999999999997</v>
      </c>
      <c r="J1155" s="129">
        <v>0</v>
      </c>
      <c r="K1155" s="129">
        <v>2.1</v>
      </c>
      <c r="L1155" s="129">
        <f t="shared" si="354"/>
        <v>161</v>
      </c>
      <c r="M1155" s="129">
        <f t="shared" si="355"/>
        <v>64</v>
      </c>
      <c r="N1155" s="128">
        <f t="shared" si="356"/>
        <v>0.39750000000000002</v>
      </c>
      <c r="O1155" s="164">
        <f t="shared" si="357"/>
        <v>2.1</v>
      </c>
      <c r="P1155" s="185">
        <f t="shared" si="358"/>
        <v>0</v>
      </c>
      <c r="Q1155" s="185">
        <f t="shared" si="359"/>
        <v>2.1</v>
      </c>
      <c r="R1155" s="162" t="b">
        <f t="shared" si="347"/>
        <v>0</v>
      </c>
    </row>
    <row r="1156" spans="1:18">
      <c r="A1156" s="129" t="s">
        <v>338</v>
      </c>
      <c r="B1156" s="129" t="s">
        <v>3822</v>
      </c>
      <c r="C1156" s="129">
        <v>4364</v>
      </c>
      <c r="D1156" s="129" t="s">
        <v>2380</v>
      </c>
      <c r="E1156" s="129">
        <v>177</v>
      </c>
      <c r="F1156" s="129">
        <v>0</v>
      </c>
      <c r="G1156" s="129">
        <v>64</v>
      </c>
      <c r="H1156" s="129">
        <v>0</v>
      </c>
      <c r="I1156" s="129">
        <v>36.200000000000003</v>
      </c>
      <c r="J1156" s="129">
        <v>0</v>
      </c>
      <c r="K1156" s="129">
        <v>0.5</v>
      </c>
      <c r="L1156" s="129">
        <f t="shared" si="354"/>
        <v>177</v>
      </c>
      <c r="M1156" s="129">
        <f t="shared" si="355"/>
        <v>64</v>
      </c>
      <c r="N1156" s="128">
        <f t="shared" si="356"/>
        <v>0.36159999999999998</v>
      </c>
      <c r="O1156" s="164">
        <f t="shared" si="357"/>
        <v>0.5</v>
      </c>
      <c r="P1156" s="185">
        <f t="shared" si="358"/>
        <v>0</v>
      </c>
      <c r="Q1156" s="185">
        <f t="shared" si="359"/>
        <v>0.5</v>
      </c>
      <c r="R1156" s="162" t="b">
        <f t="shared" si="347"/>
        <v>0</v>
      </c>
    </row>
    <row r="1157" spans="1:18">
      <c r="A1157" s="129" t="s">
        <v>363</v>
      </c>
      <c r="B1157" s="129" t="s">
        <v>3844</v>
      </c>
      <c r="C1157" s="129">
        <v>5112</v>
      </c>
      <c r="D1157" s="129" t="s">
        <v>2533</v>
      </c>
      <c r="E1157" s="129">
        <v>419</v>
      </c>
      <c r="F1157" s="129">
        <v>1</v>
      </c>
      <c r="G1157" s="129">
        <v>87</v>
      </c>
      <c r="H1157" s="129">
        <v>0</v>
      </c>
      <c r="I1157" s="129">
        <v>20.7</v>
      </c>
      <c r="J1157" s="129">
        <v>0</v>
      </c>
      <c r="K1157" s="129">
        <v>0</v>
      </c>
      <c r="L1157" s="129">
        <f t="shared" si="354"/>
        <v>420</v>
      </c>
      <c r="M1157" s="129">
        <f t="shared" si="355"/>
        <v>87</v>
      </c>
      <c r="N1157" s="128">
        <f t="shared" si="356"/>
        <v>0.20710000000000001</v>
      </c>
      <c r="O1157" s="164">
        <f t="shared" si="357"/>
        <v>0</v>
      </c>
      <c r="P1157" s="185">
        <f t="shared" si="358"/>
        <v>0</v>
      </c>
      <c r="Q1157" s="185">
        <f t="shared" si="359"/>
        <v>0</v>
      </c>
      <c r="R1157" s="162" t="b">
        <f t="shared" ref="R1157:R1220" si="360">COUNTIF(C:C,C1157)&gt;1</f>
        <v>0</v>
      </c>
    </row>
    <row r="1158" spans="1:18">
      <c r="A1158" s="129" t="s">
        <v>363</v>
      </c>
      <c r="B1158" s="129" t="s">
        <v>3844</v>
      </c>
      <c r="C1158" s="129">
        <v>5113</v>
      </c>
      <c r="D1158" s="129" t="s">
        <v>2535</v>
      </c>
      <c r="E1158" s="129">
        <v>496</v>
      </c>
      <c r="F1158" s="129">
        <v>4</v>
      </c>
      <c r="G1158" s="129">
        <v>230</v>
      </c>
      <c r="H1158" s="129">
        <v>4</v>
      </c>
      <c r="I1158" s="129">
        <v>46.8</v>
      </c>
      <c r="J1158" s="129">
        <v>0</v>
      </c>
      <c r="K1158" s="129">
        <v>19.3</v>
      </c>
      <c r="L1158" s="129">
        <f t="shared" si="354"/>
        <v>500</v>
      </c>
      <c r="M1158" s="129">
        <f t="shared" si="355"/>
        <v>234</v>
      </c>
      <c r="N1158" s="128">
        <f t="shared" si="356"/>
        <v>0.46800000000000003</v>
      </c>
      <c r="O1158" s="164">
        <f t="shared" si="357"/>
        <v>19.3</v>
      </c>
      <c r="P1158" s="185">
        <f t="shared" si="358"/>
        <v>0</v>
      </c>
      <c r="Q1158" s="185">
        <f t="shared" si="359"/>
        <v>19.3</v>
      </c>
      <c r="R1158" s="162" t="b">
        <f t="shared" si="360"/>
        <v>0</v>
      </c>
    </row>
    <row r="1159" spans="1:18">
      <c r="A1159" s="129" t="s">
        <v>363</v>
      </c>
      <c r="B1159" s="129" t="s">
        <v>3844</v>
      </c>
      <c r="C1159" s="129">
        <v>5114</v>
      </c>
      <c r="D1159" s="129" t="s">
        <v>2537</v>
      </c>
      <c r="E1159" s="129">
        <v>215</v>
      </c>
      <c r="F1159" s="129">
        <v>1</v>
      </c>
      <c r="G1159" s="129">
        <v>99</v>
      </c>
      <c r="H1159" s="129">
        <v>1</v>
      </c>
      <c r="I1159" s="129">
        <v>46.3</v>
      </c>
      <c r="J1159" s="129">
        <v>0</v>
      </c>
      <c r="K1159" s="129">
        <v>7.9</v>
      </c>
      <c r="L1159" s="129">
        <f t="shared" si="354"/>
        <v>216</v>
      </c>
      <c r="M1159" s="129">
        <f t="shared" si="355"/>
        <v>100</v>
      </c>
      <c r="N1159" s="128">
        <f t="shared" si="356"/>
        <v>0.46300000000000002</v>
      </c>
      <c r="O1159" s="164">
        <f t="shared" si="357"/>
        <v>7.9</v>
      </c>
      <c r="P1159" s="185">
        <f t="shared" si="358"/>
        <v>0</v>
      </c>
      <c r="Q1159" s="185">
        <f t="shared" si="359"/>
        <v>7.9</v>
      </c>
      <c r="R1159" s="162" t="b">
        <f t="shared" si="360"/>
        <v>0</v>
      </c>
    </row>
    <row r="1160" spans="1:18">
      <c r="A1160" s="129" t="s">
        <v>363</v>
      </c>
      <c r="B1160" s="129" t="s">
        <v>3844</v>
      </c>
      <c r="C1160" s="129">
        <v>5124</v>
      </c>
      <c r="D1160" s="129" t="s">
        <v>2539</v>
      </c>
      <c r="E1160" s="129">
        <v>311</v>
      </c>
      <c r="F1160" s="129">
        <v>1</v>
      </c>
      <c r="G1160" s="129">
        <v>167</v>
      </c>
      <c r="H1160" s="129">
        <v>0</v>
      </c>
      <c r="I1160" s="129">
        <v>53.5</v>
      </c>
      <c r="J1160" s="129">
        <v>17.5</v>
      </c>
      <c r="K1160" s="129">
        <v>0</v>
      </c>
      <c r="L1160" s="129">
        <f t="shared" si="354"/>
        <v>312</v>
      </c>
      <c r="M1160" s="129">
        <f t="shared" si="355"/>
        <v>167</v>
      </c>
      <c r="N1160" s="128">
        <f t="shared" si="356"/>
        <v>0.5353</v>
      </c>
      <c r="O1160" s="164">
        <f t="shared" si="357"/>
        <v>0</v>
      </c>
      <c r="P1160" s="185">
        <f t="shared" si="358"/>
        <v>17.5</v>
      </c>
      <c r="Q1160" s="185">
        <f t="shared" si="359"/>
        <v>17.5</v>
      </c>
      <c r="R1160" s="162" t="b">
        <f t="shared" si="360"/>
        <v>0</v>
      </c>
    </row>
    <row r="1161" spans="1:18">
      <c r="A1161" s="129" t="s">
        <v>363</v>
      </c>
      <c r="B1161" s="129" t="s">
        <v>3844</v>
      </c>
      <c r="C1161" s="129">
        <v>5126</v>
      </c>
      <c r="D1161" s="129" t="s">
        <v>2541</v>
      </c>
      <c r="E1161" s="129">
        <v>426</v>
      </c>
      <c r="F1161" s="129">
        <v>1</v>
      </c>
      <c r="G1161" s="129">
        <v>94</v>
      </c>
      <c r="H1161" s="129">
        <v>1</v>
      </c>
      <c r="I1161" s="129">
        <v>22.3</v>
      </c>
      <c r="J1161" s="129">
        <v>0</v>
      </c>
      <c r="K1161" s="129">
        <v>0</v>
      </c>
      <c r="L1161" s="129">
        <f t="shared" si="354"/>
        <v>427</v>
      </c>
      <c r="M1161" s="129">
        <f t="shared" si="355"/>
        <v>95</v>
      </c>
      <c r="N1161" s="128">
        <f t="shared" si="356"/>
        <v>0.2225</v>
      </c>
      <c r="O1161" s="164">
        <f t="shared" si="357"/>
        <v>0</v>
      </c>
      <c r="P1161" s="185">
        <f t="shared" si="358"/>
        <v>0</v>
      </c>
      <c r="Q1161" s="185">
        <f t="shared" si="359"/>
        <v>0</v>
      </c>
      <c r="R1161" s="162" t="b">
        <f t="shared" si="360"/>
        <v>0</v>
      </c>
    </row>
    <row r="1162" spans="1:18">
      <c r="A1162" s="129" t="s">
        <v>363</v>
      </c>
      <c r="B1162" s="129" t="s">
        <v>3844</v>
      </c>
      <c r="C1162" s="129">
        <v>5128</v>
      </c>
      <c r="D1162" s="129" t="s">
        <v>1453</v>
      </c>
      <c r="E1162" s="129">
        <v>403</v>
      </c>
      <c r="F1162" s="129">
        <v>0</v>
      </c>
      <c r="G1162" s="129">
        <v>254</v>
      </c>
      <c r="H1162" s="129">
        <v>0</v>
      </c>
      <c r="I1162" s="129">
        <v>63</v>
      </c>
      <c r="J1162" s="129">
        <v>26.7</v>
      </c>
      <c r="K1162" s="129">
        <v>0</v>
      </c>
      <c r="L1162" s="129">
        <f t="shared" si="354"/>
        <v>403</v>
      </c>
      <c r="M1162" s="129">
        <f t="shared" si="355"/>
        <v>254</v>
      </c>
      <c r="N1162" s="128">
        <f t="shared" si="356"/>
        <v>0.63029999999999997</v>
      </c>
      <c r="O1162" s="164">
        <f t="shared" si="357"/>
        <v>0</v>
      </c>
      <c r="P1162" s="185">
        <f t="shared" si="358"/>
        <v>26.7</v>
      </c>
      <c r="Q1162" s="185">
        <f t="shared" si="359"/>
        <v>26.7</v>
      </c>
      <c r="R1162" s="162" t="b">
        <f t="shared" si="360"/>
        <v>0</v>
      </c>
    </row>
    <row r="1163" spans="1:18">
      <c r="A1163" s="129" t="s">
        <v>363</v>
      </c>
      <c r="B1163" s="129" t="s">
        <v>3844</v>
      </c>
      <c r="C1163" s="129">
        <v>5130</v>
      </c>
      <c r="D1163" s="129" t="s">
        <v>2544</v>
      </c>
      <c r="E1163" s="129">
        <v>427</v>
      </c>
      <c r="F1163" s="129">
        <v>1</v>
      </c>
      <c r="G1163" s="129">
        <v>229</v>
      </c>
      <c r="H1163" s="129">
        <v>0</v>
      </c>
      <c r="I1163" s="129">
        <v>53.5</v>
      </c>
      <c r="J1163" s="129">
        <v>24</v>
      </c>
      <c r="K1163" s="129">
        <v>0</v>
      </c>
      <c r="L1163" s="129">
        <f t="shared" si="354"/>
        <v>428</v>
      </c>
      <c r="M1163" s="129">
        <f t="shared" si="355"/>
        <v>229</v>
      </c>
      <c r="N1163" s="128">
        <f t="shared" si="356"/>
        <v>0.53500000000000003</v>
      </c>
      <c r="O1163" s="164">
        <f t="shared" si="357"/>
        <v>0</v>
      </c>
      <c r="P1163" s="185">
        <f t="shared" si="358"/>
        <v>24</v>
      </c>
      <c r="Q1163" s="185">
        <f t="shared" si="359"/>
        <v>24</v>
      </c>
      <c r="R1163" s="162" t="b">
        <f t="shared" si="360"/>
        <v>0</v>
      </c>
    </row>
    <row r="1164" spans="1:18">
      <c r="A1164" s="129" t="s">
        <v>363</v>
      </c>
      <c r="B1164" s="129" t="s">
        <v>3844</v>
      </c>
      <c r="C1164" s="129">
        <v>5132</v>
      </c>
      <c r="D1164" s="129" t="s">
        <v>2546</v>
      </c>
      <c r="E1164" s="129">
        <v>232</v>
      </c>
      <c r="F1164" s="129">
        <v>2</v>
      </c>
      <c r="G1164" s="129">
        <v>109</v>
      </c>
      <c r="H1164" s="129">
        <v>0</v>
      </c>
      <c r="I1164" s="129">
        <v>46.6</v>
      </c>
      <c r="J1164" s="129">
        <v>0</v>
      </c>
      <c r="K1164" s="129">
        <v>8.8000000000000007</v>
      </c>
      <c r="L1164" s="129">
        <f t="shared" si="354"/>
        <v>234</v>
      </c>
      <c r="M1164" s="129">
        <f t="shared" si="355"/>
        <v>109</v>
      </c>
      <c r="N1164" s="128">
        <f t="shared" si="356"/>
        <v>0.46579999999999999</v>
      </c>
      <c r="O1164" s="164">
        <f t="shared" si="357"/>
        <v>8.8000000000000007</v>
      </c>
      <c r="P1164" s="185">
        <f t="shared" si="358"/>
        <v>0</v>
      </c>
      <c r="Q1164" s="185">
        <f t="shared" si="359"/>
        <v>8.8000000000000007</v>
      </c>
      <c r="R1164" s="162" t="b">
        <f t="shared" si="360"/>
        <v>0</v>
      </c>
    </row>
    <row r="1165" spans="1:18">
      <c r="A1165" s="129" t="s">
        <v>363</v>
      </c>
      <c r="B1165" s="129" t="s">
        <v>3844</v>
      </c>
      <c r="C1165" s="129">
        <v>5135</v>
      </c>
      <c r="D1165" s="129" t="s">
        <v>2548</v>
      </c>
      <c r="E1165" s="129">
        <v>762</v>
      </c>
      <c r="F1165" s="129">
        <v>4</v>
      </c>
      <c r="G1165" s="129">
        <v>213</v>
      </c>
      <c r="H1165" s="129">
        <v>2</v>
      </c>
      <c r="I1165" s="129">
        <v>28.1</v>
      </c>
      <c r="J1165" s="129">
        <v>0</v>
      </c>
      <c r="K1165" s="129">
        <v>0</v>
      </c>
      <c r="L1165" s="129">
        <f t="shared" si="354"/>
        <v>766</v>
      </c>
      <c r="M1165" s="129">
        <f t="shared" si="355"/>
        <v>215</v>
      </c>
      <c r="N1165" s="128">
        <f t="shared" si="356"/>
        <v>0.28070000000000001</v>
      </c>
      <c r="O1165" s="164">
        <f t="shared" si="357"/>
        <v>0</v>
      </c>
      <c r="P1165" s="185">
        <f t="shared" si="358"/>
        <v>0</v>
      </c>
      <c r="Q1165" s="185">
        <f t="shared" si="359"/>
        <v>0</v>
      </c>
      <c r="R1165" s="162" t="b">
        <f t="shared" si="360"/>
        <v>0</v>
      </c>
    </row>
    <row r="1166" spans="1:18">
      <c r="A1166" s="129" t="s">
        <v>363</v>
      </c>
      <c r="B1166" s="129" t="s">
        <v>3844</v>
      </c>
      <c r="C1166" s="129">
        <v>5136</v>
      </c>
      <c r="D1166" s="129" t="s">
        <v>2550</v>
      </c>
      <c r="E1166" s="129">
        <v>1996</v>
      </c>
      <c r="F1166" s="129">
        <v>9</v>
      </c>
      <c r="G1166" s="129">
        <v>658</v>
      </c>
      <c r="H1166" s="129">
        <v>3</v>
      </c>
      <c r="I1166" s="129">
        <v>33</v>
      </c>
      <c r="J1166" s="129">
        <v>0</v>
      </c>
      <c r="K1166" s="129">
        <v>0</v>
      </c>
      <c r="L1166" s="129">
        <f t="shared" si="354"/>
        <v>2005</v>
      </c>
      <c r="M1166" s="129">
        <f t="shared" si="355"/>
        <v>661</v>
      </c>
      <c r="N1166" s="128">
        <f t="shared" si="356"/>
        <v>0.32969999999999999</v>
      </c>
      <c r="O1166" s="164">
        <f t="shared" si="357"/>
        <v>0</v>
      </c>
      <c r="P1166" s="185">
        <f t="shared" si="358"/>
        <v>0</v>
      </c>
      <c r="Q1166" s="185">
        <f t="shared" si="359"/>
        <v>0</v>
      </c>
      <c r="R1166" s="162" t="b">
        <f t="shared" si="360"/>
        <v>0</v>
      </c>
    </row>
    <row r="1167" spans="1:18">
      <c r="A1167" s="129" t="s">
        <v>363</v>
      </c>
      <c r="B1167" s="129" t="s">
        <v>3844</v>
      </c>
      <c r="C1167" s="129">
        <v>5137</v>
      </c>
      <c r="D1167" s="129" t="s">
        <v>2552</v>
      </c>
      <c r="E1167" s="129">
        <v>757</v>
      </c>
      <c r="F1167" s="129">
        <v>3</v>
      </c>
      <c r="G1167" s="129">
        <v>314</v>
      </c>
      <c r="H1167" s="129">
        <v>0</v>
      </c>
      <c r="I1167" s="129">
        <v>41.3</v>
      </c>
      <c r="J1167" s="129">
        <v>0</v>
      </c>
      <c r="K1167" s="129">
        <v>13.9</v>
      </c>
      <c r="L1167" s="129">
        <f t="shared" si="354"/>
        <v>760</v>
      </c>
      <c r="M1167" s="129">
        <f t="shared" si="355"/>
        <v>314</v>
      </c>
      <c r="N1167" s="128">
        <f t="shared" si="356"/>
        <v>0.41320000000000001</v>
      </c>
      <c r="O1167" s="164">
        <f t="shared" si="357"/>
        <v>13.9</v>
      </c>
      <c r="P1167" s="185">
        <f t="shared" si="358"/>
        <v>0</v>
      </c>
      <c r="Q1167" s="185">
        <f t="shared" si="359"/>
        <v>13.9</v>
      </c>
      <c r="R1167" s="162" t="b">
        <f t="shared" si="360"/>
        <v>0</v>
      </c>
    </row>
    <row r="1168" spans="1:18">
      <c r="A1168" s="129" t="s">
        <v>363</v>
      </c>
      <c r="B1168" s="129" t="s">
        <v>3844</v>
      </c>
      <c r="C1168" s="129">
        <v>5138</v>
      </c>
      <c r="D1168" s="129" t="s">
        <v>2554</v>
      </c>
      <c r="E1168" s="129">
        <v>130</v>
      </c>
      <c r="F1168" s="129">
        <v>4</v>
      </c>
      <c r="G1168" s="129">
        <v>71</v>
      </c>
      <c r="H1168" s="129">
        <v>0</v>
      </c>
      <c r="I1168" s="129">
        <v>53</v>
      </c>
      <c r="J1168" s="129">
        <v>7.5</v>
      </c>
      <c r="K1168" s="129">
        <v>0</v>
      </c>
      <c r="L1168" s="129">
        <f t="shared" si="354"/>
        <v>134</v>
      </c>
      <c r="M1168" s="129">
        <f t="shared" si="355"/>
        <v>71</v>
      </c>
      <c r="N1168" s="128">
        <f t="shared" si="356"/>
        <v>0.52990000000000004</v>
      </c>
      <c r="O1168" s="164">
        <f t="shared" si="357"/>
        <v>0</v>
      </c>
      <c r="P1168" s="185">
        <f t="shared" si="358"/>
        <v>7.5</v>
      </c>
      <c r="Q1168" s="185">
        <f t="shared" si="359"/>
        <v>7.5</v>
      </c>
      <c r="R1168" s="162" t="b">
        <f t="shared" si="360"/>
        <v>0</v>
      </c>
    </row>
    <row r="1169" spans="1:18">
      <c r="A1169" s="129" t="s">
        <v>363</v>
      </c>
      <c r="B1169" s="129" t="s">
        <v>3844</v>
      </c>
      <c r="C1169" s="129">
        <v>5139</v>
      </c>
      <c r="D1169" s="129" t="s">
        <v>2556</v>
      </c>
      <c r="E1169" s="129">
        <v>309</v>
      </c>
      <c r="F1169" s="129">
        <v>3</v>
      </c>
      <c r="G1169" s="129">
        <v>54</v>
      </c>
      <c r="H1169" s="129">
        <v>0</v>
      </c>
      <c r="I1169" s="129">
        <v>17.3</v>
      </c>
      <c r="J1169" s="129">
        <v>0</v>
      </c>
      <c r="K1169" s="129">
        <v>0</v>
      </c>
      <c r="L1169" s="129">
        <f t="shared" si="354"/>
        <v>312</v>
      </c>
      <c r="M1169" s="129">
        <f t="shared" si="355"/>
        <v>54</v>
      </c>
      <c r="N1169" s="128">
        <f t="shared" si="356"/>
        <v>0.1731</v>
      </c>
      <c r="O1169" s="164">
        <f t="shared" si="357"/>
        <v>0</v>
      </c>
      <c r="P1169" s="185">
        <f t="shared" si="358"/>
        <v>0</v>
      </c>
      <c r="Q1169" s="185">
        <f t="shared" si="359"/>
        <v>0</v>
      </c>
      <c r="R1169" s="162" t="b">
        <f t="shared" si="360"/>
        <v>0</v>
      </c>
    </row>
    <row r="1170" spans="1:18">
      <c r="A1170" s="129" t="s">
        <v>414</v>
      </c>
      <c r="B1170" s="129" t="s">
        <v>3890</v>
      </c>
      <c r="C1170" s="129">
        <v>6674</v>
      </c>
      <c r="D1170" s="129" t="s">
        <v>1417</v>
      </c>
      <c r="E1170" s="129">
        <v>387</v>
      </c>
      <c r="F1170" s="129">
        <v>0</v>
      </c>
      <c r="G1170" s="129">
        <v>310</v>
      </c>
      <c r="H1170" s="129">
        <v>0</v>
      </c>
      <c r="I1170" s="129">
        <v>80.099999999999994</v>
      </c>
      <c r="J1170" s="129">
        <v>32.6</v>
      </c>
      <c r="K1170" s="129">
        <v>0</v>
      </c>
      <c r="L1170" s="129">
        <f t="shared" si="354"/>
        <v>387</v>
      </c>
      <c r="M1170" s="129">
        <f t="shared" si="355"/>
        <v>310</v>
      </c>
      <c r="N1170" s="128">
        <f t="shared" si="356"/>
        <v>0.80100000000000005</v>
      </c>
      <c r="O1170" s="164">
        <f t="shared" si="357"/>
        <v>0</v>
      </c>
      <c r="P1170" s="185">
        <f t="shared" si="358"/>
        <v>32.6</v>
      </c>
      <c r="Q1170" s="185">
        <f t="shared" si="359"/>
        <v>32.6</v>
      </c>
      <c r="R1170" s="162" t="b">
        <f t="shared" si="360"/>
        <v>0</v>
      </c>
    </row>
    <row r="1171" spans="1:18">
      <c r="A1171" s="129" t="s">
        <v>414</v>
      </c>
      <c r="B1171" s="129" t="s">
        <v>3890</v>
      </c>
      <c r="C1171" s="129">
        <v>6678</v>
      </c>
      <c r="D1171" s="129" t="s">
        <v>2860</v>
      </c>
      <c r="E1171" s="129">
        <v>747</v>
      </c>
      <c r="F1171" s="129">
        <v>0</v>
      </c>
      <c r="G1171" s="129">
        <v>615</v>
      </c>
      <c r="H1171" s="129">
        <v>0</v>
      </c>
      <c r="I1171" s="129">
        <v>82.3</v>
      </c>
      <c r="J1171" s="129">
        <v>64.599999999999994</v>
      </c>
      <c r="K1171" s="129">
        <v>0</v>
      </c>
      <c r="L1171" s="129">
        <f t="shared" si="354"/>
        <v>747</v>
      </c>
      <c r="M1171" s="129">
        <f t="shared" si="355"/>
        <v>615</v>
      </c>
      <c r="N1171" s="128">
        <f t="shared" si="356"/>
        <v>0.82330000000000003</v>
      </c>
      <c r="O1171" s="164">
        <f t="shared" si="357"/>
        <v>0</v>
      </c>
      <c r="P1171" s="185">
        <f t="shared" si="358"/>
        <v>64.599999999999994</v>
      </c>
      <c r="Q1171" s="185">
        <f t="shared" si="359"/>
        <v>64.599999999999994</v>
      </c>
      <c r="R1171" s="162" t="b">
        <f t="shared" si="360"/>
        <v>0</v>
      </c>
    </row>
    <row r="1172" spans="1:18">
      <c r="A1172" s="129" t="s">
        <v>414</v>
      </c>
      <c r="B1172" s="129" t="s">
        <v>3890</v>
      </c>
      <c r="C1172" s="129">
        <v>6680</v>
      </c>
      <c r="D1172" s="129" t="s">
        <v>2862</v>
      </c>
      <c r="E1172" s="129">
        <v>374</v>
      </c>
      <c r="F1172" s="129">
        <v>0</v>
      </c>
      <c r="G1172" s="129">
        <v>228</v>
      </c>
      <c r="H1172" s="129">
        <v>0</v>
      </c>
      <c r="I1172" s="129">
        <v>61</v>
      </c>
      <c r="J1172" s="129">
        <v>23.9</v>
      </c>
      <c r="K1172" s="129">
        <v>0</v>
      </c>
      <c r="L1172" s="129">
        <f t="shared" si="354"/>
        <v>374</v>
      </c>
      <c r="M1172" s="129">
        <f t="shared" si="355"/>
        <v>228</v>
      </c>
      <c r="N1172" s="128">
        <f t="shared" si="356"/>
        <v>0.60960000000000003</v>
      </c>
      <c r="O1172" s="164">
        <f t="shared" si="357"/>
        <v>0</v>
      </c>
      <c r="P1172" s="185">
        <f t="shared" si="358"/>
        <v>23.9</v>
      </c>
      <c r="Q1172" s="185">
        <f t="shared" si="359"/>
        <v>23.9</v>
      </c>
      <c r="R1172" s="162" t="b">
        <f t="shared" si="360"/>
        <v>0</v>
      </c>
    </row>
    <row r="1173" spans="1:18">
      <c r="A1173" s="129" t="s">
        <v>414</v>
      </c>
      <c r="B1173" s="129" t="s">
        <v>3890</v>
      </c>
      <c r="C1173" s="129">
        <v>6682</v>
      </c>
      <c r="D1173" s="129" t="s">
        <v>2864</v>
      </c>
      <c r="E1173" s="129">
        <v>363</v>
      </c>
      <c r="F1173" s="129">
        <v>0</v>
      </c>
      <c r="G1173" s="129">
        <v>314</v>
      </c>
      <c r="H1173" s="129">
        <v>0</v>
      </c>
      <c r="I1173" s="129">
        <v>86.5</v>
      </c>
      <c r="J1173" s="129">
        <v>33</v>
      </c>
      <c r="K1173" s="129">
        <v>0</v>
      </c>
      <c r="L1173" s="129">
        <f t="shared" si="354"/>
        <v>363</v>
      </c>
      <c r="M1173" s="129">
        <f t="shared" si="355"/>
        <v>314</v>
      </c>
      <c r="N1173" s="128">
        <f t="shared" si="356"/>
        <v>0.86499999999999999</v>
      </c>
      <c r="O1173" s="164">
        <f t="shared" si="357"/>
        <v>0</v>
      </c>
      <c r="P1173" s="185">
        <f t="shared" si="358"/>
        <v>33</v>
      </c>
      <c r="Q1173" s="185">
        <f t="shared" si="359"/>
        <v>33</v>
      </c>
      <c r="R1173" s="162" t="b">
        <f t="shared" si="360"/>
        <v>0</v>
      </c>
    </row>
    <row r="1174" spans="1:18">
      <c r="A1174" s="129" t="s">
        <v>414</v>
      </c>
      <c r="B1174" s="129" t="s">
        <v>3890</v>
      </c>
      <c r="C1174" s="129">
        <v>6684</v>
      </c>
      <c r="D1174" s="129" t="s">
        <v>2866</v>
      </c>
      <c r="E1174" s="129">
        <v>793</v>
      </c>
      <c r="F1174" s="129">
        <v>0</v>
      </c>
      <c r="G1174" s="129">
        <v>573</v>
      </c>
      <c r="H1174" s="129">
        <v>0</v>
      </c>
      <c r="I1174" s="129">
        <v>72.3</v>
      </c>
      <c r="J1174" s="129">
        <v>60.2</v>
      </c>
      <c r="K1174" s="129">
        <v>0</v>
      </c>
      <c r="L1174" s="129">
        <f t="shared" si="354"/>
        <v>793</v>
      </c>
      <c r="M1174" s="129">
        <f t="shared" si="355"/>
        <v>573</v>
      </c>
      <c r="N1174" s="128">
        <f t="shared" si="356"/>
        <v>0.72260000000000002</v>
      </c>
      <c r="O1174" s="164">
        <f t="shared" si="357"/>
        <v>0</v>
      </c>
      <c r="P1174" s="185">
        <f t="shared" si="358"/>
        <v>60.2</v>
      </c>
      <c r="Q1174" s="185">
        <f t="shared" si="359"/>
        <v>60.2</v>
      </c>
      <c r="R1174" s="162" t="b">
        <f t="shared" si="360"/>
        <v>0</v>
      </c>
    </row>
    <row r="1175" spans="1:18">
      <c r="A1175" s="129" t="s">
        <v>414</v>
      </c>
      <c r="B1175" s="129" t="s">
        <v>3890</v>
      </c>
      <c r="C1175" s="129">
        <v>6685</v>
      </c>
      <c r="D1175" s="129" t="s">
        <v>2868</v>
      </c>
      <c r="E1175" s="129">
        <v>519</v>
      </c>
      <c r="F1175" s="129">
        <v>0</v>
      </c>
      <c r="G1175" s="129">
        <v>291</v>
      </c>
      <c r="H1175" s="129">
        <v>0</v>
      </c>
      <c r="I1175" s="129">
        <v>56.1</v>
      </c>
      <c r="J1175" s="129">
        <v>30.6</v>
      </c>
      <c r="K1175" s="129">
        <v>0</v>
      </c>
      <c r="L1175" s="129">
        <f t="shared" si="354"/>
        <v>519</v>
      </c>
      <c r="M1175" s="129">
        <f t="shared" si="355"/>
        <v>291</v>
      </c>
      <c r="N1175" s="128">
        <f t="shared" si="356"/>
        <v>0.56069999999999998</v>
      </c>
      <c r="O1175" s="164">
        <f t="shared" si="357"/>
        <v>0</v>
      </c>
      <c r="P1175" s="185">
        <f t="shared" si="358"/>
        <v>30.6</v>
      </c>
      <c r="Q1175" s="185">
        <f t="shared" si="359"/>
        <v>30.6</v>
      </c>
      <c r="R1175" s="162" t="b">
        <f t="shared" si="360"/>
        <v>0</v>
      </c>
    </row>
    <row r="1176" spans="1:18">
      <c r="A1176" s="129" t="s">
        <v>414</v>
      </c>
      <c r="B1176" s="129" t="s">
        <v>3890</v>
      </c>
      <c r="C1176" s="129">
        <v>6686</v>
      </c>
      <c r="D1176" s="129" t="s">
        <v>2870</v>
      </c>
      <c r="E1176" s="129">
        <v>2130</v>
      </c>
      <c r="F1176" s="129">
        <v>0</v>
      </c>
      <c r="G1176" s="129">
        <v>1356</v>
      </c>
      <c r="H1176" s="129">
        <v>0</v>
      </c>
      <c r="I1176" s="129">
        <v>63.7</v>
      </c>
      <c r="J1176" s="129">
        <v>142.4</v>
      </c>
      <c r="K1176" s="129">
        <v>0</v>
      </c>
      <c r="L1176" s="129">
        <f t="shared" si="354"/>
        <v>2130</v>
      </c>
      <c r="M1176" s="129">
        <f t="shared" si="355"/>
        <v>1356</v>
      </c>
      <c r="N1176" s="128">
        <f t="shared" si="356"/>
        <v>0.63660000000000005</v>
      </c>
      <c r="O1176" s="164">
        <f t="shared" si="357"/>
        <v>0</v>
      </c>
      <c r="P1176" s="185">
        <f t="shared" si="358"/>
        <v>142.4</v>
      </c>
      <c r="Q1176" s="185">
        <f t="shared" si="359"/>
        <v>142.4</v>
      </c>
      <c r="R1176" s="162" t="b">
        <f t="shared" si="360"/>
        <v>0</v>
      </c>
    </row>
    <row r="1177" spans="1:18">
      <c r="A1177" s="129" t="s">
        <v>414</v>
      </c>
      <c r="B1177" s="129" t="s">
        <v>3890</v>
      </c>
      <c r="C1177" s="129">
        <v>6687</v>
      </c>
      <c r="D1177" s="129" t="s">
        <v>2872</v>
      </c>
      <c r="E1177" s="129">
        <v>330</v>
      </c>
      <c r="F1177" s="129">
        <v>0</v>
      </c>
      <c r="G1177" s="129">
        <v>287</v>
      </c>
      <c r="H1177" s="129">
        <v>0</v>
      </c>
      <c r="I1177" s="129">
        <v>87</v>
      </c>
      <c r="J1177" s="129">
        <v>30.1</v>
      </c>
      <c r="K1177" s="129">
        <v>0</v>
      </c>
      <c r="L1177" s="129">
        <f t="shared" si="354"/>
        <v>330</v>
      </c>
      <c r="M1177" s="129">
        <f t="shared" si="355"/>
        <v>287</v>
      </c>
      <c r="N1177" s="128">
        <f t="shared" si="356"/>
        <v>0.86970000000000003</v>
      </c>
      <c r="O1177" s="164">
        <f t="shared" si="357"/>
        <v>0</v>
      </c>
      <c r="P1177" s="185">
        <f t="shared" si="358"/>
        <v>30.1</v>
      </c>
      <c r="Q1177" s="185">
        <f t="shared" si="359"/>
        <v>30.1</v>
      </c>
      <c r="R1177" s="162" t="b">
        <f t="shared" si="360"/>
        <v>0</v>
      </c>
    </row>
    <row r="1178" spans="1:18">
      <c r="A1178" s="129" t="s">
        <v>414</v>
      </c>
      <c r="B1178" s="129" t="s">
        <v>3890</v>
      </c>
      <c r="C1178" s="129">
        <v>6688</v>
      </c>
      <c r="D1178" s="129" t="s">
        <v>2874</v>
      </c>
      <c r="E1178" s="129">
        <v>349</v>
      </c>
      <c r="F1178" s="129">
        <v>0</v>
      </c>
      <c r="G1178" s="129">
        <v>248</v>
      </c>
      <c r="H1178" s="129">
        <v>0</v>
      </c>
      <c r="I1178" s="129">
        <v>71.099999999999994</v>
      </c>
      <c r="J1178" s="129">
        <v>26</v>
      </c>
      <c r="K1178" s="129">
        <v>0</v>
      </c>
      <c r="L1178" s="129">
        <f t="shared" si="354"/>
        <v>349</v>
      </c>
      <c r="M1178" s="129">
        <f t="shared" si="355"/>
        <v>248</v>
      </c>
      <c r="N1178" s="128">
        <f t="shared" si="356"/>
        <v>0.71060000000000001</v>
      </c>
      <c r="O1178" s="164">
        <f t="shared" si="357"/>
        <v>0</v>
      </c>
      <c r="P1178" s="185">
        <f t="shared" si="358"/>
        <v>26</v>
      </c>
      <c r="Q1178" s="185">
        <f t="shared" si="359"/>
        <v>26</v>
      </c>
      <c r="R1178" s="162" t="b">
        <f t="shared" si="360"/>
        <v>0</v>
      </c>
    </row>
    <row r="1179" spans="1:18">
      <c r="A1179" s="129" t="s">
        <v>414</v>
      </c>
      <c r="B1179" s="129" t="s">
        <v>3890</v>
      </c>
      <c r="C1179" s="129">
        <v>6689</v>
      </c>
      <c r="D1179" s="129" t="s">
        <v>2876</v>
      </c>
      <c r="E1179" s="129">
        <v>400</v>
      </c>
      <c r="F1179" s="129">
        <v>0</v>
      </c>
      <c r="G1179" s="129">
        <v>281</v>
      </c>
      <c r="H1179" s="129">
        <v>0</v>
      </c>
      <c r="I1179" s="129">
        <v>70.3</v>
      </c>
      <c r="J1179" s="129">
        <v>29.5</v>
      </c>
      <c r="K1179" s="129">
        <v>0</v>
      </c>
      <c r="L1179" s="129">
        <f t="shared" si="354"/>
        <v>400</v>
      </c>
      <c r="M1179" s="129">
        <f t="shared" si="355"/>
        <v>281</v>
      </c>
      <c r="N1179" s="128">
        <f t="shared" si="356"/>
        <v>0.70250000000000001</v>
      </c>
      <c r="O1179" s="164">
        <f t="shared" si="357"/>
        <v>0</v>
      </c>
      <c r="P1179" s="185">
        <f t="shared" si="358"/>
        <v>29.5</v>
      </c>
      <c r="Q1179" s="185">
        <f t="shared" si="359"/>
        <v>29.5</v>
      </c>
      <c r="R1179" s="162" t="b">
        <f t="shared" si="360"/>
        <v>0</v>
      </c>
    </row>
    <row r="1180" spans="1:18">
      <c r="A1180" s="129" t="s">
        <v>414</v>
      </c>
      <c r="B1180" s="129" t="s">
        <v>3890</v>
      </c>
      <c r="C1180" s="129">
        <v>6707</v>
      </c>
      <c r="D1180" s="129" t="s">
        <v>2878</v>
      </c>
      <c r="E1180" s="129">
        <v>761</v>
      </c>
      <c r="F1180" s="129">
        <v>0</v>
      </c>
      <c r="G1180" s="129">
        <v>520</v>
      </c>
      <c r="H1180" s="129">
        <v>0</v>
      </c>
      <c r="I1180" s="129">
        <v>68.3</v>
      </c>
      <c r="J1180" s="129">
        <v>54.6</v>
      </c>
      <c r="K1180" s="129">
        <v>0</v>
      </c>
      <c r="L1180" s="129">
        <f t="shared" si="354"/>
        <v>761</v>
      </c>
      <c r="M1180" s="129">
        <f t="shared" si="355"/>
        <v>520</v>
      </c>
      <c r="N1180" s="128">
        <f t="shared" si="356"/>
        <v>0.68330000000000002</v>
      </c>
      <c r="O1180" s="164">
        <f t="shared" si="357"/>
        <v>0</v>
      </c>
      <c r="P1180" s="185">
        <f t="shared" si="358"/>
        <v>54.6</v>
      </c>
      <c r="Q1180" s="185">
        <f t="shared" si="359"/>
        <v>54.6</v>
      </c>
      <c r="R1180" s="162" t="b">
        <f t="shared" si="360"/>
        <v>0</v>
      </c>
    </row>
    <row r="1181" spans="1:18">
      <c r="A1181" s="129" t="s">
        <v>421</v>
      </c>
      <c r="B1181" s="129" t="s">
        <v>3897</v>
      </c>
      <c r="C1181" s="129">
        <v>6938</v>
      </c>
      <c r="D1181" s="129" t="s">
        <v>2914</v>
      </c>
      <c r="E1181" s="129">
        <v>532</v>
      </c>
      <c r="F1181" s="129">
        <v>0</v>
      </c>
      <c r="G1181" s="129">
        <v>141</v>
      </c>
      <c r="H1181" s="129">
        <v>0</v>
      </c>
      <c r="I1181" s="129">
        <v>26.5</v>
      </c>
      <c r="J1181" s="129">
        <v>0</v>
      </c>
      <c r="K1181" s="129">
        <v>0</v>
      </c>
      <c r="L1181" s="129">
        <f t="shared" si="354"/>
        <v>532</v>
      </c>
      <c r="M1181" s="129">
        <f t="shared" si="355"/>
        <v>141</v>
      </c>
      <c r="N1181" s="128">
        <f t="shared" si="356"/>
        <v>0.26500000000000001</v>
      </c>
      <c r="O1181" s="164">
        <f t="shared" si="357"/>
        <v>0</v>
      </c>
      <c r="P1181" s="185">
        <f t="shared" si="358"/>
        <v>0</v>
      </c>
      <c r="Q1181" s="185">
        <f t="shared" si="359"/>
        <v>0</v>
      </c>
      <c r="R1181" s="162" t="b">
        <f t="shared" si="360"/>
        <v>0</v>
      </c>
    </row>
    <row r="1182" spans="1:18">
      <c r="A1182" s="129" t="s">
        <v>421</v>
      </c>
      <c r="B1182" s="129" t="s">
        <v>3897</v>
      </c>
      <c r="C1182" s="129">
        <v>6940</v>
      </c>
      <c r="D1182" s="129" t="s">
        <v>2916</v>
      </c>
      <c r="E1182" s="129">
        <v>430</v>
      </c>
      <c r="F1182" s="129">
        <v>0</v>
      </c>
      <c r="G1182" s="129">
        <v>127</v>
      </c>
      <c r="H1182" s="129">
        <v>0</v>
      </c>
      <c r="I1182" s="129">
        <v>29.5</v>
      </c>
      <c r="J1182" s="129">
        <v>0</v>
      </c>
      <c r="K1182" s="129">
        <v>0</v>
      </c>
      <c r="L1182" s="129">
        <f t="shared" si="354"/>
        <v>430</v>
      </c>
      <c r="M1182" s="129">
        <f t="shared" si="355"/>
        <v>127</v>
      </c>
      <c r="N1182" s="128">
        <f t="shared" si="356"/>
        <v>0.29530000000000001</v>
      </c>
      <c r="O1182" s="164">
        <f t="shared" si="357"/>
        <v>0</v>
      </c>
      <c r="P1182" s="185">
        <f t="shared" si="358"/>
        <v>0</v>
      </c>
      <c r="Q1182" s="185">
        <f t="shared" si="359"/>
        <v>0</v>
      </c>
      <c r="R1182" s="162" t="b">
        <f t="shared" si="360"/>
        <v>0</v>
      </c>
    </row>
    <row r="1183" spans="1:18">
      <c r="A1183" s="129" t="s">
        <v>421</v>
      </c>
      <c r="B1183" s="129" t="s">
        <v>3897</v>
      </c>
      <c r="C1183" s="129">
        <v>6944</v>
      </c>
      <c r="D1183" s="129" t="s">
        <v>2918</v>
      </c>
      <c r="E1183" s="129">
        <v>1182</v>
      </c>
      <c r="F1183" s="129">
        <v>0</v>
      </c>
      <c r="G1183" s="129">
        <v>331</v>
      </c>
      <c r="H1183" s="129">
        <v>0</v>
      </c>
      <c r="I1183" s="129">
        <v>28</v>
      </c>
      <c r="J1183" s="129">
        <v>0</v>
      </c>
      <c r="K1183" s="129">
        <v>0</v>
      </c>
      <c r="L1183" s="129">
        <f t="shared" si="354"/>
        <v>1182</v>
      </c>
      <c r="M1183" s="129">
        <f t="shared" si="355"/>
        <v>331</v>
      </c>
      <c r="N1183" s="128">
        <f t="shared" si="356"/>
        <v>0.28000000000000003</v>
      </c>
      <c r="O1183" s="164">
        <f t="shared" si="357"/>
        <v>0</v>
      </c>
      <c r="P1183" s="185">
        <f t="shared" si="358"/>
        <v>0</v>
      </c>
      <c r="Q1183" s="185">
        <f t="shared" si="359"/>
        <v>0</v>
      </c>
      <c r="R1183" s="162" t="b">
        <f t="shared" si="360"/>
        <v>0</v>
      </c>
    </row>
    <row r="1184" spans="1:18">
      <c r="A1184" s="129" t="s">
        <v>421</v>
      </c>
      <c r="B1184" s="129" t="s">
        <v>3897</v>
      </c>
      <c r="C1184" s="129">
        <v>6945</v>
      </c>
      <c r="D1184" s="129" t="s">
        <v>2920</v>
      </c>
      <c r="E1184" s="129">
        <v>514</v>
      </c>
      <c r="F1184" s="129">
        <v>0</v>
      </c>
      <c r="G1184" s="129">
        <v>177</v>
      </c>
      <c r="H1184" s="129">
        <v>0</v>
      </c>
      <c r="I1184" s="129">
        <v>34.4</v>
      </c>
      <c r="J1184" s="129">
        <v>0</v>
      </c>
      <c r="K1184" s="129">
        <v>0</v>
      </c>
      <c r="L1184" s="129">
        <f t="shared" si="354"/>
        <v>514</v>
      </c>
      <c r="M1184" s="129">
        <f t="shared" si="355"/>
        <v>177</v>
      </c>
      <c r="N1184" s="128">
        <f t="shared" si="356"/>
        <v>0.34439999999999998</v>
      </c>
      <c r="O1184" s="164">
        <f t="shared" si="357"/>
        <v>0</v>
      </c>
      <c r="P1184" s="185">
        <f t="shared" si="358"/>
        <v>0</v>
      </c>
      <c r="Q1184" s="185">
        <f t="shared" si="359"/>
        <v>0</v>
      </c>
      <c r="R1184" s="162" t="b">
        <f t="shared" si="360"/>
        <v>0</v>
      </c>
    </row>
    <row r="1185" spans="1:18">
      <c r="A1185" s="129" t="s">
        <v>421</v>
      </c>
      <c r="B1185" s="129" t="s">
        <v>3897</v>
      </c>
      <c r="C1185" s="129">
        <v>6946</v>
      </c>
      <c r="D1185" s="129" t="s">
        <v>2922</v>
      </c>
      <c r="E1185" s="129">
        <v>453</v>
      </c>
      <c r="F1185" s="129">
        <v>0</v>
      </c>
      <c r="G1185" s="129">
        <v>208</v>
      </c>
      <c r="H1185" s="129">
        <v>0</v>
      </c>
      <c r="I1185" s="129">
        <v>45.9</v>
      </c>
      <c r="J1185" s="129">
        <v>0</v>
      </c>
      <c r="K1185" s="129">
        <v>15.9</v>
      </c>
      <c r="L1185" s="129">
        <f t="shared" si="354"/>
        <v>453</v>
      </c>
      <c r="M1185" s="129">
        <f t="shared" si="355"/>
        <v>208</v>
      </c>
      <c r="N1185" s="128">
        <f t="shared" si="356"/>
        <v>0.4592</v>
      </c>
      <c r="O1185" s="164">
        <f t="shared" si="357"/>
        <v>15.9</v>
      </c>
      <c r="P1185" s="185">
        <f t="shared" si="358"/>
        <v>0</v>
      </c>
      <c r="Q1185" s="185">
        <f t="shared" si="359"/>
        <v>15.9</v>
      </c>
      <c r="R1185" s="162" t="b">
        <f t="shared" si="360"/>
        <v>0</v>
      </c>
    </row>
    <row r="1186" spans="1:18">
      <c r="A1186" s="129" t="s">
        <v>421</v>
      </c>
      <c r="B1186" s="129" t="s">
        <v>3897</v>
      </c>
      <c r="C1186" s="129">
        <v>6948</v>
      </c>
      <c r="D1186" s="129" t="s">
        <v>2924</v>
      </c>
      <c r="E1186" s="129">
        <v>462</v>
      </c>
      <c r="F1186" s="129">
        <v>0</v>
      </c>
      <c r="G1186" s="129">
        <v>158</v>
      </c>
      <c r="H1186" s="129">
        <v>0</v>
      </c>
      <c r="I1186" s="129">
        <v>34.200000000000003</v>
      </c>
      <c r="J1186" s="129">
        <v>0</v>
      </c>
      <c r="K1186" s="129">
        <v>0</v>
      </c>
      <c r="L1186" s="129">
        <f t="shared" si="354"/>
        <v>462</v>
      </c>
      <c r="M1186" s="129">
        <f t="shared" si="355"/>
        <v>158</v>
      </c>
      <c r="N1186" s="128">
        <f t="shared" si="356"/>
        <v>0.34200000000000003</v>
      </c>
      <c r="O1186" s="164">
        <f t="shared" si="357"/>
        <v>0</v>
      </c>
      <c r="P1186" s="185">
        <f t="shared" si="358"/>
        <v>0</v>
      </c>
      <c r="Q1186" s="185">
        <f t="shared" si="359"/>
        <v>0</v>
      </c>
      <c r="R1186" s="162" t="b">
        <f t="shared" si="360"/>
        <v>0</v>
      </c>
    </row>
    <row r="1187" spans="1:18">
      <c r="A1187" s="129" t="s">
        <v>427</v>
      </c>
      <c r="B1187" s="129" t="s">
        <v>3902</v>
      </c>
      <c r="C1187" s="129">
        <v>7160</v>
      </c>
      <c r="D1187" s="129" t="s">
        <v>2988</v>
      </c>
      <c r="E1187" s="129">
        <v>505</v>
      </c>
      <c r="F1187" s="129">
        <v>0</v>
      </c>
      <c r="G1187" s="129">
        <v>83</v>
      </c>
      <c r="H1187" s="129">
        <v>0</v>
      </c>
      <c r="I1187" s="129">
        <v>16.399999999999999</v>
      </c>
      <c r="J1187" s="129">
        <v>0</v>
      </c>
      <c r="K1187" s="129">
        <v>0</v>
      </c>
      <c r="L1187" s="129">
        <f t="shared" si="354"/>
        <v>505</v>
      </c>
      <c r="M1187" s="129">
        <f t="shared" si="355"/>
        <v>83</v>
      </c>
      <c r="N1187" s="128">
        <f t="shared" si="356"/>
        <v>0.16439999999999999</v>
      </c>
      <c r="O1187" s="164">
        <f t="shared" si="357"/>
        <v>0</v>
      </c>
      <c r="P1187" s="185">
        <f t="shared" si="358"/>
        <v>0</v>
      </c>
      <c r="Q1187" s="185">
        <f t="shared" si="359"/>
        <v>0</v>
      </c>
      <c r="R1187" s="162" t="b">
        <f t="shared" si="360"/>
        <v>0</v>
      </c>
    </row>
    <row r="1188" spans="1:18">
      <c r="A1188" s="129" t="s">
        <v>427</v>
      </c>
      <c r="B1188" s="129" t="s">
        <v>3902</v>
      </c>
      <c r="C1188" s="129">
        <v>7164</v>
      </c>
      <c r="D1188" s="129" t="s">
        <v>2990</v>
      </c>
      <c r="E1188" s="129">
        <v>912</v>
      </c>
      <c r="F1188" s="129">
        <v>0</v>
      </c>
      <c r="G1188" s="129">
        <v>122</v>
      </c>
      <c r="H1188" s="129">
        <v>0</v>
      </c>
      <c r="I1188" s="129">
        <v>13.4</v>
      </c>
      <c r="J1188" s="129">
        <v>0</v>
      </c>
      <c r="K1188" s="129">
        <v>0</v>
      </c>
      <c r="L1188" s="129">
        <f t="shared" si="354"/>
        <v>912</v>
      </c>
      <c r="M1188" s="129">
        <f t="shared" si="355"/>
        <v>122</v>
      </c>
      <c r="N1188" s="128">
        <f t="shared" si="356"/>
        <v>0.1338</v>
      </c>
      <c r="O1188" s="164">
        <f t="shared" si="357"/>
        <v>0</v>
      </c>
      <c r="P1188" s="185">
        <f t="shared" si="358"/>
        <v>0</v>
      </c>
      <c r="Q1188" s="185">
        <f t="shared" si="359"/>
        <v>0</v>
      </c>
      <c r="R1188" s="162" t="b">
        <f t="shared" si="360"/>
        <v>0</v>
      </c>
    </row>
    <row r="1189" spans="1:18">
      <c r="A1189" s="129" t="s">
        <v>427</v>
      </c>
      <c r="B1189" s="129" t="s">
        <v>3902</v>
      </c>
      <c r="C1189" s="129">
        <v>7170</v>
      </c>
      <c r="D1189" s="129" t="s">
        <v>2992</v>
      </c>
      <c r="E1189" s="129">
        <v>248</v>
      </c>
      <c r="F1189" s="129">
        <v>0</v>
      </c>
      <c r="G1189" s="129">
        <v>46</v>
      </c>
      <c r="H1189" s="129">
        <v>0</v>
      </c>
      <c r="I1189" s="129">
        <v>18.600000000000001</v>
      </c>
      <c r="J1189" s="129">
        <v>0</v>
      </c>
      <c r="K1189" s="129">
        <v>0</v>
      </c>
      <c r="L1189" s="129">
        <f t="shared" si="354"/>
        <v>248</v>
      </c>
      <c r="M1189" s="129">
        <f t="shared" si="355"/>
        <v>46</v>
      </c>
      <c r="N1189" s="128">
        <f t="shared" si="356"/>
        <v>0.1855</v>
      </c>
      <c r="O1189" s="164">
        <f t="shared" si="357"/>
        <v>0</v>
      </c>
      <c r="P1189" s="185">
        <f t="shared" si="358"/>
        <v>0</v>
      </c>
      <c r="Q1189" s="185">
        <f t="shared" si="359"/>
        <v>0</v>
      </c>
      <c r="R1189" s="162" t="b">
        <f t="shared" si="360"/>
        <v>0</v>
      </c>
    </row>
    <row r="1190" spans="1:18">
      <c r="A1190" s="129" t="s">
        <v>427</v>
      </c>
      <c r="B1190" s="129" t="s">
        <v>3902</v>
      </c>
      <c r="C1190" s="129">
        <v>7172</v>
      </c>
      <c r="D1190" s="129" t="s">
        <v>2994</v>
      </c>
      <c r="E1190" s="129">
        <v>669</v>
      </c>
      <c r="F1190" s="129">
        <v>0</v>
      </c>
      <c r="G1190" s="129">
        <v>106</v>
      </c>
      <c r="H1190" s="129">
        <v>0</v>
      </c>
      <c r="I1190" s="129">
        <v>15.8</v>
      </c>
      <c r="J1190" s="129">
        <v>0</v>
      </c>
      <c r="K1190" s="129">
        <v>0</v>
      </c>
      <c r="L1190" s="129">
        <f t="shared" si="354"/>
        <v>669</v>
      </c>
      <c r="M1190" s="129">
        <f t="shared" si="355"/>
        <v>106</v>
      </c>
      <c r="N1190" s="128">
        <f t="shared" si="356"/>
        <v>0.15840000000000001</v>
      </c>
      <c r="O1190" s="164">
        <f t="shared" si="357"/>
        <v>0</v>
      </c>
      <c r="P1190" s="185">
        <f t="shared" si="358"/>
        <v>0</v>
      </c>
      <c r="Q1190" s="185">
        <f t="shared" si="359"/>
        <v>0</v>
      </c>
      <c r="R1190" s="162" t="b">
        <f t="shared" si="360"/>
        <v>0</v>
      </c>
    </row>
    <row r="1191" spans="1:18">
      <c r="A1191" s="129" t="s">
        <v>427</v>
      </c>
      <c r="B1191" s="129" t="s">
        <v>3902</v>
      </c>
      <c r="C1191" s="129">
        <v>7175</v>
      </c>
      <c r="D1191" s="129" t="s">
        <v>2996</v>
      </c>
      <c r="E1191" s="129">
        <v>313</v>
      </c>
      <c r="F1191" s="129">
        <v>0</v>
      </c>
      <c r="G1191" s="129">
        <v>48</v>
      </c>
      <c r="H1191" s="129">
        <v>0</v>
      </c>
      <c r="I1191" s="129">
        <v>15.3</v>
      </c>
      <c r="J1191" s="129">
        <v>0</v>
      </c>
      <c r="K1191" s="129">
        <v>0</v>
      </c>
      <c r="L1191" s="129">
        <f t="shared" si="354"/>
        <v>313</v>
      </c>
      <c r="M1191" s="129">
        <f t="shared" si="355"/>
        <v>48</v>
      </c>
      <c r="N1191" s="128">
        <f t="shared" si="356"/>
        <v>0.15340000000000001</v>
      </c>
      <c r="O1191" s="164">
        <f t="shared" si="357"/>
        <v>0</v>
      </c>
      <c r="P1191" s="185">
        <f t="shared" si="358"/>
        <v>0</v>
      </c>
      <c r="Q1191" s="185">
        <f t="shared" si="359"/>
        <v>0</v>
      </c>
      <c r="R1191" s="162" t="b">
        <f t="shared" si="360"/>
        <v>0</v>
      </c>
    </row>
    <row r="1192" spans="1:18">
      <c r="A1192" s="129" t="s">
        <v>427</v>
      </c>
      <c r="B1192" s="129" t="s">
        <v>3902</v>
      </c>
      <c r="C1192" s="129">
        <v>7181</v>
      </c>
      <c r="D1192" s="129" t="s">
        <v>2998</v>
      </c>
      <c r="E1192" s="129">
        <v>252</v>
      </c>
      <c r="F1192" s="129">
        <v>0</v>
      </c>
      <c r="G1192" s="129">
        <v>35</v>
      </c>
      <c r="H1192" s="129">
        <v>0</v>
      </c>
      <c r="I1192" s="129">
        <v>13.9</v>
      </c>
      <c r="J1192" s="129">
        <v>0</v>
      </c>
      <c r="K1192" s="129">
        <v>0</v>
      </c>
      <c r="L1192" s="129">
        <f t="shared" si="354"/>
        <v>252</v>
      </c>
      <c r="M1192" s="129">
        <f t="shared" si="355"/>
        <v>35</v>
      </c>
      <c r="N1192" s="128">
        <f t="shared" si="356"/>
        <v>0.1389</v>
      </c>
      <c r="O1192" s="164">
        <f t="shared" si="357"/>
        <v>0</v>
      </c>
      <c r="P1192" s="185">
        <f t="shared" si="358"/>
        <v>0</v>
      </c>
      <c r="Q1192" s="185">
        <f t="shared" si="359"/>
        <v>0</v>
      </c>
      <c r="R1192" s="162" t="b">
        <f t="shared" si="360"/>
        <v>0</v>
      </c>
    </row>
    <row r="1193" spans="1:18">
      <c r="A1193" s="129" t="s">
        <v>454</v>
      </c>
      <c r="B1193" s="129" t="s">
        <v>3929</v>
      </c>
      <c r="C1193" s="129">
        <v>7990</v>
      </c>
      <c r="D1193" s="129" t="s">
        <v>3095</v>
      </c>
      <c r="E1193" s="129">
        <v>250</v>
      </c>
      <c r="F1193" s="129">
        <v>0</v>
      </c>
      <c r="G1193" s="129">
        <v>84</v>
      </c>
      <c r="H1193" s="129">
        <v>0</v>
      </c>
      <c r="I1193" s="129">
        <v>33.6</v>
      </c>
      <c r="J1193" s="129">
        <v>0</v>
      </c>
      <c r="K1193" s="129">
        <v>0</v>
      </c>
      <c r="L1193" s="129">
        <f t="shared" si="354"/>
        <v>250</v>
      </c>
      <c r="M1193" s="129">
        <f t="shared" si="355"/>
        <v>84</v>
      </c>
      <c r="N1193" s="128">
        <f t="shared" si="356"/>
        <v>0.33600000000000002</v>
      </c>
      <c r="O1193" s="164">
        <f t="shared" si="357"/>
        <v>0</v>
      </c>
      <c r="P1193" s="185">
        <f t="shared" si="358"/>
        <v>0</v>
      </c>
      <c r="Q1193" s="185">
        <f t="shared" si="359"/>
        <v>0</v>
      </c>
      <c r="R1193" s="162" t="b">
        <f t="shared" si="360"/>
        <v>0</v>
      </c>
    </row>
    <row r="1194" spans="1:18">
      <c r="A1194" s="129" t="s">
        <v>454</v>
      </c>
      <c r="B1194" s="129" t="s">
        <v>3929</v>
      </c>
      <c r="C1194" s="129">
        <v>8000</v>
      </c>
      <c r="D1194" s="129" t="s">
        <v>3187</v>
      </c>
      <c r="E1194" s="129">
        <v>425</v>
      </c>
      <c r="F1194" s="129">
        <v>0</v>
      </c>
      <c r="G1194" s="129">
        <v>246</v>
      </c>
      <c r="H1194" s="129">
        <v>0</v>
      </c>
      <c r="I1194" s="129">
        <v>57.9</v>
      </c>
      <c r="J1194" s="129">
        <v>25.8</v>
      </c>
      <c r="K1194" s="129">
        <v>0</v>
      </c>
      <c r="L1194" s="129">
        <f t="shared" si="354"/>
        <v>425</v>
      </c>
      <c r="M1194" s="129">
        <f t="shared" si="355"/>
        <v>246</v>
      </c>
      <c r="N1194" s="128">
        <f t="shared" si="356"/>
        <v>0.57879999999999998</v>
      </c>
      <c r="O1194" s="164">
        <f t="shared" si="357"/>
        <v>0</v>
      </c>
      <c r="P1194" s="185">
        <f t="shared" si="358"/>
        <v>25.8</v>
      </c>
      <c r="Q1194" s="185">
        <f t="shared" si="359"/>
        <v>25.8</v>
      </c>
      <c r="R1194" s="162" t="b">
        <f t="shared" si="360"/>
        <v>0</v>
      </c>
    </row>
    <row r="1195" spans="1:18">
      <c r="A1195" s="129" t="s">
        <v>454</v>
      </c>
      <c r="B1195" s="129" t="s">
        <v>3929</v>
      </c>
      <c r="C1195" s="129">
        <v>8002</v>
      </c>
      <c r="D1195" s="129" t="s">
        <v>3189</v>
      </c>
      <c r="E1195" s="129">
        <v>510</v>
      </c>
      <c r="F1195" s="129">
        <v>0</v>
      </c>
      <c r="G1195" s="129">
        <v>250</v>
      </c>
      <c r="H1195" s="129">
        <v>0</v>
      </c>
      <c r="I1195" s="129">
        <v>49</v>
      </c>
      <c r="J1195" s="129">
        <v>0</v>
      </c>
      <c r="K1195" s="129">
        <v>24.5</v>
      </c>
      <c r="L1195" s="129">
        <f t="shared" si="354"/>
        <v>510</v>
      </c>
      <c r="M1195" s="129">
        <f t="shared" si="355"/>
        <v>250</v>
      </c>
      <c r="N1195" s="128">
        <f t="shared" si="356"/>
        <v>0.49020000000000002</v>
      </c>
      <c r="O1195" s="164">
        <f t="shared" si="357"/>
        <v>24.5</v>
      </c>
      <c r="P1195" s="185">
        <f t="shared" si="358"/>
        <v>0</v>
      </c>
      <c r="Q1195" s="185">
        <f t="shared" si="359"/>
        <v>24.5</v>
      </c>
      <c r="R1195" s="162" t="b">
        <f t="shared" si="360"/>
        <v>0</v>
      </c>
    </row>
    <row r="1196" spans="1:18">
      <c r="A1196" s="129" t="s">
        <v>454</v>
      </c>
      <c r="B1196" s="129" t="s">
        <v>3929</v>
      </c>
      <c r="C1196" s="129">
        <v>8009</v>
      </c>
      <c r="D1196" s="129" t="s">
        <v>3191</v>
      </c>
      <c r="E1196" s="129">
        <v>237</v>
      </c>
      <c r="F1196" s="129">
        <v>0</v>
      </c>
      <c r="G1196" s="129">
        <v>176</v>
      </c>
      <c r="H1196" s="129">
        <v>0</v>
      </c>
      <c r="I1196" s="129">
        <v>74.3</v>
      </c>
      <c r="J1196" s="129">
        <v>18.5</v>
      </c>
      <c r="K1196" s="129">
        <v>0</v>
      </c>
      <c r="L1196" s="129">
        <f t="shared" si="354"/>
        <v>237</v>
      </c>
      <c r="M1196" s="129">
        <f t="shared" si="355"/>
        <v>176</v>
      </c>
      <c r="N1196" s="128">
        <f t="shared" si="356"/>
        <v>0.74260000000000004</v>
      </c>
      <c r="O1196" s="164">
        <f t="shared" si="357"/>
        <v>0</v>
      </c>
      <c r="P1196" s="185">
        <f t="shared" si="358"/>
        <v>18.5</v>
      </c>
      <c r="Q1196" s="185">
        <f t="shared" si="359"/>
        <v>18.5</v>
      </c>
      <c r="R1196" s="162" t="b">
        <f t="shared" si="360"/>
        <v>0</v>
      </c>
    </row>
    <row r="1197" spans="1:18">
      <c r="A1197" s="129" t="s">
        <v>454</v>
      </c>
      <c r="B1197" s="129" t="s">
        <v>3929</v>
      </c>
      <c r="C1197" s="129">
        <v>8011</v>
      </c>
      <c r="D1197" s="129" t="s">
        <v>3193</v>
      </c>
      <c r="E1197" s="129">
        <v>327</v>
      </c>
      <c r="F1197" s="129">
        <v>0</v>
      </c>
      <c r="G1197" s="129">
        <v>258</v>
      </c>
      <c r="H1197" s="129">
        <v>0</v>
      </c>
      <c r="I1197" s="129">
        <v>78.900000000000006</v>
      </c>
      <c r="J1197" s="129">
        <v>27.1</v>
      </c>
      <c r="K1197" s="129">
        <v>0</v>
      </c>
      <c r="L1197" s="129">
        <f t="shared" si="354"/>
        <v>327</v>
      </c>
      <c r="M1197" s="129">
        <f t="shared" si="355"/>
        <v>258</v>
      </c>
      <c r="N1197" s="128">
        <f t="shared" si="356"/>
        <v>0.78900000000000003</v>
      </c>
      <c r="O1197" s="164">
        <f t="shared" si="357"/>
        <v>0</v>
      </c>
      <c r="P1197" s="185">
        <f t="shared" si="358"/>
        <v>27.1</v>
      </c>
      <c r="Q1197" s="185">
        <f t="shared" si="359"/>
        <v>27.1</v>
      </c>
      <c r="R1197" s="162" t="b">
        <f t="shared" si="360"/>
        <v>0</v>
      </c>
    </row>
    <row r="1198" spans="1:18">
      <c r="A1198" s="129" t="s">
        <v>465</v>
      </c>
      <c r="B1198" s="129" t="s">
        <v>4138</v>
      </c>
      <c r="C1198" s="129">
        <v>8446</v>
      </c>
      <c r="D1198" s="129" t="s">
        <v>3356</v>
      </c>
      <c r="E1198" s="129">
        <v>17</v>
      </c>
      <c r="F1198" s="129">
        <v>0</v>
      </c>
      <c r="G1198" s="129">
        <v>3</v>
      </c>
      <c r="H1198" s="129">
        <v>0</v>
      </c>
      <c r="I1198" s="129">
        <v>17.7</v>
      </c>
      <c r="J1198" s="129">
        <v>0</v>
      </c>
      <c r="K1198" s="129">
        <v>0</v>
      </c>
      <c r="L1198" s="129">
        <f t="shared" si="354"/>
        <v>17</v>
      </c>
      <c r="M1198" s="129">
        <f t="shared" si="355"/>
        <v>3</v>
      </c>
      <c r="N1198" s="128">
        <f t="shared" si="356"/>
        <v>0.17649999999999999</v>
      </c>
      <c r="O1198" s="164">
        <f t="shared" si="357"/>
        <v>0</v>
      </c>
      <c r="P1198" s="185">
        <f t="shared" si="358"/>
        <v>0</v>
      </c>
      <c r="Q1198" s="185">
        <f t="shared" si="359"/>
        <v>0</v>
      </c>
      <c r="R1198" s="162" t="b">
        <f t="shared" si="360"/>
        <v>0</v>
      </c>
    </row>
    <row r="1199" spans="1:18">
      <c r="A1199" s="129" t="s">
        <v>465</v>
      </c>
      <c r="B1199" s="129" t="s">
        <v>4138</v>
      </c>
      <c r="C1199" s="129">
        <v>8452</v>
      </c>
      <c r="D1199" s="129" t="s">
        <v>3358</v>
      </c>
      <c r="E1199" s="129">
        <v>368</v>
      </c>
      <c r="F1199" s="129">
        <v>0</v>
      </c>
      <c r="G1199" s="129">
        <v>312</v>
      </c>
      <c r="H1199" s="129">
        <v>0</v>
      </c>
      <c r="I1199" s="129">
        <v>84.8</v>
      </c>
      <c r="J1199" s="129">
        <v>32.799999999999997</v>
      </c>
      <c r="K1199" s="129">
        <v>0</v>
      </c>
      <c r="L1199" s="129">
        <f t="shared" ref="L1199:L1260" si="361">SUM(E1199:F1199)</f>
        <v>368</v>
      </c>
      <c r="M1199" s="129">
        <f t="shared" ref="M1199:M1260" si="362">SUM(G1199:H1199)</f>
        <v>312</v>
      </c>
      <c r="N1199" s="128">
        <f t="shared" ref="N1199:N1260" si="363">IF(ISERROR(M1199/L1199),0,M1199/L1199)</f>
        <v>0.8478</v>
      </c>
      <c r="O1199" s="164">
        <f t="shared" ref="O1199:O1260" si="364">IF(AND((N1199-35%)&gt;0,N1199&lt;50%),M1199*(N1199-35%)*0.7,0)</f>
        <v>0</v>
      </c>
      <c r="P1199" s="185">
        <f t="shared" ref="P1199:P1260" si="365">IF(N1199&gt;=50%,M1199*10.5%,0)</f>
        <v>32.799999999999997</v>
      </c>
      <c r="Q1199" s="185">
        <f t="shared" ref="Q1199:Q1260" si="366">MAX(O1199,P1199)</f>
        <v>32.799999999999997</v>
      </c>
      <c r="R1199" s="162" t="b">
        <f t="shared" si="360"/>
        <v>0</v>
      </c>
    </row>
    <row r="1200" spans="1:18">
      <c r="A1200" s="129" t="s">
        <v>465</v>
      </c>
      <c r="B1200" s="129" t="s">
        <v>4138</v>
      </c>
      <c r="C1200" s="129">
        <v>8453</v>
      </c>
      <c r="D1200" s="129" t="s">
        <v>3360</v>
      </c>
      <c r="E1200" s="129">
        <v>714</v>
      </c>
      <c r="F1200" s="129">
        <v>0</v>
      </c>
      <c r="G1200" s="129">
        <v>463</v>
      </c>
      <c r="H1200" s="129">
        <v>0</v>
      </c>
      <c r="I1200" s="129">
        <v>64.900000000000006</v>
      </c>
      <c r="J1200" s="129">
        <v>48.6</v>
      </c>
      <c r="K1200" s="129">
        <v>0</v>
      </c>
      <c r="L1200" s="129">
        <f t="shared" si="361"/>
        <v>714</v>
      </c>
      <c r="M1200" s="129">
        <f t="shared" si="362"/>
        <v>463</v>
      </c>
      <c r="N1200" s="128">
        <f t="shared" si="363"/>
        <v>0.64849999999999997</v>
      </c>
      <c r="O1200" s="164">
        <f t="shared" si="364"/>
        <v>0</v>
      </c>
      <c r="P1200" s="185">
        <f t="shared" si="365"/>
        <v>48.6</v>
      </c>
      <c r="Q1200" s="185">
        <f t="shared" si="366"/>
        <v>48.6</v>
      </c>
      <c r="R1200" s="162" t="b">
        <f t="shared" si="360"/>
        <v>0</v>
      </c>
    </row>
    <row r="1201" spans="1:18">
      <c r="A1201" s="129" t="s">
        <v>465</v>
      </c>
      <c r="B1201" s="129" t="s">
        <v>4138</v>
      </c>
      <c r="C1201" s="129">
        <v>8462</v>
      </c>
      <c r="D1201" s="129" t="s">
        <v>3362</v>
      </c>
      <c r="E1201" s="129">
        <v>308</v>
      </c>
      <c r="F1201" s="129">
        <v>0</v>
      </c>
      <c r="G1201" s="129">
        <v>262</v>
      </c>
      <c r="H1201" s="129">
        <v>0</v>
      </c>
      <c r="I1201" s="129">
        <v>85.1</v>
      </c>
      <c r="J1201" s="129">
        <v>27.5</v>
      </c>
      <c r="K1201" s="129">
        <v>0</v>
      </c>
      <c r="L1201" s="129">
        <f t="shared" si="361"/>
        <v>308</v>
      </c>
      <c r="M1201" s="129">
        <f t="shared" si="362"/>
        <v>262</v>
      </c>
      <c r="N1201" s="128">
        <f t="shared" si="363"/>
        <v>0.85060000000000002</v>
      </c>
      <c r="O1201" s="164">
        <f t="shared" si="364"/>
        <v>0</v>
      </c>
      <c r="P1201" s="185">
        <f t="shared" si="365"/>
        <v>27.5</v>
      </c>
      <c r="Q1201" s="185">
        <f t="shared" si="366"/>
        <v>27.5</v>
      </c>
      <c r="R1201" s="162" t="b">
        <f t="shared" si="360"/>
        <v>0</v>
      </c>
    </row>
    <row r="1202" spans="1:18">
      <c r="A1202" s="129" t="s">
        <v>465</v>
      </c>
      <c r="B1202" s="129" t="s">
        <v>4138</v>
      </c>
      <c r="C1202" s="129">
        <v>8465</v>
      </c>
      <c r="D1202" s="129" t="s">
        <v>3364</v>
      </c>
      <c r="E1202" s="129">
        <v>531</v>
      </c>
      <c r="F1202" s="129">
        <v>0</v>
      </c>
      <c r="G1202" s="129">
        <v>431</v>
      </c>
      <c r="H1202" s="129">
        <v>0</v>
      </c>
      <c r="I1202" s="129">
        <v>81.2</v>
      </c>
      <c r="J1202" s="129">
        <v>45.3</v>
      </c>
      <c r="K1202" s="129">
        <v>0</v>
      </c>
      <c r="L1202" s="129">
        <f t="shared" si="361"/>
        <v>531</v>
      </c>
      <c r="M1202" s="129">
        <f t="shared" si="362"/>
        <v>431</v>
      </c>
      <c r="N1202" s="128">
        <f t="shared" si="363"/>
        <v>0.81169999999999998</v>
      </c>
      <c r="O1202" s="164">
        <f t="shared" si="364"/>
        <v>0</v>
      </c>
      <c r="P1202" s="185">
        <f t="shared" si="365"/>
        <v>45.3</v>
      </c>
      <c r="Q1202" s="185">
        <f t="shared" si="366"/>
        <v>45.3</v>
      </c>
      <c r="R1202" s="162" t="b">
        <f t="shared" si="360"/>
        <v>0</v>
      </c>
    </row>
    <row r="1203" spans="1:18">
      <c r="A1203" s="129" t="s">
        <v>465</v>
      </c>
      <c r="B1203" s="129" t="s">
        <v>4138</v>
      </c>
      <c r="C1203" s="129">
        <v>8467</v>
      </c>
      <c r="D1203" s="129" t="s">
        <v>3366</v>
      </c>
      <c r="E1203" s="129">
        <v>84</v>
      </c>
      <c r="F1203" s="129">
        <v>0</v>
      </c>
      <c r="G1203" s="129">
        <v>60</v>
      </c>
      <c r="H1203" s="129">
        <v>0</v>
      </c>
      <c r="I1203" s="129">
        <v>71.400000000000006</v>
      </c>
      <c r="J1203" s="129">
        <v>6.3</v>
      </c>
      <c r="K1203" s="129">
        <v>0</v>
      </c>
      <c r="L1203" s="129">
        <f t="shared" si="361"/>
        <v>84</v>
      </c>
      <c r="M1203" s="129">
        <f t="shared" si="362"/>
        <v>60</v>
      </c>
      <c r="N1203" s="128">
        <f t="shared" si="363"/>
        <v>0.71430000000000005</v>
      </c>
      <c r="O1203" s="164">
        <f t="shared" si="364"/>
        <v>0</v>
      </c>
      <c r="P1203" s="185">
        <f t="shared" si="365"/>
        <v>6.3</v>
      </c>
      <c r="Q1203" s="185">
        <f t="shared" si="366"/>
        <v>6.3</v>
      </c>
      <c r="R1203" s="162" t="b">
        <f t="shared" si="360"/>
        <v>0</v>
      </c>
    </row>
    <row r="1204" spans="1:18">
      <c r="A1204" s="129" t="s">
        <v>465</v>
      </c>
      <c r="B1204" s="129" t="s">
        <v>4138</v>
      </c>
      <c r="C1204" s="129">
        <v>8472</v>
      </c>
      <c r="D1204" s="129" t="s">
        <v>3368</v>
      </c>
      <c r="E1204" s="129">
        <v>287</v>
      </c>
      <c r="F1204" s="129">
        <v>0</v>
      </c>
      <c r="G1204" s="129">
        <v>227</v>
      </c>
      <c r="H1204" s="129">
        <v>0</v>
      </c>
      <c r="I1204" s="129">
        <v>79.099999999999994</v>
      </c>
      <c r="J1204" s="129">
        <v>23.8</v>
      </c>
      <c r="K1204" s="129">
        <v>0</v>
      </c>
      <c r="L1204" s="129">
        <f t="shared" si="361"/>
        <v>287</v>
      </c>
      <c r="M1204" s="129">
        <f t="shared" si="362"/>
        <v>227</v>
      </c>
      <c r="N1204" s="128">
        <f t="shared" si="363"/>
        <v>0.79090000000000005</v>
      </c>
      <c r="O1204" s="164">
        <f t="shared" si="364"/>
        <v>0</v>
      </c>
      <c r="P1204" s="185">
        <f t="shared" si="365"/>
        <v>23.8</v>
      </c>
      <c r="Q1204" s="185">
        <f t="shared" si="366"/>
        <v>23.8</v>
      </c>
      <c r="R1204" s="162" t="b">
        <f t="shared" si="360"/>
        <v>0</v>
      </c>
    </row>
    <row r="1205" spans="1:18">
      <c r="A1205" s="129" t="s">
        <v>465</v>
      </c>
      <c r="B1205" s="129" t="s">
        <v>4138</v>
      </c>
      <c r="C1205" s="129">
        <v>8480</v>
      </c>
      <c r="D1205" s="129" t="s">
        <v>3370</v>
      </c>
      <c r="E1205" s="129">
        <v>392</v>
      </c>
      <c r="F1205" s="129">
        <v>0</v>
      </c>
      <c r="G1205" s="129">
        <v>233</v>
      </c>
      <c r="H1205" s="129">
        <v>0</v>
      </c>
      <c r="I1205" s="129">
        <v>59.4</v>
      </c>
      <c r="J1205" s="129">
        <v>24.5</v>
      </c>
      <c r="K1205" s="129">
        <v>0</v>
      </c>
      <c r="L1205" s="129">
        <f t="shared" si="361"/>
        <v>392</v>
      </c>
      <c r="M1205" s="129">
        <f t="shared" si="362"/>
        <v>233</v>
      </c>
      <c r="N1205" s="128">
        <f t="shared" si="363"/>
        <v>0.59440000000000004</v>
      </c>
      <c r="O1205" s="164">
        <f t="shared" si="364"/>
        <v>0</v>
      </c>
      <c r="P1205" s="185">
        <f t="shared" si="365"/>
        <v>24.5</v>
      </c>
      <c r="Q1205" s="185">
        <f t="shared" si="366"/>
        <v>24.5</v>
      </c>
      <c r="R1205" s="162" t="b">
        <f t="shared" si="360"/>
        <v>0</v>
      </c>
    </row>
    <row r="1206" spans="1:18">
      <c r="A1206" s="129" t="s">
        <v>465</v>
      </c>
      <c r="B1206" s="129" t="s">
        <v>4138</v>
      </c>
      <c r="C1206" s="129">
        <v>8482</v>
      </c>
      <c r="D1206" s="129" t="s">
        <v>3372</v>
      </c>
      <c r="E1206" s="129">
        <v>312</v>
      </c>
      <c r="F1206" s="129">
        <v>0</v>
      </c>
      <c r="G1206" s="129">
        <v>192</v>
      </c>
      <c r="H1206" s="129">
        <v>0</v>
      </c>
      <c r="I1206" s="129">
        <v>61.5</v>
      </c>
      <c r="J1206" s="129">
        <v>20.2</v>
      </c>
      <c r="K1206" s="129">
        <v>0</v>
      </c>
      <c r="L1206" s="129">
        <f t="shared" si="361"/>
        <v>312</v>
      </c>
      <c r="M1206" s="129">
        <f t="shared" si="362"/>
        <v>192</v>
      </c>
      <c r="N1206" s="128">
        <f t="shared" si="363"/>
        <v>0.61539999999999995</v>
      </c>
      <c r="O1206" s="164">
        <f t="shared" si="364"/>
        <v>0</v>
      </c>
      <c r="P1206" s="185">
        <f t="shared" si="365"/>
        <v>20.2</v>
      </c>
      <c r="Q1206" s="185">
        <f t="shared" si="366"/>
        <v>20.2</v>
      </c>
      <c r="R1206" s="162" t="b">
        <f t="shared" si="360"/>
        <v>0</v>
      </c>
    </row>
    <row r="1207" spans="1:18">
      <c r="A1207" s="129" t="s">
        <v>465</v>
      </c>
      <c r="B1207" s="129" t="s">
        <v>4138</v>
      </c>
      <c r="C1207" s="129">
        <v>8484</v>
      </c>
      <c r="D1207" s="129" t="s">
        <v>3374</v>
      </c>
      <c r="E1207" s="129">
        <v>434</v>
      </c>
      <c r="F1207" s="129">
        <v>0</v>
      </c>
      <c r="G1207" s="129">
        <v>276</v>
      </c>
      <c r="H1207" s="129">
        <v>0</v>
      </c>
      <c r="I1207" s="129">
        <v>63.6</v>
      </c>
      <c r="J1207" s="129">
        <v>29</v>
      </c>
      <c r="K1207" s="129">
        <v>0</v>
      </c>
      <c r="L1207" s="129">
        <f t="shared" si="361"/>
        <v>434</v>
      </c>
      <c r="M1207" s="129">
        <f t="shared" si="362"/>
        <v>276</v>
      </c>
      <c r="N1207" s="128">
        <f t="shared" si="363"/>
        <v>0.63590000000000002</v>
      </c>
      <c r="O1207" s="164">
        <f t="shared" si="364"/>
        <v>0</v>
      </c>
      <c r="P1207" s="185">
        <f t="shared" si="365"/>
        <v>29</v>
      </c>
      <c r="Q1207" s="185">
        <f t="shared" si="366"/>
        <v>29</v>
      </c>
      <c r="R1207" s="162" t="b">
        <f t="shared" si="360"/>
        <v>0</v>
      </c>
    </row>
    <row r="1208" spans="1:18">
      <c r="A1208" s="129" t="s">
        <v>465</v>
      </c>
      <c r="B1208" s="129" t="s">
        <v>4138</v>
      </c>
      <c r="C1208" s="129">
        <v>8486</v>
      </c>
      <c r="D1208" s="129" t="s">
        <v>3376</v>
      </c>
      <c r="E1208" s="129">
        <v>426</v>
      </c>
      <c r="F1208" s="129">
        <v>0</v>
      </c>
      <c r="G1208" s="129">
        <v>332</v>
      </c>
      <c r="H1208" s="129">
        <v>0</v>
      </c>
      <c r="I1208" s="129">
        <v>77.900000000000006</v>
      </c>
      <c r="J1208" s="129">
        <v>34.9</v>
      </c>
      <c r="K1208" s="129">
        <v>0</v>
      </c>
      <c r="L1208" s="129">
        <f t="shared" si="361"/>
        <v>426</v>
      </c>
      <c r="M1208" s="129">
        <f t="shared" si="362"/>
        <v>332</v>
      </c>
      <c r="N1208" s="128">
        <f t="shared" si="363"/>
        <v>0.77929999999999999</v>
      </c>
      <c r="O1208" s="164">
        <f t="shared" si="364"/>
        <v>0</v>
      </c>
      <c r="P1208" s="185">
        <f t="shared" si="365"/>
        <v>34.9</v>
      </c>
      <c r="Q1208" s="185">
        <f t="shared" si="366"/>
        <v>34.9</v>
      </c>
      <c r="R1208" s="162" t="b">
        <f t="shared" si="360"/>
        <v>0</v>
      </c>
    </row>
    <row r="1209" spans="1:18">
      <c r="A1209" s="129" t="s">
        <v>465</v>
      </c>
      <c r="B1209" s="129" t="s">
        <v>4138</v>
      </c>
      <c r="C1209" s="129">
        <v>8494</v>
      </c>
      <c r="D1209" s="129" t="s">
        <v>3378</v>
      </c>
      <c r="E1209" s="129">
        <v>154</v>
      </c>
      <c r="F1209" s="129">
        <v>0</v>
      </c>
      <c r="G1209" s="129">
        <v>121</v>
      </c>
      <c r="H1209" s="129">
        <v>0</v>
      </c>
      <c r="I1209" s="129">
        <v>78.599999999999994</v>
      </c>
      <c r="J1209" s="129">
        <v>12.7</v>
      </c>
      <c r="K1209" s="129">
        <v>0</v>
      </c>
      <c r="L1209" s="129">
        <f t="shared" si="361"/>
        <v>154</v>
      </c>
      <c r="M1209" s="129">
        <f t="shared" si="362"/>
        <v>121</v>
      </c>
      <c r="N1209" s="128">
        <f t="shared" si="363"/>
        <v>0.78569999999999995</v>
      </c>
      <c r="O1209" s="164">
        <f t="shared" si="364"/>
        <v>0</v>
      </c>
      <c r="P1209" s="185">
        <f t="shared" si="365"/>
        <v>12.7</v>
      </c>
      <c r="Q1209" s="185">
        <f t="shared" si="366"/>
        <v>12.7</v>
      </c>
      <c r="R1209" s="162" t="b">
        <f t="shared" si="360"/>
        <v>0</v>
      </c>
    </row>
    <row r="1210" spans="1:18">
      <c r="A1210" s="129" t="s">
        <v>465</v>
      </c>
      <c r="B1210" s="129" t="s">
        <v>4138</v>
      </c>
      <c r="C1210" s="129">
        <v>8498</v>
      </c>
      <c r="D1210" s="129" t="s">
        <v>3380</v>
      </c>
      <c r="E1210" s="129">
        <v>349</v>
      </c>
      <c r="F1210" s="129">
        <v>0</v>
      </c>
      <c r="G1210" s="129">
        <v>234</v>
      </c>
      <c r="H1210" s="129">
        <v>0</v>
      </c>
      <c r="I1210" s="129">
        <v>67.099999999999994</v>
      </c>
      <c r="J1210" s="129">
        <v>24.6</v>
      </c>
      <c r="K1210" s="129">
        <v>0</v>
      </c>
      <c r="L1210" s="129">
        <f t="shared" si="361"/>
        <v>349</v>
      </c>
      <c r="M1210" s="129">
        <f t="shared" si="362"/>
        <v>234</v>
      </c>
      <c r="N1210" s="128">
        <f t="shared" si="363"/>
        <v>0.67049999999999998</v>
      </c>
      <c r="O1210" s="164">
        <f t="shared" si="364"/>
        <v>0</v>
      </c>
      <c r="P1210" s="185">
        <f t="shared" si="365"/>
        <v>24.6</v>
      </c>
      <c r="Q1210" s="185">
        <f t="shared" si="366"/>
        <v>24.6</v>
      </c>
      <c r="R1210" s="162" t="b">
        <f t="shared" si="360"/>
        <v>0</v>
      </c>
    </row>
    <row r="1211" spans="1:18">
      <c r="A1211" s="129" t="s">
        <v>465</v>
      </c>
      <c r="B1211" s="129" t="s">
        <v>4138</v>
      </c>
      <c r="C1211" s="129">
        <v>8499</v>
      </c>
      <c r="D1211" s="129" t="s">
        <v>3382</v>
      </c>
      <c r="E1211" s="129">
        <v>386</v>
      </c>
      <c r="F1211" s="129">
        <v>0</v>
      </c>
      <c r="G1211" s="129">
        <v>299</v>
      </c>
      <c r="H1211" s="129">
        <v>0</v>
      </c>
      <c r="I1211" s="129">
        <v>77.5</v>
      </c>
      <c r="J1211" s="129">
        <v>31.4</v>
      </c>
      <c r="K1211" s="129">
        <v>0</v>
      </c>
      <c r="L1211" s="129">
        <f t="shared" si="361"/>
        <v>386</v>
      </c>
      <c r="M1211" s="129">
        <f t="shared" si="362"/>
        <v>299</v>
      </c>
      <c r="N1211" s="128">
        <f t="shared" si="363"/>
        <v>0.77459999999999996</v>
      </c>
      <c r="O1211" s="164">
        <f t="shared" si="364"/>
        <v>0</v>
      </c>
      <c r="P1211" s="185">
        <f t="shared" si="365"/>
        <v>31.4</v>
      </c>
      <c r="Q1211" s="185">
        <f t="shared" si="366"/>
        <v>31.4</v>
      </c>
      <c r="R1211" s="162" t="b">
        <f t="shared" si="360"/>
        <v>0</v>
      </c>
    </row>
    <row r="1212" spans="1:18">
      <c r="A1212" s="129" t="s">
        <v>465</v>
      </c>
      <c r="B1212" s="129" t="s">
        <v>4138</v>
      </c>
      <c r="C1212" s="129">
        <v>8501</v>
      </c>
      <c r="D1212" s="129" t="s">
        <v>1801</v>
      </c>
      <c r="E1212" s="129">
        <v>348</v>
      </c>
      <c r="F1212" s="129">
        <v>0</v>
      </c>
      <c r="G1212" s="129">
        <v>263</v>
      </c>
      <c r="H1212" s="129">
        <v>0</v>
      </c>
      <c r="I1212" s="129">
        <v>75.599999999999994</v>
      </c>
      <c r="J1212" s="129">
        <v>27.6</v>
      </c>
      <c r="K1212" s="129">
        <v>0</v>
      </c>
      <c r="L1212" s="129">
        <f t="shared" si="361"/>
        <v>348</v>
      </c>
      <c r="M1212" s="129">
        <f t="shared" si="362"/>
        <v>263</v>
      </c>
      <c r="N1212" s="128">
        <f t="shared" si="363"/>
        <v>0.75570000000000004</v>
      </c>
      <c r="O1212" s="164">
        <f t="shared" si="364"/>
        <v>0</v>
      </c>
      <c r="P1212" s="185">
        <f t="shared" si="365"/>
        <v>27.6</v>
      </c>
      <c r="Q1212" s="185">
        <f t="shared" si="366"/>
        <v>27.6</v>
      </c>
      <c r="R1212" s="162" t="b">
        <f t="shared" si="360"/>
        <v>0</v>
      </c>
    </row>
    <row r="1213" spans="1:18">
      <c r="A1213" s="129" t="s">
        <v>465</v>
      </c>
      <c r="B1213" s="129" t="s">
        <v>4138</v>
      </c>
      <c r="C1213" s="129">
        <v>8504</v>
      </c>
      <c r="D1213" s="129" t="s">
        <v>3385</v>
      </c>
      <c r="E1213" s="129">
        <v>419</v>
      </c>
      <c r="F1213" s="129">
        <v>0</v>
      </c>
      <c r="G1213" s="129">
        <v>335</v>
      </c>
      <c r="H1213" s="129">
        <v>0</v>
      </c>
      <c r="I1213" s="129">
        <v>80</v>
      </c>
      <c r="J1213" s="129">
        <v>35.200000000000003</v>
      </c>
      <c r="K1213" s="129">
        <v>0</v>
      </c>
      <c r="L1213" s="129">
        <f t="shared" si="361"/>
        <v>419</v>
      </c>
      <c r="M1213" s="129">
        <f t="shared" si="362"/>
        <v>335</v>
      </c>
      <c r="N1213" s="128">
        <f t="shared" si="363"/>
        <v>0.79949999999999999</v>
      </c>
      <c r="O1213" s="164">
        <f t="shared" si="364"/>
        <v>0</v>
      </c>
      <c r="P1213" s="185">
        <f t="shared" si="365"/>
        <v>35.200000000000003</v>
      </c>
      <c r="Q1213" s="185">
        <f t="shared" si="366"/>
        <v>35.200000000000003</v>
      </c>
      <c r="R1213" s="162" t="b">
        <f t="shared" si="360"/>
        <v>0</v>
      </c>
    </row>
    <row r="1214" spans="1:18">
      <c r="A1214" s="129" t="s">
        <v>465</v>
      </c>
      <c r="B1214" s="129" t="s">
        <v>4138</v>
      </c>
      <c r="C1214" s="129">
        <v>8512</v>
      </c>
      <c r="D1214" s="129" t="s">
        <v>3387</v>
      </c>
      <c r="E1214" s="129">
        <v>434</v>
      </c>
      <c r="F1214" s="129">
        <v>0</v>
      </c>
      <c r="G1214" s="129">
        <v>237</v>
      </c>
      <c r="H1214" s="129">
        <v>0</v>
      </c>
      <c r="I1214" s="129">
        <v>54.6</v>
      </c>
      <c r="J1214" s="129">
        <v>24.9</v>
      </c>
      <c r="K1214" s="129">
        <v>0</v>
      </c>
      <c r="L1214" s="129">
        <f t="shared" si="361"/>
        <v>434</v>
      </c>
      <c r="M1214" s="129">
        <f t="shared" si="362"/>
        <v>237</v>
      </c>
      <c r="N1214" s="128">
        <f t="shared" si="363"/>
        <v>0.54610000000000003</v>
      </c>
      <c r="O1214" s="164">
        <f t="shared" si="364"/>
        <v>0</v>
      </c>
      <c r="P1214" s="185">
        <f t="shared" si="365"/>
        <v>24.9</v>
      </c>
      <c r="Q1214" s="185">
        <f t="shared" si="366"/>
        <v>24.9</v>
      </c>
      <c r="R1214" s="162" t="b">
        <f t="shared" si="360"/>
        <v>0</v>
      </c>
    </row>
    <row r="1215" spans="1:18">
      <c r="A1215" s="129" t="s">
        <v>465</v>
      </c>
      <c r="B1215" s="129" t="s">
        <v>4138</v>
      </c>
      <c r="C1215" s="129">
        <v>8513</v>
      </c>
      <c r="D1215" s="129" t="s">
        <v>3389</v>
      </c>
      <c r="E1215" s="129">
        <v>434</v>
      </c>
      <c r="F1215" s="129">
        <v>0</v>
      </c>
      <c r="G1215" s="129">
        <v>382</v>
      </c>
      <c r="H1215" s="129">
        <v>0</v>
      </c>
      <c r="I1215" s="129">
        <v>88</v>
      </c>
      <c r="J1215" s="129">
        <v>40.1</v>
      </c>
      <c r="K1215" s="129">
        <v>0</v>
      </c>
      <c r="L1215" s="129">
        <f t="shared" si="361"/>
        <v>434</v>
      </c>
      <c r="M1215" s="129">
        <f t="shared" si="362"/>
        <v>382</v>
      </c>
      <c r="N1215" s="128">
        <f t="shared" si="363"/>
        <v>0.88019999999999998</v>
      </c>
      <c r="O1215" s="164">
        <f t="shared" si="364"/>
        <v>0</v>
      </c>
      <c r="P1215" s="185">
        <f t="shared" si="365"/>
        <v>40.1</v>
      </c>
      <c r="Q1215" s="185">
        <f t="shared" si="366"/>
        <v>40.1</v>
      </c>
      <c r="R1215" s="162" t="b">
        <f t="shared" si="360"/>
        <v>0</v>
      </c>
    </row>
    <row r="1216" spans="1:18">
      <c r="A1216" s="129" t="s">
        <v>465</v>
      </c>
      <c r="B1216" s="129" t="s">
        <v>4138</v>
      </c>
      <c r="C1216" s="129">
        <v>8524</v>
      </c>
      <c r="D1216" s="129" t="s">
        <v>3140</v>
      </c>
      <c r="E1216" s="129">
        <v>426</v>
      </c>
      <c r="F1216" s="129">
        <v>0</v>
      </c>
      <c r="G1216" s="129">
        <v>333</v>
      </c>
      <c r="H1216" s="129">
        <v>0</v>
      </c>
      <c r="I1216" s="129">
        <v>78.2</v>
      </c>
      <c r="J1216" s="129">
        <v>35</v>
      </c>
      <c r="K1216" s="129">
        <v>0</v>
      </c>
      <c r="L1216" s="129">
        <f t="shared" si="361"/>
        <v>426</v>
      </c>
      <c r="M1216" s="129">
        <f t="shared" si="362"/>
        <v>333</v>
      </c>
      <c r="N1216" s="128">
        <f t="shared" si="363"/>
        <v>0.78169999999999995</v>
      </c>
      <c r="O1216" s="164">
        <f t="shared" si="364"/>
        <v>0</v>
      </c>
      <c r="P1216" s="185">
        <f t="shared" si="365"/>
        <v>35</v>
      </c>
      <c r="Q1216" s="185">
        <f t="shared" si="366"/>
        <v>35</v>
      </c>
      <c r="R1216" s="162" t="b">
        <f t="shared" si="360"/>
        <v>0</v>
      </c>
    </row>
    <row r="1217" spans="1:18">
      <c r="A1217" s="129" t="s">
        <v>465</v>
      </c>
      <c r="B1217" s="129" t="s">
        <v>4138</v>
      </c>
      <c r="C1217" s="129">
        <v>8530</v>
      </c>
      <c r="D1217" s="129" t="s">
        <v>3392</v>
      </c>
      <c r="E1217" s="129">
        <v>511</v>
      </c>
      <c r="F1217" s="129">
        <v>0</v>
      </c>
      <c r="G1217" s="129">
        <v>341</v>
      </c>
      <c r="H1217" s="129">
        <v>0</v>
      </c>
      <c r="I1217" s="129">
        <v>66.7</v>
      </c>
      <c r="J1217" s="129">
        <v>35.799999999999997</v>
      </c>
      <c r="K1217" s="129">
        <v>0</v>
      </c>
      <c r="L1217" s="129">
        <f t="shared" si="361"/>
        <v>511</v>
      </c>
      <c r="M1217" s="129">
        <f t="shared" si="362"/>
        <v>341</v>
      </c>
      <c r="N1217" s="128">
        <f t="shared" si="363"/>
        <v>0.6673</v>
      </c>
      <c r="O1217" s="164">
        <f t="shared" si="364"/>
        <v>0</v>
      </c>
      <c r="P1217" s="185">
        <f t="shared" si="365"/>
        <v>35.799999999999997</v>
      </c>
      <c r="Q1217" s="185">
        <f t="shared" si="366"/>
        <v>35.799999999999997</v>
      </c>
      <c r="R1217" s="162" t="b">
        <f t="shared" si="360"/>
        <v>0</v>
      </c>
    </row>
    <row r="1218" spans="1:18">
      <c r="A1218" s="129" t="s">
        <v>465</v>
      </c>
      <c r="B1218" s="129" t="s">
        <v>4138</v>
      </c>
      <c r="C1218" s="129">
        <v>8532</v>
      </c>
      <c r="D1218" s="129" t="s">
        <v>3394</v>
      </c>
      <c r="E1218" s="129">
        <v>421</v>
      </c>
      <c r="F1218" s="129">
        <v>0</v>
      </c>
      <c r="G1218" s="129">
        <v>262</v>
      </c>
      <c r="H1218" s="129">
        <v>0</v>
      </c>
      <c r="I1218" s="129">
        <v>62.2</v>
      </c>
      <c r="J1218" s="129">
        <v>27.5</v>
      </c>
      <c r="K1218" s="129">
        <v>0</v>
      </c>
      <c r="L1218" s="129">
        <f t="shared" si="361"/>
        <v>421</v>
      </c>
      <c r="M1218" s="129">
        <f t="shared" si="362"/>
        <v>262</v>
      </c>
      <c r="N1218" s="128">
        <f t="shared" si="363"/>
        <v>0.62229999999999996</v>
      </c>
      <c r="O1218" s="164">
        <f t="shared" si="364"/>
        <v>0</v>
      </c>
      <c r="P1218" s="185">
        <f t="shared" si="365"/>
        <v>27.5</v>
      </c>
      <c r="Q1218" s="185">
        <f t="shared" si="366"/>
        <v>27.5</v>
      </c>
      <c r="R1218" s="162" t="b">
        <f t="shared" si="360"/>
        <v>0</v>
      </c>
    </row>
    <row r="1219" spans="1:18">
      <c r="A1219" s="129" t="s">
        <v>465</v>
      </c>
      <c r="B1219" s="129" t="s">
        <v>4138</v>
      </c>
      <c r="C1219" s="129">
        <v>8533</v>
      </c>
      <c r="D1219" s="129" t="s">
        <v>3396</v>
      </c>
      <c r="E1219" s="129">
        <v>462</v>
      </c>
      <c r="F1219" s="129">
        <v>0</v>
      </c>
      <c r="G1219" s="129">
        <v>267</v>
      </c>
      <c r="H1219" s="129">
        <v>0</v>
      </c>
      <c r="I1219" s="129">
        <v>57.8</v>
      </c>
      <c r="J1219" s="129">
        <v>28</v>
      </c>
      <c r="K1219" s="129">
        <v>0</v>
      </c>
      <c r="L1219" s="129">
        <f t="shared" si="361"/>
        <v>462</v>
      </c>
      <c r="M1219" s="129">
        <f t="shared" si="362"/>
        <v>267</v>
      </c>
      <c r="N1219" s="128">
        <f t="shared" si="363"/>
        <v>0.57789999999999997</v>
      </c>
      <c r="O1219" s="164">
        <f t="shared" si="364"/>
        <v>0</v>
      </c>
      <c r="P1219" s="185">
        <f t="shared" si="365"/>
        <v>28</v>
      </c>
      <c r="Q1219" s="185">
        <f t="shared" si="366"/>
        <v>28</v>
      </c>
      <c r="R1219" s="162" t="b">
        <f t="shared" si="360"/>
        <v>0</v>
      </c>
    </row>
    <row r="1220" spans="1:18">
      <c r="A1220" s="129" t="s">
        <v>465</v>
      </c>
      <c r="B1220" s="129" t="s">
        <v>4138</v>
      </c>
      <c r="C1220" s="129">
        <v>8536</v>
      </c>
      <c r="D1220" s="129" t="s">
        <v>3398</v>
      </c>
      <c r="E1220" s="129">
        <v>834</v>
      </c>
      <c r="F1220" s="129">
        <v>0</v>
      </c>
      <c r="G1220" s="129">
        <v>637</v>
      </c>
      <c r="H1220" s="129">
        <v>0</v>
      </c>
      <c r="I1220" s="129">
        <v>76.400000000000006</v>
      </c>
      <c r="J1220" s="129">
        <v>66.900000000000006</v>
      </c>
      <c r="K1220" s="129">
        <v>0</v>
      </c>
      <c r="L1220" s="129">
        <f t="shared" si="361"/>
        <v>834</v>
      </c>
      <c r="M1220" s="129">
        <f t="shared" si="362"/>
        <v>637</v>
      </c>
      <c r="N1220" s="128">
        <f t="shared" si="363"/>
        <v>0.76380000000000003</v>
      </c>
      <c r="O1220" s="164">
        <f t="shared" si="364"/>
        <v>0</v>
      </c>
      <c r="P1220" s="185">
        <f t="shared" si="365"/>
        <v>66.900000000000006</v>
      </c>
      <c r="Q1220" s="185">
        <f t="shared" si="366"/>
        <v>66.900000000000006</v>
      </c>
      <c r="R1220" s="162" t="b">
        <f t="shared" si="360"/>
        <v>0</v>
      </c>
    </row>
    <row r="1221" spans="1:18">
      <c r="A1221" s="129" t="s">
        <v>465</v>
      </c>
      <c r="B1221" s="129" t="s">
        <v>4138</v>
      </c>
      <c r="C1221" s="129">
        <v>8538</v>
      </c>
      <c r="D1221" s="129" t="s">
        <v>3400</v>
      </c>
      <c r="E1221" s="129">
        <v>1507</v>
      </c>
      <c r="F1221" s="129">
        <v>0</v>
      </c>
      <c r="G1221" s="129">
        <v>949</v>
      </c>
      <c r="H1221" s="129">
        <v>0</v>
      </c>
      <c r="I1221" s="129">
        <v>63</v>
      </c>
      <c r="J1221" s="129">
        <v>99.6</v>
      </c>
      <c r="K1221" s="129">
        <v>0</v>
      </c>
      <c r="L1221" s="129">
        <f t="shared" si="361"/>
        <v>1507</v>
      </c>
      <c r="M1221" s="129">
        <f t="shared" si="362"/>
        <v>949</v>
      </c>
      <c r="N1221" s="128">
        <f t="shared" si="363"/>
        <v>0.62970000000000004</v>
      </c>
      <c r="O1221" s="164">
        <f t="shared" si="364"/>
        <v>0</v>
      </c>
      <c r="P1221" s="185">
        <f t="shared" si="365"/>
        <v>99.6</v>
      </c>
      <c r="Q1221" s="185">
        <f t="shared" si="366"/>
        <v>99.6</v>
      </c>
      <c r="R1221" s="162" t="b">
        <f t="shared" ref="R1221:R1284" si="367">COUNTIF(C:C,C1221)&gt;1</f>
        <v>0</v>
      </c>
    </row>
    <row r="1222" spans="1:18">
      <c r="A1222" s="129" t="s">
        <v>465</v>
      </c>
      <c r="B1222" s="129" t="s">
        <v>4138</v>
      </c>
      <c r="C1222" s="129">
        <v>8540</v>
      </c>
      <c r="D1222" s="129" t="s">
        <v>3402</v>
      </c>
      <c r="E1222" s="129">
        <v>1010</v>
      </c>
      <c r="F1222" s="129">
        <v>0</v>
      </c>
      <c r="G1222" s="129">
        <v>494</v>
      </c>
      <c r="H1222" s="129">
        <v>0</v>
      </c>
      <c r="I1222" s="129">
        <v>48.9</v>
      </c>
      <c r="J1222" s="129">
        <v>0</v>
      </c>
      <c r="K1222" s="129">
        <v>48.1</v>
      </c>
      <c r="L1222" s="129">
        <f t="shared" si="361"/>
        <v>1010</v>
      </c>
      <c r="M1222" s="129">
        <f t="shared" si="362"/>
        <v>494</v>
      </c>
      <c r="N1222" s="128">
        <f t="shared" si="363"/>
        <v>0.48909999999999998</v>
      </c>
      <c r="O1222" s="164">
        <f t="shared" si="364"/>
        <v>48.1</v>
      </c>
      <c r="P1222" s="185">
        <f t="shared" si="365"/>
        <v>0</v>
      </c>
      <c r="Q1222" s="185">
        <f t="shared" si="366"/>
        <v>48.1</v>
      </c>
      <c r="R1222" s="162" t="b">
        <f t="shared" si="367"/>
        <v>0</v>
      </c>
    </row>
    <row r="1223" spans="1:18">
      <c r="A1223" s="129" t="s">
        <v>465</v>
      </c>
      <c r="B1223" s="129" t="s">
        <v>4138</v>
      </c>
      <c r="C1223" s="129">
        <v>8552</v>
      </c>
      <c r="D1223" s="129" t="s">
        <v>3404</v>
      </c>
      <c r="E1223" s="129">
        <v>64</v>
      </c>
      <c r="F1223" s="129">
        <v>0</v>
      </c>
      <c r="G1223" s="129">
        <v>51</v>
      </c>
      <c r="H1223" s="129">
        <v>0</v>
      </c>
      <c r="I1223" s="129">
        <v>79.7</v>
      </c>
      <c r="J1223" s="129">
        <v>5.4</v>
      </c>
      <c r="K1223" s="129">
        <v>0</v>
      </c>
      <c r="L1223" s="129">
        <f t="shared" si="361"/>
        <v>64</v>
      </c>
      <c r="M1223" s="129">
        <f t="shared" si="362"/>
        <v>51</v>
      </c>
      <c r="N1223" s="128">
        <f t="shared" si="363"/>
        <v>0.79690000000000005</v>
      </c>
      <c r="O1223" s="164">
        <f t="shared" si="364"/>
        <v>0</v>
      </c>
      <c r="P1223" s="185">
        <f t="shared" si="365"/>
        <v>5.4</v>
      </c>
      <c r="Q1223" s="185">
        <f t="shared" si="366"/>
        <v>5.4</v>
      </c>
      <c r="R1223" s="162" t="b">
        <f t="shared" si="367"/>
        <v>0</v>
      </c>
    </row>
    <row r="1224" spans="1:18">
      <c r="A1224" s="129" t="s">
        <v>475</v>
      </c>
      <c r="B1224" s="129" t="s">
        <v>4103</v>
      </c>
      <c r="C1224" s="129">
        <v>8774</v>
      </c>
      <c r="D1224" s="129" t="s">
        <v>3462</v>
      </c>
      <c r="E1224" s="129">
        <v>281</v>
      </c>
      <c r="F1224" s="129">
        <v>0</v>
      </c>
      <c r="G1224" s="129">
        <v>112</v>
      </c>
      <c r="H1224" s="129">
        <v>0</v>
      </c>
      <c r="I1224" s="129">
        <v>39.86</v>
      </c>
      <c r="J1224" s="129">
        <v>0</v>
      </c>
      <c r="K1224" s="129">
        <v>3.8</v>
      </c>
      <c r="L1224" s="129">
        <f t="shared" si="361"/>
        <v>281</v>
      </c>
      <c r="M1224" s="129">
        <f t="shared" si="362"/>
        <v>112</v>
      </c>
      <c r="N1224" s="128">
        <f t="shared" si="363"/>
        <v>0.39860000000000001</v>
      </c>
      <c r="O1224" s="164">
        <f t="shared" si="364"/>
        <v>3.8</v>
      </c>
      <c r="P1224" s="185">
        <f t="shared" si="365"/>
        <v>0</v>
      </c>
      <c r="Q1224" s="185">
        <f t="shared" si="366"/>
        <v>3.8</v>
      </c>
      <c r="R1224" s="162" t="b">
        <f t="shared" si="367"/>
        <v>0</v>
      </c>
    </row>
    <row r="1225" spans="1:18">
      <c r="A1225" s="129" t="s">
        <v>475</v>
      </c>
      <c r="B1225" s="129" t="s">
        <v>4103</v>
      </c>
      <c r="C1225" s="129">
        <v>8776</v>
      </c>
      <c r="D1225" s="129" t="s">
        <v>3464</v>
      </c>
      <c r="E1225" s="129">
        <v>493</v>
      </c>
      <c r="F1225" s="129">
        <v>0</v>
      </c>
      <c r="G1225" s="129">
        <v>328</v>
      </c>
      <c r="H1225" s="129">
        <v>0</v>
      </c>
      <c r="I1225" s="129">
        <v>66.53</v>
      </c>
      <c r="J1225" s="129">
        <v>34.4</v>
      </c>
      <c r="K1225" s="129">
        <v>0</v>
      </c>
      <c r="L1225" s="129">
        <f t="shared" si="361"/>
        <v>493</v>
      </c>
      <c r="M1225" s="129">
        <f t="shared" si="362"/>
        <v>328</v>
      </c>
      <c r="N1225" s="128">
        <f t="shared" si="363"/>
        <v>0.6653</v>
      </c>
      <c r="O1225" s="164">
        <f t="shared" si="364"/>
        <v>0</v>
      </c>
      <c r="P1225" s="185">
        <f t="shared" si="365"/>
        <v>34.4</v>
      </c>
      <c r="Q1225" s="185">
        <f t="shared" si="366"/>
        <v>34.4</v>
      </c>
      <c r="R1225" s="162" t="b">
        <f t="shared" si="367"/>
        <v>0</v>
      </c>
    </row>
    <row r="1226" spans="1:18">
      <c r="A1226" s="129" t="s">
        <v>475</v>
      </c>
      <c r="B1226" s="129" t="s">
        <v>4103</v>
      </c>
      <c r="C1226" s="129">
        <v>8782</v>
      </c>
      <c r="D1226" s="129" t="s">
        <v>3466</v>
      </c>
      <c r="E1226" s="129">
        <v>462</v>
      </c>
      <c r="F1226" s="129">
        <v>0</v>
      </c>
      <c r="G1226" s="129">
        <v>34</v>
      </c>
      <c r="H1226" s="129">
        <v>0</v>
      </c>
      <c r="I1226" s="129">
        <v>7.36</v>
      </c>
      <c r="J1226" s="129">
        <v>0</v>
      </c>
      <c r="K1226" s="129">
        <v>0</v>
      </c>
      <c r="L1226" s="129">
        <f t="shared" si="361"/>
        <v>462</v>
      </c>
      <c r="M1226" s="129">
        <f t="shared" si="362"/>
        <v>34</v>
      </c>
      <c r="N1226" s="128">
        <f t="shared" si="363"/>
        <v>7.3599999999999999E-2</v>
      </c>
      <c r="O1226" s="164">
        <f t="shared" si="364"/>
        <v>0</v>
      </c>
      <c r="P1226" s="185">
        <f t="shared" si="365"/>
        <v>0</v>
      </c>
      <c r="Q1226" s="185">
        <f t="shared" si="366"/>
        <v>0</v>
      </c>
      <c r="R1226" s="162" t="b">
        <f t="shared" si="367"/>
        <v>0</v>
      </c>
    </row>
    <row r="1227" spans="1:18">
      <c r="A1227" s="129" t="s">
        <v>475</v>
      </c>
      <c r="B1227" s="129" t="s">
        <v>4103</v>
      </c>
      <c r="C1227" s="129">
        <v>8784</v>
      </c>
      <c r="D1227" s="129" t="s">
        <v>3468</v>
      </c>
      <c r="E1227" s="129">
        <v>401</v>
      </c>
      <c r="F1227" s="129">
        <v>0</v>
      </c>
      <c r="G1227" s="129">
        <v>158</v>
      </c>
      <c r="H1227" s="129">
        <v>0</v>
      </c>
      <c r="I1227" s="129">
        <v>39.4</v>
      </c>
      <c r="J1227" s="129">
        <v>0</v>
      </c>
      <c r="K1227" s="129">
        <v>4.9000000000000004</v>
      </c>
      <c r="L1227" s="129">
        <f t="shared" si="361"/>
        <v>401</v>
      </c>
      <c r="M1227" s="129">
        <f t="shared" si="362"/>
        <v>158</v>
      </c>
      <c r="N1227" s="128">
        <f t="shared" si="363"/>
        <v>0.39400000000000002</v>
      </c>
      <c r="O1227" s="164">
        <f t="shared" si="364"/>
        <v>4.9000000000000004</v>
      </c>
      <c r="P1227" s="185">
        <f t="shared" si="365"/>
        <v>0</v>
      </c>
      <c r="Q1227" s="185">
        <f t="shared" si="366"/>
        <v>4.9000000000000004</v>
      </c>
      <c r="R1227" s="162" t="b">
        <f t="shared" si="367"/>
        <v>0</v>
      </c>
    </row>
    <row r="1228" spans="1:18">
      <c r="A1228" s="129" t="s">
        <v>475</v>
      </c>
      <c r="B1228" s="129" t="s">
        <v>4103</v>
      </c>
      <c r="C1228" s="129">
        <v>8786</v>
      </c>
      <c r="D1228" s="129" t="s">
        <v>1423</v>
      </c>
      <c r="E1228" s="129">
        <v>665</v>
      </c>
      <c r="F1228" s="129">
        <v>0</v>
      </c>
      <c r="G1228" s="129">
        <v>93</v>
      </c>
      <c r="H1228" s="129">
        <v>0</v>
      </c>
      <c r="I1228" s="129">
        <v>13.98</v>
      </c>
      <c r="J1228" s="129">
        <v>0</v>
      </c>
      <c r="K1228" s="129">
        <v>0</v>
      </c>
      <c r="L1228" s="129">
        <f t="shared" si="361"/>
        <v>665</v>
      </c>
      <c r="M1228" s="129">
        <f t="shared" si="362"/>
        <v>93</v>
      </c>
      <c r="N1228" s="128">
        <f t="shared" si="363"/>
        <v>0.13980000000000001</v>
      </c>
      <c r="O1228" s="164">
        <f t="shared" si="364"/>
        <v>0</v>
      </c>
      <c r="P1228" s="185">
        <f t="shared" si="365"/>
        <v>0</v>
      </c>
      <c r="Q1228" s="185">
        <f t="shared" si="366"/>
        <v>0</v>
      </c>
      <c r="R1228" s="162" t="b">
        <f t="shared" si="367"/>
        <v>0</v>
      </c>
    </row>
    <row r="1229" spans="1:18">
      <c r="A1229" s="129" t="s">
        <v>475</v>
      </c>
      <c r="B1229" s="129" t="s">
        <v>4103</v>
      </c>
      <c r="C1229" s="129">
        <v>8787</v>
      </c>
      <c r="D1229" s="129" t="s">
        <v>3471</v>
      </c>
      <c r="E1229" s="129">
        <v>364</v>
      </c>
      <c r="F1229" s="129">
        <v>0</v>
      </c>
      <c r="G1229" s="129">
        <v>165</v>
      </c>
      <c r="H1229" s="129">
        <v>0</v>
      </c>
      <c r="I1229" s="129">
        <v>45.33</v>
      </c>
      <c r="J1229" s="129">
        <v>0</v>
      </c>
      <c r="K1229" s="129">
        <v>11.9</v>
      </c>
      <c r="L1229" s="129">
        <f t="shared" si="361"/>
        <v>364</v>
      </c>
      <c r="M1229" s="129">
        <f t="shared" si="362"/>
        <v>165</v>
      </c>
      <c r="N1229" s="128">
        <f t="shared" si="363"/>
        <v>0.45329999999999998</v>
      </c>
      <c r="O1229" s="164">
        <f t="shared" si="364"/>
        <v>11.9</v>
      </c>
      <c r="P1229" s="185">
        <f t="shared" si="365"/>
        <v>0</v>
      </c>
      <c r="Q1229" s="185">
        <f t="shared" si="366"/>
        <v>11.9</v>
      </c>
      <c r="R1229" s="162" t="b">
        <f t="shared" si="367"/>
        <v>0</v>
      </c>
    </row>
    <row r="1230" spans="1:18">
      <c r="A1230" s="129" t="s">
        <v>475</v>
      </c>
      <c r="B1230" s="129" t="s">
        <v>4103</v>
      </c>
      <c r="C1230" s="129">
        <v>8788</v>
      </c>
      <c r="D1230" s="129" t="s">
        <v>3473</v>
      </c>
      <c r="E1230" s="129">
        <v>551</v>
      </c>
      <c r="F1230" s="129">
        <v>0</v>
      </c>
      <c r="G1230" s="129">
        <v>233</v>
      </c>
      <c r="H1230" s="129">
        <v>0</v>
      </c>
      <c r="I1230" s="129">
        <v>42.29</v>
      </c>
      <c r="J1230" s="129">
        <v>0</v>
      </c>
      <c r="K1230" s="129">
        <v>11.9</v>
      </c>
      <c r="L1230" s="129">
        <f t="shared" si="361"/>
        <v>551</v>
      </c>
      <c r="M1230" s="129">
        <f t="shared" si="362"/>
        <v>233</v>
      </c>
      <c r="N1230" s="128">
        <f t="shared" si="363"/>
        <v>0.4229</v>
      </c>
      <c r="O1230" s="164">
        <f t="shared" si="364"/>
        <v>11.9</v>
      </c>
      <c r="P1230" s="185">
        <f t="shared" si="365"/>
        <v>0</v>
      </c>
      <c r="Q1230" s="185">
        <f t="shared" si="366"/>
        <v>11.9</v>
      </c>
      <c r="R1230" s="162" t="b">
        <f t="shared" si="367"/>
        <v>0</v>
      </c>
    </row>
    <row r="1231" spans="1:18">
      <c r="A1231" s="129" t="s">
        <v>475</v>
      </c>
      <c r="B1231" s="129" t="s">
        <v>4103</v>
      </c>
      <c r="C1231" s="129">
        <v>8790</v>
      </c>
      <c r="D1231" s="129" t="s">
        <v>3475</v>
      </c>
      <c r="E1231" s="129">
        <v>433</v>
      </c>
      <c r="F1231" s="129">
        <v>0</v>
      </c>
      <c r="G1231" s="129">
        <v>37</v>
      </c>
      <c r="H1231" s="129">
        <v>0</v>
      </c>
      <c r="I1231" s="129">
        <v>8.5500000000000007</v>
      </c>
      <c r="J1231" s="129">
        <v>0</v>
      </c>
      <c r="K1231" s="129">
        <v>0</v>
      </c>
      <c r="L1231" s="129">
        <f t="shared" si="361"/>
        <v>433</v>
      </c>
      <c r="M1231" s="129">
        <f t="shared" si="362"/>
        <v>37</v>
      </c>
      <c r="N1231" s="128">
        <f t="shared" si="363"/>
        <v>8.5500000000000007E-2</v>
      </c>
      <c r="O1231" s="164">
        <f t="shared" si="364"/>
        <v>0</v>
      </c>
      <c r="P1231" s="185">
        <f t="shared" si="365"/>
        <v>0</v>
      </c>
      <c r="Q1231" s="185">
        <f t="shared" si="366"/>
        <v>0</v>
      </c>
      <c r="R1231" s="162" t="b">
        <f t="shared" si="367"/>
        <v>0</v>
      </c>
    </row>
    <row r="1232" spans="1:18">
      <c r="A1232" s="129" t="s">
        <v>475</v>
      </c>
      <c r="B1232" s="129" t="s">
        <v>4103</v>
      </c>
      <c r="C1232" s="129">
        <v>8791</v>
      </c>
      <c r="D1232" s="129" t="s">
        <v>3477</v>
      </c>
      <c r="E1232" s="129">
        <v>407</v>
      </c>
      <c r="F1232" s="129">
        <v>0</v>
      </c>
      <c r="G1232" s="129">
        <v>65</v>
      </c>
      <c r="H1232" s="129">
        <v>0</v>
      </c>
      <c r="I1232" s="129">
        <v>15.97</v>
      </c>
      <c r="J1232" s="129">
        <v>0</v>
      </c>
      <c r="K1232" s="129">
        <v>0</v>
      </c>
      <c r="L1232" s="129">
        <f t="shared" si="361"/>
        <v>407</v>
      </c>
      <c r="M1232" s="129">
        <f t="shared" si="362"/>
        <v>65</v>
      </c>
      <c r="N1232" s="128">
        <f t="shared" si="363"/>
        <v>0.15970000000000001</v>
      </c>
      <c r="O1232" s="164">
        <f t="shared" si="364"/>
        <v>0</v>
      </c>
      <c r="P1232" s="185">
        <f t="shared" si="365"/>
        <v>0</v>
      </c>
      <c r="Q1232" s="185">
        <f t="shared" si="366"/>
        <v>0</v>
      </c>
      <c r="R1232" s="162" t="b">
        <f t="shared" si="367"/>
        <v>0</v>
      </c>
    </row>
    <row r="1233" spans="1:18">
      <c r="A1233" s="129" t="s">
        <v>475</v>
      </c>
      <c r="B1233" s="129" t="s">
        <v>4103</v>
      </c>
      <c r="C1233" s="129">
        <v>8793</v>
      </c>
      <c r="D1233" s="129" t="s">
        <v>3479</v>
      </c>
      <c r="E1233" s="129">
        <v>367</v>
      </c>
      <c r="F1233" s="129">
        <v>0</v>
      </c>
      <c r="G1233" s="129">
        <v>269</v>
      </c>
      <c r="H1233" s="129">
        <v>0</v>
      </c>
      <c r="I1233" s="129">
        <v>73.3</v>
      </c>
      <c r="J1233" s="129">
        <v>28.2</v>
      </c>
      <c r="K1233" s="129">
        <v>0</v>
      </c>
      <c r="L1233" s="129">
        <f t="shared" si="361"/>
        <v>367</v>
      </c>
      <c r="M1233" s="129">
        <f t="shared" si="362"/>
        <v>269</v>
      </c>
      <c r="N1233" s="128">
        <f t="shared" si="363"/>
        <v>0.73299999999999998</v>
      </c>
      <c r="O1233" s="164">
        <f t="shared" si="364"/>
        <v>0</v>
      </c>
      <c r="P1233" s="185">
        <f t="shared" si="365"/>
        <v>28.2</v>
      </c>
      <c r="Q1233" s="185">
        <f t="shared" si="366"/>
        <v>28.2</v>
      </c>
      <c r="R1233" s="162" t="b">
        <f t="shared" si="367"/>
        <v>0</v>
      </c>
    </row>
    <row r="1234" spans="1:18">
      <c r="A1234" s="129" t="s">
        <v>475</v>
      </c>
      <c r="B1234" s="129" t="s">
        <v>4103</v>
      </c>
      <c r="C1234" s="129">
        <v>8794</v>
      </c>
      <c r="D1234" s="129" t="s">
        <v>3481</v>
      </c>
      <c r="E1234" s="129">
        <v>573</v>
      </c>
      <c r="F1234" s="129">
        <v>0</v>
      </c>
      <c r="G1234" s="129">
        <v>32</v>
      </c>
      <c r="H1234" s="129">
        <v>0</v>
      </c>
      <c r="I1234" s="129">
        <v>5.58</v>
      </c>
      <c r="J1234" s="129">
        <v>0</v>
      </c>
      <c r="K1234" s="129">
        <v>0</v>
      </c>
      <c r="L1234" s="129">
        <f t="shared" si="361"/>
        <v>573</v>
      </c>
      <c r="M1234" s="129">
        <f t="shared" si="362"/>
        <v>32</v>
      </c>
      <c r="N1234" s="128">
        <f t="shared" si="363"/>
        <v>5.5800000000000002E-2</v>
      </c>
      <c r="O1234" s="164">
        <f t="shared" si="364"/>
        <v>0</v>
      </c>
      <c r="P1234" s="185">
        <f t="shared" si="365"/>
        <v>0</v>
      </c>
      <c r="Q1234" s="185">
        <f t="shared" si="366"/>
        <v>0</v>
      </c>
      <c r="R1234" s="162" t="b">
        <f t="shared" si="367"/>
        <v>0</v>
      </c>
    </row>
    <row r="1235" spans="1:18">
      <c r="A1235" s="129" t="s">
        <v>475</v>
      </c>
      <c r="B1235" s="129" t="s">
        <v>4103</v>
      </c>
      <c r="C1235" s="129">
        <v>8796</v>
      </c>
      <c r="D1235" s="129" t="s">
        <v>3483</v>
      </c>
      <c r="E1235" s="129">
        <v>386</v>
      </c>
      <c r="F1235" s="129">
        <v>0</v>
      </c>
      <c r="G1235" s="129">
        <v>196</v>
      </c>
      <c r="H1235" s="129">
        <v>0</v>
      </c>
      <c r="I1235" s="129">
        <v>50.78</v>
      </c>
      <c r="J1235" s="129">
        <v>20.6</v>
      </c>
      <c r="K1235" s="129">
        <v>0</v>
      </c>
      <c r="L1235" s="129">
        <f t="shared" si="361"/>
        <v>386</v>
      </c>
      <c r="M1235" s="129">
        <f t="shared" si="362"/>
        <v>196</v>
      </c>
      <c r="N1235" s="128">
        <f t="shared" si="363"/>
        <v>0.50780000000000003</v>
      </c>
      <c r="O1235" s="164">
        <f t="shared" si="364"/>
        <v>0</v>
      </c>
      <c r="P1235" s="185">
        <f t="shared" si="365"/>
        <v>20.6</v>
      </c>
      <c r="Q1235" s="185">
        <f t="shared" si="366"/>
        <v>20.6</v>
      </c>
      <c r="R1235" s="162" t="b">
        <f t="shared" si="367"/>
        <v>0</v>
      </c>
    </row>
    <row r="1236" spans="1:18">
      <c r="A1236" s="129" t="s">
        <v>475</v>
      </c>
      <c r="B1236" s="129" t="s">
        <v>4103</v>
      </c>
      <c r="C1236" s="129">
        <v>8805</v>
      </c>
      <c r="D1236" s="129" t="s">
        <v>3485</v>
      </c>
      <c r="E1236" s="129">
        <v>306</v>
      </c>
      <c r="F1236" s="129">
        <v>0</v>
      </c>
      <c r="G1236" s="129">
        <v>98</v>
      </c>
      <c r="H1236" s="129">
        <v>0</v>
      </c>
      <c r="I1236" s="129">
        <v>32.03</v>
      </c>
      <c r="J1236" s="129">
        <v>0</v>
      </c>
      <c r="K1236" s="129">
        <v>0</v>
      </c>
      <c r="L1236" s="129">
        <f t="shared" si="361"/>
        <v>306</v>
      </c>
      <c r="M1236" s="129">
        <f t="shared" si="362"/>
        <v>98</v>
      </c>
      <c r="N1236" s="128">
        <f t="shared" si="363"/>
        <v>0.32029999999999997</v>
      </c>
      <c r="O1236" s="164">
        <f t="shared" si="364"/>
        <v>0</v>
      </c>
      <c r="P1236" s="185">
        <f t="shared" si="365"/>
        <v>0</v>
      </c>
      <c r="Q1236" s="185">
        <f t="shared" si="366"/>
        <v>0</v>
      </c>
      <c r="R1236" s="162" t="b">
        <f t="shared" si="367"/>
        <v>0</v>
      </c>
    </row>
    <row r="1237" spans="1:18">
      <c r="A1237" s="129" t="s">
        <v>475</v>
      </c>
      <c r="B1237" s="129" t="s">
        <v>4103</v>
      </c>
      <c r="C1237" s="129">
        <v>8806</v>
      </c>
      <c r="D1237" s="129" t="s">
        <v>3487</v>
      </c>
      <c r="E1237" s="129">
        <v>343</v>
      </c>
      <c r="F1237" s="129">
        <v>0</v>
      </c>
      <c r="G1237" s="129">
        <v>27</v>
      </c>
      <c r="H1237" s="129">
        <v>0</v>
      </c>
      <c r="I1237" s="129">
        <v>7.87</v>
      </c>
      <c r="J1237" s="129">
        <v>0</v>
      </c>
      <c r="K1237" s="129">
        <v>0</v>
      </c>
      <c r="L1237" s="129">
        <f t="shared" si="361"/>
        <v>343</v>
      </c>
      <c r="M1237" s="129">
        <f t="shared" si="362"/>
        <v>27</v>
      </c>
      <c r="N1237" s="128">
        <f t="shared" si="363"/>
        <v>7.8700000000000006E-2</v>
      </c>
      <c r="O1237" s="164">
        <f t="shared" si="364"/>
        <v>0</v>
      </c>
      <c r="P1237" s="185">
        <f t="shared" si="365"/>
        <v>0</v>
      </c>
      <c r="Q1237" s="185">
        <f t="shared" si="366"/>
        <v>0</v>
      </c>
      <c r="R1237" s="162" t="b">
        <f t="shared" si="367"/>
        <v>0</v>
      </c>
    </row>
    <row r="1238" spans="1:18">
      <c r="A1238" s="129" t="s">
        <v>475</v>
      </c>
      <c r="B1238" s="129" t="s">
        <v>4103</v>
      </c>
      <c r="C1238" s="129">
        <v>8808</v>
      </c>
      <c r="D1238" s="129" t="s">
        <v>3489</v>
      </c>
      <c r="E1238" s="129">
        <v>411</v>
      </c>
      <c r="F1238" s="129">
        <v>0</v>
      </c>
      <c r="G1238" s="129">
        <v>98</v>
      </c>
      <c r="H1238" s="129">
        <v>0</v>
      </c>
      <c r="I1238" s="129">
        <v>23.84</v>
      </c>
      <c r="J1238" s="129">
        <v>0</v>
      </c>
      <c r="K1238" s="129">
        <v>0</v>
      </c>
      <c r="L1238" s="129">
        <f t="shared" si="361"/>
        <v>411</v>
      </c>
      <c r="M1238" s="129">
        <f t="shared" si="362"/>
        <v>98</v>
      </c>
      <c r="N1238" s="128">
        <f t="shared" si="363"/>
        <v>0.2384</v>
      </c>
      <c r="O1238" s="164">
        <f t="shared" si="364"/>
        <v>0</v>
      </c>
      <c r="P1238" s="185">
        <f t="shared" si="365"/>
        <v>0</v>
      </c>
      <c r="Q1238" s="185">
        <f t="shared" si="366"/>
        <v>0</v>
      </c>
      <c r="R1238" s="162" t="b">
        <f t="shared" si="367"/>
        <v>0</v>
      </c>
    </row>
    <row r="1239" spans="1:18">
      <c r="A1239" s="129" t="s">
        <v>475</v>
      </c>
      <c r="B1239" s="129" t="s">
        <v>4103</v>
      </c>
      <c r="C1239" s="129">
        <v>8812</v>
      </c>
      <c r="D1239" s="129" t="s">
        <v>3491</v>
      </c>
      <c r="E1239" s="129">
        <v>500</v>
      </c>
      <c r="F1239" s="129">
        <v>0</v>
      </c>
      <c r="G1239" s="129">
        <v>392</v>
      </c>
      <c r="H1239" s="129">
        <v>0</v>
      </c>
      <c r="I1239" s="129">
        <v>78.400000000000006</v>
      </c>
      <c r="J1239" s="129">
        <v>41.2</v>
      </c>
      <c r="K1239" s="129">
        <v>0</v>
      </c>
      <c r="L1239" s="129">
        <f t="shared" si="361"/>
        <v>500</v>
      </c>
      <c r="M1239" s="129">
        <f t="shared" si="362"/>
        <v>392</v>
      </c>
      <c r="N1239" s="128">
        <f t="shared" si="363"/>
        <v>0.78400000000000003</v>
      </c>
      <c r="O1239" s="164">
        <f t="shared" si="364"/>
        <v>0</v>
      </c>
      <c r="P1239" s="185">
        <f t="shared" si="365"/>
        <v>41.2</v>
      </c>
      <c r="Q1239" s="185">
        <f t="shared" si="366"/>
        <v>41.2</v>
      </c>
      <c r="R1239" s="162" t="b">
        <f t="shared" si="367"/>
        <v>0</v>
      </c>
    </row>
    <row r="1240" spans="1:18">
      <c r="A1240" s="129" t="s">
        <v>475</v>
      </c>
      <c r="B1240" s="129" t="s">
        <v>4103</v>
      </c>
      <c r="C1240" s="129">
        <v>8815</v>
      </c>
      <c r="D1240" s="129" t="s">
        <v>3493</v>
      </c>
      <c r="E1240" s="129">
        <v>417</v>
      </c>
      <c r="F1240" s="129">
        <v>0</v>
      </c>
      <c r="G1240" s="129">
        <v>202</v>
      </c>
      <c r="H1240" s="129">
        <v>0</v>
      </c>
      <c r="I1240" s="129">
        <v>48.44</v>
      </c>
      <c r="J1240" s="129">
        <v>0</v>
      </c>
      <c r="K1240" s="129">
        <v>19</v>
      </c>
      <c r="L1240" s="129">
        <f t="shared" si="361"/>
        <v>417</v>
      </c>
      <c r="M1240" s="129">
        <f t="shared" si="362"/>
        <v>202</v>
      </c>
      <c r="N1240" s="128">
        <f t="shared" si="363"/>
        <v>0.4844</v>
      </c>
      <c r="O1240" s="164">
        <f t="shared" si="364"/>
        <v>19</v>
      </c>
      <c r="P1240" s="185">
        <f t="shared" si="365"/>
        <v>0</v>
      </c>
      <c r="Q1240" s="185">
        <f t="shared" si="366"/>
        <v>19</v>
      </c>
      <c r="R1240" s="162" t="b">
        <f t="shared" si="367"/>
        <v>0</v>
      </c>
    </row>
    <row r="1241" spans="1:18">
      <c r="A1241" s="129" t="s">
        <v>475</v>
      </c>
      <c r="B1241" s="129" t="s">
        <v>4103</v>
      </c>
      <c r="C1241" s="129">
        <v>8816</v>
      </c>
      <c r="D1241" s="129" t="s">
        <v>3495</v>
      </c>
      <c r="E1241" s="129">
        <v>477</v>
      </c>
      <c r="F1241" s="129">
        <v>0</v>
      </c>
      <c r="G1241" s="129">
        <v>131</v>
      </c>
      <c r="H1241" s="129">
        <v>0</v>
      </c>
      <c r="I1241" s="129">
        <v>27.46</v>
      </c>
      <c r="J1241" s="129">
        <v>0</v>
      </c>
      <c r="K1241" s="129">
        <v>0</v>
      </c>
      <c r="L1241" s="129">
        <f t="shared" si="361"/>
        <v>477</v>
      </c>
      <c r="M1241" s="129">
        <f t="shared" si="362"/>
        <v>131</v>
      </c>
      <c r="N1241" s="128">
        <f t="shared" si="363"/>
        <v>0.27460000000000001</v>
      </c>
      <c r="O1241" s="164">
        <f t="shared" si="364"/>
        <v>0</v>
      </c>
      <c r="P1241" s="185">
        <f t="shared" si="365"/>
        <v>0</v>
      </c>
      <c r="Q1241" s="185">
        <f t="shared" si="366"/>
        <v>0</v>
      </c>
      <c r="R1241" s="162" t="b">
        <f t="shared" si="367"/>
        <v>0</v>
      </c>
    </row>
    <row r="1242" spans="1:18">
      <c r="A1242" s="129" t="s">
        <v>475</v>
      </c>
      <c r="B1242" s="129" t="s">
        <v>4103</v>
      </c>
      <c r="C1242" s="129">
        <v>8819</v>
      </c>
      <c r="D1242" s="129" t="s">
        <v>3497</v>
      </c>
      <c r="E1242" s="129">
        <v>497</v>
      </c>
      <c r="F1242" s="129">
        <v>0</v>
      </c>
      <c r="G1242" s="129">
        <v>81</v>
      </c>
      <c r="H1242" s="129">
        <v>0</v>
      </c>
      <c r="I1242" s="129">
        <v>16.3</v>
      </c>
      <c r="J1242" s="129">
        <v>0</v>
      </c>
      <c r="K1242" s="129">
        <v>0</v>
      </c>
      <c r="L1242" s="129">
        <f t="shared" si="361"/>
        <v>497</v>
      </c>
      <c r="M1242" s="129">
        <f t="shared" si="362"/>
        <v>81</v>
      </c>
      <c r="N1242" s="128">
        <f t="shared" si="363"/>
        <v>0.16300000000000001</v>
      </c>
      <c r="O1242" s="164">
        <f t="shared" si="364"/>
        <v>0</v>
      </c>
      <c r="P1242" s="185">
        <f t="shared" si="365"/>
        <v>0</v>
      </c>
      <c r="Q1242" s="185">
        <f t="shared" si="366"/>
        <v>0</v>
      </c>
      <c r="R1242" s="162" t="b">
        <f t="shared" si="367"/>
        <v>0</v>
      </c>
    </row>
    <row r="1243" spans="1:18">
      <c r="A1243" s="129" t="s">
        <v>475</v>
      </c>
      <c r="B1243" s="129" t="s">
        <v>4103</v>
      </c>
      <c r="C1243" s="129">
        <v>8822</v>
      </c>
      <c r="D1243" s="129" t="s">
        <v>3499</v>
      </c>
      <c r="E1243" s="129">
        <v>433</v>
      </c>
      <c r="F1243" s="129">
        <v>0</v>
      </c>
      <c r="G1243" s="129">
        <v>252</v>
      </c>
      <c r="H1243" s="129">
        <v>0</v>
      </c>
      <c r="I1243" s="129">
        <v>58.2</v>
      </c>
      <c r="J1243" s="129">
        <v>26.5</v>
      </c>
      <c r="K1243" s="129">
        <v>0</v>
      </c>
      <c r="L1243" s="129">
        <f t="shared" si="361"/>
        <v>433</v>
      </c>
      <c r="M1243" s="129">
        <f t="shared" si="362"/>
        <v>252</v>
      </c>
      <c r="N1243" s="128">
        <f t="shared" si="363"/>
        <v>0.58199999999999996</v>
      </c>
      <c r="O1243" s="164">
        <f t="shared" si="364"/>
        <v>0</v>
      </c>
      <c r="P1243" s="185">
        <f t="shared" si="365"/>
        <v>26.5</v>
      </c>
      <c r="Q1243" s="185">
        <f t="shared" si="366"/>
        <v>26.5</v>
      </c>
      <c r="R1243" s="162" t="b">
        <f t="shared" si="367"/>
        <v>0</v>
      </c>
    </row>
    <row r="1244" spans="1:18">
      <c r="A1244" s="129" t="s">
        <v>475</v>
      </c>
      <c r="B1244" s="129" t="s">
        <v>4103</v>
      </c>
      <c r="C1244" s="129">
        <v>8824</v>
      </c>
      <c r="D1244" s="129" t="s">
        <v>3501</v>
      </c>
      <c r="E1244" s="129">
        <v>510</v>
      </c>
      <c r="F1244" s="129">
        <v>0</v>
      </c>
      <c r="G1244" s="129">
        <v>109</v>
      </c>
      <c r="H1244" s="129">
        <v>0</v>
      </c>
      <c r="I1244" s="129">
        <v>21.37</v>
      </c>
      <c r="J1244" s="129">
        <v>0</v>
      </c>
      <c r="K1244" s="129">
        <v>0</v>
      </c>
      <c r="L1244" s="129">
        <f t="shared" si="361"/>
        <v>510</v>
      </c>
      <c r="M1244" s="129">
        <f t="shared" si="362"/>
        <v>109</v>
      </c>
      <c r="N1244" s="128">
        <f t="shared" si="363"/>
        <v>0.2137</v>
      </c>
      <c r="O1244" s="164">
        <f t="shared" si="364"/>
        <v>0</v>
      </c>
      <c r="P1244" s="185">
        <f t="shared" si="365"/>
        <v>0</v>
      </c>
      <c r="Q1244" s="185">
        <f t="shared" si="366"/>
        <v>0</v>
      </c>
      <c r="R1244" s="162" t="b">
        <f t="shared" si="367"/>
        <v>0</v>
      </c>
    </row>
    <row r="1245" spans="1:18">
      <c r="A1245" s="129" t="s">
        <v>475</v>
      </c>
      <c r="B1245" s="129" t="s">
        <v>4103</v>
      </c>
      <c r="C1245" s="129">
        <v>8826</v>
      </c>
      <c r="D1245" s="129" t="s">
        <v>3503</v>
      </c>
      <c r="E1245" s="129">
        <v>374</v>
      </c>
      <c r="F1245" s="129">
        <v>0</v>
      </c>
      <c r="G1245" s="129">
        <v>170</v>
      </c>
      <c r="H1245" s="129">
        <v>0</v>
      </c>
      <c r="I1245" s="129">
        <v>45.45</v>
      </c>
      <c r="J1245" s="129">
        <v>0</v>
      </c>
      <c r="K1245" s="129">
        <v>12.4</v>
      </c>
      <c r="L1245" s="129">
        <f t="shared" si="361"/>
        <v>374</v>
      </c>
      <c r="M1245" s="129">
        <f t="shared" si="362"/>
        <v>170</v>
      </c>
      <c r="N1245" s="128">
        <f t="shared" si="363"/>
        <v>0.45450000000000002</v>
      </c>
      <c r="O1245" s="164">
        <f t="shared" si="364"/>
        <v>12.4</v>
      </c>
      <c r="P1245" s="185">
        <f t="shared" si="365"/>
        <v>0</v>
      </c>
      <c r="Q1245" s="185">
        <f t="shared" si="366"/>
        <v>12.4</v>
      </c>
      <c r="R1245" s="162" t="b">
        <f t="shared" si="367"/>
        <v>0</v>
      </c>
    </row>
    <row r="1246" spans="1:18">
      <c r="A1246" s="129" t="s">
        <v>475</v>
      </c>
      <c r="B1246" s="129" t="s">
        <v>4103</v>
      </c>
      <c r="C1246" s="129">
        <v>8828</v>
      </c>
      <c r="D1246" s="129" t="s">
        <v>3505</v>
      </c>
      <c r="E1246" s="129">
        <v>400</v>
      </c>
      <c r="F1246" s="129">
        <v>0</v>
      </c>
      <c r="G1246" s="129">
        <v>176</v>
      </c>
      <c r="H1246" s="129">
        <v>0</v>
      </c>
      <c r="I1246" s="129">
        <v>44</v>
      </c>
      <c r="J1246" s="129">
        <v>0</v>
      </c>
      <c r="K1246" s="129">
        <v>11.1</v>
      </c>
      <c r="L1246" s="129">
        <f t="shared" si="361"/>
        <v>400</v>
      </c>
      <c r="M1246" s="129">
        <f t="shared" si="362"/>
        <v>176</v>
      </c>
      <c r="N1246" s="128">
        <f t="shared" si="363"/>
        <v>0.44</v>
      </c>
      <c r="O1246" s="164">
        <f t="shared" si="364"/>
        <v>11.1</v>
      </c>
      <c r="P1246" s="185">
        <f t="shared" si="365"/>
        <v>0</v>
      </c>
      <c r="Q1246" s="185">
        <f t="shared" si="366"/>
        <v>11.1</v>
      </c>
      <c r="R1246" s="162" t="b">
        <f t="shared" si="367"/>
        <v>0</v>
      </c>
    </row>
    <row r="1247" spans="1:18">
      <c r="A1247" s="129" t="s">
        <v>475</v>
      </c>
      <c r="B1247" s="129" t="s">
        <v>4103</v>
      </c>
      <c r="C1247" s="129">
        <v>8832</v>
      </c>
      <c r="D1247" s="129" t="s">
        <v>3507</v>
      </c>
      <c r="E1247" s="129">
        <v>458</v>
      </c>
      <c r="F1247" s="129">
        <v>0</v>
      </c>
      <c r="G1247" s="129">
        <v>27</v>
      </c>
      <c r="H1247" s="129">
        <v>0</v>
      </c>
      <c r="I1247" s="129">
        <v>5.9</v>
      </c>
      <c r="J1247" s="129">
        <v>0</v>
      </c>
      <c r="K1247" s="129">
        <v>0</v>
      </c>
      <c r="L1247" s="129">
        <f t="shared" si="361"/>
        <v>458</v>
      </c>
      <c r="M1247" s="129">
        <f t="shared" si="362"/>
        <v>27</v>
      </c>
      <c r="N1247" s="128">
        <f t="shared" si="363"/>
        <v>5.8999999999999997E-2</v>
      </c>
      <c r="O1247" s="164">
        <f t="shared" si="364"/>
        <v>0</v>
      </c>
      <c r="P1247" s="185">
        <f t="shared" si="365"/>
        <v>0</v>
      </c>
      <c r="Q1247" s="185">
        <f t="shared" si="366"/>
        <v>0</v>
      </c>
      <c r="R1247" s="162" t="b">
        <f t="shared" si="367"/>
        <v>0</v>
      </c>
    </row>
    <row r="1248" spans="1:18">
      <c r="A1248" s="129" t="s">
        <v>475</v>
      </c>
      <c r="B1248" s="129" t="s">
        <v>4103</v>
      </c>
      <c r="C1248" s="129">
        <v>8834</v>
      </c>
      <c r="D1248" s="129" t="s">
        <v>3509</v>
      </c>
      <c r="E1248" s="129">
        <v>410</v>
      </c>
      <c r="F1248" s="129">
        <v>0</v>
      </c>
      <c r="G1248" s="129">
        <v>121</v>
      </c>
      <c r="H1248" s="129">
        <v>0</v>
      </c>
      <c r="I1248" s="129">
        <v>29.51</v>
      </c>
      <c r="J1248" s="129">
        <v>0</v>
      </c>
      <c r="K1248" s="129">
        <v>0</v>
      </c>
      <c r="L1248" s="129">
        <f t="shared" si="361"/>
        <v>410</v>
      </c>
      <c r="M1248" s="129">
        <f t="shared" si="362"/>
        <v>121</v>
      </c>
      <c r="N1248" s="128">
        <f t="shared" si="363"/>
        <v>0.29509999999999997</v>
      </c>
      <c r="O1248" s="164">
        <f t="shared" si="364"/>
        <v>0</v>
      </c>
      <c r="P1248" s="185">
        <f t="shared" si="365"/>
        <v>0</v>
      </c>
      <c r="Q1248" s="185">
        <f t="shared" si="366"/>
        <v>0</v>
      </c>
      <c r="R1248" s="162" t="b">
        <f t="shared" si="367"/>
        <v>0</v>
      </c>
    </row>
    <row r="1249" spans="1:18">
      <c r="A1249" s="129" t="s">
        <v>475</v>
      </c>
      <c r="B1249" s="129" t="s">
        <v>4103</v>
      </c>
      <c r="C1249" s="129">
        <v>8836</v>
      </c>
      <c r="D1249" s="129" t="s">
        <v>3511</v>
      </c>
      <c r="E1249" s="129">
        <v>459</v>
      </c>
      <c r="F1249" s="129">
        <v>0</v>
      </c>
      <c r="G1249" s="129">
        <v>168</v>
      </c>
      <c r="H1249" s="129">
        <v>0</v>
      </c>
      <c r="I1249" s="129">
        <v>36.6</v>
      </c>
      <c r="J1249" s="129">
        <v>0</v>
      </c>
      <c r="K1249" s="129">
        <v>1.9</v>
      </c>
      <c r="L1249" s="129">
        <f t="shared" si="361"/>
        <v>459</v>
      </c>
      <c r="M1249" s="129">
        <f t="shared" si="362"/>
        <v>168</v>
      </c>
      <c r="N1249" s="128">
        <f t="shared" si="363"/>
        <v>0.36599999999999999</v>
      </c>
      <c r="O1249" s="164">
        <f t="shared" si="364"/>
        <v>1.9</v>
      </c>
      <c r="P1249" s="185">
        <f t="shared" si="365"/>
        <v>0</v>
      </c>
      <c r="Q1249" s="185">
        <f t="shared" si="366"/>
        <v>1.9</v>
      </c>
      <c r="R1249" s="162" t="b">
        <f t="shared" si="367"/>
        <v>0</v>
      </c>
    </row>
    <row r="1250" spans="1:18">
      <c r="A1250" s="129" t="s">
        <v>475</v>
      </c>
      <c r="B1250" s="129" t="s">
        <v>4103</v>
      </c>
      <c r="C1250" s="129">
        <v>8838</v>
      </c>
      <c r="D1250" s="129" t="s">
        <v>3513</v>
      </c>
      <c r="E1250" s="129">
        <v>340</v>
      </c>
      <c r="F1250" s="129">
        <v>0</v>
      </c>
      <c r="G1250" s="129">
        <v>142</v>
      </c>
      <c r="H1250" s="129">
        <v>0</v>
      </c>
      <c r="I1250" s="129">
        <v>41.76</v>
      </c>
      <c r="J1250" s="129">
        <v>0</v>
      </c>
      <c r="K1250" s="129">
        <v>6.7</v>
      </c>
      <c r="L1250" s="129">
        <f t="shared" si="361"/>
        <v>340</v>
      </c>
      <c r="M1250" s="129">
        <f t="shared" si="362"/>
        <v>142</v>
      </c>
      <c r="N1250" s="128">
        <f t="shared" si="363"/>
        <v>0.41760000000000003</v>
      </c>
      <c r="O1250" s="164">
        <f t="shared" si="364"/>
        <v>6.7</v>
      </c>
      <c r="P1250" s="185">
        <f t="shared" si="365"/>
        <v>0</v>
      </c>
      <c r="Q1250" s="185">
        <f t="shared" si="366"/>
        <v>6.7</v>
      </c>
      <c r="R1250" s="162" t="b">
        <f t="shared" si="367"/>
        <v>0</v>
      </c>
    </row>
    <row r="1251" spans="1:18">
      <c r="A1251" s="129" t="s">
        <v>475</v>
      </c>
      <c r="B1251" s="129" t="s">
        <v>4103</v>
      </c>
      <c r="C1251" s="129">
        <v>8842</v>
      </c>
      <c r="D1251" s="129" t="s">
        <v>3515</v>
      </c>
      <c r="E1251" s="129">
        <v>464</v>
      </c>
      <c r="F1251" s="129">
        <v>0</v>
      </c>
      <c r="G1251" s="129">
        <v>236</v>
      </c>
      <c r="H1251" s="129">
        <v>0</v>
      </c>
      <c r="I1251" s="129">
        <v>50.86</v>
      </c>
      <c r="J1251" s="129">
        <v>24.8</v>
      </c>
      <c r="K1251" s="129">
        <v>0</v>
      </c>
      <c r="L1251" s="129">
        <f t="shared" si="361"/>
        <v>464</v>
      </c>
      <c r="M1251" s="129">
        <f t="shared" si="362"/>
        <v>236</v>
      </c>
      <c r="N1251" s="128">
        <f t="shared" si="363"/>
        <v>0.50860000000000005</v>
      </c>
      <c r="O1251" s="164">
        <f t="shared" si="364"/>
        <v>0</v>
      </c>
      <c r="P1251" s="185">
        <f t="shared" si="365"/>
        <v>24.8</v>
      </c>
      <c r="Q1251" s="185">
        <f t="shared" si="366"/>
        <v>24.8</v>
      </c>
      <c r="R1251" s="162" t="b">
        <f t="shared" si="367"/>
        <v>0</v>
      </c>
    </row>
    <row r="1252" spans="1:18">
      <c r="A1252" s="129" t="s">
        <v>475</v>
      </c>
      <c r="B1252" s="129" t="s">
        <v>4103</v>
      </c>
      <c r="C1252" s="129">
        <v>8844</v>
      </c>
      <c r="D1252" s="129" t="s">
        <v>3517</v>
      </c>
      <c r="E1252" s="129">
        <v>289</v>
      </c>
      <c r="F1252" s="129">
        <v>0</v>
      </c>
      <c r="G1252" s="129">
        <v>129</v>
      </c>
      <c r="H1252" s="129">
        <v>0</v>
      </c>
      <c r="I1252" s="129">
        <v>44.64</v>
      </c>
      <c r="J1252" s="129">
        <v>0</v>
      </c>
      <c r="K1252" s="129">
        <v>8.6999999999999993</v>
      </c>
      <c r="L1252" s="129">
        <f t="shared" si="361"/>
        <v>289</v>
      </c>
      <c r="M1252" s="129">
        <f t="shared" si="362"/>
        <v>129</v>
      </c>
      <c r="N1252" s="128">
        <f t="shared" si="363"/>
        <v>0.44640000000000002</v>
      </c>
      <c r="O1252" s="164">
        <f t="shared" si="364"/>
        <v>8.6999999999999993</v>
      </c>
      <c r="P1252" s="185">
        <f t="shared" si="365"/>
        <v>0</v>
      </c>
      <c r="Q1252" s="185">
        <f t="shared" si="366"/>
        <v>8.6999999999999993</v>
      </c>
      <c r="R1252" s="162" t="b">
        <f t="shared" si="367"/>
        <v>0</v>
      </c>
    </row>
    <row r="1253" spans="1:18">
      <c r="A1253" s="129" t="s">
        <v>475</v>
      </c>
      <c r="B1253" s="129" t="s">
        <v>4103</v>
      </c>
      <c r="C1253" s="129">
        <v>8846</v>
      </c>
      <c r="D1253" s="129" t="s">
        <v>3519</v>
      </c>
      <c r="E1253" s="129">
        <v>316</v>
      </c>
      <c r="F1253" s="129">
        <v>0</v>
      </c>
      <c r="G1253" s="129">
        <v>94</v>
      </c>
      <c r="H1253" s="129">
        <v>0</v>
      </c>
      <c r="I1253" s="129">
        <v>29.75</v>
      </c>
      <c r="J1253" s="129">
        <v>0</v>
      </c>
      <c r="K1253" s="129">
        <v>0</v>
      </c>
      <c r="L1253" s="129">
        <f t="shared" si="361"/>
        <v>316</v>
      </c>
      <c r="M1253" s="129">
        <f t="shared" si="362"/>
        <v>94</v>
      </c>
      <c r="N1253" s="128">
        <f t="shared" si="363"/>
        <v>0.29749999999999999</v>
      </c>
      <c r="O1253" s="164">
        <f t="shared" si="364"/>
        <v>0</v>
      </c>
      <c r="P1253" s="185">
        <f t="shared" si="365"/>
        <v>0</v>
      </c>
      <c r="Q1253" s="185">
        <f t="shared" si="366"/>
        <v>0</v>
      </c>
      <c r="R1253" s="162" t="b">
        <f t="shared" si="367"/>
        <v>0</v>
      </c>
    </row>
    <row r="1254" spans="1:18">
      <c r="A1254" s="129" t="s">
        <v>475</v>
      </c>
      <c r="B1254" s="129" t="s">
        <v>4103</v>
      </c>
      <c r="C1254" s="129">
        <v>8857</v>
      </c>
      <c r="D1254" s="129" t="s">
        <v>2439</v>
      </c>
      <c r="E1254" s="129">
        <v>397</v>
      </c>
      <c r="F1254" s="129">
        <v>0</v>
      </c>
      <c r="G1254" s="129">
        <v>104</v>
      </c>
      <c r="H1254" s="129">
        <v>0</v>
      </c>
      <c r="I1254" s="129">
        <v>26.2</v>
      </c>
      <c r="J1254" s="129">
        <v>0</v>
      </c>
      <c r="K1254" s="129">
        <v>0</v>
      </c>
      <c r="L1254" s="129">
        <f t="shared" si="361"/>
        <v>397</v>
      </c>
      <c r="M1254" s="129">
        <f t="shared" si="362"/>
        <v>104</v>
      </c>
      <c r="N1254" s="128">
        <f t="shared" si="363"/>
        <v>0.26200000000000001</v>
      </c>
      <c r="O1254" s="164">
        <f t="shared" si="364"/>
        <v>0</v>
      </c>
      <c r="P1254" s="185">
        <f t="shared" si="365"/>
        <v>0</v>
      </c>
      <c r="Q1254" s="185">
        <f t="shared" si="366"/>
        <v>0</v>
      </c>
      <c r="R1254" s="162" t="b">
        <f t="shared" si="367"/>
        <v>0</v>
      </c>
    </row>
    <row r="1255" spans="1:18">
      <c r="A1255" s="129" t="s">
        <v>475</v>
      </c>
      <c r="B1255" s="129" t="s">
        <v>4103</v>
      </c>
      <c r="C1255" s="129">
        <v>8858</v>
      </c>
      <c r="D1255" s="129" t="s">
        <v>1463</v>
      </c>
      <c r="E1255" s="129">
        <v>279</v>
      </c>
      <c r="F1255" s="129">
        <v>0</v>
      </c>
      <c r="G1255" s="129">
        <v>64</v>
      </c>
      <c r="H1255" s="129">
        <v>0</v>
      </c>
      <c r="I1255" s="129">
        <v>22.94</v>
      </c>
      <c r="J1255" s="129">
        <v>0</v>
      </c>
      <c r="K1255" s="129">
        <v>0</v>
      </c>
      <c r="L1255" s="129">
        <f t="shared" si="361"/>
        <v>279</v>
      </c>
      <c r="M1255" s="129">
        <f t="shared" si="362"/>
        <v>64</v>
      </c>
      <c r="N1255" s="128">
        <f t="shared" si="363"/>
        <v>0.22939999999999999</v>
      </c>
      <c r="O1255" s="164">
        <f t="shared" si="364"/>
        <v>0</v>
      </c>
      <c r="P1255" s="185">
        <f t="shared" si="365"/>
        <v>0</v>
      </c>
      <c r="Q1255" s="185">
        <f t="shared" si="366"/>
        <v>0</v>
      </c>
      <c r="R1255" s="162" t="b">
        <f t="shared" si="367"/>
        <v>0</v>
      </c>
    </row>
    <row r="1256" spans="1:18">
      <c r="A1256" s="129" t="s">
        <v>475</v>
      </c>
      <c r="B1256" s="129" t="s">
        <v>4103</v>
      </c>
      <c r="C1256" s="129">
        <v>8860</v>
      </c>
      <c r="D1256" s="129" t="s">
        <v>3523</v>
      </c>
      <c r="E1256" s="129">
        <v>414</v>
      </c>
      <c r="F1256" s="129">
        <v>0</v>
      </c>
      <c r="G1256" s="129">
        <v>50</v>
      </c>
      <c r="H1256" s="129">
        <v>0</v>
      </c>
      <c r="I1256" s="129">
        <v>12.08</v>
      </c>
      <c r="J1256" s="129">
        <v>0</v>
      </c>
      <c r="K1256" s="129">
        <v>0</v>
      </c>
      <c r="L1256" s="129">
        <f t="shared" si="361"/>
        <v>414</v>
      </c>
      <c r="M1256" s="129">
        <f t="shared" si="362"/>
        <v>50</v>
      </c>
      <c r="N1256" s="128">
        <f t="shared" si="363"/>
        <v>0.1208</v>
      </c>
      <c r="O1256" s="164">
        <f t="shared" si="364"/>
        <v>0</v>
      </c>
      <c r="P1256" s="185">
        <f t="shared" si="365"/>
        <v>0</v>
      </c>
      <c r="Q1256" s="185">
        <f t="shared" si="366"/>
        <v>0</v>
      </c>
      <c r="R1256" s="162" t="b">
        <f t="shared" si="367"/>
        <v>0</v>
      </c>
    </row>
    <row r="1257" spans="1:18">
      <c r="A1257" s="129" t="s">
        <v>475</v>
      </c>
      <c r="B1257" s="129" t="s">
        <v>4103</v>
      </c>
      <c r="C1257" s="129">
        <v>8864</v>
      </c>
      <c r="D1257" s="129" t="s">
        <v>3525</v>
      </c>
      <c r="E1257" s="129">
        <v>320</v>
      </c>
      <c r="F1257" s="129">
        <v>0</v>
      </c>
      <c r="G1257" s="129">
        <v>15</v>
      </c>
      <c r="H1257" s="129">
        <v>0</v>
      </c>
      <c r="I1257" s="129">
        <v>4.6900000000000004</v>
      </c>
      <c r="J1257" s="129">
        <v>0</v>
      </c>
      <c r="K1257" s="129">
        <v>0</v>
      </c>
      <c r="L1257" s="129">
        <f t="shared" si="361"/>
        <v>320</v>
      </c>
      <c r="M1257" s="129">
        <f t="shared" si="362"/>
        <v>15</v>
      </c>
      <c r="N1257" s="128">
        <f t="shared" si="363"/>
        <v>4.6899999999999997E-2</v>
      </c>
      <c r="O1257" s="164">
        <f t="shared" si="364"/>
        <v>0</v>
      </c>
      <c r="P1257" s="185">
        <f t="shared" si="365"/>
        <v>0</v>
      </c>
      <c r="Q1257" s="185">
        <f t="shared" si="366"/>
        <v>0</v>
      </c>
      <c r="R1257" s="162" t="b">
        <f t="shared" si="367"/>
        <v>0</v>
      </c>
    </row>
    <row r="1258" spans="1:18">
      <c r="A1258" s="129" t="s">
        <v>475</v>
      </c>
      <c r="B1258" s="129" t="s">
        <v>4103</v>
      </c>
      <c r="C1258" s="129">
        <v>8868</v>
      </c>
      <c r="D1258" s="129" t="s">
        <v>3527</v>
      </c>
      <c r="E1258" s="129">
        <v>751</v>
      </c>
      <c r="F1258" s="129">
        <v>0</v>
      </c>
      <c r="G1258" s="129">
        <v>368</v>
      </c>
      <c r="H1258" s="129">
        <v>0</v>
      </c>
      <c r="I1258" s="129">
        <v>49</v>
      </c>
      <c r="J1258" s="129">
        <v>0</v>
      </c>
      <c r="K1258" s="129">
        <v>36.1</v>
      </c>
      <c r="L1258" s="129">
        <f t="shared" si="361"/>
        <v>751</v>
      </c>
      <c r="M1258" s="129">
        <f t="shared" si="362"/>
        <v>368</v>
      </c>
      <c r="N1258" s="128">
        <f t="shared" si="363"/>
        <v>0.49</v>
      </c>
      <c r="O1258" s="164">
        <f t="shared" si="364"/>
        <v>36.1</v>
      </c>
      <c r="P1258" s="185">
        <f t="shared" si="365"/>
        <v>0</v>
      </c>
      <c r="Q1258" s="185">
        <f t="shared" si="366"/>
        <v>36.1</v>
      </c>
      <c r="R1258" s="162" t="b">
        <f t="shared" si="367"/>
        <v>0</v>
      </c>
    </row>
    <row r="1259" spans="1:18">
      <c r="A1259" s="129" t="s">
        <v>475</v>
      </c>
      <c r="B1259" s="129" t="s">
        <v>4103</v>
      </c>
      <c r="C1259" s="129">
        <v>8870</v>
      </c>
      <c r="D1259" s="129" t="s">
        <v>3529</v>
      </c>
      <c r="E1259" s="129">
        <v>738</v>
      </c>
      <c r="F1259" s="129">
        <v>0</v>
      </c>
      <c r="G1259" s="129">
        <v>333</v>
      </c>
      <c r="H1259" s="129">
        <v>0</v>
      </c>
      <c r="I1259" s="129">
        <v>45.12</v>
      </c>
      <c r="J1259" s="129">
        <v>0</v>
      </c>
      <c r="K1259" s="129">
        <v>23.6</v>
      </c>
      <c r="L1259" s="129">
        <f t="shared" si="361"/>
        <v>738</v>
      </c>
      <c r="M1259" s="129">
        <f t="shared" si="362"/>
        <v>333</v>
      </c>
      <c r="N1259" s="128">
        <f t="shared" si="363"/>
        <v>0.45119999999999999</v>
      </c>
      <c r="O1259" s="164">
        <f t="shared" si="364"/>
        <v>23.6</v>
      </c>
      <c r="P1259" s="185">
        <f t="shared" si="365"/>
        <v>0</v>
      </c>
      <c r="Q1259" s="185">
        <f t="shared" si="366"/>
        <v>23.6</v>
      </c>
      <c r="R1259" s="162" t="b">
        <f t="shared" si="367"/>
        <v>0</v>
      </c>
    </row>
    <row r="1260" spans="1:18">
      <c r="A1260" s="129" t="s">
        <v>475</v>
      </c>
      <c r="B1260" s="129" t="s">
        <v>4103</v>
      </c>
      <c r="C1260" s="129">
        <v>8874</v>
      </c>
      <c r="D1260" s="129" t="s">
        <v>3531</v>
      </c>
      <c r="E1260" s="129">
        <v>866</v>
      </c>
      <c r="F1260" s="129">
        <v>0</v>
      </c>
      <c r="G1260" s="129">
        <v>92</v>
      </c>
      <c r="H1260" s="129">
        <v>0</v>
      </c>
      <c r="I1260" s="129">
        <v>10.62</v>
      </c>
      <c r="J1260" s="129">
        <v>0</v>
      </c>
      <c r="K1260" s="129">
        <v>0</v>
      </c>
      <c r="L1260" s="129">
        <f t="shared" si="361"/>
        <v>866</v>
      </c>
      <c r="M1260" s="129">
        <f t="shared" si="362"/>
        <v>92</v>
      </c>
      <c r="N1260" s="128">
        <f t="shared" si="363"/>
        <v>0.1062</v>
      </c>
      <c r="O1260" s="164">
        <f t="shared" si="364"/>
        <v>0</v>
      </c>
      <c r="P1260" s="185">
        <f t="shared" si="365"/>
        <v>0</v>
      </c>
      <c r="Q1260" s="185">
        <f t="shared" si="366"/>
        <v>0</v>
      </c>
      <c r="R1260" s="162" t="b">
        <f t="shared" si="367"/>
        <v>0</v>
      </c>
    </row>
    <row r="1261" spans="1:18">
      <c r="A1261" s="129" t="s">
        <v>475</v>
      </c>
      <c r="B1261" s="129" t="s">
        <v>4103</v>
      </c>
      <c r="C1261" s="129">
        <v>8880</v>
      </c>
      <c r="D1261" s="129" t="s">
        <v>3533</v>
      </c>
      <c r="E1261" s="129">
        <v>770</v>
      </c>
      <c r="F1261" s="129">
        <v>0</v>
      </c>
      <c r="G1261" s="129">
        <v>244</v>
      </c>
      <c r="H1261" s="129">
        <v>0</v>
      </c>
      <c r="I1261" s="129">
        <v>31.69</v>
      </c>
      <c r="J1261" s="129">
        <v>0</v>
      </c>
      <c r="K1261" s="129">
        <v>0</v>
      </c>
      <c r="L1261" s="129">
        <f t="shared" ref="L1261:L1267" si="368">SUM(E1261:F1261)</f>
        <v>770</v>
      </c>
      <c r="M1261" s="129">
        <f t="shared" ref="M1261:M1267" si="369">SUM(G1261:H1261)</f>
        <v>244</v>
      </c>
      <c r="N1261" s="128">
        <f t="shared" ref="N1261:N1267" si="370">IF(ISERROR(M1261/L1261),0,M1261/L1261)</f>
        <v>0.31690000000000002</v>
      </c>
      <c r="O1261" s="164">
        <f t="shared" ref="O1261:O1267" si="371">IF(AND((N1261-35%)&gt;0,N1261&lt;50%),M1261*(N1261-35%)*0.7,0)</f>
        <v>0</v>
      </c>
      <c r="P1261" s="185">
        <f t="shared" ref="P1261:P1267" si="372">IF(N1261&gt;=50%,M1261*10.5%,0)</f>
        <v>0</v>
      </c>
      <c r="Q1261" s="185">
        <f t="shared" ref="Q1261:Q1267" si="373">MAX(O1261,P1261)</f>
        <v>0</v>
      </c>
      <c r="R1261" s="162" t="b">
        <f t="shared" si="367"/>
        <v>0</v>
      </c>
    </row>
    <row r="1262" spans="1:18">
      <c r="A1262" s="129" t="s">
        <v>475</v>
      </c>
      <c r="B1262" s="129" t="s">
        <v>4103</v>
      </c>
      <c r="C1262" s="129">
        <v>8884</v>
      </c>
      <c r="D1262" s="129" t="s">
        <v>3535</v>
      </c>
      <c r="E1262" s="129">
        <v>744</v>
      </c>
      <c r="F1262" s="129">
        <v>0</v>
      </c>
      <c r="G1262" s="129">
        <v>265</v>
      </c>
      <c r="H1262" s="129">
        <v>0</v>
      </c>
      <c r="I1262" s="129">
        <v>35.619999999999997</v>
      </c>
      <c r="J1262" s="129">
        <v>0</v>
      </c>
      <c r="K1262" s="129">
        <v>1.2</v>
      </c>
      <c r="L1262" s="129">
        <f t="shared" si="368"/>
        <v>744</v>
      </c>
      <c r="M1262" s="129">
        <f t="shared" si="369"/>
        <v>265</v>
      </c>
      <c r="N1262" s="128">
        <f t="shared" si="370"/>
        <v>0.35620000000000002</v>
      </c>
      <c r="O1262" s="164">
        <f t="shared" si="371"/>
        <v>1.2</v>
      </c>
      <c r="P1262" s="185">
        <f t="shared" si="372"/>
        <v>0</v>
      </c>
      <c r="Q1262" s="185">
        <f t="shared" si="373"/>
        <v>1.2</v>
      </c>
      <c r="R1262" s="162" t="b">
        <f t="shared" si="367"/>
        <v>0</v>
      </c>
    </row>
    <row r="1263" spans="1:18">
      <c r="A1263" s="129" t="s">
        <v>475</v>
      </c>
      <c r="B1263" s="129" t="s">
        <v>4103</v>
      </c>
      <c r="C1263" s="129">
        <v>8886</v>
      </c>
      <c r="D1263" s="129" t="s">
        <v>3537</v>
      </c>
      <c r="E1263" s="129">
        <v>1669</v>
      </c>
      <c r="F1263" s="129">
        <v>0</v>
      </c>
      <c r="G1263" s="129">
        <v>167</v>
      </c>
      <c r="H1263" s="129">
        <v>0</v>
      </c>
      <c r="I1263" s="129">
        <v>10.01</v>
      </c>
      <c r="J1263" s="129">
        <v>0</v>
      </c>
      <c r="K1263" s="129">
        <v>0</v>
      </c>
      <c r="L1263" s="129">
        <f t="shared" si="368"/>
        <v>1669</v>
      </c>
      <c r="M1263" s="129">
        <f t="shared" si="369"/>
        <v>167</v>
      </c>
      <c r="N1263" s="128">
        <f t="shared" si="370"/>
        <v>0.10009999999999999</v>
      </c>
      <c r="O1263" s="164">
        <f t="shared" si="371"/>
        <v>0</v>
      </c>
      <c r="P1263" s="185">
        <f t="shared" si="372"/>
        <v>0</v>
      </c>
      <c r="Q1263" s="185">
        <f t="shared" si="373"/>
        <v>0</v>
      </c>
      <c r="R1263" s="162" t="b">
        <f t="shared" si="367"/>
        <v>0</v>
      </c>
    </row>
    <row r="1264" spans="1:18">
      <c r="A1264" s="129" t="s">
        <v>475</v>
      </c>
      <c r="B1264" s="129" t="s">
        <v>4103</v>
      </c>
      <c r="C1264" s="129">
        <v>8888</v>
      </c>
      <c r="D1264" s="129" t="s">
        <v>3539</v>
      </c>
      <c r="E1264" s="129">
        <v>1504</v>
      </c>
      <c r="F1264" s="129">
        <v>0</v>
      </c>
      <c r="G1264" s="129">
        <v>688</v>
      </c>
      <c r="H1264" s="129">
        <v>0</v>
      </c>
      <c r="I1264" s="129">
        <v>45.74</v>
      </c>
      <c r="J1264" s="129">
        <v>0</v>
      </c>
      <c r="K1264" s="129">
        <v>51.7</v>
      </c>
      <c r="L1264" s="129">
        <f t="shared" si="368"/>
        <v>1504</v>
      </c>
      <c r="M1264" s="129">
        <f t="shared" si="369"/>
        <v>688</v>
      </c>
      <c r="N1264" s="128">
        <f t="shared" si="370"/>
        <v>0.45739999999999997</v>
      </c>
      <c r="O1264" s="164">
        <f t="shared" si="371"/>
        <v>51.7</v>
      </c>
      <c r="P1264" s="185">
        <f t="shared" si="372"/>
        <v>0</v>
      </c>
      <c r="Q1264" s="185">
        <f t="shared" si="373"/>
        <v>51.7</v>
      </c>
      <c r="R1264" s="162" t="b">
        <f t="shared" si="367"/>
        <v>0</v>
      </c>
    </row>
    <row r="1265" spans="1:18">
      <c r="A1265" s="129" t="s">
        <v>475</v>
      </c>
      <c r="B1265" s="129" t="s">
        <v>4103</v>
      </c>
      <c r="C1265" s="129">
        <v>8890</v>
      </c>
      <c r="D1265" s="129" t="s">
        <v>3541</v>
      </c>
      <c r="E1265" s="129">
        <v>1618</v>
      </c>
      <c r="F1265" s="129">
        <v>0</v>
      </c>
      <c r="G1265" s="129">
        <v>529</v>
      </c>
      <c r="H1265" s="129">
        <v>0</v>
      </c>
      <c r="I1265" s="129">
        <v>32.69</v>
      </c>
      <c r="J1265" s="129">
        <v>0</v>
      </c>
      <c r="K1265" s="129">
        <v>0</v>
      </c>
      <c r="L1265" s="129">
        <f t="shared" si="368"/>
        <v>1618</v>
      </c>
      <c r="M1265" s="129">
        <f t="shared" si="369"/>
        <v>529</v>
      </c>
      <c r="N1265" s="128">
        <f t="shared" si="370"/>
        <v>0.32690000000000002</v>
      </c>
      <c r="O1265" s="164">
        <f t="shared" si="371"/>
        <v>0</v>
      </c>
      <c r="P1265" s="185">
        <f t="shared" si="372"/>
        <v>0</v>
      </c>
      <c r="Q1265" s="185">
        <f t="shared" si="373"/>
        <v>0</v>
      </c>
      <c r="R1265" s="162" t="b">
        <f t="shared" si="367"/>
        <v>0</v>
      </c>
    </row>
    <row r="1266" spans="1:18">
      <c r="A1266" s="129" t="s">
        <v>475</v>
      </c>
      <c r="B1266" s="129" t="s">
        <v>4103</v>
      </c>
      <c r="C1266" s="129">
        <v>8892</v>
      </c>
      <c r="D1266" s="129" t="s">
        <v>3543</v>
      </c>
      <c r="E1266" s="129">
        <v>1591</v>
      </c>
      <c r="F1266" s="129">
        <v>0</v>
      </c>
      <c r="G1266" s="129">
        <v>466</v>
      </c>
      <c r="H1266" s="129">
        <v>0</v>
      </c>
      <c r="I1266" s="129">
        <v>29.29</v>
      </c>
      <c r="J1266" s="129">
        <v>0</v>
      </c>
      <c r="K1266" s="129">
        <v>0</v>
      </c>
      <c r="L1266" s="129">
        <f t="shared" si="368"/>
        <v>1591</v>
      </c>
      <c r="M1266" s="129">
        <f t="shared" si="369"/>
        <v>466</v>
      </c>
      <c r="N1266" s="128">
        <f t="shared" si="370"/>
        <v>0.29289999999999999</v>
      </c>
      <c r="O1266" s="164">
        <f t="shared" si="371"/>
        <v>0</v>
      </c>
      <c r="P1266" s="185">
        <f t="shared" si="372"/>
        <v>0</v>
      </c>
      <c r="Q1266" s="185">
        <f t="shared" si="373"/>
        <v>0</v>
      </c>
      <c r="R1266" s="162" t="b">
        <f t="shared" si="367"/>
        <v>0</v>
      </c>
    </row>
    <row r="1267" spans="1:18">
      <c r="A1267" s="129" t="s">
        <v>475</v>
      </c>
      <c r="B1267" s="129" t="s">
        <v>4103</v>
      </c>
      <c r="C1267" s="129">
        <v>8894</v>
      </c>
      <c r="D1267" s="129" t="s">
        <v>3545</v>
      </c>
      <c r="E1267" s="129">
        <v>1617</v>
      </c>
      <c r="F1267" s="129">
        <v>0</v>
      </c>
      <c r="G1267" s="129">
        <v>727</v>
      </c>
      <c r="H1267" s="129">
        <v>0</v>
      </c>
      <c r="I1267" s="129">
        <v>44.96</v>
      </c>
      <c r="J1267" s="129">
        <v>0</v>
      </c>
      <c r="K1267" s="129">
        <v>50.7</v>
      </c>
      <c r="L1267" s="129">
        <f t="shared" si="368"/>
        <v>1617</v>
      </c>
      <c r="M1267" s="129">
        <f t="shared" si="369"/>
        <v>727</v>
      </c>
      <c r="N1267" s="128">
        <f t="shared" si="370"/>
        <v>0.4496</v>
      </c>
      <c r="O1267" s="164">
        <f t="shared" si="371"/>
        <v>50.7</v>
      </c>
      <c r="P1267" s="185">
        <f t="shared" si="372"/>
        <v>0</v>
      </c>
      <c r="Q1267" s="185">
        <f t="shared" si="373"/>
        <v>50.7</v>
      </c>
      <c r="R1267" s="162" t="b">
        <f t="shared" si="367"/>
        <v>0</v>
      </c>
    </row>
    <row r="1268" spans="1:18">
      <c r="A1268" s="129" t="s">
        <v>238</v>
      </c>
      <c r="B1268" s="129" t="s">
        <v>4118</v>
      </c>
      <c r="C1268" s="129">
        <v>1104</v>
      </c>
      <c r="D1268" s="129" t="s">
        <v>1539</v>
      </c>
      <c r="E1268" s="129">
        <v>113</v>
      </c>
      <c r="F1268" s="129">
        <v>0</v>
      </c>
      <c r="G1268" s="129">
        <v>40</v>
      </c>
      <c r="H1268" s="129">
        <v>0</v>
      </c>
      <c r="I1268" s="129">
        <v>35.4</v>
      </c>
      <c r="J1268" s="129">
        <v>0</v>
      </c>
      <c r="K1268" s="129">
        <v>0.1</v>
      </c>
      <c r="L1268" s="129">
        <f t="shared" ref="L1268:L1277" si="374">SUM(E1268:F1268)</f>
        <v>113</v>
      </c>
      <c r="M1268" s="129">
        <f t="shared" ref="M1268:M1277" si="375">SUM(G1268:H1268)</f>
        <v>40</v>
      </c>
      <c r="N1268" s="128">
        <f t="shared" ref="N1268:N1277" si="376">IF(ISERROR(M1268/L1268),0,M1268/L1268)</f>
        <v>0.35399999999999998</v>
      </c>
      <c r="O1268" s="164">
        <f t="shared" ref="O1268:O1277" si="377">IF(AND((N1268-35%)&gt;0,N1268&lt;50%),M1268*(N1268-35%)*0.7,0)</f>
        <v>0.1</v>
      </c>
      <c r="P1268" s="185">
        <f t="shared" ref="P1268:P1277" si="378">IF(N1268&gt;=50%,M1268*10.5%,0)</f>
        <v>0</v>
      </c>
      <c r="Q1268" s="185">
        <f t="shared" ref="Q1268:Q1277" si="379">MAX(O1268,P1268)</f>
        <v>0.1</v>
      </c>
      <c r="R1268" s="162" t="b">
        <f t="shared" si="367"/>
        <v>0</v>
      </c>
    </row>
    <row r="1269" spans="1:18">
      <c r="A1269" s="129" t="s">
        <v>238</v>
      </c>
      <c r="B1269" s="129" t="s">
        <v>4118</v>
      </c>
      <c r="C1269" s="129">
        <v>1106</v>
      </c>
      <c r="D1269" s="129" t="s">
        <v>1541</v>
      </c>
      <c r="E1269" s="129">
        <v>59</v>
      </c>
      <c r="F1269" s="129">
        <v>0</v>
      </c>
      <c r="G1269" s="129">
        <v>13</v>
      </c>
      <c r="H1269" s="129">
        <v>0</v>
      </c>
      <c r="I1269" s="129">
        <v>22</v>
      </c>
      <c r="J1269" s="129">
        <v>0</v>
      </c>
      <c r="K1269" s="129">
        <v>0</v>
      </c>
      <c r="L1269" s="129">
        <f t="shared" si="374"/>
        <v>59</v>
      </c>
      <c r="M1269" s="129">
        <f t="shared" si="375"/>
        <v>13</v>
      </c>
      <c r="N1269" s="128">
        <f t="shared" si="376"/>
        <v>0.2203</v>
      </c>
      <c r="O1269" s="164">
        <f t="shared" si="377"/>
        <v>0</v>
      </c>
      <c r="P1269" s="185">
        <f t="shared" si="378"/>
        <v>0</v>
      </c>
      <c r="Q1269" s="185">
        <f t="shared" si="379"/>
        <v>0</v>
      </c>
      <c r="R1269" s="162" t="b">
        <f t="shared" si="367"/>
        <v>0</v>
      </c>
    </row>
    <row r="1270" spans="1:18">
      <c r="A1270" s="129" t="s">
        <v>349</v>
      </c>
      <c r="B1270" s="129" t="s">
        <v>4121</v>
      </c>
      <c r="C1270" s="129">
        <v>4690</v>
      </c>
      <c r="D1270" s="129" t="s">
        <v>2439</v>
      </c>
      <c r="E1270" s="129">
        <v>379</v>
      </c>
      <c r="F1270" s="129">
        <v>0</v>
      </c>
      <c r="G1270" s="129">
        <v>133</v>
      </c>
      <c r="H1270" s="129">
        <v>0</v>
      </c>
      <c r="I1270" s="129">
        <v>35.1</v>
      </c>
      <c r="J1270" s="129">
        <v>0</v>
      </c>
      <c r="K1270" s="129">
        <v>0.1</v>
      </c>
      <c r="L1270" s="129">
        <f t="shared" si="374"/>
        <v>379</v>
      </c>
      <c r="M1270" s="129">
        <f t="shared" si="375"/>
        <v>133</v>
      </c>
      <c r="N1270" s="128">
        <f t="shared" si="376"/>
        <v>0.35089999999999999</v>
      </c>
      <c r="O1270" s="164">
        <f t="shared" si="377"/>
        <v>0.1</v>
      </c>
      <c r="P1270" s="185">
        <f t="shared" si="378"/>
        <v>0</v>
      </c>
      <c r="Q1270" s="185">
        <f t="shared" si="379"/>
        <v>0.1</v>
      </c>
      <c r="R1270" s="162" t="b">
        <f t="shared" si="367"/>
        <v>0</v>
      </c>
    </row>
    <row r="1271" spans="1:18">
      <c r="A1271" s="129" t="s">
        <v>349</v>
      </c>
      <c r="B1271" s="129" t="s">
        <v>4121</v>
      </c>
      <c r="C1271" s="129">
        <v>4694</v>
      </c>
      <c r="D1271" s="129" t="s">
        <v>2441</v>
      </c>
      <c r="E1271" s="129">
        <v>426</v>
      </c>
      <c r="F1271" s="129">
        <v>0</v>
      </c>
      <c r="G1271" s="129">
        <v>135</v>
      </c>
      <c r="H1271" s="129">
        <v>0</v>
      </c>
      <c r="I1271" s="129">
        <v>31.7</v>
      </c>
      <c r="J1271" s="129">
        <v>0</v>
      </c>
      <c r="K1271" s="129">
        <v>0</v>
      </c>
      <c r="L1271" s="129">
        <f t="shared" si="374"/>
        <v>426</v>
      </c>
      <c r="M1271" s="129">
        <f t="shared" si="375"/>
        <v>135</v>
      </c>
      <c r="N1271" s="128">
        <f t="shared" si="376"/>
        <v>0.31690000000000002</v>
      </c>
      <c r="O1271" s="164">
        <f t="shared" si="377"/>
        <v>0</v>
      </c>
      <c r="P1271" s="185">
        <f t="shared" si="378"/>
        <v>0</v>
      </c>
      <c r="Q1271" s="185">
        <f t="shared" si="379"/>
        <v>0</v>
      </c>
      <c r="R1271" s="162" t="b">
        <f t="shared" si="367"/>
        <v>0</v>
      </c>
    </row>
    <row r="1272" spans="1:18">
      <c r="A1272" s="129" t="s">
        <v>349</v>
      </c>
      <c r="B1272" s="129" t="s">
        <v>4121</v>
      </c>
      <c r="C1272" s="129">
        <v>4700</v>
      </c>
      <c r="D1272" s="129" t="s">
        <v>2443</v>
      </c>
      <c r="E1272" s="129">
        <v>572</v>
      </c>
      <c r="F1272" s="129">
        <v>0</v>
      </c>
      <c r="G1272" s="129">
        <v>151</v>
      </c>
      <c r="H1272" s="129">
        <v>0</v>
      </c>
      <c r="I1272" s="129">
        <v>26.4</v>
      </c>
      <c r="J1272" s="129">
        <v>0</v>
      </c>
      <c r="K1272" s="129">
        <v>0</v>
      </c>
      <c r="L1272" s="129">
        <f t="shared" si="374"/>
        <v>572</v>
      </c>
      <c r="M1272" s="129">
        <f t="shared" si="375"/>
        <v>151</v>
      </c>
      <c r="N1272" s="128">
        <f t="shared" si="376"/>
        <v>0.26400000000000001</v>
      </c>
      <c r="O1272" s="164">
        <f t="shared" si="377"/>
        <v>0</v>
      </c>
      <c r="P1272" s="185">
        <f t="shared" si="378"/>
        <v>0</v>
      </c>
      <c r="Q1272" s="185">
        <f t="shared" si="379"/>
        <v>0</v>
      </c>
      <c r="R1272" s="162" t="b">
        <f t="shared" si="367"/>
        <v>0</v>
      </c>
    </row>
    <row r="1273" spans="1:18">
      <c r="A1273" s="129" t="s">
        <v>349</v>
      </c>
      <c r="B1273" s="129" t="s">
        <v>4121</v>
      </c>
      <c r="C1273" s="129">
        <v>4701</v>
      </c>
      <c r="D1273" s="129" t="s">
        <v>2445</v>
      </c>
      <c r="E1273" s="129">
        <v>356</v>
      </c>
      <c r="F1273" s="129">
        <v>0</v>
      </c>
      <c r="G1273" s="129">
        <v>130</v>
      </c>
      <c r="H1273" s="129">
        <v>0</v>
      </c>
      <c r="I1273" s="129">
        <v>36.5</v>
      </c>
      <c r="J1273" s="129">
        <v>0</v>
      </c>
      <c r="K1273" s="129">
        <v>1.4</v>
      </c>
      <c r="L1273" s="129">
        <f t="shared" si="374"/>
        <v>356</v>
      </c>
      <c r="M1273" s="129">
        <f t="shared" si="375"/>
        <v>130</v>
      </c>
      <c r="N1273" s="128">
        <f t="shared" si="376"/>
        <v>0.36520000000000002</v>
      </c>
      <c r="O1273" s="164">
        <f t="shared" si="377"/>
        <v>1.4</v>
      </c>
      <c r="P1273" s="185">
        <f t="shared" si="378"/>
        <v>0</v>
      </c>
      <c r="Q1273" s="185">
        <f t="shared" si="379"/>
        <v>1.4</v>
      </c>
      <c r="R1273" s="162" t="b">
        <f t="shared" si="367"/>
        <v>0</v>
      </c>
    </row>
    <row r="1274" spans="1:18">
      <c r="A1274" s="129" t="s">
        <v>351</v>
      </c>
      <c r="B1274" s="129" t="s">
        <v>3833</v>
      </c>
      <c r="C1274" s="129">
        <v>4762</v>
      </c>
      <c r="D1274" s="129" t="s">
        <v>2451</v>
      </c>
      <c r="E1274" s="129">
        <v>81</v>
      </c>
      <c r="F1274" s="129">
        <v>0</v>
      </c>
      <c r="G1274" s="129">
        <v>20</v>
      </c>
      <c r="H1274" s="129">
        <v>0</v>
      </c>
      <c r="I1274" s="129">
        <v>24.7</v>
      </c>
      <c r="J1274" s="129">
        <v>0</v>
      </c>
      <c r="K1274" s="129">
        <v>0</v>
      </c>
      <c r="L1274" s="129">
        <f t="shared" si="374"/>
        <v>81</v>
      </c>
      <c r="M1274" s="129">
        <f t="shared" si="375"/>
        <v>20</v>
      </c>
      <c r="N1274" s="128">
        <f t="shared" si="376"/>
        <v>0.24690000000000001</v>
      </c>
      <c r="O1274" s="164">
        <f t="shared" si="377"/>
        <v>0</v>
      </c>
      <c r="P1274" s="185">
        <f t="shared" si="378"/>
        <v>0</v>
      </c>
      <c r="Q1274" s="185">
        <f t="shared" si="379"/>
        <v>0</v>
      </c>
      <c r="R1274" s="162" t="b">
        <f t="shared" si="367"/>
        <v>0</v>
      </c>
    </row>
    <row r="1275" spans="1:18">
      <c r="A1275" s="129" t="s">
        <v>351</v>
      </c>
      <c r="B1275" s="129" t="s">
        <v>3833</v>
      </c>
      <c r="C1275" s="129">
        <v>4764</v>
      </c>
      <c r="D1275" s="129" t="s">
        <v>2453</v>
      </c>
      <c r="E1275" s="129">
        <v>61</v>
      </c>
      <c r="F1275" s="129">
        <v>0</v>
      </c>
      <c r="G1275" s="129">
        <v>15</v>
      </c>
      <c r="H1275" s="129">
        <v>0</v>
      </c>
      <c r="I1275" s="129">
        <v>24.6</v>
      </c>
      <c r="J1275" s="129">
        <v>0</v>
      </c>
      <c r="K1275" s="129">
        <v>0</v>
      </c>
      <c r="L1275" s="129">
        <f t="shared" si="374"/>
        <v>61</v>
      </c>
      <c r="M1275" s="129">
        <f t="shared" si="375"/>
        <v>15</v>
      </c>
      <c r="N1275" s="128">
        <f t="shared" si="376"/>
        <v>0.24590000000000001</v>
      </c>
      <c r="O1275" s="164">
        <f t="shared" si="377"/>
        <v>0</v>
      </c>
      <c r="P1275" s="185">
        <f t="shared" si="378"/>
        <v>0</v>
      </c>
      <c r="Q1275" s="185">
        <f t="shared" si="379"/>
        <v>0</v>
      </c>
      <c r="R1275" s="162" t="b">
        <f t="shared" si="367"/>
        <v>0</v>
      </c>
    </row>
    <row r="1276" spans="1:18">
      <c r="A1276" s="129" t="s">
        <v>444</v>
      </c>
      <c r="B1276" s="129" t="s">
        <v>3919</v>
      </c>
      <c r="C1276" s="129">
        <v>7648</v>
      </c>
      <c r="D1276" s="129" t="s">
        <v>3122</v>
      </c>
      <c r="E1276" s="129">
        <v>49</v>
      </c>
      <c r="F1276" s="129">
        <v>0</v>
      </c>
      <c r="G1276" s="129">
        <v>18</v>
      </c>
      <c r="H1276" s="129">
        <v>0</v>
      </c>
      <c r="I1276" s="129">
        <v>36.700000000000003</v>
      </c>
      <c r="J1276" s="129">
        <v>0</v>
      </c>
      <c r="K1276" s="129">
        <v>0.2</v>
      </c>
      <c r="L1276" s="129">
        <f t="shared" si="374"/>
        <v>49</v>
      </c>
      <c r="M1276" s="129">
        <f t="shared" si="375"/>
        <v>18</v>
      </c>
      <c r="N1276" s="128">
        <f t="shared" si="376"/>
        <v>0.36730000000000002</v>
      </c>
      <c r="O1276" s="164">
        <f t="shared" si="377"/>
        <v>0.2</v>
      </c>
      <c r="P1276" s="185">
        <f t="shared" si="378"/>
        <v>0</v>
      </c>
      <c r="Q1276" s="185">
        <f t="shared" si="379"/>
        <v>0.2</v>
      </c>
      <c r="R1276" s="162" t="b">
        <f t="shared" si="367"/>
        <v>0</v>
      </c>
    </row>
    <row r="1277" spans="1:18">
      <c r="A1277" s="129" t="s">
        <v>444</v>
      </c>
      <c r="B1277" s="129" t="s">
        <v>3919</v>
      </c>
      <c r="C1277" s="129">
        <v>7651</v>
      </c>
      <c r="D1277" s="129" t="s">
        <v>3124</v>
      </c>
      <c r="E1277" s="129">
        <v>30</v>
      </c>
      <c r="F1277" s="129">
        <v>0</v>
      </c>
      <c r="G1277" s="129">
        <v>11</v>
      </c>
      <c r="H1277" s="129">
        <v>0</v>
      </c>
      <c r="I1277" s="129">
        <v>36.700000000000003</v>
      </c>
      <c r="J1277" s="129">
        <v>0</v>
      </c>
      <c r="K1277" s="129">
        <v>0.1</v>
      </c>
      <c r="L1277" s="129">
        <f t="shared" si="374"/>
        <v>30</v>
      </c>
      <c r="M1277" s="129">
        <f t="shared" si="375"/>
        <v>11</v>
      </c>
      <c r="N1277" s="128">
        <f t="shared" si="376"/>
        <v>0.36670000000000003</v>
      </c>
      <c r="O1277" s="164">
        <f t="shared" si="377"/>
        <v>0.1</v>
      </c>
      <c r="P1277" s="185">
        <f t="shared" si="378"/>
        <v>0</v>
      </c>
      <c r="Q1277" s="185">
        <f t="shared" si="379"/>
        <v>0.1</v>
      </c>
      <c r="R1277" s="162" t="b">
        <f t="shared" si="367"/>
        <v>0</v>
      </c>
    </row>
    <row r="1278" spans="1:18">
      <c r="A1278" s="129" t="s">
        <v>307</v>
      </c>
      <c r="B1278" s="129" t="s">
        <v>3795</v>
      </c>
      <c r="C1278" s="129">
        <v>3485</v>
      </c>
      <c r="D1278" s="129" t="s">
        <v>2195</v>
      </c>
      <c r="E1278" s="129">
        <v>428</v>
      </c>
      <c r="F1278" s="129">
        <v>0</v>
      </c>
      <c r="G1278" s="129">
        <v>82</v>
      </c>
      <c r="H1278" s="129">
        <v>0</v>
      </c>
      <c r="I1278" s="129">
        <v>19.2</v>
      </c>
      <c r="J1278" s="129">
        <v>0</v>
      </c>
      <c r="K1278" s="129">
        <v>0</v>
      </c>
      <c r="L1278" s="129">
        <f t="shared" ref="L1278:L1281" si="380">SUM(E1278:F1278)</f>
        <v>428</v>
      </c>
      <c r="M1278" s="129">
        <f t="shared" ref="M1278:M1281" si="381">SUM(G1278:H1278)</f>
        <v>82</v>
      </c>
      <c r="N1278" s="128">
        <f t="shared" ref="N1278:N1281" si="382">IF(ISERROR(M1278/L1278),0,M1278/L1278)</f>
        <v>0.19159999999999999</v>
      </c>
      <c r="O1278" s="164">
        <f t="shared" ref="O1278:O1281" si="383">IF(AND((N1278-35%)&gt;0,N1278&lt;50%),M1278*(N1278-35%)*0.7,0)</f>
        <v>0</v>
      </c>
      <c r="P1278" s="185">
        <f t="shared" ref="P1278:P1281" si="384">IF(N1278&gt;=50%,M1278*10.5%,0)</f>
        <v>0</v>
      </c>
      <c r="Q1278" s="185">
        <f t="shared" ref="Q1278:Q1281" si="385">MAX(O1278,P1278)</f>
        <v>0</v>
      </c>
      <c r="R1278" s="162" t="b">
        <f t="shared" si="367"/>
        <v>0</v>
      </c>
    </row>
    <row r="1279" spans="1:18">
      <c r="A1279" s="129" t="s">
        <v>307</v>
      </c>
      <c r="B1279" s="129" t="s">
        <v>3795</v>
      </c>
      <c r="C1279" s="129">
        <v>3488</v>
      </c>
      <c r="D1279" s="129" t="s">
        <v>2197</v>
      </c>
      <c r="E1279" s="129">
        <v>371</v>
      </c>
      <c r="F1279" s="129">
        <v>0</v>
      </c>
      <c r="G1279" s="129">
        <v>68</v>
      </c>
      <c r="H1279" s="129">
        <v>0</v>
      </c>
      <c r="I1279" s="129">
        <v>18.3</v>
      </c>
      <c r="J1279" s="129">
        <v>0</v>
      </c>
      <c r="K1279" s="129">
        <v>0</v>
      </c>
      <c r="L1279" s="129">
        <f t="shared" si="380"/>
        <v>371</v>
      </c>
      <c r="M1279" s="129">
        <f t="shared" si="381"/>
        <v>68</v>
      </c>
      <c r="N1279" s="128">
        <f t="shared" si="382"/>
        <v>0.18329999999999999</v>
      </c>
      <c r="O1279" s="164">
        <f t="shared" si="383"/>
        <v>0</v>
      </c>
      <c r="P1279" s="185">
        <f t="shared" si="384"/>
        <v>0</v>
      </c>
      <c r="Q1279" s="185">
        <f t="shared" si="385"/>
        <v>0</v>
      </c>
      <c r="R1279" s="162" t="b">
        <f t="shared" si="367"/>
        <v>0</v>
      </c>
    </row>
    <row r="1280" spans="1:18">
      <c r="A1280" s="129" t="s">
        <v>307</v>
      </c>
      <c r="B1280" s="129" t="s">
        <v>3795</v>
      </c>
      <c r="C1280" s="129">
        <v>3492</v>
      </c>
      <c r="D1280" s="129" t="s">
        <v>2199</v>
      </c>
      <c r="E1280" s="129">
        <v>129</v>
      </c>
      <c r="F1280" s="129">
        <v>0</v>
      </c>
      <c r="G1280" s="129">
        <v>45</v>
      </c>
      <c r="H1280" s="129">
        <v>0</v>
      </c>
      <c r="I1280" s="129">
        <v>34.9</v>
      </c>
      <c r="J1280" s="129">
        <v>0</v>
      </c>
      <c r="K1280" s="129">
        <v>0</v>
      </c>
      <c r="L1280" s="129">
        <f t="shared" si="380"/>
        <v>129</v>
      </c>
      <c r="M1280" s="129">
        <f t="shared" si="381"/>
        <v>45</v>
      </c>
      <c r="N1280" s="128">
        <f t="shared" si="382"/>
        <v>0.3488</v>
      </c>
      <c r="O1280" s="164">
        <f t="shared" si="383"/>
        <v>0</v>
      </c>
      <c r="P1280" s="185">
        <f t="shared" si="384"/>
        <v>0</v>
      </c>
      <c r="Q1280" s="185">
        <f t="shared" si="385"/>
        <v>0</v>
      </c>
      <c r="R1280" s="162" t="b">
        <f t="shared" si="367"/>
        <v>0</v>
      </c>
    </row>
    <row r="1281" spans="1:18">
      <c r="A1281" s="129" t="s">
        <v>307</v>
      </c>
      <c r="B1281" s="129" t="s">
        <v>3795</v>
      </c>
      <c r="C1281" s="129">
        <v>3495</v>
      </c>
      <c r="D1281" s="129" t="s">
        <v>2201</v>
      </c>
      <c r="E1281" s="129">
        <v>385</v>
      </c>
      <c r="F1281" s="129">
        <v>0</v>
      </c>
      <c r="G1281" s="129">
        <v>81</v>
      </c>
      <c r="H1281" s="129">
        <v>0</v>
      </c>
      <c r="I1281" s="129">
        <v>21</v>
      </c>
      <c r="J1281" s="129">
        <v>0</v>
      </c>
      <c r="K1281" s="129">
        <v>0</v>
      </c>
      <c r="L1281" s="129">
        <f t="shared" si="380"/>
        <v>385</v>
      </c>
      <c r="M1281" s="129">
        <f t="shared" si="381"/>
        <v>81</v>
      </c>
      <c r="N1281" s="128">
        <f t="shared" si="382"/>
        <v>0.2104</v>
      </c>
      <c r="O1281" s="164">
        <f t="shared" si="383"/>
        <v>0</v>
      </c>
      <c r="P1281" s="185">
        <f t="shared" si="384"/>
        <v>0</v>
      </c>
      <c r="Q1281" s="185">
        <f t="shared" si="385"/>
        <v>0</v>
      </c>
      <c r="R1281" s="162" t="b">
        <f t="shared" si="367"/>
        <v>0</v>
      </c>
    </row>
    <row r="1282" spans="1:18">
      <c r="A1282" s="129" t="s">
        <v>410</v>
      </c>
      <c r="B1282" s="129" t="s">
        <v>4146</v>
      </c>
      <c r="C1282" s="129">
        <v>6512</v>
      </c>
      <c r="D1282" s="129" t="s">
        <v>2827</v>
      </c>
      <c r="E1282" s="129">
        <v>345</v>
      </c>
      <c r="F1282" s="129">
        <v>0</v>
      </c>
      <c r="G1282" s="129">
        <v>79</v>
      </c>
      <c r="H1282" s="129">
        <v>0</v>
      </c>
      <c r="I1282" s="129">
        <v>22.9</v>
      </c>
      <c r="J1282" s="129">
        <v>0</v>
      </c>
      <c r="K1282" s="129">
        <v>0</v>
      </c>
      <c r="L1282" s="129">
        <f t="shared" ref="L1282:L1290" si="386">SUM(E1282:F1282)</f>
        <v>345</v>
      </c>
      <c r="M1282" s="129">
        <f t="shared" ref="M1282:M1290" si="387">SUM(G1282:H1282)</f>
        <v>79</v>
      </c>
      <c r="N1282" s="128">
        <f t="shared" ref="N1282:N1290" si="388">IF(ISERROR(M1282/L1282),0,M1282/L1282)</f>
        <v>0.22900000000000001</v>
      </c>
      <c r="O1282" s="164">
        <f t="shared" ref="O1282:O1290" si="389">IF(AND((N1282-35%)&gt;0,N1282&lt;50%),M1282*(N1282-35%)*0.7,0)</f>
        <v>0</v>
      </c>
      <c r="P1282" s="185">
        <f t="shared" ref="P1282:P1290" si="390">IF(N1282&gt;=50%,M1282*10.5%,0)</f>
        <v>0</v>
      </c>
      <c r="Q1282" s="185">
        <f t="shared" ref="Q1282:Q1290" si="391">MAX(O1282,P1282)</f>
        <v>0</v>
      </c>
      <c r="R1282" s="162" t="b">
        <f t="shared" si="367"/>
        <v>0</v>
      </c>
    </row>
    <row r="1283" spans="1:18">
      <c r="A1283" s="129" t="s">
        <v>410</v>
      </c>
      <c r="B1283" s="129" t="s">
        <v>4146</v>
      </c>
      <c r="C1283" s="129">
        <v>6513</v>
      </c>
      <c r="D1283" s="129" t="s">
        <v>2829</v>
      </c>
      <c r="E1283" s="129">
        <v>606</v>
      </c>
      <c r="F1283" s="129">
        <v>0</v>
      </c>
      <c r="G1283" s="129">
        <v>198</v>
      </c>
      <c r="H1283" s="129">
        <v>0</v>
      </c>
      <c r="I1283" s="129">
        <v>32.700000000000003</v>
      </c>
      <c r="J1283" s="129">
        <v>0</v>
      </c>
      <c r="K1283" s="129">
        <v>0</v>
      </c>
      <c r="L1283" s="129">
        <f t="shared" si="386"/>
        <v>606</v>
      </c>
      <c r="M1283" s="129">
        <f t="shared" si="387"/>
        <v>198</v>
      </c>
      <c r="N1283" s="128">
        <f t="shared" si="388"/>
        <v>0.32669999999999999</v>
      </c>
      <c r="O1283" s="164">
        <f t="shared" si="389"/>
        <v>0</v>
      </c>
      <c r="P1283" s="185">
        <f t="shared" si="390"/>
        <v>0</v>
      </c>
      <c r="Q1283" s="185">
        <f t="shared" si="391"/>
        <v>0</v>
      </c>
      <c r="R1283" s="162" t="b">
        <f t="shared" si="367"/>
        <v>0</v>
      </c>
    </row>
    <row r="1284" spans="1:18">
      <c r="A1284" s="129" t="s">
        <v>410</v>
      </c>
      <c r="B1284" s="129" t="s">
        <v>4146</v>
      </c>
      <c r="C1284" s="129">
        <v>6517</v>
      </c>
      <c r="D1284" s="129" t="s">
        <v>2831</v>
      </c>
      <c r="E1284" s="129">
        <v>444</v>
      </c>
      <c r="F1284" s="129">
        <v>0</v>
      </c>
      <c r="G1284" s="129">
        <v>97</v>
      </c>
      <c r="H1284" s="129">
        <v>0</v>
      </c>
      <c r="I1284" s="129">
        <v>21.9</v>
      </c>
      <c r="J1284" s="129">
        <v>0</v>
      </c>
      <c r="K1284" s="129">
        <v>0</v>
      </c>
      <c r="L1284" s="129">
        <f t="shared" si="386"/>
        <v>444</v>
      </c>
      <c r="M1284" s="129">
        <f t="shared" si="387"/>
        <v>97</v>
      </c>
      <c r="N1284" s="128">
        <f t="shared" si="388"/>
        <v>0.2185</v>
      </c>
      <c r="O1284" s="164">
        <f t="shared" si="389"/>
        <v>0</v>
      </c>
      <c r="P1284" s="185">
        <f t="shared" si="390"/>
        <v>0</v>
      </c>
      <c r="Q1284" s="185">
        <f t="shared" si="391"/>
        <v>0</v>
      </c>
      <c r="R1284" s="162" t="b">
        <f t="shared" si="367"/>
        <v>0</v>
      </c>
    </row>
    <row r="1285" spans="1:18">
      <c r="A1285" s="129" t="s">
        <v>410</v>
      </c>
      <c r="B1285" s="129" t="s">
        <v>4146</v>
      </c>
      <c r="C1285" s="129">
        <v>6518</v>
      </c>
      <c r="D1285" s="129" t="s">
        <v>2833</v>
      </c>
      <c r="E1285" s="129">
        <v>403</v>
      </c>
      <c r="F1285" s="129">
        <v>0</v>
      </c>
      <c r="G1285" s="129">
        <v>264</v>
      </c>
      <c r="H1285" s="129">
        <v>0</v>
      </c>
      <c r="I1285" s="129">
        <v>65.5</v>
      </c>
      <c r="J1285" s="129">
        <v>27.7</v>
      </c>
      <c r="K1285" s="129">
        <v>0</v>
      </c>
      <c r="L1285" s="129">
        <f t="shared" si="386"/>
        <v>403</v>
      </c>
      <c r="M1285" s="129">
        <f t="shared" si="387"/>
        <v>264</v>
      </c>
      <c r="N1285" s="128">
        <f t="shared" si="388"/>
        <v>0.65510000000000002</v>
      </c>
      <c r="O1285" s="164">
        <f t="shared" si="389"/>
        <v>0</v>
      </c>
      <c r="P1285" s="185">
        <f t="shared" si="390"/>
        <v>27.7</v>
      </c>
      <c r="Q1285" s="185">
        <f t="shared" si="391"/>
        <v>27.7</v>
      </c>
      <c r="R1285" s="162" t="b">
        <f t="shared" ref="R1285:R1294" si="392">COUNTIF(C:C,C1285)&gt;1</f>
        <v>0</v>
      </c>
    </row>
    <row r="1286" spans="1:18">
      <c r="A1286" s="129" t="s">
        <v>410</v>
      </c>
      <c r="B1286" s="129" t="s">
        <v>4146</v>
      </c>
      <c r="C1286" s="129">
        <v>6522</v>
      </c>
      <c r="D1286" s="129" t="s">
        <v>2835</v>
      </c>
      <c r="E1286" s="129">
        <v>308</v>
      </c>
      <c r="F1286" s="129">
        <v>0</v>
      </c>
      <c r="G1286" s="129">
        <v>190</v>
      </c>
      <c r="H1286" s="129">
        <v>0</v>
      </c>
      <c r="I1286" s="129">
        <v>61.7</v>
      </c>
      <c r="J1286" s="129">
        <v>20</v>
      </c>
      <c r="K1286" s="129">
        <v>0</v>
      </c>
      <c r="L1286" s="129">
        <f t="shared" si="386"/>
        <v>308</v>
      </c>
      <c r="M1286" s="129">
        <f t="shared" si="387"/>
        <v>190</v>
      </c>
      <c r="N1286" s="128">
        <f t="shared" si="388"/>
        <v>0.6169</v>
      </c>
      <c r="O1286" s="164">
        <f t="shared" si="389"/>
        <v>0</v>
      </c>
      <c r="P1286" s="185">
        <f t="shared" si="390"/>
        <v>20</v>
      </c>
      <c r="Q1286" s="185">
        <f t="shared" si="391"/>
        <v>20</v>
      </c>
      <c r="R1286" s="162" t="b">
        <f t="shared" si="392"/>
        <v>0</v>
      </c>
    </row>
    <row r="1287" spans="1:18">
      <c r="A1287" s="129" t="s">
        <v>410</v>
      </c>
      <c r="B1287" s="129" t="s">
        <v>4146</v>
      </c>
      <c r="C1287" s="129">
        <v>6527</v>
      </c>
      <c r="D1287" s="129" t="s">
        <v>2837</v>
      </c>
      <c r="E1287" s="129">
        <v>1007</v>
      </c>
      <c r="F1287" s="129">
        <v>0</v>
      </c>
      <c r="G1287" s="129">
        <v>296</v>
      </c>
      <c r="H1287" s="129">
        <v>0</v>
      </c>
      <c r="I1287" s="129">
        <v>29.4</v>
      </c>
      <c r="J1287" s="129">
        <v>0</v>
      </c>
      <c r="K1287" s="129">
        <v>0</v>
      </c>
      <c r="L1287" s="129">
        <f t="shared" si="386"/>
        <v>1007</v>
      </c>
      <c r="M1287" s="129">
        <f t="shared" si="387"/>
        <v>296</v>
      </c>
      <c r="N1287" s="128">
        <f t="shared" si="388"/>
        <v>0.29389999999999999</v>
      </c>
      <c r="O1287" s="164">
        <f t="shared" si="389"/>
        <v>0</v>
      </c>
      <c r="P1287" s="185">
        <f t="shared" si="390"/>
        <v>0</v>
      </c>
      <c r="Q1287" s="185">
        <f t="shared" si="391"/>
        <v>0</v>
      </c>
      <c r="R1287" s="162" t="b">
        <f t="shared" si="392"/>
        <v>0</v>
      </c>
    </row>
    <row r="1288" spans="1:18">
      <c r="A1288" s="129" t="s">
        <v>410</v>
      </c>
      <c r="B1288" s="129" t="s">
        <v>4146</v>
      </c>
      <c r="C1288" s="129">
        <v>6528</v>
      </c>
      <c r="D1288" s="129" t="s">
        <v>2839</v>
      </c>
      <c r="E1288" s="129">
        <v>455</v>
      </c>
      <c r="F1288" s="129">
        <v>0</v>
      </c>
      <c r="G1288" s="129">
        <v>139</v>
      </c>
      <c r="H1288" s="129">
        <v>0</v>
      </c>
      <c r="I1288" s="129">
        <v>30.6</v>
      </c>
      <c r="J1288" s="129">
        <v>0</v>
      </c>
      <c r="K1288" s="129">
        <v>0</v>
      </c>
      <c r="L1288" s="129">
        <f t="shared" si="386"/>
        <v>455</v>
      </c>
      <c r="M1288" s="129">
        <f t="shared" si="387"/>
        <v>139</v>
      </c>
      <c r="N1288" s="128">
        <f t="shared" si="388"/>
        <v>0.30549999999999999</v>
      </c>
      <c r="O1288" s="164">
        <f t="shared" si="389"/>
        <v>0</v>
      </c>
      <c r="P1288" s="185">
        <f t="shared" si="390"/>
        <v>0</v>
      </c>
      <c r="Q1288" s="185">
        <f t="shared" si="391"/>
        <v>0</v>
      </c>
      <c r="R1288" s="162" t="b">
        <f t="shared" si="392"/>
        <v>0</v>
      </c>
    </row>
    <row r="1289" spans="1:18">
      <c r="A1289" s="129" t="s">
        <v>410</v>
      </c>
      <c r="B1289" s="129" t="s">
        <v>4146</v>
      </c>
      <c r="C1289" s="129">
        <v>6530</v>
      </c>
      <c r="D1289" s="129" t="s">
        <v>2841</v>
      </c>
      <c r="E1289" s="129">
        <v>518</v>
      </c>
      <c r="F1289" s="129">
        <v>0</v>
      </c>
      <c r="G1289" s="129">
        <v>69</v>
      </c>
      <c r="H1289" s="129">
        <v>0</v>
      </c>
      <c r="I1289" s="129">
        <v>13.3</v>
      </c>
      <c r="J1289" s="129">
        <v>0</v>
      </c>
      <c r="K1289" s="129">
        <v>0</v>
      </c>
      <c r="L1289" s="129">
        <f t="shared" si="386"/>
        <v>518</v>
      </c>
      <c r="M1289" s="129">
        <f t="shared" si="387"/>
        <v>69</v>
      </c>
      <c r="N1289" s="128">
        <f t="shared" si="388"/>
        <v>0.13320000000000001</v>
      </c>
      <c r="O1289" s="164">
        <f t="shared" si="389"/>
        <v>0</v>
      </c>
      <c r="P1289" s="185">
        <f t="shared" si="390"/>
        <v>0</v>
      </c>
      <c r="Q1289" s="185">
        <f t="shared" si="391"/>
        <v>0</v>
      </c>
      <c r="R1289" s="162" t="b">
        <f t="shared" si="392"/>
        <v>0</v>
      </c>
    </row>
    <row r="1290" spans="1:18">
      <c r="A1290" s="129" t="s">
        <v>410</v>
      </c>
      <c r="B1290" s="129" t="s">
        <v>4146</v>
      </c>
      <c r="C1290" s="129">
        <v>6532</v>
      </c>
      <c r="D1290" s="129" t="s">
        <v>2843</v>
      </c>
      <c r="E1290" s="129">
        <v>1881</v>
      </c>
      <c r="F1290" s="129">
        <v>0</v>
      </c>
      <c r="G1290" s="129">
        <v>488</v>
      </c>
      <c r="H1290" s="129">
        <v>0</v>
      </c>
      <c r="I1290" s="129">
        <v>25.9</v>
      </c>
      <c r="J1290" s="129">
        <v>0</v>
      </c>
      <c r="K1290" s="129">
        <v>0</v>
      </c>
      <c r="L1290" s="129">
        <f t="shared" si="386"/>
        <v>1881</v>
      </c>
      <c r="M1290" s="129">
        <f t="shared" si="387"/>
        <v>488</v>
      </c>
      <c r="N1290" s="128">
        <f t="shared" si="388"/>
        <v>0.25940000000000002</v>
      </c>
      <c r="O1290" s="164">
        <f t="shared" si="389"/>
        <v>0</v>
      </c>
      <c r="P1290" s="185">
        <f t="shared" si="390"/>
        <v>0</v>
      </c>
      <c r="Q1290" s="185">
        <f t="shared" si="391"/>
        <v>0</v>
      </c>
      <c r="R1290" s="162" t="b">
        <f t="shared" si="392"/>
        <v>0</v>
      </c>
    </row>
    <row r="1291" spans="1:18">
      <c r="A1291" s="129" t="s">
        <v>220</v>
      </c>
      <c r="B1291" s="129" t="s">
        <v>3713</v>
      </c>
      <c r="C1291" s="129">
        <v>514</v>
      </c>
      <c r="D1291" s="129" t="s">
        <v>1229</v>
      </c>
      <c r="E1291" s="129">
        <v>87</v>
      </c>
      <c r="F1291" s="129">
        <v>0</v>
      </c>
      <c r="G1291" s="129">
        <v>41</v>
      </c>
      <c r="H1291" s="129">
        <v>0</v>
      </c>
      <c r="I1291" s="129">
        <v>47.1</v>
      </c>
      <c r="J1291" s="129">
        <v>0</v>
      </c>
      <c r="K1291" s="129">
        <v>3.5</v>
      </c>
      <c r="L1291" s="129">
        <f t="shared" ref="L1291:L1294" si="393">SUM(E1291:F1291)</f>
        <v>87</v>
      </c>
      <c r="M1291" s="129">
        <f t="shared" ref="M1291:M1294" si="394">SUM(G1291:H1291)</f>
        <v>41</v>
      </c>
      <c r="N1291" s="128">
        <f t="shared" ref="N1291:N1294" si="395">IF(ISERROR(M1291/L1291),0,M1291/L1291)</f>
        <v>0.4713</v>
      </c>
      <c r="O1291" s="164">
        <f t="shared" ref="O1291:O1294" si="396">IF(AND((N1291-35%)&gt;0,N1291&lt;50%),M1291*(N1291-35%)*0.7,0)</f>
        <v>3.5</v>
      </c>
      <c r="P1291" s="185">
        <f t="shared" ref="P1291:P1294" si="397">IF(N1291&gt;=50%,M1291*10.5%,0)</f>
        <v>0</v>
      </c>
      <c r="Q1291" s="185">
        <f t="shared" ref="Q1291:Q1294" si="398">MAX(O1291,P1291)</f>
        <v>3.5</v>
      </c>
      <c r="R1291" s="162" t="b">
        <f t="shared" si="392"/>
        <v>0</v>
      </c>
    </row>
    <row r="1292" spans="1:18">
      <c r="A1292" s="129" t="s">
        <v>220</v>
      </c>
      <c r="B1292" s="129" t="s">
        <v>3713</v>
      </c>
      <c r="C1292" s="129">
        <v>516</v>
      </c>
      <c r="D1292" s="129" t="s">
        <v>1231</v>
      </c>
      <c r="E1292" s="129">
        <v>177</v>
      </c>
      <c r="F1292" s="129">
        <v>0</v>
      </c>
      <c r="G1292" s="129">
        <v>107</v>
      </c>
      <c r="H1292" s="129">
        <v>0</v>
      </c>
      <c r="I1292" s="129">
        <v>60.5</v>
      </c>
      <c r="J1292" s="129">
        <v>11.2</v>
      </c>
      <c r="K1292" s="129">
        <v>0</v>
      </c>
      <c r="L1292" s="129">
        <f t="shared" si="393"/>
        <v>177</v>
      </c>
      <c r="M1292" s="129">
        <f t="shared" si="394"/>
        <v>107</v>
      </c>
      <c r="N1292" s="128">
        <f t="shared" si="395"/>
        <v>0.60450000000000004</v>
      </c>
      <c r="O1292" s="164">
        <f t="shared" si="396"/>
        <v>0</v>
      </c>
      <c r="P1292" s="185">
        <f t="shared" si="397"/>
        <v>11.2</v>
      </c>
      <c r="Q1292" s="185">
        <f t="shared" si="398"/>
        <v>11.2</v>
      </c>
      <c r="R1292" s="162" t="b">
        <f t="shared" si="392"/>
        <v>0</v>
      </c>
    </row>
    <row r="1293" spans="1:18">
      <c r="A1293" s="129" t="s">
        <v>220</v>
      </c>
      <c r="B1293" s="129" t="s">
        <v>3713</v>
      </c>
      <c r="C1293" s="129">
        <v>520</v>
      </c>
      <c r="D1293" s="129" t="s">
        <v>1233</v>
      </c>
      <c r="E1293" s="129">
        <v>107</v>
      </c>
      <c r="F1293" s="129">
        <v>0</v>
      </c>
      <c r="G1293" s="129">
        <v>42</v>
      </c>
      <c r="H1293" s="129">
        <v>0</v>
      </c>
      <c r="I1293" s="129">
        <v>39.299999999999997</v>
      </c>
      <c r="J1293" s="129">
        <v>0</v>
      </c>
      <c r="K1293" s="129">
        <v>1.2</v>
      </c>
      <c r="L1293" s="129">
        <f t="shared" si="393"/>
        <v>107</v>
      </c>
      <c r="M1293" s="129">
        <f t="shared" si="394"/>
        <v>42</v>
      </c>
      <c r="N1293" s="128">
        <f t="shared" si="395"/>
        <v>0.39250000000000002</v>
      </c>
      <c r="O1293" s="164">
        <f t="shared" si="396"/>
        <v>1.2</v>
      </c>
      <c r="P1293" s="185">
        <f t="shared" si="397"/>
        <v>0</v>
      </c>
      <c r="Q1293" s="185">
        <f t="shared" si="398"/>
        <v>1.2</v>
      </c>
      <c r="R1293" s="162" t="b">
        <f t="shared" si="392"/>
        <v>0</v>
      </c>
    </row>
    <row r="1294" spans="1:18">
      <c r="A1294" s="129" t="s">
        <v>220</v>
      </c>
      <c r="B1294" s="129" t="s">
        <v>3713</v>
      </c>
      <c r="C1294" s="129">
        <v>525</v>
      </c>
      <c r="D1294" s="129" t="s">
        <v>1235</v>
      </c>
      <c r="E1294" s="129">
        <v>23</v>
      </c>
      <c r="F1294" s="129">
        <v>0</v>
      </c>
      <c r="G1294" s="129">
        <v>2</v>
      </c>
      <c r="H1294" s="129">
        <v>0</v>
      </c>
      <c r="I1294" s="129">
        <v>8.6999999999999993</v>
      </c>
      <c r="J1294" s="129">
        <v>0</v>
      </c>
      <c r="K1294" s="129">
        <v>0</v>
      </c>
      <c r="L1294" s="129">
        <f t="shared" si="393"/>
        <v>23</v>
      </c>
      <c r="M1294" s="129">
        <f t="shared" si="394"/>
        <v>2</v>
      </c>
      <c r="N1294" s="128">
        <f t="shared" si="395"/>
        <v>8.6999999999999994E-2</v>
      </c>
      <c r="O1294" s="164">
        <f t="shared" si="396"/>
        <v>0</v>
      </c>
      <c r="P1294" s="185">
        <f t="shared" si="397"/>
        <v>0</v>
      </c>
      <c r="Q1294" s="185">
        <f t="shared" si="398"/>
        <v>0</v>
      </c>
      <c r="R1294" s="162" t="b">
        <f t="shared" si="392"/>
        <v>0</v>
      </c>
    </row>
  </sheetData>
  <autoFilter ref="A4:T1294" xr:uid="{00000000-0009-0000-0000-000006000000}"/>
  <phoneticPr fontId="72"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I92"/>
  <sheetViews>
    <sheetView zoomScaleNormal="100" workbookViewId="0">
      <pane ySplit="1" topLeftCell="A2" activePane="bottomLeft" state="frozen"/>
      <selection pane="bottomLeft" activeCell="L67" sqref="L67"/>
    </sheetView>
  </sheetViews>
  <sheetFormatPr defaultColWidth="9.109375" defaultRowHeight="13.8"/>
  <cols>
    <col min="1" max="9" width="15.6640625" style="1" customWidth="1"/>
    <col min="10" max="16384" width="9.109375" style="1"/>
  </cols>
  <sheetData>
    <row r="1" spans="1:9" ht="27" customHeight="1" thickBot="1">
      <c r="A1" s="40" t="s">
        <v>493</v>
      </c>
      <c r="B1" s="38"/>
      <c r="C1" s="38"/>
      <c r="D1" s="38"/>
      <c r="E1" s="38"/>
      <c r="F1" s="38"/>
    </row>
    <row r="2" spans="1:9" ht="51" customHeight="1">
      <c r="A2" s="357" t="s">
        <v>492</v>
      </c>
      <c r="B2" s="358"/>
      <c r="C2" s="359"/>
      <c r="D2" s="356" t="s">
        <v>490</v>
      </c>
      <c r="E2" s="354"/>
      <c r="F2" s="355"/>
      <c r="G2" s="357" t="s">
        <v>491</v>
      </c>
      <c r="H2" s="358"/>
      <c r="I2" s="359"/>
    </row>
    <row r="3" spans="1:9">
      <c r="A3" s="3"/>
      <c r="B3" s="4" t="s">
        <v>501</v>
      </c>
      <c r="C3" s="2"/>
      <c r="D3" s="3"/>
      <c r="E3" s="4" t="s">
        <v>500</v>
      </c>
      <c r="F3" s="2"/>
      <c r="G3" s="41"/>
      <c r="H3" s="4" t="s">
        <v>499</v>
      </c>
      <c r="I3" s="2"/>
    </row>
    <row r="4" spans="1:9">
      <c r="A4" s="3"/>
      <c r="B4" s="4" t="s">
        <v>110</v>
      </c>
      <c r="C4" s="5"/>
      <c r="D4" s="3"/>
      <c r="E4" s="4" t="s">
        <v>110</v>
      </c>
      <c r="F4" s="5"/>
      <c r="G4" s="41"/>
      <c r="H4" s="4" t="s">
        <v>110</v>
      </c>
      <c r="I4" s="5"/>
    </row>
    <row r="5" spans="1:9">
      <c r="A5" s="3"/>
      <c r="B5" s="4" t="s">
        <v>112</v>
      </c>
      <c r="C5" s="5"/>
      <c r="D5" s="3"/>
      <c r="E5" s="4" t="s">
        <v>112</v>
      </c>
      <c r="F5" s="5"/>
      <c r="G5" s="41"/>
      <c r="H5" s="4" t="s">
        <v>112</v>
      </c>
      <c r="I5" s="5"/>
    </row>
    <row r="6" spans="1:9">
      <c r="A6" s="3">
        <v>280</v>
      </c>
      <c r="B6" s="6">
        <v>554184</v>
      </c>
      <c r="C6" s="2"/>
      <c r="D6" s="3">
        <v>317</v>
      </c>
      <c r="E6" s="6">
        <v>883854</v>
      </c>
      <c r="F6" s="2"/>
      <c r="G6" s="41">
        <v>302</v>
      </c>
      <c r="H6" s="42">
        <v>1136495</v>
      </c>
      <c r="I6" s="2"/>
    </row>
    <row r="7" spans="1:9" ht="14.4" thickBot="1">
      <c r="A7" s="3">
        <v>281</v>
      </c>
      <c r="B7" s="7">
        <v>2993832</v>
      </c>
      <c r="C7" s="2"/>
      <c r="D7" s="3">
        <v>318</v>
      </c>
      <c r="E7" s="7">
        <v>2440257</v>
      </c>
      <c r="F7" s="2"/>
      <c r="G7" s="41">
        <v>304</v>
      </c>
      <c r="H7" s="43">
        <v>820888</v>
      </c>
      <c r="I7" s="2"/>
    </row>
    <row r="8" spans="1:9" ht="14.4" thickTop="1">
      <c r="A8" s="8" t="s">
        <v>111</v>
      </c>
      <c r="B8" s="9">
        <f>SUM(B6:B7)</f>
        <v>3548016</v>
      </c>
      <c r="C8" s="2"/>
      <c r="D8" s="8" t="s">
        <v>111</v>
      </c>
      <c r="E8" s="6">
        <f>SUM(E6:E7)</f>
        <v>3324111</v>
      </c>
      <c r="F8" s="2"/>
      <c r="G8" s="18" t="s">
        <v>111</v>
      </c>
      <c r="H8" s="42">
        <f>SUM(H6:H7)</f>
        <v>1957383</v>
      </c>
      <c r="I8" s="5"/>
    </row>
    <row r="9" spans="1:9">
      <c r="A9" s="8" t="s">
        <v>113</v>
      </c>
      <c r="B9" s="9">
        <v>-154</v>
      </c>
      <c r="C9" s="39"/>
      <c r="D9" s="8" t="s">
        <v>117</v>
      </c>
      <c r="E9" s="10">
        <v>86615</v>
      </c>
      <c r="F9" s="2"/>
      <c r="G9" s="18" t="s">
        <v>121</v>
      </c>
      <c r="H9" s="44">
        <v>77952</v>
      </c>
      <c r="I9" s="5"/>
    </row>
    <row r="10" spans="1:9" ht="14.4" thickBot="1">
      <c r="A10" s="8" t="s">
        <v>114</v>
      </c>
      <c r="B10" s="11">
        <v>-143386</v>
      </c>
      <c r="C10" s="39"/>
      <c r="D10" s="8" t="s">
        <v>118</v>
      </c>
      <c r="E10" s="12">
        <v>133936</v>
      </c>
      <c r="F10" s="2"/>
      <c r="G10" s="18" t="s">
        <v>122</v>
      </c>
      <c r="H10" s="45">
        <v>56643</v>
      </c>
      <c r="I10" s="2"/>
    </row>
    <row r="11" spans="1:9" ht="14.4" thickTop="1">
      <c r="A11" s="8" t="s">
        <v>115</v>
      </c>
      <c r="B11" s="9">
        <f>SUM(B8:B10)</f>
        <v>3404476</v>
      </c>
      <c r="C11" s="39"/>
      <c r="D11" s="8" t="s">
        <v>115</v>
      </c>
      <c r="E11" s="6">
        <f>E8-E9-E10</f>
        <v>3103560</v>
      </c>
      <c r="F11" s="2"/>
      <c r="G11" s="18" t="s">
        <v>115</v>
      </c>
      <c r="H11" s="42">
        <f>H8-H9-H10</f>
        <v>1822788</v>
      </c>
      <c r="I11" s="2"/>
    </row>
    <row r="12" spans="1:9" ht="14.4" thickBot="1">
      <c r="A12" s="8" t="s">
        <v>116</v>
      </c>
      <c r="B12" s="11" t="e">
        <f>'2024 Legal Max'!#REF!*4257</f>
        <v>#REF!</v>
      </c>
      <c r="C12" s="39"/>
      <c r="D12" s="8" t="s">
        <v>119</v>
      </c>
      <c r="E12" s="7" t="e">
        <f>'2024 Legal Max'!#REF!*4316</f>
        <v>#REF!</v>
      </c>
      <c r="F12" s="2"/>
      <c r="G12" s="18" t="s">
        <v>119</v>
      </c>
      <c r="H12" s="43" t="e">
        <f>'2024 Legal Max'!#REF!*4374</f>
        <v>#REF!</v>
      </c>
      <c r="I12" s="5"/>
    </row>
    <row r="13" spans="1:9" ht="14.4" thickTop="1">
      <c r="A13" s="8" t="s">
        <v>123</v>
      </c>
      <c r="B13" s="9" t="e">
        <f>SUM(B11:B12)</f>
        <v>#REF!</v>
      </c>
      <c r="C13" s="39"/>
      <c r="D13" s="8" t="s">
        <v>120</v>
      </c>
      <c r="E13" s="6" t="e">
        <f>SUM(E11:E12)</f>
        <v>#REF!</v>
      </c>
      <c r="F13" s="2"/>
      <c r="G13" s="18" t="s">
        <v>120</v>
      </c>
      <c r="H13" s="42" t="e">
        <f>SUM(H11:H12)</f>
        <v>#REF!</v>
      </c>
      <c r="I13" s="5"/>
    </row>
    <row r="14" spans="1:9" ht="14.4" thickBot="1">
      <c r="A14" s="13"/>
      <c r="B14" s="14"/>
      <c r="C14" s="15"/>
      <c r="D14" s="13"/>
      <c r="E14" s="14"/>
      <c r="F14" s="15"/>
      <c r="G14" s="14"/>
      <c r="H14" s="14"/>
      <c r="I14" s="15"/>
    </row>
    <row r="15" spans="1:9" ht="51" customHeight="1">
      <c r="A15" s="353" t="s">
        <v>476</v>
      </c>
      <c r="B15" s="354"/>
      <c r="C15" s="355"/>
      <c r="D15" s="356" t="s">
        <v>477</v>
      </c>
      <c r="E15" s="354"/>
      <c r="F15" s="355"/>
      <c r="G15" s="356" t="s">
        <v>478</v>
      </c>
      <c r="H15" s="354"/>
      <c r="I15" s="355"/>
    </row>
    <row r="16" spans="1:9">
      <c r="A16" s="3"/>
      <c r="B16" s="4" t="s">
        <v>498</v>
      </c>
      <c r="C16" s="2"/>
      <c r="D16" s="3"/>
      <c r="E16" s="4" t="s">
        <v>498</v>
      </c>
      <c r="F16" s="2"/>
      <c r="G16" s="41"/>
      <c r="H16" s="4" t="s">
        <v>498</v>
      </c>
      <c r="I16" s="5"/>
    </row>
    <row r="17" spans="1:9">
      <c r="A17" s="3"/>
      <c r="B17" s="4" t="s">
        <v>110</v>
      </c>
      <c r="C17" s="2"/>
      <c r="D17" s="3"/>
      <c r="E17" s="4" t="s">
        <v>110</v>
      </c>
      <c r="F17" s="2"/>
      <c r="G17" s="41"/>
      <c r="H17" s="4" t="s">
        <v>110</v>
      </c>
      <c r="I17" s="5"/>
    </row>
    <row r="18" spans="1:9">
      <c r="A18" s="3"/>
      <c r="B18" s="4" t="s">
        <v>124</v>
      </c>
      <c r="C18" s="2"/>
      <c r="D18" s="3"/>
      <c r="E18" s="4" t="s">
        <v>124</v>
      </c>
      <c r="F18" s="2"/>
      <c r="G18" s="41"/>
      <c r="H18" s="4" t="s">
        <v>124</v>
      </c>
      <c r="I18" s="5"/>
    </row>
    <row r="19" spans="1:9">
      <c r="A19" s="3">
        <v>104</v>
      </c>
      <c r="B19" s="16">
        <v>1183446</v>
      </c>
      <c r="C19" s="2"/>
      <c r="D19" s="3">
        <v>221</v>
      </c>
      <c r="E19" s="16">
        <v>1205582</v>
      </c>
      <c r="F19" s="2"/>
      <c r="G19" s="41">
        <v>427</v>
      </c>
      <c r="H19" s="16">
        <v>3442636</v>
      </c>
      <c r="I19" s="5"/>
    </row>
    <row r="20" spans="1:9" ht="14.4" thickBot="1">
      <c r="A20" s="3">
        <v>278</v>
      </c>
      <c r="B20" s="17">
        <v>1751330</v>
      </c>
      <c r="C20" s="2"/>
      <c r="D20" s="3">
        <v>222</v>
      </c>
      <c r="E20" s="17">
        <v>2622738</v>
      </c>
      <c r="F20" s="2"/>
      <c r="G20" s="41">
        <v>455</v>
      </c>
      <c r="H20" s="17">
        <v>1173655</v>
      </c>
      <c r="I20" s="5"/>
    </row>
    <row r="21" spans="1:9" ht="14.4" thickTop="1">
      <c r="A21" s="8" t="s">
        <v>111</v>
      </c>
      <c r="B21" s="16">
        <f>SUM(B19:B20)</f>
        <v>2934776</v>
      </c>
      <c r="C21" s="2"/>
      <c r="D21" s="8" t="s">
        <v>111</v>
      </c>
      <c r="E21" s="16">
        <f>SUM(E19:E20)</f>
        <v>3828320</v>
      </c>
      <c r="F21" s="2"/>
      <c r="G21" s="18" t="s">
        <v>111</v>
      </c>
      <c r="H21" s="16">
        <f>SUM(H19:H20)</f>
        <v>4616291</v>
      </c>
      <c r="I21" s="5"/>
    </row>
    <row r="22" spans="1:9">
      <c r="A22" s="8" t="s">
        <v>125</v>
      </c>
      <c r="B22" s="19">
        <v>83064</v>
      </c>
      <c r="C22" s="2"/>
      <c r="D22" s="8" t="s">
        <v>127</v>
      </c>
      <c r="E22" s="19">
        <v>122855</v>
      </c>
      <c r="F22" s="2"/>
      <c r="G22" s="18" t="s">
        <v>129</v>
      </c>
      <c r="H22" s="19">
        <v>398982</v>
      </c>
      <c r="I22" s="5"/>
    </row>
    <row r="23" spans="1:9" ht="14.4" thickBot="1">
      <c r="A23" s="8" t="s">
        <v>126</v>
      </c>
      <c r="B23" s="20">
        <v>76561</v>
      </c>
      <c r="C23" s="2"/>
      <c r="D23" s="8" t="s">
        <v>128</v>
      </c>
      <c r="E23" s="20">
        <v>230689</v>
      </c>
      <c r="F23" s="2"/>
      <c r="G23" s="18" t="s">
        <v>130</v>
      </c>
      <c r="H23" s="20">
        <v>95498</v>
      </c>
      <c r="I23" s="5"/>
    </row>
    <row r="24" spans="1:9" ht="14.4" thickTop="1">
      <c r="A24" s="8" t="s">
        <v>115</v>
      </c>
      <c r="B24" s="16">
        <f>B21-B22-B23</f>
        <v>2775151</v>
      </c>
      <c r="C24" s="2"/>
      <c r="D24" s="8" t="s">
        <v>115</v>
      </c>
      <c r="E24" s="16">
        <f>E21-E22-E23</f>
        <v>3474776</v>
      </c>
      <c r="F24" s="2"/>
      <c r="G24" s="18" t="s">
        <v>115</v>
      </c>
      <c r="H24" s="16">
        <f>H21-H22-H23</f>
        <v>4121811</v>
      </c>
      <c r="I24" s="5"/>
    </row>
    <row r="25" spans="1:9" ht="14.4" thickBot="1">
      <c r="A25" s="8" t="s">
        <v>132</v>
      </c>
      <c r="B25" s="17" t="e">
        <f>'2024 Legal Max'!#REF!*4400</f>
        <v>#REF!</v>
      </c>
      <c r="C25" s="2"/>
      <c r="D25" s="8" t="s">
        <v>132</v>
      </c>
      <c r="E25" s="17" t="e">
        <f>'2024 Legal Max'!#REF!*4400</f>
        <v>#REF!</v>
      </c>
      <c r="F25" s="2"/>
      <c r="G25" s="18" t="s">
        <v>132</v>
      </c>
      <c r="H25" s="17" t="e">
        <f>'2024 Legal Max'!#REF!*4400</f>
        <v>#REF!</v>
      </c>
      <c r="I25" s="5"/>
    </row>
    <row r="26" spans="1:9" ht="14.4" thickTop="1">
      <c r="A26" s="8" t="s">
        <v>131</v>
      </c>
      <c r="B26" s="16" t="e">
        <f>B24+B25</f>
        <v>#REF!</v>
      </c>
      <c r="C26" s="2"/>
      <c r="D26" s="8" t="s">
        <v>131</v>
      </c>
      <c r="E26" s="16" t="e">
        <f>E24+E25</f>
        <v>#REF!</v>
      </c>
      <c r="F26" s="2"/>
      <c r="G26" s="18" t="s">
        <v>131</v>
      </c>
      <c r="H26" s="16" t="e">
        <f>H24+H25</f>
        <v>#REF!</v>
      </c>
      <c r="I26" s="5"/>
    </row>
    <row r="27" spans="1:9" ht="14.4" thickBot="1">
      <c r="A27" s="13"/>
      <c r="B27" s="14"/>
      <c r="C27" s="15"/>
      <c r="D27" s="13"/>
      <c r="E27" s="14"/>
      <c r="F27" s="15"/>
      <c r="G27" s="13"/>
      <c r="H27" s="14"/>
      <c r="I27" s="46"/>
    </row>
    <row r="28" spans="1:9" ht="51" customHeight="1">
      <c r="A28" s="346" t="s">
        <v>479</v>
      </c>
      <c r="B28" s="351"/>
      <c r="C28" s="352"/>
      <c r="D28" s="349" t="s">
        <v>480</v>
      </c>
      <c r="E28" s="347"/>
      <c r="F28" s="348"/>
      <c r="G28" s="349" t="s">
        <v>481</v>
      </c>
      <c r="H28" s="347"/>
      <c r="I28" s="348"/>
    </row>
    <row r="29" spans="1:9">
      <c r="A29" s="3"/>
      <c r="B29" s="4" t="s">
        <v>497</v>
      </c>
      <c r="C29" s="2"/>
      <c r="D29" s="3"/>
      <c r="E29" s="4" t="s">
        <v>137</v>
      </c>
      <c r="F29" s="2"/>
      <c r="G29" s="41"/>
      <c r="H29" s="4" t="s">
        <v>137</v>
      </c>
      <c r="I29" s="5"/>
    </row>
    <row r="30" spans="1:9">
      <c r="A30" s="3"/>
      <c r="B30" s="4" t="s">
        <v>110</v>
      </c>
      <c r="C30" s="2"/>
      <c r="D30" s="3"/>
      <c r="E30" s="4" t="s">
        <v>110</v>
      </c>
      <c r="F30" s="2"/>
      <c r="G30" s="41"/>
      <c r="H30" s="4" t="s">
        <v>110</v>
      </c>
      <c r="I30" s="5"/>
    </row>
    <row r="31" spans="1:9">
      <c r="A31" s="3"/>
      <c r="B31" s="4" t="s">
        <v>124</v>
      </c>
      <c r="C31" s="2"/>
      <c r="D31" s="3"/>
      <c r="E31" s="4" t="s">
        <v>124</v>
      </c>
      <c r="F31" s="2"/>
      <c r="G31" s="41"/>
      <c r="H31" s="4" t="s">
        <v>124</v>
      </c>
      <c r="I31" s="5"/>
    </row>
    <row r="32" spans="1:9">
      <c r="A32" s="3">
        <v>238</v>
      </c>
      <c r="B32" s="16">
        <v>1743476</v>
      </c>
      <c r="C32" s="2"/>
      <c r="D32" s="3">
        <v>425</v>
      </c>
      <c r="E32" s="16">
        <v>2258960</v>
      </c>
      <c r="F32" s="2"/>
      <c r="G32" s="41">
        <v>107</v>
      </c>
      <c r="H32" s="16">
        <v>3042231</v>
      </c>
      <c r="I32" s="47"/>
    </row>
    <row r="33" spans="1:9" ht="14.4" thickBot="1">
      <c r="A33" s="3">
        <v>324</v>
      </c>
      <c r="B33" s="17">
        <v>1381747</v>
      </c>
      <c r="C33" s="2"/>
      <c r="D33" s="3">
        <v>433</v>
      </c>
      <c r="E33" s="17">
        <v>1947000</v>
      </c>
      <c r="F33" s="2"/>
      <c r="G33" s="41">
        <v>279</v>
      </c>
      <c r="H33" s="17">
        <v>591782</v>
      </c>
      <c r="I33" s="47"/>
    </row>
    <row r="34" spans="1:9" ht="14.4" thickTop="1">
      <c r="A34" s="8" t="s">
        <v>111</v>
      </c>
      <c r="B34" s="16">
        <f>SUM(B32:B33)</f>
        <v>3125223</v>
      </c>
      <c r="C34" s="2"/>
      <c r="D34" s="8" t="s">
        <v>111</v>
      </c>
      <c r="E34" s="16">
        <f>SUM(E32:E33)</f>
        <v>4205960</v>
      </c>
      <c r="F34" s="2"/>
      <c r="G34" s="18" t="s">
        <v>111</v>
      </c>
      <c r="H34" s="16">
        <f>SUM(H32:H33)</f>
        <v>3634013</v>
      </c>
      <c r="I34" s="47"/>
    </row>
    <row r="35" spans="1:9">
      <c r="A35" s="8" t="s">
        <v>134</v>
      </c>
      <c r="B35" s="19">
        <v>195300</v>
      </c>
      <c r="C35" s="2"/>
      <c r="D35" s="8" t="s">
        <v>138</v>
      </c>
      <c r="E35" s="19">
        <v>285521</v>
      </c>
      <c r="F35" s="2"/>
      <c r="G35" s="18" t="s">
        <v>141</v>
      </c>
      <c r="H35" s="19">
        <v>267171</v>
      </c>
      <c r="I35" s="48"/>
    </row>
    <row r="36" spans="1:9" ht="14.4" thickBot="1">
      <c r="A36" s="8" t="s">
        <v>135</v>
      </c>
      <c r="B36" s="20">
        <v>137268</v>
      </c>
      <c r="C36" s="2"/>
      <c r="D36" s="8" t="s">
        <v>139</v>
      </c>
      <c r="E36" s="20">
        <v>269700</v>
      </c>
      <c r="F36" s="2"/>
      <c r="G36" s="18" t="s">
        <v>142</v>
      </c>
      <c r="H36" s="20">
        <v>56043</v>
      </c>
      <c r="I36" s="48"/>
    </row>
    <row r="37" spans="1:9" ht="14.4" thickTop="1">
      <c r="A37" s="8" t="s">
        <v>115</v>
      </c>
      <c r="B37" s="16">
        <f>B34-B35-B36</f>
        <v>2792655</v>
      </c>
      <c r="C37" s="2"/>
      <c r="D37" s="8" t="s">
        <v>115</v>
      </c>
      <c r="E37" s="16">
        <f>E34-E35-E36</f>
        <v>3650739</v>
      </c>
      <c r="F37" s="2"/>
      <c r="G37" s="18" t="s">
        <v>115</v>
      </c>
      <c r="H37" s="16">
        <f>H34-H35-H36</f>
        <v>3310799</v>
      </c>
      <c r="I37" s="47"/>
    </row>
    <row r="38" spans="1:9" ht="14.4" thickBot="1">
      <c r="A38" s="8" t="s">
        <v>132</v>
      </c>
      <c r="B38" s="17" t="e">
        <f>'2024 Legal Max'!#REF!*'Weighting Factors'!O5</f>
        <v>#REF!</v>
      </c>
      <c r="C38" s="2"/>
      <c r="D38" s="8" t="s">
        <v>132</v>
      </c>
      <c r="E38" s="17" t="e">
        <f>'2024 Legal Max'!#REF!*'Weighting Factors'!O5</f>
        <v>#REF!</v>
      </c>
      <c r="F38" s="2"/>
      <c r="G38" s="18" t="s">
        <v>132</v>
      </c>
      <c r="H38" s="17" t="e">
        <f>'2024 Legal Max'!#REF!*'Weighting Factors'!O5</f>
        <v>#REF!</v>
      </c>
      <c r="I38" s="47"/>
    </row>
    <row r="39" spans="1:9" ht="14.4" thickTop="1">
      <c r="A39" s="8" t="s">
        <v>136</v>
      </c>
      <c r="B39" s="16" t="e">
        <f>B37+B38</f>
        <v>#REF!</v>
      </c>
      <c r="C39" s="2"/>
      <c r="D39" s="8" t="s">
        <v>140</v>
      </c>
      <c r="E39" s="16" t="e">
        <f>E37+E38</f>
        <v>#REF!</v>
      </c>
      <c r="F39" s="2"/>
      <c r="G39" s="18" t="s">
        <v>140</v>
      </c>
      <c r="H39" s="16" t="e">
        <f>H37+H38</f>
        <v>#REF!</v>
      </c>
      <c r="I39" s="47"/>
    </row>
    <row r="40" spans="1:9" ht="14.4" thickBot="1">
      <c r="A40" s="13"/>
      <c r="B40" s="14"/>
      <c r="C40" s="15"/>
      <c r="D40" s="13"/>
      <c r="E40" s="14"/>
      <c r="F40" s="15"/>
      <c r="G40" s="14"/>
      <c r="H40" s="14"/>
      <c r="I40" s="49"/>
    </row>
    <row r="41" spans="1:9" ht="51" customHeight="1">
      <c r="A41" s="346" t="s">
        <v>482</v>
      </c>
      <c r="B41" s="347"/>
      <c r="C41" s="348"/>
      <c r="D41" s="349" t="s">
        <v>483</v>
      </c>
      <c r="E41" s="347"/>
      <c r="F41" s="348"/>
      <c r="G41" s="349" t="s">
        <v>484</v>
      </c>
      <c r="H41" s="347"/>
      <c r="I41" s="348"/>
    </row>
    <row r="42" spans="1:9">
      <c r="A42" s="3"/>
      <c r="B42" s="4" t="s">
        <v>137</v>
      </c>
      <c r="C42" s="2"/>
      <c r="D42" s="3"/>
      <c r="E42" s="4" t="s">
        <v>495</v>
      </c>
      <c r="F42" s="2"/>
      <c r="G42" s="41"/>
      <c r="H42" s="4" t="s">
        <v>495</v>
      </c>
      <c r="I42" s="5"/>
    </row>
    <row r="43" spans="1:9">
      <c r="A43" s="3"/>
      <c r="B43" s="4" t="s">
        <v>110</v>
      </c>
      <c r="C43" s="2"/>
      <c r="D43" s="3"/>
      <c r="E43" s="4" t="s">
        <v>110</v>
      </c>
      <c r="F43" s="2"/>
      <c r="G43" s="41"/>
      <c r="H43" s="4" t="s">
        <v>110</v>
      </c>
      <c r="I43" s="5"/>
    </row>
    <row r="44" spans="1:9">
      <c r="A44" s="3"/>
      <c r="B44" s="4" t="s">
        <v>124</v>
      </c>
      <c r="C44" s="2"/>
      <c r="D44" s="3"/>
      <c r="E44" s="4" t="s">
        <v>124</v>
      </c>
      <c r="F44" s="2"/>
      <c r="G44" s="41"/>
      <c r="H44" s="4" t="s">
        <v>124</v>
      </c>
      <c r="I44" s="5"/>
    </row>
    <row r="45" spans="1:9">
      <c r="A45" s="3">
        <v>273</v>
      </c>
      <c r="B45" s="16">
        <v>5470960</v>
      </c>
      <c r="C45" s="2"/>
      <c r="D45" s="3">
        <v>328</v>
      </c>
      <c r="E45" s="16">
        <v>3622435</v>
      </c>
      <c r="F45" s="2"/>
      <c r="G45" s="41">
        <v>441</v>
      </c>
      <c r="H45" s="16">
        <v>6332541</v>
      </c>
      <c r="I45" s="47"/>
    </row>
    <row r="46" spans="1:9" ht="14.4" thickBot="1">
      <c r="A46" s="3">
        <v>279</v>
      </c>
      <c r="B46" s="17">
        <v>641098</v>
      </c>
      <c r="C46" s="2"/>
      <c r="D46" s="3">
        <v>354</v>
      </c>
      <c r="E46" s="17">
        <v>1970694</v>
      </c>
      <c r="F46" s="2"/>
      <c r="G46" s="41">
        <v>488</v>
      </c>
      <c r="H46" s="17">
        <v>2323750</v>
      </c>
      <c r="I46" s="47"/>
    </row>
    <row r="47" spans="1:9" ht="14.4" thickTop="1">
      <c r="A47" s="8" t="s">
        <v>111</v>
      </c>
      <c r="B47" s="16">
        <f>SUM(B45:B46)</f>
        <v>6112058</v>
      </c>
      <c r="C47" s="2"/>
      <c r="D47" s="8" t="s">
        <v>111</v>
      </c>
      <c r="E47" s="16">
        <f>SUM(E45:E46)</f>
        <v>5593129</v>
      </c>
      <c r="F47" s="2"/>
      <c r="G47" s="18" t="s">
        <v>111</v>
      </c>
      <c r="H47" s="16">
        <f>SUM(H45:H46)</f>
        <v>8656291</v>
      </c>
      <c r="I47" s="47"/>
    </row>
    <row r="48" spans="1:9">
      <c r="A48" s="8" t="s">
        <v>143</v>
      </c>
      <c r="B48" s="19">
        <v>764106</v>
      </c>
      <c r="C48" s="2"/>
      <c r="D48" s="8" t="s">
        <v>145</v>
      </c>
      <c r="E48" s="19">
        <v>333773</v>
      </c>
      <c r="F48" s="2"/>
      <c r="G48" s="18" t="s">
        <v>147</v>
      </c>
      <c r="H48" s="19">
        <v>799708</v>
      </c>
      <c r="I48" s="48"/>
    </row>
    <row r="49" spans="1:9" ht="14.4" thickBot="1">
      <c r="A49" s="8" t="s">
        <v>142</v>
      </c>
      <c r="B49" s="20">
        <v>60713</v>
      </c>
      <c r="C49" s="2"/>
      <c r="D49" s="8" t="s">
        <v>146</v>
      </c>
      <c r="E49" s="20">
        <v>261319</v>
      </c>
      <c r="F49" s="2"/>
      <c r="G49" s="18" t="s">
        <v>153</v>
      </c>
      <c r="H49" s="20">
        <v>218072</v>
      </c>
      <c r="I49" s="48"/>
    </row>
    <row r="50" spans="1:9" ht="14.4" thickTop="1">
      <c r="A50" s="8" t="s">
        <v>115</v>
      </c>
      <c r="B50" s="16">
        <f>B47-B48-B49</f>
        <v>5287239</v>
      </c>
      <c r="C50" s="2"/>
      <c r="D50" s="8" t="s">
        <v>115</v>
      </c>
      <c r="E50" s="16">
        <f>E47-E48-E49</f>
        <v>4998037</v>
      </c>
      <c r="F50" s="2"/>
      <c r="G50" s="18" t="s">
        <v>115</v>
      </c>
      <c r="H50" s="16">
        <f>H47-H48-H49</f>
        <v>7638511</v>
      </c>
      <c r="I50" s="47"/>
    </row>
    <row r="51" spans="1:9" ht="14.4" thickBot="1">
      <c r="A51" s="8" t="s">
        <v>132</v>
      </c>
      <c r="B51" s="17" t="e">
        <f>'2024 Legal Max'!#REF!*'Weighting Factors'!O5</f>
        <v>#REF!</v>
      </c>
      <c r="C51" s="2"/>
      <c r="D51" s="8" t="s">
        <v>132</v>
      </c>
      <c r="E51" s="17" t="e">
        <f>'2024 Legal Max'!#REF!*'Weighting Factors'!O5</f>
        <v>#REF!</v>
      </c>
      <c r="F51" s="2"/>
      <c r="G51" s="18" t="s">
        <v>132</v>
      </c>
      <c r="H51" s="17" t="e">
        <f>'2024 Legal Max'!#REF!*'Weighting Factors'!O5</f>
        <v>#REF!</v>
      </c>
      <c r="I51" s="47"/>
    </row>
    <row r="52" spans="1:9" ht="14.4" thickTop="1">
      <c r="A52" s="8" t="s">
        <v>140</v>
      </c>
      <c r="B52" s="16" t="e">
        <f>B50+B51</f>
        <v>#REF!</v>
      </c>
      <c r="C52" s="2"/>
      <c r="D52" s="8" t="s">
        <v>148</v>
      </c>
      <c r="E52" s="16" t="e">
        <f>E50+E51</f>
        <v>#REF!</v>
      </c>
      <c r="F52" s="2"/>
      <c r="G52" s="18" t="s">
        <v>148</v>
      </c>
      <c r="H52" s="16" t="e">
        <f>H50+H51</f>
        <v>#REF!</v>
      </c>
      <c r="I52" s="47"/>
    </row>
    <row r="53" spans="1:9" ht="14.4" thickBot="1">
      <c r="A53" s="13"/>
      <c r="B53" s="14"/>
      <c r="C53" s="15"/>
      <c r="D53" s="13"/>
      <c r="E53" s="14"/>
      <c r="F53" s="15"/>
      <c r="G53" s="14"/>
      <c r="H53" s="14"/>
      <c r="I53" s="49"/>
    </row>
    <row r="54" spans="1:9" ht="51" customHeight="1">
      <c r="A54" s="346" t="s">
        <v>485</v>
      </c>
      <c r="B54" s="347"/>
      <c r="C54" s="348"/>
      <c r="D54" s="349" t="s">
        <v>486</v>
      </c>
      <c r="E54" s="347"/>
      <c r="F54" s="348"/>
      <c r="G54" s="349" t="s">
        <v>487</v>
      </c>
      <c r="H54" s="347"/>
      <c r="I54" s="348"/>
    </row>
    <row r="55" spans="1:9">
      <c r="A55" s="3"/>
      <c r="B55" s="4" t="s">
        <v>495</v>
      </c>
      <c r="C55" s="2"/>
      <c r="D55" s="3"/>
      <c r="E55" s="4" t="s">
        <v>495</v>
      </c>
      <c r="F55" s="2"/>
      <c r="G55" s="41"/>
      <c r="H55" s="4" t="s">
        <v>496</v>
      </c>
      <c r="I55" s="5"/>
    </row>
    <row r="56" spans="1:9">
      <c r="A56" s="3"/>
      <c r="B56" s="4" t="s">
        <v>110</v>
      </c>
      <c r="C56" s="2"/>
      <c r="D56" s="3"/>
      <c r="E56" s="4" t="s">
        <v>110</v>
      </c>
      <c r="F56" s="2"/>
      <c r="G56" s="41"/>
      <c r="H56" s="4" t="s">
        <v>110</v>
      </c>
      <c r="I56" s="5"/>
    </row>
    <row r="57" spans="1:9">
      <c r="A57" s="3"/>
      <c r="B57" s="4" t="s">
        <v>124</v>
      </c>
      <c r="C57" s="2"/>
      <c r="D57" s="3"/>
      <c r="E57" s="4" t="s">
        <v>124</v>
      </c>
      <c r="F57" s="2"/>
      <c r="G57" s="41"/>
      <c r="H57" s="4" t="s">
        <v>124</v>
      </c>
      <c r="I57" s="5"/>
    </row>
    <row r="58" spans="1:9">
      <c r="A58" s="3">
        <v>406</v>
      </c>
      <c r="B58" s="16">
        <v>3095862</v>
      </c>
      <c r="C58" s="2"/>
      <c r="D58" s="3">
        <v>211</v>
      </c>
      <c r="E58" s="16">
        <v>5032252</v>
      </c>
      <c r="F58" s="2"/>
      <c r="G58" s="41">
        <v>442</v>
      </c>
      <c r="H58" s="16">
        <v>3414166</v>
      </c>
      <c r="I58" s="47"/>
    </row>
    <row r="59" spans="1:9" ht="14.4" thickBot="1">
      <c r="A59" s="3">
        <v>486</v>
      </c>
      <c r="B59" s="17">
        <v>2493458</v>
      </c>
      <c r="C59" s="2"/>
      <c r="D59" s="3">
        <v>213</v>
      </c>
      <c r="E59" s="17">
        <v>438913</v>
      </c>
      <c r="F59" s="2"/>
      <c r="G59" s="41">
        <v>451</v>
      </c>
      <c r="H59" s="17">
        <v>1602753</v>
      </c>
      <c r="I59" s="47"/>
    </row>
    <row r="60" spans="1:9" ht="14.4" thickTop="1">
      <c r="A60" s="8" t="s">
        <v>111</v>
      </c>
      <c r="B60" s="16">
        <f>SUM(B58:B59)</f>
        <v>5589320</v>
      </c>
      <c r="C60" s="2"/>
      <c r="D60" s="8" t="s">
        <v>111</v>
      </c>
      <c r="E60" s="16">
        <f>SUM(E58:E59)</f>
        <v>5471165</v>
      </c>
      <c r="F60" s="2"/>
      <c r="G60" s="18" t="s">
        <v>111</v>
      </c>
      <c r="H60" s="16">
        <f>SUM(H58:H59)</f>
        <v>5016919</v>
      </c>
      <c r="I60" s="47"/>
    </row>
    <row r="61" spans="1:9">
      <c r="A61" s="8" t="s">
        <v>149</v>
      </c>
      <c r="B61" s="19">
        <v>375445</v>
      </c>
      <c r="C61" s="2"/>
      <c r="D61" s="8" t="s">
        <v>151</v>
      </c>
      <c r="E61" s="19">
        <v>714638</v>
      </c>
      <c r="F61" s="2"/>
      <c r="G61" s="18" t="s">
        <v>109</v>
      </c>
      <c r="H61" s="19">
        <v>381205</v>
      </c>
      <c r="I61" s="48"/>
    </row>
    <row r="62" spans="1:9" ht="14.4" thickBot="1">
      <c r="A62" s="8" t="s">
        <v>150</v>
      </c>
      <c r="B62" s="20">
        <v>258021</v>
      </c>
      <c r="C62" s="2"/>
      <c r="D62" s="8" t="s">
        <v>152</v>
      </c>
      <c r="E62" s="20">
        <v>37880</v>
      </c>
      <c r="F62" s="2"/>
      <c r="G62" s="18" t="s">
        <v>109</v>
      </c>
      <c r="H62" s="20">
        <v>128351</v>
      </c>
      <c r="I62" s="48"/>
    </row>
    <row r="63" spans="1:9" ht="14.4" thickTop="1">
      <c r="A63" s="8" t="s">
        <v>115</v>
      </c>
      <c r="B63" s="16">
        <f>B60-B61-B62</f>
        <v>4955854</v>
      </c>
      <c r="C63" s="2"/>
      <c r="D63" s="8" t="s">
        <v>115</v>
      </c>
      <c r="E63" s="16">
        <f>E60-E61-E62</f>
        <v>4718647</v>
      </c>
      <c r="F63" s="2"/>
      <c r="G63" s="18" t="s">
        <v>115</v>
      </c>
      <c r="H63" s="16">
        <f>H60-H61-H62</f>
        <v>4507363</v>
      </c>
      <c r="I63" s="47"/>
    </row>
    <row r="64" spans="1:9" ht="14.4" thickBot="1">
      <c r="A64" s="8" t="s">
        <v>132</v>
      </c>
      <c r="B64" s="17" t="e">
        <f>'2024 Legal Max'!#REF!*'Weighting Factors'!O5</f>
        <v>#REF!</v>
      </c>
      <c r="C64" s="2"/>
      <c r="D64" s="8" t="s">
        <v>132</v>
      </c>
      <c r="E64" s="17" t="e">
        <f>'2024 Legal Max'!#REF!*'Weighting Factors'!O5</f>
        <v>#REF!</v>
      </c>
      <c r="F64" s="2"/>
      <c r="G64" s="18" t="s">
        <v>132</v>
      </c>
      <c r="H64" s="17" t="e">
        <f>'2024 Legal Max'!#REF!*'Weighting Factors'!O5</f>
        <v>#REF!</v>
      </c>
      <c r="I64" s="47"/>
    </row>
    <row r="65" spans="1:9" ht="14.4" thickTop="1">
      <c r="A65" s="8" t="s">
        <v>148</v>
      </c>
      <c r="B65" s="16" t="e">
        <f>B63+B64</f>
        <v>#REF!</v>
      </c>
      <c r="C65" s="2"/>
      <c r="D65" s="8" t="s">
        <v>148</v>
      </c>
      <c r="E65" s="16" t="e">
        <f>E63+E64</f>
        <v>#REF!</v>
      </c>
      <c r="F65" s="2"/>
      <c r="G65" s="18" t="s">
        <v>502</v>
      </c>
      <c r="H65" s="16" t="e">
        <f>H63+H64</f>
        <v>#REF!</v>
      </c>
      <c r="I65" s="47"/>
    </row>
    <row r="66" spans="1:9" ht="14.4" thickBot="1">
      <c r="A66" s="13"/>
      <c r="B66" s="14"/>
      <c r="C66" s="15"/>
      <c r="D66" s="13"/>
      <c r="E66" s="14"/>
      <c r="F66" s="15"/>
      <c r="G66" s="14"/>
      <c r="H66" s="14"/>
      <c r="I66" s="49"/>
    </row>
    <row r="67" spans="1:9" ht="51" customHeight="1">
      <c r="A67" s="346" t="s">
        <v>488</v>
      </c>
      <c r="B67" s="347"/>
      <c r="C67" s="348"/>
      <c r="D67" s="349" t="s">
        <v>802</v>
      </c>
      <c r="E67" s="347"/>
      <c r="F67" s="348"/>
      <c r="G67" s="350" t="s">
        <v>489</v>
      </c>
      <c r="H67" s="351"/>
      <c r="I67" s="352"/>
    </row>
    <row r="68" spans="1:9">
      <c r="A68" s="3"/>
      <c r="B68" s="4" t="s">
        <v>496</v>
      </c>
      <c r="C68" s="2"/>
      <c r="D68" s="3"/>
      <c r="E68" s="4" t="s">
        <v>496</v>
      </c>
      <c r="F68" s="2"/>
      <c r="H68" s="23" t="s">
        <v>181</v>
      </c>
      <c r="I68" s="34"/>
    </row>
    <row r="69" spans="1:9">
      <c r="A69" s="3"/>
      <c r="B69" s="4" t="s">
        <v>110</v>
      </c>
      <c r="C69" s="2"/>
      <c r="D69" s="3"/>
      <c r="E69" s="4" t="s">
        <v>110</v>
      </c>
      <c r="F69" s="2"/>
      <c r="H69" s="23" t="s">
        <v>110</v>
      </c>
      <c r="I69" s="34"/>
    </row>
    <row r="70" spans="1:9">
      <c r="A70" s="3"/>
      <c r="B70" s="4" t="s">
        <v>124</v>
      </c>
      <c r="C70" s="2"/>
      <c r="D70" s="3"/>
      <c r="E70" s="4" t="s">
        <v>124</v>
      </c>
      <c r="F70" s="2"/>
      <c r="H70" s="23" t="s">
        <v>124</v>
      </c>
      <c r="I70" s="34"/>
    </row>
    <row r="71" spans="1:9">
      <c r="A71" s="3">
        <v>227</v>
      </c>
      <c r="B71" s="16">
        <v>2122437</v>
      </c>
      <c r="C71" s="2"/>
      <c r="D71" s="3">
        <v>422</v>
      </c>
      <c r="E71" s="16">
        <v>1990547</v>
      </c>
      <c r="F71" s="2"/>
      <c r="G71" s="27" t="s">
        <v>0</v>
      </c>
      <c r="H71" s="24"/>
      <c r="I71" s="35"/>
    </row>
    <row r="72" spans="1:9" ht="14.4" thickBot="1">
      <c r="A72" s="3">
        <v>228</v>
      </c>
      <c r="B72" s="17">
        <v>729132</v>
      </c>
      <c r="C72" s="2"/>
      <c r="D72" s="3">
        <v>424</v>
      </c>
      <c r="E72" s="17">
        <v>1451178</v>
      </c>
      <c r="F72" s="2"/>
      <c r="G72" s="27" t="s">
        <v>0</v>
      </c>
      <c r="H72" s="25"/>
      <c r="I72" s="35"/>
    </row>
    <row r="73" spans="1:9" ht="14.4" thickTop="1">
      <c r="A73" s="8" t="s">
        <v>111</v>
      </c>
      <c r="B73" s="16">
        <f>SUM(B71:B72)</f>
        <v>2851569</v>
      </c>
      <c r="C73" s="2"/>
      <c r="D73" s="8" t="s">
        <v>111</v>
      </c>
      <c r="E73" s="16">
        <f>SUM(E71:E72)</f>
        <v>3441725</v>
      </c>
      <c r="F73" s="2"/>
      <c r="G73" s="27" t="s">
        <v>111</v>
      </c>
      <c r="H73" s="24"/>
      <c r="I73" s="35"/>
    </row>
    <row r="74" spans="1:9">
      <c r="A74" s="8" t="s">
        <v>183</v>
      </c>
      <c r="B74" s="19">
        <v>177299</v>
      </c>
      <c r="C74" s="2"/>
      <c r="D74" s="8" t="s">
        <v>186</v>
      </c>
      <c r="E74" s="19">
        <v>237029</v>
      </c>
      <c r="F74" s="2"/>
      <c r="G74" s="27" t="s">
        <v>109</v>
      </c>
      <c r="H74" s="28"/>
      <c r="I74" s="36"/>
    </row>
    <row r="75" spans="1:9" ht="14.4" thickBot="1">
      <c r="A75" s="8" t="s">
        <v>184</v>
      </c>
      <c r="B75" s="20">
        <v>75523</v>
      </c>
      <c r="C75" s="2"/>
      <c r="D75" s="8" t="s">
        <v>185</v>
      </c>
      <c r="E75" s="20">
        <v>58241</v>
      </c>
      <c r="F75" s="2"/>
      <c r="G75" s="27" t="s">
        <v>109</v>
      </c>
      <c r="H75" s="29"/>
      <c r="I75" s="36"/>
    </row>
    <row r="76" spans="1:9" ht="14.4" thickTop="1">
      <c r="A76" s="8" t="s">
        <v>115</v>
      </c>
      <c r="B76" s="16">
        <f>B73-B74-B75</f>
        <v>2598747</v>
      </c>
      <c r="C76" s="2"/>
      <c r="D76" s="8" t="s">
        <v>115</v>
      </c>
      <c r="E76" s="16">
        <f>E73-E74-E75</f>
        <v>3146455</v>
      </c>
      <c r="F76" s="2"/>
      <c r="G76" s="27" t="s">
        <v>115</v>
      </c>
      <c r="H76" s="24"/>
      <c r="I76" s="35"/>
    </row>
    <row r="77" spans="1:9" ht="14.4" thickBot="1">
      <c r="A77" s="8" t="s">
        <v>132</v>
      </c>
      <c r="B77" s="17" t="e">
        <f>'2024 Legal Max'!#REF!*'Weighting Factors'!O5</f>
        <v>#REF!</v>
      </c>
      <c r="C77" s="2"/>
      <c r="D77" s="8" t="s">
        <v>132</v>
      </c>
      <c r="E77" s="17" t="e">
        <f>'2024 Legal Max'!#REF!*'Weighting Factors'!O5</f>
        <v>#REF!</v>
      </c>
      <c r="F77" s="2"/>
      <c r="G77" s="27" t="s">
        <v>132</v>
      </c>
      <c r="H77" s="25"/>
      <c r="I77" s="35"/>
    </row>
    <row r="78" spans="1:9" ht="14.4" thickTop="1">
      <c r="A78" s="8" t="s">
        <v>502</v>
      </c>
      <c r="B78" s="16" t="e">
        <f>B76+B77</f>
        <v>#REF!</v>
      </c>
      <c r="C78" s="2"/>
      <c r="D78" s="8" t="s">
        <v>502</v>
      </c>
      <c r="E78" s="16" t="e">
        <f>E76+E77</f>
        <v>#REF!</v>
      </c>
      <c r="F78" s="2"/>
      <c r="G78" s="27" t="s">
        <v>182</v>
      </c>
      <c r="H78" s="24"/>
      <c r="I78" s="35"/>
    </row>
    <row r="79" spans="1:9" ht="14.4" thickBot="1">
      <c r="A79" s="50"/>
      <c r="B79" s="51"/>
      <c r="C79" s="15"/>
      <c r="D79" s="50"/>
      <c r="E79" s="51"/>
      <c r="F79" s="15"/>
      <c r="G79" s="33"/>
      <c r="H79" s="31"/>
      <c r="I79" s="37"/>
    </row>
    <row r="80" spans="1:9" ht="51" customHeight="1">
      <c r="A80" s="350" t="s">
        <v>489</v>
      </c>
      <c r="B80" s="351"/>
      <c r="C80" s="352"/>
      <c r="D80" s="350" t="s">
        <v>489</v>
      </c>
      <c r="E80" s="351"/>
      <c r="F80" s="352"/>
      <c r="G80" s="350" t="s">
        <v>489</v>
      </c>
      <c r="H80" s="351"/>
      <c r="I80" s="352"/>
    </row>
    <row r="81" spans="1:9">
      <c r="A81" s="21"/>
      <c r="B81" s="23" t="s">
        <v>181</v>
      </c>
      <c r="C81" s="22"/>
      <c r="D81" s="21"/>
      <c r="E81" s="23" t="s">
        <v>181</v>
      </c>
      <c r="F81" s="22"/>
      <c r="H81" s="23" t="s">
        <v>181</v>
      </c>
      <c r="I81" s="34"/>
    </row>
    <row r="82" spans="1:9">
      <c r="A82" s="21"/>
      <c r="B82" s="23" t="s">
        <v>110</v>
      </c>
      <c r="C82" s="22"/>
      <c r="D82" s="21"/>
      <c r="E82" s="23" t="s">
        <v>110</v>
      </c>
      <c r="F82" s="22"/>
      <c r="H82" s="23" t="s">
        <v>110</v>
      </c>
      <c r="I82" s="34"/>
    </row>
    <row r="83" spans="1:9">
      <c r="A83" s="21"/>
      <c r="B83" s="23" t="s">
        <v>124</v>
      </c>
      <c r="C83" s="22"/>
      <c r="D83" s="21"/>
      <c r="E83" s="23" t="s">
        <v>124</v>
      </c>
      <c r="F83" s="22"/>
      <c r="H83" s="23" t="s">
        <v>124</v>
      </c>
      <c r="I83" s="34"/>
    </row>
    <row r="84" spans="1:9">
      <c r="A84" s="21"/>
      <c r="B84" s="24"/>
      <c r="C84" s="22"/>
      <c r="D84" s="21"/>
      <c r="E84" s="24"/>
      <c r="F84" s="22"/>
      <c r="G84" s="27" t="s">
        <v>0</v>
      </c>
      <c r="H84" s="24"/>
      <c r="I84" s="35"/>
    </row>
    <row r="85" spans="1:9" ht="14.4" thickBot="1">
      <c r="A85" s="21"/>
      <c r="B85" s="25"/>
      <c r="C85" s="22"/>
      <c r="D85" s="21"/>
      <c r="E85" s="25"/>
      <c r="F85" s="22"/>
      <c r="G85" s="27" t="s">
        <v>0</v>
      </c>
      <c r="H85" s="25"/>
      <c r="I85" s="35"/>
    </row>
    <row r="86" spans="1:9" ht="14.4" thickTop="1">
      <c r="A86" s="26" t="s">
        <v>111</v>
      </c>
      <c r="B86" s="24"/>
      <c r="C86" s="22"/>
      <c r="D86" s="26" t="s">
        <v>111</v>
      </c>
      <c r="E86" s="24"/>
      <c r="F86" s="22"/>
      <c r="G86" s="27" t="s">
        <v>111</v>
      </c>
      <c r="H86" s="24"/>
      <c r="I86" s="35"/>
    </row>
    <row r="87" spans="1:9">
      <c r="A87" s="26" t="s">
        <v>494</v>
      </c>
      <c r="B87" s="28"/>
      <c r="C87" s="22"/>
      <c r="D87" s="26" t="s">
        <v>494</v>
      </c>
      <c r="E87" s="28"/>
      <c r="F87" s="22"/>
      <c r="G87" s="27" t="s">
        <v>109</v>
      </c>
      <c r="H87" s="28"/>
      <c r="I87" s="36"/>
    </row>
    <row r="88" spans="1:9" ht="14.4" thickBot="1">
      <c r="A88" s="26" t="s">
        <v>109</v>
      </c>
      <c r="B88" s="29"/>
      <c r="C88" s="22"/>
      <c r="D88" s="26" t="s">
        <v>494</v>
      </c>
      <c r="E88" s="29"/>
      <c r="F88" s="22"/>
      <c r="G88" s="27" t="s">
        <v>109</v>
      </c>
      <c r="H88" s="29"/>
      <c r="I88" s="36"/>
    </row>
    <row r="89" spans="1:9" ht="14.4" thickTop="1">
      <c r="A89" s="26" t="s">
        <v>115</v>
      </c>
      <c r="B89" s="24"/>
      <c r="C89" s="22"/>
      <c r="D89" s="26" t="s">
        <v>115</v>
      </c>
      <c r="E89" s="24"/>
      <c r="F89" s="22"/>
      <c r="G89" s="27" t="s">
        <v>115</v>
      </c>
      <c r="H89" s="24"/>
      <c r="I89" s="35"/>
    </row>
    <row r="90" spans="1:9" ht="14.4" thickBot="1">
      <c r="A90" s="26" t="s">
        <v>132</v>
      </c>
      <c r="B90" s="25"/>
      <c r="C90" s="22"/>
      <c r="D90" s="26" t="s">
        <v>132</v>
      </c>
      <c r="E90" s="25"/>
      <c r="F90" s="22"/>
      <c r="G90" s="27" t="s">
        <v>132</v>
      </c>
      <c r="H90" s="25"/>
      <c r="I90" s="35"/>
    </row>
    <row r="91" spans="1:9" ht="14.4" thickTop="1">
      <c r="A91" s="26" t="s">
        <v>182</v>
      </c>
      <c r="B91" s="24"/>
      <c r="C91" s="22"/>
      <c r="D91" s="26" t="s">
        <v>182</v>
      </c>
      <c r="E91" s="24"/>
      <c r="F91" s="22"/>
      <c r="G91" s="27" t="s">
        <v>182</v>
      </c>
      <c r="H91" s="24"/>
      <c r="I91" s="35"/>
    </row>
    <row r="92" spans="1:9" ht="14.4" thickBot="1">
      <c r="A92" s="30"/>
      <c r="B92" s="31"/>
      <c r="C92" s="32"/>
      <c r="D92" s="30"/>
      <c r="E92" s="31"/>
      <c r="F92" s="32"/>
      <c r="G92" s="33"/>
      <c r="H92" s="31"/>
      <c r="I92" s="37"/>
    </row>
  </sheetData>
  <mergeCells count="21">
    <mergeCell ref="G67:I67"/>
    <mergeCell ref="G80:I80"/>
    <mergeCell ref="G2:I2"/>
    <mergeCell ref="G15:I15"/>
    <mergeCell ref="G28:I28"/>
    <mergeCell ref="G41:I41"/>
    <mergeCell ref="G54:I54"/>
    <mergeCell ref="A15:C15"/>
    <mergeCell ref="D15:F15"/>
    <mergeCell ref="A2:C2"/>
    <mergeCell ref="D2:F2"/>
    <mergeCell ref="A28:C28"/>
    <mergeCell ref="D28:F28"/>
    <mergeCell ref="A41:C41"/>
    <mergeCell ref="D41:F41"/>
    <mergeCell ref="A80:C80"/>
    <mergeCell ref="D80:F80"/>
    <mergeCell ref="A54:C54"/>
    <mergeCell ref="D54:F54"/>
    <mergeCell ref="A67:C67"/>
    <mergeCell ref="D67:F67"/>
  </mergeCells>
  <phoneticPr fontId="0" type="noConversion"/>
  <pageMargins left="0.25" right="0.25" top="0.5" bottom="0.5" header="0.5" footer="0.5"/>
  <pageSetup scale="80" orientation="landscape"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dimension ref="A1:BC289"/>
  <sheetViews>
    <sheetView workbookViewId="0">
      <pane xSplit="1" ySplit="3" topLeftCell="AD4" activePane="bottomRight" state="frozen"/>
      <selection pane="topRight" activeCell="B1" sqref="B1"/>
      <selection pane="bottomLeft" activeCell="A4" sqref="A4"/>
      <selection pane="bottomRight" activeCell="A3" sqref="A3"/>
    </sheetView>
  </sheetViews>
  <sheetFormatPr defaultColWidth="9.109375" defaultRowHeight="13.2"/>
  <cols>
    <col min="1" max="1" width="11.6640625" style="134" customWidth="1"/>
    <col min="2" max="2" width="11.6640625" style="136" hidden="1" customWidth="1"/>
    <col min="3" max="3" width="11.6640625" style="136" customWidth="1"/>
    <col min="4" max="4" width="10.88671875" style="136" hidden="1" customWidth="1"/>
    <col min="5" max="5" width="11.44140625" style="129" hidden="1" customWidth="1"/>
    <col min="6" max="6" width="12" style="136" customWidth="1"/>
    <col min="7" max="7" width="12" style="136" hidden="1" customWidth="1"/>
    <col min="8" max="8" width="11" style="129" hidden="1" customWidth="1"/>
    <col min="9" max="10" width="12" style="129" hidden="1" customWidth="1"/>
    <col min="11" max="11" width="11.88671875" style="129" customWidth="1"/>
    <col min="12" max="12" width="11.88671875" style="129" hidden="1" customWidth="1"/>
    <col min="13" max="13" width="11.88671875" style="129" customWidth="1"/>
    <col min="14" max="15" width="10.109375" style="129" customWidth="1"/>
    <col min="16" max="17" width="11.44140625" style="129" customWidth="1"/>
    <col min="18" max="21" width="10.33203125" style="129" customWidth="1"/>
    <col min="22" max="22" width="10.44140625" style="129" customWidth="1"/>
    <col min="23" max="23" width="10.33203125" style="129" customWidth="1"/>
    <col min="24" max="24" width="9.33203125" style="129" customWidth="1"/>
    <col min="25" max="25" width="9.109375" style="129"/>
    <col min="26" max="26" width="9.109375" style="129" customWidth="1"/>
    <col min="27" max="28" width="9.109375" style="129"/>
    <col min="29" max="29" width="11" style="129" customWidth="1"/>
    <col min="30" max="30" width="10" style="129" customWidth="1"/>
    <col min="31" max="31" width="10" style="129" hidden="1" customWidth="1"/>
    <col min="32" max="33" width="13" style="129" customWidth="1"/>
    <col min="34" max="34" width="11.33203125" style="129" customWidth="1"/>
    <col min="35" max="35" width="9.88671875" style="129" hidden="1" customWidth="1"/>
    <col min="36" max="36" width="9.33203125" style="129" hidden="1" customWidth="1"/>
    <col min="37" max="37" width="11.44140625" style="129" customWidth="1"/>
    <col min="38" max="38" width="12.44140625" style="129" customWidth="1"/>
    <col min="39" max="39" width="10.6640625" style="129" customWidth="1"/>
    <col min="40" max="40" width="10.33203125" style="129" customWidth="1"/>
    <col min="41" max="41" width="11.109375" style="129" customWidth="1"/>
    <col min="42" max="42" width="10.33203125" style="129" customWidth="1"/>
    <col min="43" max="43" width="9.109375" style="129" hidden="1" customWidth="1"/>
    <col min="44" max="44" width="10.5546875" style="129" customWidth="1"/>
    <col min="45" max="45" width="10.88671875" style="129" customWidth="1"/>
    <col min="46" max="46" width="11.109375" style="129" hidden="1" customWidth="1"/>
    <col min="47" max="47" width="9.109375" style="129"/>
    <col min="48" max="48" width="12.109375" style="129" customWidth="1"/>
    <col min="49" max="49" width="13.88671875" style="129" hidden="1" customWidth="1"/>
    <col min="50" max="50" width="12.88671875" style="129" customWidth="1"/>
    <col min="51" max="51" width="11.6640625" style="129" customWidth="1"/>
    <col min="52" max="52" width="9.88671875" style="129" customWidth="1"/>
    <col min="53" max="53" width="38" style="129" customWidth="1"/>
    <col min="54" max="54" width="10" style="129" customWidth="1"/>
    <col min="55" max="55" width="9.88671875" style="129" customWidth="1"/>
    <col min="56" max="16384" width="9.109375" style="129"/>
  </cols>
  <sheetData>
    <row r="1" spans="1:55" ht="13.8" thickBot="1">
      <c r="B1" s="205" t="s">
        <v>860</v>
      </c>
      <c r="C1" s="361" t="s">
        <v>861</v>
      </c>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3"/>
      <c r="AF1" s="135"/>
      <c r="AG1" s="206"/>
      <c r="AJ1" s="164"/>
    </row>
    <row r="2" spans="1:55" ht="73.95" customHeight="1" thickBot="1">
      <c r="B2" s="205" t="s">
        <v>862</v>
      </c>
      <c r="C2" s="364" t="s">
        <v>3666</v>
      </c>
      <c r="D2" s="365"/>
      <c r="E2" s="365"/>
      <c r="F2" s="366"/>
      <c r="G2" s="207" t="s">
        <v>873</v>
      </c>
      <c r="H2" s="364" t="s">
        <v>863</v>
      </c>
      <c r="I2" s="365"/>
      <c r="J2" s="366"/>
      <c r="K2" s="364" t="s">
        <v>3644</v>
      </c>
      <c r="L2" s="365"/>
      <c r="M2" s="366"/>
      <c r="N2" s="364" t="s">
        <v>3645</v>
      </c>
      <c r="O2" s="363"/>
      <c r="P2" s="364" t="s">
        <v>3646</v>
      </c>
      <c r="Q2" s="366"/>
      <c r="R2" s="364" t="s">
        <v>3659</v>
      </c>
      <c r="S2" s="363"/>
      <c r="T2" s="364" t="s">
        <v>864</v>
      </c>
      <c r="U2" s="366"/>
      <c r="V2" s="364" t="s">
        <v>896</v>
      </c>
      <c r="W2" s="366"/>
      <c r="X2" s="208" t="s">
        <v>188</v>
      </c>
      <c r="Y2" s="364" t="s">
        <v>865</v>
      </c>
      <c r="Z2" s="366"/>
      <c r="AA2" s="361" t="s">
        <v>866</v>
      </c>
      <c r="AB2" s="362"/>
      <c r="AC2" s="362"/>
      <c r="AD2" s="362"/>
      <c r="AE2" s="363"/>
      <c r="AF2" s="209" t="s">
        <v>867</v>
      </c>
      <c r="AG2" s="209" t="s">
        <v>868</v>
      </c>
      <c r="AH2" s="210" t="s">
        <v>869</v>
      </c>
      <c r="AX2" s="336" t="s">
        <v>898</v>
      </c>
      <c r="AY2" s="336"/>
      <c r="AZ2" s="134"/>
      <c r="BB2" s="360" t="s">
        <v>1029</v>
      </c>
      <c r="BC2" s="360"/>
    </row>
    <row r="3" spans="1:55" ht="114" customHeight="1">
      <c r="A3" s="134" t="s">
        <v>0</v>
      </c>
      <c r="B3" s="211" t="s">
        <v>870</v>
      </c>
      <c r="C3" s="152" t="s">
        <v>3649</v>
      </c>
      <c r="D3" s="152" t="s">
        <v>3650</v>
      </c>
      <c r="E3" s="152" t="s">
        <v>3651</v>
      </c>
      <c r="F3" s="152" t="s">
        <v>3652</v>
      </c>
      <c r="G3" s="212" t="s">
        <v>871</v>
      </c>
      <c r="H3" s="152" t="s">
        <v>1011</v>
      </c>
      <c r="I3" s="152" t="s">
        <v>872</v>
      </c>
      <c r="J3" s="152" t="s">
        <v>895</v>
      </c>
      <c r="K3" s="152" t="s">
        <v>3653</v>
      </c>
      <c r="L3" s="152" t="s">
        <v>925</v>
      </c>
      <c r="M3" s="152" t="s">
        <v>3654</v>
      </c>
      <c r="N3" s="152" t="s">
        <v>3655</v>
      </c>
      <c r="O3" s="152" t="s">
        <v>3656</v>
      </c>
      <c r="P3" s="152" t="s">
        <v>3657</v>
      </c>
      <c r="Q3" s="152" t="s">
        <v>3658</v>
      </c>
      <c r="R3" s="152" t="s">
        <v>3546</v>
      </c>
      <c r="S3" s="152" t="s">
        <v>3547</v>
      </c>
      <c r="T3" s="152" t="s">
        <v>3562</v>
      </c>
      <c r="U3" s="152" t="s">
        <v>3561</v>
      </c>
      <c r="V3" s="152" t="s">
        <v>3560</v>
      </c>
      <c r="W3" s="152" t="s">
        <v>3548</v>
      </c>
      <c r="X3" s="152" t="s">
        <v>3549</v>
      </c>
      <c r="Y3" s="152" t="s">
        <v>3563</v>
      </c>
      <c r="Z3" s="152" t="s">
        <v>3550</v>
      </c>
      <c r="AA3" s="152" t="s">
        <v>3551</v>
      </c>
      <c r="AB3" s="152" t="s">
        <v>3552</v>
      </c>
      <c r="AC3" s="152" t="s">
        <v>3660</v>
      </c>
      <c r="AD3" s="152" t="s">
        <v>1024</v>
      </c>
      <c r="AE3" s="152"/>
      <c r="AF3" s="213" t="s">
        <v>3661</v>
      </c>
      <c r="AG3" s="213" t="s">
        <v>3662</v>
      </c>
      <c r="AH3" s="213" t="s">
        <v>3663</v>
      </c>
      <c r="AI3" s="214" t="s">
        <v>885</v>
      </c>
      <c r="AJ3" s="214" t="s">
        <v>885</v>
      </c>
      <c r="AK3" s="214" t="s">
        <v>3673</v>
      </c>
      <c r="AL3" s="214" t="s">
        <v>3674</v>
      </c>
      <c r="AM3" s="214" t="s">
        <v>3675</v>
      </c>
      <c r="AN3" s="214" t="s">
        <v>3676</v>
      </c>
      <c r="AO3" s="214" t="s">
        <v>3677</v>
      </c>
      <c r="AP3" s="214" t="s">
        <v>3678</v>
      </c>
      <c r="AQ3" s="214" t="s">
        <v>885</v>
      </c>
      <c r="AR3" s="214" t="s">
        <v>3679</v>
      </c>
      <c r="AS3" s="214" t="s">
        <v>3680</v>
      </c>
      <c r="AT3" s="214" t="s">
        <v>1012</v>
      </c>
      <c r="AU3" s="144" t="s">
        <v>3682</v>
      </c>
      <c r="AV3" s="129" t="s">
        <v>883</v>
      </c>
      <c r="AW3" s="132" t="s">
        <v>1016</v>
      </c>
      <c r="AX3" s="132" t="s">
        <v>3664</v>
      </c>
      <c r="AY3" s="144" t="s">
        <v>3665</v>
      </c>
      <c r="AZ3" s="215" t="s">
        <v>906</v>
      </c>
      <c r="BA3" s="129" t="s">
        <v>897</v>
      </c>
      <c r="BB3" s="144" t="s">
        <v>3647</v>
      </c>
      <c r="BC3" s="144" t="s">
        <v>3648</v>
      </c>
    </row>
    <row r="4" spans="1:55">
      <c r="A4" s="216" t="s">
        <v>190</v>
      </c>
      <c r="B4" s="217"/>
      <c r="C4" s="218">
        <v>420.5</v>
      </c>
      <c r="D4" s="129"/>
      <c r="E4" s="218"/>
      <c r="F4" s="218">
        <v>0</v>
      </c>
      <c r="G4" s="219"/>
      <c r="H4" s="218"/>
      <c r="I4" s="218"/>
      <c r="J4" s="136"/>
      <c r="K4" s="139">
        <v>442</v>
      </c>
      <c r="L4" s="136">
        <v>0</v>
      </c>
      <c r="M4" s="217">
        <v>0</v>
      </c>
      <c r="N4" s="136">
        <v>10</v>
      </c>
      <c r="O4" s="136">
        <v>0</v>
      </c>
      <c r="P4" s="218">
        <v>35.5</v>
      </c>
      <c r="Q4" s="136">
        <v>0</v>
      </c>
      <c r="R4" s="136">
        <v>0.8</v>
      </c>
      <c r="S4" s="136">
        <v>0</v>
      </c>
      <c r="T4" s="139">
        <v>4</v>
      </c>
      <c r="U4" s="217">
        <v>0</v>
      </c>
      <c r="V4" s="217">
        <v>239</v>
      </c>
      <c r="W4" s="217">
        <v>0</v>
      </c>
      <c r="X4" s="218">
        <v>0</v>
      </c>
      <c r="Y4" s="220">
        <v>238.5</v>
      </c>
      <c r="Z4" s="164">
        <v>0</v>
      </c>
      <c r="AA4" s="221">
        <v>3</v>
      </c>
      <c r="AB4" s="221">
        <v>0</v>
      </c>
      <c r="AC4" s="222">
        <v>0</v>
      </c>
      <c r="AD4" s="223">
        <v>0</v>
      </c>
      <c r="AE4" s="136"/>
      <c r="AF4" s="136">
        <v>25.1</v>
      </c>
      <c r="AG4" s="224">
        <v>22.8</v>
      </c>
      <c r="AH4" s="136">
        <v>820.2</v>
      </c>
      <c r="AI4" s="136"/>
      <c r="AJ4" s="136"/>
      <c r="AK4" s="136">
        <f>SUM(C4+F4)</f>
        <v>420.5</v>
      </c>
      <c r="AL4" s="136">
        <f t="shared" ref="AL4:AL67" si="0">SUM(N4+O4)</f>
        <v>10</v>
      </c>
      <c r="AM4" s="136">
        <f t="shared" ref="AM4:AM67" si="1">SUM(R4+S4)</f>
        <v>0.8</v>
      </c>
      <c r="AN4" s="136">
        <f t="shared" ref="AN4:AN67" si="2">SUM(T4+U4)</f>
        <v>4</v>
      </c>
      <c r="AO4" s="136">
        <f t="shared" ref="AO4:AO67" si="3">SUM(P4+Q4)</f>
        <v>35.5</v>
      </c>
      <c r="AP4" s="139">
        <f t="shared" ref="AP4:AP67" si="4">SUM(V4+W4)</f>
        <v>239</v>
      </c>
      <c r="AQ4" s="136">
        <f>SUM(AD4+AE4)</f>
        <v>0</v>
      </c>
      <c r="AR4" s="136">
        <f t="shared" ref="AR4:AR67" si="5">SUM(Y4+Z4)</f>
        <v>238.5</v>
      </c>
      <c r="AS4" s="139">
        <f>SUM(K4+M4)</f>
        <v>442</v>
      </c>
      <c r="AT4" s="136"/>
      <c r="AU4" s="136">
        <f>MAX(AF4,AG4)</f>
        <v>25.1</v>
      </c>
      <c r="AV4" s="225">
        <v>4696234</v>
      </c>
      <c r="AX4" s="136">
        <f>'2024 Legal Max'!AS5</f>
        <v>813.6</v>
      </c>
      <c r="AY4" s="136">
        <f>AX4-AH4</f>
        <v>-6.6</v>
      </c>
      <c r="AZ4" s="139">
        <v>314786</v>
      </c>
      <c r="BB4" s="164">
        <v>0</v>
      </c>
      <c r="BC4" s="164">
        <v>10</v>
      </c>
    </row>
    <row r="5" spans="1:55">
      <c r="A5" s="216" t="s">
        <v>191</v>
      </c>
      <c r="B5" s="217"/>
      <c r="C5" s="218">
        <v>581</v>
      </c>
      <c r="E5" s="218"/>
      <c r="F5" s="218">
        <v>0</v>
      </c>
      <c r="G5" s="219"/>
      <c r="H5" s="218"/>
      <c r="I5" s="218"/>
      <c r="J5" s="136"/>
      <c r="K5" s="139">
        <v>602</v>
      </c>
      <c r="L5" s="136">
        <v>0</v>
      </c>
      <c r="M5" s="217">
        <v>0</v>
      </c>
      <c r="N5" s="136">
        <v>8</v>
      </c>
      <c r="O5" s="136">
        <v>0</v>
      </c>
      <c r="P5" s="218">
        <v>145.6</v>
      </c>
      <c r="Q5" s="136">
        <v>0</v>
      </c>
      <c r="R5" s="136">
        <v>549.1</v>
      </c>
      <c r="S5" s="136">
        <v>0</v>
      </c>
      <c r="T5" s="139">
        <v>122</v>
      </c>
      <c r="U5" s="217">
        <v>0</v>
      </c>
      <c r="V5" s="217">
        <v>196</v>
      </c>
      <c r="W5" s="217">
        <v>0</v>
      </c>
      <c r="X5" s="218">
        <v>0</v>
      </c>
      <c r="Y5" s="220">
        <v>73</v>
      </c>
      <c r="Z5" s="164">
        <v>0</v>
      </c>
      <c r="AA5" s="221">
        <v>0</v>
      </c>
      <c r="AB5" s="221">
        <v>0</v>
      </c>
      <c r="AC5" s="222">
        <v>0</v>
      </c>
      <c r="AD5" s="223">
        <v>0</v>
      </c>
      <c r="AE5" s="136"/>
      <c r="AF5" s="136">
        <v>0</v>
      </c>
      <c r="AG5" s="224">
        <v>0</v>
      </c>
      <c r="AH5" s="136">
        <v>1037.0999999999999</v>
      </c>
      <c r="AI5" s="136"/>
      <c r="AJ5" s="136"/>
      <c r="AK5" s="136">
        <f t="shared" ref="AK5:AK67" si="6">SUM(C5+F5)</f>
        <v>581</v>
      </c>
      <c r="AL5" s="136">
        <f t="shared" si="0"/>
        <v>8</v>
      </c>
      <c r="AM5" s="136">
        <f t="shared" si="1"/>
        <v>549.1</v>
      </c>
      <c r="AN5" s="136">
        <f t="shared" si="2"/>
        <v>122</v>
      </c>
      <c r="AO5" s="136">
        <f t="shared" si="3"/>
        <v>145.6</v>
      </c>
      <c r="AP5" s="139">
        <f t="shared" si="4"/>
        <v>196</v>
      </c>
      <c r="AQ5" s="136">
        <f t="shared" ref="AQ5:AQ68" si="7">SUM(AD5+AE5)</f>
        <v>0</v>
      </c>
      <c r="AR5" s="136">
        <f t="shared" si="5"/>
        <v>73</v>
      </c>
      <c r="AS5" s="139">
        <f t="shared" ref="AS5:AS67" si="8">SUM(K5+M5)</f>
        <v>602</v>
      </c>
      <c r="AT5" s="136"/>
      <c r="AU5" s="136">
        <f t="shared" ref="AU5:AU68" si="9">MAX(AF5,AG5)</f>
        <v>0</v>
      </c>
      <c r="AV5" s="225">
        <v>5880710</v>
      </c>
      <c r="AX5" s="136">
        <f>'2024 Legal Max'!AS6</f>
        <v>1037.2</v>
      </c>
      <c r="AY5" s="136">
        <f>AX5-AH5</f>
        <v>0.1</v>
      </c>
      <c r="AZ5" s="139">
        <v>220062</v>
      </c>
      <c r="BB5" s="164">
        <v>0</v>
      </c>
      <c r="BC5" s="164">
        <v>8</v>
      </c>
    </row>
    <row r="6" spans="1:55">
      <c r="A6" s="216" t="s">
        <v>192</v>
      </c>
      <c r="B6" s="217"/>
      <c r="C6" s="218">
        <v>149.5</v>
      </c>
      <c r="E6" s="218"/>
      <c r="F6" s="218">
        <v>0</v>
      </c>
      <c r="G6" s="219"/>
      <c r="H6" s="218"/>
      <c r="I6" s="218"/>
      <c r="J6" s="136"/>
      <c r="K6" s="139">
        <v>153</v>
      </c>
      <c r="L6" s="136">
        <v>0</v>
      </c>
      <c r="M6" s="217">
        <v>0</v>
      </c>
      <c r="N6" s="136">
        <v>1</v>
      </c>
      <c r="O6" s="136">
        <v>0</v>
      </c>
      <c r="P6" s="218">
        <v>86.3</v>
      </c>
      <c r="Q6" s="136">
        <v>0</v>
      </c>
      <c r="R6" s="136">
        <v>82.7</v>
      </c>
      <c r="S6" s="136">
        <v>0</v>
      </c>
      <c r="T6" s="139">
        <v>21</v>
      </c>
      <c r="U6" s="217">
        <v>0</v>
      </c>
      <c r="V6" s="217">
        <v>65</v>
      </c>
      <c r="W6" s="217">
        <v>0</v>
      </c>
      <c r="X6" s="218">
        <v>0</v>
      </c>
      <c r="Y6" s="220">
        <v>44</v>
      </c>
      <c r="Z6" s="164">
        <v>0</v>
      </c>
      <c r="AA6" s="221">
        <v>0</v>
      </c>
      <c r="AB6" s="221">
        <v>0</v>
      </c>
      <c r="AC6" s="222">
        <v>0</v>
      </c>
      <c r="AD6" s="223">
        <v>0</v>
      </c>
      <c r="AE6" s="136"/>
      <c r="AF6" s="136">
        <v>3.4</v>
      </c>
      <c r="AG6" s="224">
        <v>4.3</v>
      </c>
      <c r="AH6" s="136">
        <v>344.4</v>
      </c>
      <c r="AI6" s="136"/>
      <c r="AJ6" s="136"/>
      <c r="AK6" s="136">
        <f t="shared" si="6"/>
        <v>149.5</v>
      </c>
      <c r="AL6" s="136">
        <f t="shared" si="0"/>
        <v>1</v>
      </c>
      <c r="AM6" s="136">
        <f t="shared" si="1"/>
        <v>82.7</v>
      </c>
      <c r="AN6" s="136">
        <f t="shared" si="2"/>
        <v>21</v>
      </c>
      <c r="AO6" s="136">
        <f t="shared" si="3"/>
        <v>86.3</v>
      </c>
      <c r="AP6" s="139">
        <f t="shared" si="4"/>
        <v>65</v>
      </c>
      <c r="AQ6" s="136">
        <f t="shared" si="7"/>
        <v>0</v>
      </c>
      <c r="AR6" s="136">
        <f t="shared" si="5"/>
        <v>44</v>
      </c>
      <c r="AS6" s="139">
        <f t="shared" si="8"/>
        <v>153</v>
      </c>
      <c r="AT6" s="136"/>
      <c r="AU6" s="136">
        <f t="shared" si="9"/>
        <v>4.3</v>
      </c>
      <c r="AV6" s="225">
        <v>1909526</v>
      </c>
      <c r="AX6" s="136">
        <f>'2024 Legal Max'!AS7</f>
        <v>342.1</v>
      </c>
      <c r="AY6" s="136">
        <f t="shared" ref="AY6:AY69" si="10">AX6-AH6</f>
        <v>-2.2999999999999998</v>
      </c>
      <c r="AZ6" s="139">
        <v>144645</v>
      </c>
      <c r="BB6" s="164">
        <v>0</v>
      </c>
      <c r="BC6" s="164">
        <v>1</v>
      </c>
    </row>
    <row r="7" spans="1:55">
      <c r="A7" s="216" t="s">
        <v>193</v>
      </c>
      <c r="B7" s="217"/>
      <c r="C7" s="218">
        <v>359.3</v>
      </c>
      <c r="E7" s="218"/>
      <c r="F7" s="218">
        <v>0</v>
      </c>
      <c r="G7" s="219"/>
      <c r="H7" s="218"/>
      <c r="I7" s="218"/>
      <c r="J7" s="136"/>
      <c r="K7" s="139">
        <v>362</v>
      </c>
      <c r="L7" s="136">
        <v>0</v>
      </c>
      <c r="M7" s="217">
        <v>0</v>
      </c>
      <c r="N7" s="136">
        <v>0</v>
      </c>
      <c r="O7" s="136">
        <v>0</v>
      </c>
      <c r="P7" s="218">
        <v>100.1</v>
      </c>
      <c r="Q7" s="136">
        <v>0</v>
      </c>
      <c r="R7" s="136">
        <v>38.4</v>
      </c>
      <c r="S7" s="136">
        <v>0</v>
      </c>
      <c r="T7" s="139">
        <v>24</v>
      </c>
      <c r="U7" s="217">
        <v>0</v>
      </c>
      <c r="V7" s="217">
        <v>124</v>
      </c>
      <c r="W7" s="217">
        <v>0</v>
      </c>
      <c r="X7" s="218">
        <v>0</v>
      </c>
      <c r="Y7" s="220">
        <v>151</v>
      </c>
      <c r="Z7" s="164">
        <v>0</v>
      </c>
      <c r="AA7" s="221">
        <v>0</v>
      </c>
      <c r="AB7" s="221">
        <v>0</v>
      </c>
      <c r="AC7" s="222">
        <v>0</v>
      </c>
      <c r="AD7" s="223">
        <v>0</v>
      </c>
      <c r="AE7" s="136"/>
      <c r="AF7" s="136">
        <v>0</v>
      </c>
      <c r="AG7" s="224">
        <v>2.5</v>
      </c>
      <c r="AH7" s="136">
        <v>668.3</v>
      </c>
      <c r="AI7" s="136"/>
      <c r="AJ7" s="136"/>
      <c r="AK7" s="136">
        <f t="shared" si="6"/>
        <v>359.3</v>
      </c>
      <c r="AL7" s="136">
        <f t="shared" si="0"/>
        <v>0</v>
      </c>
      <c r="AM7" s="136">
        <f t="shared" si="1"/>
        <v>38.4</v>
      </c>
      <c r="AN7" s="136">
        <f t="shared" si="2"/>
        <v>24</v>
      </c>
      <c r="AO7" s="136">
        <f t="shared" si="3"/>
        <v>100.1</v>
      </c>
      <c r="AP7" s="139">
        <f t="shared" si="4"/>
        <v>124</v>
      </c>
      <c r="AQ7" s="136">
        <f t="shared" si="7"/>
        <v>0</v>
      </c>
      <c r="AR7" s="136">
        <f t="shared" si="5"/>
        <v>151</v>
      </c>
      <c r="AS7" s="139">
        <f t="shared" si="8"/>
        <v>362</v>
      </c>
      <c r="AT7" s="136"/>
      <c r="AU7" s="136">
        <f t="shared" si="9"/>
        <v>2.5</v>
      </c>
      <c r="AV7" s="225">
        <v>3803280</v>
      </c>
      <c r="AX7" s="136">
        <f>'2024 Legal Max'!AS8</f>
        <v>661.2</v>
      </c>
      <c r="AY7" s="136">
        <f t="shared" si="10"/>
        <v>-7.1</v>
      </c>
      <c r="AZ7" s="139">
        <v>273856</v>
      </c>
      <c r="BB7" s="164">
        <v>0</v>
      </c>
      <c r="BC7" s="164">
        <v>0</v>
      </c>
    </row>
    <row r="8" spans="1:55">
      <c r="A8" s="216" t="s">
        <v>194</v>
      </c>
      <c r="B8" s="217"/>
      <c r="C8" s="218">
        <v>111</v>
      </c>
      <c r="E8" s="218"/>
      <c r="F8" s="218">
        <v>0</v>
      </c>
      <c r="G8" s="219"/>
      <c r="H8" s="218"/>
      <c r="I8" s="218"/>
      <c r="J8" s="136"/>
      <c r="K8" s="139">
        <v>124</v>
      </c>
      <c r="L8" s="136">
        <v>0</v>
      </c>
      <c r="M8" s="217">
        <v>0</v>
      </c>
      <c r="N8" s="136">
        <v>6.5</v>
      </c>
      <c r="O8" s="136">
        <v>0</v>
      </c>
      <c r="P8" s="218">
        <v>42.5</v>
      </c>
      <c r="Q8" s="136">
        <v>0</v>
      </c>
      <c r="R8" s="136">
        <v>75.5</v>
      </c>
      <c r="S8" s="136">
        <v>0</v>
      </c>
      <c r="T8" s="139">
        <v>18</v>
      </c>
      <c r="U8" s="217">
        <v>0</v>
      </c>
      <c r="V8" s="217">
        <v>80</v>
      </c>
      <c r="W8" s="217">
        <v>0</v>
      </c>
      <c r="X8" s="218">
        <v>0</v>
      </c>
      <c r="Y8" s="220">
        <v>26.5</v>
      </c>
      <c r="Z8" s="164">
        <v>0</v>
      </c>
      <c r="AA8" s="221">
        <v>0</v>
      </c>
      <c r="AB8" s="221">
        <v>0</v>
      </c>
      <c r="AC8" s="222">
        <v>0</v>
      </c>
      <c r="AD8" s="223">
        <v>0</v>
      </c>
      <c r="AE8" s="136"/>
      <c r="AF8" s="136">
        <v>8.4</v>
      </c>
      <c r="AG8" s="224">
        <v>8.4</v>
      </c>
      <c r="AH8" s="136">
        <v>291.3</v>
      </c>
      <c r="AI8" s="136"/>
      <c r="AJ8" s="136"/>
      <c r="AK8" s="136">
        <f t="shared" si="6"/>
        <v>111</v>
      </c>
      <c r="AL8" s="136">
        <f t="shared" si="0"/>
        <v>6.5</v>
      </c>
      <c r="AM8" s="136">
        <f t="shared" si="1"/>
        <v>75.5</v>
      </c>
      <c r="AN8" s="136">
        <f t="shared" si="2"/>
        <v>18</v>
      </c>
      <c r="AO8" s="136">
        <f t="shared" si="3"/>
        <v>42.5</v>
      </c>
      <c r="AP8" s="139">
        <f t="shared" si="4"/>
        <v>80</v>
      </c>
      <c r="AQ8" s="136">
        <f t="shared" si="7"/>
        <v>0</v>
      </c>
      <c r="AR8" s="136">
        <f t="shared" si="5"/>
        <v>26.5</v>
      </c>
      <c r="AS8" s="139">
        <f t="shared" si="8"/>
        <v>124</v>
      </c>
      <c r="AT8" s="136"/>
      <c r="AU8" s="136">
        <f t="shared" si="9"/>
        <v>8.4</v>
      </c>
      <c r="AV8" s="225">
        <v>1608826</v>
      </c>
      <c r="AX8" s="136">
        <f>'2024 Legal Max'!AS9</f>
        <v>290.7</v>
      </c>
      <c r="AY8" s="136">
        <f t="shared" si="10"/>
        <v>-0.6</v>
      </c>
      <c r="AZ8" s="139">
        <v>258609</v>
      </c>
      <c r="BB8" s="164">
        <v>0</v>
      </c>
      <c r="BC8" s="164">
        <v>6.5</v>
      </c>
    </row>
    <row r="9" spans="1:55">
      <c r="A9" s="216" t="s">
        <v>195</v>
      </c>
      <c r="B9" s="217"/>
      <c r="C9" s="218">
        <v>348</v>
      </c>
      <c r="E9" s="218"/>
      <c r="F9" s="218">
        <v>0</v>
      </c>
      <c r="G9" s="219"/>
      <c r="H9" s="218"/>
      <c r="I9" s="218"/>
      <c r="J9" s="136"/>
      <c r="K9" s="139">
        <v>373</v>
      </c>
      <c r="L9" s="136">
        <v>0</v>
      </c>
      <c r="M9" s="217">
        <v>0</v>
      </c>
      <c r="N9" s="136">
        <v>11</v>
      </c>
      <c r="O9" s="136">
        <v>0</v>
      </c>
      <c r="P9" s="218">
        <v>157.80000000000001</v>
      </c>
      <c r="Q9" s="136">
        <v>0</v>
      </c>
      <c r="R9" s="136">
        <v>0</v>
      </c>
      <c r="S9" s="136">
        <v>0</v>
      </c>
      <c r="T9" s="139">
        <v>2</v>
      </c>
      <c r="U9" s="217">
        <v>0</v>
      </c>
      <c r="V9" s="217">
        <v>190</v>
      </c>
      <c r="W9" s="217">
        <v>0</v>
      </c>
      <c r="X9" s="218">
        <v>1</v>
      </c>
      <c r="Y9" s="220">
        <v>164</v>
      </c>
      <c r="Z9" s="164">
        <v>0</v>
      </c>
      <c r="AA9" s="221">
        <v>0</v>
      </c>
      <c r="AB9" s="221">
        <v>0</v>
      </c>
      <c r="AC9" s="222">
        <v>0</v>
      </c>
      <c r="AD9" s="223">
        <v>0</v>
      </c>
      <c r="AE9" s="136"/>
      <c r="AF9" s="136">
        <v>20</v>
      </c>
      <c r="AG9" s="224">
        <v>16.399999999999999</v>
      </c>
      <c r="AH9" s="136">
        <v>736.9</v>
      </c>
      <c r="AI9" s="136"/>
      <c r="AJ9" s="136"/>
      <c r="AK9" s="136">
        <f t="shared" si="6"/>
        <v>348</v>
      </c>
      <c r="AL9" s="136">
        <f t="shared" si="0"/>
        <v>11</v>
      </c>
      <c r="AM9" s="136">
        <f t="shared" si="1"/>
        <v>0</v>
      </c>
      <c r="AN9" s="136">
        <f t="shared" si="2"/>
        <v>2</v>
      </c>
      <c r="AO9" s="136">
        <f t="shared" si="3"/>
        <v>157.80000000000001</v>
      </c>
      <c r="AP9" s="139">
        <f t="shared" si="4"/>
        <v>190</v>
      </c>
      <c r="AQ9" s="136">
        <f t="shared" si="7"/>
        <v>0</v>
      </c>
      <c r="AR9" s="136">
        <f t="shared" si="5"/>
        <v>164</v>
      </c>
      <c r="AS9" s="139">
        <f t="shared" si="8"/>
        <v>373</v>
      </c>
      <c r="AT9" s="136"/>
      <c r="AU9" s="136">
        <f t="shared" si="9"/>
        <v>20</v>
      </c>
      <c r="AV9" s="225">
        <v>4098384</v>
      </c>
      <c r="AX9" s="136">
        <f>'2024 Legal Max'!AS10</f>
        <v>709.7</v>
      </c>
      <c r="AY9" s="136">
        <f t="shared" si="10"/>
        <v>-27.2</v>
      </c>
      <c r="AZ9" s="139">
        <v>473221</v>
      </c>
      <c r="BA9" s="129" t="s">
        <v>3553</v>
      </c>
      <c r="BB9" s="164">
        <v>0</v>
      </c>
      <c r="BC9" s="164">
        <v>11</v>
      </c>
    </row>
    <row r="10" spans="1:55">
      <c r="A10" s="216" t="s">
        <v>196</v>
      </c>
      <c r="B10" s="217"/>
      <c r="C10" s="218">
        <v>351.4</v>
      </c>
      <c r="E10" s="218"/>
      <c r="F10" s="218">
        <v>0</v>
      </c>
      <c r="G10" s="219"/>
      <c r="H10" s="218"/>
      <c r="I10" s="218"/>
      <c r="J10" s="136"/>
      <c r="K10" s="139">
        <v>356</v>
      </c>
      <c r="L10" s="136">
        <v>0</v>
      </c>
      <c r="M10" s="217">
        <v>0</v>
      </c>
      <c r="N10" s="136">
        <v>1.5</v>
      </c>
      <c r="O10" s="136">
        <v>0</v>
      </c>
      <c r="P10" s="218">
        <v>128.1</v>
      </c>
      <c r="Q10" s="136">
        <v>0</v>
      </c>
      <c r="R10" s="136">
        <v>19.3</v>
      </c>
      <c r="S10" s="136">
        <v>0</v>
      </c>
      <c r="T10" s="139">
        <v>19</v>
      </c>
      <c r="U10" s="217">
        <v>0</v>
      </c>
      <c r="V10" s="217">
        <v>152</v>
      </c>
      <c r="W10" s="217">
        <v>0</v>
      </c>
      <c r="X10" s="218">
        <v>0</v>
      </c>
      <c r="Y10" s="220">
        <v>157</v>
      </c>
      <c r="Z10" s="164">
        <v>0</v>
      </c>
      <c r="AA10" s="221">
        <v>0</v>
      </c>
      <c r="AB10" s="221">
        <v>0</v>
      </c>
      <c r="AC10" s="222">
        <v>0</v>
      </c>
      <c r="AD10" s="223">
        <v>0</v>
      </c>
      <c r="AE10" s="136"/>
      <c r="AF10" s="136">
        <v>8.1999999999999993</v>
      </c>
      <c r="AG10" s="224">
        <v>8.1999999999999993</v>
      </c>
      <c r="AH10" s="136">
        <v>650.79999999999995</v>
      </c>
      <c r="AI10" s="136"/>
      <c r="AJ10" s="136"/>
      <c r="AK10" s="136">
        <f t="shared" si="6"/>
        <v>351.4</v>
      </c>
      <c r="AL10" s="136">
        <f t="shared" si="0"/>
        <v>1.5</v>
      </c>
      <c r="AM10" s="136">
        <f t="shared" si="1"/>
        <v>19.3</v>
      </c>
      <c r="AN10" s="136">
        <f t="shared" si="2"/>
        <v>19</v>
      </c>
      <c r="AO10" s="136">
        <f t="shared" si="3"/>
        <v>128.1</v>
      </c>
      <c r="AP10" s="139">
        <f t="shared" si="4"/>
        <v>152</v>
      </c>
      <c r="AQ10" s="136">
        <f t="shared" si="7"/>
        <v>0</v>
      </c>
      <c r="AR10" s="136">
        <f t="shared" si="5"/>
        <v>157</v>
      </c>
      <c r="AS10" s="139">
        <f t="shared" si="8"/>
        <v>356</v>
      </c>
      <c r="AT10" s="136"/>
      <c r="AU10" s="136">
        <f t="shared" si="9"/>
        <v>8.1999999999999993</v>
      </c>
      <c r="AV10" s="225">
        <v>3628762</v>
      </c>
      <c r="AX10" s="136">
        <f>'2024 Legal Max'!AS11</f>
        <v>647.9</v>
      </c>
      <c r="AY10" s="136">
        <f t="shared" si="10"/>
        <v>-2.9</v>
      </c>
      <c r="AZ10" s="139">
        <v>225851</v>
      </c>
      <c r="BB10" s="164">
        <v>0</v>
      </c>
      <c r="BC10" s="164">
        <v>1.5</v>
      </c>
    </row>
    <row r="11" spans="1:55">
      <c r="A11" s="216" t="s">
        <v>197</v>
      </c>
      <c r="B11" s="217"/>
      <c r="C11" s="218">
        <v>504.8</v>
      </c>
      <c r="E11" s="218"/>
      <c r="F11" s="218">
        <v>0</v>
      </c>
      <c r="G11" s="219"/>
      <c r="H11" s="218"/>
      <c r="I11" s="218"/>
      <c r="J11" s="136"/>
      <c r="K11" s="139">
        <v>515</v>
      </c>
      <c r="L11" s="136">
        <v>0</v>
      </c>
      <c r="M11" s="217">
        <v>0</v>
      </c>
      <c r="N11" s="136">
        <v>4</v>
      </c>
      <c r="O11" s="136">
        <v>0</v>
      </c>
      <c r="P11" s="218">
        <v>126.6</v>
      </c>
      <c r="Q11" s="136">
        <v>0</v>
      </c>
      <c r="R11" s="136">
        <v>0</v>
      </c>
      <c r="S11" s="136">
        <v>0</v>
      </c>
      <c r="T11" s="139">
        <v>2</v>
      </c>
      <c r="U11" s="217">
        <v>0</v>
      </c>
      <c r="V11" s="217">
        <v>233</v>
      </c>
      <c r="W11" s="217">
        <v>0</v>
      </c>
      <c r="X11" s="218">
        <v>0</v>
      </c>
      <c r="Y11" s="220">
        <v>165</v>
      </c>
      <c r="Z11" s="164">
        <v>0</v>
      </c>
      <c r="AA11" s="221">
        <v>0</v>
      </c>
      <c r="AB11" s="221">
        <v>0</v>
      </c>
      <c r="AC11" s="222">
        <v>0</v>
      </c>
      <c r="AD11" s="223">
        <v>0</v>
      </c>
      <c r="AE11" s="136"/>
      <c r="AF11" s="136">
        <v>16.7</v>
      </c>
      <c r="AG11" s="224">
        <v>16.8</v>
      </c>
      <c r="AH11" s="136">
        <v>899.3</v>
      </c>
      <c r="AI11" s="136"/>
      <c r="AJ11" s="136"/>
      <c r="AK11" s="136">
        <f t="shared" si="6"/>
        <v>504.8</v>
      </c>
      <c r="AL11" s="136">
        <f t="shared" si="0"/>
        <v>4</v>
      </c>
      <c r="AM11" s="136">
        <f t="shared" si="1"/>
        <v>0</v>
      </c>
      <c r="AN11" s="136">
        <f t="shared" si="2"/>
        <v>2</v>
      </c>
      <c r="AO11" s="136">
        <f t="shared" si="3"/>
        <v>126.6</v>
      </c>
      <c r="AP11" s="139">
        <f t="shared" si="4"/>
        <v>233</v>
      </c>
      <c r="AQ11" s="136">
        <f t="shared" si="7"/>
        <v>0</v>
      </c>
      <c r="AR11" s="136">
        <f t="shared" si="5"/>
        <v>165</v>
      </c>
      <c r="AS11" s="139">
        <f t="shared" si="8"/>
        <v>515</v>
      </c>
      <c r="AT11" s="136"/>
      <c r="AU11" s="136">
        <f t="shared" si="9"/>
        <v>16.8</v>
      </c>
      <c r="AV11" s="225">
        <v>5003030</v>
      </c>
      <c r="AX11" s="136">
        <f>'2024 Legal Max'!AS12</f>
        <v>897.4</v>
      </c>
      <c r="AY11" s="136">
        <f t="shared" si="10"/>
        <v>-1.9</v>
      </c>
      <c r="AZ11" s="139">
        <v>277513</v>
      </c>
      <c r="BB11" s="164">
        <v>0</v>
      </c>
      <c r="BC11" s="164">
        <v>4</v>
      </c>
    </row>
    <row r="12" spans="1:55">
      <c r="A12" s="216" t="s">
        <v>198</v>
      </c>
      <c r="B12" s="217"/>
      <c r="C12" s="218">
        <v>172.5</v>
      </c>
      <c r="E12" s="218"/>
      <c r="F12" s="218">
        <v>0</v>
      </c>
      <c r="G12" s="219"/>
      <c r="H12" s="218"/>
      <c r="I12" s="218"/>
      <c r="J12" s="136"/>
      <c r="K12" s="139">
        <v>179</v>
      </c>
      <c r="L12" s="136">
        <v>0</v>
      </c>
      <c r="M12" s="217">
        <v>0</v>
      </c>
      <c r="N12" s="136">
        <v>2</v>
      </c>
      <c r="O12" s="136">
        <v>0</v>
      </c>
      <c r="P12" s="218">
        <v>44.1</v>
      </c>
      <c r="Q12" s="136">
        <v>0</v>
      </c>
      <c r="R12" s="136">
        <v>0</v>
      </c>
      <c r="S12" s="136">
        <v>0</v>
      </c>
      <c r="T12" s="139">
        <v>0</v>
      </c>
      <c r="U12" s="217">
        <v>0</v>
      </c>
      <c r="V12" s="217">
        <v>68</v>
      </c>
      <c r="W12" s="217">
        <v>0</v>
      </c>
      <c r="X12" s="218">
        <v>0</v>
      </c>
      <c r="Y12" s="220">
        <v>115</v>
      </c>
      <c r="Z12" s="164">
        <v>0</v>
      </c>
      <c r="AA12" s="221">
        <v>0</v>
      </c>
      <c r="AB12" s="221">
        <v>0</v>
      </c>
      <c r="AC12" s="222">
        <v>0</v>
      </c>
      <c r="AD12" s="223">
        <v>0</v>
      </c>
      <c r="AE12" s="136"/>
      <c r="AF12" s="136">
        <v>1.4</v>
      </c>
      <c r="AG12" s="224">
        <v>2.4</v>
      </c>
      <c r="AH12" s="136">
        <v>395.2</v>
      </c>
      <c r="AI12" s="136"/>
      <c r="AJ12" s="136"/>
      <c r="AK12" s="136">
        <f t="shared" si="6"/>
        <v>172.5</v>
      </c>
      <c r="AL12" s="136">
        <f t="shared" si="0"/>
        <v>2</v>
      </c>
      <c r="AM12" s="136">
        <f t="shared" si="1"/>
        <v>0</v>
      </c>
      <c r="AN12" s="136">
        <f t="shared" si="2"/>
        <v>0</v>
      </c>
      <c r="AO12" s="136">
        <f t="shared" si="3"/>
        <v>44.1</v>
      </c>
      <c r="AP12" s="139">
        <f t="shared" si="4"/>
        <v>68</v>
      </c>
      <c r="AQ12" s="136">
        <f t="shared" si="7"/>
        <v>0</v>
      </c>
      <c r="AR12" s="136">
        <f t="shared" si="5"/>
        <v>115</v>
      </c>
      <c r="AS12" s="139">
        <f t="shared" si="8"/>
        <v>179</v>
      </c>
      <c r="AT12" s="136"/>
      <c r="AU12" s="136">
        <f t="shared" si="9"/>
        <v>2.4</v>
      </c>
      <c r="AV12" s="225">
        <v>2316058</v>
      </c>
      <c r="AX12" s="136">
        <f>'2024 Legal Max'!AS13</f>
        <v>386.6</v>
      </c>
      <c r="AY12" s="136">
        <f t="shared" si="10"/>
        <v>-8.6</v>
      </c>
      <c r="AZ12" s="139">
        <v>257185</v>
      </c>
      <c r="BB12" s="164">
        <v>0</v>
      </c>
      <c r="BC12" s="164">
        <v>2</v>
      </c>
    </row>
    <row r="13" spans="1:55">
      <c r="A13" s="216" t="s">
        <v>199</v>
      </c>
      <c r="B13" s="217"/>
      <c r="C13" s="218">
        <v>371.3</v>
      </c>
      <c r="E13" s="218"/>
      <c r="F13" s="218">
        <v>0</v>
      </c>
      <c r="G13" s="219"/>
      <c r="H13" s="218"/>
      <c r="I13" s="218"/>
      <c r="J13" s="136"/>
      <c r="K13" s="139">
        <v>387</v>
      </c>
      <c r="L13" s="136">
        <v>0</v>
      </c>
      <c r="M13" s="217">
        <v>0</v>
      </c>
      <c r="N13" s="136">
        <v>5</v>
      </c>
      <c r="O13" s="136">
        <v>0</v>
      </c>
      <c r="P13" s="218">
        <v>81.599999999999994</v>
      </c>
      <c r="Q13" s="136">
        <v>0</v>
      </c>
      <c r="R13" s="136">
        <v>0</v>
      </c>
      <c r="S13" s="136">
        <v>0</v>
      </c>
      <c r="T13" s="139">
        <v>0</v>
      </c>
      <c r="U13" s="217">
        <v>0</v>
      </c>
      <c r="V13" s="217">
        <v>137</v>
      </c>
      <c r="W13" s="217">
        <v>0</v>
      </c>
      <c r="X13" s="218">
        <v>0</v>
      </c>
      <c r="Y13" s="220">
        <v>233</v>
      </c>
      <c r="Z13" s="164">
        <v>0</v>
      </c>
      <c r="AA13" s="221">
        <v>0</v>
      </c>
      <c r="AB13" s="221">
        <v>0</v>
      </c>
      <c r="AC13" s="222">
        <v>0</v>
      </c>
      <c r="AD13" s="223">
        <v>0</v>
      </c>
      <c r="AE13" s="136"/>
      <c r="AF13" s="136">
        <v>0.4</v>
      </c>
      <c r="AG13" s="224">
        <v>1.7</v>
      </c>
      <c r="AH13" s="136">
        <v>653.79999999999995</v>
      </c>
      <c r="AI13" s="136"/>
      <c r="AJ13" s="136"/>
      <c r="AK13" s="136">
        <f t="shared" si="6"/>
        <v>371.3</v>
      </c>
      <c r="AL13" s="136">
        <f t="shared" si="0"/>
        <v>5</v>
      </c>
      <c r="AM13" s="136">
        <f t="shared" si="1"/>
        <v>0</v>
      </c>
      <c r="AN13" s="136">
        <f t="shared" si="2"/>
        <v>0</v>
      </c>
      <c r="AO13" s="136">
        <f t="shared" si="3"/>
        <v>81.599999999999994</v>
      </c>
      <c r="AP13" s="139">
        <f t="shared" si="4"/>
        <v>137</v>
      </c>
      <c r="AQ13" s="136">
        <f t="shared" si="7"/>
        <v>0</v>
      </c>
      <c r="AR13" s="136">
        <f t="shared" si="5"/>
        <v>233</v>
      </c>
      <c r="AS13" s="139">
        <f t="shared" si="8"/>
        <v>387</v>
      </c>
      <c r="AT13" s="136"/>
      <c r="AU13" s="136">
        <f t="shared" si="9"/>
        <v>1.7</v>
      </c>
      <c r="AV13" s="225">
        <v>3995606</v>
      </c>
      <c r="AX13" s="136">
        <f>'2024 Legal Max'!AS14</f>
        <v>650</v>
      </c>
      <c r="AY13" s="136">
        <f t="shared" si="10"/>
        <v>-3.8</v>
      </c>
      <c r="AZ13" s="139">
        <v>168039</v>
      </c>
      <c r="BB13" s="164">
        <v>0</v>
      </c>
      <c r="BC13" s="164">
        <v>5</v>
      </c>
    </row>
    <row r="14" spans="1:55">
      <c r="A14" s="216" t="s">
        <v>200</v>
      </c>
      <c r="B14" s="217"/>
      <c r="C14" s="218">
        <v>404</v>
      </c>
      <c r="E14" s="218"/>
      <c r="F14" s="218">
        <v>0</v>
      </c>
      <c r="G14" s="219"/>
      <c r="H14" s="218"/>
      <c r="I14" s="218"/>
      <c r="J14" s="136"/>
      <c r="K14" s="139">
        <v>427</v>
      </c>
      <c r="L14" s="136">
        <v>0</v>
      </c>
      <c r="M14" s="217">
        <v>0</v>
      </c>
      <c r="N14" s="136">
        <v>9.5</v>
      </c>
      <c r="O14" s="136">
        <v>0</v>
      </c>
      <c r="P14" s="218">
        <v>82.4</v>
      </c>
      <c r="Q14" s="136">
        <v>0</v>
      </c>
      <c r="R14" s="136">
        <v>0</v>
      </c>
      <c r="S14" s="136">
        <v>0</v>
      </c>
      <c r="T14" s="139">
        <v>0</v>
      </c>
      <c r="U14" s="217">
        <v>0</v>
      </c>
      <c r="V14" s="217">
        <v>169</v>
      </c>
      <c r="W14" s="217">
        <v>0</v>
      </c>
      <c r="X14" s="218">
        <v>0</v>
      </c>
      <c r="Y14" s="220">
        <v>249</v>
      </c>
      <c r="Z14" s="164">
        <v>0</v>
      </c>
      <c r="AA14" s="221">
        <v>12</v>
      </c>
      <c r="AB14" s="221">
        <v>0</v>
      </c>
      <c r="AC14" s="222">
        <v>2800</v>
      </c>
      <c r="AD14" s="223">
        <v>0</v>
      </c>
      <c r="AE14" s="136"/>
      <c r="AF14" s="136">
        <v>5.4</v>
      </c>
      <c r="AG14" s="224">
        <v>6.5</v>
      </c>
      <c r="AH14" s="136">
        <v>852.8</v>
      </c>
      <c r="AI14" s="136"/>
      <c r="AJ14" s="136"/>
      <c r="AK14" s="136">
        <f t="shared" si="6"/>
        <v>404</v>
      </c>
      <c r="AL14" s="136">
        <f t="shared" si="0"/>
        <v>9.5</v>
      </c>
      <c r="AM14" s="136">
        <f t="shared" si="1"/>
        <v>0</v>
      </c>
      <c r="AN14" s="136">
        <f t="shared" si="2"/>
        <v>0</v>
      </c>
      <c r="AO14" s="136">
        <f t="shared" si="3"/>
        <v>82.4</v>
      </c>
      <c r="AP14" s="139">
        <f t="shared" si="4"/>
        <v>169</v>
      </c>
      <c r="AQ14" s="136">
        <f t="shared" si="7"/>
        <v>0</v>
      </c>
      <c r="AR14" s="136">
        <f t="shared" si="5"/>
        <v>249</v>
      </c>
      <c r="AS14" s="139">
        <f t="shared" si="8"/>
        <v>427</v>
      </c>
      <c r="AT14" s="136"/>
      <c r="AU14" s="136">
        <f t="shared" si="9"/>
        <v>6.5</v>
      </c>
      <c r="AV14" s="225">
        <v>7258442</v>
      </c>
      <c r="AX14" s="136">
        <f>'2024 Legal Max'!AS15</f>
        <v>854.2</v>
      </c>
      <c r="AY14" s="136">
        <f t="shared" si="10"/>
        <v>1.4</v>
      </c>
      <c r="AZ14" s="139">
        <v>355242</v>
      </c>
      <c r="BB14" s="164">
        <v>0</v>
      </c>
      <c r="BC14" s="164">
        <v>9.5</v>
      </c>
    </row>
    <row r="15" spans="1:55">
      <c r="A15" s="216" t="s">
        <v>201</v>
      </c>
      <c r="B15" s="217"/>
      <c r="C15" s="218">
        <v>898.5</v>
      </c>
      <c r="E15" s="218"/>
      <c r="F15" s="218">
        <v>0</v>
      </c>
      <c r="G15" s="219"/>
      <c r="H15" s="218"/>
      <c r="I15" s="218"/>
      <c r="J15" s="136"/>
      <c r="K15" s="139">
        <v>921</v>
      </c>
      <c r="L15" s="136">
        <v>0</v>
      </c>
      <c r="M15" s="217">
        <v>0</v>
      </c>
      <c r="N15" s="136">
        <v>10</v>
      </c>
      <c r="O15" s="136">
        <v>0</v>
      </c>
      <c r="P15" s="218">
        <v>210</v>
      </c>
      <c r="Q15" s="136">
        <v>0</v>
      </c>
      <c r="R15" s="136">
        <v>0</v>
      </c>
      <c r="S15" s="136">
        <v>0</v>
      </c>
      <c r="T15" s="139">
        <v>0</v>
      </c>
      <c r="U15" s="217">
        <v>0</v>
      </c>
      <c r="V15" s="217">
        <v>243</v>
      </c>
      <c r="W15" s="217">
        <v>0</v>
      </c>
      <c r="X15" s="218">
        <v>0</v>
      </c>
      <c r="Y15" s="220">
        <v>309</v>
      </c>
      <c r="Z15" s="164">
        <v>0</v>
      </c>
      <c r="AA15" s="221">
        <v>0</v>
      </c>
      <c r="AB15" s="221">
        <v>0</v>
      </c>
      <c r="AC15" s="222">
        <v>0</v>
      </c>
      <c r="AD15" s="223">
        <v>0</v>
      </c>
      <c r="AE15" s="136"/>
      <c r="AF15" s="136">
        <v>0</v>
      </c>
      <c r="AG15" s="224">
        <v>0</v>
      </c>
      <c r="AH15" s="136">
        <v>1499.3</v>
      </c>
      <c r="AI15" s="136"/>
      <c r="AJ15" s="136"/>
      <c r="AK15" s="136">
        <f t="shared" si="6"/>
        <v>898.5</v>
      </c>
      <c r="AL15" s="136">
        <f t="shared" si="0"/>
        <v>10</v>
      </c>
      <c r="AM15" s="136">
        <f t="shared" si="1"/>
        <v>0</v>
      </c>
      <c r="AN15" s="136">
        <f t="shared" si="2"/>
        <v>0</v>
      </c>
      <c r="AO15" s="136">
        <f t="shared" si="3"/>
        <v>210</v>
      </c>
      <c r="AP15" s="139">
        <f t="shared" si="4"/>
        <v>243</v>
      </c>
      <c r="AQ15" s="136">
        <f t="shared" si="7"/>
        <v>0</v>
      </c>
      <c r="AR15" s="136">
        <f t="shared" si="5"/>
        <v>309</v>
      </c>
      <c r="AS15" s="139">
        <f t="shared" si="8"/>
        <v>921</v>
      </c>
      <c r="AT15" s="136"/>
      <c r="AU15" s="136">
        <f t="shared" si="9"/>
        <v>0</v>
      </c>
      <c r="AV15" s="225">
        <v>8443473</v>
      </c>
      <c r="AX15" s="136">
        <f>'2024 Legal Max'!AS16</f>
        <v>1498.3</v>
      </c>
      <c r="AY15" s="136">
        <f t="shared" si="10"/>
        <v>-1</v>
      </c>
      <c r="AZ15" s="139">
        <v>434454</v>
      </c>
      <c r="BB15" s="164">
        <v>0</v>
      </c>
      <c r="BC15" s="164">
        <v>10</v>
      </c>
    </row>
    <row r="16" spans="1:55">
      <c r="A16" s="216" t="s">
        <v>202</v>
      </c>
      <c r="B16" s="217"/>
      <c r="C16" s="218">
        <v>600.9</v>
      </c>
      <c r="E16" s="218"/>
      <c r="F16" s="218">
        <v>0</v>
      </c>
      <c r="G16" s="219"/>
      <c r="H16" s="218"/>
      <c r="I16" s="218"/>
      <c r="J16" s="136"/>
      <c r="K16" s="139">
        <v>633</v>
      </c>
      <c r="L16" s="136">
        <v>0</v>
      </c>
      <c r="M16" s="217">
        <v>0</v>
      </c>
      <c r="N16" s="136">
        <v>9</v>
      </c>
      <c r="O16" s="136">
        <v>0</v>
      </c>
      <c r="P16" s="218">
        <v>179</v>
      </c>
      <c r="Q16" s="136">
        <v>0</v>
      </c>
      <c r="R16" s="136">
        <v>0</v>
      </c>
      <c r="S16" s="136">
        <v>0</v>
      </c>
      <c r="T16" s="139">
        <v>0</v>
      </c>
      <c r="U16" s="217">
        <v>0</v>
      </c>
      <c r="V16" s="217">
        <v>289</v>
      </c>
      <c r="W16" s="217">
        <v>0</v>
      </c>
      <c r="X16" s="218">
        <v>0</v>
      </c>
      <c r="Y16" s="220">
        <v>318</v>
      </c>
      <c r="Z16" s="164">
        <v>0</v>
      </c>
      <c r="AA16" s="221">
        <v>7</v>
      </c>
      <c r="AB16" s="221">
        <v>0</v>
      </c>
      <c r="AC16" s="222">
        <v>0</v>
      </c>
      <c r="AD16" s="223">
        <v>0</v>
      </c>
      <c r="AE16" s="136"/>
      <c r="AF16" s="136">
        <v>21.6</v>
      </c>
      <c r="AG16" s="224">
        <v>21.9</v>
      </c>
      <c r="AH16" s="136">
        <v>1067.7</v>
      </c>
      <c r="AI16" s="136"/>
      <c r="AJ16" s="136"/>
      <c r="AK16" s="136">
        <f t="shared" si="6"/>
        <v>600.9</v>
      </c>
      <c r="AL16" s="136">
        <f t="shared" si="0"/>
        <v>9</v>
      </c>
      <c r="AM16" s="136">
        <f t="shared" si="1"/>
        <v>0</v>
      </c>
      <c r="AN16" s="136">
        <f t="shared" si="2"/>
        <v>0</v>
      </c>
      <c r="AO16" s="136">
        <f t="shared" si="3"/>
        <v>179</v>
      </c>
      <c r="AP16" s="139">
        <f t="shared" si="4"/>
        <v>289</v>
      </c>
      <c r="AQ16" s="136">
        <f t="shared" si="7"/>
        <v>0</v>
      </c>
      <c r="AR16" s="136">
        <f t="shared" si="5"/>
        <v>318</v>
      </c>
      <c r="AS16" s="139">
        <f t="shared" si="8"/>
        <v>633</v>
      </c>
      <c r="AT16" s="136"/>
      <c r="AU16" s="136">
        <f t="shared" si="9"/>
        <v>21.9</v>
      </c>
      <c r="AV16" s="225">
        <v>6371238</v>
      </c>
      <c r="AX16" s="136">
        <f>'2024 Legal Max'!AS17</f>
        <v>1062</v>
      </c>
      <c r="AY16" s="136">
        <f t="shared" si="10"/>
        <v>-5.7</v>
      </c>
      <c r="AZ16" s="139">
        <v>235372</v>
      </c>
      <c r="BB16" s="164">
        <v>0</v>
      </c>
      <c r="BC16" s="164">
        <v>9</v>
      </c>
    </row>
    <row r="17" spans="1:55">
      <c r="A17" s="216" t="s">
        <v>203</v>
      </c>
      <c r="B17" s="217"/>
      <c r="C17" s="218">
        <v>662.8</v>
      </c>
      <c r="E17" s="218"/>
      <c r="F17" s="218">
        <v>0</v>
      </c>
      <c r="G17" s="219"/>
      <c r="H17" s="218"/>
      <c r="I17" s="218"/>
      <c r="J17" s="136"/>
      <c r="K17" s="139">
        <v>755</v>
      </c>
      <c r="L17" s="136">
        <v>0</v>
      </c>
      <c r="M17" s="217">
        <v>0</v>
      </c>
      <c r="N17" s="136">
        <v>18.5</v>
      </c>
      <c r="O17" s="136">
        <v>0</v>
      </c>
      <c r="P17" s="218">
        <v>181.6</v>
      </c>
      <c r="Q17" s="136">
        <v>0</v>
      </c>
      <c r="R17" s="136">
        <v>0</v>
      </c>
      <c r="S17" s="136">
        <v>0</v>
      </c>
      <c r="T17" s="139">
        <v>11</v>
      </c>
      <c r="U17" s="217">
        <v>0</v>
      </c>
      <c r="V17" s="217">
        <v>171</v>
      </c>
      <c r="W17" s="217">
        <v>0</v>
      </c>
      <c r="X17" s="218">
        <v>0</v>
      </c>
      <c r="Y17" s="220">
        <v>217.5</v>
      </c>
      <c r="Z17" s="164">
        <v>0</v>
      </c>
      <c r="AA17" s="221">
        <v>0</v>
      </c>
      <c r="AB17" s="221">
        <v>0</v>
      </c>
      <c r="AC17" s="222">
        <v>0</v>
      </c>
      <c r="AD17" s="223">
        <v>0</v>
      </c>
      <c r="AE17" s="136"/>
      <c r="AF17" s="136">
        <v>0</v>
      </c>
      <c r="AG17" s="224">
        <v>0</v>
      </c>
      <c r="AH17" s="136">
        <v>1106</v>
      </c>
      <c r="AI17" s="136"/>
      <c r="AJ17" s="136"/>
      <c r="AK17" s="136">
        <f t="shared" si="6"/>
        <v>662.8</v>
      </c>
      <c r="AL17" s="136">
        <f t="shared" si="0"/>
        <v>18.5</v>
      </c>
      <c r="AM17" s="136">
        <f t="shared" si="1"/>
        <v>0</v>
      </c>
      <c r="AN17" s="136">
        <f t="shared" si="2"/>
        <v>11</v>
      </c>
      <c r="AO17" s="136">
        <f t="shared" si="3"/>
        <v>181.6</v>
      </c>
      <c r="AP17" s="139">
        <f t="shared" si="4"/>
        <v>171</v>
      </c>
      <c r="AQ17" s="136">
        <f t="shared" si="7"/>
        <v>0</v>
      </c>
      <c r="AR17" s="136">
        <f t="shared" si="5"/>
        <v>217.5</v>
      </c>
      <c r="AS17" s="139">
        <f t="shared" si="8"/>
        <v>755</v>
      </c>
      <c r="AT17" s="136"/>
      <c r="AU17" s="136">
        <f t="shared" si="9"/>
        <v>0</v>
      </c>
      <c r="AV17" s="225">
        <v>6478550</v>
      </c>
      <c r="AX17" s="136">
        <f>'2024 Legal Max'!AS18</f>
        <v>1119.5999999999999</v>
      </c>
      <c r="AY17" s="136">
        <f t="shared" si="10"/>
        <v>13.6</v>
      </c>
      <c r="AZ17" s="139">
        <v>268497</v>
      </c>
      <c r="BB17" s="164">
        <v>0</v>
      </c>
      <c r="BC17" s="164">
        <v>18.5</v>
      </c>
    </row>
    <row r="18" spans="1:55">
      <c r="A18" s="216" t="s">
        <v>204</v>
      </c>
      <c r="B18" s="217"/>
      <c r="C18" s="218">
        <v>223.6</v>
      </c>
      <c r="E18" s="218"/>
      <c r="F18" s="218">
        <v>0</v>
      </c>
      <c r="G18" s="219"/>
      <c r="H18" s="218"/>
      <c r="I18" s="218"/>
      <c r="J18" s="136"/>
      <c r="K18" s="139">
        <v>233</v>
      </c>
      <c r="L18" s="136">
        <v>0</v>
      </c>
      <c r="M18" s="217">
        <v>0</v>
      </c>
      <c r="N18" s="136">
        <v>2.5</v>
      </c>
      <c r="O18" s="136">
        <v>0</v>
      </c>
      <c r="P18" s="218">
        <v>116.3</v>
      </c>
      <c r="Q18" s="136">
        <v>0</v>
      </c>
      <c r="R18" s="136">
        <v>102.4</v>
      </c>
      <c r="S18" s="136">
        <v>0</v>
      </c>
      <c r="T18" s="139">
        <v>46</v>
      </c>
      <c r="U18" s="217">
        <v>0</v>
      </c>
      <c r="V18" s="217">
        <v>76</v>
      </c>
      <c r="W18" s="217">
        <v>0</v>
      </c>
      <c r="X18" s="218">
        <v>0</v>
      </c>
      <c r="Y18" s="220">
        <v>54</v>
      </c>
      <c r="Z18" s="164">
        <v>0</v>
      </c>
      <c r="AA18" s="221">
        <v>0</v>
      </c>
      <c r="AB18" s="221">
        <v>0</v>
      </c>
      <c r="AC18" s="222">
        <v>0</v>
      </c>
      <c r="AD18" s="223">
        <v>0</v>
      </c>
      <c r="AE18" s="136"/>
      <c r="AF18" s="136">
        <v>0</v>
      </c>
      <c r="AG18" s="224">
        <v>0</v>
      </c>
      <c r="AH18" s="136">
        <v>468.9</v>
      </c>
      <c r="AI18" s="136"/>
      <c r="AJ18" s="136"/>
      <c r="AK18" s="136">
        <f t="shared" si="6"/>
        <v>223.6</v>
      </c>
      <c r="AL18" s="136">
        <f t="shared" si="0"/>
        <v>2.5</v>
      </c>
      <c r="AM18" s="136">
        <f t="shared" si="1"/>
        <v>102.4</v>
      </c>
      <c r="AN18" s="136">
        <f t="shared" si="2"/>
        <v>46</v>
      </c>
      <c r="AO18" s="136">
        <f t="shared" si="3"/>
        <v>116.3</v>
      </c>
      <c r="AP18" s="139">
        <f t="shared" si="4"/>
        <v>76</v>
      </c>
      <c r="AQ18" s="136">
        <f t="shared" si="7"/>
        <v>0</v>
      </c>
      <c r="AR18" s="136">
        <f t="shared" si="5"/>
        <v>54</v>
      </c>
      <c r="AS18" s="139">
        <f t="shared" si="8"/>
        <v>233</v>
      </c>
      <c r="AT18" s="136"/>
      <c r="AU18" s="136">
        <f t="shared" si="9"/>
        <v>0</v>
      </c>
      <c r="AV18" s="225">
        <v>2694605</v>
      </c>
      <c r="AX18" s="136">
        <f>'2024 Legal Max'!AS19</f>
        <v>468.3</v>
      </c>
      <c r="AY18" s="136">
        <f t="shared" si="10"/>
        <v>-0.6</v>
      </c>
      <c r="AZ18" s="139">
        <v>201808</v>
      </c>
      <c r="BB18" s="164">
        <v>0</v>
      </c>
      <c r="BC18" s="164">
        <v>2.5</v>
      </c>
    </row>
    <row r="19" spans="1:55">
      <c r="A19" s="216" t="s">
        <v>205</v>
      </c>
      <c r="B19" s="217"/>
      <c r="C19" s="218">
        <v>3636</v>
      </c>
      <c r="E19" s="218"/>
      <c r="F19" s="218">
        <v>0</v>
      </c>
      <c r="G19" s="219"/>
      <c r="H19" s="218"/>
      <c r="I19" s="218"/>
      <c r="J19" s="136"/>
      <c r="K19" s="139">
        <v>3821</v>
      </c>
      <c r="L19" s="136">
        <v>0</v>
      </c>
      <c r="M19" s="217">
        <v>0</v>
      </c>
      <c r="N19" s="136">
        <v>84</v>
      </c>
      <c r="O19" s="136">
        <v>0</v>
      </c>
      <c r="P19" s="218">
        <v>1112.5</v>
      </c>
      <c r="Q19" s="136">
        <v>0</v>
      </c>
      <c r="R19" s="136">
        <v>1926.4</v>
      </c>
      <c r="S19" s="136">
        <v>0</v>
      </c>
      <c r="T19" s="139">
        <v>694</v>
      </c>
      <c r="U19" s="217">
        <v>0</v>
      </c>
      <c r="V19" s="217">
        <v>2724</v>
      </c>
      <c r="W19" s="217">
        <v>0</v>
      </c>
      <c r="X19" s="218">
        <v>0</v>
      </c>
      <c r="Y19" s="220">
        <v>1283</v>
      </c>
      <c r="Z19" s="164">
        <v>0</v>
      </c>
      <c r="AA19" s="221">
        <v>23</v>
      </c>
      <c r="AB19" s="221">
        <v>0</v>
      </c>
      <c r="AC19" s="222">
        <v>61</v>
      </c>
      <c r="AD19" s="223">
        <v>0</v>
      </c>
      <c r="AE19" s="136"/>
      <c r="AF19" s="136">
        <v>286</v>
      </c>
      <c r="AG19" s="224">
        <v>286</v>
      </c>
      <c r="AH19" s="136">
        <v>5903.8</v>
      </c>
      <c r="AI19" s="136"/>
      <c r="AJ19" s="136"/>
      <c r="AK19" s="136">
        <f t="shared" si="6"/>
        <v>3636</v>
      </c>
      <c r="AL19" s="136">
        <f t="shared" si="0"/>
        <v>84</v>
      </c>
      <c r="AM19" s="136">
        <f t="shared" si="1"/>
        <v>1926.4</v>
      </c>
      <c r="AN19" s="136">
        <f t="shared" si="2"/>
        <v>694</v>
      </c>
      <c r="AO19" s="136">
        <f t="shared" si="3"/>
        <v>1112.5</v>
      </c>
      <c r="AP19" s="139">
        <f t="shared" si="4"/>
        <v>2724</v>
      </c>
      <c r="AQ19" s="136">
        <f t="shared" si="7"/>
        <v>0</v>
      </c>
      <c r="AR19" s="136">
        <f t="shared" si="5"/>
        <v>1283</v>
      </c>
      <c r="AS19" s="139">
        <f t="shared" si="8"/>
        <v>3821</v>
      </c>
      <c r="AT19" s="136"/>
      <c r="AU19" s="136">
        <f t="shared" si="9"/>
        <v>286</v>
      </c>
      <c r="AV19" s="225">
        <v>33379249</v>
      </c>
      <c r="AX19" s="136">
        <f>'2024 Legal Max'!AS20</f>
        <v>5870.4</v>
      </c>
      <c r="AY19" s="136">
        <f t="shared" si="10"/>
        <v>-33.4</v>
      </c>
      <c r="AZ19" s="139">
        <v>1654283</v>
      </c>
      <c r="BA19" s="129" t="s">
        <v>3683</v>
      </c>
      <c r="BB19" s="164">
        <v>0</v>
      </c>
      <c r="BC19" s="164">
        <v>84</v>
      </c>
    </row>
    <row r="20" spans="1:55">
      <c r="A20" s="216" t="s">
        <v>206</v>
      </c>
      <c r="B20" s="217"/>
      <c r="C20" s="218">
        <v>2667</v>
      </c>
      <c r="E20" s="218"/>
      <c r="F20" s="218">
        <v>0</v>
      </c>
      <c r="G20" s="219"/>
      <c r="H20" s="218"/>
      <c r="I20" s="218"/>
      <c r="J20" s="136"/>
      <c r="K20" s="139">
        <v>2760</v>
      </c>
      <c r="L20" s="136">
        <v>0</v>
      </c>
      <c r="M20" s="217">
        <v>0</v>
      </c>
      <c r="N20" s="136">
        <v>35.5</v>
      </c>
      <c r="O20" s="136">
        <v>0</v>
      </c>
      <c r="P20" s="218">
        <v>1651.5</v>
      </c>
      <c r="Q20" s="136">
        <v>0</v>
      </c>
      <c r="R20" s="136">
        <v>633.79999999999995</v>
      </c>
      <c r="S20" s="136">
        <v>0</v>
      </c>
      <c r="T20" s="139">
        <v>232</v>
      </c>
      <c r="U20" s="217">
        <v>0</v>
      </c>
      <c r="V20" s="217">
        <v>620</v>
      </c>
      <c r="W20" s="217">
        <v>0</v>
      </c>
      <c r="X20" s="218">
        <v>0</v>
      </c>
      <c r="Y20" s="220">
        <v>1324</v>
      </c>
      <c r="Z20" s="164">
        <v>0</v>
      </c>
      <c r="AA20" s="221">
        <v>0</v>
      </c>
      <c r="AB20" s="221">
        <v>0</v>
      </c>
      <c r="AC20" s="222">
        <v>0</v>
      </c>
      <c r="AD20" s="223">
        <v>0</v>
      </c>
      <c r="AE20" s="136"/>
      <c r="AF20" s="136">
        <v>0</v>
      </c>
      <c r="AG20" s="224">
        <v>0</v>
      </c>
      <c r="AH20" s="136">
        <v>3548.3</v>
      </c>
      <c r="AI20" s="136"/>
      <c r="AJ20" s="136"/>
      <c r="AK20" s="136">
        <f t="shared" si="6"/>
        <v>2667</v>
      </c>
      <c r="AL20" s="136">
        <f t="shared" si="0"/>
        <v>35.5</v>
      </c>
      <c r="AM20" s="136">
        <f t="shared" si="1"/>
        <v>633.79999999999995</v>
      </c>
      <c r="AN20" s="136">
        <f t="shared" si="2"/>
        <v>232</v>
      </c>
      <c r="AO20" s="136">
        <f t="shared" si="3"/>
        <v>1651.5</v>
      </c>
      <c r="AP20" s="139">
        <f t="shared" si="4"/>
        <v>620</v>
      </c>
      <c r="AQ20" s="136">
        <f t="shared" si="7"/>
        <v>0</v>
      </c>
      <c r="AR20" s="136">
        <f t="shared" si="5"/>
        <v>1324</v>
      </c>
      <c r="AS20" s="139">
        <f t="shared" si="8"/>
        <v>2760</v>
      </c>
      <c r="AT20" s="136"/>
      <c r="AU20" s="136">
        <f t="shared" si="9"/>
        <v>0</v>
      </c>
      <c r="AV20" s="225">
        <v>21858623</v>
      </c>
      <c r="AX20" s="136">
        <f>'2024 Legal Max'!AS21</f>
        <v>3441.5</v>
      </c>
      <c r="AY20" s="136">
        <f t="shared" si="10"/>
        <v>-106.8</v>
      </c>
      <c r="AZ20" s="139">
        <v>1130275</v>
      </c>
      <c r="BB20" s="164">
        <v>0</v>
      </c>
      <c r="BC20" s="164">
        <v>35.5</v>
      </c>
    </row>
    <row r="21" spans="1:55">
      <c r="A21" s="216" t="s">
        <v>207</v>
      </c>
      <c r="B21" s="217"/>
      <c r="C21" s="218">
        <v>2386</v>
      </c>
      <c r="E21" s="218"/>
      <c r="F21" s="218">
        <v>0</v>
      </c>
      <c r="G21" s="219"/>
      <c r="H21" s="218"/>
      <c r="I21" s="218"/>
      <c r="J21" s="136"/>
      <c r="K21" s="139">
        <v>2435</v>
      </c>
      <c r="L21" s="136">
        <v>0</v>
      </c>
      <c r="M21" s="217">
        <v>0</v>
      </c>
      <c r="N21" s="136">
        <v>15.5</v>
      </c>
      <c r="O21" s="136">
        <v>0</v>
      </c>
      <c r="P21" s="218">
        <v>1384.5</v>
      </c>
      <c r="Q21" s="136">
        <v>0</v>
      </c>
      <c r="R21" s="136">
        <v>313.60000000000002</v>
      </c>
      <c r="S21" s="136">
        <v>0</v>
      </c>
      <c r="T21" s="139">
        <v>156</v>
      </c>
      <c r="U21" s="217">
        <v>0</v>
      </c>
      <c r="V21" s="217">
        <v>1194</v>
      </c>
      <c r="W21" s="217">
        <v>0</v>
      </c>
      <c r="X21" s="218">
        <v>0</v>
      </c>
      <c r="Y21" s="220">
        <v>560</v>
      </c>
      <c r="Z21" s="164">
        <v>0</v>
      </c>
      <c r="AA21" s="221">
        <v>43</v>
      </c>
      <c r="AB21" s="221">
        <v>5.2</v>
      </c>
      <c r="AC21" s="222">
        <v>25</v>
      </c>
      <c r="AD21" s="223">
        <v>6</v>
      </c>
      <c r="AE21" s="136"/>
      <c r="AF21" s="136">
        <v>117.3</v>
      </c>
      <c r="AG21" s="224">
        <v>102.9</v>
      </c>
      <c r="AH21" s="136">
        <v>3425.1</v>
      </c>
      <c r="AI21" s="136"/>
      <c r="AJ21" s="136"/>
      <c r="AK21" s="136">
        <f t="shared" si="6"/>
        <v>2386</v>
      </c>
      <c r="AL21" s="136">
        <f t="shared" si="0"/>
        <v>15.5</v>
      </c>
      <c r="AM21" s="136">
        <f t="shared" si="1"/>
        <v>313.60000000000002</v>
      </c>
      <c r="AN21" s="136">
        <f t="shared" si="2"/>
        <v>156</v>
      </c>
      <c r="AO21" s="136">
        <f t="shared" si="3"/>
        <v>1384.5</v>
      </c>
      <c r="AP21" s="139">
        <f t="shared" si="4"/>
        <v>1194</v>
      </c>
      <c r="AQ21" s="136">
        <f t="shared" si="7"/>
        <v>6</v>
      </c>
      <c r="AR21" s="136">
        <f t="shared" si="5"/>
        <v>560</v>
      </c>
      <c r="AS21" s="139">
        <f t="shared" si="8"/>
        <v>2435</v>
      </c>
      <c r="AT21" s="136"/>
      <c r="AU21" s="136">
        <f t="shared" si="9"/>
        <v>117.3</v>
      </c>
      <c r="AV21" s="225">
        <v>20579582</v>
      </c>
      <c r="AX21" s="136">
        <f>'2024 Legal Max'!AS22</f>
        <v>3369.5</v>
      </c>
      <c r="AY21" s="136">
        <f t="shared" si="10"/>
        <v>-55.6</v>
      </c>
      <c r="AZ21" s="139">
        <v>935584</v>
      </c>
      <c r="BB21" s="164">
        <v>0</v>
      </c>
      <c r="BC21" s="164">
        <v>15.5</v>
      </c>
    </row>
    <row r="22" spans="1:55">
      <c r="A22" s="216" t="s">
        <v>208</v>
      </c>
      <c r="B22" s="217"/>
      <c r="C22" s="218">
        <v>493</v>
      </c>
      <c r="E22" s="218"/>
      <c r="F22" s="218">
        <v>0</v>
      </c>
      <c r="G22" s="219"/>
      <c r="H22" s="218"/>
      <c r="I22" s="218"/>
      <c r="J22" s="136"/>
      <c r="K22" s="139">
        <v>518</v>
      </c>
      <c r="L22" s="136">
        <v>0</v>
      </c>
      <c r="M22" s="217">
        <v>0</v>
      </c>
      <c r="N22" s="136">
        <v>8.5</v>
      </c>
      <c r="O22" s="136">
        <v>0</v>
      </c>
      <c r="P22" s="218">
        <v>310.39999999999998</v>
      </c>
      <c r="Q22" s="136">
        <v>0</v>
      </c>
      <c r="R22" s="136">
        <v>8</v>
      </c>
      <c r="S22" s="136">
        <v>0</v>
      </c>
      <c r="T22" s="139">
        <v>4</v>
      </c>
      <c r="U22" s="217">
        <v>0</v>
      </c>
      <c r="V22" s="217">
        <v>193</v>
      </c>
      <c r="W22" s="217">
        <v>0</v>
      </c>
      <c r="X22" s="218">
        <v>0</v>
      </c>
      <c r="Y22" s="220">
        <v>302.5</v>
      </c>
      <c r="Z22" s="164">
        <v>0</v>
      </c>
      <c r="AA22" s="221">
        <v>0</v>
      </c>
      <c r="AB22" s="221">
        <v>0</v>
      </c>
      <c r="AC22" s="222">
        <v>0</v>
      </c>
      <c r="AD22" s="223">
        <v>0</v>
      </c>
      <c r="AE22" s="136"/>
      <c r="AF22" s="136">
        <v>3.1</v>
      </c>
      <c r="AG22" s="224">
        <v>3.2</v>
      </c>
      <c r="AH22" s="136">
        <v>920</v>
      </c>
      <c r="AI22" s="136"/>
      <c r="AJ22" s="136"/>
      <c r="AK22" s="136">
        <f t="shared" si="6"/>
        <v>493</v>
      </c>
      <c r="AL22" s="136">
        <f t="shared" si="0"/>
        <v>8.5</v>
      </c>
      <c r="AM22" s="136">
        <f t="shared" si="1"/>
        <v>8</v>
      </c>
      <c r="AN22" s="136">
        <f t="shared" si="2"/>
        <v>4</v>
      </c>
      <c r="AO22" s="136">
        <f t="shared" si="3"/>
        <v>310.39999999999998</v>
      </c>
      <c r="AP22" s="139">
        <f t="shared" si="4"/>
        <v>193</v>
      </c>
      <c r="AQ22" s="136">
        <f t="shared" si="7"/>
        <v>0</v>
      </c>
      <c r="AR22" s="136">
        <f t="shared" si="5"/>
        <v>302.5</v>
      </c>
      <c r="AS22" s="139">
        <f t="shared" si="8"/>
        <v>518</v>
      </c>
      <c r="AT22" s="136"/>
      <c r="AU22" s="136">
        <f t="shared" si="9"/>
        <v>3.2</v>
      </c>
      <c r="AV22" s="225">
        <v>5360208</v>
      </c>
      <c r="AX22" s="136">
        <f>'2024 Legal Max'!AS23</f>
        <v>906.4</v>
      </c>
      <c r="AY22" s="136">
        <f t="shared" si="10"/>
        <v>-13.6</v>
      </c>
      <c r="AZ22" s="139">
        <v>347698</v>
      </c>
      <c r="BB22" s="164">
        <v>0</v>
      </c>
      <c r="BC22" s="164">
        <v>8.5</v>
      </c>
    </row>
    <row r="23" spans="1:55">
      <c r="A23" s="216" t="s">
        <v>209</v>
      </c>
      <c r="B23" s="217"/>
      <c r="C23" s="218">
        <v>484.6</v>
      </c>
      <c r="E23" s="218"/>
      <c r="F23" s="218">
        <v>0</v>
      </c>
      <c r="G23" s="219"/>
      <c r="H23" s="218"/>
      <c r="I23" s="218"/>
      <c r="J23" s="136"/>
      <c r="K23" s="139">
        <v>497</v>
      </c>
      <c r="L23" s="136">
        <v>0</v>
      </c>
      <c r="M23" s="217">
        <v>0</v>
      </c>
      <c r="N23" s="136">
        <v>5.5</v>
      </c>
      <c r="O23" s="136">
        <v>0</v>
      </c>
      <c r="P23" s="218">
        <v>234.5</v>
      </c>
      <c r="Q23" s="136">
        <v>0</v>
      </c>
      <c r="R23" s="136">
        <v>46.1</v>
      </c>
      <c r="S23" s="136">
        <v>0</v>
      </c>
      <c r="T23" s="139">
        <v>13</v>
      </c>
      <c r="U23" s="217">
        <v>0</v>
      </c>
      <c r="V23" s="217">
        <v>179</v>
      </c>
      <c r="W23" s="217">
        <v>0</v>
      </c>
      <c r="X23" s="218">
        <v>0</v>
      </c>
      <c r="Y23" s="220">
        <v>250</v>
      </c>
      <c r="Z23" s="164">
        <v>0</v>
      </c>
      <c r="AA23" s="221">
        <v>1</v>
      </c>
      <c r="AB23" s="221">
        <v>0</v>
      </c>
      <c r="AC23" s="222">
        <v>0</v>
      </c>
      <c r="AD23" s="223">
        <v>0</v>
      </c>
      <c r="AE23" s="136"/>
      <c r="AF23" s="136">
        <v>1.3</v>
      </c>
      <c r="AG23" s="224">
        <v>4.3</v>
      </c>
      <c r="AH23" s="136">
        <v>842</v>
      </c>
      <c r="AI23" s="136"/>
      <c r="AJ23" s="136"/>
      <c r="AK23" s="136">
        <f t="shared" si="6"/>
        <v>484.6</v>
      </c>
      <c r="AL23" s="136">
        <f t="shared" si="0"/>
        <v>5.5</v>
      </c>
      <c r="AM23" s="136">
        <f t="shared" si="1"/>
        <v>46.1</v>
      </c>
      <c r="AN23" s="136">
        <f t="shared" si="2"/>
        <v>13</v>
      </c>
      <c r="AO23" s="136">
        <f t="shared" si="3"/>
        <v>234.5</v>
      </c>
      <c r="AP23" s="139">
        <f t="shared" si="4"/>
        <v>179</v>
      </c>
      <c r="AQ23" s="136">
        <f t="shared" si="7"/>
        <v>0</v>
      </c>
      <c r="AR23" s="136">
        <f t="shared" si="5"/>
        <v>250</v>
      </c>
      <c r="AS23" s="139">
        <f t="shared" si="8"/>
        <v>497</v>
      </c>
      <c r="AT23" s="136"/>
      <c r="AU23" s="136">
        <f t="shared" si="9"/>
        <v>4.3</v>
      </c>
      <c r="AV23" s="225">
        <v>4852934</v>
      </c>
      <c r="AX23" s="136">
        <f>'2024 Legal Max'!AS24</f>
        <v>836</v>
      </c>
      <c r="AY23" s="136">
        <f t="shared" si="10"/>
        <v>-6</v>
      </c>
      <c r="AZ23" s="139">
        <v>310932</v>
      </c>
      <c r="BB23" s="164">
        <v>0</v>
      </c>
      <c r="BC23" s="164">
        <v>5.5</v>
      </c>
    </row>
    <row r="24" spans="1:55">
      <c r="A24" s="216" t="s">
        <v>210</v>
      </c>
      <c r="B24" s="217"/>
      <c r="C24" s="218">
        <v>1450</v>
      </c>
      <c r="E24" s="218"/>
      <c r="F24" s="218">
        <v>78.5</v>
      </c>
      <c r="G24" s="219"/>
      <c r="H24" s="218"/>
      <c r="I24" s="218"/>
      <c r="J24" s="136"/>
      <c r="K24" s="139">
        <v>1466</v>
      </c>
      <c r="L24" s="136">
        <v>75</v>
      </c>
      <c r="M24" s="217">
        <v>75</v>
      </c>
      <c r="N24" s="136">
        <v>0</v>
      </c>
      <c r="O24" s="136">
        <v>0</v>
      </c>
      <c r="P24" s="218">
        <v>0</v>
      </c>
      <c r="Q24" s="136">
        <v>0</v>
      </c>
      <c r="R24" s="136">
        <v>31.6</v>
      </c>
      <c r="S24" s="136">
        <v>10</v>
      </c>
      <c r="T24" s="139">
        <v>88</v>
      </c>
      <c r="U24" s="217">
        <v>10</v>
      </c>
      <c r="V24" s="217">
        <v>62</v>
      </c>
      <c r="W24" s="217">
        <v>5</v>
      </c>
      <c r="X24" s="218">
        <v>0</v>
      </c>
      <c r="Y24" s="220">
        <v>185</v>
      </c>
      <c r="Z24" s="164">
        <v>10</v>
      </c>
      <c r="AA24" s="221">
        <v>0</v>
      </c>
      <c r="AB24" s="221">
        <v>0</v>
      </c>
      <c r="AC24" s="222">
        <v>0</v>
      </c>
      <c r="AD24" s="223">
        <v>0</v>
      </c>
      <c r="AE24" s="136"/>
      <c r="AF24" s="136">
        <v>0</v>
      </c>
      <c r="AG24" s="224">
        <v>0</v>
      </c>
      <c r="AH24" s="136">
        <v>1730.5</v>
      </c>
      <c r="AI24" s="136"/>
      <c r="AJ24" s="136"/>
      <c r="AK24" s="136">
        <f t="shared" si="6"/>
        <v>1528.5</v>
      </c>
      <c r="AL24" s="136">
        <f t="shared" si="0"/>
        <v>0</v>
      </c>
      <c r="AM24" s="136">
        <f t="shared" si="1"/>
        <v>41.6</v>
      </c>
      <c r="AN24" s="136">
        <f t="shared" si="2"/>
        <v>98</v>
      </c>
      <c r="AO24" s="136">
        <f t="shared" si="3"/>
        <v>0</v>
      </c>
      <c r="AP24" s="139">
        <f t="shared" si="4"/>
        <v>67</v>
      </c>
      <c r="AQ24" s="136">
        <f t="shared" si="7"/>
        <v>0</v>
      </c>
      <c r="AR24" s="136">
        <f t="shared" si="5"/>
        <v>195</v>
      </c>
      <c r="AS24" s="139">
        <f t="shared" si="8"/>
        <v>1541</v>
      </c>
      <c r="AT24" s="136"/>
      <c r="AU24" s="136">
        <f t="shared" si="9"/>
        <v>0</v>
      </c>
      <c r="AV24" s="225">
        <v>10372672</v>
      </c>
      <c r="AX24" s="136">
        <f>'2024 Legal Max'!AS25</f>
        <v>1725.3</v>
      </c>
      <c r="AY24" s="136">
        <f t="shared" si="10"/>
        <v>-5.2</v>
      </c>
      <c r="AZ24" s="139">
        <v>488504</v>
      </c>
      <c r="BA24" s="129" t="s">
        <v>3558</v>
      </c>
      <c r="BB24" s="164">
        <v>0</v>
      </c>
      <c r="BC24" s="164">
        <v>0</v>
      </c>
    </row>
    <row r="25" spans="1:55">
      <c r="A25" s="216" t="s">
        <v>211</v>
      </c>
      <c r="B25" s="217"/>
      <c r="C25" s="218">
        <v>364.7</v>
      </c>
      <c r="E25" s="218"/>
      <c r="F25" s="218">
        <v>0</v>
      </c>
      <c r="G25" s="219"/>
      <c r="H25" s="218"/>
      <c r="I25" s="218"/>
      <c r="J25" s="136"/>
      <c r="K25" s="139">
        <v>378</v>
      </c>
      <c r="L25" s="136">
        <v>0</v>
      </c>
      <c r="M25" s="217">
        <v>0</v>
      </c>
      <c r="N25" s="136">
        <v>5</v>
      </c>
      <c r="O25" s="136">
        <v>0</v>
      </c>
      <c r="P25" s="218">
        <v>172.5</v>
      </c>
      <c r="Q25" s="136">
        <v>0</v>
      </c>
      <c r="R25" s="136">
        <v>0</v>
      </c>
      <c r="S25" s="136">
        <v>0</v>
      </c>
      <c r="T25" s="139">
        <v>0</v>
      </c>
      <c r="U25" s="217">
        <v>0</v>
      </c>
      <c r="V25" s="217">
        <v>134</v>
      </c>
      <c r="W25" s="217">
        <v>0</v>
      </c>
      <c r="X25" s="218">
        <v>0</v>
      </c>
      <c r="Y25" s="220">
        <v>74.5</v>
      </c>
      <c r="Z25" s="164">
        <v>0</v>
      </c>
      <c r="AA25" s="221">
        <v>0</v>
      </c>
      <c r="AB25" s="221">
        <v>0</v>
      </c>
      <c r="AC25" s="222">
        <v>0</v>
      </c>
      <c r="AD25" s="223">
        <v>0</v>
      </c>
      <c r="AE25" s="136"/>
      <c r="AF25" s="136">
        <v>0.4</v>
      </c>
      <c r="AG25" s="224">
        <v>1</v>
      </c>
      <c r="AH25" s="136">
        <v>649</v>
      </c>
      <c r="AI25" s="136"/>
      <c r="AJ25" s="136"/>
      <c r="AK25" s="136">
        <f t="shared" si="6"/>
        <v>364.7</v>
      </c>
      <c r="AL25" s="136">
        <f t="shared" si="0"/>
        <v>5</v>
      </c>
      <c r="AM25" s="136">
        <f t="shared" si="1"/>
        <v>0</v>
      </c>
      <c r="AN25" s="136">
        <f t="shared" si="2"/>
        <v>0</v>
      </c>
      <c r="AO25" s="136">
        <f t="shared" si="3"/>
        <v>172.5</v>
      </c>
      <c r="AP25" s="139">
        <f t="shared" si="4"/>
        <v>134</v>
      </c>
      <c r="AQ25" s="136">
        <f t="shared" si="7"/>
        <v>0</v>
      </c>
      <c r="AR25" s="136">
        <f t="shared" si="5"/>
        <v>74.5</v>
      </c>
      <c r="AS25" s="139">
        <f t="shared" si="8"/>
        <v>378</v>
      </c>
      <c r="AT25" s="136"/>
      <c r="AU25" s="136">
        <f t="shared" si="9"/>
        <v>1</v>
      </c>
      <c r="AV25" s="225">
        <v>3775296</v>
      </c>
      <c r="AX25" s="136">
        <f>'2024 Legal Max'!AS26</f>
        <v>651.6</v>
      </c>
      <c r="AY25" s="136">
        <f t="shared" si="10"/>
        <v>2.6</v>
      </c>
      <c r="AZ25" s="139">
        <v>135144</v>
      </c>
      <c r="BB25" s="164">
        <v>0</v>
      </c>
      <c r="BC25" s="164">
        <v>5</v>
      </c>
    </row>
    <row r="26" spans="1:55">
      <c r="A26" s="216" t="s">
        <v>212</v>
      </c>
      <c r="B26" s="217"/>
      <c r="C26" s="218">
        <v>134.1</v>
      </c>
      <c r="E26" s="218"/>
      <c r="F26" s="218">
        <v>0</v>
      </c>
      <c r="G26" s="219"/>
      <c r="H26" s="218"/>
      <c r="I26" s="218"/>
      <c r="J26" s="136"/>
      <c r="K26" s="139">
        <v>141</v>
      </c>
      <c r="L26" s="136">
        <v>0</v>
      </c>
      <c r="M26" s="217">
        <v>0</v>
      </c>
      <c r="N26" s="136">
        <v>3</v>
      </c>
      <c r="O26" s="136">
        <v>0</v>
      </c>
      <c r="P26" s="218">
        <v>0</v>
      </c>
      <c r="Q26" s="136">
        <v>0</v>
      </c>
      <c r="R26" s="136">
        <v>134.69999999999999</v>
      </c>
      <c r="S26" s="136">
        <v>0</v>
      </c>
      <c r="T26" s="139">
        <v>32</v>
      </c>
      <c r="U26" s="217">
        <v>0</v>
      </c>
      <c r="V26" s="217">
        <v>66</v>
      </c>
      <c r="W26" s="217">
        <v>0</v>
      </c>
      <c r="X26" s="218">
        <v>0</v>
      </c>
      <c r="Y26" s="220">
        <v>22</v>
      </c>
      <c r="Z26" s="164">
        <v>0</v>
      </c>
      <c r="AA26" s="221">
        <v>0</v>
      </c>
      <c r="AB26" s="221">
        <v>0</v>
      </c>
      <c r="AC26" s="222">
        <v>0</v>
      </c>
      <c r="AD26" s="223">
        <v>0</v>
      </c>
      <c r="AE26" s="136"/>
      <c r="AF26" s="136">
        <v>5.5</v>
      </c>
      <c r="AG26" s="224">
        <v>4.9000000000000004</v>
      </c>
      <c r="AH26" s="136">
        <v>311.89999999999998</v>
      </c>
      <c r="AI26" s="136"/>
      <c r="AJ26" s="136"/>
      <c r="AK26" s="136">
        <f t="shared" si="6"/>
        <v>134.1</v>
      </c>
      <c r="AL26" s="136">
        <f t="shared" si="0"/>
        <v>3</v>
      </c>
      <c r="AM26" s="136">
        <f t="shared" si="1"/>
        <v>134.69999999999999</v>
      </c>
      <c r="AN26" s="136">
        <f t="shared" si="2"/>
        <v>32</v>
      </c>
      <c r="AO26" s="136">
        <f t="shared" si="3"/>
        <v>0</v>
      </c>
      <c r="AP26" s="139">
        <f t="shared" si="4"/>
        <v>66</v>
      </c>
      <c r="AQ26" s="136">
        <f t="shared" si="7"/>
        <v>0</v>
      </c>
      <c r="AR26" s="136">
        <f t="shared" si="5"/>
        <v>22</v>
      </c>
      <c r="AS26" s="139">
        <f t="shared" si="8"/>
        <v>141</v>
      </c>
      <c r="AT26" s="136"/>
      <c r="AU26" s="136">
        <f t="shared" si="9"/>
        <v>5.5</v>
      </c>
      <c r="AV26" s="225">
        <v>1778765</v>
      </c>
      <c r="AX26" s="136">
        <f>'2024 Legal Max'!AS27</f>
        <v>310.89999999999998</v>
      </c>
      <c r="AY26" s="136">
        <f t="shared" si="10"/>
        <v>-1</v>
      </c>
      <c r="AZ26" s="139">
        <v>95326</v>
      </c>
      <c r="BB26" s="164">
        <v>0</v>
      </c>
      <c r="BC26" s="164">
        <v>3</v>
      </c>
    </row>
    <row r="27" spans="1:55">
      <c r="A27" s="216" t="s">
        <v>213</v>
      </c>
      <c r="B27" s="217"/>
      <c r="C27" s="218">
        <v>944</v>
      </c>
      <c r="E27" s="218"/>
      <c r="F27" s="218">
        <v>0</v>
      </c>
      <c r="G27" s="219"/>
      <c r="H27" s="218"/>
      <c r="I27" s="218"/>
      <c r="J27" s="136"/>
      <c r="K27" s="139">
        <v>979</v>
      </c>
      <c r="L27" s="136">
        <v>0</v>
      </c>
      <c r="M27" s="217">
        <v>0</v>
      </c>
      <c r="N27" s="136">
        <v>16.5</v>
      </c>
      <c r="O27" s="136">
        <v>0</v>
      </c>
      <c r="P27" s="218">
        <v>321.3</v>
      </c>
      <c r="Q27" s="136">
        <v>0</v>
      </c>
      <c r="R27" s="136">
        <v>665</v>
      </c>
      <c r="S27" s="136">
        <v>0</v>
      </c>
      <c r="T27" s="139">
        <v>209</v>
      </c>
      <c r="U27" s="217">
        <v>0</v>
      </c>
      <c r="V27" s="217">
        <v>458</v>
      </c>
      <c r="W27" s="217">
        <v>0</v>
      </c>
      <c r="X27" s="218">
        <v>0</v>
      </c>
      <c r="Y27" s="220">
        <v>160</v>
      </c>
      <c r="Z27" s="164">
        <v>0</v>
      </c>
      <c r="AA27" s="221">
        <v>5</v>
      </c>
      <c r="AB27" s="221">
        <v>3.5</v>
      </c>
      <c r="AC27" s="222">
        <v>0</v>
      </c>
      <c r="AD27" s="223">
        <v>0</v>
      </c>
      <c r="AE27" s="136"/>
      <c r="AF27" s="136">
        <v>37.799999999999997</v>
      </c>
      <c r="AG27" s="224">
        <v>36.799999999999997</v>
      </c>
      <c r="AH27" s="136">
        <v>1622.5</v>
      </c>
      <c r="AI27" s="136"/>
      <c r="AJ27" s="136"/>
      <c r="AK27" s="136">
        <f t="shared" si="6"/>
        <v>944</v>
      </c>
      <c r="AL27" s="136">
        <f t="shared" si="0"/>
        <v>16.5</v>
      </c>
      <c r="AM27" s="136">
        <f t="shared" si="1"/>
        <v>665</v>
      </c>
      <c r="AN27" s="136">
        <f t="shared" si="2"/>
        <v>209</v>
      </c>
      <c r="AO27" s="136">
        <f t="shared" si="3"/>
        <v>321.3</v>
      </c>
      <c r="AP27" s="139">
        <f t="shared" si="4"/>
        <v>458</v>
      </c>
      <c r="AQ27" s="136">
        <f t="shared" si="7"/>
        <v>0</v>
      </c>
      <c r="AR27" s="136">
        <f t="shared" si="5"/>
        <v>160</v>
      </c>
      <c r="AS27" s="139">
        <f t="shared" si="8"/>
        <v>979</v>
      </c>
      <c r="AT27" s="136"/>
      <c r="AU27" s="136">
        <f t="shared" si="9"/>
        <v>37.799999999999997</v>
      </c>
      <c r="AV27" s="225">
        <v>9401875</v>
      </c>
      <c r="AX27" s="136">
        <f>'2024 Legal Max'!AS28</f>
        <v>1615.4</v>
      </c>
      <c r="AY27" s="136">
        <f t="shared" si="10"/>
        <v>-7.1</v>
      </c>
      <c r="AZ27" s="139">
        <v>503024</v>
      </c>
      <c r="BB27" s="164">
        <v>0</v>
      </c>
      <c r="BC27" s="164">
        <v>16.5</v>
      </c>
    </row>
    <row r="28" spans="1:55">
      <c r="A28" s="216" t="s">
        <v>214</v>
      </c>
      <c r="B28" s="217"/>
      <c r="C28" s="218">
        <v>648.1</v>
      </c>
      <c r="E28" s="218"/>
      <c r="F28" s="218">
        <v>0</v>
      </c>
      <c r="G28" s="219"/>
      <c r="H28" s="218"/>
      <c r="I28" s="218"/>
      <c r="J28" s="136"/>
      <c r="K28" s="139">
        <v>682</v>
      </c>
      <c r="L28" s="136">
        <v>0</v>
      </c>
      <c r="M28" s="217">
        <v>0</v>
      </c>
      <c r="N28" s="136">
        <v>15</v>
      </c>
      <c r="O28" s="136">
        <v>0</v>
      </c>
      <c r="P28" s="218">
        <v>33.1</v>
      </c>
      <c r="Q28" s="136">
        <v>0</v>
      </c>
      <c r="R28" s="136">
        <v>0</v>
      </c>
      <c r="S28" s="136">
        <v>0</v>
      </c>
      <c r="T28" s="139">
        <v>11</v>
      </c>
      <c r="U28" s="217">
        <v>0</v>
      </c>
      <c r="V28" s="217">
        <v>304</v>
      </c>
      <c r="W28" s="217">
        <v>0</v>
      </c>
      <c r="X28" s="218">
        <v>0</v>
      </c>
      <c r="Y28" s="220">
        <v>134.5</v>
      </c>
      <c r="Z28" s="164">
        <v>0</v>
      </c>
      <c r="AA28" s="221">
        <v>0</v>
      </c>
      <c r="AB28" s="221">
        <v>0</v>
      </c>
      <c r="AC28" s="222">
        <v>0</v>
      </c>
      <c r="AD28" s="223">
        <v>0</v>
      </c>
      <c r="AE28" s="136"/>
      <c r="AF28" s="136">
        <v>20.399999999999999</v>
      </c>
      <c r="AG28" s="224">
        <v>22.3</v>
      </c>
      <c r="AH28" s="136">
        <v>1116.0999999999999</v>
      </c>
      <c r="AI28" s="136"/>
      <c r="AJ28" s="136"/>
      <c r="AK28" s="136">
        <f t="shared" si="6"/>
        <v>648.1</v>
      </c>
      <c r="AL28" s="136">
        <f t="shared" si="0"/>
        <v>15</v>
      </c>
      <c r="AM28" s="136">
        <f t="shared" si="1"/>
        <v>0</v>
      </c>
      <c r="AN28" s="136">
        <f t="shared" si="2"/>
        <v>11</v>
      </c>
      <c r="AO28" s="136">
        <f t="shared" si="3"/>
        <v>33.1</v>
      </c>
      <c r="AP28" s="139">
        <f t="shared" si="4"/>
        <v>304</v>
      </c>
      <c r="AQ28" s="136">
        <f t="shared" si="7"/>
        <v>0</v>
      </c>
      <c r="AR28" s="136">
        <f t="shared" si="5"/>
        <v>134.5</v>
      </c>
      <c r="AS28" s="139">
        <f t="shared" si="8"/>
        <v>682</v>
      </c>
      <c r="AT28" s="136"/>
      <c r="AU28" s="136">
        <f t="shared" si="9"/>
        <v>22.3</v>
      </c>
      <c r="AV28" s="225">
        <v>6646963</v>
      </c>
      <c r="AX28" s="136">
        <f>'2024 Legal Max'!AS29</f>
        <v>1107.3</v>
      </c>
      <c r="AY28" s="136">
        <f t="shared" si="10"/>
        <v>-8.8000000000000007</v>
      </c>
      <c r="AZ28" s="139">
        <v>304282</v>
      </c>
      <c r="BB28" s="164">
        <v>0</v>
      </c>
      <c r="BC28" s="164">
        <v>15</v>
      </c>
    </row>
    <row r="29" spans="1:55">
      <c r="A29" s="216" t="s">
        <v>215</v>
      </c>
      <c r="B29" s="217"/>
      <c r="C29" s="218">
        <v>143.5</v>
      </c>
      <c r="E29" s="218"/>
      <c r="F29" s="218">
        <v>0</v>
      </c>
      <c r="G29" s="219"/>
      <c r="H29" s="218"/>
      <c r="I29" s="218"/>
      <c r="J29" s="136"/>
      <c r="K29" s="139">
        <v>155</v>
      </c>
      <c r="L29" s="136">
        <v>0</v>
      </c>
      <c r="M29" s="217">
        <v>0</v>
      </c>
      <c r="N29" s="136">
        <v>4</v>
      </c>
      <c r="O29" s="136">
        <v>0</v>
      </c>
      <c r="P29" s="218">
        <v>74.900000000000006</v>
      </c>
      <c r="Q29" s="136">
        <v>0</v>
      </c>
      <c r="R29" s="136">
        <v>0</v>
      </c>
      <c r="S29" s="136">
        <v>0</v>
      </c>
      <c r="T29" s="139">
        <v>1</v>
      </c>
      <c r="U29" s="217">
        <v>0</v>
      </c>
      <c r="V29" s="217">
        <v>81</v>
      </c>
      <c r="W29" s="217">
        <v>0</v>
      </c>
      <c r="X29" s="218">
        <v>0</v>
      </c>
      <c r="Y29" s="220">
        <v>68</v>
      </c>
      <c r="Z29" s="164">
        <v>0</v>
      </c>
      <c r="AA29" s="221">
        <v>0</v>
      </c>
      <c r="AB29" s="221">
        <v>0</v>
      </c>
      <c r="AC29" s="222">
        <v>0</v>
      </c>
      <c r="AD29" s="223">
        <v>0</v>
      </c>
      <c r="AE29" s="136"/>
      <c r="AF29" s="136">
        <v>8.5</v>
      </c>
      <c r="AG29" s="224">
        <v>7.2</v>
      </c>
      <c r="AH29" s="136">
        <v>346.9</v>
      </c>
      <c r="AI29" s="136"/>
      <c r="AJ29" s="136"/>
      <c r="AK29" s="136">
        <f t="shared" si="6"/>
        <v>143.5</v>
      </c>
      <c r="AL29" s="136">
        <f t="shared" si="0"/>
        <v>4</v>
      </c>
      <c r="AM29" s="136">
        <f t="shared" si="1"/>
        <v>0</v>
      </c>
      <c r="AN29" s="136">
        <f t="shared" si="2"/>
        <v>1</v>
      </c>
      <c r="AO29" s="136">
        <f t="shared" si="3"/>
        <v>74.900000000000006</v>
      </c>
      <c r="AP29" s="139">
        <f t="shared" si="4"/>
        <v>81</v>
      </c>
      <c r="AQ29" s="136">
        <f t="shared" si="7"/>
        <v>0</v>
      </c>
      <c r="AR29" s="136">
        <f t="shared" si="5"/>
        <v>68</v>
      </c>
      <c r="AS29" s="139">
        <f t="shared" si="8"/>
        <v>155</v>
      </c>
      <c r="AT29" s="136"/>
      <c r="AU29" s="136">
        <f t="shared" si="9"/>
        <v>8.5</v>
      </c>
      <c r="AV29" s="225">
        <v>1860682</v>
      </c>
      <c r="AX29" s="136">
        <f>'2024 Legal Max'!AS30</f>
        <v>343.4</v>
      </c>
      <c r="AY29" s="136">
        <f t="shared" si="10"/>
        <v>-3.5</v>
      </c>
      <c r="AZ29" s="139">
        <v>136522</v>
      </c>
      <c r="BB29" s="164">
        <v>0</v>
      </c>
      <c r="BC29" s="164">
        <v>4</v>
      </c>
    </row>
    <row r="30" spans="1:55">
      <c r="A30" s="216" t="s">
        <v>216</v>
      </c>
      <c r="B30" s="217"/>
      <c r="C30" s="218">
        <v>1390.4</v>
      </c>
      <c r="E30" s="218"/>
      <c r="F30" s="218">
        <v>0</v>
      </c>
      <c r="G30" s="219"/>
      <c r="H30" s="218"/>
      <c r="I30" s="218"/>
      <c r="J30" s="136"/>
      <c r="K30" s="139">
        <v>1456</v>
      </c>
      <c r="L30" s="136">
        <v>0</v>
      </c>
      <c r="M30" s="217">
        <v>0</v>
      </c>
      <c r="N30" s="136">
        <v>25.5</v>
      </c>
      <c r="O30" s="136">
        <v>0</v>
      </c>
      <c r="P30" s="218">
        <v>563.29999999999995</v>
      </c>
      <c r="Q30" s="136">
        <v>0</v>
      </c>
      <c r="R30" s="136">
        <v>1542</v>
      </c>
      <c r="S30" s="136">
        <v>0</v>
      </c>
      <c r="T30" s="139">
        <v>380</v>
      </c>
      <c r="U30" s="217">
        <v>0</v>
      </c>
      <c r="V30" s="217">
        <v>851</v>
      </c>
      <c r="W30" s="217">
        <v>0</v>
      </c>
      <c r="X30" s="218">
        <v>0</v>
      </c>
      <c r="Y30" s="220">
        <v>206</v>
      </c>
      <c r="Z30" s="164">
        <v>0</v>
      </c>
      <c r="AA30" s="221">
        <v>31</v>
      </c>
      <c r="AB30" s="221">
        <v>5.3</v>
      </c>
      <c r="AC30" s="222">
        <v>40</v>
      </c>
      <c r="AD30" s="223">
        <v>20</v>
      </c>
      <c r="AE30" s="136"/>
      <c r="AF30" s="136">
        <v>89.4</v>
      </c>
      <c r="AG30" s="224">
        <v>85.6</v>
      </c>
      <c r="AH30" s="136">
        <v>2297.1</v>
      </c>
      <c r="AI30" s="136"/>
      <c r="AJ30" s="136"/>
      <c r="AK30" s="136">
        <f t="shared" si="6"/>
        <v>1390.4</v>
      </c>
      <c r="AL30" s="136">
        <f t="shared" si="0"/>
        <v>25.5</v>
      </c>
      <c r="AM30" s="136">
        <f t="shared" si="1"/>
        <v>1542</v>
      </c>
      <c r="AN30" s="136">
        <f t="shared" si="2"/>
        <v>380</v>
      </c>
      <c r="AO30" s="136">
        <f t="shared" si="3"/>
        <v>563.29999999999995</v>
      </c>
      <c r="AP30" s="139">
        <f t="shared" si="4"/>
        <v>851</v>
      </c>
      <c r="AQ30" s="136">
        <f t="shared" si="7"/>
        <v>20</v>
      </c>
      <c r="AR30" s="136">
        <f t="shared" si="5"/>
        <v>206</v>
      </c>
      <c r="AS30" s="139">
        <f t="shared" si="8"/>
        <v>1456</v>
      </c>
      <c r="AT30" s="136"/>
      <c r="AU30" s="136">
        <f t="shared" si="9"/>
        <v>89.4</v>
      </c>
      <c r="AV30" s="225">
        <v>13007191</v>
      </c>
      <c r="AX30" s="136">
        <f>'2024 Legal Max'!AS31</f>
        <v>2283.1</v>
      </c>
      <c r="AY30" s="136">
        <f t="shared" si="10"/>
        <v>-14</v>
      </c>
      <c r="AZ30" s="139">
        <v>313406</v>
      </c>
      <c r="BA30" s="129" t="s">
        <v>3684</v>
      </c>
      <c r="BB30" s="164">
        <v>0</v>
      </c>
      <c r="BC30" s="164">
        <v>25.5</v>
      </c>
    </row>
    <row r="31" spans="1:55">
      <c r="A31" s="216" t="s">
        <v>217</v>
      </c>
      <c r="B31" s="217"/>
      <c r="C31" s="218">
        <v>604.1</v>
      </c>
      <c r="E31" s="218"/>
      <c r="F31" s="218">
        <v>0</v>
      </c>
      <c r="G31" s="219"/>
      <c r="H31" s="218"/>
      <c r="I31" s="218"/>
      <c r="J31" s="136"/>
      <c r="K31" s="139">
        <v>633</v>
      </c>
      <c r="L31" s="136">
        <v>0</v>
      </c>
      <c r="M31" s="217">
        <v>0</v>
      </c>
      <c r="N31" s="136">
        <v>14</v>
      </c>
      <c r="O31" s="136">
        <v>0</v>
      </c>
      <c r="P31" s="218">
        <v>7.5</v>
      </c>
      <c r="Q31" s="136">
        <v>0</v>
      </c>
      <c r="R31" s="136">
        <v>343.6</v>
      </c>
      <c r="S31" s="136">
        <v>0</v>
      </c>
      <c r="T31" s="139">
        <v>111</v>
      </c>
      <c r="U31" s="217">
        <v>0</v>
      </c>
      <c r="V31" s="217">
        <v>313</v>
      </c>
      <c r="W31" s="217">
        <v>0</v>
      </c>
      <c r="X31" s="218">
        <v>0</v>
      </c>
      <c r="Y31" s="220">
        <v>47</v>
      </c>
      <c r="Z31" s="164">
        <v>0</v>
      </c>
      <c r="AA31" s="221">
        <v>0</v>
      </c>
      <c r="AB31" s="221">
        <v>0</v>
      </c>
      <c r="AC31" s="222">
        <v>0</v>
      </c>
      <c r="AD31" s="223">
        <v>0</v>
      </c>
      <c r="AE31" s="136"/>
      <c r="AF31" s="136">
        <v>31.7</v>
      </c>
      <c r="AG31" s="224">
        <v>29.7</v>
      </c>
      <c r="AH31" s="136">
        <v>1095</v>
      </c>
      <c r="AI31" s="136"/>
      <c r="AJ31" s="136"/>
      <c r="AK31" s="136">
        <f t="shared" si="6"/>
        <v>604.1</v>
      </c>
      <c r="AL31" s="136">
        <f t="shared" si="0"/>
        <v>14</v>
      </c>
      <c r="AM31" s="136">
        <f t="shared" si="1"/>
        <v>343.6</v>
      </c>
      <c r="AN31" s="136">
        <f t="shared" si="2"/>
        <v>111</v>
      </c>
      <c r="AO31" s="136">
        <f t="shared" si="3"/>
        <v>7.5</v>
      </c>
      <c r="AP31" s="139">
        <f t="shared" si="4"/>
        <v>313</v>
      </c>
      <c r="AQ31" s="136">
        <f t="shared" si="7"/>
        <v>0</v>
      </c>
      <c r="AR31" s="136">
        <f t="shared" si="5"/>
        <v>47</v>
      </c>
      <c r="AS31" s="139">
        <f t="shared" si="8"/>
        <v>633</v>
      </c>
      <c r="AT31" s="136"/>
      <c r="AU31" s="136">
        <f t="shared" si="9"/>
        <v>31.7</v>
      </c>
      <c r="AV31" s="225">
        <v>5986032</v>
      </c>
      <c r="AX31" s="136">
        <f>'2024 Legal Max'!AS32</f>
        <v>1103</v>
      </c>
      <c r="AY31" s="136">
        <f t="shared" si="10"/>
        <v>8</v>
      </c>
      <c r="AZ31" s="139">
        <v>255056</v>
      </c>
      <c r="BB31" s="164">
        <v>0</v>
      </c>
      <c r="BC31" s="164">
        <v>14</v>
      </c>
    </row>
    <row r="32" spans="1:55">
      <c r="A32" s="216" t="s">
        <v>218</v>
      </c>
      <c r="B32" s="217"/>
      <c r="C32" s="218">
        <v>228.5</v>
      </c>
      <c r="E32" s="218"/>
      <c r="F32" s="218">
        <v>0</v>
      </c>
      <c r="G32" s="219"/>
      <c r="H32" s="218"/>
      <c r="I32" s="218"/>
      <c r="J32" s="136"/>
      <c r="K32" s="139">
        <v>246</v>
      </c>
      <c r="L32" s="136">
        <v>0</v>
      </c>
      <c r="M32" s="217">
        <v>0</v>
      </c>
      <c r="N32" s="136">
        <v>7.5</v>
      </c>
      <c r="O32" s="136">
        <v>0</v>
      </c>
      <c r="P32" s="218">
        <v>60.4</v>
      </c>
      <c r="Q32" s="136">
        <v>0</v>
      </c>
      <c r="R32" s="136">
        <v>362.8</v>
      </c>
      <c r="S32" s="136">
        <v>0</v>
      </c>
      <c r="T32" s="139">
        <v>85</v>
      </c>
      <c r="U32" s="217">
        <v>0</v>
      </c>
      <c r="V32" s="217">
        <v>152</v>
      </c>
      <c r="W32" s="217">
        <v>0</v>
      </c>
      <c r="X32" s="218">
        <v>0</v>
      </c>
      <c r="Y32" s="220">
        <v>13</v>
      </c>
      <c r="Z32" s="164">
        <v>0</v>
      </c>
      <c r="AA32" s="221">
        <v>0</v>
      </c>
      <c r="AB32" s="221">
        <v>0</v>
      </c>
      <c r="AC32" s="222">
        <v>0</v>
      </c>
      <c r="AD32" s="223">
        <v>0</v>
      </c>
      <c r="AE32" s="136"/>
      <c r="AF32" s="136">
        <v>16</v>
      </c>
      <c r="AG32" s="224">
        <v>16</v>
      </c>
      <c r="AH32" s="136">
        <v>501</v>
      </c>
      <c r="AI32" s="136"/>
      <c r="AJ32" s="136"/>
      <c r="AK32" s="136">
        <f t="shared" si="6"/>
        <v>228.5</v>
      </c>
      <c r="AL32" s="136">
        <f t="shared" si="0"/>
        <v>7.5</v>
      </c>
      <c r="AM32" s="136">
        <f t="shared" si="1"/>
        <v>362.8</v>
      </c>
      <c r="AN32" s="136">
        <f t="shared" si="2"/>
        <v>85</v>
      </c>
      <c r="AO32" s="136">
        <f t="shared" si="3"/>
        <v>60.4</v>
      </c>
      <c r="AP32" s="139">
        <f t="shared" si="4"/>
        <v>152</v>
      </c>
      <c r="AQ32" s="136">
        <f t="shared" si="7"/>
        <v>0</v>
      </c>
      <c r="AR32" s="136">
        <f t="shared" si="5"/>
        <v>13</v>
      </c>
      <c r="AS32" s="139">
        <f t="shared" si="8"/>
        <v>246</v>
      </c>
      <c r="AT32" s="136"/>
      <c r="AU32" s="136">
        <f t="shared" si="9"/>
        <v>16</v>
      </c>
      <c r="AV32" s="225">
        <v>2688499</v>
      </c>
      <c r="AX32" s="136">
        <f>'2024 Legal Max'!AS33</f>
        <v>494.6</v>
      </c>
      <c r="AY32" s="136">
        <f t="shared" si="10"/>
        <v>-6.4</v>
      </c>
      <c r="AZ32" s="139">
        <v>74982</v>
      </c>
      <c r="BB32" s="164">
        <v>0</v>
      </c>
      <c r="BC32" s="164">
        <v>7.5</v>
      </c>
    </row>
    <row r="33" spans="1:55">
      <c r="A33" s="216" t="s">
        <v>219</v>
      </c>
      <c r="B33" s="217"/>
      <c r="C33" s="218">
        <v>89.5</v>
      </c>
      <c r="E33" s="218"/>
      <c r="F33" s="218">
        <v>0</v>
      </c>
      <c r="G33" s="219"/>
      <c r="H33" s="218"/>
      <c r="I33" s="218"/>
      <c r="J33" s="136"/>
      <c r="K33" s="139">
        <v>90</v>
      </c>
      <c r="L33" s="136">
        <v>0</v>
      </c>
      <c r="M33" s="217">
        <v>0</v>
      </c>
      <c r="N33" s="136">
        <v>0</v>
      </c>
      <c r="O33" s="136">
        <v>0</v>
      </c>
      <c r="P33" s="218">
        <v>34.9</v>
      </c>
      <c r="Q33" s="136">
        <v>0</v>
      </c>
      <c r="R33" s="136">
        <v>75</v>
      </c>
      <c r="S33" s="136">
        <v>0</v>
      </c>
      <c r="T33" s="139">
        <v>13</v>
      </c>
      <c r="U33" s="217">
        <v>0</v>
      </c>
      <c r="V33" s="217">
        <v>57</v>
      </c>
      <c r="W33" s="217">
        <v>0</v>
      </c>
      <c r="X33" s="218">
        <v>0</v>
      </c>
      <c r="Y33" s="220">
        <v>28</v>
      </c>
      <c r="Z33" s="164">
        <v>0</v>
      </c>
      <c r="AA33" s="221">
        <v>0</v>
      </c>
      <c r="AB33" s="221">
        <v>0</v>
      </c>
      <c r="AC33" s="222">
        <v>0</v>
      </c>
      <c r="AD33" s="223">
        <v>0</v>
      </c>
      <c r="AE33" s="136"/>
      <c r="AF33" s="136">
        <v>6</v>
      </c>
      <c r="AG33" s="224">
        <v>6</v>
      </c>
      <c r="AH33" s="136">
        <v>243.4</v>
      </c>
      <c r="AI33" s="136"/>
      <c r="AJ33" s="136"/>
      <c r="AK33" s="136">
        <f t="shared" si="6"/>
        <v>89.5</v>
      </c>
      <c r="AL33" s="136">
        <f t="shared" si="0"/>
        <v>0</v>
      </c>
      <c r="AM33" s="136">
        <f t="shared" si="1"/>
        <v>75</v>
      </c>
      <c r="AN33" s="136">
        <f t="shared" si="2"/>
        <v>13</v>
      </c>
      <c r="AO33" s="136">
        <f t="shared" si="3"/>
        <v>34.9</v>
      </c>
      <c r="AP33" s="139">
        <f t="shared" si="4"/>
        <v>57</v>
      </c>
      <c r="AQ33" s="136">
        <f t="shared" si="7"/>
        <v>0</v>
      </c>
      <c r="AR33" s="136">
        <f t="shared" si="5"/>
        <v>28</v>
      </c>
      <c r="AS33" s="139">
        <f t="shared" si="8"/>
        <v>90</v>
      </c>
      <c r="AT33" s="136"/>
      <c r="AU33" s="136">
        <f t="shared" si="9"/>
        <v>6</v>
      </c>
      <c r="AV33" s="225">
        <v>1354426</v>
      </c>
      <c r="AX33" s="136">
        <f>'2024 Legal Max'!AS34</f>
        <v>243.4</v>
      </c>
      <c r="AY33" s="136">
        <f t="shared" si="10"/>
        <v>0</v>
      </c>
      <c r="AZ33" s="139">
        <v>76924</v>
      </c>
      <c r="BB33" s="164">
        <v>0</v>
      </c>
      <c r="BC33" s="164">
        <v>0</v>
      </c>
    </row>
    <row r="34" spans="1:55">
      <c r="A34" s="216" t="s">
        <v>220</v>
      </c>
      <c r="B34" s="217"/>
      <c r="C34" s="218">
        <v>344.9</v>
      </c>
      <c r="E34" s="218"/>
      <c r="F34" s="218">
        <v>0</v>
      </c>
      <c r="G34" s="219"/>
      <c r="H34" s="218"/>
      <c r="I34" s="218"/>
      <c r="J34" s="136"/>
      <c r="K34" s="139">
        <v>396</v>
      </c>
      <c r="L34" s="136">
        <v>0</v>
      </c>
      <c r="M34" s="217">
        <v>0</v>
      </c>
      <c r="N34" s="136">
        <v>18.7</v>
      </c>
      <c r="O34" s="136">
        <v>0</v>
      </c>
      <c r="P34" s="218">
        <v>118.3</v>
      </c>
      <c r="Q34" s="136">
        <v>0</v>
      </c>
      <c r="R34" s="136">
        <v>269.2</v>
      </c>
      <c r="S34" s="136">
        <v>0</v>
      </c>
      <c r="T34" s="139">
        <v>68</v>
      </c>
      <c r="U34" s="217">
        <v>0</v>
      </c>
      <c r="V34" s="217">
        <v>194</v>
      </c>
      <c r="W34" s="217">
        <v>0</v>
      </c>
      <c r="X34" s="218">
        <v>0</v>
      </c>
      <c r="Y34" s="220">
        <v>23</v>
      </c>
      <c r="Z34" s="164">
        <v>0</v>
      </c>
      <c r="AA34" s="221">
        <v>1066</v>
      </c>
      <c r="AB34" s="221">
        <v>103.1</v>
      </c>
      <c r="AC34" s="222">
        <v>0</v>
      </c>
      <c r="AD34" s="223">
        <v>0</v>
      </c>
      <c r="AE34" s="136"/>
      <c r="AF34" s="136">
        <v>19</v>
      </c>
      <c r="AG34" s="224">
        <v>17</v>
      </c>
      <c r="AH34" s="136">
        <v>746.6</v>
      </c>
      <c r="AI34" s="136"/>
      <c r="AJ34" s="136"/>
      <c r="AK34" s="136">
        <f t="shared" si="6"/>
        <v>344.9</v>
      </c>
      <c r="AL34" s="136">
        <f t="shared" si="0"/>
        <v>18.7</v>
      </c>
      <c r="AM34" s="136">
        <f t="shared" si="1"/>
        <v>269.2</v>
      </c>
      <c r="AN34" s="136">
        <f t="shared" si="2"/>
        <v>68</v>
      </c>
      <c r="AO34" s="136">
        <f t="shared" si="3"/>
        <v>118.3</v>
      </c>
      <c r="AP34" s="139">
        <f t="shared" si="4"/>
        <v>194</v>
      </c>
      <c r="AQ34" s="136">
        <f t="shared" si="7"/>
        <v>0</v>
      </c>
      <c r="AR34" s="136">
        <f t="shared" si="5"/>
        <v>23</v>
      </c>
      <c r="AS34" s="139">
        <f t="shared" si="8"/>
        <v>396</v>
      </c>
      <c r="AT34" s="136"/>
      <c r="AU34" s="136">
        <f t="shared" si="9"/>
        <v>19</v>
      </c>
      <c r="AV34" s="225">
        <v>11373376</v>
      </c>
      <c r="AX34" s="136">
        <f>'2024 Legal Max'!AS35</f>
        <v>741</v>
      </c>
      <c r="AY34" s="136">
        <f t="shared" si="10"/>
        <v>-5.6</v>
      </c>
      <c r="AZ34" s="139">
        <v>69162</v>
      </c>
      <c r="BB34" s="164">
        <v>0</v>
      </c>
      <c r="BC34" s="164">
        <v>18.7</v>
      </c>
    </row>
    <row r="35" spans="1:55">
      <c r="A35" s="216" t="s">
        <v>221</v>
      </c>
      <c r="B35" s="217"/>
      <c r="C35" s="218">
        <v>234.5</v>
      </c>
      <c r="E35" s="218"/>
      <c r="F35" s="218">
        <v>0</v>
      </c>
      <c r="G35" s="219"/>
      <c r="H35" s="218"/>
      <c r="I35" s="218"/>
      <c r="J35" s="136"/>
      <c r="K35" s="139">
        <v>239</v>
      </c>
      <c r="L35" s="136">
        <v>0</v>
      </c>
      <c r="M35" s="217">
        <v>0</v>
      </c>
      <c r="N35" s="136">
        <v>2</v>
      </c>
      <c r="O35" s="136">
        <v>0</v>
      </c>
      <c r="P35" s="218">
        <v>9.6999999999999993</v>
      </c>
      <c r="Q35" s="136">
        <v>0</v>
      </c>
      <c r="R35" s="136">
        <v>8</v>
      </c>
      <c r="S35" s="136">
        <v>0</v>
      </c>
      <c r="T35" s="139">
        <v>5</v>
      </c>
      <c r="U35" s="217">
        <v>0</v>
      </c>
      <c r="V35" s="217">
        <v>108</v>
      </c>
      <c r="W35" s="217">
        <v>0</v>
      </c>
      <c r="X35" s="218">
        <v>0</v>
      </c>
      <c r="Y35" s="220">
        <v>56</v>
      </c>
      <c r="Z35" s="164">
        <v>0</v>
      </c>
      <c r="AA35" s="221">
        <v>0</v>
      </c>
      <c r="AB35" s="221">
        <v>0</v>
      </c>
      <c r="AC35" s="222">
        <v>0</v>
      </c>
      <c r="AD35" s="223">
        <v>0</v>
      </c>
      <c r="AE35" s="136"/>
      <c r="AF35" s="136">
        <v>7.7</v>
      </c>
      <c r="AG35" s="224">
        <v>7.8</v>
      </c>
      <c r="AH35" s="136">
        <v>481.1</v>
      </c>
      <c r="AI35" s="136"/>
      <c r="AJ35" s="136"/>
      <c r="AK35" s="136">
        <f t="shared" si="6"/>
        <v>234.5</v>
      </c>
      <c r="AL35" s="136">
        <f t="shared" si="0"/>
        <v>2</v>
      </c>
      <c r="AM35" s="136">
        <f t="shared" si="1"/>
        <v>8</v>
      </c>
      <c r="AN35" s="136">
        <f t="shared" si="2"/>
        <v>5</v>
      </c>
      <c r="AO35" s="136">
        <f t="shared" si="3"/>
        <v>9.6999999999999993</v>
      </c>
      <c r="AP35" s="139">
        <f t="shared" si="4"/>
        <v>108</v>
      </c>
      <c r="AQ35" s="136">
        <f t="shared" si="7"/>
        <v>0</v>
      </c>
      <c r="AR35" s="136">
        <f t="shared" si="5"/>
        <v>56</v>
      </c>
      <c r="AS35" s="139">
        <f t="shared" si="8"/>
        <v>239</v>
      </c>
      <c r="AT35" s="136"/>
      <c r="AU35" s="136">
        <f t="shared" si="9"/>
        <v>7.8</v>
      </c>
      <c r="AV35" s="225">
        <v>2813664</v>
      </c>
      <c r="AX35" s="136">
        <f>'2024 Legal Max'!AS36</f>
        <v>483.4</v>
      </c>
      <c r="AY35" s="136">
        <f t="shared" si="10"/>
        <v>2.2999999999999998</v>
      </c>
      <c r="AZ35" s="139">
        <v>117305</v>
      </c>
      <c r="BB35" s="164">
        <v>0</v>
      </c>
      <c r="BC35" s="164">
        <v>2</v>
      </c>
    </row>
    <row r="36" spans="1:55">
      <c r="A36" s="216" t="s">
        <v>222</v>
      </c>
      <c r="B36" s="217"/>
      <c r="C36" s="218">
        <v>190</v>
      </c>
      <c r="E36" s="218"/>
      <c r="F36" s="218">
        <v>0</v>
      </c>
      <c r="G36" s="219"/>
      <c r="H36" s="218"/>
      <c r="I36" s="218"/>
      <c r="J36" s="136"/>
      <c r="K36" s="139">
        <v>192</v>
      </c>
      <c r="L36" s="136">
        <v>0</v>
      </c>
      <c r="M36" s="217">
        <v>0</v>
      </c>
      <c r="N36" s="136">
        <v>0</v>
      </c>
      <c r="O36" s="136">
        <v>0</v>
      </c>
      <c r="P36" s="218">
        <v>69.099999999999994</v>
      </c>
      <c r="Q36" s="136">
        <v>0</v>
      </c>
      <c r="R36" s="136">
        <v>31.2</v>
      </c>
      <c r="S36" s="136">
        <v>0</v>
      </c>
      <c r="T36" s="139">
        <v>16</v>
      </c>
      <c r="U36" s="217">
        <v>0</v>
      </c>
      <c r="V36" s="217">
        <v>37</v>
      </c>
      <c r="W36" s="217">
        <v>0</v>
      </c>
      <c r="X36" s="218">
        <v>0</v>
      </c>
      <c r="Y36" s="220">
        <v>33</v>
      </c>
      <c r="Z36" s="164">
        <v>0</v>
      </c>
      <c r="AA36" s="221">
        <v>0</v>
      </c>
      <c r="AB36" s="221">
        <v>0</v>
      </c>
      <c r="AC36" s="222">
        <v>0</v>
      </c>
      <c r="AD36" s="223">
        <v>0</v>
      </c>
      <c r="AE36" s="136"/>
      <c r="AF36" s="136">
        <v>0</v>
      </c>
      <c r="AG36" s="224">
        <v>0</v>
      </c>
      <c r="AH36" s="136">
        <v>385.4</v>
      </c>
      <c r="AI36" s="136"/>
      <c r="AJ36" s="136"/>
      <c r="AK36" s="136">
        <f t="shared" si="6"/>
        <v>190</v>
      </c>
      <c r="AL36" s="136">
        <f t="shared" si="0"/>
        <v>0</v>
      </c>
      <c r="AM36" s="136">
        <f t="shared" si="1"/>
        <v>31.2</v>
      </c>
      <c r="AN36" s="136">
        <f t="shared" si="2"/>
        <v>16</v>
      </c>
      <c r="AO36" s="136">
        <f t="shared" si="3"/>
        <v>69.099999999999994</v>
      </c>
      <c r="AP36" s="139">
        <f t="shared" si="4"/>
        <v>37</v>
      </c>
      <c r="AQ36" s="136">
        <f t="shared" si="7"/>
        <v>0</v>
      </c>
      <c r="AR36" s="136">
        <f t="shared" si="5"/>
        <v>33</v>
      </c>
      <c r="AS36" s="139">
        <f t="shared" si="8"/>
        <v>192</v>
      </c>
      <c r="AT36" s="136"/>
      <c r="AU36" s="136">
        <f t="shared" si="9"/>
        <v>0</v>
      </c>
      <c r="AV36" s="225">
        <v>2318602</v>
      </c>
      <c r="AX36" s="136">
        <f>'2024 Legal Max'!AS37</f>
        <v>406.8</v>
      </c>
      <c r="AY36" s="136">
        <f t="shared" si="10"/>
        <v>21.4</v>
      </c>
      <c r="AZ36" s="139">
        <v>167290</v>
      </c>
      <c r="BB36" s="164">
        <v>0</v>
      </c>
      <c r="BC36" s="164">
        <v>0</v>
      </c>
    </row>
    <row r="37" spans="1:55">
      <c r="A37" s="216" t="s">
        <v>223</v>
      </c>
      <c r="B37" s="217"/>
      <c r="C37" s="218">
        <v>366.7</v>
      </c>
      <c r="E37" s="218"/>
      <c r="F37" s="218">
        <v>0</v>
      </c>
      <c r="G37" s="219"/>
      <c r="H37" s="218"/>
      <c r="I37" s="218"/>
      <c r="J37" s="136"/>
      <c r="K37" s="139">
        <v>503</v>
      </c>
      <c r="L37" s="136">
        <v>0</v>
      </c>
      <c r="M37" s="217">
        <v>0</v>
      </c>
      <c r="N37" s="136">
        <v>15.5</v>
      </c>
      <c r="O37" s="136">
        <v>0</v>
      </c>
      <c r="P37" s="218">
        <v>140.9</v>
      </c>
      <c r="Q37" s="136">
        <v>0</v>
      </c>
      <c r="R37" s="136">
        <v>42.5</v>
      </c>
      <c r="S37" s="136">
        <v>0</v>
      </c>
      <c r="T37" s="139">
        <v>26</v>
      </c>
      <c r="U37" s="217">
        <v>0</v>
      </c>
      <c r="V37" s="217">
        <v>109</v>
      </c>
      <c r="W37" s="217">
        <v>0</v>
      </c>
      <c r="X37" s="218">
        <v>0</v>
      </c>
      <c r="Y37" s="220">
        <v>122.3</v>
      </c>
      <c r="Z37" s="164">
        <v>0</v>
      </c>
      <c r="AA37" s="221">
        <v>0</v>
      </c>
      <c r="AB37" s="221">
        <v>0</v>
      </c>
      <c r="AC37" s="222">
        <v>0</v>
      </c>
      <c r="AD37" s="223">
        <v>0</v>
      </c>
      <c r="AE37" s="136"/>
      <c r="AF37" s="136">
        <v>0</v>
      </c>
      <c r="AG37" s="224">
        <v>0</v>
      </c>
      <c r="AH37" s="136">
        <v>648.1</v>
      </c>
      <c r="AI37" s="136"/>
      <c r="AJ37" s="136"/>
      <c r="AK37" s="136">
        <f t="shared" si="6"/>
        <v>366.7</v>
      </c>
      <c r="AL37" s="136">
        <f t="shared" si="0"/>
        <v>15.5</v>
      </c>
      <c r="AM37" s="136">
        <f t="shared" si="1"/>
        <v>42.5</v>
      </c>
      <c r="AN37" s="136">
        <f t="shared" si="2"/>
        <v>26</v>
      </c>
      <c r="AO37" s="136">
        <f t="shared" si="3"/>
        <v>140.9</v>
      </c>
      <c r="AP37" s="139">
        <f t="shared" si="4"/>
        <v>109</v>
      </c>
      <c r="AQ37" s="136">
        <f t="shared" si="7"/>
        <v>0</v>
      </c>
      <c r="AR37" s="136">
        <f t="shared" si="5"/>
        <v>122.3</v>
      </c>
      <c r="AS37" s="139">
        <f t="shared" si="8"/>
        <v>503</v>
      </c>
      <c r="AT37" s="136"/>
      <c r="AU37" s="136">
        <f t="shared" si="9"/>
        <v>0</v>
      </c>
      <c r="AV37" s="225">
        <v>3807350</v>
      </c>
      <c r="AX37" s="136">
        <f>'2024 Legal Max'!AS38</f>
        <v>649.4</v>
      </c>
      <c r="AY37" s="136">
        <f t="shared" si="10"/>
        <v>1.3</v>
      </c>
      <c r="AZ37" s="139">
        <v>263422</v>
      </c>
      <c r="BB37" s="164">
        <v>0</v>
      </c>
      <c r="BC37" s="164">
        <v>15.5</v>
      </c>
    </row>
    <row r="38" spans="1:55">
      <c r="A38" s="216" t="s">
        <v>224</v>
      </c>
      <c r="B38" s="217"/>
      <c r="C38" s="218">
        <v>293.10000000000002</v>
      </c>
      <c r="E38" s="218"/>
      <c r="F38" s="218">
        <v>0</v>
      </c>
      <c r="G38" s="219"/>
      <c r="H38" s="218"/>
      <c r="I38" s="218"/>
      <c r="J38" s="136"/>
      <c r="K38" s="139">
        <v>302</v>
      </c>
      <c r="L38" s="136">
        <v>0</v>
      </c>
      <c r="M38" s="217">
        <v>0</v>
      </c>
      <c r="N38" s="136">
        <v>3</v>
      </c>
      <c r="O38" s="136">
        <v>0</v>
      </c>
      <c r="P38" s="218">
        <v>144.69999999999999</v>
      </c>
      <c r="Q38" s="136">
        <v>0</v>
      </c>
      <c r="R38" s="136">
        <v>4.5</v>
      </c>
      <c r="S38" s="136">
        <v>0</v>
      </c>
      <c r="T38" s="139">
        <v>5</v>
      </c>
      <c r="U38" s="217">
        <v>0</v>
      </c>
      <c r="V38" s="217">
        <v>86</v>
      </c>
      <c r="W38" s="217">
        <v>0</v>
      </c>
      <c r="X38" s="218">
        <v>0</v>
      </c>
      <c r="Y38" s="220">
        <v>164</v>
      </c>
      <c r="Z38" s="164">
        <v>0</v>
      </c>
      <c r="AA38" s="221">
        <v>0</v>
      </c>
      <c r="AB38" s="221">
        <v>0</v>
      </c>
      <c r="AC38" s="222">
        <v>0</v>
      </c>
      <c r="AD38" s="223">
        <v>0</v>
      </c>
      <c r="AE38" s="136"/>
      <c r="AF38" s="136">
        <v>0</v>
      </c>
      <c r="AG38" s="224">
        <v>0</v>
      </c>
      <c r="AH38" s="136">
        <v>537.1</v>
      </c>
      <c r="AI38" s="136"/>
      <c r="AJ38" s="136"/>
      <c r="AK38" s="136">
        <f t="shared" si="6"/>
        <v>293.10000000000002</v>
      </c>
      <c r="AL38" s="136">
        <f t="shared" si="0"/>
        <v>3</v>
      </c>
      <c r="AM38" s="136">
        <f t="shared" si="1"/>
        <v>4.5</v>
      </c>
      <c r="AN38" s="136">
        <f t="shared" si="2"/>
        <v>5</v>
      </c>
      <c r="AO38" s="136">
        <f t="shared" si="3"/>
        <v>144.69999999999999</v>
      </c>
      <c r="AP38" s="139">
        <f t="shared" si="4"/>
        <v>86</v>
      </c>
      <c r="AQ38" s="136">
        <f t="shared" si="7"/>
        <v>0</v>
      </c>
      <c r="AR38" s="136">
        <f t="shared" si="5"/>
        <v>164</v>
      </c>
      <c r="AS38" s="139">
        <f t="shared" si="8"/>
        <v>302</v>
      </c>
      <c r="AT38" s="136"/>
      <c r="AU38" s="136">
        <f t="shared" si="9"/>
        <v>0</v>
      </c>
      <c r="AV38" s="225">
        <v>2995814</v>
      </c>
      <c r="AX38" s="136">
        <f>'2024 Legal Max'!AS39</f>
        <v>536.79999999999995</v>
      </c>
      <c r="AY38" s="136">
        <f t="shared" si="10"/>
        <v>-0.3</v>
      </c>
      <c r="AZ38" s="139">
        <v>260483</v>
      </c>
      <c r="BB38" s="164">
        <v>0</v>
      </c>
      <c r="BC38" s="164">
        <v>3</v>
      </c>
    </row>
    <row r="39" spans="1:55">
      <c r="A39" s="216" t="s">
        <v>225</v>
      </c>
      <c r="B39" s="217"/>
      <c r="C39" s="218">
        <v>69</v>
      </c>
      <c r="E39" s="218"/>
      <c r="F39" s="218">
        <v>0</v>
      </c>
      <c r="G39" s="219"/>
      <c r="H39" s="218"/>
      <c r="I39" s="218"/>
      <c r="J39" s="136"/>
      <c r="K39" s="139">
        <v>72</v>
      </c>
      <c r="L39" s="136">
        <v>0</v>
      </c>
      <c r="M39" s="217">
        <v>0</v>
      </c>
      <c r="N39" s="136">
        <v>1.5</v>
      </c>
      <c r="O39" s="136">
        <v>0</v>
      </c>
      <c r="P39" s="218">
        <v>8.3000000000000007</v>
      </c>
      <c r="Q39" s="136">
        <v>0</v>
      </c>
      <c r="R39" s="136">
        <v>14.8</v>
      </c>
      <c r="S39" s="136">
        <v>0</v>
      </c>
      <c r="T39" s="139">
        <v>5</v>
      </c>
      <c r="U39" s="217">
        <v>0</v>
      </c>
      <c r="V39" s="217">
        <v>36</v>
      </c>
      <c r="W39" s="217">
        <v>0</v>
      </c>
      <c r="X39" s="218">
        <v>0</v>
      </c>
      <c r="Y39" s="220">
        <v>28</v>
      </c>
      <c r="Z39" s="164">
        <v>0</v>
      </c>
      <c r="AA39" s="221">
        <v>0</v>
      </c>
      <c r="AB39" s="221">
        <v>0</v>
      </c>
      <c r="AC39" s="222">
        <v>0</v>
      </c>
      <c r="AD39" s="223">
        <v>0</v>
      </c>
      <c r="AE39" s="136"/>
      <c r="AF39" s="136">
        <v>3.8</v>
      </c>
      <c r="AG39" s="224">
        <v>3</v>
      </c>
      <c r="AH39" s="136">
        <v>229</v>
      </c>
      <c r="AI39" s="136"/>
      <c r="AJ39" s="136"/>
      <c r="AK39" s="136">
        <f t="shared" si="6"/>
        <v>69</v>
      </c>
      <c r="AL39" s="136">
        <f t="shared" si="0"/>
        <v>1.5</v>
      </c>
      <c r="AM39" s="136">
        <f t="shared" si="1"/>
        <v>14.8</v>
      </c>
      <c r="AN39" s="136">
        <f t="shared" si="2"/>
        <v>5</v>
      </c>
      <c r="AO39" s="136">
        <f t="shared" si="3"/>
        <v>8.3000000000000007</v>
      </c>
      <c r="AP39" s="139">
        <f t="shared" si="4"/>
        <v>36</v>
      </c>
      <c r="AQ39" s="136">
        <f t="shared" si="7"/>
        <v>0</v>
      </c>
      <c r="AR39" s="136">
        <f t="shared" si="5"/>
        <v>28</v>
      </c>
      <c r="AS39" s="139">
        <f t="shared" si="8"/>
        <v>72</v>
      </c>
      <c r="AT39" s="136"/>
      <c r="AU39" s="136">
        <f t="shared" si="9"/>
        <v>3.8</v>
      </c>
      <c r="AV39" s="225">
        <v>1255210</v>
      </c>
      <c r="AX39" s="136">
        <f>'2024 Legal Max'!AS40</f>
        <v>217.7</v>
      </c>
      <c r="AY39" s="136">
        <f t="shared" si="10"/>
        <v>-11.3</v>
      </c>
      <c r="AZ39" s="139">
        <v>51205</v>
      </c>
      <c r="BB39" s="164">
        <v>0</v>
      </c>
      <c r="BC39" s="164">
        <v>1.5</v>
      </c>
    </row>
    <row r="40" spans="1:55">
      <c r="A40" s="216" t="s">
        <v>226</v>
      </c>
      <c r="B40" s="217"/>
      <c r="C40" s="218">
        <v>330.9</v>
      </c>
      <c r="E40" s="218"/>
      <c r="F40" s="218">
        <v>0</v>
      </c>
      <c r="G40" s="219"/>
      <c r="H40" s="218"/>
      <c r="I40" s="218"/>
      <c r="J40" s="136"/>
      <c r="K40" s="139">
        <v>355</v>
      </c>
      <c r="L40" s="136">
        <v>0</v>
      </c>
      <c r="M40" s="217">
        <v>0</v>
      </c>
      <c r="N40" s="136">
        <v>10</v>
      </c>
      <c r="O40" s="136">
        <v>0</v>
      </c>
      <c r="P40" s="218">
        <v>51.6</v>
      </c>
      <c r="Q40" s="136">
        <v>0</v>
      </c>
      <c r="R40" s="136">
        <v>14.7</v>
      </c>
      <c r="S40" s="136">
        <v>0</v>
      </c>
      <c r="T40" s="139">
        <v>5</v>
      </c>
      <c r="U40" s="217">
        <v>0</v>
      </c>
      <c r="V40" s="217">
        <v>125</v>
      </c>
      <c r="W40" s="217">
        <v>0</v>
      </c>
      <c r="X40" s="218">
        <v>0</v>
      </c>
      <c r="Y40" s="220">
        <v>50</v>
      </c>
      <c r="Z40" s="164">
        <v>0</v>
      </c>
      <c r="AA40" s="221">
        <v>0</v>
      </c>
      <c r="AB40" s="221">
        <v>0</v>
      </c>
      <c r="AC40" s="222">
        <v>0</v>
      </c>
      <c r="AD40" s="223">
        <v>0</v>
      </c>
      <c r="AE40" s="136"/>
      <c r="AF40" s="136">
        <v>0.2</v>
      </c>
      <c r="AG40" s="224">
        <v>2.2000000000000002</v>
      </c>
      <c r="AH40" s="136">
        <v>626.20000000000005</v>
      </c>
      <c r="AI40" s="136"/>
      <c r="AJ40" s="136"/>
      <c r="AK40" s="136">
        <f t="shared" si="6"/>
        <v>330.9</v>
      </c>
      <c r="AL40" s="136">
        <f t="shared" si="0"/>
        <v>10</v>
      </c>
      <c r="AM40" s="136">
        <f t="shared" si="1"/>
        <v>14.7</v>
      </c>
      <c r="AN40" s="136">
        <f t="shared" si="2"/>
        <v>5</v>
      </c>
      <c r="AO40" s="136">
        <f t="shared" si="3"/>
        <v>51.6</v>
      </c>
      <c r="AP40" s="139">
        <f t="shared" si="4"/>
        <v>125</v>
      </c>
      <c r="AQ40" s="136">
        <f t="shared" si="7"/>
        <v>0</v>
      </c>
      <c r="AR40" s="136">
        <f t="shared" si="5"/>
        <v>50</v>
      </c>
      <c r="AS40" s="139">
        <f t="shared" si="8"/>
        <v>355</v>
      </c>
      <c r="AT40" s="136"/>
      <c r="AU40" s="136">
        <f t="shared" si="9"/>
        <v>2.2000000000000002</v>
      </c>
      <c r="AV40" s="225">
        <v>3607392</v>
      </c>
      <c r="AX40" s="136">
        <f>'2024 Legal Max'!AS41</f>
        <v>623.20000000000005</v>
      </c>
      <c r="AY40" s="136">
        <f t="shared" si="10"/>
        <v>-3</v>
      </c>
      <c r="AZ40" s="139">
        <v>120167</v>
      </c>
      <c r="BB40" s="164">
        <v>0</v>
      </c>
      <c r="BC40" s="164">
        <v>10</v>
      </c>
    </row>
    <row r="41" spans="1:55">
      <c r="A41" s="216" t="s">
        <v>227</v>
      </c>
      <c r="B41" s="217"/>
      <c r="C41" s="218">
        <v>268</v>
      </c>
      <c r="E41" s="218"/>
      <c r="F41" s="218">
        <v>0</v>
      </c>
      <c r="G41" s="219"/>
      <c r="H41" s="218"/>
      <c r="I41" s="218"/>
      <c r="J41" s="136"/>
      <c r="K41" s="139">
        <v>273</v>
      </c>
      <c r="L41" s="136">
        <v>0</v>
      </c>
      <c r="M41" s="217">
        <v>0</v>
      </c>
      <c r="N41" s="136">
        <v>0</v>
      </c>
      <c r="O41" s="136">
        <v>0</v>
      </c>
      <c r="P41" s="218">
        <v>29.6</v>
      </c>
      <c r="Q41" s="136">
        <v>0</v>
      </c>
      <c r="R41" s="136">
        <v>1.3</v>
      </c>
      <c r="S41" s="136">
        <v>0</v>
      </c>
      <c r="T41" s="139">
        <v>3</v>
      </c>
      <c r="U41" s="217">
        <v>0</v>
      </c>
      <c r="V41" s="217">
        <v>74</v>
      </c>
      <c r="W41" s="217">
        <v>0</v>
      </c>
      <c r="X41" s="218">
        <v>0</v>
      </c>
      <c r="Y41" s="220">
        <v>138.5</v>
      </c>
      <c r="Z41" s="164">
        <v>0</v>
      </c>
      <c r="AA41" s="221">
        <v>0</v>
      </c>
      <c r="AB41" s="221">
        <v>0</v>
      </c>
      <c r="AC41" s="222">
        <v>0</v>
      </c>
      <c r="AD41" s="223">
        <v>0</v>
      </c>
      <c r="AE41" s="136"/>
      <c r="AF41" s="136">
        <v>0</v>
      </c>
      <c r="AG41" s="224">
        <v>0</v>
      </c>
      <c r="AH41" s="136">
        <v>518.70000000000005</v>
      </c>
      <c r="AI41" s="136"/>
      <c r="AJ41" s="136"/>
      <c r="AK41" s="136">
        <f t="shared" si="6"/>
        <v>268</v>
      </c>
      <c r="AL41" s="136">
        <f t="shared" si="0"/>
        <v>0</v>
      </c>
      <c r="AM41" s="136">
        <f t="shared" si="1"/>
        <v>1.3</v>
      </c>
      <c r="AN41" s="136">
        <f t="shared" si="2"/>
        <v>3</v>
      </c>
      <c r="AO41" s="136">
        <f t="shared" si="3"/>
        <v>29.6</v>
      </c>
      <c r="AP41" s="139">
        <f t="shared" si="4"/>
        <v>74</v>
      </c>
      <c r="AQ41" s="136">
        <f t="shared" si="7"/>
        <v>0</v>
      </c>
      <c r="AR41" s="136">
        <f t="shared" si="5"/>
        <v>138.5</v>
      </c>
      <c r="AS41" s="139">
        <f t="shared" si="8"/>
        <v>273</v>
      </c>
      <c r="AT41" s="136"/>
      <c r="AU41" s="136">
        <f t="shared" si="9"/>
        <v>0</v>
      </c>
      <c r="AV41" s="225">
        <v>3004464</v>
      </c>
      <c r="AX41" s="136">
        <f>'2024 Legal Max'!AS42</f>
        <v>517.4</v>
      </c>
      <c r="AY41" s="136">
        <f t="shared" si="10"/>
        <v>-1.3</v>
      </c>
      <c r="AZ41" s="139">
        <v>201343</v>
      </c>
      <c r="BB41" s="164">
        <v>0</v>
      </c>
      <c r="BC41" s="164">
        <v>0</v>
      </c>
    </row>
    <row r="42" spans="1:55">
      <c r="A42" s="216" t="s">
        <v>228</v>
      </c>
      <c r="B42" s="217"/>
      <c r="C42" s="218">
        <v>21879.9</v>
      </c>
      <c r="E42" s="218"/>
      <c r="F42" s="218">
        <v>0</v>
      </c>
      <c r="G42" s="219"/>
      <c r="H42" s="218"/>
      <c r="I42" s="218"/>
      <c r="J42" s="136"/>
      <c r="K42" s="139">
        <v>22164</v>
      </c>
      <c r="L42" s="136">
        <v>0</v>
      </c>
      <c r="M42" s="217">
        <v>0</v>
      </c>
      <c r="N42" s="136">
        <v>0</v>
      </c>
      <c r="O42" s="136">
        <v>0</v>
      </c>
      <c r="P42" s="218">
        <v>5220.8999999999996</v>
      </c>
      <c r="Q42" s="136">
        <v>0</v>
      </c>
      <c r="R42" s="136">
        <v>936.5</v>
      </c>
      <c r="S42" s="136">
        <v>0</v>
      </c>
      <c r="T42" s="139">
        <v>685</v>
      </c>
      <c r="U42" s="217">
        <v>0</v>
      </c>
      <c r="V42" s="217">
        <v>1994</v>
      </c>
      <c r="W42" s="217">
        <v>0</v>
      </c>
      <c r="X42" s="218">
        <v>0</v>
      </c>
      <c r="Y42" s="220">
        <v>3946</v>
      </c>
      <c r="Z42" s="164">
        <v>0</v>
      </c>
      <c r="AA42" s="221">
        <v>20</v>
      </c>
      <c r="AB42" s="221">
        <v>47</v>
      </c>
      <c r="AC42" s="222">
        <v>0</v>
      </c>
      <c r="AD42" s="223">
        <v>0</v>
      </c>
      <c r="AE42" s="136"/>
      <c r="AF42" s="136">
        <v>0</v>
      </c>
      <c r="AG42" s="224">
        <v>0</v>
      </c>
      <c r="AH42" s="136">
        <v>27665.200000000001</v>
      </c>
      <c r="AI42" s="136"/>
      <c r="AJ42" s="136"/>
      <c r="AK42" s="136">
        <f t="shared" si="6"/>
        <v>21879.9</v>
      </c>
      <c r="AL42" s="136">
        <f t="shared" si="0"/>
        <v>0</v>
      </c>
      <c r="AM42" s="136">
        <f t="shared" si="1"/>
        <v>936.5</v>
      </c>
      <c r="AN42" s="136">
        <f t="shared" si="2"/>
        <v>685</v>
      </c>
      <c r="AO42" s="136">
        <f t="shared" si="3"/>
        <v>5220.8999999999996</v>
      </c>
      <c r="AP42" s="139">
        <f t="shared" si="4"/>
        <v>1994</v>
      </c>
      <c r="AQ42" s="136">
        <f t="shared" si="7"/>
        <v>0</v>
      </c>
      <c r="AR42" s="136">
        <f t="shared" si="5"/>
        <v>3946</v>
      </c>
      <c r="AS42" s="139">
        <f t="shared" si="8"/>
        <v>22164</v>
      </c>
      <c r="AT42" s="136"/>
      <c r="AU42" s="136">
        <f t="shared" si="9"/>
        <v>0</v>
      </c>
      <c r="AV42" s="225">
        <v>168849606</v>
      </c>
      <c r="AX42" s="136">
        <f>'2024 Legal Max'!AS43</f>
        <v>27637.599999999999</v>
      </c>
      <c r="AY42" s="136">
        <f t="shared" si="10"/>
        <v>-27.6</v>
      </c>
      <c r="AZ42" s="139">
        <v>2812059</v>
      </c>
      <c r="BA42" s="129" t="s">
        <v>3554</v>
      </c>
      <c r="BB42" s="164">
        <v>0</v>
      </c>
      <c r="BC42" s="164">
        <v>0</v>
      </c>
    </row>
    <row r="43" spans="1:55">
      <c r="A43" s="216" t="s">
        <v>229</v>
      </c>
      <c r="B43" s="217"/>
      <c r="C43" s="218">
        <v>3841.4</v>
      </c>
      <c r="E43" s="218"/>
      <c r="F43" s="218">
        <v>0</v>
      </c>
      <c r="G43" s="219"/>
      <c r="H43" s="218"/>
      <c r="I43" s="218"/>
      <c r="J43" s="136"/>
      <c r="K43" s="139">
        <v>3904</v>
      </c>
      <c r="L43" s="136">
        <v>0</v>
      </c>
      <c r="M43" s="217">
        <v>0</v>
      </c>
      <c r="N43" s="136">
        <v>18.5</v>
      </c>
      <c r="O43" s="136">
        <v>0</v>
      </c>
      <c r="P43" s="218">
        <v>846.3</v>
      </c>
      <c r="Q43" s="136">
        <v>0</v>
      </c>
      <c r="R43" s="136">
        <v>34.5</v>
      </c>
      <c r="S43" s="136">
        <v>0</v>
      </c>
      <c r="T43" s="139">
        <v>72</v>
      </c>
      <c r="U43" s="217">
        <v>0</v>
      </c>
      <c r="V43" s="217">
        <v>542</v>
      </c>
      <c r="W43" s="217">
        <v>0</v>
      </c>
      <c r="X43" s="218">
        <v>0</v>
      </c>
      <c r="Y43" s="220">
        <v>1511</v>
      </c>
      <c r="Z43" s="164">
        <v>0</v>
      </c>
      <c r="AA43" s="221">
        <v>1643</v>
      </c>
      <c r="AB43" s="221">
        <v>2.1</v>
      </c>
      <c r="AC43" s="222">
        <v>200</v>
      </c>
      <c r="AD43" s="223">
        <v>0</v>
      </c>
      <c r="AE43" s="136"/>
      <c r="AF43" s="136">
        <v>0</v>
      </c>
      <c r="AG43" s="224">
        <v>0</v>
      </c>
      <c r="AH43" s="136">
        <v>5058.3</v>
      </c>
      <c r="AI43" s="136"/>
      <c r="AJ43" s="136"/>
      <c r="AK43" s="136">
        <f t="shared" si="6"/>
        <v>3841.4</v>
      </c>
      <c r="AL43" s="136">
        <f t="shared" si="0"/>
        <v>18.5</v>
      </c>
      <c r="AM43" s="136">
        <f t="shared" si="1"/>
        <v>34.5</v>
      </c>
      <c r="AN43" s="136">
        <f t="shared" si="2"/>
        <v>72</v>
      </c>
      <c r="AO43" s="136">
        <f t="shared" si="3"/>
        <v>846.3</v>
      </c>
      <c r="AP43" s="139">
        <f t="shared" si="4"/>
        <v>542</v>
      </c>
      <c r="AQ43" s="136">
        <f t="shared" si="7"/>
        <v>0</v>
      </c>
      <c r="AR43" s="136">
        <f t="shared" si="5"/>
        <v>1511</v>
      </c>
      <c r="AS43" s="139">
        <f t="shared" si="8"/>
        <v>3904</v>
      </c>
      <c r="AT43" s="136"/>
      <c r="AU43" s="136">
        <f t="shared" si="9"/>
        <v>0</v>
      </c>
      <c r="AV43" s="225">
        <v>41321190</v>
      </c>
      <c r="AX43" s="136">
        <f>'2024 Legal Max'!AS44</f>
        <v>5273.7</v>
      </c>
      <c r="AY43" s="136">
        <f t="shared" si="10"/>
        <v>215.4</v>
      </c>
      <c r="AZ43" s="139">
        <v>1907823</v>
      </c>
      <c r="BA43" s="129" t="s">
        <v>3555</v>
      </c>
      <c r="BB43" s="164">
        <v>0</v>
      </c>
      <c r="BC43" s="164">
        <v>18.5</v>
      </c>
    </row>
    <row r="44" spans="1:55">
      <c r="A44" s="216" t="s">
        <v>230</v>
      </c>
      <c r="B44" s="217"/>
      <c r="C44" s="218">
        <v>5678.4</v>
      </c>
      <c r="E44" s="218"/>
      <c r="F44" s="218">
        <v>0</v>
      </c>
      <c r="G44" s="219"/>
      <c r="H44" s="218"/>
      <c r="I44" s="218"/>
      <c r="J44" s="136"/>
      <c r="K44" s="139">
        <v>5782</v>
      </c>
      <c r="L44" s="136">
        <v>0</v>
      </c>
      <c r="M44" s="217">
        <v>0</v>
      </c>
      <c r="N44" s="136">
        <v>20.5</v>
      </c>
      <c r="O44" s="136">
        <v>0</v>
      </c>
      <c r="P44" s="218">
        <v>1330.4</v>
      </c>
      <c r="Q44" s="136">
        <v>0</v>
      </c>
      <c r="R44" s="136">
        <v>318.60000000000002</v>
      </c>
      <c r="S44" s="136">
        <v>0</v>
      </c>
      <c r="T44" s="139">
        <v>166</v>
      </c>
      <c r="U44" s="217">
        <v>0</v>
      </c>
      <c r="V44" s="217">
        <v>1901</v>
      </c>
      <c r="W44" s="217">
        <v>0</v>
      </c>
      <c r="X44" s="218">
        <v>0</v>
      </c>
      <c r="Y44" s="220">
        <v>1068</v>
      </c>
      <c r="Z44" s="164">
        <v>0</v>
      </c>
      <c r="AA44" s="221">
        <v>0</v>
      </c>
      <c r="AB44" s="221">
        <v>0</v>
      </c>
      <c r="AC44" s="222">
        <v>0</v>
      </c>
      <c r="AD44" s="223">
        <v>0</v>
      </c>
      <c r="AE44" s="136"/>
      <c r="AF44" s="136">
        <v>0</v>
      </c>
      <c r="AG44" s="224">
        <v>38</v>
      </c>
      <c r="AH44" s="136">
        <v>7578.8</v>
      </c>
      <c r="AI44" s="136"/>
      <c r="AJ44" s="136"/>
      <c r="AK44" s="136">
        <f t="shared" si="6"/>
        <v>5678.4</v>
      </c>
      <c r="AL44" s="136">
        <f t="shared" si="0"/>
        <v>20.5</v>
      </c>
      <c r="AM44" s="136">
        <f t="shared" si="1"/>
        <v>318.60000000000002</v>
      </c>
      <c r="AN44" s="136">
        <f t="shared" si="2"/>
        <v>166</v>
      </c>
      <c r="AO44" s="136">
        <f t="shared" si="3"/>
        <v>1330.4</v>
      </c>
      <c r="AP44" s="139">
        <f t="shared" si="4"/>
        <v>1901</v>
      </c>
      <c r="AQ44" s="136">
        <f t="shared" si="7"/>
        <v>0</v>
      </c>
      <c r="AR44" s="136">
        <f t="shared" si="5"/>
        <v>1068</v>
      </c>
      <c r="AS44" s="139">
        <f t="shared" si="8"/>
        <v>5782</v>
      </c>
      <c r="AT44" s="136"/>
      <c r="AU44" s="136">
        <f t="shared" si="9"/>
        <v>38</v>
      </c>
      <c r="AV44" s="225">
        <v>47846026</v>
      </c>
      <c r="AX44" s="136">
        <f>'2024 Legal Max'!AS45</f>
        <v>7558.3</v>
      </c>
      <c r="AY44" s="136">
        <f t="shared" si="10"/>
        <v>-20.5</v>
      </c>
      <c r="AZ44" s="139">
        <v>4630072</v>
      </c>
      <c r="BB44" s="164">
        <v>0</v>
      </c>
      <c r="BC44" s="164">
        <v>20.5</v>
      </c>
    </row>
    <row r="45" spans="1:55">
      <c r="A45" s="216" t="s">
        <v>231</v>
      </c>
      <c r="B45" s="217"/>
      <c r="C45" s="218">
        <v>7161.6</v>
      </c>
      <c r="E45" s="218"/>
      <c r="F45" s="218">
        <v>0</v>
      </c>
      <c r="G45" s="219"/>
      <c r="H45" s="218"/>
      <c r="I45" s="218"/>
      <c r="J45" s="136"/>
      <c r="K45" s="139">
        <v>7296</v>
      </c>
      <c r="L45" s="136">
        <v>0</v>
      </c>
      <c r="M45" s="217">
        <v>0</v>
      </c>
      <c r="N45" s="136">
        <v>32.299999999999997</v>
      </c>
      <c r="O45" s="136">
        <v>0</v>
      </c>
      <c r="P45" s="218">
        <v>2470</v>
      </c>
      <c r="Q45" s="136">
        <v>0</v>
      </c>
      <c r="R45" s="136">
        <v>981.7</v>
      </c>
      <c r="S45" s="136">
        <v>0</v>
      </c>
      <c r="T45" s="139">
        <v>248</v>
      </c>
      <c r="U45" s="217">
        <v>0</v>
      </c>
      <c r="V45" s="217">
        <v>929</v>
      </c>
      <c r="W45" s="217">
        <v>0</v>
      </c>
      <c r="X45" s="218">
        <v>0</v>
      </c>
      <c r="Y45" s="220">
        <v>1815</v>
      </c>
      <c r="Z45" s="164">
        <v>0</v>
      </c>
      <c r="AA45" s="221">
        <v>19</v>
      </c>
      <c r="AB45" s="221">
        <v>11</v>
      </c>
      <c r="AC45" s="222">
        <v>0</v>
      </c>
      <c r="AD45" s="223">
        <v>0</v>
      </c>
      <c r="AE45" s="218"/>
      <c r="AF45" s="136">
        <v>0</v>
      </c>
      <c r="AG45" s="224">
        <v>6</v>
      </c>
      <c r="AH45" s="136">
        <v>8986.7999999999993</v>
      </c>
      <c r="AI45" s="136"/>
      <c r="AJ45" s="136"/>
      <c r="AK45" s="136">
        <f t="shared" si="6"/>
        <v>7161.6</v>
      </c>
      <c r="AL45" s="136">
        <f t="shared" si="0"/>
        <v>32.299999999999997</v>
      </c>
      <c r="AM45" s="136">
        <f t="shared" si="1"/>
        <v>981.7</v>
      </c>
      <c r="AN45" s="136">
        <f t="shared" si="2"/>
        <v>248</v>
      </c>
      <c r="AO45" s="136">
        <f t="shared" si="3"/>
        <v>2470</v>
      </c>
      <c r="AP45" s="139">
        <f t="shared" si="4"/>
        <v>929</v>
      </c>
      <c r="AQ45" s="136">
        <f t="shared" si="7"/>
        <v>0</v>
      </c>
      <c r="AR45" s="136">
        <f t="shared" si="5"/>
        <v>1815</v>
      </c>
      <c r="AS45" s="139">
        <f t="shared" si="8"/>
        <v>7296</v>
      </c>
      <c r="AT45" s="136"/>
      <c r="AU45" s="136">
        <f t="shared" si="9"/>
        <v>6</v>
      </c>
      <c r="AV45" s="225">
        <v>54382611</v>
      </c>
      <c r="AX45" s="136">
        <f>'2024 Legal Max'!AS46</f>
        <v>9062.2000000000007</v>
      </c>
      <c r="AY45" s="136">
        <f t="shared" si="10"/>
        <v>75.400000000000006</v>
      </c>
      <c r="AZ45" s="139">
        <v>2105558</v>
      </c>
      <c r="BA45" s="129" t="s">
        <v>3554</v>
      </c>
      <c r="BB45" s="164">
        <v>0</v>
      </c>
      <c r="BC45" s="164">
        <v>32.299999999999997</v>
      </c>
    </row>
    <row r="46" spans="1:55">
      <c r="A46" s="216" t="s">
        <v>232</v>
      </c>
      <c r="B46" s="217"/>
      <c r="C46" s="218">
        <v>27755.3</v>
      </c>
      <c r="E46" s="218"/>
      <c r="F46" s="218">
        <v>0</v>
      </c>
      <c r="G46" s="219"/>
      <c r="H46" s="218"/>
      <c r="I46" s="218"/>
      <c r="J46" s="136"/>
      <c r="K46" s="139">
        <v>28174</v>
      </c>
      <c r="L46" s="136">
        <v>0</v>
      </c>
      <c r="M46" s="217">
        <v>0</v>
      </c>
      <c r="N46" s="136">
        <v>62.5</v>
      </c>
      <c r="O46" s="136">
        <v>0</v>
      </c>
      <c r="P46" s="218">
        <v>8518.2000000000007</v>
      </c>
      <c r="Q46" s="136">
        <v>0</v>
      </c>
      <c r="R46" s="136">
        <v>4585.8999999999996</v>
      </c>
      <c r="S46" s="136">
        <v>0</v>
      </c>
      <c r="T46" s="139">
        <v>2935</v>
      </c>
      <c r="U46" s="217">
        <v>0</v>
      </c>
      <c r="V46" s="217">
        <v>7160</v>
      </c>
      <c r="W46" s="217">
        <v>0</v>
      </c>
      <c r="X46" s="218">
        <v>0</v>
      </c>
      <c r="Y46" s="220">
        <v>4743.5</v>
      </c>
      <c r="Z46" s="164">
        <v>0</v>
      </c>
      <c r="AA46" s="221">
        <v>65</v>
      </c>
      <c r="AB46" s="221">
        <v>0</v>
      </c>
      <c r="AC46" s="222">
        <v>240</v>
      </c>
      <c r="AD46" s="223">
        <v>22</v>
      </c>
      <c r="AE46" s="136"/>
      <c r="AF46" s="136">
        <v>0</v>
      </c>
      <c r="AG46" s="224">
        <v>271.2</v>
      </c>
      <c r="AH46" s="136">
        <v>36784.400000000001</v>
      </c>
      <c r="AI46" s="136"/>
      <c r="AJ46" s="136"/>
      <c r="AK46" s="136">
        <f t="shared" si="6"/>
        <v>27755.3</v>
      </c>
      <c r="AL46" s="136">
        <f t="shared" si="0"/>
        <v>62.5</v>
      </c>
      <c r="AM46" s="136">
        <f t="shared" si="1"/>
        <v>4585.8999999999996</v>
      </c>
      <c r="AN46" s="136">
        <f t="shared" si="2"/>
        <v>2935</v>
      </c>
      <c r="AO46" s="136">
        <f t="shared" si="3"/>
        <v>8518.2000000000007</v>
      </c>
      <c r="AP46" s="139">
        <f t="shared" si="4"/>
        <v>7160</v>
      </c>
      <c r="AQ46" s="136">
        <f t="shared" si="7"/>
        <v>22</v>
      </c>
      <c r="AR46" s="136">
        <f t="shared" si="5"/>
        <v>4743.5</v>
      </c>
      <c r="AS46" s="139">
        <f t="shared" si="8"/>
        <v>28174</v>
      </c>
      <c r="AT46" s="136"/>
      <c r="AU46" s="136">
        <f t="shared" si="9"/>
        <v>271.2</v>
      </c>
      <c r="AV46" s="225">
        <v>238737750</v>
      </c>
      <c r="AX46" s="136">
        <f>'2024 Legal Max'!AS47</f>
        <v>38837</v>
      </c>
      <c r="AY46" s="136">
        <f t="shared" si="10"/>
        <v>2052.6</v>
      </c>
      <c r="AZ46" s="139">
        <v>6391425</v>
      </c>
      <c r="BA46" s="129" t="s">
        <v>3555</v>
      </c>
      <c r="BB46" s="164">
        <v>0</v>
      </c>
      <c r="BC46" s="164">
        <v>62.5</v>
      </c>
    </row>
    <row r="47" spans="1:55">
      <c r="A47" s="216" t="s">
        <v>233</v>
      </c>
      <c r="B47" s="217"/>
      <c r="C47" s="218">
        <v>1666.8</v>
      </c>
      <c r="E47" s="218"/>
      <c r="F47" s="218">
        <v>0</v>
      </c>
      <c r="G47" s="219"/>
      <c r="H47" s="218"/>
      <c r="I47" s="218"/>
      <c r="J47" s="136"/>
      <c r="K47" s="139">
        <v>1735</v>
      </c>
      <c r="L47" s="136">
        <v>0</v>
      </c>
      <c r="M47" s="217">
        <v>0</v>
      </c>
      <c r="N47" s="136">
        <v>22</v>
      </c>
      <c r="O47" s="136">
        <v>0</v>
      </c>
      <c r="P47" s="218">
        <v>562.4</v>
      </c>
      <c r="Q47" s="136">
        <v>0</v>
      </c>
      <c r="R47" s="136">
        <v>11.9</v>
      </c>
      <c r="S47" s="136">
        <v>0</v>
      </c>
      <c r="T47" s="139">
        <v>22</v>
      </c>
      <c r="U47" s="217">
        <v>0</v>
      </c>
      <c r="V47" s="217">
        <v>973</v>
      </c>
      <c r="W47" s="217">
        <v>0</v>
      </c>
      <c r="X47" s="218">
        <v>0</v>
      </c>
      <c r="Y47" s="220">
        <v>471</v>
      </c>
      <c r="Z47" s="164">
        <v>0</v>
      </c>
      <c r="AA47" s="221">
        <v>14</v>
      </c>
      <c r="AB47" s="221">
        <v>0.4</v>
      </c>
      <c r="AC47" s="222">
        <v>0</v>
      </c>
      <c r="AD47" s="223">
        <v>0</v>
      </c>
      <c r="AE47" s="136"/>
      <c r="AF47" s="136">
        <v>102.2</v>
      </c>
      <c r="AG47" s="224">
        <v>102.1</v>
      </c>
      <c r="AH47" s="136">
        <v>2556.9</v>
      </c>
      <c r="AI47" s="136"/>
      <c r="AJ47" s="136"/>
      <c r="AK47" s="136">
        <f t="shared" si="6"/>
        <v>1666.8</v>
      </c>
      <c r="AL47" s="136">
        <f t="shared" si="0"/>
        <v>22</v>
      </c>
      <c r="AM47" s="136">
        <f t="shared" si="1"/>
        <v>11.9</v>
      </c>
      <c r="AN47" s="136">
        <f t="shared" si="2"/>
        <v>22</v>
      </c>
      <c r="AO47" s="136">
        <f t="shared" si="3"/>
        <v>562.4</v>
      </c>
      <c r="AP47" s="139">
        <f t="shared" si="4"/>
        <v>973</v>
      </c>
      <c r="AQ47" s="136">
        <f t="shared" si="7"/>
        <v>0</v>
      </c>
      <c r="AR47" s="136">
        <f t="shared" si="5"/>
        <v>471</v>
      </c>
      <c r="AS47" s="139">
        <f t="shared" si="8"/>
        <v>1735</v>
      </c>
      <c r="AT47" s="136"/>
      <c r="AU47" s="136">
        <f t="shared" si="9"/>
        <v>102.2</v>
      </c>
      <c r="AV47" s="225">
        <v>15499324</v>
      </c>
      <c r="AX47" s="136">
        <f>'2024 Legal Max'!AS48</f>
        <v>2543.4</v>
      </c>
      <c r="AY47" s="136">
        <f t="shared" si="10"/>
        <v>-13.5</v>
      </c>
      <c r="AZ47" s="139">
        <v>1099354</v>
      </c>
      <c r="BB47" s="164">
        <v>0</v>
      </c>
      <c r="BC47" s="164">
        <v>22</v>
      </c>
    </row>
    <row r="48" spans="1:55">
      <c r="A48" s="216" t="s">
        <v>234</v>
      </c>
      <c r="B48" s="217"/>
      <c r="C48" s="218">
        <v>437</v>
      </c>
      <c r="E48" s="218"/>
      <c r="F48" s="218">
        <v>0</v>
      </c>
      <c r="G48" s="219"/>
      <c r="H48" s="218"/>
      <c r="I48" s="218"/>
      <c r="J48" s="136"/>
      <c r="K48" s="139">
        <v>450</v>
      </c>
      <c r="L48" s="136">
        <v>0</v>
      </c>
      <c r="M48" s="217">
        <v>0</v>
      </c>
      <c r="N48" s="136">
        <v>5</v>
      </c>
      <c r="O48" s="136">
        <v>0</v>
      </c>
      <c r="P48" s="218">
        <v>122.4</v>
      </c>
      <c r="Q48" s="136">
        <v>0</v>
      </c>
      <c r="R48" s="136">
        <v>0</v>
      </c>
      <c r="S48" s="136">
        <v>0</v>
      </c>
      <c r="T48" s="139">
        <v>0</v>
      </c>
      <c r="U48" s="217">
        <v>0</v>
      </c>
      <c r="V48" s="217">
        <v>268</v>
      </c>
      <c r="W48" s="217">
        <v>0</v>
      </c>
      <c r="X48" s="218">
        <v>0</v>
      </c>
      <c r="Y48" s="220">
        <v>258</v>
      </c>
      <c r="Z48" s="164">
        <v>0</v>
      </c>
      <c r="AA48" s="221">
        <v>3</v>
      </c>
      <c r="AB48" s="221">
        <v>0</v>
      </c>
      <c r="AC48" s="222">
        <v>0</v>
      </c>
      <c r="AD48" s="223">
        <v>0</v>
      </c>
      <c r="AE48" s="136"/>
      <c r="AF48" s="136">
        <v>28.1</v>
      </c>
      <c r="AG48" s="224">
        <v>28.1</v>
      </c>
      <c r="AH48" s="136">
        <v>885.1</v>
      </c>
      <c r="AI48" s="136"/>
      <c r="AJ48" s="136"/>
      <c r="AK48" s="136">
        <f t="shared" si="6"/>
        <v>437</v>
      </c>
      <c r="AL48" s="136">
        <f t="shared" si="0"/>
        <v>5</v>
      </c>
      <c r="AM48" s="136">
        <f t="shared" si="1"/>
        <v>0</v>
      </c>
      <c r="AN48" s="136">
        <f t="shared" si="2"/>
        <v>0</v>
      </c>
      <c r="AO48" s="136">
        <f t="shared" si="3"/>
        <v>122.4</v>
      </c>
      <c r="AP48" s="139">
        <f t="shared" si="4"/>
        <v>268</v>
      </c>
      <c r="AQ48" s="136">
        <f t="shared" si="7"/>
        <v>0</v>
      </c>
      <c r="AR48" s="136">
        <f t="shared" si="5"/>
        <v>258</v>
      </c>
      <c r="AS48" s="139">
        <f t="shared" si="8"/>
        <v>450</v>
      </c>
      <c r="AT48" s="136"/>
      <c r="AU48" s="136">
        <f t="shared" si="9"/>
        <v>28.1</v>
      </c>
      <c r="AV48" s="225">
        <v>5089989</v>
      </c>
      <c r="AX48" s="136">
        <f>'2024 Legal Max'!AS49</f>
        <v>878.7</v>
      </c>
      <c r="AY48" s="136">
        <f t="shared" si="10"/>
        <v>-6.4</v>
      </c>
      <c r="AZ48" s="139">
        <v>340907</v>
      </c>
      <c r="BB48" s="164">
        <v>0</v>
      </c>
      <c r="BC48" s="164">
        <v>5</v>
      </c>
    </row>
    <row r="49" spans="1:55">
      <c r="A49" s="216" t="s">
        <v>235</v>
      </c>
      <c r="B49" s="217"/>
      <c r="C49" s="218">
        <v>425.5</v>
      </c>
      <c r="E49" s="218"/>
      <c r="F49" s="218">
        <v>0</v>
      </c>
      <c r="G49" s="219"/>
      <c r="H49" s="218"/>
      <c r="I49" s="218"/>
      <c r="J49" s="136"/>
      <c r="K49" s="139">
        <v>450</v>
      </c>
      <c r="L49" s="136">
        <v>0</v>
      </c>
      <c r="M49" s="217">
        <v>0</v>
      </c>
      <c r="N49" s="136">
        <v>11</v>
      </c>
      <c r="O49" s="136">
        <v>0</v>
      </c>
      <c r="P49" s="218">
        <v>161.6</v>
      </c>
      <c r="Q49" s="136">
        <v>0</v>
      </c>
      <c r="R49" s="136">
        <v>8.1</v>
      </c>
      <c r="S49" s="136">
        <v>0</v>
      </c>
      <c r="T49" s="139">
        <v>4</v>
      </c>
      <c r="U49" s="217">
        <v>0</v>
      </c>
      <c r="V49" s="217">
        <v>176</v>
      </c>
      <c r="W49" s="217">
        <v>0</v>
      </c>
      <c r="X49" s="218">
        <v>0</v>
      </c>
      <c r="Y49" s="220">
        <v>132</v>
      </c>
      <c r="Z49" s="164">
        <v>0</v>
      </c>
      <c r="AA49" s="221">
        <v>0</v>
      </c>
      <c r="AB49" s="221">
        <v>0</v>
      </c>
      <c r="AC49" s="222">
        <v>0</v>
      </c>
      <c r="AD49" s="223">
        <v>0</v>
      </c>
      <c r="AE49" s="136"/>
      <c r="AF49" s="136">
        <v>5.0999999999999996</v>
      </c>
      <c r="AG49" s="224">
        <v>5.0999999999999996</v>
      </c>
      <c r="AH49" s="136">
        <v>781.4</v>
      </c>
      <c r="AI49" s="136"/>
      <c r="AJ49" s="136"/>
      <c r="AK49" s="136">
        <f t="shared" si="6"/>
        <v>425.5</v>
      </c>
      <c r="AL49" s="136">
        <f t="shared" si="0"/>
        <v>11</v>
      </c>
      <c r="AM49" s="136">
        <f t="shared" si="1"/>
        <v>8.1</v>
      </c>
      <c r="AN49" s="136">
        <f t="shared" si="2"/>
        <v>4</v>
      </c>
      <c r="AO49" s="136">
        <f t="shared" si="3"/>
        <v>161.6</v>
      </c>
      <c r="AP49" s="139">
        <f t="shared" si="4"/>
        <v>176</v>
      </c>
      <c r="AQ49" s="136">
        <f t="shared" si="7"/>
        <v>0</v>
      </c>
      <c r="AR49" s="136">
        <f t="shared" si="5"/>
        <v>132</v>
      </c>
      <c r="AS49" s="139">
        <f t="shared" si="8"/>
        <v>450</v>
      </c>
      <c r="AT49" s="136"/>
      <c r="AU49" s="136">
        <f t="shared" si="9"/>
        <v>5.0999999999999996</v>
      </c>
      <c r="AV49" s="225">
        <v>4680451</v>
      </c>
      <c r="AX49" s="136">
        <f>'2024 Legal Max'!AS50</f>
        <v>782.5</v>
      </c>
      <c r="AY49" s="136">
        <f t="shared" si="10"/>
        <v>1.1000000000000001</v>
      </c>
      <c r="AZ49" s="139">
        <v>231232</v>
      </c>
      <c r="BB49" s="164">
        <v>0</v>
      </c>
      <c r="BC49" s="164">
        <v>11</v>
      </c>
    </row>
    <row r="50" spans="1:55">
      <c r="A50" s="216" t="s">
        <v>236</v>
      </c>
      <c r="B50" s="217"/>
      <c r="C50" s="218">
        <v>617.1</v>
      </c>
      <c r="E50" s="218"/>
      <c r="F50" s="218">
        <v>0</v>
      </c>
      <c r="G50" s="219"/>
      <c r="H50" s="218"/>
      <c r="I50" s="218"/>
      <c r="J50" s="136"/>
      <c r="K50" s="139">
        <v>621</v>
      </c>
      <c r="L50" s="136">
        <v>0</v>
      </c>
      <c r="M50" s="217">
        <v>0</v>
      </c>
      <c r="N50" s="136">
        <v>0</v>
      </c>
      <c r="O50" s="136">
        <v>0</v>
      </c>
      <c r="P50" s="218">
        <v>118.8</v>
      </c>
      <c r="Q50" s="136">
        <v>0</v>
      </c>
      <c r="R50" s="136">
        <v>0</v>
      </c>
      <c r="S50" s="136">
        <v>0</v>
      </c>
      <c r="T50" s="139">
        <v>0</v>
      </c>
      <c r="U50" s="217">
        <v>0</v>
      </c>
      <c r="V50" s="217">
        <v>266</v>
      </c>
      <c r="W50" s="217">
        <v>0</v>
      </c>
      <c r="X50" s="218">
        <v>0</v>
      </c>
      <c r="Y50" s="220">
        <v>175</v>
      </c>
      <c r="Z50" s="164">
        <v>0</v>
      </c>
      <c r="AA50" s="221">
        <v>0</v>
      </c>
      <c r="AB50" s="221">
        <v>0</v>
      </c>
      <c r="AC50" s="222">
        <v>0</v>
      </c>
      <c r="AD50" s="223">
        <v>0</v>
      </c>
      <c r="AE50" s="136"/>
      <c r="AF50" s="136">
        <v>14.6</v>
      </c>
      <c r="AG50" s="224">
        <v>14.9</v>
      </c>
      <c r="AH50" s="136">
        <v>1069.5</v>
      </c>
      <c r="AI50" s="136"/>
      <c r="AJ50" s="136"/>
      <c r="AK50" s="136">
        <f t="shared" si="6"/>
        <v>617.1</v>
      </c>
      <c r="AL50" s="136">
        <f t="shared" si="0"/>
        <v>0</v>
      </c>
      <c r="AM50" s="136">
        <f t="shared" si="1"/>
        <v>0</v>
      </c>
      <c r="AN50" s="136">
        <f t="shared" si="2"/>
        <v>0</v>
      </c>
      <c r="AO50" s="136">
        <f t="shared" si="3"/>
        <v>118.8</v>
      </c>
      <c r="AP50" s="139">
        <f t="shared" si="4"/>
        <v>266</v>
      </c>
      <c r="AQ50" s="136">
        <f t="shared" si="7"/>
        <v>0</v>
      </c>
      <c r="AR50" s="136">
        <f t="shared" si="5"/>
        <v>175</v>
      </c>
      <c r="AS50" s="139">
        <f t="shared" si="8"/>
        <v>621</v>
      </c>
      <c r="AT50" s="136"/>
      <c r="AU50" s="136">
        <f t="shared" si="9"/>
        <v>14.9</v>
      </c>
      <c r="AV50" s="225">
        <v>6357456</v>
      </c>
      <c r="AX50" s="136">
        <f>'2024 Legal Max'!AS51</f>
        <v>1069.3</v>
      </c>
      <c r="AY50" s="136">
        <f t="shared" si="10"/>
        <v>-0.2</v>
      </c>
      <c r="AZ50" s="139">
        <v>229965</v>
      </c>
      <c r="BB50" s="164">
        <v>0</v>
      </c>
      <c r="BC50" s="164">
        <v>0</v>
      </c>
    </row>
    <row r="51" spans="1:55">
      <c r="A51" s="216" t="s">
        <v>237</v>
      </c>
      <c r="B51" s="217"/>
      <c r="C51" s="218">
        <v>567</v>
      </c>
      <c r="E51" s="218"/>
      <c r="F51" s="218">
        <v>0</v>
      </c>
      <c r="G51" s="219"/>
      <c r="H51" s="218"/>
      <c r="I51" s="218"/>
      <c r="J51" s="136"/>
      <c r="K51" s="139">
        <v>613</v>
      </c>
      <c r="L51" s="136">
        <v>0</v>
      </c>
      <c r="M51" s="217">
        <v>0</v>
      </c>
      <c r="N51" s="136">
        <v>21</v>
      </c>
      <c r="O51" s="136">
        <v>0</v>
      </c>
      <c r="P51" s="218">
        <v>215.6</v>
      </c>
      <c r="Q51" s="136">
        <v>0</v>
      </c>
      <c r="R51" s="136">
        <v>0</v>
      </c>
      <c r="S51" s="136">
        <v>0</v>
      </c>
      <c r="T51" s="139">
        <v>1</v>
      </c>
      <c r="U51" s="217">
        <v>0</v>
      </c>
      <c r="V51" s="217">
        <v>261</v>
      </c>
      <c r="W51" s="217">
        <v>0</v>
      </c>
      <c r="X51" s="218">
        <v>0</v>
      </c>
      <c r="Y51" s="220">
        <v>173</v>
      </c>
      <c r="Z51" s="164">
        <v>0</v>
      </c>
      <c r="AA51" s="221">
        <v>0</v>
      </c>
      <c r="AB51" s="221">
        <v>0</v>
      </c>
      <c r="AC51" s="222">
        <v>0</v>
      </c>
      <c r="AD51" s="223">
        <v>0</v>
      </c>
      <c r="AE51" s="136"/>
      <c r="AF51" s="136">
        <v>13.9</v>
      </c>
      <c r="AG51" s="224">
        <v>11.8</v>
      </c>
      <c r="AH51" s="136">
        <v>1019.9</v>
      </c>
      <c r="AI51" s="136"/>
      <c r="AJ51" s="136"/>
      <c r="AK51" s="136">
        <f t="shared" si="6"/>
        <v>567</v>
      </c>
      <c r="AL51" s="136">
        <f t="shared" si="0"/>
        <v>21</v>
      </c>
      <c r="AM51" s="136">
        <f t="shared" si="1"/>
        <v>0</v>
      </c>
      <c r="AN51" s="136">
        <f t="shared" si="2"/>
        <v>1</v>
      </c>
      <c r="AO51" s="136">
        <f t="shared" si="3"/>
        <v>215.6</v>
      </c>
      <c r="AP51" s="139">
        <f t="shared" si="4"/>
        <v>261</v>
      </c>
      <c r="AQ51" s="136">
        <f t="shared" si="7"/>
        <v>0</v>
      </c>
      <c r="AR51" s="136">
        <f t="shared" si="5"/>
        <v>173</v>
      </c>
      <c r="AS51" s="139">
        <f t="shared" si="8"/>
        <v>613</v>
      </c>
      <c r="AT51" s="136"/>
      <c r="AU51" s="136">
        <f t="shared" si="9"/>
        <v>13.9</v>
      </c>
      <c r="AV51" s="225">
        <v>5826269</v>
      </c>
      <c r="AX51" s="136">
        <f>'2024 Legal Max'!AS52</f>
        <v>1019.1</v>
      </c>
      <c r="AY51" s="136">
        <f t="shared" si="10"/>
        <v>-0.8</v>
      </c>
      <c r="AZ51" s="139">
        <v>455136</v>
      </c>
      <c r="BA51" s="129" t="s">
        <v>3684</v>
      </c>
      <c r="BB51" s="164">
        <v>0</v>
      </c>
      <c r="BC51" s="164">
        <v>21</v>
      </c>
    </row>
    <row r="52" spans="1:55">
      <c r="A52" s="216" t="s">
        <v>238</v>
      </c>
      <c r="B52" s="217"/>
      <c r="C52" s="218">
        <v>166.8</v>
      </c>
      <c r="E52" s="218"/>
      <c r="F52" s="218">
        <v>0</v>
      </c>
      <c r="G52" s="219"/>
      <c r="H52" s="218"/>
      <c r="I52" s="218"/>
      <c r="J52" s="136"/>
      <c r="K52" s="139">
        <v>172</v>
      </c>
      <c r="L52" s="136">
        <v>0</v>
      </c>
      <c r="M52" s="217">
        <v>0</v>
      </c>
      <c r="N52" s="136">
        <v>0</v>
      </c>
      <c r="O52" s="136">
        <v>0</v>
      </c>
      <c r="P52" s="218">
        <v>47.4</v>
      </c>
      <c r="Q52" s="136">
        <v>0</v>
      </c>
      <c r="R52" s="136">
        <v>0</v>
      </c>
      <c r="S52" s="136">
        <v>0</v>
      </c>
      <c r="T52" s="139">
        <v>4</v>
      </c>
      <c r="U52" s="217">
        <v>0</v>
      </c>
      <c r="V52" s="217">
        <v>55</v>
      </c>
      <c r="W52" s="217">
        <v>0</v>
      </c>
      <c r="X52" s="218">
        <v>0</v>
      </c>
      <c r="Y52" s="220">
        <v>58</v>
      </c>
      <c r="Z52" s="164">
        <v>0</v>
      </c>
      <c r="AA52" s="221">
        <v>0</v>
      </c>
      <c r="AB52" s="221">
        <v>0</v>
      </c>
      <c r="AC52" s="222">
        <v>0</v>
      </c>
      <c r="AD52" s="223">
        <v>0</v>
      </c>
      <c r="AE52" s="136"/>
      <c r="AF52" s="136">
        <v>0</v>
      </c>
      <c r="AG52" s="224">
        <v>0.6</v>
      </c>
      <c r="AH52" s="136">
        <v>382.5</v>
      </c>
      <c r="AI52" s="136"/>
      <c r="AJ52" s="136"/>
      <c r="AK52" s="136">
        <f t="shared" si="6"/>
        <v>166.8</v>
      </c>
      <c r="AL52" s="136">
        <f t="shared" si="0"/>
        <v>0</v>
      </c>
      <c r="AM52" s="136">
        <f t="shared" si="1"/>
        <v>0</v>
      </c>
      <c r="AN52" s="136">
        <f t="shared" si="2"/>
        <v>4</v>
      </c>
      <c r="AO52" s="136">
        <f t="shared" si="3"/>
        <v>47.4</v>
      </c>
      <c r="AP52" s="139">
        <f t="shared" si="4"/>
        <v>55</v>
      </c>
      <c r="AQ52" s="136">
        <f t="shared" si="7"/>
        <v>0</v>
      </c>
      <c r="AR52" s="136">
        <f t="shared" si="5"/>
        <v>58</v>
      </c>
      <c r="AS52" s="139">
        <f t="shared" si="8"/>
        <v>172</v>
      </c>
      <c r="AT52" s="136"/>
      <c r="AU52" s="136">
        <f t="shared" si="9"/>
        <v>0.6</v>
      </c>
      <c r="AV52" s="225">
        <v>2036218</v>
      </c>
      <c r="AX52" s="136">
        <f>'2024 Legal Max'!AS53</f>
        <v>378.7</v>
      </c>
      <c r="AY52" s="136">
        <f t="shared" si="10"/>
        <v>-3.8</v>
      </c>
      <c r="AZ52" s="139">
        <v>91381</v>
      </c>
      <c r="BB52" s="164">
        <v>0</v>
      </c>
      <c r="BC52" s="164">
        <v>0</v>
      </c>
    </row>
    <row r="53" spans="1:55">
      <c r="A53" s="216" t="s">
        <v>239</v>
      </c>
      <c r="B53" s="217"/>
      <c r="C53" s="218">
        <v>116.5</v>
      </c>
      <c r="E53" s="218"/>
      <c r="F53" s="218">
        <v>0</v>
      </c>
      <c r="G53" s="219"/>
      <c r="H53" s="218"/>
      <c r="I53" s="218"/>
      <c r="J53" s="136"/>
      <c r="K53" s="139">
        <v>125</v>
      </c>
      <c r="L53" s="136">
        <v>0</v>
      </c>
      <c r="M53" s="217">
        <v>0</v>
      </c>
      <c r="N53" s="136">
        <v>0</v>
      </c>
      <c r="O53" s="136">
        <v>0</v>
      </c>
      <c r="P53" s="218">
        <v>92.9</v>
      </c>
      <c r="Q53" s="136">
        <v>0</v>
      </c>
      <c r="R53" s="136">
        <v>20</v>
      </c>
      <c r="S53" s="136">
        <v>0</v>
      </c>
      <c r="T53" s="139">
        <v>8</v>
      </c>
      <c r="U53" s="217">
        <v>0</v>
      </c>
      <c r="V53" s="217">
        <v>31</v>
      </c>
      <c r="W53" s="217">
        <v>0</v>
      </c>
      <c r="X53" s="218">
        <v>0</v>
      </c>
      <c r="Y53" s="220">
        <v>38</v>
      </c>
      <c r="Z53" s="164">
        <v>0</v>
      </c>
      <c r="AA53" s="221">
        <v>0</v>
      </c>
      <c r="AB53" s="221">
        <v>0</v>
      </c>
      <c r="AC53" s="222">
        <v>0</v>
      </c>
      <c r="AD53" s="223">
        <v>0</v>
      </c>
      <c r="AE53" s="136"/>
      <c r="AF53" s="136">
        <v>0</v>
      </c>
      <c r="AG53" s="224">
        <v>0</v>
      </c>
      <c r="AH53" s="136">
        <v>247.5</v>
      </c>
      <c r="AI53" s="136"/>
      <c r="AJ53" s="136"/>
      <c r="AK53" s="136">
        <f t="shared" si="6"/>
        <v>116.5</v>
      </c>
      <c r="AL53" s="136">
        <f t="shared" si="0"/>
        <v>0</v>
      </c>
      <c r="AM53" s="136">
        <f t="shared" si="1"/>
        <v>20</v>
      </c>
      <c r="AN53" s="136">
        <f t="shared" si="2"/>
        <v>8</v>
      </c>
      <c r="AO53" s="136">
        <f t="shared" si="3"/>
        <v>92.9</v>
      </c>
      <c r="AP53" s="139">
        <f t="shared" si="4"/>
        <v>31</v>
      </c>
      <c r="AQ53" s="136">
        <f t="shared" si="7"/>
        <v>0</v>
      </c>
      <c r="AR53" s="136">
        <f t="shared" si="5"/>
        <v>38</v>
      </c>
      <c r="AS53" s="139">
        <f t="shared" si="8"/>
        <v>125</v>
      </c>
      <c r="AT53" s="136"/>
      <c r="AU53" s="136">
        <f t="shared" si="9"/>
        <v>0</v>
      </c>
      <c r="AV53" s="225">
        <v>1367654</v>
      </c>
      <c r="AX53" s="136">
        <f>'2024 Legal Max'!AS54</f>
        <v>239.3</v>
      </c>
      <c r="AY53" s="136">
        <f t="shared" si="10"/>
        <v>-8.1999999999999993</v>
      </c>
      <c r="AZ53" s="139">
        <v>39248</v>
      </c>
      <c r="BB53" s="164">
        <v>0</v>
      </c>
      <c r="BC53" s="164">
        <v>0</v>
      </c>
    </row>
    <row r="54" spans="1:55">
      <c r="A54" s="216" t="s">
        <v>240</v>
      </c>
      <c r="B54" s="217"/>
      <c r="C54" s="218">
        <v>435</v>
      </c>
      <c r="E54" s="218"/>
      <c r="F54" s="218">
        <v>0</v>
      </c>
      <c r="G54" s="219"/>
      <c r="H54" s="218"/>
      <c r="I54" s="218"/>
      <c r="J54" s="136"/>
      <c r="K54" s="139">
        <v>474</v>
      </c>
      <c r="L54" s="136">
        <v>0</v>
      </c>
      <c r="M54" s="217">
        <v>0</v>
      </c>
      <c r="N54" s="136">
        <v>10.5</v>
      </c>
      <c r="O54" s="136">
        <v>0</v>
      </c>
      <c r="P54" s="218">
        <v>127.8</v>
      </c>
      <c r="Q54" s="136">
        <v>0</v>
      </c>
      <c r="R54" s="136">
        <v>0</v>
      </c>
      <c r="S54" s="136">
        <v>0</v>
      </c>
      <c r="T54" s="139">
        <v>0</v>
      </c>
      <c r="U54" s="217">
        <v>0</v>
      </c>
      <c r="V54" s="217">
        <v>179</v>
      </c>
      <c r="W54" s="217">
        <v>0</v>
      </c>
      <c r="X54" s="218">
        <v>0</v>
      </c>
      <c r="Y54" s="220">
        <v>95</v>
      </c>
      <c r="Z54" s="164">
        <v>0</v>
      </c>
      <c r="AA54" s="221">
        <v>0</v>
      </c>
      <c r="AB54" s="221">
        <v>0</v>
      </c>
      <c r="AC54" s="222">
        <v>0</v>
      </c>
      <c r="AD54" s="223">
        <v>0</v>
      </c>
      <c r="AE54" s="136"/>
      <c r="AF54" s="136">
        <v>3.5</v>
      </c>
      <c r="AG54" s="224">
        <v>5.2</v>
      </c>
      <c r="AH54" s="136">
        <v>783.4</v>
      </c>
      <c r="AI54" s="136"/>
      <c r="AJ54" s="136"/>
      <c r="AK54" s="136">
        <f t="shared" si="6"/>
        <v>435</v>
      </c>
      <c r="AL54" s="136">
        <f t="shared" si="0"/>
        <v>10.5</v>
      </c>
      <c r="AM54" s="136">
        <f t="shared" si="1"/>
        <v>0</v>
      </c>
      <c r="AN54" s="136">
        <f t="shared" si="2"/>
        <v>0</v>
      </c>
      <c r="AO54" s="136">
        <f t="shared" si="3"/>
        <v>127.8</v>
      </c>
      <c r="AP54" s="139">
        <f t="shared" si="4"/>
        <v>179</v>
      </c>
      <c r="AQ54" s="136">
        <f t="shared" si="7"/>
        <v>0</v>
      </c>
      <c r="AR54" s="136">
        <f t="shared" si="5"/>
        <v>95</v>
      </c>
      <c r="AS54" s="139">
        <f t="shared" si="8"/>
        <v>474</v>
      </c>
      <c r="AT54" s="136"/>
      <c r="AU54" s="136">
        <f t="shared" si="9"/>
        <v>5.2</v>
      </c>
      <c r="AV54" s="225">
        <v>4668749</v>
      </c>
      <c r="AX54" s="136">
        <f>'2024 Legal Max'!AS55</f>
        <v>772.8</v>
      </c>
      <c r="AY54" s="136">
        <f t="shared" si="10"/>
        <v>-10.6</v>
      </c>
      <c r="AZ54" s="139">
        <v>354508</v>
      </c>
      <c r="BB54" s="164">
        <v>0</v>
      </c>
      <c r="BC54" s="164">
        <v>10.5</v>
      </c>
    </row>
    <row r="55" spans="1:55">
      <c r="A55" s="216" t="s">
        <v>241</v>
      </c>
      <c r="B55" s="217"/>
      <c r="C55" s="218">
        <v>779.5</v>
      </c>
      <c r="E55" s="218"/>
      <c r="F55" s="218">
        <v>0</v>
      </c>
      <c r="G55" s="219"/>
      <c r="H55" s="218"/>
      <c r="I55" s="218"/>
      <c r="J55" s="136"/>
      <c r="K55" s="139">
        <v>802</v>
      </c>
      <c r="L55" s="136">
        <v>0</v>
      </c>
      <c r="M55" s="217">
        <v>0</v>
      </c>
      <c r="N55" s="136">
        <v>8.5</v>
      </c>
      <c r="O55" s="136">
        <v>0</v>
      </c>
      <c r="P55" s="218">
        <v>278.89999999999998</v>
      </c>
      <c r="Q55" s="136">
        <v>0</v>
      </c>
      <c r="R55" s="136">
        <v>1.9</v>
      </c>
      <c r="S55" s="136">
        <v>0</v>
      </c>
      <c r="T55" s="139">
        <v>6</v>
      </c>
      <c r="U55" s="217">
        <v>0</v>
      </c>
      <c r="V55" s="217">
        <v>294</v>
      </c>
      <c r="W55" s="217">
        <v>0</v>
      </c>
      <c r="X55" s="218">
        <v>0</v>
      </c>
      <c r="Y55" s="220">
        <v>204</v>
      </c>
      <c r="Z55" s="164">
        <v>0</v>
      </c>
      <c r="AA55" s="221">
        <v>0</v>
      </c>
      <c r="AB55" s="221">
        <v>0</v>
      </c>
      <c r="AC55" s="222">
        <v>0</v>
      </c>
      <c r="AD55" s="223">
        <v>0</v>
      </c>
      <c r="AE55" s="136"/>
      <c r="AF55" s="136">
        <v>3.4</v>
      </c>
      <c r="AG55" s="224">
        <v>6.6</v>
      </c>
      <c r="AH55" s="136">
        <v>1269.8</v>
      </c>
      <c r="AI55" s="136"/>
      <c r="AJ55" s="136"/>
      <c r="AK55" s="136">
        <f t="shared" si="6"/>
        <v>779.5</v>
      </c>
      <c r="AL55" s="136">
        <f t="shared" si="0"/>
        <v>8.5</v>
      </c>
      <c r="AM55" s="136">
        <f t="shared" si="1"/>
        <v>1.9</v>
      </c>
      <c r="AN55" s="136">
        <f t="shared" si="2"/>
        <v>6</v>
      </c>
      <c r="AO55" s="136">
        <f t="shared" si="3"/>
        <v>278.89999999999998</v>
      </c>
      <c r="AP55" s="139">
        <f t="shared" si="4"/>
        <v>294</v>
      </c>
      <c r="AQ55" s="136">
        <f t="shared" si="7"/>
        <v>0</v>
      </c>
      <c r="AR55" s="136">
        <f t="shared" si="5"/>
        <v>204</v>
      </c>
      <c r="AS55" s="139">
        <f t="shared" si="8"/>
        <v>802</v>
      </c>
      <c r="AT55" s="136"/>
      <c r="AU55" s="136">
        <f t="shared" si="9"/>
        <v>6.6</v>
      </c>
      <c r="AV55" s="225">
        <v>7941859</v>
      </c>
      <c r="AX55" s="136">
        <f>'2024 Legal Max'!AS56</f>
        <v>1267.2</v>
      </c>
      <c r="AY55" s="136">
        <f t="shared" si="10"/>
        <v>-2.6</v>
      </c>
      <c r="AZ55" s="139">
        <v>258408</v>
      </c>
      <c r="BB55" s="164">
        <v>0</v>
      </c>
      <c r="BC55" s="164">
        <v>8.5</v>
      </c>
    </row>
    <row r="56" spans="1:55">
      <c r="A56" s="216" t="s">
        <v>242</v>
      </c>
      <c r="B56" s="217"/>
      <c r="C56" s="218">
        <v>149.5</v>
      </c>
      <c r="E56" s="218"/>
      <c r="F56" s="218">
        <v>0</v>
      </c>
      <c r="G56" s="219"/>
      <c r="H56" s="218"/>
      <c r="I56" s="218"/>
      <c r="J56" s="136"/>
      <c r="K56" s="139">
        <v>170</v>
      </c>
      <c r="L56" s="136">
        <v>0</v>
      </c>
      <c r="M56" s="217">
        <v>0</v>
      </c>
      <c r="N56" s="136">
        <v>9.5</v>
      </c>
      <c r="O56" s="136">
        <v>0</v>
      </c>
      <c r="P56" s="218">
        <v>53</v>
      </c>
      <c r="Q56" s="136">
        <v>0</v>
      </c>
      <c r="R56" s="136">
        <v>0</v>
      </c>
      <c r="S56" s="136">
        <v>0</v>
      </c>
      <c r="T56" s="139">
        <v>0</v>
      </c>
      <c r="U56" s="217">
        <v>0</v>
      </c>
      <c r="V56" s="217">
        <v>85</v>
      </c>
      <c r="W56" s="217">
        <v>0</v>
      </c>
      <c r="X56" s="218">
        <v>0</v>
      </c>
      <c r="Y56" s="220">
        <v>99</v>
      </c>
      <c r="Z56" s="164">
        <v>0</v>
      </c>
      <c r="AA56" s="221">
        <v>0</v>
      </c>
      <c r="AB56" s="221">
        <v>0</v>
      </c>
      <c r="AC56" s="222">
        <v>0</v>
      </c>
      <c r="AD56" s="223">
        <v>0</v>
      </c>
      <c r="AE56" s="136"/>
      <c r="AF56" s="136">
        <v>8.9</v>
      </c>
      <c r="AG56" s="224">
        <v>6.8</v>
      </c>
      <c r="AH56" s="136">
        <v>385.6</v>
      </c>
      <c r="AI56" s="136"/>
      <c r="AJ56" s="136"/>
      <c r="AK56" s="136">
        <f t="shared" si="6"/>
        <v>149.5</v>
      </c>
      <c r="AL56" s="136">
        <f t="shared" si="0"/>
        <v>9.5</v>
      </c>
      <c r="AM56" s="136">
        <f t="shared" si="1"/>
        <v>0</v>
      </c>
      <c r="AN56" s="136">
        <f t="shared" si="2"/>
        <v>0</v>
      </c>
      <c r="AO56" s="136">
        <f t="shared" si="3"/>
        <v>53</v>
      </c>
      <c r="AP56" s="139">
        <f t="shared" si="4"/>
        <v>85</v>
      </c>
      <c r="AQ56" s="136">
        <f t="shared" si="7"/>
        <v>0</v>
      </c>
      <c r="AR56" s="136">
        <f t="shared" si="5"/>
        <v>99</v>
      </c>
      <c r="AS56" s="139">
        <f t="shared" si="8"/>
        <v>170</v>
      </c>
      <c r="AT56" s="136"/>
      <c r="AU56" s="136">
        <f t="shared" si="9"/>
        <v>8.9</v>
      </c>
      <c r="AV56" s="225">
        <v>2183770</v>
      </c>
      <c r="AX56" s="136">
        <f>'2024 Legal Max'!AS57</f>
        <v>374.7</v>
      </c>
      <c r="AY56" s="136">
        <f t="shared" si="10"/>
        <v>-10.9</v>
      </c>
      <c r="AZ56" s="139">
        <v>278400</v>
      </c>
      <c r="BB56" s="164">
        <v>0</v>
      </c>
      <c r="BC56" s="164">
        <v>9.5</v>
      </c>
    </row>
    <row r="57" spans="1:55">
      <c r="A57" s="216" t="s">
        <v>243</v>
      </c>
      <c r="B57" s="217"/>
      <c r="C57" s="218">
        <v>437.3</v>
      </c>
      <c r="E57" s="218"/>
      <c r="F57" s="218">
        <v>0</v>
      </c>
      <c r="G57" s="219"/>
      <c r="H57" s="218"/>
      <c r="I57" s="218"/>
      <c r="J57" s="136"/>
      <c r="K57" s="139">
        <v>454</v>
      </c>
      <c r="L57" s="136">
        <v>0</v>
      </c>
      <c r="M57" s="217">
        <v>0</v>
      </c>
      <c r="N57" s="136">
        <v>6.5</v>
      </c>
      <c r="O57" s="136">
        <v>0</v>
      </c>
      <c r="P57" s="218">
        <v>135.9</v>
      </c>
      <c r="Q57" s="136">
        <v>0</v>
      </c>
      <c r="R57" s="136">
        <v>3.5</v>
      </c>
      <c r="S57" s="136">
        <v>0</v>
      </c>
      <c r="T57" s="139">
        <v>2</v>
      </c>
      <c r="U57" s="217">
        <v>0</v>
      </c>
      <c r="V57" s="217">
        <v>305</v>
      </c>
      <c r="W57" s="217">
        <v>0</v>
      </c>
      <c r="X57" s="218">
        <v>0</v>
      </c>
      <c r="Y57" s="220">
        <v>150</v>
      </c>
      <c r="Z57" s="164">
        <v>0</v>
      </c>
      <c r="AA57" s="221">
        <v>1</v>
      </c>
      <c r="AB57" s="221">
        <v>0</v>
      </c>
      <c r="AC57" s="222">
        <v>0</v>
      </c>
      <c r="AD57" s="223">
        <v>0</v>
      </c>
      <c r="AE57" s="136"/>
      <c r="AF57" s="136">
        <v>32</v>
      </c>
      <c r="AG57" s="224">
        <v>32</v>
      </c>
      <c r="AH57" s="136">
        <v>870.9</v>
      </c>
      <c r="AI57" s="136"/>
      <c r="AJ57" s="136"/>
      <c r="AK57" s="136">
        <f t="shared" si="6"/>
        <v>437.3</v>
      </c>
      <c r="AL57" s="136">
        <f t="shared" si="0"/>
        <v>6.5</v>
      </c>
      <c r="AM57" s="136">
        <f t="shared" si="1"/>
        <v>3.5</v>
      </c>
      <c r="AN57" s="136">
        <f t="shared" si="2"/>
        <v>2</v>
      </c>
      <c r="AO57" s="136">
        <f t="shared" si="3"/>
        <v>135.9</v>
      </c>
      <c r="AP57" s="139">
        <f t="shared" si="4"/>
        <v>305</v>
      </c>
      <c r="AQ57" s="136">
        <f t="shared" si="7"/>
        <v>0</v>
      </c>
      <c r="AR57" s="136">
        <f t="shared" si="5"/>
        <v>150</v>
      </c>
      <c r="AS57" s="139">
        <f t="shared" si="8"/>
        <v>454</v>
      </c>
      <c r="AT57" s="136"/>
      <c r="AU57" s="136">
        <f t="shared" si="9"/>
        <v>32</v>
      </c>
      <c r="AV57" s="225">
        <v>5108503</v>
      </c>
      <c r="AX57" s="136">
        <f>'2024 Legal Max'!AS58</f>
        <v>860.3</v>
      </c>
      <c r="AY57" s="136">
        <f t="shared" si="10"/>
        <v>-10.6</v>
      </c>
      <c r="AZ57" s="139">
        <v>129981</v>
      </c>
      <c r="BB57" s="164">
        <v>0</v>
      </c>
      <c r="BC57" s="164">
        <v>6.5</v>
      </c>
    </row>
    <row r="58" spans="1:55">
      <c r="A58" s="216" t="s">
        <v>244</v>
      </c>
      <c r="B58" s="217"/>
      <c r="C58" s="218">
        <v>436</v>
      </c>
      <c r="E58" s="218"/>
      <c r="F58" s="218">
        <v>0</v>
      </c>
      <c r="G58" s="219"/>
      <c r="H58" s="218"/>
      <c r="I58" s="218"/>
      <c r="J58" s="136"/>
      <c r="K58" s="139">
        <v>453</v>
      </c>
      <c r="L58" s="136">
        <v>0</v>
      </c>
      <c r="M58" s="217">
        <v>0</v>
      </c>
      <c r="N58" s="136">
        <v>7</v>
      </c>
      <c r="O58" s="136">
        <v>0</v>
      </c>
      <c r="P58" s="218">
        <v>243.1</v>
      </c>
      <c r="Q58" s="136">
        <v>0</v>
      </c>
      <c r="R58" s="136">
        <v>0</v>
      </c>
      <c r="S58" s="136">
        <v>0</v>
      </c>
      <c r="T58" s="139">
        <v>0</v>
      </c>
      <c r="U58" s="217">
        <v>0</v>
      </c>
      <c r="V58" s="217">
        <v>301</v>
      </c>
      <c r="W58" s="217">
        <v>0</v>
      </c>
      <c r="X58" s="218">
        <v>0</v>
      </c>
      <c r="Y58" s="220">
        <v>228</v>
      </c>
      <c r="Z58" s="164">
        <v>0</v>
      </c>
      <c r="AA58" s="221">
        <v>0</v>
      </c>
      <c r="AB58" s="221">
        <v>0</v>
      </c>
      <c r="AC58" s="222">
        <v>0</v>
      </c>
      <c r="AD58" s="223">
        <v>0</v>
      </c>
      <c r="AE58" s="136"/>
      <c r="AF58" s="136">
        <v>31.6</v>
      </c>
      <c r="AG58" s="224">
        <v>31.6</v>
      </c>
      <c r="AH58" s="136">
        <v>889.5</v>
      </c>
      <c r="AI58" s="136"/>
      <c r="AJ58" s="136"/>
      <c r="AK58" s="136">
        <f t="shared" si="6"/>
        <v>436</v>
      </c>
      <c r="AL58" s="136">
        <f t="shared" si="0"/>
        <v>7</v>
      </c>
      <c r="AM58" s="136">
        <f t="shared" si="1"/>
        <v>0</v>
      </c>
      <c r="AN58" s="136">
        <f t="shared" si="2"/>
        <v>0</v>
      </c>
      <c r="AO58" s="136">
        <f t="shared" si="3"/>
        <v>243.1</v>
      </c>
      <c r="AP58" s="139">
        <f t="shared" si="4"/>
        <v>301</v>
      </c>
      <c r="AQ58" s="136">
        <f t="shared" si="7"/>
        <v>0</v>
      </c>
      <c r="AR58" s="136">
        <f t="shared" si="5"/>
        <v>228</v>
      </c>
      <c r="AS58" s="139">
        <f t="shared" si="8"/>
        <v>453</v>
      </c>
      <c r="AT58" s="136"/>
      <c r="AU58" s="136">
        <f t="shared" si="9"/>
        <v>31.6</v>
      </c>
      <c r="AV58" s="225">
        <v>5066571</v>
      </c>
      <c r="AX58" s="136">
        <f>'2024 Legal Max'!AS59</f>
        <v>891.3</v>
      </c>
      <c r="AY58" s="136">
        <f t="shared" si="10"/>
        <v>1.8</v>
      </c>
      <c r="AZ58" s="139">
        <v>294565</v>
      </c>
      <c r="BB58" s="164">
        <v>0</v>
      </c>
      <c r="BC58" s="164">
        <v>7</v>
      </c>
    </row>
    <row r="59" spans="1:55">
      <c r="A59" s="216" t="s">
        <v>245</v>
      </c>
      <c r="B59" s="217"/>
      <c r="C59" s="218">
        <v>939.5</v>
      </c>
      <c r="E59" s="218"/>
      <c r="F59" s="218">
        <v>0</v>
      </c>
      <c r="G59" s="219"/>
      <c r="H59" s="218"/>
      <c r="I59" s="218"/>
      <c r="J59" s="136"/>
      <c r="K59" s="139">
        <v>974</v>
      </c>
      <c r="L59" s="136">
        <v>0</v>
      </c>
      <c r="M59" s="217">
        <v>0</v>
      </c>
      <c r="N59" s="136">
        <v>13</v>
      </c>
      <c r="O59" s="136">
        <v>0</v>
      </c>
      <c r="P59" s="218">
        <v>311.8</v>
      </c>
      <c r="Q59" s="136">
        <v>0</v>
      </c>
      <c r="R59" s="136">
        <v>5.6</v>
      </c>
      <c r="S59" s="136">
        <v>0</v>
      </c>
      <c r="T59" s="139">
        <v>10</v>
      </c>
      <c r="U59" s="217">
        <v>0</v>
      </c>
      <c r="V59" s="217">
        <v>414</v>
      </c>
      <c r="W59" s="217">
        <v>0</v>
      </c>
      <c r="X59" s="218">
        <v>0</v>
      </c>
      <c r="Y59" s="220">
        <v>266</v>
      </c>
      <c r="Z59" s="164">
        <v>0</v>
      </c>
      <c r="AA59" s="221">
        <v>11</v>
      </c>
      <c r="AB59" s="221">
        <v>0.9</v>
      </c>
      <c r="AC59" s="222">
        <v>0</v>
      </c>
      <c r="AD59" s="223">
        <v>0</v>
      </c>
      <c r="AE59" s="136"/>
      <c r="AF59" s="136">
        <v>21.8</v>
      </c>
      <c r="AG59" s="224">
        <v>22.3</v>
      </c>
      <c r="AH59" s="136">
        <v>1550.8</v>
      </c>
      <c r="AI59" s="136"/>
      <c r="AJ59" s="136"/>
      <c r="AK59" s="136">
        <f t="shared" si="6"/>
        <v>939.5</v>
      </c>
      <c r="AL59" s="136">
        <f t="shared" si="0"/>
        <v>13</v>
      </c>
      <c r="AM59" s="136">
        <f t="shared" si="1"/>
        <v>5.6</v>
      </c>
      <c r="AN59" s="136">
        <f t="shared" si="2"/>
        <v>10</v>
      </c>
      <c r="AO59" s="136">
        <f t="shared" si="3"/>
        <v>311.8</v>
      </c>
      <c r="AP59" s="139">
        <f t="shared" si="4"/>
        <v>414</v>
      </c>
      <c r="AQ59" s="136">
        <f t="shared" si="7"/>
        <v>0</v>
      </c>
      <c r="AR59" s="136">
        <f t="shared" si="5"/>
        <v>266</v>
      </c>
      <c r="AS59" s="139">
        <f t="shared" si="8"/>
        <v>974</v>
      </c>
      <c r="AT59" s="136"/>
      <c r="AU59" s="136">
        <f t="shared" si="9"/>
        <v>22.3</v>
      </c>
      <c r="AV59" s="225">
        <v>9209791</v>
      </c>
      <c r="AX59" s="136">
        <f>'2024 Legal Max'!AS60</f>
        <v>1543.4</v>
      </c>
      <c r="AY59" s="136">
        <f t="shared" si="10"/>
        <v>-7.4</v>
      </c>
      <c r="AZ59" s="139">
        <v>620760</v>
      </c>
      <c r="BB59" s="164">
        <v>0</v>
      </c>
      <c r="BC59" s="164">
        <v>13</v>
      </c>
    </row>
    <row r="60" spans="1:55">
      <c r="A60" s="216" t="s">
        <v>246</v>
      </c>
      <c r="B60" s="217"/>
      <c r="C60" s="218">
        <v>922.5</v>
      </c>
      <c r="E60" s="218"/>
      <c r="F60" s="218">
        <v>0</v>
      </c>
      <c r="G60" s="219"/>
      <c r="H60" s="218"/>
      <c r="I60" s="218"/>
      <c r="J60" s="136"/>
      <c r="K60" s="139">
        <v>935</v>
      </c>
      <c r="L60" s="136">
        <v>0</v>
      </c>
      <c r="M60" s="217">
        <v>0</v>
      </c>
      <c r="N60" s="136">
        <v>3.5</v>
      </c>
      <c r="O60" s="136">
        <v>0</v>
      </c>
      <c r="P60" s="218">
        <v>273.7</v>
      </c>
      <c r="Q60" s="136">
        <v>0</v>
      </c>
      <c r="R60" s="136">
        <v>72.7</v>
      </c>
      <c r="S60" s="136">
        <v>0</v>
      </c>
      <c r="T60" s="139">
        <v>25</v>
      </c>
      <c r="U60" s="217">
        <v>0</v>
      </c>
      <c r="V60" s="217">
        <v>332</v>
      </c>
      <c r="W60" s="217">
        <v>0</v>
      </c>
      <c r="X60" s="218">
        <v>0</v>
      </c>
      <c r="Y60" s="220">
        <v>77</v>
      </c>
      <c r="Z60" s="164">
        <v>0</v>
      </c>
      <c r="AA60" s="221">
        <v>5</v>
      </c>
      <c r="AB60" s="221">
        <v>0</v>
      </c>
      <c r="AC60" s="222">
        <v>0</v>
      </c>
      <c r="AD60" s="223">
        <v>0</v>
      </c>
      <c r="AE60" s="136"/>
      <c r="AF60" s="136">
        <v>1.2</v>
      </c>
      <c r="AG60" s="224">
        <v>11.2</v>
      </c>
      <c r="AH60" s="136">
        <v>1394</v>
      </c>
      <c r="AI60" s="136"/>
      <c r="AJ60" s="136"/>
      <c r="AK60" s="136">
        <f t="shared" si="6"/>
        <v>922.5</v>
      </c>
      <c r="AL60" s="136">
        <f t="shared" si="0"/>
        <v>3.5</v>
      </c>
      <c r="AM60" s="136">
        <f t="shared" si="1"/>
        <v>72.7</v>
      </c>
      <c r="AN60" s="136">
        <f t="shared" si="2"/>
        <v>25</v>
      </c>
      <c r="AO60" s="136">
        <f t="shared" si="3"/>
        <v>273.7</v>
      </c>
      <c r="AP60" s="139">
        <f t="shared" si="4"/>
        <v>332</v>
      </c>
      <c r="AQ60" s="136">
        <f t="shared" si="7"/>
        <v>0</v>
      </c>
      <c r="AR60" s="136">
        <f t="shared" si="5"/>
        <v>77</v>
      </c>
      <c r="AS60" s="139">
        <f t="shared" si="8"/>
        <v>935</v>
      </c>
      <c r="AT60" s="136"/>
      <c r="AU60" s="136">
        <f t="shared" si="9"/>
        <v>11.2</v>
      </c>
      <c r="AV60" s="225">
        <v>8116340</v>
      </c>
      <c r="AX60" s="136">
        <f>'2024 Legal Max'!AS61</f>
        <v>1389.3</v>
      </c>
      <c r="AY60" s="136">
        <f t="shared" si="10"/>
        <v>-4.7</v>
      </c>
      <c r="AZ60" s="139">
        <v>116879</v>
      </c>
      <c r="BB60" s="164">
        <v>0</v>
      </c>
      <c r="BC60" s="164">
        <v>3.5</v>
      </c>
    </row>
    <row r="61" spans="1:55">
      <c r="A61" s="216" t="s">
        <v>247</v>
      </c>
      <c r="B61" s="217"/>
      <c r="C61" s="218">
        <v>3182.7</v>
      </c>
      <c r="E61" s="218"/>
      <c r="F61" s="218">
        <v>0</v>
      </c>
      <c r="G61" s="219"/>
      <c r="H61" s="218"/>
      <c r="I61" s="218"/>
      <c r="J61" s="136"/>
      <c r="K61" s="139">
        <v>3332</v>
      </c>
      <c r="L61" s="136">
        <v>0</v>
      </c>
      <c r="M61" s="217">
        <v>0</v>
      </c>
      <c r="N61" s="136">
        <v>58</v>
      </c>
      <c r="O61" s="136">
        <v>0</v>
      </c>
      <c r="P61" s="218">
        <v>561.9</v>
      </c>
      <c r="Q61" s="136">
        <v>0</v>
      </c>
      <c r="R61" s="136">
        <v>1391.9</v>
      </c>
      <c r="S61" s="136">
        <v>0</v>
      </c>
      <c r="T61" s="139">
        <v>379</v>
      </c>
      <c r="U61" s="217">
        <v>0</v>
      </c>
      <c r="V61" s="217">
        <v>2082</v>
      </c>
      <c r="W61" s="217">
        <v>0</v>
      </c>
      <c r="X61" s="218">
        <v>0</v>
      </c>
      <c r="Y61" s="220">
        <v>554</v>
      </c>
      <c r="Z61" s="164">
        <v>0</v>
      </c>
      <c r="AA61" s="221">
        <v>17</v>
      </c>
      <c r="AB61" s="221">
        <v>8</v>
      </c>
      <c r="AC61" s="222">
        <v>30</v>
      </c>
      <c r="AD61" s="223">
        <v>0</v>
      </c>
      <c r="AE61" s="136"/>
      <c r="AF61" s="136">
        <v>218.6</v>
      </c>
      <c r="AG61" s="224">
        <v>218.7</v>
      </c>
      <c r="AH61" s="136">
        <v>4767.2</v>
      </c>
      <c r="AI61" s="136"/>
      <c r="AJ61" s="136"/>
      <c r="AK61" s="136">
        <f t="shared" si="6"/>
        <v>3182.7</v>
      </c>
      <c r="AL61" s="136">
        <f t="shared" si="0"/>
        <v>58</v>
      </c>
      <c r="AM61" s="136">
        <f t="shared" si="1"/>
        <v>1391.9</v>
      </c>
      <c r="AN61" s="136">
        <f t="shared" si="2"/>
        <v>379</v>
      </c>
      <c r="AO61" s="136">
        <f t="shared" si="3"/>
        <v>561.9</v>
      </c>
      <c r="AP61" s="139">
        <f t="shared" si="4"/>
        <v>2082</v>
      </c>
      <c r="AQ61" s="136">
        <f t="shared" si="7"/>
        <v>0</v>
      </c>
      <c r="AR61" s="136">
        <f t="shared" si="5"/>
        <v>554</v>
      </c>
      <c r="AS61" s="139">
        <f t="shared" si="8"/>
        <v>3332</v>
      </c>
      <c r="AT61" s="136"/>
      <c r="AU61" s="136">
        <f t="shared" si="9"/>
        <v>218.7</v>
      </c>
      <c r="AV61" s="225">
        <v>28017838</v>
      </c>
      <c r="AX61" s="136">
        <f>'2024 Legal Max'!AS62</f>
        <v>4753.1000000000004</v>
      </c>
      <c r="AY61" s="136">
        <f t="shared" si="10"/>
        <v>-14.1</v>
      </c>
      <c r="AZ61" s="139">
        <v>652839</v>
      </c>
      <c r="BB61" s="164">
        <v>0</v>
      </c>
      <c r="BC61" s="164">
        <v>58</v>
      </c>
    </row>
    <row r="62" spans="1:55">
      <c r="A62" s="216" t="s">
        <v>248</v>
      </c>
      <c r="B62" s="217"/>
      <c r="C62" s="218">
        <v>313</v>
      </c>
      <c r="E62" s="218"/>
      <c r="F62" s="218">
        <v>0</v>
      </c>
      <c r="G62" s="219"/>
      <c r="H62" s="218"/>
      <c r="I62" s="218"/>
      <c r="J62" s="136"/>
      <c r="K62" s="139">
        <v>328</v>
      </c>
      <c r="L62" s="136">
        <v>0</v>
      </c>
      <c r="M62" s="217">
        <v>0</v>
      </c>
      <c r="N62" s="136">
        <v>7</v>
      </c>
      <c r="O62" s="136">
        <v>0</v>
      </c>
      <c r="P62" s="218">
        <v>270</v>
      </c>
      <c r="Q62" s="136">
        <v>0</v>
      </c>
      <c r="R62" s="136">
        <v>0</v>
      </c>
      <c r="S62" s="136">
        <v>0</v>
      </c>
      <c r="T62" s="139">
        <v>3</v>
      </c>
      <c r="U62" s="217">
        <v>0</v>
      </c>
      <c r="V62" s="217">
        <v>105</v>
      </c>
      <c r="W62" s="217">
        <v>0</v>
      </c>
      <c r="X62" s="218">
        <v>0</v>
      </c>
      <c r="Y62" s="220">
        <v>192</v>
      </c>
      <c r="Z62" s="164">
        <v>0</v>
      </c>
      <c r="AA62" s="221">
        <v>2</v>
      </c>
      <c r="AB62" s="221">
        <v>0</v>
      </c>
      <c r="AC62" s="222">
        <v>0</v>
      </c>
      <c r="AD62" s="223">
        <v>0</v>
      </c>
      <c r="AE62" s="136"/>
      <c r="AF62" s="136">
        <v>0</v>
      </c>
      <c r="AG62" s="224">
        <v>0</v>
      </c>
      <c r="AH62" s="136">
        <v>612.9</v>
      </c>
      <c r="AI62" s="136"/>
      <c r="AJ62" s="136"/>
      <c r="AK62" s="136">
        <f t="shared" si="6"/>
        <v>313</v>
      </c>
      <c r="AL62" s="136">
        <f t="shared" si="0"/>
        <v>7</v>
      </c>
      <c r="AM62" s="136">
        <f t="shared" si="1"/>
        <v>0</v>
      </c>
      <c r="AN62" s="136">
        <f t="shared" si="2"/>
        <v>3</v>
      </c>
      <c r="AO62" s="136">
        <f t="shared" si="3"/>
        <v>270</v>
      </c>
      <c r="AP62" s="139">
        <f t="shared" si="4"/>
        <v>105</v>
      </c>
      <c r="AQ62" s="136">
        <f t="shared" si="7"/>
        <v>0</v>
      </c>
      <c r="AR62" s="136">
        <f t="shared" si="5"/>
        <v>192</v>
      </c>
      <c r="AS62" s="139">
        <f t="shared" si="8"/>
        <v>328</v>
      </c>
      <c r="AT62" s="136"/>
      <c r="AU62" s="136">
        <f t="shared" si="9"/>
        <v>0</v>
      </c>
      <c r="AV62" s="225">
        <v>3753939</v>
      </c>
      <c r="AX62" s="136">
        <f>'2024 Legal Max'!AS63</f>
        <v>598.1</v>
      </c>
      <c r="AY62" s="136">
        <f t="shared" si="10"/>
        <v>-14.8</v>
      </c>
      <c r="AZ62" s="139">
        <v>499694</v>
      </c>
      <c r="BB62" s="164">
        <v>0</v>
      </c>
      <c r="BC62" s="164">
        <v>7</v>
      </c>
    </row>
    <row r="63" spans="1:55">
      <c r="A63" s="216" t="s">
        <v>249</v>
      </c>
      <c r="B63" s="217"/>
      <c r="C63" s="218">
        <v>512.1</v>
      </c>
      <c r="E63" s="218"/>
      <c r="F63" s="218">
        <v>0</v>
      </c>
      <c r="G63" s="219"/>
      <c r="H63" s="218"/>
      <c r="I63" s="218"/>
      <c r="J63" s="136"/>
      <c r="K63" s="139">
        <v>542</v>
      </c>
      <c r="L63" s="136">
        <v>0</v>
      </c>
      <c r="M63" s="217">
        <v>0</v>
      </c>
      <c r="N63" s="136">
        <v>12.5</v>
      </c>
      <c r="O63" s="136">
        <v>0</v>
      </c>
      <c r="P63" s="218">
        <v>172.6</v>
      </c>
      <c r="Q63" s="136">
        <v>0</v>
      </c>
      <c r="R63" s="136">
        <v>0</v>
      </c>
      <c r="S63" s="136">
        <v>0</v>
      </c>
      <c r="T63" s="139">
        <v>0</v>
      </c>
      <c r="U63" s="217">
        <v>0</v>
      </c>
      <c r="V63" s="217">
        <v>166</v>
      </c>
      <c r="W63" s="217">
        <v>0</v>
      </c>
      <c r="X63" s="218">
        <v>0</v>
      </c>
      <c r="Y63" s="220">
        <v>187</v>
      </c>
      <c r="Z63" s="164">
        <v>0</v>
      </c>
      <c r="AA63" s="221">
        <v>0</v>
      </c>
      <c r="AB63" s="221">
        <v>0</v>
      </c>
      <c r="AC63" s="222">
        <v>0</v>
      </c>
      <c r="AD63" s="223">
        <v>0</v>
      </c>
      <c r="AE63" s="136"/>
      <c r="AF63" s="136">
        <v>0</v>
      </c>
      <c r="AG63" s="224">
        <v>7.6</v>
      </c>
      <c r="AH63" s="136">
        <v>870.4</v>
      </c>
      <c r="AI63" s="136"/>
      <c r="AJ63" s="136"/>
      <c r="AK63" s="136">
        <f t="shared" si="6"/>
        <v>512.1</v>
      </c>
      <c r="AL63" s="136">
        <f t="shared" si="0"/>
        <v>12.5</v>
      </c>
      <c r="AM63" s="136">
        <f t="shared" si="1"/>
        <v>0</v>
      </c>
      <c r="AN63" s="136">
        <f t="shared" si="2"/>
        <v>0</v>
      </c>
      <c r="AO63" s="136">
        <f t="shared" si="3"/>
        <v>172.6</v>
      </c>
      <c r="AP63" s="139">
        <f t="shared" si="4"/>
        <v>166</v>
      </c>
      <c r="AQ63" s="136">
        <f t="shared" si="7"/>
        <v>0</v>
      </c>
      <c r="AR63" s="136">
        <f t="shared" si="5"/>
        <v>187</v>
      </c>
      <c r="AS63" s="139">
        <f t="shared" si="8"/>
        <v>542</v>
      </c>
      <c r="AT63" s="136"/>
      <c r="AU63" s="136">
        <f t="shared" si="9"/>
        <v>7.6</v>
      </c>
      <c r="AV63" s="225">
        <v>5375472</v>
      </c>
      <c r="AX63" s="136">
        <f>'2024 Legal Max'!AS64</f>
        <v>865.1</v>
      </c>
      <c r="AY63" s="136">
        <f t="shared" si="10"/>
        <v>-5.3</v>
      </c>
      <c r="AZ63" s="139">
        <v>329975</v>
      </c>
      <c r="BB63" s="164">
        <v>0</v>
      </c>
      <c r="BC63" s="164">
        <v>12.5</v>
      </c>
    </row>
    <row r="64" spans="1:55">
      <c r="A64" s="216" t="s">
        <v>250</v>
      </c>
      <c r="B64" s="217"/>
      <c r="C64" s="218">
        <v>4193.8999999999996</v>
      </c>
      <c r="E64" s="218"/>
      <c r="F64" s="218">
        <v>0</v>
      </c>
      <c r="G64" s="219"/>
      <c r="H64" s="218"/>
      <c r="I64" s="218"/>
      <c r="J64" s="136"/>
      <c r="K64" s="139">
        <v>4400</v>
      </c>
      <c r="L64" s="136">
        <v>0</v>
      </c>
      <c r="M64" s="217">
        <v>0</v>
      </c>
      <c r="N64" s="136">
        <v>81.5</v>
      </c>
      <c r="O64" s="136">
        <v>0</v>
      </c>
      <c r="P64" s="218">
        <v>1304.5</v>
      </c>
      <c r="Q64" s="136">
        <v>0</v>
      </c>
      <c r="R64" s="136">
        <v>3150.3</v>
      </c>
      <c r="S64" s="136">
        <v>0</v>
      </c>
      <c r="T64" s="139">
        <v>1113</v>
      </c>
      <c r="U64" s="217">
        <v>0</v>
      </c>
      <c r="V64" s="217">
        <v>2168</v>
      </c>
      <c r="W64" s="217">
        <v>0</v>
      </c>
      <c r="X64" s="218">
        <v>0</v>
      </c>
      <c r="Y64" s="220">
        <v>1776</v>
      </c>
      <c r="Z64" s="164">
        <v>0</v>
      </c>
      <c r="AA64" s="221">
        <v>0</v>
      </c>
      <c r="AB64" s="221">
        <v>0</v>
      </c>
      <c r="AC64" s="222">
        <v>0</v>
      </c>
      <c r="AD64" s="223">
        <v>0</v>
      </c>
      <c r="AE64" s="136"/>
      <c r="AF64" s="136">
        <v>216.6</v>
      </c>
      <c r="AG64" s="224">
        <v>167.4</v>
      </c>
      <c r="AH64" s="136">
        <v>6192.2</v>
      </c>
      <c r="AI64" s="136"/>
      <c r="AJ64" s="136"/>
      <c r="AK64" s="136">
        <f t="shared" si="6"/>
        <v>4193.8999999999996</v>
      </c>
      <c r="AL64" s="136">
        <f t="shared" si="0"/>
        <v>81.5</v>
      </c>
      <c r="AM64" s="136">
        <f t="shared" si="1"/>
        <v>3150.3</v>
      </c>
      <c r="AN64" s="136">
        <f t="shared" si="2"/>
        <v>1113</v>
      </c>
      <c r="AO64" s="136">
        <f t="shared" si="3"/>
        <v>1304.5</v>
      </c>
      <c r="AP64" s="139">
        <f t="shared" si="4"/>
        <v>2168</v>
      </c>
      <c r="AQ64" s="136">
        <f t="shared" si="7"/>
        <v>0</v>
      </c>
      <c r="AR64" s="136">
        <f t="shared" si="5"/>
        <v>1776</v>
      </c>
      <c r="AS64" s="139">
        <f t="shared" si="8"/>
        <v>4400</v>
      </c>
      <c r="AT64" s="136"/>
      <c r="AU64" s="136">
        <f t="shared" si="9"/>
        <v>216.6</v>
      </c>
      <c r="AV64" s="225">
        <v>36214858</v>
      </c>
      <c r="AX64" s="136">
        <f>'2024 Legal Max'!AS65</f>
        <v>6161.5</v>
      </c>
      <c r="AY64" s="136">
        <f t="shared" si="10"/>
        <v>-30.7</v>
      </c>
      <c r="AZ64" s="139">
        <v>1363850</v>
      </c>
      <c r="BB64" s="164">
        <v>0</v>
      </c>
      <c r="BC64" s="164">
        <v>81.5</v>
      </c>
    </row>
    <row r="65" spans="1:55">
      <c r="A65" s="216" t="s">
        <v>251</v>
      </c>
      <c r="B65" s="217"/>
      <c r="C65" s="218">
        <v>439.5</v>
      </c>
      <c r="E65" s="218"/>
      <c r="F65" s="218">
        <v>0</v>
      </c>
      <c r="G65" s="219"/>
      <c r="H65" s="218"/>
      <c r="I65" s="218"/>
      <c r="J65" s="136"/>
      <c r="K65" s="139">
        <v>458</v>
      </c>
      <c r="L65" s="136">
        <v>0</v>
      </c>
      <c r="M65" s="217">
        <v>0</v>
      </c>
      <c r="N65" s="136">
        <v>7</v>
      </c>
      <c r="O65" s="136">
        <v>0</v>
      </c>
      <c r="P65" s="218">
        <v>134.4</v>
      </c>
      <c r="Q65" s="136">
        <v>0</v>
      </c>
      <c r="R65" s="136">
        <v>4.5999999999999996</v>
      </c>
      <c r="S65" s="136">
        <v>0</v>
      </c>
      <c r="T65" s="139">
        <v>5</v>
      </c>
      <c r="U65" s="217">
        <v>0</v>
      </c>
      <c r="V65" s="217">
        <v>201</v>
      </c>
      <c r="W65" s="217">
        <v>0</v>
      </c>
      <c r="X65" s="218">
        <v>0</v>
      </c>
      <c r="Y65" s="220">
        <v>104</v>
      </c>
      <c r="Z65" s="164">
        <v>0</v>
      </c>
      <c r="AA65" s="221">
        <v>5</v>
      </c>
      <c r="AB65" s="221">
        <v>0</v>
      </c>
      <c r="AC65" s="222">
        <v>0</v>
      </c>
      <c r="AD65" s="223">
        <v>0</v>
      </c>
      <c r="AE65" s="136"/>
      <c r="AF65" s="136">
        <v>12.5</v>
      </c>
      <c r="AG65" s="224">
        <v>12.9</v>
      </c>
      <c r="AH65" s="136">
        <v>813.6</v>
      </c>
      <c r="AI65" s="136"/>
      <c r="AJ65" s="136"/>
      <c r="AK65" s="136">
        <f t="shared" si="6"/>
        <v>439.5</v>
      </c>
      <c r="AL65" s="136">
        <f t="shared" si="0"/>
        <v>7</v>
      </c>
      <c r="AM65" s="136">
        <f t="shared" si="1"/>
        <v>4.5999999999999996</v>
      </c>
      <c r="AN65" s="136">
        <f t="shared" si="2"/>
        <v>5</v>
      </c>
      <c r="AO65" s="136">
        <f t="shared" si="3"/>
        <v>134.4</v>
      </c>
      <c r="AP65" s="139">
        <f t="shared" si="4"/>
        <v>201</v>
      </c>
      <c r="AQ65" s="136">
        <f t="shared" si="7"/>
        <v>0</v>
      </c>
      <c r="AR65" s="136">
        <f t="shared" si="5"/>
        <v>104</v>
      </c>
      <c r="AS65" s="139">
        <f t="shared" si="8"/>
        <v>458</v>
      </c>
      <c r="AT65" s="136"/>
      <c r="AU65" s="136">
        <f t="shared" si="9"/>
        <v>12.9</v>
      </c>
      <c r="AV65" s="225">
        <v>4971485</v>
      </c>
      <c r="AX65" s="136">
        <f>'2024 Legal Max'!AS66</f>
        <v>816.7</v>
      </c>
      <c r="AY65" s="136">
        <f t="shared" si="10"/>
        <v>3.1</v>
      </c>
      <c r="AZ65" s="139">
        <v>324096</v>
      </c>
      <c r="BB65" s="164">
        <v>0</v>
      </c>
      <c r="BC65" s="164">
        <v>7</v>
      </c>
    </row>
    <row r="66" spans="1:55">
      <c r="A66" s="216" t="s">
        <v>252</v>
      </c>
      <c r="B66" s="217"/>
      <c r="C66" s="218">
        <v>194.5</v>
      </c>
      <c r="E66" s="218"/>
      <c r="F66" s="218">
        <v>0</v>
      </c>
      <c r="G66" s="219"/>
      <c r="H66" s="218"/>
      <c r="I66" s="218"/>
      <c r="J66" s="136"/>
      <c r="K66" s="139">
        <v>212</v>
      </c>
      <c r="L66" s="136">
        <v>0</v>
      </c>
      <c r="M66" s="217">
        <v>0</v>
      </c>
      <c r="N66" s="136">
        <v>4.5</v>
      </c>
      <c r="O66" s="136">
        <v>0</v>
      </c>
      <c r="P66" s="218">
        <v>99.8</v>
      </c>
      <c r="Q66" s="136">
        <v>0</v>
      </c>
      <c r="R66" s="136">
        <v>0</v>
      </c>
      <c r="S66" s="136">
        <v>0</v>
      </c>
      <c r="T66" s="139">
        <v>0</v>
      </c>
      <c r="U66" s="217">
        <v>0</v>
      </c>
      <c r="V66" s="217">
        <v>110</v>
      </c>
      <c r="W66" s="217">
        <v>0</v>
      </c>
      <c r="X66" s="218">
        <v>0</v>
      </c>
      <c r="Y66" s="220">
        <v>55</v>
      </c>
      <c r="Z66" s="164">
        <v>0</v>
      </c>
      <c r="AA66" s="221">
        <v>0</v>
      </c>
      <c r="AB66" s="221">
        <v>0</v>
      </c>
      <c r="AC66" s="222">
        <v>0</v>
      </c>
      <c r="AD66" s="223">
        <v>0</v>
      </c>
      <c r="AE66" s="136"/>
      <c r="AF66" s="136">
        <v>11.6</v>
      </c>
      <c r="AG66" s="224">
        <v>10.1</v>
      </c>
      <c r="AH66" s="136">
        <v>456.7</v>
      </c>
      <c r="AI66" s="136"/>
      <c r="AJ66" s="136"/>
      <c r="AK66" s="136">
        <f t="shared" si="6"/>
        <v>194.5</v>
      </c>
      <c r="AL66" s="136">
        <f t="shared" si="0"/>
        <v>4.5</v>
      </c>
      <c r="AM66" s="136">
        <f t="shared" si="1"/>
        <v>0</v>
      </c>
      <c r="AN66" s="136">
        <f t="shared" si="2"/>
        <v>0</v>
      </c>
      <c r="AO66" s="136">
        <f t="shared" si="3"/>
        <v>99.8</v>
      </c>
      <c r="AP66" s="139">
        <f t="shared" si="4"/>
        <v>110</v>
      </c>
      <c r="AQ66" s="136">
        <f t="shared" si="7"/>
        <v>0</v>
      </c>
      <c r="AR66" s="136">
        <f t="shared" si="5"/>
        <v>55</v>
      </c>
      <c r="AS66" s="139">
        <f t="shared" si="8"/>
        <v>212</v>
      </c>
      <c r="AT66" s="136"/>
      <c r="AU66" s="136">
        <f t="shared" si="9"/>
        <v>11.6</v>
      </c>
      <c r="AV66" s="225">
        <v>2711651</v>
      </c>
      <c r="AX66" s="136">
        <f>'2024 Legal Max'!AS67</f>
        <v>457</v>
      </c>
      <c r="AY66" s="136">
        <f t="shared" si="10"/>
        <v>0.3</v>
      </c>
      <c r="AZ66" s="139">
        <v>135171</v>
      </c>
      <c r="BA66" s="129" t="s">
        <v>3556</v>
      </c>
      <c r="BB66" s="164">
        <v>0</v>
      </c>
      <c r="BC66" s="164">
        <v>4.5</v>
      </c>
    </row>
    <row r="67" spans="1:55">
      <c r="A67" s="216" t="s">
        <v>253</v>
      </c>
      <c r="B67" s="217"/>
      <c r="C67" s="218">
        <v>252.2</v>
      </c>
      <c r="E67" s="218"/>
      <c r="F67" s="218">
        <v>0</v>
      </c>
      <c r="G67" s="219"/>
      <c r="H67" s="218"/>
      <c r="I67" s="218"/>
      <c r="J67" s="136"/>
      <c r="K67" s="139">
        <v>261</v>
      </c>
      <c r="L67" s="136">
        <v>0</v>
      </c>
      <c r="M67" s="217">
        <v>0</v>
      </c>
      <c r="N67" s="136">
        <v>4</v>
      </c>
      <c r="O67" s="136">
        <v>0</v>
      </c>
      <c r="P67" s="218">
        <v>46.9</v>
      </c>
      <c r="Q67" s="136">
        <v>0</v>
      </c>
      <c r="R67" s="136">
        <v>0</v>
      </c>
      <c r="S67" s="136">
        <v>0</v>
      </c>
      <c r="T67" s="139">
        <v>0</v>
      </c>
      <c r="U67" s="217">
        <v>0</v>
      </c>
      <c r="V67" s="217">
        <v>124</v>
      </c>
      <c r="W67" s="217">
        <v>0</v>
      </c>
      <c r="X67" s="218">
        <v>0</v>
      </c>
      <c r="Y67" s="220">
        <v>99</v>
      </c>
      <c r="Z67" s="164">
        <v>0</v>
      </c>
      <c r="AA67" s="221">
        <v>4</v>
      </c>
      <c r="AB67" s="221">
        <v>0</v>
      </c>
      <c r="AC67" s="222">
        <v>0</v>
      </c>
      <c r="AD67" s="223">
        <v>0</v>
      </c>
      <c r="AE67" s="136"/>
      <c r="AF67" s="136">
        <v>10.9</v>
      </c>
      <c r="AG67" s="224">
        <v>10.9</v>
      </c>
      <c r="AH67" s="136">
        <v>513.29999999999995</v>
      </c>
      <c r="AI67" s="136"/>
      <c r="AJ67" s="136"/>
      <c r="AK67" s="136">
        <f t="shared" si="6"/>
        <v>252.2</v>
      </c>
      <c r="AL67" s="136">
        <f t="shared" si="0"/>
        <v>4</v>
      </c>
      <c r="AM67" s="136">
        <f t="shared" si="1"/>
        <v>0</v>
      </c>
      <c r="AN67" s="136">
        <f t="shared" si="2"/>
        <v>0</v>
      </c>
      <c r="AO67" s="136">
        <f t="shared" si="3"/>
        <v>46.9</v>
      </c>
      <c r="AP67" s="139">
        <f t="shared" si="4"/>
        <v>124</v>
      </c>
      <c r="AQ67" s="136">
        <f t="shared" si="7"/>
        <v>0</v>
      </c>
      <c r="AR67" s="136">
        <f t="shared" si="5"/>
        <v>99</v>
      </c>
      <c r="AS67" s="139">
        <f t="shared" si="8"/>
        <v>261</v>
      </c>
      <c r="AT67" s="136"/>
      <c r="AU67" s="136">
        <f t="shared" si="9"/>
        <v>10.9</v>
      </c>
      <c r="AV67" s="225">
        <v>3137693</v>
      </c>
      <c r="AX67" s="136">
        <f>'2024 Legal Max'!AS68</f>
        <v>512.1</v>
      </c>
      <c r="AY67" s="136">
        <f t="shared" si="10"/>
        <v>-1.2</v>
      </c>
      <c r="AZ67" s="139">
        <v>258963</v>
      </c>
      <c r="BB67" s="164">
        <v>0</v>
      </c>
      <c r="BC67" s="164">
        <v>4</v>
      </c>
    </row>
    <row r="68" spans="1:55">
      <c r="A68" s="216" t="s">
        <v>254</v>
      </c>
      <c r="B68" s="217"/>
      <c r="C68" s="218">
        <v>1045.2</v>
      </c>
      <c r="E68" s="218"/>
      <c r="F68" s="218">
        <v>0</v>
      </c>
      <c r="G68" s="219"/>
      <c r="H68" s="218"/>
      <c r="I68" s="218"/>
      <c r="J68" s="136"/>
      <c r="K68" s="139">
        <v>1131</v>
      </c>
      <c r="L68" s="136">
        <v>0</v>
      </c>
      <c r="M68" s="217">
        <v>0</v>
      </c>
      <c r="N68" s="136">
        <v>35.5</v>
      </c>
      <c r="O68" s="136">
        <v>0</v>
      </c>
      <c r="P68" s="218">
        <v>547.29999999999995</v>
      </c>
      <c r="Q68" s="136">
        <v>0</v>
      </c>
      <c r="R68" s="136">
        <v>3.8</v>
      </c>
      <c r="S68" s="136">
        <v>0</v>
      </c>
      <c r="T68" s="139">
        <v>10</v>
      </c>
      <c r="U68" s="217">
        <v>0</v>
      </c>
      <c r="V68" s="217">
        <v>620</v>
      </c>
      <c r="W68" s="217">
        <v>0</v>
      </c>
      <c r="X68" s="218">
        <v>0</v>
      </c>
      <c r="Y68" s="220">
        <v>257</v>
      </c>
      <c r="Z68" s="164">
        <v>0</v>
      </c>
      <c r="AA68" s="221">
        <v>3</v>
      </c>
      <c r="AB68" s="221">
        <v>1.5</v>
      </c>
      <c r="AC68" s="222">
        <v>0</v>
      </c>
      <c r="AD68" s="223">
        <v>0</v>
      </c>
      <c r="AE68" s="136"/>
      <c r="AF68" s="136">
        <v>65.099999999999994</v>
      </c>
      <c r="AG68" s="224">
        <v>64.599999999999994</v>
      </c>
      <c r="AH68" s="136">
        <v>1793.9</v>
      </c>
      <c r="AI68" s="136"/>
      <c r="AJ68" s="136"/>
      <c r="AK68" s="136">
        <f t="shared" ref="AK68:AK131" si="11">SUM(C68+F68)</f>
        <v>1045.2</v>
      </c>
      <c r="AL68" s="136">
        <f t="shared" ref="AL68:AL131" si="12">SUM(N68+O68)</f>
        <v>35.5</v>
      </c>
      <c r="AM68" s="136">
        <f t="shared" ref="AM68:AM131" si="13">SUM(R68+S68)</f>
        <v>3.8</v>
      </c>
      <c r="AN68" s="136">
        <f t="shared" ref="AN68:AN131" si="14">SUM(T68+U68)</f>
        <v>10</v>
      </c>
      <c r="AO68" s="136">
        <f t="shared" ref="AO68:AO131" si="15">SUM(P68+Q68)</f>
        <v>547.29999999999995</v>
      </c>
      <c r="AP68" s="139">
        <f t="shared" ref="AP68:AP131" si="16">SUM(V68+W68)</f>
        <v>620</v>
      </c>
      <c r="AQ68" s="136">
        <f t="shared" si="7"/>
        <v>0</v>
      </c>
      <c r="AR68" s="136">
        <f t="shared" ref="AR68:AR131" si="17">SUM(Y68+Z68)</f>
        <v>257</v>
      </c>
      <c r="AS68" s="139">
        <f t="shared" ref="AS68:AS131" si="18">SUM(K68+M68)</f>
        <v>1131</v>
      </c>
      <c r="AT68" s="136"/>
      <c r="AU68" s="136">
        <f t="shared" si="9"/>
        <v>65.099999999999994</v>
      </c>
      <c r="AV68" s="225">
        <v>10670845</v>
      </c>
      <c r="AX68" s="136">
        <f>'2024 Legal Max'!AS69</f>
        <v>1772.7</v>
      </c>
      <c r="AY68" s="136">
        <f t="shared" si="10"/>
        <v>-21.2</v>
      </c>
      <c r="AZ68" s="139">
        <v>327530</v>
      </c>
      <c r="BB68" s="164">
        <v>0</v>
      </c>
      <c r="BC68" s="164">
        <v>35.5</v>
      </c>
    </row>
    <row r="69" spans="1:55">
      <c r="A69" s="216" t="s">
        <v>255</v>
      </c>
      <c r="B69" s="217"/>
      <c r="C69" s="218">
        <v>579.5</v>
      </c>
      <c r="E69" s="218"/>
      <c r="F69" s="218">
        <v>0</v>
      </c>
      <c r="G69" s="219"/>
      <c r="H69" s="218"/>
      <c r="I69" s="218"/>
      <c r="J69" s="136"/>
      <c r="K69" s="139">
        <v>601</v>
      </c>
      <c r="L69" s="136">
        <v>0</v>
      </c>
      <c r="M69" s="217">
        <v>0</v>
      </c>
      <c r="N69" s="136">
        <v>7.5</v>
      </c>
      <c r="O69" s="136">
        <v>0</v>
      </c>
      <c r="P69" s="218">
        <v>300.10000000000002</v>
      </c>
      <c r="Q69" s="136">
        <v>0</v>
      </c>
      <c r="R69" s="136">
        <v>0</v>
      </c>
      <c r="S69" s="136">
        <v>0</v>
      </c>
      <c r="T69" s="139">
        <v>0</v>
      </c>
      <c r="U69" s="217">
        <v>0</v>
      </c>
      <c r="V69" s="217">
        <v>275</v>
      </c>
      <c r="W69" s="217">
        <v>0</v>
      </c>
      <c r="X69" s="218">
        <v>0</v>
      </c>
      <c r="Y69" s="220">
        <v>120</v>
      </c>
      <c r="Z69" s="164">
        <v>0</v>
      </c>
      <c r="AA69" s="221">
        <v>303</v>
      </c>
      <c r="AB69" s="221">
        <v>0</v>
      </c>
      <c r="AC69" s="222">
        <v>315</v>
      </c>
      <c r="AD69" s="223">
        <v>0</v>
      </c>
      <c r="AE69" s="136"/>
      <c r="AF69" s="136">
        <v>20.7</v>
      </c>
      <c r="AG69" s="224">
        <v>20.7</v>
      </c>
      <c r="AH69" s="136">
        <v>1079.8</v>
      </c>
      <c r="AI69" s="136"/>
      <c r="AJ69" s="136"/>
      <c r="AK69" s="136">
        <f t="shared" si="11"/>
        <v>579.5</v>
      </c>
      <c r="AL69" s="136">
        <f t="shared" si="12"/>
        <v>7.5</v>
      </c>
      <c r="AM69" s="136">
        <f t="shared" si="13"/>
        <v>0</v>
      </c>
      <c r="AN69" s="136">
        <f t="shared" si="14"/>
        <v>0</v>
      </c>
      <c r="AO69" s="136">
        <f t="shared" si="15"/>
        <v>300.10000000000002</v>
      </c>
      <c r="AP69" s="139">
        <f t="shared" si="16"/>
        <v>275</v>
      </c>
      <c r="AQ69" s="136">
        <f t="shared" ref="AQ69:AQ132" si="19">SUM(AD69+AE69)</f>
        <v>0</v>
      </c>
      <c r="AR69" s="136">
        <f t="shared" si="17"/>
        <v>120</v>
      </c>
      <c r="AS69" s="139">
        <f t="shared" si="18"/>
        <v>601</v>
      </c>
      <c r="AT69" s="136"/>
      <c r="AU69" s="136">
        <f t="shared" ref="AU69:AU132" si="20">MAX(AF69,AG69)</f>
        <v>20.7</v>
      </c>
      <c r="AV69" s="225">
        <v>8151319</v>
      </c>
      <c r="AX69" s="136">
        <f>'2024 Legal Max'!AS70</f>
        <v>1067.8</v>
      </c>
      <c r="AY69" s="136">
        <f t="shared" si="10"/>
        <v>-12</v>
      </c>
      <c r="AZ69" s="139">
        <v>140604</v>
      </c>
      <c r="BB69" s="164">
        <v>0</v>
      </c>
      <c r="BC69" s="164">
        <v>7.5</v>
      </c>
    </row>
    <row r="70" spans="1:55">
      <c r="A70" s="216" t="s">
        <v>256</v>
      </c>
      <c r="B70" s="217"/>
      <c r="C70" s="218">
        <v>43747.8</v>
      </c>
      <c r="E70" s="218"/>
      <c r="F70" s="218">
        <v>0</v>
      </c>
      <c r="G70" s="219"/>
      <c r="H70" s="218"/>
      <c r="I70" s="218"/>
      <c r="J70" s="136"/>
      <c r="K70" s="139">
        <v>45875</v>
      </c>
      <c r="L70" s="136">
        <v>0</v>
      </c>
      <c r="M70" s="217">
        <v>0</v>
      </c>
      <c r="N70" s="136">
        <v>852</v>
      </c>
      <c r="O70" s="136">
        <v>0</v>
      </c>
      <c r="P70" s="218">
        <v>10164.200000000001</v>
      </c>
      <c r="Q70" s="136">
        <v>0</v>
      </c>
      <c r="R70" s="136">
        <v>28675.8</v>
      </c>
      <c r="S70" s="136">
        <v>0</v>
      </c>
      <c r="T70" s="139">
        <v>8846</v>
      </c>
      <c r="U70" s="217">
        <v>0</v>
      </c>
      <c r="V70" s="217">
        <v>33239</v>
      </c>
      <c r="W70" s="217">
        <v>0</v>
      </c>
      <c r="X70" s="218">
        <v>1</v>
      </c>
      <c r="Y70" s="220">
        <v>15362</v>
      </c>
      <c r="Z70" s="164">
        <v>0</v>
      </c>
      <c r="AA70" s="221">
        <v>510</v>
      </c>
      <c r="AB70" s="221">
        <v>16.399999999999999</v>
      </c>
      <c r="AC70" s="222">
        <v>0</v>
      </c>
      <c r="AD70" s="223">
        <v>0</v>
      </c>
      <c r="AE70" s="136"/>
      <c r="AF70" s="136">
        <v>3490.1</v>
      </c>
      <c r="AG70" s="224">
        <v>3403.4</v>
      </c>
      <c r="AH70" s="136">
        <v>70141.7</v>
      </c>
      <c r="AI70" s="136"/>
      <c r="AJ70" s="136"/>
      <c r="AK70" s="136">
        <f t="shared" si="11"/>
        <v>43747.8</v>
      </c>
      <c r="AL70" s="136">
        <f t="shared" si="12"/>
        <v>852</v>
      </c>
      <c r="AM70" s="136">
        <f t="shared" si="13"/>
        <v>28675.8</v>
      </c>
      <c r="AN70" s="136">
        <f t="shared" si="14"/>
        <v>8846</v>
      </c>
      <c r="AO70" s="136">
        <f t="shared" si="15"/>
        <v>10164.200000000001</v>
      </c>
      <c r="AP70" s="139">
        <f t="shared" si="16"/>
        <v>33239</v>
      </c>
      <c r="AQ70" s="136">
        <f t="shared" si="19"/>
        <v>0</v>
      </c>
      <c r="AR70" s="136">
        <f t="shared" si="17"/>
        <v>15362</v>
      </c>
      <c r="AS70" s="139">
        <f t="shared" si="18"/>
        <v>45875</v>
      </c>
      <c r="AT70" s="136"/>
      <c r="AU70" s="136">
        <f t="shared" si="20"/>
        <v>3490.1</v>
      </c>
      <c r="AV70" s="225">
        <v>415336778</v>
      </c>
      <c r="AX70" s="136">
        <f>'2024 Legal Max'!AS71</f>
        <v>69740.3</v>
      </c>
      <c r="AY70" s="136">
        <f t="shared" ref="AY70:AY133" si="21">AX70-AH70</f>
        <v>-401.4</v>
      </c>
      <c r="AZ70" s="139">
        <v>18203264</v>
      </c>
      <c r="BA70" s="129" t="s">
        <v>3683</v>
      </c>
      <c r="BB70" s="164">
        <v>0</v>
      </c>
      <c r="BC70" s="164">
        <v>852</v>
      </c>
    </row>
    <row r="71" spans="1:55">
      <c r="A71" s="226" t="s">
        <v>257</v>
      </c>
      <c r="B71" s="217"/>
      <c r="C71" s="218">
        <v>6828.1</v>
      </c>
      <c r="D71" s="129"/>
      <c r="F71" s="218">
        <v>50</v>
      </c>
      <c r="G71" s="219"/>
      <c r="H71" s="218"/>
      <c r="I71" s="218"/>
      <c r="J71" s="136"/>
      <c r="K71" s="139">
        <v>7249</v>
      </c>
      <c r="L71" s="136">
        <v>50</v>
      </c>
      <c r="M71" s="218">
        <v>50</v>
      </c>
      <c r="N71" s="136">
        <v>42</v>
      </c>
      <c r="O71" s="136">
        <v>0</v>
      </c>
      <c r="P71" s="218">
        <v>1525.2</v>
      </c>
      <c r="Q71" s="218">
        <v>0</v>
      </c>
      <c r="R71" s="136">
        <v>1180.0999999999999</v>
      </c>
      <c r="S71" s="218">
        <v>0</v>
      </c>
      <c r="T71" s="139">
        <v>518</v>
      </c>
      <c r="U71" s="218">
        <v>0</v>
      </c>
      <c r="V71" s="217">
        <v>2849</v>
      </c>
      <c r="W71" s="218">
        <v>0</v>
      </c>
      <c r="X71" s="218">
        <v>0</v>
      </c>
      <c r="Y71" s="220">
        <v>1531</v>
      </c>
      <c r="Z71" s="164">
        <v>15</v>
      </c>
      <c r="AA71" s="221">
        <v>4</v>
      </c>
      <c r="AB71" s="221">
        <v>4.9000000000000004</v>
      </c>
      <c r="AC71" s="222">
        <v>0</v>
      </c>
      <c r="AD71" s="223">
        <v>0</v>
      </c>
      <c r="AE71" s="136"/>
      <c r="AF71" s="136">
        <v>80.400000000000006</v>
      </c>
      <c r="AG71" s="224">
        <v>120</v>
      </c>
      <c r="AH71" s="136">
        <v>9037.2999999999993</v>
      </c>
      <c r="AI71" s="136"/>
      <c r="AJ71" s="136"/>
      <c r="AK71" s="136">
        <f t="shared" si="11"/>
        <v>6878.1</v>
      </c>
      <c r="AL71" s="136">
        <f t="shared" si="12"/>
        <v>42</v>
      </c>
      <c r="AM71" s="136">
        <f t="shared" si="13"/>
        <v>1180.0999999999999</v>
      </c>
      <c r="AN71" s="136">
        <f t="shared" si="14"/>
        <v>518</v>
      </c>
      <c r="AO71" s="136">
        <f t="shared" si="15"/>
        <v>1525.2</v>
      </c>
      <c r="AP71" s="139">
        <f t="shared" si="16"/>
        <v>2849</v>
      </c>
      <c r="AQ71" s="136">
        <f t="shared" si="19"/>
        <v>0</v>
      </c>
      <c r="AR71" s="136">
        <f t="shared" si="17"/>
        <v>1546</v>
      </c>
      <c r="AS71" s="139">
        <f t="shared" si="18"/>
        <v>7299</v>
      </c>
      <c r="AT71" s="136"/>
      <c r="AU71" s="136">
        <f t="shared" si="20"/>
        <v>120</v>
      </c>
      <c r="AV71" s="225">
        <v>52949315</v>
      </c>
      <c r="AW71" s="136"/>
      <c r="AX71" s="136">
        <f>'2024 Legal Max'!AS72</f>
        <v>9004.7999999999993</v>
      </c>
      <c r="AY71" s="136">
        <f t="shared" si="21"/>
        <v>-32.5</v>
      </c>
      <c r="AZ71" s="139">
        <v>1266123</v>
      </c>
      <c r="BA71" s="129" t="s">
        <v>3558</v>
      </c>
      <c r="BB71" s="164">
        <v>0</v>
      </c>
      <c r="BC71" s="164">
        <v>42</v>
      </c>
    </row>
    <row r="72" spans="1:55">
      <c r="A72" s="216" t="s">
        <v>258</v>
      </c>
      <c r="B72" s="217"/>
      <c r="C72" s="218">
        <v>5197.2</v>
      </c>
      <c r="E72" s="218"/>
      <c r="F72" s="218">
        <v>0</v>
      </c>
      <c r="G72" s="219"/>
      <c r="H72" s="218"/>
      <c r="I72" s="218"/>
      <c r="J72" s="136"/>
      <c r="K72" s="139">
        <v>5431</v>
      </c>
      <c r="L72" s="136">
        <v>0</v>
      </c>
      <c r="M72" s="217">
        <v>0</v>
      </c>
      <c r="N72" s="136">
        <v>89</v>
      </c>
      <c r="O72" s="136">
        <v>0</v>
      </c>
      <c r="P72" s="218">
        <v>1154.3</v>
      </c>
      <c r="Q72" s="136">
        <v>0</v>
      </c>
      <c r="R72" s="136">
        <v>747.7</v>
      </c>
      <c r="S72" s="136">
        <v>0</v>
      </c>
      <c r="T72" s="139">
        <v>285</v>
      </c>
      <c r="U72" s="217">
        <v>0</v>
      </c>
      <c r="V72" s="217">
        <v>2805</v>
      </c>
      <c r="W72" s="217">
        <v>0</v>
      </c>
      <c r="X72" s="218">
        <v>0</v>
      </c>
      <c r="Y72" s="220">
        <v>2313</v>
      </c>
      <c r="Z72" s="164">
        <v>0</v>
      </c>
      <c r="AA72" s="221">
        <v>97</v>
      </c>
      <c r="AB72" s="221">
        <v>0</v>
      </c>
      <c r="AC72" s="222">
        <v>0</v>
      </c>
      <c r="AD72" s="223">
        <v>0</v>
      </c>
      <c r="AE72" s="136"/>
      <c r="AF72" s="136">
        <v>294.5</v>
      </c>
      <c r="AG72" s="224">
        <v>258.60000000000002</v>
      </c>
      <c r="AH72" s="136">
        <v>7867.8</v>
      </c>
      <c r="AI72" s="136"/>
      <c r="AJ72" s="136"/>
      <c r="AK72" s="136">
        <f t="shared" si="11"/>
        <v>5197.2</v>
      </c>
      <c r="AL72" s="136">
        <f t="shared" si="12"/>
        <v>89</v>
      </c>
      <c r="AM72" s="136">
        <f t="shared" si="13"/>
        <v>747.7</v>
      </c>
      <c r="AN72" s="136">
        <f t="shared" si="14"/>
        <v>285</v>
      </c>
      <c r="AO72" s="136">
        <f t="shared" si="15"/>
        <v>1154.3</v>
      </c>
      <c r="AP72" s="139">
        <f t="shared" si="16"/>
        <v>2805</v>
      </c>
      <c r="AQ72" s="136">
        <f t="shared" si="19"/>
        <v>0</v>
      </c>
      <c r="AR72" s="136">
        <f t="shared" si="17"/>
        <v>2313</v>
      </c>
      <c r="AS72" s="139">
        <f t="shared" si="18"/>
        <v>5431</v>
      </c>
      <c r="AT72" s="136"/>
      <c r="AU72" s="136">
        <f t="shared" si="20"/>
        <v>294.5</v>
      </c>
      <c r="AV72" s="225">
        <v>47810666</v>
      </c>
      <c r="AX72" s="136">
        <f>'2024 Legal Max'!AS73</f>
        <v>7843.2</v>
      </c>
      <c r="AY72" s="136">
        <f t="shared" si="21"/>
        <v>-24.6</v>
      </c>
      <c r="AZ72" s="139">
        <v>2759848</v>
      </c>
      <c r="BB72" s="164">
        <v>0</v>
      </c>
      <c r="BC72" s="164">
        <v>89</v>
      </c>
    </row>
    <row r="73" spans="1:55">
      <c r="A73" s="216" t="s">
        <v>259</v>
      </c>
      <c r="B73" s="217"/>
      <c r="C73" s="218">
        <v>3020.6</v>
      </c>
      <c r="E73" s="218"/>
      <c r="F73" s="218">
        <v>0</v>
      </c>
      <c r="G73" s="219"/>
      <c r="H73" s="218"/>
      <c r="I73" s="218"/>
      <c r="J73" s="136"/>
      <c r="K73" s="139">
        <v>3112</v>
      </c>
      <c r="L73" s="136">
        <v>0</v>
      </c>
      <c r="M73" s="217">
        <v>0</v>
      </c>
      <c r="N73" s="136">
        <v>33</v>
      </c>
      <c r="O73" s="136">
        <v>0</v>
      </c>
      <c r="P73" s="218">
        <v>1006.7</v>
      </c>
      <c r="Q73" s="136">
        <v>0</v>
      </c>
      <c r="R73" s="136">
        <v>339.9</v>
      </c>
      <c r="S73" s="136">
        <v>0</v>
      </c>
      <c r="T73" s="139">
        <v>111</v>
      </c>
      <c r="U73" s="217">
        <v>0</v>
      </c>
      <c r="V73" s="217">
        <v>1121</v>
      </c>
      <c r="W73" s="217">
        <v>0</v>
      </c>
      <c r="X73" s="218">
        <v>0</v>
      </c>
      <c r="Y73" s="220">
        <v>1654</v>
      </c>
      <c r="Z73" s="164">
        <v>0</v>
      </c>
      <c r="AA73" s="221">
        <v>49</v>
      </c>
      <c r="AB73" s="221">
        <v>3.7</v>
      </c>
      <c r="AC73" s="222">
        <v>75</v>
      </c>
      <c r="AD73" s="223">
        <v>2</v>
      </c>
      <c r="AE73" s="136"/>
      <c r="AF73" s="136">
        <v>8</v>
      </c>
      <c r="AG73" s="224">
        <v>18.2</v>
      </c>
      <c r="AH73" s="136">
        <v>4062.1</v>
      </c>
      <c r="AI73" s="136"/>
      <c r="AJ73" s="136"/>
      <c r="AK73" s="136">
        <f t="shared" si="11"/>
        <v>3020.6</v>
      </c>
      <c r="AL73" s="136">
        <f t="shared" si="12"/>
        <v>33</v>
      </c>
      <c r="AM73" s="136">
        <f t="shared" si="13"/>
        <v>339.9</v>
      </c>
      <c r="AN73" s="136">
        <f t="shared" si="14"/>
        <v>111</v>
      </c>
      <c r="AO73" s="136">
        <f t="shared" si="15"/>
        <v>1006.7</v>
      </c>
      <c r="AP73" s="139">
        <f t="shared" si="16"/>
        <v>1121</v>
      </c>
      <c r="AQ73" s="136">
        <f t="shared" si="19"/>
        <v>2</v>
      </c>
      <c r="AR73" s="136">
        <f t="shared" si="17"/>
        <v>1654</v>
      </c>
      <c r="AS73" s="139">
        <f t="shared" si="18"/>
        <v>3112</v>
      </c>
      <c r="AT73" s="136"/>
      <c r="AU73" s="136">
        <f t="shared" si="20"/>
        <v>18.2</v>
      </c>
      <c r="AV73" s="225">
        <v>24731746</v>
      </c>
      <c r="AX73" s="136">
        <f>'2024 Legal Max'!AS74</f>
        <v>4042.4</v>
      </c>
      <c r="AY73" s="136">
        <f t="shared" si="21"/>
        <v>-19.7</v>
      </c>
      <c r="AZ73" s="139">
        <v>990250</v>
      </c>
      <c r="BB73" s="164">
        <v>0</v>
      </c>
      <c r="BC73" s="164">
        <v>33</v>
      </c>
    </row>
    <row r="74" spans="1:55">
      <c r="A74" s="216" t="s">
        <v>260</v>
      </c>
      <c r="B74" s="217"/>
      <c r="C74" s="218">
        <v>1728.3</v>
      </c>
      <c r="E74" s="218"/>
      <c r="F74" s="218">
        <v>0</v>
      </c>
      <c r="G74" s="219"/>
      <c r="H74" s="218"/>
      <c r="I74" s="218"/>
      <c r="J74" s="136"/>
      <c r="K74" s="139">
        <v>1800</v>
      </c>
      <c r="L74" s="136">
        <v>0</v>
      </c>
      <c r="M74" s="217">
        <v>0</v>
      </c>
      <c r="N74" s="136">
        <v>29</v>
      </c>
      <c r="O74" s="136">
        <v>0</v>
      </c>
      <c r="P74" s="218">
        <v>944.2</v>
      </c>
      <c r="Q74" s="136">
        <v>0</v>
      </c>
      <c r="R74" s="136">
        <v>24.2</v>
      </c>
      <c r="S74" s="136">
        <v>0</v>
      </c>
      <c r="T74" s="139">
        <v>13</v>
      </c>
      <c r="U74" s="217">
        <v>0</v>
      </c>
      <c r="V74" s="217">
        <v>630</v>
      </c>
      <c r="W74" s="217">
        <v>0</v>
      </c>
      <c r="X74" s="218">
        <v>0</v>
      </c>
      <c r="Y74" s="220">
        <v>352</v>
      </c>
      <c r="Z74" s="164">
        <v>0</v>
      </c>
      <c r="AA74" s="221">
        <v>0</v>
      </c>
      <c r="AB74" s="221">
        <v>0</v>
      </c>
      <c r="AC74" s="222">
        <v>0</v>
      </c>
      <c r="AD74" s="223">
        <v>0</v>
      </c>
      <c r="AE74" s="136"/>
      <c r="AF74" s="136">
        <v>0</v>
      </c>
      <c r="AG74" s="224">
        <v>6.3</v>
      </c>
      <c r="AH74" s="136">
        <v>2298.4</v>
      </c>
      <c r="AI74" s="136"/>
      <c r="AJ74" s="136"/>
      <c r="AK74" s="136">
        <f t="shared" si="11"/>
        <v>1728.3</v>
      </c>
      <c r="AL74" s="136">
        <f t="shared" si="12"/>
        <v>29</v>
      </c>
      <c r="AM74" s="136">
        <f t="shared" si="13"/>
        <v>24.2</v>
      </c>
      <c r="AN74" s="136">
        <f t="shared" si="14"/>
        <v>13</v>
      </c>
      <c r="AO74" s="136">
        <f t="shared" si="15"/>
        <v>944.2</v>
      </c>
      <c r="AP74" s="139">
        <f t="shared" si="16"/>
        <v>630</v>
      </c>
      <c r="AQ74" s="136">
        <f t="shared" si="19"/>
        <v>0</v>
      </c>
      <c r="AR74" s="136">
        <f t="shared" si="17"/>
        <v>352</v>
      </c>
      <c r="AS74" s="139">
        <f t="shared" si="18"/>
        <v>1800</v>
      </c>
      <c r="AT74" s="136"/>
      <c r="AU74" s="136">
        <f t="shared" si="20"/>
        <v>6.3</v>
      </c>
      <c r="AV74" s="225">
        <v>14034739</v>
      </c>
      <c r="AX74" s="136">
        <f>'2024 Legal Max'!AS75</f>
        <v>2251.6999999999998</v>
      </c>
      <c r="AY74" s="136">
        <f t="shared" si="21"/>
        <v>-46.7</v>
      </c>
      <c r="AZ74" s="139">
        <v>436261</v>
      </c>
      <c r="BB74" s="164">
        <v>0</v>
      </c>
      <c r="BC74" s="164">
        <v>29</v>
      </c>
    </row>
    <row r="75" spans="1:55">
      <c r="A75" s="216" t="s">
        <v>261</v>
      </c>
      <c r="B75" s="217"/>
      <c r="C75" s="218">
        <v>1047.2</v>
      </c>
      <c r="E75" s="218"/>
      <c r="F75" s="218">
        <v>0</v>
      </c>
      <c r="G75" s="219"/>
      <c r="H75" s="218"/>
      <c r="I75" s="218"/>
      <c r="J75" s="136"/>
      <c r="K75" s="139">
        <v>1072</v>
      </c>
      <c r="L75" s="136">
        <v>0</v>
      </c>
      <c r="M75" s="217">
        <v>0</v>
      </c>
      <c r="N75" s="136">
        <v>8.5</v>
      </c>
      <c r="O75" s="136">
        <v>0</v>
      </c>
      <c r="P75" s="218">
        <v>247.2</v>
      </c>
      <c r="Q75" s="136">
        <v>0</v>
      </c>
      <c r="R75" s="136">
        <v>2.7</v>
      </c>
      <c r="S75" s="136">
        <v>0</v>
      </c>
      <c r="T75" s="139">
        <v>5</v>
      </c>
      <c r="U75" s="217">
        <v>0</v>
      </c>
      <c r="V75" s="217">
        <v>309</v>
      </c>
      <c r="W75" s="217">
        <v>0</v>
      </c>
      <c r="X75" s="218">
        <v>0</v>
      </c>
      <c r="Y75" s="220">
        <v>419</v>
      </c>
      <c r="Z75" s="164">
        <v>0</v>
      </c>
      <c r="AA75" s="221">
        <v>0</v>
      </c>
      <c r="AB75" s="221">
        <v>0</v>
      </c>
      <c r="AC75" s="222">
        <v>0</v>
      </c>
      <c r="AD75" s="223">
        <v>0</v>
      </c>
      <c r="AE75" s="136"/>
      <c r="AF75" s="136">
        <v>0</v>
      </c>
      <c r="AG75" s="224">
        <v>0</v>
      </c>
      <c r="AH75" s="136">
        <v>1590.2</v>
      </c>
      <c r="AI75" s="136"/>
      <c r="AJ75" s="136"/>
      <c r="AK75" s="136">
        <f t="shared" si="11"/>
        <v>1047.2</v>
      </c>
      <c r="AL75" s="136">
        <f t="shared" si="12"/>
        <v>8.5</v>
      </c>
      <c r="AM75" s="136">
        <f t="shared" si="13"/>
        <v>2.7</v>
      </c>
      <c r="AN75" s="136">
        <f t="shared" si="14"/>
        <v>5</v>
      </c>
      <c r="AO75" s="136">
        <f t="shared" si="15"/>
        <v>247.2</v>
      </c>
      <c r="AP75" s="139">
        <f t="shared" si="16"/>
        <v>309</v>
      </c>
      <c r="AQ75" s="136">
        <f t="shared" si="19"/>
        <v>0</v>
      </c>
      <c r="AR75" s="136">
        <f t="shared" si="17"/>
        <v>419</v>
      </c>
      <c r="AS75" s="139">
        <f t="shared" si="18"/>
        <v>1072</v>
      </c>
      <c r="AT75" s="136"/>
      <c r="AU75" s="136">
        <f t="shared" si="20"/>
        <v>0</v>
      </c>
      <c r="AV75" s="225">
        <v>9549168</v>
      </c>
      <c r="AX75" s="136">
        <f>'2024 Legal Max'!AS76</f>
        <v>1589.8</v>
      </c>
      <c r="AY75" s="136">
        <f t="shared" si="21"/>
        <v>-0.4</v>
      </c>
      <c r="AZ75" s="139">
        <v>462256</v>
      </c>
      <c r="BA75" s="129" t="s">
        <v>3683</v>
      </c>
      <c r="BB75" s="164">
        <v>0</v>
      </c>
      <c r="BC75" s="164">
        <v>8.5</v>
      </c>
    </row>
    <row r="76" spans="1:55">
      <c r="A76" s="216" t="s">
        <v>262</v>
      </c>
      <c r="B76" s="217"/>
      <c r="C76" s="218">
        <v>5917.1</v>
      </c>
      <c r="E76" s="218"/>
      <c r="F76" s="218">
        <v>0</v>
      </c>
      <c r="G76" s="219"/>
      <c r="H76" s="218"/>
      <c r="I76" s="218"/>
      <c r="J76" s="136"/>
      <c r="K76" s="139">
        <v>6221</v>
      </c>
      <c r="L76" s="136">
        <v>0</v>
      </c>
      <c r="M76" s="217">
        <v>0</v>
      </c>
      <c r="N76" s="136">
        <v>29.5</v>
      </c>
      <c r="O76" s="136">
        <v>0</v>
      </c>
      <c r="P76" s="218">
        <v>1533.3</v>
      </c>
      <c r="Q76" s="136">
        <v>0</v>
      </c>
      <c r="R76" s="136">
        <v>428.9</v>
      </c>
      <c r="S76" s="136">
        <v>0</v>
      </c>
      <c r="T76" s="139">
        <v>143</v>
      </c>
      <c r="U76" s="217">
        <v>0</v>
      </c>
      <c r="V76" s="217">
        <v>1497</v>
      </c>
      <c r="W76" s="217">
        <v>0</v>
      </c>
      <c r="X76" s="218">
        <v>1</v>
      </c>
      <c r="Y76" s="220">
        <v>4089</v>
      </c>
      <c r="Z76" s="164">
        <v>0</v>
      </c>
      <c r="AA76" s="221">
        <v>31</v>
      </c>
      <c r="AB76" s="221">
        <v>2.6</v>
      </c>
      <c r="AC76" s="222">
        <v>40</v>
      </c>
      <c r="AD76" s="223">
        <v>0</v>
      </c>
      <c r="AE76" s="136"/>
      <c r="AF76" s="136">
        <v>0</v>
      </c>
      <c r="AG76" s="224">
        <v>0</v>
      </c>
      <c r="AH76" s="136">
        <v>7691.4</v>
      </c>
      <c r="AI76" s="136"/>
      <c r="AJ76" s="136"/>
      <c r="AK76" s="136">
        <f t="shared" si="11"/>
        <v>5917.1</v>
      </c>
      <c r="AL76" s="136">
        <f t="shared" si="12"/>
        <v>29.5</v>
      </c>
      <c r="AM76" s="136">
        <f t="shared" si="13"/>
        <v>428.9</v>
      </c>
      <c r="AN76" s="136">
        <f t="shared" si="14"/>
        <v>143</v>
      </c>
      <c r="AO76" s="136">
        <f t="shared" si="15"/>
        <v>1533.3</v>
      </c>
      <c r="AP76" s="139">
        <f t="shared" si="16"/>
        <v>1497</v>
      </c>
      <c r="AQ76" s="136">
        <f t="shared" si="19"/>
        <v>0</v>
      </c>
      <c r="AR76" s="136">
        <f t="shared" si="17"/>
        <v>4089</v>
      </c>
      <c r="AS76" s="139">
        <f t="shared" si="18"/>
        <v>6221</v>
      </c>
      <c r="AT76" s="136"/>
      <c r="AU76" s="136">
        <f t="shared" si="20"/>
        <v>0</v>
      </c>
      <c r="AV76" s="225">
        <v>47125676</v>
      </c>
      <c r="AX76" s="136">
        <f>'2024 Legal Max'!AS77</f>
        <v>7676</v>
      </c>
      <c r="AY76" s="136">
        <f t="shared" si="21"/>
        <v>-15.4</v>
      </c>
      <c r="AZ76" s="139">
        <v>2861638</v>
      </c>
      <c r="BA76" s="129" t="s">
        <v>3554</v>
      </c>
      <c r="BB76" s="164">
        <v>0</v>
      </c>
      <c r="BC76" s="164">
        <v>29.5</v>
      </c>
    </row>
    <row r="77" spans="1:55">
      <c r="A77" s="216" t="s">
        <v>263</v>
      </c>
      <c r="B77" s="217"/>
      <c r="C77" s="218">
        <v>7326.5</v>
      </c>
      <c r="E77" s="218"/>
      <c r="F77" s="218">
        <v>0</v>
      </c>
      <c r="G77" s="219"/>
      <c r="H77" s="218"/>
      <c r="I77" s="218"/>
      <c r="J77" s="136"/>
      <c r="K77" s="139">
        <v>7475</v>
      </c>
      <c r="L77" s="136">
        <v>0</v>
      </c>
      <c r="M77" s="217">
        <v>0</v>
      </c>
      <c r="N77" s="136">
        <v>47.5</v>
      </c>
      <c r="O77" s="136">
        <v>0</v>
      </c>
      <c r="P77" s="218">
        <v>2572.6999999999998</v>
      </c>
      <c r="Q77" s="136">
        <v>0</v>
      </c>
      <c r="R77" s="136">
        <v>517.6</v>
      </c>
      <c r="S77" s="136">
        <v>0</v>
      </c>
      <c r="T77" s="139">
        <v>237</v>
      </c>
      <c r="U77" s="217">
        <v>0</v>
      </c>
      <c r="V77" s="217">
        <v>1812</v>
      </c>
      <c r="W77" s="217">
        <v>0</v>
      </c>
      <c r="X77" s="218">
        <v>3</v>
      </c>
      <c r="Y77" s="220">
        <v>4501</v>
      </c>
      <c r="Z77" s="164">
        <v>0</v>
      </c>
      <c r="AA77" s="221">
        <v>472</v>
      </c>
      <c r="AB77" s="221">
        <v>0</v>
      </c>
      <c r="AC77" s="222">
        <v>0</v>
      </c>
      <c r="AD77" s="223">
        <v>0</v>
      </c>
      <c r="AE77" s="136"/>
      <c r="AF77" s="136">
        <v>0</v>
      </c>
      <c r="AG77" s="224">
        <v>0</v>
      </c>
      <c r="AH77" s="136">
        <v>9535.2999999999993</v>
      </c>
      <c r="AI77" s="136"/>
      <c r="AJ77" s="136"/>
      <c r="AK77" s="136">
        <f t="shared" si="11"/>
        <v>7326.5</v>
      </c>
      <c r="AL77" s="136">
        <f t="shared" si="12"/>
        <v>47.5</v>
      </c>
      <c r="AM77" s="136">
        <f t="shared" si="13"/>
        <v>517.6</v>
      </c>
      <c r="AN77" s="136">
        <f t="shared" si="14"/>
        <v>237</v>
      </c>
      <c r="AO77" s="136">
        <f t="shared" si="15"/>
        <v>2572.6999999999998</v>
      </c>
      <c r="AP77" s="139">
        <f t="shared" si="16"/>
        <v>1812</v>
      </c>
      <c r="AQ77" s="136">
        <f t="shared" si="19"/>
        <v>0</v>
      </c>
      <c r="AR77" s="136">
        <f t="shared" si="17"/>
        <v>4501</v>
      </c>
      <c r="AS77" s="139">
        <f t="shared" si="18"/>
        <v>7475</v>
      </c>
      <c r="AT77" s="136"/>
      <c r="AU77" s="136">
        <f t="shared" si="20"/>
        <v>0</v>
      </c>
      <c r="AV77" s="225">
        <v>61516013</v>
      </c>
      <c r="AX77" s="136">
        <f>'2024 Legal Max'!AS78</f>
        <v>9519.9</v>
      </c>
      <c r="AY77" s="136">
        <f t="shared" si="21"/>
        <v>-15.4</v>
      </c>
      <c r="AZ77" s="139">
        <v>2766192</v>
      </c>
      <c r="BB77" s="164">
        <v>0</v>
      </c>
      <c r="BC77" s="164">
        <v>47.5</v>
      </c>
    </row>
    <row r="78" spans="1:55">
      <c r="A78" s="216" t="s">
        <v>264</v>
      </c>
      <c r="B78" s="217"/>
      <c r="C78" s="218">
        <v>1858.2</v>
      </c>
      <c r="E78" s="218"/>
      <c r="F78" s="218">
        <v>0</v>
      </c>
      <c r="G78" s="219"/>
      <c r="H78" s="218"/>
      <c r="I78" s="218"/>
      <c r="J78" s="136"/>
      <c r="K78" s="139">
        <v>1966</v>
      </c>
      <c r="L78" s="136">
        <v>0</v>
      </c>
      <c r="M78" s="217">
        <v>0</v>
      </c>
      <c r="N78" s="136">
        <v>46.5</v>
      </c>
      <c r="O78" s="136">
        <v>0</v>
      </c>
      <c r="P78" s="218">
        <v>1121</v>
      </c>
      <c r="Q78" s="136">
        <v>0</v>
      </c>
      <c r="R78" s="136">
        <v>0</v>
      </c>
      <c r="S78" s="136">
        <v>0</v>
      </c>
      <c r="T78" s="139">
        <v>0</v>
      </c>
      <c r="U78" s="217">
        <v>0</v>
      </c>
      <c r="V78" s="217">
        <v>242</v>
      </c>
      <c r="W78" s="217">
        <v>0</v>
      </c>
      <c r="X78" s="218">
        <v>0</v>
      </c>
      <c r="Y78" s="220">
        <v>696</v>
      </c>
      <c r="Z78" s="164">
        <v>0</v>
      </c>
      <c r="AA78" s="221">
        <v>5</v>
      </c>
      <c r="AB78" s="221">
        <v>0</v>
      </c>
      <c r="AC78" s="222">
        <v>0</v>
      </c>
      <c r="AD78" s="223">
        <v>0</v>
      </c>
      <c r="AE78" s="136"/>
      <c r="AF78" s="136">
        <v>0</v>
      </c>
      <c r="AG78" s="224">
        <v>0</v>
      </c>
      <c r="AH78" s="136">
        <v>2289.6999999999998</v>
      </c>
      <c r="AI78" s="136"/>
      <c r="AJ78" s="136"/>
      <c r="AK78" s="136">
        <f t="shared" si="11"/>
        <v>1858.2</v>
      </c>
      <c r="AL78" s="136">
        <f t="shared" si="12"/>
        <v>46.5</v>
      </c>
      <c r="AM78" s="136">
        <f t="shared" si="13"/>
        <v>0</v>
      </c>
      <c r="AN78" s="136">
        <f t="shared" si="14"/>
        <v>0</v>
      </c>
      <c r="AO78" s="136">
        <f t="shared" si="15"/>
        <v>1121</v>
      </c>
      <c r="AP78" s="139">
        <f t="shared" si="16"/>
        <v>242</v>
      </c>
      <c r="AQ78" s="136">
        <f t="shared" si="19"/>
        <v>0</v>
      </c>
      <c r="AR78" s="136">
        <f t="shared" si="17"/>
        <v>696</v>
      </c>
      <c r="AS78" s="139">
        <f t="shared" si="18"/>
        <v>1966</v>
      </c>
      <c r="AT78" s="136"/>
      <c r="AU78" s="136">
        <f t="shared" si="20"/>
        <v>0</v>
      </c>
      <c r="AV78" s="225">
        <v>14476495</v>
      </c>
      <c r="AX78" s="136">
        <f>'2024 Legal Max'!AS79</f>
        <v>2274.4</v>
      </c>
      <c r="AY78" s="136">
        <f t="shared" si="21"/>
        <v>-15.3</v>
      </c>
      <c r="AZ78" s="139">
        <v>659279</v>
      </c>
      <c r="BA78" s="129" t="s">
        <v>3683</v>
      </c>
      <c r="BB78" s="164">
        <v>0</v>
      </c>
      <c r="BC78" s="164">
        <v>46.5</v>
      </c>
    </row>
    <row r="79" spans="1:55">
      <c r="A79" s="216" t="s">
        <v>265</v>
      </c>
      <c r="B79" s="217"/>
      <c r="C79" s="218">
        <v>747</v>
      </c>
      <c r="E79" s="218"/>
      <c r="F79" s="218">
        <v>0</v>
      </c>
      <c r="G79" s="219"/>
      <c r="H79" s="218"/>
      <c r="I79" s="218"/>
      <c r="J79" s="136"/>
      <c r="K79" s="139">
        <v>775</v>
      </c>
      <c r="L79" s="136">
        <v>0</v>
      </c>
      <c r="M79" s="217">
        <v>0</v>
      </c>
      <c r="N79" s="136">
        <v>12.5</v>
      </c>
      <c r="O79" s="136">
        <v>0</v>
      </c>
      <c r="P79" s="218">
        <v>268.5</v>
      </c>
      <c r="Q79" s="136">
        <v>0</v>
      </c>
      <c r="R79" s="136">
        <v>0</v>
      </c>
      <c r="S79" s="136">
        <v>0</v>
      </c>
      <c r="T79" s="139">
        <v>0</v>
      </c>
      <c r="U79" s="217">
        <v>0</v>
      </c>
      <c r="V79" s="217">
        <v>202</v>
      </c>
      <c r="W79" s="217">
        <v>0</v>
      </c>
      <c r="X79" s="218">
        <v>0</v>
      </c>
      <c r="Y79" s="220">
        <v>193</v>
      </c>
      <c r="Z79" s="164">
        <v>0</v>
      </c>
      <c r="AA79" s="221">
        <v>0</v>
      </c>
      <c r="AB79" s="221">
        <v>0</v>
      </c>
      <c r="AC79" s="222">
        <v>0</v>
      </c>
      <c r="AD79" s="223">
        <v>0</v>
      </c>
      <c r="AE79" s="136"/>
      <c r="AF79" s="136">
        <v>0</v>
      </c>
      <c r="AG79" s="224">
        <v>0</v>
      </c>
      <c r="AH79" s="136">
        <v>1210.8</v>
      </c>
      <c r="AI79" s="136"/>
      <c r="AJ79" s="136"/>
      <c r="AK79" s="136">
        <f t="shared" si="11"/>
        <v>747</v>
      </c>
      <c r="AL79" s="136">
        <f t="shared" si="12"/>
        <v>12.5</v>
      </c>
      <c r="AM79" s="136">
        <f t="shared" si="13"/>
        <v>0</v>
      </c>
      <c r="AN79" s="136">
        <f t="shared" si="14"/>
        <v>0</v>
      </c>
      <c r="AO79" s="136">
        <f t="shared" si="15"/>
        <v>268.5</v>
      </c>
      <c r="AP79" s="139">
        <f t="shared" si="16"/>
        <v>202</v>
      </c>
      <c r="AQ79" s="136">
        <f t="shared" si="19"/>
        <v>0</v>
      </c>
      <c r="AR79" s="136">
        <f t="shared" si="17"/>
        <v>193</v>
      </c>
      <c r="AS79" s="139">
        <f t="shared" si="18"/>
        <v>775</v>
      </c>
      <c r="AT79" s="136"/>
      <c r="AU79" s="136">
        <f t="shared" si="20"/>
        <v>0</v>
      </c>
      <c r="AV79" s="225">
        <v>7344019</v>
      </c>
      <c r="AX79" s="136">
        <f>'2024 Legal Max'!AS80</f>
        <v>1214.7</v>
      </c>
      <c r="AY79" s="136">
        <f t="shared" si="21"/>
        <v>3.9</v>
      </c>
      <c r="AZ79" s="139">
        <v>227183</v>
      </c>
      <c r="BB79" s="164">
        <v>0</v>
      </c>
      <c r="BC79" s="164">
        <v>12.5</v>
      </c>
    </row>
    <row r="80" spans="1:55">
      <c r="A80" s="216" t="s">
        <v>266</v>
      </c>
      <c r="B80" s="217"/>
      <c r="C80" s="218">
        <v>70.5</v>
      </c>
      <c r="E80" s="218"/>
      <c r="F80" s="218">
        <v>0</v>
      </c>
      <c r="G80" s="219"/>
      <c r="H80" s="218"/>
      <c r="I80" s="218"/>
      <c r="J80" s="136"/>
      <c r="K80" s="139">
        <v>79</v>
      </c>
      <c r="L80" s="136">
        <v>0</v>
      </c>
      <c r="M80" s="217">
        <v>0</v>
      </c>
      <c r="N80" s="136">
        <v>4</v>
      </c>
      <c r="O80" s="136">
        <v>0</v>
      </c>
      <c r="P80" s="218">
        <v>15.7</v>
      </c>
      <c r="Q80" s="136">
        <v>0</v>
      </c>
      <c r="R80" s="136">
        <v>0</v>
      </c>
      <c r="S80" s="136">
        <v>0</v>
      </c>
      <c r="T80" s="139">
        <v>0</v>
      </c>
      <c r="U80" s="217">
        <v>0</v>
      </c>
      <c r="V80" s="217">
        <v>30</v>
      </c>
      <c r="W80" s="217">
        <v>0</v>
      </c>
      <c r="X80" s="218">
        <v>0</v>
      </c>
      <c r="Y80" s="220">
        <v>40</v>
      </c>
      <c r="Z80" s="164">
        <v>0</v>
      </c>
      <c r="AA80" s="221">
        <v>0</v>
      </c>
      <c r="AB80" s="221">
        <v>0</v>
      </c>
      <c r="AC80" s="222">
        <v>0</v>
      </c>
      <c r="AD80" s="223">
        <v>0</v>
      </c>
      <c r="AE80" s="136"/>
      <c r="AF80" s="136">
        <v>0.6</v>
      </c>
      <c r="AG80" s="224">
        <v>2.2999999999999998</v>
      </c>
      <c r="AH80" s="136">
        <v>210.3</v>
      </c>
      <c r="AI80" s="136"/>
      <c r="AJ80" s="136"/>
      <c r="AK80" s="136">
        <f t="shared" si="11"/>
        <v>70.5</v>
      </c>
      <c r="AL80" s="136">
        <f t="shared" si="12"/>
        <v>4</v>
      </c>
      <c r="AM80" s="136">
        <f t="shared" si="13"/>
        <v>0</v>
      </c>
      <c r="AN80" s="136">
        <f t="shared" si="14"/>
        <v>0</v>
      </c>
      <c r="AO80" s="136">
        <f t="shared" si="15"/>
        <v>15.7</v>
      </c>
      <c r="AP80" s="139">
        <f t="shared" si="16"/>
        <v>30</v>
      </c>
      <c r="AQ80" s="136">
        <f t="shared" si="19"/>
        <v>0</v>
      </c>
      <c r="AR80" s="136">
        <f t="shared" si="17"/>
        <v>40</v>
      </c>
      <c r="AS80" s="139">
        <f t="shared" si="18"/>
        <v>79</v>
      </c>
      <c r="AT80" s="136"/>
      <c r="AU80" s="136">
        <f t="shared" si="20"/>
        <v>2.2999999999999998</v>
      </c>
      <c r="AV80" s="225">
        <v>1281667</v>
      </c>
      <c r="AX80" s="136">
        <f>'2024 Legal Max'!AS81</f>
        <v>206.6</v>
      </c>
      <c r="AY80" s="136">
        <f t="shared" si="21"/>
        <v>-3.7</v>
      </c>
      <c r="AZ80" s="139">
        <v>69246</v>
      </c>
      <c r="BB80" s="164">
        <v>0</v>
      </c>
      <c r="BC80" s="164">
        <v>4</v>
      </c>
    </row>
    <row r="81" spans="1:55">
      <c r="A81" s="216" t="s">
        <v>267</v>
      </c>
      <c r="B81" s="217"/>
      <c r="C81" s="218">
        <v>385.5</v>
      </c>
      <c r="E81" s="218"/>
      <c r="F81" s="218">
        <v>0</v>
      </c>
      <c r="G81" s="219"/>
      <c r="H81" s="218"/>
      <c r="I81" s="218"/>
      <c r="J81" s="136"/>
      <c r="K81" s="139">
        <v>410</v>
      </c>
      <c r="L81" s="136">
        <v>0</v>
      </c>
      <c r="M81" s="217">
        <v>0</v>
      </c>
      <c r="N81" s="136">
        <v>10</v>
      </c>
      <c r="O81" s="136">
        <v>0</v>
      </c>
      <c r="P81" s="218">
        <v>145.19999999999999</v>
      </c>
      <c r="Q81" s="136">
        <v>0</v>
      </c>
      <c r="R81" s="136">
        <v>0</v>
      </c>
      <c r="S81" s="136">
        <v>0</v>
      </c>
      <c r="T81" s="139">
        <v>0</v>
      </c>
      <c r="U81" s="217">
        <v>0</v>
      </c>
      <c r="V81" s="217">
        <v>152</v>
      </c>
      <c r="W81" s="217">
        <v>0</v>
      </c>
      <c r="X81" s="218">
        <v>0</v>
      </c>
      <c r="Y81" s="220">
        <v>37</v>
      </c>
      <c r="Z81" s="164">
        <v>0</v>
      </c>
      <c r="AA81" s="221">
        <v>0</v>
      </c>
      <c r="AB81" s="221">
        <v>0</v>
      </c>
      <c r="AC81" s="222">
        <v>0</v>
      </c>
      <c r="AD81" s="223">
        <v>0</v>
      </c>
      <c r="AE81" s="136"/>
      <c r="AF81" s="136">
        <v>2.2000000000000002</v>
      </c>
      <c r="AG81" s="224">
        <v>3.3</v>
      </c>
      <c r="AH81" s="136">
        <v>668.9</v>
      </c>
      <c r="AI81" s="136"/>
      <c r="AJ81" s="136"/>
      <c r="AK81" s="136">
        <f t="shared" si="11"/>
        <v>385.5</v>
      </c>
      <c r="AL81" s="136">
        <f t="shared" si="12"/>
        <v>10</v>
      </c>
      <c r="AM81" s="136">
        <f t="shared" si="13"/>
        <v>0</v>
      </c>
      <c r="AN81" s="136">
        <f t="shared" si="14"/>
        <v>0</v>
      </c>
      <c r="AO81" s="136">
        <f t="shared" si="15"/>
        <v>145.19999999999999</v>
      </c>
      <c r="AP81" s="139">
        <f t="shared" si="16"/>
        <v>152</v>
      </c>
      <c r="AQ81" s="136">
        <f t="shared" si="19"/>
        <v>0</v>
      </c>
      <c r="AR81" s="136">
        <f t="shared" si="17"/>
        <v>37</v>
      </c>
      <c r="AS81" s="139">
        <f t="shared" si="18"/>
        <v>410</v>
      </c>
      <c r="AT81" s="136"/>
      <c r="AU81" s="136">
        <f t="shared" si="20"/>
        <v>3.3</v>
      </c>
      <c r="AV81" s="225">
        <v>3836861</v>
      </c>
      <c r="AX81" s="136">
        <f>'2024 Legal Max'!AS82</f>
        <v>665.6</v>
      </c>
      <c r="AY81" s="136">
        <f t="shared" si="21"/>
        <v>-3.3</v>
      </c>
      <c r="AZ81" s="139">
        <v>78813</v>
      </c>
      <c r="BB81" s="164">
        <v>0</v>
      </c>
      <c r="BC81" s="164">
        <v>10</v>
      </c>
    </row>
    <row r="82" spans="1:55">
      <c r="A82" s="216" t="s">
        <v>268</v>
      </c>
      <c r="B82" s="217"/>
      <c r="C82" s="218">
        <v>266.3</v>
      </c>
      <c r="E82" s="218"/>
      <c r="F82" s="218">
        <v>0</v>
      </c>
      <c r="G82" s="219"/>
      <c r="H82" s="218"/>
      <c r="I82" s="218"/>
      <c r="J82" s="136"/>
      <c r="K82" s="139">
        <v>288</v>
      </c>
      <c r="L82" s="136">
        <v>0</v>
      </c>
      <c r="M82" s="217">
        <v>0</v>
      </c>
      <c r="N82" s="136">
        <v>8</v>
      </c>
      <c r="O82" s="136">
        <v>0</v>
      </c>
      <c r="P82" s="218">
        <v>99.2</v>
      </c>
      <c r="Q82" s="136">
        <v>0</v>
      </c>
      <c r="R82" s="136">
        <v>0</v>
      </c>
      <c r="S82" s="136">
        <v>0</v>
      </c>
      <c r="T82" s="139">
        <v>2</v>
      </c>
      <c r="U82" s="217">
        <v>0</v>
      </c>
      <c r="V82" s="217">
        <v>142</v>
      </c>
      <c r="W82" s="217">
        <v>0</v>
      </c>
      <c r="X82" s="218">
        <v>0</v>
      </c>
      <c r="Y82" s="220">
        <v>51</v>
      </c>
      <c r="Z82" s="164">
        <v>0</v>
      </c>
      <c r="AA82" s="221">
        <v>0</v>
      </c>
      <c r="AB82" s="221">
        <v>0</v>
      </c>
      <c r="AC82" s="222">
        <v>0</v>
      </c>
      <c r="AD82" s="223">
        <v>0</v>
      </c>
      <c r="AE82" s="136"/>
      <c r="AF82" s="136">
        <v>14.2</v>
      </c>
      <c r="AG82" s="224">
        <v>13</v>
      </c>
      <c r="AH82" s="136">
        <v>575</v>
      </c>
      <c r="AI82" s="136"/>
      <c r="AJ82" s="136"/>
      <c r="AK82" s="136">
        <f t="shared" si="11"/>
        <v>266.3</v>
      </c>
      <c r="AL82" s="136">
        <f t="shared" si="12"/>
        <v>8</v>
      </c>
      <c r="AM82" s="136">
        <f t="shared" si="13"/>
        <v>0</v>
      </c>
      <c r="AN82" s="136">
        <f t="shared" si="14"/>
        <v>2</v>
      </c>
      <c r="AO82" s="136">
        <f t="shared" si="15"/>
        <v>99.2</v>
      </c>
      <c r="AP82" s="139">
        <f t="shared" si="16"/>
        <v>142</v>
      </c>
      <c r="AQ82" s="136">
        <f t="shared" si="19"/>
        <v>0</v>
      </c>
      <c r="AR82" s="136">
        <f t="shared" si="17"/>
        <v>51</v>
      </c>
      <c r="AS82" s="139">
        <f t="shared" si="18"/>
        <v>288</v>
      </c>
      <c r="AT82" s="136"/>
      <c r="AU82" s="136">
        <f t="shared" si="20"/>
        <v>14.2</v>
      </c>
      <c r="AV82" s="225">
        <v>3244618</v>
      </c>
      <c r="AX82" s="136">
        <f>'2024 Legal Max'!AS83</f>
        <v>569.70000000000005</v>
      </c>
      <c r="AY82" s="136">
        <f t="shared" si="21"/>
        <v>-5.3</v>
      </c>
      <c r="AZ82" s="139">
        <v>119909</v>
      </c>
      <c r="BB82" s="164">
        <v>0</v>
      </c>
      <c r="BC82" s="164">
        <v>8</v>
      </c>
    </row>
    <row r="83" spans="1:55">
      <c r="A83" s="216" t="s">
        <v>269</v>
      </c>
      <c r="B83" s="217"/>
      <c r="C83" s="218">
        <v>293.2</v>
      </c>
      <c r="E83" s="218"/>
      <c r="F83" s="218">
        <v>0</v>
      </c>
      <c r="G83" s="219"/>
      <c r="H83" s="218"/>
      <c r="I83" s="218"/>
      <c r="J83" s="136"/>
      <c r="K83" s="139">
        <v>319</v>
      </c>
      <c r="L83" s="136">
        <v>0</v>
      </c>
      <c r="M83" s="217">
        <v>0</v>
      </c>
      <c r="N83" s="136">
        <v>10.5</v>
      </c>
      <c r="O83" s="136">
        <v>0</v>
      </c>
      <c r="P83" s="218">
        <v>146.6</v>
      </c>
      <c r="Q83" s="136">
        <v>0</v>
      </c>
      <c r="R83" s="136">
        <v>0</v>
      </c>
      <c r="S83" s="136">
        <v>0</v>
      </c>
      <c r="T83" s="139">
        <v>0</v>
      </c>
      <c r="U83" s="217">
        <v>0</v>
      </c>
      <c r="V83" s="217">
        <v>137</v>
      </c>
      <c r="W83" s="217">
        <v>0</v>
      </c>
      <c r="X83" s="218">
        <v>0</v>
      </c>
      <c r="Y83" s="220">
        <v>156</v>
      </c>
      <c r="Z83" s="164">
        <v>0</v>
      </c>
      <c r="AA83" s="221">
        <v>0</v>
      </c>
      <c r="AB83" s="221">
        <v>0</v>
      </c>
      <c r="AC83" s="222">
        <v>0</v>
      </c>
      <c r="AD83" s="223">
        <v>0</v>
      </c>
      <c r="AE83" s="136"/>
      <c r="AF83" s="136">
        <v>7.6</v>
      </c>
      <c r="AG83" s="224">
        <v>12.1</v>
      </c>
      <c r="AH83" s="136">
        <v>587.5</v>
      </c>
      <c r="AI83" s="136"/>
      <c r="AJ83" s="136"/>
      <c r="AK83" s="136">
        <f t="shared" si="11"/>
        <v>293.2</v>
      </c>
      <c r="AL83" s="136">
        <f t="shared" si="12"/>
        <v>10.5</v>
      </c>
      <c r="AM83" s="136">
        <f t="shared" si="13"/>
        <v>0</v>
      </c>
      <c r="AN83" s="136">
        <f t="shared" si="14"/>
        <v>0</v>
      </c>
      <c r="AO83" s="136">
        <f t="shared" si="15"/>
        <v>146.6</v>
      </c>
      <c r="AP83" s="139">
        <f t="shared" si="16"/>
        <v>137</v>
      </c>
      <c r="AQ83" s="136">
        <f t="shared" si="19"/>
        <v>0</v>
      </c>
      <c r="AR83" s="136">
        <f t="shared" si="17"/>
        <v>156</v>
      </c>
      <c r="AS83" s="139">
        <f t="shared" si="18"/>
        <v>319</v>
      </c>
      <c r="AT83" s="136"/>
      <c r="AU83" s="136">
        <f t="shared" si="20"/>
        <v>12.1</v>
      </c>
      <c r="AV83" s="225">
        <v>3418627</v>
      </c>
      <c r="AX83" s="136">
        <f>'2024 Legal Max'!AS84</f>
        <v>582</v>
      </c>
      <c r="AY83" s="136">
        <f t="shared" si="21"/>
        <v>-5.5</v>
      </c>
      <c r="AZ83" s="139">
        <v>202128</v>
      </c>
      <c r="BB83" s="164">
        <v>0</v>
      </c>
      <c r="BC83" s="164">
        <v>10.5</v>
      </c>
    </row>
    <row r="84" spans="1:55">
      <c r="A84" s="216" t="s">
        <v>270</v>
      </c>
      <c r="B84" s="217"/>
      <c r="C84" s="218">
        <v>798.7</v>
      </c>
      <c r="E84" s="218"/>
      <c r="F84" s="218">
        <v>0</v>
      </c>
      <c r="G84" s="219"/>
      <c r="H84" s="218"/>
      <c r="I84" s="218"/>
      <c r="J84" s="136"/>
      <c r="K84" s="139">
        <v>878</v>
      </c>
      <c r="L84" s="136">
        <v>0</v>
      </c>
      <c r="M84" s="217">
        <v>0</v>
      </c>
      <c r="N84" s="136">
        <v>30</v>
      </c>
      <c r="O84" s="136">
        <v>0</v>
      </c>
      <c r="P84" s="218">
        <v>264.5</v>
      </c>
      <c r="Q84" s="136">
        <v>0</v>
      </c>
      <c r="R84" s="136">
        <v>18.3</v>
      </c>
      <c r="S84" s="136">
        <v>0</v>
      </c>
      <c r="T84" s="139">
        <v>13</v>
      </c>
      <c r="U84" s="217">
        <v>0</v>
      </c>
      <c r="V84" s="217">
        <v>303</v>
      </c>
      <c r="W84" s="217">
        <v>0</v>
      </c>
      <c r="X84" s="218">
        <v>0</v>
      </c>
      <c r="Y84" s="220">
        <v>150</v>
      </c>
      <c r="Z84" s="164">
        <v>0</v>
      </c>
      <c r="AA84" s="221">
        <v>0</v>
      </c>
      <c r="AB84" s="221">
        <v>0</v>
      </c>
      <c r="AC84" s="222">
        <v>0</v>
      </c>
      <c r="AD84" s="223">
        <v>0</v>
      </c>
      <c r="AE84" s="136"/>
      <c r="AF84" s="136">
        <v>0</v>
      </c>
      <c r="AG84" s="224">
        <v>1</v>
      </c>
      <c r="AH84" s="136">
        <v>1269.8</v>
      </c>
      <c r="AI84" s="136"/>
      <c r="AJ84" s="136"/>
      <c r="AK84" s="136">
        <f t="shared" si="11"/>
        <v>798.7</v>
      </c>
      <c r="AL84" s="136">
        <f t="shared" si="12"/>
        <v>30</v>
      </c>
      <c r="AM84" s="136">
        <f t="shared" si="13"/>
        <v>18.3</v>
      </c>
      <c r="AN84" s="136">
        <f t="shared" si="14"/>
        <v>13</v>
      </c>
      <c r="AO84" s="136">
        <f t="shared" si="15"/>
        <v>264.5</v>
      </c>
      <c r="AP84" s="139">
        <f t="shared" si="16"/>
        <v>303</v>
      </c>
      <c r="AQ84" s="136">
        <f t="shared" si="19"/>
        <v>0</v>
      </c>
      <c r="AR84" s="136">
        <f t="shared" si="17"/>
        <v>150</v>
      </c>
      <c r="AS84" s="139">
        <f t="shared" si="18"/>
        <v>878</v>
      </c>
      <c r="AT84" s="136"/>
      <c r="AU84" s="136">
        <f t="shared" si="20"/>
        <v>1</v>
      </c>
      <c r="AV84" s="225">
        <v>7639123</v>
      </c>
      <c r="AX84" s="136">
        <f>'2024 Legal Max'!AS85</f>
        <v>1265.5</v>
      </c>
      <c r="AY84" s="136">
        <f t="shared" si="21"/>
        <v>-4.3</v>
      </c>
      <c r="AZ84" s="139">
        <v>490463</v>
      </c>
      <c r="BB84" s="164">
        <v>0</v>
      </c>
      <c r="BC84" s="164">
        <v>30</v>
      </c>
    </row>
    <row r="85" spans="1:55">
      <c r="A85" s="216" t="s">
        <v>271</v>
      </c>
      <c r="B85" s="217"/>
      <c r="C85" s="218">
        <v>399.4</v>
      </c>
      <c r="E85" s="218"/>
      <c r="F85" s="218">
        <v>0</v>
      </c>
      <c r="G85" s="219"/>
      <c r="H85" s="218"/>
      <c r="I85" s="218"/>
      <c r="J85" s="136"/>
      <c r="K85" s="139">
        <v>409</v>
      </c>
      <c r="L85" s="136">
        <v>0</v>
      </c>
      <c r="M85" s="217">
        <v>0</v>
      </c>
      <c r="N85" s="136">
        <v>0</v>
      </c>
      <c r="O85" s="136">
        <v>0</v>
      </c>
      <c r="P85" s="218">
        <v>123.6</v>
      </c>
      <c r="Q85" s="136">
        <v>0</v>
      </c>
      <c r="R85" s="136">
        <v>1.7</v>
      </c>
      <c r="S85" s="136">
        <v>0</v>
      </c>
      <c r="T85" s="139">
        <v>21</v>
      </c>
      <c r="U85" s="217">
        <v>0</v>
      </c>
      <c r="V85" s="217">
        <v>139</v>
      </c>
      <c r="W85" s="217">
        <v>0</v>
      </c>
      <c r="X85" s="218">
        <v>0</v>
      </c>
      <c r="Y85" s="220">
        <v>61</v>
      </c>
      <c r="Z85" s="164">
        <v>0</v>
      </c>
      <c r="AA85" s="221">
        <v>0</v>
      </c>
      <c r="AB85" s="221">
        <v>0</v>
      </c>
      <c r="AC85" s="222">
        <v>0</v>
      </c>
      <c r="AD85" s="223">
        <v>0</v>
      </c>
      <c r="AE85" s="136"/>
      <c r="AF85" s="136">
        <v>0</v>
      </c>
      <c r="AG85" s="224">
        <v>0.2</v>
      </c>
      <c r="AH85" s="136">
        <v>717.3</v>
      </c>
      <c r="AI85" s="136"/>
      <c r="AJ85" s="136"/>
      <c r="AK85" s="136">
        <f t="shared" si="11"/>
        <v>399.4</v>
      </c>
      <c r="AL85" s="136">
        <f t="shared" si="12"/>
        <v>0</v>
      </c>
      <c r="AM85" s="136">
        <f t="shared" si="13"/>
        <v>1.7</v>
      </c>
      <c r="AN85" s="136">
        <f t="shared" si="14"/>
        <v>21</v>
      </c>
      <c r="AO85" s="136">
        <f t="shared" si="15"/>
        <v>123.6</v>
      </c>
      <c r="AP85" s="139">
        <f t="shared" si="16"/>
        <v>139</v>
      </c>
      <c r="AQ85" s="136">
        <f t="shared" si="19"/>
        <v>0</v>
      </c>
      <c r="AR85" s="136">
        <f t="shared" si="17"/>
        <v>61</v>
      </c>
      <c r="AS85" s="139">
        <f t="shared" si="18"/>
        <v>409</v>
      </c>
      <c r="AT85" s="136"/>
      <c r="AU85" s="136">
        <f t="shared" si="20"/>
        <v>0.2</v>
      </c>
      <c r="AV85" s="225">
        <v>4185389</v>
      </c>
      <c r="AX85" s="136">
        <f>'2024 Legal Max'!AS86</f>
        <v>716.6</v>
      </c>
      <c r="AY85" s="136">
        <f t="shared" si="21"/>
        <v>-0.7</v>
      </c>
      <c r="AZ85" s="139">
        <v>122847</v>
      </c>
      <c r="BB85" s="164">
        <v>0</v>
      </c>
      <c r="BC85" s="164">
        <v>0</v>
      </c>
    </row>
    <row r="86" spans="1:55">
      <c r="A86" s="216" t="s">
        <v>272</v>
      </c>
      <c r="B86" s="217"/>
      <c r="C86" s="218">
        <v>72</v>
      </c>
      <c r="E86" s="218"/>
      <c r="F86" s="218">
        <v>0</v>
      </c>
      <c r="G86" s="219"/>
      <c r="H86" s="218"/>
      <c r="I86" s="218"/>
      <c r="J86" s="136"/>
      <c r="K86" s="139">
        <v>73</v>
      </c>
      <c r="L86" s="136">
        <v>0</v>
      </c>
      <c r="M86" s="217">
        <v>0</v>
      </c>
      <c r="N86" s="136">
        <v>0</v>
      </c>
      <c r="O86" s="136">
        <v>0</v>
      </c>
      <c r="P86" s="218">
        <v>9.1999999999999993</v>
      </c>
      <c r="Q86" s="136">
        <v>0</v>
      </c>
      <c r="R86" s="136">
        <v>0</v>
      </c>
      <c r="S86" s="136">
        <v>0</v>
      </c>
      <c r="T86" s="139">
        <v>0</v>
      </c>
      <c r="U86" s="217">
        <v>0</v>
      </c>
      <c r="V86" s="217">
        <v>30</v>
      </c>
      <c r="W86" s="217">
        <v>0</v>
      </c>
      <c r="X86" s="218">
        <v>0</v>
      </c>
      <c r="Y86" s="220">
        <v>30</v>
      </c>
      <c r="Z86" s="164">
        <v>0</v>
      </c>
      <c r="AA86" s="221">
        <v>0</v>
      </c>
      <c r="AB86" s="221">
        <v>0</v>
      </c>
      <c r="AC86" s="222">
        <v>0</v>
      </c>
      <c r="AD86" s="223">
        <v>0</v>
      </c>
      <c r="AE86" s="136"/>
      <c r="AF86" s="136">
        <v>1.3</v>
      </c>
      <c r="AG86" s="224">
        <v>1.4</v>
      </c>
      <c r="AH86" s="136">
        <v>176.1</v>
      </c>
      <c r="AI86" s="136"/>
      <c r="AJ86" s="136"/>
      <c r="AK86" s="136">
        <f t="shared" si="11"/>
        <v>72</v>
      </c>
      <c r="AL86" s="136">
        <f t="shared" si="12"/>
        <v>0</v>
      </c>
      <c r="AM86" s="136">
        <f t="shared" si="13"/>
        <v>0</v>
      </c>
      <c r="AN86" s="136">
        <f t="shared" si="14"/>
        <v>0</v>
      </c>
      <c r="AO86" s="136">
        <f t="shared" si="15"/>
        <v>9.1999999999999993</v>
      </c>
      <c r="AP86" s="139">
        <f t="shared" si="16"/>
        <v>30</v>
      </c>
      <c r="AQ86" s="136">
        <f t="shared" si="19"/>
        <v>0</v>
      </c>
      <c r="AR86" s="136">
        <f t="shared" si="17"/>
        <v>30</v>
      </c>
      <c r="AS86" s="139">
        <f t="shared" si="18"/>
        <v>73</v>
      </c>
      <c r="AT86" s="136"/>
      <c r="AU86" s="136">
        <f t="shared" si="20"/>
        <v>1.4</v>
      </c>
      <c r="AV86" s="225">
        <v>1041005</v>
      </c>
      <c r="AX86" s="136">
        <f>'2024 Legal Max'!AS87</f>
        <v>177</v>
      </c>
      <c r="AY86" s="136">
        <f t="shared" si="21"/>
        <v>0.9</v>
      </c>
      <c r="AZ86" s="139">
        <v>96499</v>
      </c>
      <c r="BB86" s="164">
        <v>0</v>
      </c>
      <c r="BC86" s="164">
        <v>0</v>
      </c>
    </row>
    <row r="87" spans="1:55">
      <c r="A87" s="216" t="s">
        <v>273</v>
      </c>
      <c r="B87" s="217"/>
      <c r="C87" s="218">
        <v>363.5</v>
      </c>
      <c r="E87" s="218"/>
      <c r="F87" s="218">
        <v>0</v>
      </c>
      <c r="G87" s="219"/>
      <c r="H87" s="218"/>
      <c r="I87" s="218"/>
      <c r="J87" s="136"/>
      <c r="K87" s="139">
        <v>381</v>
      </c>
      <c r="L87" s="136">
        <v>0</v>
      </c>
      <c r="M87" s="217">
        <v>0</v>
      </c>
      <c r="N87" s="136">
        <v>6</v>
      </c>
      <c r="O87" s="136">
        <v>0</v>
      </c>
      <c r="P87" s="218">
        <v>166.7</v>
      </c>
      <c r="Q87" s="136">
        <v>0</v>
      </c>
      <c r="R87" s="136">
        <v>0</v>
      </c>
      <c r="S87" s="136">
        <v>0</v>
      </c>
      <c r="T87" s="139">
        <v>0</v>
      </c>
      <c r="U87" s="217">
        <v>0</v>
      </c>
      <c r="V87" s="217">
        <v>169</v>
      </c>
      <c r="W87" s="217">
        <v>0</v>
      </c>
      <c r="X87" s="218">
        <v>0</v>
      </c>
      <c r="Y87" s="220">
        <v>100</v>
      </c>
      <c r="Z87" s="164">
        <v>0</v>
      </c>
      <c r="AA87" s="221">
        <v>0</v>
      </c>
      <c r="AB87" s="221">
        <v>0</v>
      </c>
      <c r="AC87" s="222">
        <v>0</v>
      </c>
      <c r="AD87" s="223">
        <v>0</v>
      </c>
      <c r="AE87" s="136"/>
      <c r="AF87" s="136">
        <v>11.1</v>
      </c>
      <c r="AG87" s="224">
        <v>11.4</v>
      </c>
      <c r="AH87" s="136">
        <v>707.4</v>
      </c>
      <c r="AI87" s="136"/>
      <c r="AJ87" s="136"/>
      <c r="AK87" s="136">
        <f t="shared" si="11"/>
        <v>363.5</v>
      </c>
      <c r="AL87" s="136">
        <f t="shared" si="12"/>
        <v>6</v>
      </c>
      <c r="AM87" s="136">
        <f t="shared" si="13"/>
        <v>0</v>
      </c>
      <c r="AN87" s="136">
        <f t="shared" si="14"/>
        <v>0</v>
      </c>
      <c r="AO87" s="136">
        <f t="shared" si="15"/>
        <v>166.7</v>
      </c>
      <c r="AP87" s="139">
        <f t="shared" si="16"/>
        <v>169</v>
      </c>
      <c r="AQ87" s="136">
        <f t="shared" si="19"/>
        <v>0</v>
      </c>
      <c r="AR87" s="136">
        <f t="shared" si="17"/>
        <v>100</v>
      </c>
      <c r="AS87" s="139">
        <f t="shared" si="18"/>
        <v>381</v>
      </c>
      <c r="AT87" s="136"/>
      <c r="AU87" s="136">
        <f t="shared" si="20"/>
        <v>11.4</v>
      </c>
      <c r="AV87" s="225">
        <v>4204214</v>
      </c>
      <c r="AX87" s="136">
        <f>'2024 Legal Max'!AS88</f>
        <v>688.7</v>
      </c>
      <c r="AY87" s="136">
        <f t="shared" si="21"/>
        <v>-18.7</v>
      </c>
      <c r="AZ87" s="139">
        <v>254443</v>
      </c>
      <c r="BB87" s="164">
        <v>0</v>
      </c>
      <c r="BC87" s="164">
        <v>6</v>
      </c>
    </row>
    <row r="88" spans="1:55">
      <c r="A88" s="216" t="s">
        <v>274</v>
      </c>
      <c r="B88" s="217"/>
      <c r="C88" s="218">
        <v>357.5</v>
      </c>
      <c r="E88" s="218"/>
      <c r="F88" s="218">
        <v>0</v>
      </c>
      <c r="G88" s="219"/>
      <c r="H88" s="218"/>
      <c r="I88" s="218"/>
      <c r="J88" s="136"/>
      <c r="K88" s="139">
        <v>366</v>
      </c>
      <c r="L88" s="136">
        <v>0</v>
      </c>
      <c r="M88" s="217">
        <v>0</v>
      </c>
      <c r="N88" s="136">
        <v>2</v>
      </c>
      <c r="O88" s="136">
        <v>0</v>
      </c>
      <c r="P88" s="218">
        <v>160.30000000000001</v>
      </c>
      <c r="Q88" s="136">
        <v>0</v>
      </c>
      <c r="R88" s="136">
        <v>3.6</v>
      </c>
      <c r="S88" s="136">
        <v>0</v>
      </c>
      <c r="T88" s="139">
        <v>3</v>
      </c>
      <c r="U88" s="217">
        <v>0</v>
      </c>
      <c r="V88" s="217">
        <v>179</v>
      </c>
      <c r="W88" s="217">
        <v>0</v>
      </c>
      <c r="X88" s="218">
        <v>0</v>
      </c>
      <c r="Y88" s="220">
        <v>205</v>
      </c>
      <c r="Z88" s="164">
        <v>0</v>
      </c>
      <c r="AA88" s="221">
        <v>256</v>
      </c>
      <c r="AB88" s="221">
        <v>1.6</v>
      </c>
      <c r="AC88" s="222">
        <v>0</v>
      </c>
      <c r="AD88" s="223">
        <v>0</v>
      </c>
      <c r="AE88" s="136"/>
      <c r="AF88" s="136">
        <v>17.399999999999999</v>
      </c>
      <c r="AG88" s="224">
        <v>17.399999999999999</v>
      </c>
      <c r="AH88" s="136">
        <v>717</v>
      </c>
      <c r="AI88" s="136"/>
      <c r="AJ88" s="136"/>
      <c r="AK88" s="136">
        <f t="shared" si="11"/>
        <v>357.5</v>
      </c>
      <c r="AL88" s="136">
        <f t="shared" si="12"/>
        <v>2</v>
      </c>
      <c r="AM88" s="136">
        <f t="shared" si="13"/>
        <v>3.6</v>
      </c>
      <c r="AN88" s="136">
        <f t="shared" si="14"/>
        <v>3</v>
      </c>
      <c r="AO88" s="136">
        <f t="shared" si="15"/>
        <v>160.30000000000001</v>
      </c>
      <c r="AP88" s="139">
        <f t="shared" si="16"/>
        <v>179</v>
      </c>
      <c r="AQ88" s="136">
        <f t="shared" si="19"/>
        <v>0</v>
      </c>
      <c r="AR88" s="136">
        <f t="shared" si="17"/>
        <v>205</v>
      </c>
      <c r="AS88" s="139">
        <f t="shared" si="18"/>
        <v>366</v>
      </c>
      <c r="AT88" s="136"/>
      <c r="AU88" s="136">
        <f t="shared" si="20"/>
        <v>17.399999999999999</v>
      </c>
      <c r="AV88" s="225">
        <v>5637635</v>
      </c>
      <c r="AX88" s="136">
        <f>'2024 Legal Max'!AS89</f>
        <v>710.9</v>
      </c>
      <c r="AY88" s="136">
        <f t="shared" si="21"/>
        <v>-6.1</v>
      </c>
      <c r="AZ88" s="139">
        <v>334555</v>
      </c>
      <c r="BB88" s="164">
        <v>0</v>
      </c>
      <c r="BC88" s="164">
        <v>2</v>
      </c>
    </row>
    <row r="89" spans="1:55">
      <c r="A89" s="216" t="s">
        <v>275</v>
      </c>
      <c r="B89" s="217"/>
      <c r="C89" s="218">
        <v>114.5</v>
      </c>
      <c r="E89" s="218"/>
      <c r="F89" s="218">
        <v>0</v>
      </c>
      <c r="G89" s="219"/>
      <c r="H89" s="218"/>
      <c r="I89" s="218"/>
      <c r="J89" s="136"/>
      <c r="K89" s="139">
        <v>122</v>
      </c>
      <c r="L89" s="136">
        <v>0</v>
      </c>
      <c r="M89" s="217">
        <v>0</v>
      </c>
      <c r="N89" s="136">
        <v>2.5</v>
      </c>
      <c r="O89" s="136">
        <v>0</v>
      </c>
      <c r="P89" s="218">
        <v>45</v>
      </c>
      <c r="Q89" s="136">
        <v>0</v>
      </c>
      <c r="R89" s="136">
        <v>0</v>
      </c>
      <c r="S89" s="136">
        <v>0</v>
      </c>
      <c r="T89" s="139">
        <v>0</v>
      </c>
      <c r="U89" s="217">
        <v>0</v>
      </c>
      <c r="V89" s="217">
        <v>95</v>
      </c>
      <c r="W89" s="217">
        <v>0</v>
      </c>
      <c r="X89" s="218">
        <v>0</v>
      </c>
      <c r="Y89" s="220">
        <v>20</v>
      </c>
      <c r="Z89" s="164">
        <v>0</v>
      </c>
      <c r="AA89" s="221">
        <v>0</v>
      </c>
      <c r="AB89" s="221">
        <v>0</v>
      </c>
      <c r="AC89" s="222">
        <v>0</v>
      </c>
      <c r="AD89" s="223">
        <v>0</v>
      </c>
      <c r="AE89" s="136"/>
      <c r="AF89" s="136">
        <v>10</v>
      </c>
      <c r="AG89" s="224">
        <v>10</v>
      </c>
      <c r="AH89" s="136">
        <v>268.89999999999998</v>
      </c>
      <c r="AI89" s="136"/>
      <c r="AJ89" s="136"/>
      <c r="AK89" s="136">
        <f t="shared" si="11"/>
        <v>114.5</v>
      </c>
      <c r="AL89" s="136">
        <f t="shared" si="12"/>
        <v>2.5</v>
      </c>
      <c r="AM89" s="136">
        <f t="shared" si="13"/>
        <v>0</v>
      </c>
      <c r="AN89" s="136">
        <f t="shared" si="14"/>
        <v>0</v>
      </c>
      <c r="AO89" s="136">
        <f t="shared" si="15"/>
        <v>45</v>
      </c>
      <c r="AP89" s="139">
        <f t="shared" si="16"/>
        <v>95</v>
      </c>
      <c r="AQ89" s="136">
        <f t="shared" si="19"/>
        <v>0</v>
      </c>
      <c r="AR89" s="136">
        <f t="shared" si="17"/>
        <v>20</v>
      </c>
      <c r="AS89" s="139">
        <f t="shared" si="18"/>
        <v>122</v>
      </c>
      <c r="AT89" s="136"/>
      <c r="AU89" s="136">
        <f t="shared" si="20"/>
        <v>10</v>
      </c>
      <c r="AV89" s="225">
        <v>1848979</v>
      </c>
      <c r="AX89" s="136">
        <f>'2024 Legal Max'!AS90</f>
        <v>264.5</v>
      </c>
      <c r="AY89" s="136">
        <f t="shared" si="21"/>
        <v>-4.4000000000000004</v>
      </c>
      <c r="AZ89" s="139">
        <v>121746</v>
      </c>
      <c r="BB89" s="164">
        <v>0</v>
      </c>
      <c r="BC89" s="164">
        <v>2.5</v>
      </c>
    </row>
    <row r="90" spans="1:55">
      <c r="A90" s="216" t="s">
        <v>276</v>
      </c>
      <c r="B90" s="217"/>
      <c r="C90" s="218">
        <v>356</v>
      </c>
      <c r="E90" s="218"/>
      <c r="F90" s="218">
        <v>0</v>
      </c>
      <c r="G90" s="219"/>
      <c r="H90" s="218"/>
      <c r="I90" s="218"/>
      <c r="J90" s="136"/>
      <c r="K90" s="139">
        <v>367</v>
      </c>
      <c r="L90" s="136">
        <v>0</v>
      </c>
      <c r="M90" s="217">
        <v>0</v>
      </c>
      <c r="N90" s="136">
        <v>4.5</v>
      </c>
      <c r="O90" s="136">
        <v>0</v>
      </c>
      <c r="P90" s="218">
        <v>59.8</v>
      </c>
      <c r="Q90" s="136">
        <v>0</v>
      </c>
      <c r="R90" s="136">
        <v>6</v>
      </c>
      <c r="S90" s="136">
        <v>0</v>
      </c>
      <c r="T90" s="139">
        <v>2</v>
      </c>
      <c r="U90" s="217">
        <v>0</v>
      </c>
      <c r="V90" s="217">
        <v>122</v>
      </c>
      <c r="W90" s="217">
        <v>0</v>
      </c>
      <c r="X90" s="218">
        <v>0</v>
      </c>
      <c r="Y90" s="220">
        <v>152</v>
      </c>
      <c r="Z90" s="164">
        <v>0</v>
      </c>
      <c r="AA90" s="221">
        <v>3</v>
      </c>
      <c r="AB90" s="221">
        <v>5</v>
      </c>
      <c r="AC90" s="222">
        <v>0</v>
      </c>
      <c r="AD90" s="223">
        <v>0</v>
      </c>
      <c r="AE90" s="136"/>
      <c r="AF90" s="136">
        <v>0</v>
      </c>
      <c r="AG90" s="224">
        <v>0.1</v>
      </c>
      <c r="AH90" s="136">
        <v>644.9</v>
      </c>
      <c r="AI90" s="136"/>
      <c r="AJ90" s="136"/>
      <c r="AK90" s="136">
        <f t="shared" si="11"/>
        <v>356</v>
      </c>
      <c r="AL90" s="136">
        <f t="shared" si="12"/>
        <v>4.5</v>
      </c>
      <c r="AM90" s="136">
        <f t="shared" si="13"/>
        <v>6</v>
      </c>
      <c r="AN90" s="136">
        <f t="shared" si="14"/>
        <v>2</v>
      </c>
      <c r="AO90" s="136">
        <f t="shared" si="15"/>
        <v>59.8</v>
      </c>
      <c r="AP90" s="139">
        <f t="shared" si="16"/>
        <v>122</v>
      </c>
      <c r="AQ90" s="136">
        <f t="shared" si="19"/>
        <v>0</v>
      </c>
      <c r="AR90" s="136">
        <f t="shared" si="17"/>
        <v>152</v>
      </c>
      <c r="AS90" s="139">
        <f t="shared" si="18"/>
        <v>367</v>
      </c>
      <c r="AT90" s="136"/>
      <c r="AU90" s="136">
        <f t="shared" si="20"/>
        <v>0.1</v>
      </c>
      <c r="AV90" s="225">
        <v>3850552</v>
      </c>
      <c r="AX90" s="136">
        <f>'2024 Legal Max'!AS91</f>
        <v>643.20000000000005</v>
      </c>
      <c r="AY90" s="136">
        <f t="shared" si="21"/>
        <v>-1.7</v>
      </c>
      <c r="AZ90" s="139">
        <v>370265</v>
      </c>
      <c r="BB90" s="164">
        <v>0</v>
      </c>
      <c r="BC90" s="164">
        <v>4.5</v>
      </c>
    </row>
    <row r="91" spans="1:55">
      <c r="A91" s="216" t="s">
        <v>277</v>
      </c>
      <c r="B91" s="217"/>
      <c r="C91" s="218">
        <v>123.5</v>
      </c>
      <c r="E91" s="218"/>
      <c r="F91" s="218">
        <v>0</v>
      </c>
      <c r="G91" s="219"/>
      <c r="H91" s="218"/>
      <c r="I91" s="218"/>
      <c r="J91" s="136"/>
      <c r="K91" s="139">
        <v>128</v>
      </c>
      <c r="L91" s="136">
        <v>0</v>
      </c>
      <c r="M91" s="217">
        <v>0</v>
      </c>
      <c r="N91" s="136">
        <v>1</v>
      </c>
      <c r="O91" s="136">
        <v>0</v>
      </c>
      <c r="P91" s="218">
        <v>8.6999999999999993</v>
      </c>
      <c r="Q91" s="136">
        <v>0</v>
      </c>
      <c r="R91" s="136">
        <v>0</v>
      </c>
      <c r="S91" s="136">
        <v>0</v>
      </c>
      <c r="T91" s="139">
        <v>0</v>
      </c>
      <c r="U91" s="217">
        <v>0</v>
      </c>
      <c r="V91" s="217">
        <v>66</v>
      </c>
      <c r="W91" s="217">
        <v>0</v>
      </c>
      <c r="X91" s="218">
        <v>0</v>
      </c>
      <c r="Y91" s="220">
        <v>21</v>
      </c>
      <c r="Z91" s="164">
        <v>0</v>
      </c>
      <c r="AA91" s="221">
        <v>0</v>
      </c>
      <c r="AB91" s="221">
        <v>0</v>
      </c>
      <c r="AC91" s="222">
        <v>0</v>
      </c>
      <c r="AD91" s="223">
        <v>0</v>
      </c>
      <c r="AE91" s="136"/>
      <c r="AF91" s="136">
        <v>6.9</v>
      </c>
      <c r="AG91" s="224">
        <v>6</v>
      </c>
      <c r="AH91" s="136">
        <v>307.3</v>
      </c>
      <c r="AI91" s="136"/>
      <c r="AJ91" s="136"/>
      <c r="AK91" s="136">
        <f t="shared" si="11"/>
        <v>123.5</v>
      </c>
      <c r="AL91" s="136">
        <f t="shared" si="12"/>
        <v>1</v>
      </c>
      <c r="AM91" s="136">
        <f t="shared" si="13"/>
        <v>0</v>
      </c>
      <c r="AN91" s="136">
        <f t="shared" si="14"/>
        <v>0</v>
      </c>
      <c r="AO91" s="136">
        <f t="shared" si="15"/>
        <v>8.6999999999999993</v>
      </c>
      <c r="AP91" s="139">
        <f t="shared" si="16"/>
        <v>66</v>
      </c>
      <c r="AQ91" s="136">
        <f t="shared" si="19"/>
        <v>0</v>
      </c>
      <c r="AR91" s="136">
        <f t="shared" si="17"/>
        <v>21</v>
      </c>
      <c r="AS91" s="139">
        <f t="shared" si="18"/>
        <v>128</v>
      </c>
      <c r="AT91" s="136"/>
      <c r="AU91" s="136">
        <f t="shared" si="20"/>
        <v>6.9</v>
      </c>
      <c r="AV91" s="225">
        <v>1747731</v>
      </c>
      <c r="AX91" s="136">
        <f>'2024 Legal Max'!AS92</f>
        <v>307.2</v>
      </c>
      <c r="AY91" s="136">
        <f t="shared" si="21"/>
        <v>-0.1</v>
      </c>
      <c r="AZ91" s="139">
        <v>46311</v>
      </c>
      <c r="BB91" s="164">
        <v>0</v>
      </c>
      <c r="BC91" s="164">
        <v>1</v>
      </c>
    </row>
    <row r="92" spans="1:55">
      <c r="A92" s="216" t="s">
        <v>278</v>
      </c>
      <c r="B92" s="217"/>
      <c r="C92" s="218">
        <v>340.6</v>
      </c>
      <c r="E92" s="218"/>
      <c r="F92" s="218">
        <v>0</v>
      </c>
      <c r="G92" s="219"/>
      <c r="H92" s="218"/>
      <c r="I92" s="218"/>
      <c r="J92" s="136"/>
      <c r="K92" s="139">
        <v>362</v>
      </c>
      <c r="L92" s="136">
        <v>0</v>
      </c>
      <c r="M92" s="217">
        <v>0</v>
      </c>
      <c r="N92" s="136">
        <v>6.5</v>
      </c>
      <c r="O92" s="136">
        <v>0</v>
      </c>
      <c r="P92" s="218">
        <v>65.8</v>
      </c>
      <c r="Q92" s="136">
        <v>0</v>
      </c>
      <c r="R92" s="136">
        <v>0</v>
      </c>
      <c r="S92" s="136">
        <v>0</v>
      </c>
      <c r="T92" s="139">
        <v>6</v>
      </c>
      <c r="U92" s="217">
        <v>0</v>
      </c>
      <c r="V92" s="217">
        <v>230</v>
      </c>
      <c r="W92" s="217">
        <v>0</v>
      </c>
      <c r="X92" s="218">
        <v>0</v>
      </c>
      <c r="Y92" s="220">
        <v>97</v>
      </c>
      <c r="Z92" s="164">
        <v>0</v>
      </c>
      <c r="AA92" s="221">
        <v>0</v>
      </c>
      <c r="AB92" s="221">
        <v>0</v>
      </c>
      <c r="AC92" s="222">
        <v>0</v>
      </c>
      <c r="AD92" s="223">
        <v>0</v>
      </c>
      <c r="AE92" s="136"/>
      <c r="AF92" s="136">
        <v>24.2</v>
      </c>
      <c r="AG92" s="224">
        <v>24.2</v>
      </c>
      <c r="AH92" s="136">
        <v>718.8</v>
      </c>
      <c r="AI92" s="136"/>
      <c r="AJ92" s="136"/>
      <c r="AK92" s="136">
        <f t="shared" si="11"/>
        <v>340.6</v>
      </c>
      <c r="AL92" s="136">
        <f t="shared" si="12"/>
        <v>6.5</v>
      </c>
      <c r="AM92" s="136">
        <f t="shared" si="13"/>
        <v>0</v>
      </c>
      <c r="AN92" s="136">
        <f t="shared" si="14"/>
        <v>6</v>
      </c>
      <c r="AO92" s="136">
        <f t="shared" si="15"/>
        <v>65.8</v>
      </c>
      <c r="AP92" s="139">
        <f t="shared" si="16"/>
        <v>230</v>
      </c>
      <c r="AQ92" s="136">
        <f t="shared" si="19"/>
        <v>0</v>
      </c>
      <c r="AR92" s="136">
        <f t="shared" si="17"/>
        <v>97</v>
      </c>
      <c r="AS92" s="139">
        <f t="shared" si="18"/>
        <v>362</v>
      </c>
      <c r="AT92" s="136"/>
      <c r="AU92" s="136">
        <f t="shared" si="20"/>
        <v>24.2</v>
      </c>
      <c r="AV92" s="225">
        <v>4525776</v>
      </c>
      <c r="AX92" s="136">
        <f>'2024 Legal Max'!AS93</f>
        <v>714.1</v>
      </c>
      <c r="AY92" s="136">
        <f t="shared" si="21"/>
        <v>-4.7</v>
      </c>
      <c r="AZ92" s="139">
        <v>267194</v>
      </c>
      <c r="BA92" s="129" t="s">
        <v>3557</v>
      </c>
      <c r="BB92" s="164">
        <v>0</v>
      </c>
      <c r="BC92" s="164">
        <v>6.5</v>
      </c>
    </row>
    <row r="93" spans="1:55">
      <c r="A93" s="216" t="s">
        <v>279</v>
      </c>
      <c r="B93" s="217"/>
      <c r="C93" s="218">
        <v>586.5</v>
      </c>
      <c r="E93" s="218"/>
      <c r="F93" s="218">
        <v>0</v>
      </c>
      <c r="G93" s="219"/>
      <c r="H93" s="218"/>
      <c r="I93" s="218"/>
      <c r="J93" s="136"/>
      <c r="K93" s="139">
        <v>601</v>
      </c>
      <c r="L93" s="136">
        <v>0</v>
      </c>
      <c r="M93" s="217">
        <v>0</v>
      </c>
      <c r="N93" s="136">
        <v>3</v>
      </c>
      <c r="O93" s="136">
        <v>0</v>
      </c>
      <c r="P93" s="218">
        <v>276.8</v>
      </c>
      <c r="Q93" s="136">
        <v>0</v>
      </c>
      <c r="R93" s="136">
        <v>0</v>
      </c>
      <c r="S93" s="136">
        <v>0</v>
      </c>
      <c r="T93" s="139">
        <v>0</v>
      </c>
      <c r="U93" s="217">
        <v>0</v>
      </c>
      <c r="V93" s="217">
        <v>240</v>
      </c>
      <c r="W93" s="217">
        <v>0</v>
      </c>
      <c r="X93" s="218">
        <v>0</v>
      </c>
      <c r="Y93" s="220">
        <v>406</v>
      </c>
      <c r="Z93" s="164">
        <v>0</v>
      </c>
      <c r="AA93" s="221">
        <v>1</v>
      </c>
      <c r="AB93" s="221">
        <v>0</v>
      </c>
      <c r="AC93" s="222">
        <v>0</v>
      </c>
      <c r="AD93" s="223">
        <v>0</v>
      </c>
      <c r="AE93" s="136"/>
      <c r="AF93" s="136">
        <v>8.3000000000000007</v>
      </c>
      <c r="AG93" s="224">
        <v>9.9</v>
      </c>
      <c r="AH93" s="136">
        <v>1083.3</v>
      </c>
      <c r="AI93" s="136"/>
      <c r="AJ93" s="136"/>
      <c r="AK93" s="136">
        <f t="shared" si="11"/>
        <v>586.5</v>
      </c>
      <c r="AL93" s="136">
        <f t="shared" si="12"/>
        <v>3</v>
      </c>
      <c r="AM93" s="136">
        <f t="shared" si="13"/>
        <v>0</v>
      </c>
      <c r="AN93" s="136">
        <f t="shared" si="14"/>
        <v>0</v>
      </c>
      <c r="AO93" s="136">
        <f t="shared" si="15"/>
        <v>276.8</v>
      </c>
      <c r="AP93" s="139">
        <f t="shared" si="16"/>
        <v>240</v>
      </c>
      <c r="AQ93" s="136">
        <f t="shared" si="19"/>
        <v>0</v>
      </c>
      <c r="AR93" s="136">
        <f t="shared" si="17"/>
        <v>406</v>
      </c>
      <c r="AS93" s="139">
        <f t="shared" si="18"/>
        <v>601</v>
      </c>
      <c r="AT93" s="136"/>
      <c r="AU93" s="136">
        <f t="shared" si="20"/>
        <v>9.9</v>
      </c>
      <c r="AV93" s="225">
        <v>6635106</v>
      </c>
      <c r="AX93" s="136">
        <f>'2024 Legal Max'!AS94</f>
        <v>1085</v>
      </c>
      <c r="AY93" s="136">
        <f t="shared" si="21"/>
        <v>1.7</v>
      </c>
      <c r="AZ93" s="139">
        <v>435663</v>
      </c>
      <c r="BB93" s="164">
        <v>0</v>
      </c>
      <c r="BC93" s="164">
        <v>3</v>
      </c>
    </row>
    <row r="94" spans="1:55">
      <c r="A94" s="216" t="s">
        <v>280</v>
      </c>
      <c r="B94" s="217"/>
      <c r="C94" s="218">
        <v>541</v>
      </c>
      <c r="E94" s="218"/>
      <c r="F94" s="218">
        <v>0</v>
      </c>
      <c r="G94" s="219"/>
      <c r="H94" s="218"/>
      <c r="I94" s="218"/>
      <c r="J94" s="136"/>
      <c r="K94" s="139">
        <v>552</v>
      </c>
      <c r="L94" s="136">
        <v>0</v>
      </c>
      <c r="M94" s="217">
        <v>0</v>
      </c>
      <c r="N94" s="136">
        <v>3.5</v>
      </c>
      <c r="O94" s="136">
        <v>0</v>
      </c>
      <c r="P94" s="218">
        <v>295.10000000000002</v>
      </c>
      <c r="Q94" s="136">
        <v>0</v>
      </c>
      <c r="R94" s="136">
        <v>0</v>
      </c>
      <c r="S94" s="136">
        <v>0</v>
      </c>
      <c r="T94" s="139">
        <v>5</v>
      </c>
      <c r="U94" s="217">
        <v>0</v>
      </c>
      <c r="V94" s="217">
        <v>254</v>
      </c>
      <c r="W94" s="217">
        <v>0</v>
      </c>
      <c r="X94" s="218">
        <v>0</v>
      </c>
      <c r="Y94" s="220">
        <v>378</v>
      </c>
      <c r="Z94" s="164">
        <v>0</v>
      </c>
      <c r="AA94" s="221">
        <v>0</v>
      </c>
      <c r="AB94" s="221">
        <v>0</v>
      </c>
      <c r="AC94" s="222">
        <v>0</v>
      </c>
      <c r="AD94" s="223">
        <v>0</v>
      </c>
      <c r="AE94" s="136"/>
      <c r="AF94" s="136">
        <v>19.600000000000001</v>
      </c>
      <c r="AG94" s="224">
        <v>19.7</v>
      </c>
      <c r="AH94" s="136">
        <v>971.2</v>
      </c>
      <c r="AI94" s="136"/>
      <c r="AJ94" s="136"/>
      <c r="AK94" s="136">
        <f t="shared" si="11"/>
        <v>541</v>
      </c>
      <c r="AL94" s="136">
        <f t="shared" si="12"/>
        <v>3.5</v>
      </c>
      <c r="AM94" s="136">
        <f t="shared" si="13"/>
        <v>0</v>
      </c>
      <c r="AN94" s="136">
        <f t="shared" si="14"/>
        <v>5</v>
      </c>
      <c r="AO94" s="136">
        <f t="shared" si="15"/>
        <v>295.10000000000002</v>
      </c>
      <c r="AP94" s="139">
        <f t="shared" si="16"/>
        <v>254</v>
      </c>
      <c r="AQ94" s="136">
        <f t="shared" si="19"/>
        <v>0</v>
      </c>
      <c r="AR94" s="136">
        <f t="shared" si="17"/>
        <v>378</v>
      </c>
      <c r="AS94" s="139">
        <f t="shared" si="18"/>
        <v>552</v>
      </c>
      <c r="AT94" s="136"/>
      <c r="AU94" s="136">
        <f t="shared" si="20"/>
        <v>19.7</v>
      </c>
      <c r="AV94" s="225">
        <v>5416179</v>
      </c>
      <c r="AX94" s="136">
        <f>'2024 Legal Max'!AS95</f>
        <v>972.6</v>
      </c>
      <c r="AY94" s="136">
        <f t="shared" si="21"/>
        <v>1.4</v>
      </c>
      <c r="AZ94" s="139">
        <v>421005</v>
      </c>
      <c r="BB94" s="164">
        <v>0</v>
      </c>
      <c r="BC94" s="164">
        <v>3.5</v>
      </c>
    </row>
    <row r="95" spans="1:55">
      <c r="A95" s="216" t="s">
        <v>281</v>
      </c>
      <c r="B95" s="217"/>
      <c r="C95" s="218">
        <v>745</v>
      </c>
      <c r="E95" s="218"/>
      <c r="F95" s="218">
        <v>0</v>
      </c>
      <c r="G95" s="219"/>
      <c r="H95" s="218"/>
      <c r="I95" s="218"/>
      <c r="J95" s="136"/>
      <c r="K95" s="139">
        <v>779</v>
      </c>
      <c r="L95" s="136">
        <v>0</v>
      </c>
      <c r="M95" s="217">
        <v>0</v>
      </c>
      <c r="N95" s="136">
        <v>11.5</v>
      </c>
      <c r="O95" s="136">
        <v>0</v>
      </c>
      <c r="P95" s="218">
        <v>284.8</v>
      </c>
      <c r="Q95" s="136">
        <v>0</v>
      </c>
      <c r="R95" s="136">
        <v>0</v>
      </c>
      <c r="S95" s="136">
        <v>0</v>
      </c>
      <c r="T95" s="139">
        <v>0</v>
      </c>
      <c r="U95" s="217">
        <v>0</v>
      </c>
      <c r="V95" s="217">
        <v>203</v>
      </c>
      <c r="W95" s="217">
        <v>0</v>
      </c>
      <c r="X95" s="218">
        <v>0</v>
      </c>
      <c r="Y95" s="220">
        <v>217</v>
      </c>
      <c r="Z95" s="164">
        <v>0</v>
      </c>
      <c r="AA95" s="221">
        <v>3</v>
      </c>
      <c r="AB95" s="221">
        <v>0</v>
      </c>
      <c r="AC95" s="222">
        <v>0</v>
      </c>
      <c r="AD95" s="223">
        <v>0</v>
      </c>
      <c r="AE95" s="136"/>
      <c r="AF95" s="136">
        <v>0</v>
      </c>
      <c r="AG95" s="224">
        <v>0</v>
      </c>
      <c r="AH95" s="136">
        <v>1204.0999999999999</v>
      </c>
      <c r="AI95" s="136"/>
      <c r="AJ95" s="136"/>
      <c r="AK95" s="136">
        <f t="shared" si="11"/>
        <v>745</v>
      </c>
      <c r="AL95" s="136">
        <f t="shared" si="12"/>
        <v>11.5</v>
      </c>
      <c r="AM95" s="136">
        <f t="shared" si="13"/>
        <v>0</v>
      </c>
      <c r="AN95" s="136">
        <f t="shared" si="14"/>
        <v>0</v>
      </c>
      <c r="AO95" s="136">
        <f t="shared" si="15"/>
        <v>284.8</v>
      </c>
      <c r="AP95" s="139">
        <f t="shared" si="16"/>
        <v>203</v>
      </c>
      <c r="AQ95" s="136">
        <f t="shared" si="19"/>
        <v>0</v>
      </c>
      <c r="AR95" s="136">
        <f t="shared" si="17"/>
        <v>217</v>
      </c>
      <c r="AS95" s="139">
        <f t="shared" si="18"/>
        <v>779</v>
      </c>
      <c r="AT95" s="136"/>
      <c r="AU95" s="136">
        <f t="shared" si="20"/>
        <v>0</v>
      </c>
      <c r="AV95" s="225">
        <v>7453178</v>
      </c>
      <c r="AX95" s="136">
        <f>'2024 Legal Max'!AS96</f>
        <v>1203.3</v>
      </c>
      <c r="AY95" s="136">
        <f t="shared" si="21"/>
        <v>-0.8</v>
      </c>
      <c r="AZ95" s="139">
        <v>272744</v>
      </c>
      <c r="BB95" s="164">
        <v>0</v>
      </c>
      <c r="BC95" s="164">
        <v>11.5</v>
      </c>
    </row>
    <row r="96" spans="1:55">
      <c r="A96" s="216" t="s">
        <v>282</v>
      </c>
      <c r="B96" s="217"/>
      <c r="C96" s="218">
        <v>2117.1</v>
      </c>
      <c r="D96" s="129"/>
      <c r="E96" s="218"/>
      <c r="F96" s="218">
        <v>0</v>
      </c>
      <c r="G96" s="219"/>
      <c r="H96" s="218"/>
      <c r="I96" s="218"/>
      <c r="J96" s="136"/>
      <c r="K96" s="139">
        <v>2215</v>
      </c>
      <c r="L96" s="136">
        <v>0</v>
      </c>
      <c r="M96" s="217">
        <v>0</v>
      </c>
      <c r="N96" s="136">
        <v>39</v>
      </c>
      <c r="O96" s="136">
        <v>0</v>
      </c>
      <c r="P96" s="218">
        <v>599.1</v>
      </c>
      <c r="Q96" s="136">
        <v>0</v>
      </c>
      <c r="R96" s="136">
        <v>13.4</v>
      </c>
      <c r="S96" s="136">
        <v>0</v>
      </c>
      <c r="T96" s="139">
        <v>38</v>
      </c>
      <c r="U96" s="217">
        <v>0</v>
      </c>
      <c r="V96" s="217">
        <v>1091</v>
      </c>
      <c r="W96" s="217">
        <v>0</v>
      </c>
      <c r="X96" s="218">
        <v>0</v>
      </c>
      <c r="Y96" s="220">
        <v>416</v>
      </c>
      <c r="Z96" s="164">
        <v>0</v>
      </c>
      <c r="AA96" s="221">
        <v>16</v>
      </c>
      <c r="AB96" s="221">
        <v>2.4</v>
      </c>
      <c r="AC96" s="222">
        <v>0</v>
      </c>
      <c r="AD96" s="223">
        <v>0</v>
      </c>
      <c r="AE96" s="136"/>
      <c r="AF96" s="136">
        <v>108.9</v>
      </c>
      <c r="AG96" s="224">
        <v>88.1</v>
      </c>
      <c r="AH96" s="136">
        <v>3096.4</v>
      </c>
      <c r="AI96" s="136"/>
      <c r="AJ96" s="136"/>
      <c r="AK96" s="136">
        <f t="shared" si="11"/>
        <v>2117.1</v>
      </c>
      <c r="AL96" s="136">
        <f t="shared" si="12"/>
        <v>39</v>
      </c>
      <c r="AM96" s="136">
        <f t="shared" si="13"/>
        <v>13.4</v>
      </c>
      <c r="AN96" s="136">
        <f t="shared" si="14"/>
        <v>38</v>
      </c>
      <c r="AO96" s="136">
        <f t="shared" si="15"/>
        <v>599.1</v>
      </c>
      <c r="AP96" s="139">
        <f t="shared" si="16"/>
        <v>1091</v>
      </c>
      <c r="AQ96" s="136">
        <f t="shared" si="19"/>
        <v>0</v>
      </c>
      <c r="AR96" s="136">
        <f t="shared" si="17"/>
        <v>416</v>
      </c>
      <c r="AS96" s="139">
        <f t="shared" si="18"/>
        <v>2215</v>
      </c>
      <c r="AT96" s="136"/>
      <c r="AU96" s="136">
        <f t="shared" si="20"/>
        <v>108.9</v>
      </c>
      <c r="AV96" s="225">
        <v>18824909</v>
      </c>
      <c r="AX96" s="136">
        <f>'2024 Legal Max'!AS97</f>
        <v>3101.8</v>
      </c>
      <c r="AY96" s="136">
        <f t="shared" si="21"/>
        <v>5.4</v>
      </c>
      <c r="AZ96" s="139">
        <v>895514</v>
      </c>
      <c r="BB96" s="164">
        <v>0</v>
      </c>
      <c r="BC96" s="164">
        <v>39</v>
      </c>
    </row>
    <row r="97" spans="1:55">
      <c r="A97" s="216" t="s">
        <v>283</v>
      </c>
      <c r="B97" s="217"/>
      <c r="C97" s="218">
        <v>66</v>
      </c>
      <c r="E97" s="218"/>
      <c r="F97" s="218">
        <v>0</v>
      </c>
      <c r="G97" s="219"/>
      <c r="H97" s="218"/>
      <c r="I97" s="218"/>
      <c r="J97" s="136"/>
      <c r="K97" s="139">
        <v>69</v>
      </c>
      <c r="L97" s="136">
        <v>0</v>
      </c>
      <c r="M97" s="217">
        <v>0</v>
      </c>
      <c r="N97" s="136">
        <v>1</v>
      </c>
      <c r="O97" s="136">
        <v>0</v>
      </c>
      <c r="P97" s="218">
        <v>6</v>
      </c>
      <c r="Q97" s="136">
        <v>0</v>
      </c>
      <c r="R97" s="136">
        <v>0</v>
      </c>
      <c r="S97" s="136">
        <v>0</v>
      </c>
      <c r="T97" s="139">
        <v>0</v>
      </c>
      <c r="U97" s="217">
        <v>0</v>
      </c>
      <c r="V97" s="217">
        <v>27</v>
      </c>
      <c r="W97" s="217">
        <v>0</v>
      </c>
      <c r="X97" s="218">
        <v>0</v>
      </c>
      <c r="Y97" s="220">
        <v>24</v>
      </c>
      <c r="Z97" s="164">
        <v>0</v>
      </c>
      <c r="AA97" s="221">
        <v>0</v>
      </c>
      <c r="AB97" s="221">
        <v>0</v>
      </c>
      <c r="AC97" s="222">
        <v>0</v>
      </c>
      <c r="AD97" s="223">
        <v>0</v>
      </c>
      <c r="AE97" s="136"/>
      <c r="AF97" s="136">
        <v>0.8</v>
      </c>
      <c r="AG97" s="224">
        <v>0.1</v>
      </c>
      <c r="AH97" s="136">
        <v>151.80000000000001</v>
      </c>
      <c r="AI97" s="136"/>
      <c r="AJ97" s="136"/>
      <c r="AK97" s="136">
        <f t="shared" si="11"/>
        <v>66</v>
      </c>
      <c r="AL97" s="136">
        <f t="shared" si="12"/>
        <v>1</v>
      </c>
      <c r="AM97" s="136">
        <f t="shared" si="13"/>
        <v>0</v>
      </c>
      <c r="AN97" s="136">
        <f t="shared" si="14"/>
        <v>0</v>
      </c>
      <c r="AO97" s="136">
        <f t="shared" si="15"/>
        <v>6</v>
      </c>
      <c r="AP97" s="139">
        <f t="shared" si="16"/>
        <v>27</v>
      </c>
      <c r="AQ97" s="136">
        <f t="shared" si="19"/>
        <v>0</v>
      </c>
      <c r="AR97" s="136">
        <f t="shared" si="17"/>
        <v>24</v>
      </c>
      <c r="AS97" s="139">
        <f t="shared" si="18"/>
        <v>69</v>
      </c>
      <c r="AT97" s="136"/>
      <c r="AU97" s="136">
        <f t="shared" si="20"/>
        <v>0.8</v>
      </c>
      <c r="AV97" s="225">
        <v>859872</v>
      </c>
      <c r="AX97" s="136">
        <f>'2024 Legal Max'!AS98</f>
        <v>152.1</v>
      </c>
      <c r="AY97" s="136">
        <f t="shared" si="21"/>
        <v>0.3</v>
      </c>
      <c r="AZ97" s="139">
        <v>68263</v>
      </c>
      <c r="BB97" s="164">
        <v>0</v>
      </c>
      <c r="BC97" s="164">
        <v>1</v>
      </c>
    </row>
    <row r="98" spans="1:55">
      <c r="A98" s="216" t="s">
        <v>284</v>
      </c>
      <c r="B98" s="217"/>
      <c r="C98" s="218">
        <v>116.5</v>
      </c>
      <c r="E98" s="218"/>
      <c r="F98" s="218">
        <v>0</v>
      </c>
      <c r="G98" s="219"/>
      <c r="H98" s="218"/>
      <c r="I98" s="218"/>
      <c r="J98" s="136"/>
      <c r="K98" s="139">
        <v>117</v>
      </c>
      <c r="L98" s="136">
        <v>0</v>
      </c>
      <c r="M98" s="217">
        <v>0</v>
      </c>
      <c r="N98" s="136">
        <v>0</v>
      </c>
      <c r="O98" s="136">
        <v>0</v>
      </c>
      <c r="P98" s="218">
        <v>15</v>
      </c>
      <c r="Q98" s="136">
        <v>0</v>
      </c>
      <c r="R98" s="136">
        <v>0</v>
      </c>
      <c r="S98" s="136">
        <v>0</v>
      </c>
      <c r="T98" s="139">
        <v>1</v>
      </c>
      <c r="U98" s="217">
        <v>0</v>
      </c>
      <c r="V98" s="217">
        <v>58</v>
      </c>
      <c r="W98" s="217">
        <v>0</v>
      </c>
      <c r="X98" s="218">
        <v>0</v>
      </c>
      <c r="Y98" s="220">
        <v>62</v>
      </c>
      <c r="Z98" s="164">
        <v>0</v>
      </c>
      <c r="AA98" s="221">
        <v>0</v>
      </c>
      <c r="AB98" s="221">
        <v>0</v>
      </c>
      <c r="AC98" s="222">
        <v>0</v>
      </c>
      <c r="AD98" s="223">
        <v>0</v>
      </c>
      <c r="AE98" s="136"/>
      <c r="AF98" s="136">
        <v>5.9</v>
      </c>
      <c r="AG98" s="224">
        <v>2.2000000000000002</v>
      </c>
      <c r="AH98" s="136">
        <v>273.7</v>
      </c>
      <c r="AI98" s="136"/>
      <c r="AJ98" s="136"/>
      <c r="AK98" s="136">
        <f t="shared" si="11"/>
        <v>116.5</v>
      </c>
      <c r="AL98" s="136">
        <f t="shared" si="12"/>
        <v>0</v>
      </c>
      <c r="AM98" s="136">
        <f t="shared" si="13"/>
        <v>0</v>
      </c>
      <c r="AN98" s="136">
        <f t="shared" si="14"/>
        <v>1</v>
      </c>
      <c r="AO98" s="136">
        <f t="shared" si="15"/>
        <v>15</v>
      </c>
      <c r="AP98" s="139">
        <f t="shared" si="16"/>
        <v>58</v>
      </c>
      <c r="AQ98" s="136">
        <f t="shared" si="19"/>
        <v>0</v>
      </c>
      <c r="AR98" s="136">
        <f t="shared" si="17"/>
        <v>62</v>
      </c>
      <c r="AS98" s="139">
        <f t="shared" si="18"/>
        <v>117</v>
      </c>
      <c r="AT98" s="136"/>
      <c r="AU98" s="136">
        <f t="shared" si="20"/>
        <v>5.9</v>
      </c>
      <c r="AV98" s="225">
        <v>1427693</v>
      </c>
      <c r="AX98" s="136">
        <f>'2024 Legal Max'!AS99</f>
        <v>272.2</v>
      </c>
      <c r="AY98" s="136">
        <f t="shared" si="21"/>
        <v>-1.5</v>
      </c>
      <c r="AZ98" s="139">
        <v>138487</v>
      </c>
      <c r="BB98" s="164">
        <v>0</v>
      </c>
      <c r="BC98" s="164">
        <v>0</v>
      </c>
    </row>
    <row r="99" spans="1:55">
      <c r="A99" s="216" t="s">
        <v>285</v>
      </c>
      <c r="B99" s="217"/>
      <c r="C99" s="218">
        <v>290.3</v>
      </c>
      <c r="E99" s="218"/>
      <c r="F99" s="218">
        <v>0</v>
      </c>
      <c r="G99" s="219"/>
      <c r="H99" s="218"/>
      <c r="I99" s="218"/>
      <c r="J99" s="136"/>
      <c r="K99" s="139">
        <v>307</v>
      </c>
      <c r="L99" s="136">
        <v>0</v>
      </c>
      <c r="M99" s="217">
        <v>0</v>
      </c>
      <c r="N99" s="136">
        <v>4</v>
      </c>
      <c r="O99" s="136">
        <v>0</v>
      </c>
      <c r="P99" s="218">
        <v>133.19999999999999</v>
      </c>
      <c r="Q99" s="136">
        <v>0</v>
      </c>
      <c r="R99" s="136">
        <v>0.5</v>
      </c>
      <c r="S99" s="136">
        <v>0</v>
      </c>
      <c r="T99" s="139">
        <v>5</v>
      </c>
      <c r="U99" s="217">
        <v>0</v>
      </c>
      <c r="V99" s="217">
        <v>76</v>
      </c>
      <c r="W99" s="217">
        <v>0</v>
      </c>
      <c r="X99" s="218">
        <v>0</v>
      </c>
      <c r="Y99" s="220">
        <v>84</v>
      </c>
      <c r="Z99" s="164">
        <v>0</v>
      </c>
      <c r="AA99" s="221">
        <v>0</v>
      </c>
      <c r="AB99" s="221">
        <v>0</v>
      </c>
      <c r="AC99" s="222">
        <v>0</v>
      </c>
      <c r="AD99" s="223">
        <v>0</v>
      </c>
      <c r="AE99" s="136"/>
      <c r="AF99" s="136">
        <v>0</v>
      </c>
      <c r="AG99" s="224">
        <v>0</v>
      </c>
      <c r="AH99" s="136">
        <v>535.5</v>
      </c>
      <c r="AI99" s="136"/>
      <c r="AJ99" s="136"/>
      <c r="AK99" s="136">
        <f t="shared" si="11"/>
        <v>290.3</v>
      </c>
      <c r="AL99" s="136">
        <f t="shared" si="12"/>
        <v>4</v>
      </c>
      <c r="AM99" s="136">
        <f t="shared" si="13"/>
        <v>0.5</v>
      </c>
      <c r="AN99" s="136">
        <f t="shared" si="14"/>
        <v>5</v>
      </c>
      <c r="AO99" s="136">
        <f t="shared" si="15"/>
        <v>133.19999999999999</v>
      </c>
      <c r="AP99" s="139">
        <f t="shared" si="16"/>
        <v>76</v>
      </c>
      <c r="AQ99" s="136">
        <f t="shared" si="19"/>
        <v>0</v>
      </c>
      <c r="AR99" s="136">
        <f t="shared" si="17"/>
        <v>84</v>
      </c>
      <c r="AS99" s="139">
        <f t="shared" si="18"/>
        <v>307</v>
      </c>
      <c r="AT99" s="136"/>
      <c r="AU99" s="136">
        <f t="shared" si="20"/>
        <v>0</v>
      </c>
      <c r="AV99" s="225">
        <v>3338746</v>
      </c>
      <c r="AX99" s="136">
        <f>'2024 Legal Max'!AS100</f>
        <v>535.29999999999995</v>
      </c>
      <c r="AY99" s="136">
        <f t="shared" si="21"/>
        <v>-0.2</v>
      </c>
      <c r="AZ99" s="139">
        <v>136020</v>
      </c>
      <c r="BB99" s="164">
        <v>0</v>
      </c>
      <c r="BC99" s="164">
        <v>4</v>
      </c>
    </row>
    <row r="100" spans="1:55">
      <c r="A100" s="216" t="s">
        <v>286</v>
      </c>
      <c r="B100" s="217"/>
      <c r="C100" s="218">
        <v>368.5</v>
      </c>
      <c r="E100" s="218"/>
      <c r="F100" s="218">
        <v>0</v>
      </c>
      <c r="G100" s="219"/>
      <c r="H100" s="218"/>
      <c r="I100" s="218"/>
      <c r="J100" s="136"/>
      <c r="K100" s="139">
        <v>392</v>
      </c>
      <c r="L100" s="136">
        <v>0</v>
      </c>
      <c r="M100" s="217">
        <v>0</v>
      </c>
      <c r="N100" s="136">
        <v>8.5</v>
      </c>
      <c r="O100" s="136">
        <v>0</v>
      </c>
      <c r="P100" s="218">
        <v>87.8</v>
      </c>
      <c r="Q100" s="136">
        <v>0</v>
      </c>
      <c r="R100" s="136">
        <v>0</v>
      </c>
      <c r="S100" s="136">
        <v>0</v>
      </c>
      <c r="T100" s="139">
        <v>0</v>
      </c>
      <c r="U100" s="217">
        <v>0</v>
      </c>
      <c r="V100" s="217">
        <v>195</v>
      </c>
      <c r="W100" s="217">
        <v>0</v>
      </c>
      <c r="X100" s="218">
        <v>0</v>
      </c>
      <c r="Y100" s="220">
        <v>97</v>
      </c>
      <c r="Z100" s="164">
        <v>0</v>
      </c>
      <c r="AA100" s="221">
        <v>0</v>
      </c>
      <c r="AB100" s="221">
        <v>0</v>
      </c>
      <c r="AC100" s="222">
        <v>0</v>
      </c>
      <c r="AD100" s="223">
        <v>0</v>
      </c>
      <c r="AE100" s="136"/>
      <c r="AF100" s="136">
        <v>20.100000000000001</v>
      </c>
      <c r="AG100" s="224">
        <v>18.399999999999999</v>
      </c>
      <c r="AH100" s="136">
        <v>709.2</v>
      </c>
      <c r="AI100" s="136"/>
      <c r="AJ100" s="136"/>
      <c r="AK100" s="136">
        <f t="shared" si="11"/>
        <v>368.5</v>
      </c>
      <c r="AL100" s="136">
        <f t="shared" si="12"/>
        <v>8.5</v>
      </c>
      <c r="AM100" s="136">
        <f t="shared" si="13"/>
        <v>0</v>
      </c>
      <c r="AN100" s="136">
        <f t="shared" si="14"/>
        <v>0</v>
      </c>
      <c r="AO100" s="136">
        <f t="shared" si="15"/>
        <v>87.8</v>
      </c>
      <c r="AP100" s="139">
        <f t="shared" si="16"/>
        <v>195</v>
      </c>
      <c r="AQ100" s="136">
        <f t="shared" si="19"/>
        <v>0</v>
      </c>
      <c r="AR100" s="136">
        <f t="shared" si="17"/>
        <v>97</v>
      </c>
      <c r="AS100" s="139">
        <f t="shared" si="18"/>
        <v>392</v>
      </c>
      <c r="AT100" s="136"/>
      <c r="AU100" s="136">
        <f t="shared" si="20"/>
        <v>20.100000000000001</v>
      </c>
      <c r="AV100" s="225">
        <v>4073962</v>
      </c>
      <c r="AX100" s="136">
        <f>'2024 Legal Max'!AS101</f>
        <v>705.4</v>
      </c>
      <c r="AY100" s="136">
        <f t="shared" si="21"/>
        <v>-3.8</v>
      </c>
      <c r="AZ100" s="139">
        <v>257341</v>
      </c>
      <c r="BB100" s="164">
        <v>0</v>
      </c>
      <c r="BC100" s="164">
        <v>8.5</v>
      </c>
    </row>
    <row r="101" spans="1:55">
      <c r="A101" s="216" t="s">
        <v>287</v>
      </c>
      <c r="B101" s="217"/>
      <c r="C101" s="218">
        <v>301.5</v>
      </c>
      <c r="E101" s="218"/>
      <c r="F101" s="218">
        <v>0</v>
      </c>
      <c r="G101" s="219"/>
      <c r="H101" s="218"/>
      <c r="I101" s="218"/>
      <c r="J101" s="136"/>
      <c r="K101" s="139">
        <v>304</v>
      </c>
      <c r="L101" s="136">
        <v>0</v>
      </c>
      <c r="M101" s="217">
        <v>0</v>
      </c>
      <c r="N101" s="136">
        <v>0</v>
      </c>
      <c r="O101" s="136">
        <v>0</v>
      </c>
      <c r="P101" s="218">
        <v>92.4</v>
      </c>
      <c r="Q101" s="136">
        <v>0</v>
      </c>
      <c r="R101" s="136">
        <v>20.399999999999999</v>
      </c>
      <c r="S101" s="136">
        <v>0</v>
      </c>
      <c r="T101" s="139">
        <v>18</v>
      </c>
      <c r="U101" s="217">
        <v>0</v>
      </c>
      <c r="V101" s="217">
        <v>112</v>
      </c>
      <c r="W101" s="217">
        <v>0</v>
      </c>
      <c r="X101" s="218">
        <v>0</v>
      </c>
      <c r="Y101" s="220">
        <v>80</v>
      </c>
      <c r="Z101" s="164">
        <v>0</v>
      </c>
      <c r="AA101" s="221">
        <v>0</v>
      </c>
      <c r="AB101" s="221">
        <v>0</v>
      </c>
      <c r="AC101" s="222">
        <v>0</v>
      </c>
      <c r="AD101" s="223">
        <v>0</v>
      </c>
      <c r="AE101" s="136"/>
      <c r="AF101" s="136">
        <v>1.4</v>
      </c>
      <c r="AG101" s="224">
        <v>2.2999999999999998</v>
      </c>
      <c r="AH101" s="136">
        <v>539.20000000000005</v>
      </c>
      <c r="AI101" s="136"/>
      <c r="AJ101" s="136"/>
      <c r="AK101" s="136">
        <f t="shared" si="11"/>
        <v>301.5</v>
      </c>
      <c r="AL101" s="136">
        <f t="shared" si="12"/>
        <v>0</v>
      </c>
      <c r="AM101" s="136">
        <f t="shared" si="13"/>
        <v>20.399999999999999</v>
      </c>
      <c r="AN101" s="136">
        <f t="shared" si="14"/>
        <v>18</v>
      </c>
      <c r="AO101" s="136">
        <f t="shared" si="15"/>
        <v>92.4</v>
      </c>
      <c r="AP101" s="139">
        <f t="shared" si="16"/>
        <v>112</v>
      </c>
      <c r="AQ101" s="136">
        <f t="shared" si="19"/>
        <v>0</v>
      </c>
      <c r="AR101" s="136">
        <f t="shared" si="17"/>
        <v>80</v>
      </c>
      <c r="AS101" s="139">
        <f t="shared" si="18"/>
        <v>304</v>
      </c>
      <c r="AT101" s="136"/>
      <c r="AU101" s="136">
        <f t="shared" si="20"/>
        <v>2.2999999999999998</v>
      </c>
      <c r="AV101" s="225">
        <v>3056362</v>
      </c>
      <c r="AX101" s="136">
        <f>'2024 Legal Max'!AS102</f>
        <v>524.9</v>
      </c>
      <c r="AY101" s="136">
        <f t="shared" si="21"/>
        <v>-14.3</v>
      </c>
      <c r="AZ101" s="139">
        <v>242036</v>
      </c>
      <c r="BB101" s="164">
        <v>0</v>
      </c>
      <c r="BC101" s="164">
        <v>0</v>
      </c>
    </row>
    <row r="102" spans="1:55">
      <c r="A102" s="216" t="s">
        <v>288</v>
      </c>
      <c r="B102" s="217"/>
      <c r="C102" s="218">
        <v>312</v>
      </c>
      <c r="E102" s="218"/>
      <c r="F102" s="218">
        <v>0</v>
      </c>
      <c r="G102" s="219"/>
      <c r="H102" s="218"/>
      <c r="I102" s="218"/>
      <c r="J102" s="136"/>
      <c r="K102" s="139">
        <v>338</v>
      </c>
      <c r="L102" s="136">
        <v>0</v>
      </c>
      <c r="M102" s="217">
        <v>0</v>
      </c>
      <c r="N102" s="136">
        <v>11.5</v>
      </c>
      <c r="O102" s="136">
        <v>0</v>
      </c>
      <c r="P102" s="218">
        <v>141.69999999999999</v>
      </c>
      <c r="Q102" s="136">
        <v>0</v>
      </c>
      <c r="R102" s="136">
        <v>0.7</v>
      </c>
      <c r="S102" s="136">
        <v>0</v>
      </c>
      <c r="T102" s="139">
        <v>4</v>
      </c>
      <c r="U102" s="217">
        <v>0</v>
      </c>
      <c r="V102" s="217">
        <v>155</v>
      </c>
      <c r="W102" s="217">
        <v>0</v>
      </c>
      <c r="X102" s="218">
        <v>0</v>
      </c>
      <c r="Y102" s="220">
        <v>108</v>
      </c>
      <c r="Z102" s="164">
        <v>0</v>
      </c>
      <c r="AA102" s="221">
        <v>0</v>
      </c>
      <c r="AB102" s="221">
        <v>0</v>
      </c>
      <c r="AC102" s="222">
        <v>0</v>
      </c>
      <c r="AD102" s="223">
        <v>0</v>
      </c>
      <c r="AE102" s="136"/>
      <c r="AF102" s="136">
        <v>11.8</v>
      </c>
      <c r="AG102" s="224">
        <v>11.8</v>
      </c>
      <c r="AH102" s="136">
        <v>604</v>
      </c>
      <c r="AI102" s="136"/>
      <c r="AJ102" s="136"/>
      <c r="AK102" s="136">
        <f t="shared" si="11"/>
        <v>312</v>
      </c>
      <c r="AL102" s="136">
        <f t="shared" si="12"/>
        <v>11.5</v>
      </c>
      <c r="AM102" s="136">
        <f t="shared" si="13"/>
        <v>0.7</v>
      </c>
      <c r="AN102" s="136">
        <f t="shared" si="14"/>
        <v>4</v>
      </c>
      <c r="AO102" s="136">
        <f t="shared" si="15"/>
        <v>141.69999999999999</v>
      </c>
      <c r="AP102" s="139">
        <f t="shared" si="16"/>
        <v>155</v>
      </c>
      <c r="AQ102" s="136">
        <f t="shared" si="19"/>
        <v>0</v>
      </c>
      <c r="AR102" s="136">
        <f t="shared" si="17"/>
        <v>108</v>
      </c>
      <c r="AS102" s="139">
        <f t="shared" si="18"/>
        <v>338</v>
      </c>
      <c r="AT102" s="136"/>
      <c r="AU102" s="136">
        <f t="shared" si="20"/>
        <v>11.8</v>
      </c>
      <c r="AV102" s="225">
        <v>3572285</v>
      </c>
      <c r="AX102" s="136">
        <f>'2024 Legal Max'!AS103</f>
        <v>604</v>
      </c>
      <c r="AY102" s="136">
        <f t="shared" si="21"/>
        <v>0</v>
      </c>
      <c r="AZ102" s="139">
        <v>279972</v>
      </c>
      <c r="BB102" s="164">
        <v>0</v>
      </c>
      <c r="BC102" s="164">
        <v>11.5</v>
      </c>
    </row>
    <row r="103" spans="1:55">
      <c r="A103" s="216" t="s">
        <v>289</v>
      </c>
      <c r="B103" s="217"/>
      <c r="C103" s="218">
        <v>266.39999999999998</v>
      </c>
      <c r="E103" s="218"/>
      <c r="F103" s="218">
        <v>0</v>
      </c>
      <c r="G103" s="219"/>
      <c r="H103" s="218"/>
      <c r="I103" s="218"/>
      <c r="J103" s="136"/>
      <c r="K103" s="139">
        <v>291</v>
      </c>
      <c r="L103" s="136">
        <v>0</v>
      </c>
      <c r="M103" s="217">
        <v>0</v>
      </c>
      <c r="N103" s="136">
        <v>9.5</v>
      </c>
      <c r="O103" s="136">
        <v>0</v>
      </c>
      <c r="P103" s="218">
        <v>101.8</v>
      </c>
      <c r="Q103" s="136">
        <v>0</v>
      </c>
      <c r="R103" s="136">
        <v>0</v>
      </c>
      <c r="S103" s="136">
        <v>0</v>
      </c>
      <c r="T103" s="139">
        <v>3</v>
      </c>
      <c r="U103" s="217">
        <v>0</v>
      </c>
      <c r="V103" s="217">
        <v>115</v>
      </c>
      <c r="W103" s="217">
        <v>0</v>
      </c>
      <c r="X103" s="218">
        <v>0</v>
      </c>
      <c r="Y103" s="220">
        <v>154</v>
      </c>
      <c r="Z103" s="164">
        <v>0</v>
      </c>
      <c r="AA103" s="221">
        <v>0</v>
      </c>
      <c r="AB103" s="221">
        <v>0</v>
      </c>
      <c r="AC103" s="222">
        <v>0</v>
      </c>
      <c r="AD103" s="223">
        <v>0</v>
      </c>
      <c r="AE103" s="136"/>
      <c r="AF103" s="136">
        <v>3.6</v>
      </c>
      <c r="AG103" s="224">
        <v>4</v>
      </c>
      <c r="AH103" s="136">
        <v>512.6</v>
      </c>
      <c r="AI103" s="136"/>
      <c r="AJ103" s="136"/>
      <c r="AK103" s="136">
        <f t="shared" si="11"/>
        <v>266.39999999999998</v>
      </c>
      <c r="AL103" s="136">
        <f t="shared" si="12"/>
        <v>9.5</v>
      </c>
      <c r="AM103" s="136">
        <f t="shared" si="13"/>
        <v>0</v>
      </c>
      <c r="AN103" s="136">
        <f t="shared" si="14"/>
        <v>3</v>
      </c>
      <c r="AO103" s="136">
        <f t="shared" si="15"/>
        <v>101.8</v>
      </c>
      <c r="AP103" s="139">
        <f t="shared" si="16"/>
        <v>115</v>
      </c>
      <c r="AQ103" s="136">
        <f t="shared" si="19"/>
        <v>0</v>
      </c>
      <c r="AR103" s="136">
        <f t="shared" si="17"/>
        <v>154</v>
      </c>
      <c r="AS103" s="139">
        <f t="shared" si="18"/>
        <v>291</v>
      </c>
      <c r="AT103" s="136"/>
      <c r="AU103" s="136">
        <f t="shared" si="20"/>
        <v>4</v>
      </c>
      <c r="AV103" s="225">
        <v>2854368</v>
      </c>
      <c r="AX103" s="136">
        <f>'2024 Legal Max'!AS104</f>
        <v>517.9</v>
      </c>
      <c r="AY103" s="136">
        <f t="shared" si="21"/>
        <v>5.3</v>
      </c>
      <c r="AZ103" s="139">
        <v>212902</v>
      </c>
      <c r="BB103" s="164">
        <v>0</v>
      </c>
      <c r="BC103" s="164">
        <v>9.5</v>
      </c>
    </row>
    <row r="104" spans="1:55">
      <c r="A104" s="216" t="s">
        <v>290</v>
      </c>
      <c r="B104" s="217"/>
      <c r="C104" s="218">
        <v>303</v>
      </c>
      <c r="E104" s="218"/>
      <c r="F104" s="218">
        <v>0</v>
      </c>
      <c r="G104" s="219"/>
      <c r="H104" s="218"/>
      <c r="I104" s="218"/>
      <c r="J104" s="136"/>
      <c r="K104" s="139">
        <v>307</v>
      </c>
      <c r="L104" s="136">
        <v>0</v>
      </c>
      <c r="M104" s="217">
        <v>0</v>
      </c>
      <c r="N104" s="136">
        <v>1.5</v>
      </c>
      <c r="O104" s="136">
        <v>0</v>
      </c>
      <c r="P104" s="218">
        <v>76.599999999999994</v>
      </c>
      <c r="Q104" s="136">
        <v>0</v>
      </c>
      <c r="R104" s="136">
        <v>0</v>
      </c>
      <c r="S104" s="136">
        <v>0</v>
      </c>
      <c r="T104" s="139">
        <v>0</v>
      </c>
      <c r="U104" s="217">
        <v>0</v>
      </c>
      <c r="V104" s="217">
        <v>128</v>
      </c>
      <c r="W104" s="217">
        <v>0</v>
      </c>
      <c r="X104" s="218">
        <v>0</v>
      </c>
      <c r="Y104" s="220">
        <v>199</v>
      </c>
      <c r="Z104" s="164">
        <v>0</v>
      </c>
      <c r="AA104" s="221">
        <v>0</v>
      </c>
      <c r="AB104" s="221">
        <v>0</v>
      </c>
      <c r="AC104" s="222">
        <v>0</v>
      </c>
      <c r="AD104" s="223">
        <v>0</v>
      </c>
      <c r="AE104" s="136"/>
      <c r="AF104" s="136">
        <v>6</v>
      </c>
      <c r="AG104" s="224">
        <v>7.5</v>
      </c>
      <c r="AH104" s="136">
        <v>594</v>
      </c>
      <c r="AI104" s="136"/>
      <c r="AJ104" s="136"/>
      <c r="AK104" s="136">
        <f t="shared" si="11"/>
        <v>303</v>
      </c>
      <c r="AL104" s="136">
        <f t="shared" si="12"/>
        <v>1.5</v>
      </c>
      <c r="AM104" s="136">
        <f t="shared" si="13"/>
        <v>0</v>
      </c>
      <c r="AN104" s="136">
        <f t="shared" si="14"/>
        <v>0</v>
      </c>
      <c r="AO104" s="136">
        <f t="shared" si="15"/>
        <v>76.599999999999994</v>
      </c>
      <c r="AP104" s="139">
        <f t="shared" si="16"/>
        <v>128</v>
      </c>
      <c r="AQ104" s="136">
        <f t="shared" si="19"/>
        <v>0</v>
      </c>
      <c r="AR104" s="136">
        <f t="shared" si="17"/>
        <v>199</v>
      </c>
      <c r="AS104" s="139">
        <f t="shared" si="18"/>
        <v>307</v>
      </c>
      <c r="AT104" s="136"/>
      <c r="AU104" s="136">
        <f t="shared" si="20"/>
        <v>7.5</v>
      </c>
      <c r="AV104" s="225">
        <v>3577882</v>
      </c>
      <c r="AX104" s="136">
        <f>'2024 Legal Max'!AS105</f>
        <v>592</v>
      </c>
      <c r="AY104" s="136">
        <f t="shared" si="21"/>
        <v>-2</v>
      </c>
      <c r="AZ104" s="139">
        <v>255720</v>
      </c>
      <c r="BB104" s="164">
        <v>0</v>
      </c>
      <c r="BC104" s="164">
        <v>1.5</v>
      </c>
    </row>
    <row r="105" spans="1:55">
      <c r="A105" s="216" t="s">
        <v>291</v>
      </c>
      <c r="B105" s="217"/>
      <c r="C105" s="218">
        <v>250.5</v>
      </c>
      <c r="E105" s="218"/>
      <c r="F105" s="218">
        <v>0</v>
      </c>
      <c r="G105" s="219"/>
      <c r="H105" s="218"/>
      <c r="I105" s="218"/>
      <c r="J105" s="136"/>
      <c r="K105" s="139">
        <v>280</v>
      </c>
      <c r="L105" s="136">
        <v>0</v>
      </c>
      <c r="M105" s="217">
        <v>0</v>
      </c>
      <c r="N105" s="136">
        <v>13.5</v>
      </c>
      <c r="O105" s="136">
        <v>0</v>
      </c>
      <c r="P105" s="218">
        <v>96.3</v>
      </c>
      <c r="Q105" s="136">
        <v>0</v>
      </c>
      <c r="R105" s="136">
        <v>52.2</v>
      </c>
      <c r="S105" s="136">
        <v>0</v>
      </c>
      <c r="T105" s="139">
        <v>30</v>
      </c>
      <c r="U105" s="217">
        <v>0</v>
      </c>
      <c r="V105" s="217">
        <v>87</v>
      </c>
      <c r="W105" s="217">
        <v>0</v>
      </c>
      <c r="X105" s="218">
        <v>0</v>
      </c>
      <c r="Y105" s="220">
        <v>24.5</v>
      </c>
      <c r="Z105" s="164">
        <v>0</v>
      </c>
      <c r="AA105" s="221">
        <v>0</v>
      </c>
      <c r="AB105" s="221">
        <v>0</v>
      </c>
      <c r="AC105" s="222">
        <v>0</v>
      </c>
      <c r="AD105" s="223">
        <v>0</v>
      </c>
      <c r="AE105" s="136"/>
      <c r="AF105" s="136">
        <v>0</v>
      </c>
      <c r="AG105" s="224">
        <v>1.4</v>
      </c>
      <c r="AH105" s="136">
        <v>499</v>
      </c>
      <c r="AI105" s="136"/>
      <c r="AJ105" s="136"/>
      <c r="AK105" s="136">
        <f t="shared" si="11"/>
        <v>250.5</v>
      </c>
      <c r="AL105" s="136">
        <f t="shared" si="12"/>
        <v>13.5</v>
      </c>
      <c r="AM105" s="136">
        <f t="shared" si="13"/>
        <v>52.2</v>
      </c>
      <c r="AN105" s="136">
        <f t="shared" si="14"/>
        <v>30</v>
      </c>
      <c r="AO105" s="136">
        <f t="shared" si="15"/>
        <v>96.3</v>
      </c>
      <c r="AP105" s="139">
        <f t="shared" si="16"/>
        <v>87</v>
      </c>
      <c r="AQ105" s="136">
        <f t="shared" si="19"/>
        <v>0</v>
      </c>
      <c r="AR105" s="136">
        <f t="shared" si="17"/>
        <v>24.5</v>
      </c>
      <c r="AS105" s="139">
        <f t="shared" si="18"/>
        <v>280</v>
      </c>
      <c r="AT105" s="136"/>
      <c r="AU105" s="136">
        <f t="shared" si="20"/>
        <v>1.4</v>
      </c>
      <c r="AV105" s="225">
        <v>3036518</v>
      </c>
      <c r="AX105" s="136">
        <f>'2024 Legal Max'!AS106</f>
        <v>496.5</v>
      </c>
      <c r="AY105" s="136">
        <f t="shared" si="21"/>
        <v>-2.5</v>
      </c>
      <c r="AZ105" s="139">
        <v>107358</v>
      </c>
      <c r="BB105" s="164">
        <v>0</v>
      </c>
      <c r="BC105" s="164">
        <v>13.5</v>
      </c>
    </row>
    <row r="106" spans="1:55">
      <c r="A106" s="216" t="s">
        <v>292</v>
      </c>
      <c r="B106" s="217"/>
      <c r="C106" s="218">
        <v>6458.2</v>
      </c>
      <c r="E106" s="218"/>
      <c r="F106" s="218">
        <v>0</v>
      </c>
      <c r="G106" s="219"/>
      <c r="H106" s="218"/>
      <c r="I106" s="218"/>
      <c r="J106" s="136"/>
      <c r="K106" s="139">
        <v>6699</v>
      </c>
      <c r="L106" s="136">
        <v>0</v>
      </c>
      <c r="M106" s="217">
        <v>0</v>
      </c>
      <c r="N106" s="136">
        <v>69.5</v>
      </c>
      <c r="O106" s="136">
        <v>0</v>
      </c>
      <c r="P106" s="218">
        <v>1707.4</v>
      </c>
      <c r="Q106" s="136">
        <v>0</v>
      </c>
      <c r="R106" s="136">
        <v>1527.1</v>
      </c>
      <c r="S106" s="136">
        <v>0</v>
      </c>
      <c r="T106" s="139">
        <v>560</v>
      </c>
      <c r="U106" s="217">
        <v>0</v>
      </c>
      <c r="V106" s="217">
        <v>3466</v>
      </c>
      <c r="W106" s="217">
        <v>0</v>
      </c>
      <c r="X106" s="218">
        <v>1</v>
      </c>
      <c r="Y106" s="220">
        <v>1270</v>
      </c>
      <c r="Z106" s="164">
        <v>0</v>
      </c>
      <c r="AA106" s="221">
        <v>40</v>
      </c>
      <c r="AB106" s="221">
        <v>9.6</v>
      </c>
      <c r="AC106" s="222">
        <v>20</v>
      </c>
      <c r="AD106" s="223">
        <v>0</v>
      </c>
      <c r="AE106" s="136"/>
      <c r="AF106" s="136">
        <v>363.9</v>
      </c>
      <c r="AG106" s="224">
        <v>293.89999999999998</v>
      </c>
      <c r="AH106" s="136">
        <v>9285.9</v>
      </c>
      <c r="AI106" s="136"/>
      <c r="AJ106" s="136"/>
      <c r="AK106" s="136">
        <f t="shared" si="11"/>
        <v>6458.2</v>
      </c>
      <c r="AL106" s="136">
        <f t="shared" si="12"/>
        <v>69.5</v>
      </c>
      <c r="AM106" s="136">
        <f t="shared" si="13"/>
        <v>1527.1</v>
      </c>
      <c r="AN106" s="136">
        <f t="shared" si="14"/>
        <v>560</v>
      </c>
      <c r="AO106" s="136">
        <f t="shared" si="15"/>
        <v>1707.4</v>
      </c>
      <c r="AP106" s="139">
        <f t="shared" si="16"/>
        <v>3466</v>
      </c>
      <c r="AQ106" s="136">
        <f t="shared" si="19"/>
        <v>0</v>
      </c>
      <c r="AR106" s="136">
        <f t="shared" si="17"/>
        <v>1270</v>
      </c>
      <c r="AS106" s="139">
        <f t="shared" si="18"/>
        <v>6699</v>
      </c>
      <c r="AT106" s="136"/>
      <c r="AU106" s="136">
        <f t="shared" si="20"/>
        <v>363.9</v>
      </c>
      <c r="AV106" s="225">
        <v>56866714</v>
      </c>
      <c r="AX106" s="136">
        <f>'2024 Legal Max'!AS107</f>
        <v>9273.7000000000007</v>
      </c>
      <c r="AY106" s="136">
        <f t="shared" si="21"/>
        <v>-12.2</v>
      </c>
      <c r="AZ106" s="139">
        <v>934215</v>
      </c>
      <c r="BA106" s="129" t="s">
        <v>3683</v>
      </c>
      <c r="BB106" s="164">
        <v>0</v>
      </c>
      <c r="BC106" s="164">
        <v>69.5</v>
      </c>
    </row>
    <row r="107" spans="1:55">
      <c r="A107" s="216" t="s">
        <v>293</v>
      </c>
      <c r="B107" s="217"/>
      <c r="C107" s="218">
        <v>667.5</v>
      </c>
      <c r="E107" s="218"/>
      <c r="F107" s="218">
        <v>0</v>
      </c>
      <c r="G107" s="219"/>
      <c r="H107" s="218"/>
      <c r="I107" s="218"/>
      <c r="J107" s="136"/>
      <c r="K107" s="139">
        <v>672</v>
      </c>
      <c r="L107" s="136">
        <v>0</v>
      </c>
      <c r="M107" s="217">
        <v>0</v>
      </c>
      <c r="N107" s="136">
        <v>0</v>
      </c>
      <c r="O107" s="136">
        <v>0</v>
      </c>
      <c r="P107" s="218">
        <v>188.3</v>
      </c>
      <c r="Q107" s="136">
        <v>0</v>
      </c>
      <c r="R107" s="136">
        <v>0</v>
      </c>
      <c r="S107" s="136">
        <v>0</v>
      </c>
      <c r="T107" s="139">
        <v>0</v>
      </c>
      <c r="U107" s="217">
        <v>0</v>
      </c>
      <c r="V107" s="217">
        <v>157</v>
      </c>
      <c r="W107" s="217">
        <v>0</v>
      </c>
      <c r="X107" s="218">
        <v>0</v>
      </c>
      <c r="Y107" s="220">
        <v>450</v>
      </c>
      <c r="Z107" s="164">
        <v>0</v>
      </c>
      <c r="AA107" s="221">
        <v>0</v>
      </c>
      <c r="AB107" s="221">
        <v>0</v>
      </c>
      <c r="AC107" s="222">
        <v>0</v>
      </c>
      <c r="AD107" s="223">
        <v>0</v>
      </c>
      <c r="AE107" s="136"/>
      <c r="AF107" s="136">
        <v>0</v>
      </c>
      <c r="AG107" s="224">
        <v>0</v>
      </c>
      <c r="AH107" s="136">
        <v>1101.2</v>
      </c>
      <c r="AI107" s="136"/>
      <c r="AJ107" s="136"/>
      <c r="AK107" s="136">
        <f t="shared" si="11"/>
        <v>667.5</v>
      </c>
      <c r="AL107" s="136">
        <f t="shared" si="12"/>
        <v>0</v>
      </c>
      <c r="AM107" s="136">
        <f t="shared" si="13"/>
        <v>0</v>
      </c>
      <c r="AN107" s="136">
        <f t="shared" si="14"/>
        <v>0</v>
      </c>
      <c r="AO107" s="136">
        <f t="shared" si="15"/>
        <v>188.3</v>
      </c>
      <c r="AP107" s="139">
        <f t="shared" si="16"/>
        <v>157</v>
      </c>
      <c r="AQ107" s="136">
        <f t="shared" si="19"/>
        <v>0</v>
      </c>
      <c r="AR107" s="136">
        <f t="shared" si="17"/>
        <v>450</v>
      </c>
      <c r="AS107" s="139">
        <f t="shared" si="18"/>
        <v>672</v>
      </c>
      <c r="AT107" s="136"/>
      <c r="AU107" s="136">
        <f t="shared" si="20"/>
        <v>0</v>
      </c>
      <c r="AV107" s="225">
        <v>6399686</v>
      </c>
      <c r="AX107" s="136">
        <f>'2024 Legal Max'!AS108</f>
        <v>1100.7</v>
      </c>
      <c r="AY107" s="136">
        <f t="shared" si="21"/>
        <v>-0.5</v>
      </c>
      <c r="AZ107" s="139">
        <v>362078</v>
      </c>
      <c r="BB107" s="164">
        <v>0</v>
      </c>
      <c r="BC107" s="164">
        <v>0</v>
      </c>
    </row>
    <row r="108" spans="1:55">
      <c r="A108" s="216" t="s">
        <v>294</v>
      </c>
      <c r="B108" s="217"/>
      <c r="C108" s="218">
        <v>408</v>
      </c>
      <c r="E108" s="218"/>
      <c r="F108" s="218">
        <v>0</v>
      </c>
      <c r="G108" s="219"/>
      <c r="H108" s="218"/>
      <c r="I108" s="218"/>
      <c r="J108" s="136"/>
      <c r="K108" s="139">
        <v>409</v>
      </c>
      <c r="L108" s="136">
        <v>0</v>
      </c>
      <c r="M108" s="217">
        <v>0</v>
      </c>
      <c r="N108" s="136">
        <v>0</v>
      </c>
      <c r="O108" s="136">
        <v>0</v>
      </c>
      <c r="P108" s="218">
        <v>162.9</v>
      </c>
      <c r="Q108" s="136">
        <v>0</v>
      </c>
      <c r="R108" s="136">
        <v>19.8</v>
      </c>
      <c r="S108" s="136">
        <v>0</v>
      </c>
      <c r="T108" s="139">
        <v>12</v>
      </c>
      <c r="U108" s="217">
        <v>0</v>
      </c>
      <c r="V108" s="217">
        <v>131</v>
      </c>
      <c r="W108" s="217">
        <v>0</v>
      </c>
      <c r="X108" s="218">
        <v>0</v>
      </c>
      <c r="Y108" s="220">
        <v>185</v>
      </c>
      <c r="Z108" s="164">
        <v>0</v>
      </c>
      <c r="AA108" s="221">
        <v>0</v>
      </c>
      <c r="AB108" s="221">
        <v>0</v>
      </c>
      <c r="AC108" s="222">
        <v>0</v>
      </c>
      <c r="AD108" s="223">
        <v>0</v>
      </c>
      <c r="AE108" s="136"/>
      <c r="AF108" s="136">
        <v>0</v>
      </c>
      <c r="AG108" s="224">
        <v>0.5</v>
      </c>
      <c r="AH108" s="136">
        <v>726</v>
      </c>
      <c r="AI108" s="136"/>
      <c r="AJ108" s="136"/>
      <c r="AK108" s="136">
        <f t="shared" si="11"/>
        <v>408</v>
      </c>
      <c r="AL108" s="136">
        <f t="shared" si="12"/>
        <v>0</v>
      </c>
      <c r="AM108" s="136">
        <f t="shared" si="13"/>
        <v>19.8</v>
      </c>
      <c r="AN108" s="136">
        <f t="shared" si="14"/>
        <v>12</v>
      </c>
      <c r="AO108" s="136">
        <f t="shared" si="15"/>
        <v>162.9</v>
      </c>
      <c r="AP108" s="139">
        <f t="shared" si="16"/>
        <v>131</v>
      </c>
      <c r="AQ108" s="136">
        <f t="shared" si="19"/>
        <v>0</v>
      </c>
      <c r="AR108" s="136">
        <f t="shared" si="17"/>
        <v>185</v>
      </c>
      <c r="AS108" s="139">
        <f t="shared" si="18"/>
        <v>409</v>
      </c>
      <c r="AT108" s="136"/>
      <c r="AU108" s="136">
        <f t="shared" si="20"/>
        <v>0.5</v>
      </c>
      <c r="AV108" s="225">
        <v>4576855</v>
      </c>
      <c r="AX108" s="136">
        <f>'2024 Legal Max'!AS109</f>
        <v>723.9</v>
      </c>
      <c r="AY108" s="136">
        <f t="shared" si="21"/>
        <v>-2.1</v>
      </c>
      <c r="AZ108" s="139">
        <v>447121</v>
      </c>
      <c r="BB108" s="164">
        <v>0</v>
      </c>
      <c r="BC108" s="164">
        <v>0</v>
      </c>
    </row>
    <row r="109" spans="1:55">
      <c r="A109" s="216" t="s">
        <v>295</v>
      </c>
      <c r="B109" s="217"/>
      <c r="C109" s="218">
        <v>3749.7</v>
      </c>
      <c r="E109" s="218"/>
      <c r="F109" s="218">
        <v>0</v>
      </c>
      <c r="G109" s="219"/>
      <c r="H109" s="218"/>
      <c r="I109" s="218"/>
      <c r="J109" s="136"/>
      <c r="K109" s="139">
        <v>3987</v>
      </c>
      <c r="L109" s="136">
        <v>0</v>
      </c>
      <c r="M109" s="217">
        <v>0</v>
      </c>
      <c r="N109" s="136">
        <v>97</v>
      </c>
      <c r="O109" s="136">
        <v>0</v>
      </c>
      <c r="P109" s="218">
        <v>1228.3</v>
      </c>
      <c r="Q109" s="136">
        <v>0</v>
      </c>
      <c r="R109" s="136">
        <v>344.5</v>
      </c>
      <c r="S109" s="136">
        <v>0</v>
      </c>
      <c r="T109" s="139">
        <v>154</v>
      </c>
      <c r="U109" s="217">
        <v>0</v>
      </c>
      <c r="V109" s="217">
        <v>2340</v>
      </c>
      <c r="W109" s="217">
        <v>0</v>
      </c>
      <c r="X109" s="218">
        <v>0</v>
      </c>
      <c r="Y109" s="220">
        <v>127.5</v>
      </c>
      <c r="Z109" s="164">
        <v>0</v>
      </c>
      <c r="AA109" s="221">
        <v>232</v>
      </c>
      <c r="AB109" s="221">
        <v>6.1</v>
      </c>
      <c r="AC109" s="222">
        <v>30</v>
      </c>
      <c r="AD109" s="223">
        <v>0</v>
      </c>
      <c r="AE109" s="136"/>
      <c r="AF109" s="136">
        <v>245.7</v>
      </c>
      <c r="AG109" s="224">
        <v>226.2</v>
      </c>
      <c r="AH109" s="136">
        <v>5603.6</v>
      </c>
      <c r="AI109" s="136"/>
      <c r="AJ109" s="136"/>
      <c r="AK109" s="136">
        <f t="shared" si="11"/>
        <v>3749.7</v>
      </c>
      <c r="AL109" s="136">
        <f t="shared" si="12"/>
        <v>97</v>
      </c>
      <c r="AM109" s="136">
        <f t="shared" si="13"/>
        <v>344.5</v>
      </c>
      <c r="AN109" s="136">
        <f t="shared" si="14"/>
        <v>154</v>
      </c>
      <c r="AO109" s="136">
        <f t="shared" si="15"/>
        <v>1228.3</v>
      </c>
      <c r="AP109" s="139">
        <f t="shared" si="16"/>
        <v>2340</v>
      </c>
      <c r="AQ109" s="136">
        <f t="shared" si="19"/>
        <v>0</v>
      </c>
      <c r="AR109" s="136">
        <f t="shared" si="17"/>
        <v>127.5</v>
      </c>
      <c r="AS109" s="139">
        <f t="shared" si="18"/>
        <v>3987</v>
      </c>
      <c r="AT109" s="136"/>
      <c r="AU109" s="136">
        <f t="shared" si="20"/>
        <v>245.7</v>
      </c>
      <c r="AV109" s="225">
        <v>36524449</v>
      </c>
      <c r="AX109" s="136">
        <f>'2024 Legal Max'!AS110</f>
        <v>5598.5</v>
      </c>
      <c r="AY109" s="136">
        <f t="shared" si="21"/>
        <v>-5.0999999999999996</v>
      </c>
      <c r="AZ109" s="139">
        <v>202653</v>
      </c>
      <c r="BA109" s="129" t="s">
        <v>3683</v>
      </c>
      <c r="BB109" s="164">
        <v>0</v>
      </c>
      <c r="BC109" s="164">
        <v>97</v>
      </c>
    </row>
    <row r="110" spans="1:55">
      <c r="A110" s="216" t="s">
        <v>296</v>
      </c>
      <c r="B110" s="217"/>
      <c r="C110" s="218">
        <v>890.8</v>
      </c>
      <c r="D110" s="129"/>
      <c r="E110" s="218"/>
      <c r="F110" s="218">
        <v>0</v>
      </c>
      <c r="G110" s="219"/>
      <c r="H110" s="218"/>
      <c r="I110" s="218"/>
      <c r="J110" s="136"/>
      <c r="K110" s="139">
        <v>922</v>
      </c>
      <c r="L110" s="136">
        <v>0</v>
      </c>
      <c r="M110" s="217">
        <v>0</v>
      </c>
      <c r="N110" s="136">
        <v>14</v>
      </c>
      <c r="O110" s="136">
        <v>0</v>
      </c>
      <c r="P110" s="218">
        <v>150.9</v>
      </c>
      <c r="Q110" s="136">
        <v>0</v>
      </c>
      <c r="R110" s="136">
        <v>104.8</v>
      </c>
      <c r="S110" s="136">
        <v>0</v>
      </c>
      <c r="T110" s="139">
        <v>31</v>
      </c>
      <c r="U110" s="217">
        <v>0</v>
      </c>
      <c r="V110" s="217">
        <v>420</v>
      </c>
      <c r="W110" s="217">
        <v>0</v>
      </c>
      <c r="X110" s="218">
        <v>0</v>
      </c>
      <c r="Y110" s="220">
        <v>376</v>
      </c>
      <c r="Z110" s="164">
        <v>0</v>
      </c>
      <c r="AA110" s="221">
        <v>81</v>
      </c>
      <c r="AB110" s="221">
        <v>3.3</v>
      </c>
      <c r="AC110" s="222">
        <v>1</v>
      </c>
      <c r="AD110" s="223">
        <v>0</v>
      </c>
      <c r="AE110" s="136"/>
      <c r="AF110" s="136">
        <v>31</v>
      </c>
      <c r="AG110" s="224">
        <v>31.3</v>
      </c>
      <c r="AH110" s="136">
        <v>1548.5</v>
      </c>
      <c r="AI110" s="136"/>
      <c r="AJ110" s="136"/>
      <c r="AK110" s="136">
        <f t="shared" si="11"/>
        <v>890.8</v>
      </c>
      <c r="AL110" s="136">
        <f t="shared" si="12"/>
        <v>14</v>
      </c>
      <c r="AM110" s="136">
        <f t="shared" si="13"/>
        <v>104.8</v>
      </c>
      <c r="AN110" s="136">
        <f t="shared" si="14"/>
        <v>31</v>
      </c>
      <c r="AO110" s="136">
        <f t="shared" si="15"/>
        <v>150.9</v>
      </c>
      <c r="AP110" s="139">
        <f t="shared" si="16"/>
        <v>420</v>
      </c>
      <c r="AQ110" s="136">
        <f t="shared" si="19"/>
        <v>0</v>
      </c>
      <c r="AR110" s="136">
        <f t="shared" si="17"/>
        <v>376</v>
      </c>
      <c r="AS110" s="139">
        <f t="shared" si="18"/>
        <v>922</v>
      </c>
      <c r="AT110" s="136"/>
      <c r="AU110" s="136">
        <f t="shared" si="20"/>
        <v>31.3</v>
      </c>
      <c r="AV110" s="225">
        <v>10068389</v>
      </c>
      <c r="AX110" s="136">
        <f>'2024 Legal Max'!AS111</f>
        <v>1522.5</v>
      </c>
      <c r="AY110" s="136">
        <f t="shared" si="21"/>
        <v>-26</v>
      </c>
      <c r="AZ110" s="139">
        <v>632865</v>
      </c>
      <c r="BB110" s="164">
        <v>0</v>
      </c>
      <c r="BC110" s="164">
        <v>14</v>
      </c>
    </row>
    <row r="111" spans="1:55">
      <c r="A111" s="216" t="s">
        <v>297</v>
      </c>
      <c r="B111" s="217"/>
      <c r="C111" s="218">
        <v>242.5</v>
      </c>
      <c r="D111" s="129"/>
      <c r="E111" s="218"/>
      <c r="F111" s="218">
        <v>0</v>
      </c>
      <c r="G111" s="219"/>
      <c r="H111" s="218"/>
      <c r="I111" s="218"/>
      <c r="J111" s="136"/>
      <c r="K111" s="139">
        <v>272</v>
      </c>
      <c r="L111" s="136">
        <v>0</v>
      </c>
      <c r="M111" s="217">
        <v>0</v>
      </c>
      <c r="N111" s="136">
        <v>13.5</v>
      </c>
      <c r="O111" s="136">
        <v>0</v>
      </c>
      <c r="P111" s="218">
        <v>52.5</v>
      </c>
      <c r="Q111" s="136">
        <v>0</v>
      </c>
      <c r="R111" s="136">
        <v>7.8</v>
      </c>
      <c r="S111" s="136">
        <v>0</v>
      </c>
      <c r="T111" s="139">
        <v>6</v>
      </c>
      <c r="U111" s="217">
        <v>0</v>
      </c>
      <c r="V111" s="217">
        <v>123</v>
      </c>
      <c r="W111" s="217">
        <v>0</v>
      </c>
      <c r="X111" s="218">
        <v>0</v>
      </c>
      <c r="Y111" s="220">
        <v>244</v>
      </c>
      <c r="Z111" s="164">
        <v>0</v>
      </c>
      <c r="AA111" s="221">
        <v>0</v>
      </c>
      <c r="AB111" s="221">
        <v>0</v>
      </c>
      <c r="AC111" s="222">
        <v>0</v>
      </c>
      <c r="AD111" s="223">
        <v>0</v>
      </c>
      <c r="AE111" s="136"/>
      <c r="AF111" s="136">
        <v>8.8000000000000007</v>
      </c>
      <c r="AG111" s="224">
        <v>8.8000000000000007</v>
      </c>
      <c r="AH111" s="136">
        <v>558.70000000000005</v>
      </c>
      <c r="AI111" s="136"/>
      <c r="AJ111" s="136"/>
      <c r="AK111" s="136">
        <f t="shared" si="11"/>
        <v>242.5</v>
      </c>
      <c r="AL111" s="136">
        <f t="shared" si="12"/>
        <v>13.5</v>
      </c>
      <c r="AM111" s="136">
        <f t="shared" si="13"/>
        <v>7.8</v>
      </c>
      <c r="AN111" s="136">
        <f t="shared" si="14"/>
        <v>6</v>
      </c>
      <c r="AO111" s="136">
        <f t="shared" si="15"/>
        <v>52.5</v>
      </c>
      <c r="AP111" s="139">
        <f t="shared" si="16"/>
        <v>123</v>
      </c>
      <c r="AQ111" s="136">
        <f t="shared" si="19"/>
        <v>0</v>
      </c>
      <c r="AR111" s="136">
        <f t="shared" si="17"/>
        <v>244</v>
      </c>
      <c r="AS111" s="139">
        <f t="shared" si="18"/>
        <v>272</v>
      </c>
      <c r="AT111" s="136"/>
      <c r="AU111" s="136">
        <f t="shared" si="20"/>
        <v>8.8000000000000007</v>
      </c>
      <c r="AV111" s="225">
        <v>3344851</v>
      </c>
      <c r="AX111" s="136">
        <f>'2024 Legal Max'!AS112</f>
        <v>559.1</v>
      </c>
      <c r="AY111" s="136">
        <f t="shared" si="21"/>
        <v>0.4</v>
      </c>
      <c r="AZ111" s="139">
        <v>217462</v>
      </c>
      <c r="BB111" s="164">
        <v>0</v>
      </c>
      <c r="BC111" s="164">
        <v>13.5</v>
      </c>
    </row>
    <row r="112" spans="1:55">
      <c r="A112" s="216" t="s">
        <v>298</v>
      </c>
      <c r="B112" s="217"/>
      <c r="C112" s="218">
        <v>270.2</v>
      </c>
      <c r="D112" s="129"/>
      <c r="E112" s="218"/>
      <c r="F112" s="218">
        <v>0</v>
      </c>
      <c r="G112" s="219"/>
      <c r="H112" s="218"/>
      <c r="I112" s="218"/>
      <c r="J112" s="136"/>
      <c r="K112" s="139">
        <v>298</v>
      </c>
      <c r="L112" s="136">
        <v>298</v>
      </c>
      <c r="M112" s="217">
        <v>0</v>
      </c>
      <c r="N112" s="136">
        <v>13</v>
      </c>
      <c r="O112" s="136">
        <v>0</v>
      </c>
      <c r="P112" s="218">
        <v>35</v>
      </c>
      <c r="Q112" s="136">
        <v>0</v>
      </c>
      <c r="R112" s="136">
        <v>0</v>
      </c>
      <c r="S112" s="136">
        <v>0</v>
      </c>
      <c r="T112" s="139">
        <v>0</v>
      </c>
      <c r="U112" s="217">
        <v>0</v>
      </c>
      <c r="V112" s="217">
        <v>119</v>
      </c>
      <c r="W112" s="217">
        <v>0</v>
      </c>
      <c r="X112" s="218">
        <v>0</v>
      </c>
      <c r="Y112" s="220">
        <v>119</v>
      </c>
      <c r="Z112" s="164">
        <v>0</v>
      </c>
      <c r="AA112" s="221">
        <v>3</v>
      </c>
      <c r="AB112" s="221">
        <v>0</v>
      </c>
      <c r="AC112" s="222">
        <v>0</v>
      </c>
      <c r="AD112" s="223">
        <v>0</v>
      </c>
      <c r="AE112" s="136"/>
      <c r="AF112" s="136">
        <v>4.0999999999999996</v>
      </c>
      <c r="AG112" s="224">
        <v>5.0999999999999996</v>
      </c>
      <c r="AH112" s="136">
        <v>558.1</v>
      </c>
      <c r="AI112" s="136"/>
      <c r="AJ112" s="136"/>
      <c r="AK112" s="136">
        <f t="shared" si="11"/>
        <v>270.2</v>
      </c>
      <c r="AL112" s="136">
        <f t="shared" si="12"/>
        <v>13</v>
      </c>
      <c r="AM112" s="136">
        <f t="shared" si="13"/>
        <v>0</v>
      </c>
      <c r="AN112" s="136">
        <f t="shared" si="14"/>
        <v>0</v>
      </c>
      <c r="AO112" s="136">
        <f t="shared" si="15"/>
        <v>35</v>
      </c>
      <c r="AP112" s="139">
        <f t="shared" si="16"/>
        <v>119</v>
      </c>
      <c r="AQ112" s="136">
        <f t="shared" si="19"/>
        <v>0</v>
      </c>
      <c r="AR112" s="136">
        <f t="shared" si="17"/>
        <v>119</v>
      </c>
      <c r="AS112" s="139">
        <f t="shared" si="18"/>
        <v>298</v>
      </c>
      <c r="AT112" s="136"/>
      <c r="AU112" s="136">
        <f t="shared" si="20"/>
        <v>5.0999999999999996</v>
      </c>
      <c r="AV112" s="225">
        <v>3225302</v>
      </c>
      <c r="AX112" s="136">
        <f>'2024 Legal Max'!AS113</f>
        <v>558</v>
      </c>
      <c r="AY112" s="136">
        <f t="shared" si="21"/>
        <v>-0.1</v>
      </c>
      <c r="AZ112" s="139">
        <v>86780</v>
      </c>
      <c r="BA112" s="129" t="s">
        <v>3683</v>
      </c>
      <c r="BB112" s="164">
        <v>0</v>
      </c>
      <c r="BC112" s="164">
        <v>13</v>
      </c>
    </row>
    <row r="113" spans="1:55">
      <c r="A113" s="216" t="s">
        <v>299</v>
      </c>
      <c r="B113" s="217"/>
      <c r="C113" s="218">
        <v>726.5</v>
      </c>
      <c r="D113" s="129"/>
      <c r="E113" s="218"/>
      <c r="F113" s="218">
        <v>0</v>
      </c>
      <c r="G113" s="219"/>
      <c r="H113" s="218"/>
      <c r="I113" s="218"/>
      <c r="J113" s="136"/>
      <c r="K113" s="139">
        <v>764</v>
      </c>
      <c r="L113" s="136">
        <v>0</v>
      </c>
      <c r="M113" s="217">
        <v>0</v>
      </c>
      <c r="N113" s="136">
        <v>16.5</v>
      </c>
      <c r="O113" s="136">
        <v>0</v>
      </c>
      <c r="P113" s="218">
        <v>390.7</v>
      </c>
      <c r="Q113" s="136">
        <v>0</v>
      </c>
      <c r="R113" s="136">
        <v>45.9</v>
      </c>
      <c r="S113" s="136">
        <v>0</v>
      </c>
      <c r="T113" s="139">
        <v>14</v>
      </c>
      <c r="U113" s="217">
        <v>0</v>
      </c>
      <c r="V113" s="217">
        <v>304</v>
      </c>
      <c r="W113" s="217">
        <v>0</v>
      </c>
      <c r="X113" s="218">
        <v>0</v>
      </c>
      <c r="Y113" s="220">
        <v>402</v>
      </c>
      <c r="Z113" s="164">
        <v>0</v>
      </c>
      <c r="AA113" s="221">
        <v>24</v>
      </c>
      <c r="AB113" s="221">
        <v>0</v>
      </c>
      <c r="AC113" s="222">
        <v>24</v>
      </c>
      <c r="AD113" s="223">
        <v>0</v>
      </c>
      <c r="AE113" s="136"/>
      <c r="AF113" s="136">
        <v>10.199999999999999</v>
      </c>
      <c r="AG113" s="224">
        <v>14</v>
      </c>
      <c r="AH113" s="136">
        <v>1276.2</v>
      </c>
      <c r="AI113" s="136"/>
      <c r="AJ113" s="136"/>
      <c r="AK113" s="136">
        <f t="shared" si="11"/>
        <v>726.5</v>
      </c>
      <c r="AL113" s="136">
        <f t="shared" si="12"/>
        <v>16.5</v>
      </c>
      <c r="AM113" s="136">
        <f t="shared" si="13"/>
        <v>45.9</v>
      </c>
      <c r="AN113" s="136">
        <f t="shared" si="14"/>
        <v>14</v>
      </c>
      <c r="AO113" s="136">
        <f t="shared" si="15"/>
        <v>390.7</v>
      </c>
      <c r="AP113" s="139">
        <f t="shared" si="16"/>
        <v>304</v>
      </c>
      <c r="AQ113" s="136">
        <f t="shared" si="19"/>
        <v>0</v>
      </c>
      <c r="AR113" s="136">
        <f t="shared" si="17"/>
        <v>402</v>
      </c>
      <c r="AS113" s="139">
        <f t="shared" si="18"/>
        <v>764</v>
      </c>
      <c r="AT113" s="136"/>
      <c r="AU113" s="136">
        <f t="shared" si="20"/>
        <v>14</v>
      </c>
      <c r="AV113" s="225">
        <v>7834404</v>
      </c>
      <c r="AX113" s="136">
        <f>'2024 Legal Max'!AS114</f>
        <v>1265.2</v>
      </c>
      <c r="AY113" s="136">
        <f t="shared" si="21"/>
        <v>-11</v>
      </c>
      <c r="AZ113" s="139">
        <v>289151</v>
      </c>
      <c r="BB113" s="164">
        <v>0</v>
      </c>
      <c r="BC113" s="164">
        <v>16.5</v>
      </c>
    </row>
    <row r="114" spans="1:55">
      <c r="A114" s="216" t="s">
        <v>300</v>
      </c>
      <c r="B114" s="217"/>
      <c r="C114" s="218">
        <v>2214.1</v>
      </c>
      <c r="D114" s="129"/>
      <c r="E114" s="218"/>
      <c r="F114" s="218">
        <v>0</v>
      </c>
      <c r="G114" s="219"/>
      <c r="H114" s="218"/>
      <c r="I114" s="218"/>
      <c r="J114" s="136"/>
      <c r="K114" s="139">
        <v>2285</v>
      </c>
      <c r="L114" s="136">
        <v>0</v>
      </c>
      <c r="M114" s="217">
        <v>0</v>
      </c>
      <c r="N114" s="136">
        <v>28.5</v>
      </c>
      <c r="O114" s="136">
        <v>0</v>
      </c>
      <c r="P114" s="218">
        <v>882.1</v>
      </c>
      <c r="Q114" s="136">
        <v>0</v>
      </c>
      <c r="R114" s="136">
        <v>29.5</v>
      </c>
      <c r="S114" s="136">
        <v>0</v>
      </c>
      <c r="T114" s="139">
        <v>12</v>
      </c>
      <c r="U114" s="217">
        <v>0</v>
      </c>
      <c r="V114" s="217">
        <v>693</v>
      </c>
      <c r="W114" s="217">
        <v>0</v>
      </c>
      <c r="X114" s="218">
        <v>0</v>
      </c>
      <c r="Y114" s="220">
        <v>801</v>
      </c>
      <c r="Z114" s="164">
        <v>0</v>
      </c>
      <c r="AA114" s="221">
        <v>173</v>
      </c>
      <c r="AB114" s="221">
        <v>0.3</v>
      </c>
      <c r="AC114" s="222">
        <v>0</v>
      </c>
      <c r="AD114" s="223">
        <v>0</v>
      </c>
      <c r="AE114" s="136"/>
      <c r="AF114" s="136">
        <v>0</v>
      </c>
      <c r="AG114" s="224">
        <v>4.9000000000000004</v>
      </c>
      <c r="AH114" s="136">
        <v>2882.7</v>
      </c>
      <c r="AI114" s="136"/>
      <c r="AJ114" s="136"/>
      <c r="AK114" s="136">
        <f t="shared" si="11"/>
        <v>2214.1</v>
      </c>
      <c r="AL114" s="136">
        <f t="shared" si="12"/>
        <v>28.5</v>
      </c>
      <c r="AM114" s="136">
        <f t="shared" si="13"/>
        <v>29.5</v>
      </c>
      <c r="AN114" s="136">
        <f t="shared" si="14"/>
        <v>12</v>
      </c>
      <c r="AO114" s="136">
        <f t="shared" si="15"/>
        <v>882.1</v>
      </c>
      <c r="AP114" s="139">
        <f t="shared" si="16"/>
        <v>693</v>
      </c>
      <c r="AQ114" s="136">
        <f t="shared" si="19"/>
        <v>0</v>
      </c>
      <c r="AR114" s="136">
        <f t="shared" si="17"/>
        <v>801</v>
      </c>
      <c r="AS114" s="139">
        <f t="shared" si="18"/>
        <v>2285</v>
      </c>
      <c r="AT114" s="136"/>
      <c r="AU114" s="136">
        <f t="shared" si="20"/>
        <v>4.9000000000000004</v>
      </c>
      <c r="AV114" s="225">
        <v>18572714</v>
      </c>
      <c r="AX114" s="136">
        <f>'2024 Legal Max'!AS115</f>
        <v>2877.3</v>
      </c>
      <c r="AY114" s="136">
        <f t="shared" si="21"/>
        <v>-5.4</v>
      </c>
      <c r="AZ114" s="139">
        <v>914327</v>
      </c>
      <c r="BB114" s="164">
        <v>0</v>
      </c>
      <c r="BC114" s="164">
        <v>28.5</v>
      </c>
    </row>
    <row r="115" spans="1:55">
      <c r="A115" s="216" t="s">
        <v>301</v>
      </c>
      <c r="B115" s="217"/>
      <c r="C115" s="218">
        <v>92.3</v>
      </c>
      <c r="D115" s="129"/>
      <c r="E115" s="218"/>
      <c r="F115" s="218">
        <v>0</v>
      </c>
      <c r="G115" s="219"/>
      <c r="H115" s="218"/>
      <c r="I115" s="218"/>
      <c r="J115" s="136"/>
      <c r="K115" s="139">
        <v>104</v>
      </c>
      <c r="L115" s="136">
        <v>0</v>
      </c>
      <c r="M115" s="217">
        <v>0</v>
      </c>
      <c r="N115" s="136">
        <v>3.5</v>
      </c>
      <c r="O115" s="136">
        <v>0</v>
      </c>
      <c r="P115" s="218">
        <v>0</v>
      </c>
      <c r="Q115" s="136">
        <v>0</v>
      </c>
      <c r="R115" s="136">
        <v>0</v>
      </c>
      <c r="S115" s="136">
        <v>0</v>
      </c>
      <c r="T115" s="139">
        <v>0</v>
      </c>
      <c r="U115" s="217">
        <v>0</v>
      </c>
      <c r="V115" s="217">
        <v>31</v>
      </c>
      <c r="W115" s="217">
        <v>0</v>
      </c>
      <c r="X115" s="218">
        <v>0</v>
      </c>
      <c r="Y115" s="220">
        <v>35</v>
      </c>
      <c r="Z115" s="164">
        <v>0</v>
      </c>
      <c r="AA115" s="221">
        <v>5</v>
      </c>
      <c r="AB115" s="221">
        <v>0</v>
      </c>
      <c r="AC115" s="222">
        <v>0</v>
      </c>
      <c r="AD115" s="223">
        <v>0</v>
      </c>
      <c r="AE115" s="136"/>
      <c r="AF115" s="136">
        <v>0</v>
      </c>
      <c r="AG115" s="224">
        <v>0</v>
      </c>
      <c r="AH115" s="136">
        <v>259.60000000000002</v>
      </c>
      <c r="AI115" s="136"/>
      <c r="AJ115" s="136"/>
      <c r="AK115" s="136">
        <f t="shared" si="11"/>
        <v>92.3</v>
      </c>
      <c r="AL115" s="136">
        <f t="shared" si="12"/>
        <v>3.5</v>
      </c>
      <c r="AM115" s="136">
        <f t="shared" si="13"/>
        <v>0</v>
      </c>
      <c r="AN115" s="136">
        <f t="shared" si="14"/>
        <v>0</v>
      </c>
      <c r="AO115" s="136">
        <f t="shared" si="15"/>
        <v>0</v>
      </c>
      <c r="AP115" s="139">
        <f t="shared" si="16"/>
        <v>31</v>
      </c>
      <c r="AQ115" s="136">
        <f t="shared" si="19"/>
        <v>0</v>
      </c>
      <c r="AR115" s="136">
        <f t="shared" si="17"/>
        <v>35</v>
      </c>
      <c r="AS115" s="139">
        <f t="shared" si="18"/>
        <v>104</v>
      </c>
      <c r="AT115" s="136"/>
      <c r="AU115" s="136">
        <f t="shared" si="20"/>
        <v>0</v>
      </c>
      <c r="AV115" s="225">
        <v>1624618</v>
      </c>
      <c r="AX115" s="136">
        <f>'2024 Legal Max'!AS116</f>
        <v>255.7</v>
      </c>
      <c r="AY115" s="136">
        <f t="shared" si="21"/>
        <v>-3.9</v>
      </c>
      <c r="AZ115" s="139">
        <v>100492</v>
      </c>
      <c r="BB115" s="164">
        <v>0</v>
      </c>
      <c r="BC115" s="164">
        <v>3.5</v>
      </c>
    </row>
    <row r="116" spans="1:55">
      <c r="A116" s="216" t="s">
        <v>302</v>
      </c>
      <c r="B116" s="217"/>
      <c r="C116" s="218">
        <v>910.6</v>
      </c>
      <c r="D116" s="129"/>
      <c r="E116" s="218"/>
      <c r="F116" s="218">
        <v>0</v>
      </c>
      <c r="G116" s="219"/>
      <c r="H116" s="218"/>
      <c r="I116" s="218"/>
      <c r="J116" s="136"/>
      <c r="K116" s="139">
        <v>939</v>
      </c>
      <c r="L116" s="136">
        <v>0</v>
      </c>
      <c r="M116" s="217">
        <v>0</v>
      </c>
      <c r="N116" s="136">
        <v>8.5</v>
      </c>
      <c r="O116" s="136">
        <v>0</v>
      </c>
      <c r="P116" s="218">
        <v>262.2</v>
      </c>
      <c r="Q116" s="136">
        <v>0</v>
      </c>
      <c r="R116" s="136">
        <v>119.6</v>
      </c>
      <c r="S116" s="136">
        <v>0</v>
      </c>
      <c r="T116" s="139">
        <v>64</v>
      </c>
      <c r="U116" s="217">
        <v>0</v>
      </c>
      <c r="V116" s="217">
        <v>276</v>
      </c>
      <c r="W116" s="217">
        <v>0</v>
      </c>
      <c r="X116" s="218">
        <v>0</v>
      </c>
      <c r="Y116" s="220">
        <v>174</v>
      </c>
      <c r="Z116" s="164">
        <v>0</v>
      </c>
      <c r="AA116" s="221">
        <v>0</v>
      </c>
      <c r="AB116" s="221">
        <v>0</v>
      </c>
      <c r="AC116" s="222">
        <v>0</v>
      </c>
      <c r="AD116" s="223">
        <v>0</v>
      </c>
      <c r="AE116" s="136"/>
      <c r="AF116" s="136">
        <v>0</v>
      </c>
      <c r="AG116" s="224">
        <v>0</v>
      </c>
      <c r="AH116" s="136">
        <v>1415</v>
      </c>
      <c r="AI116" s="136"/>
      <c r="AJ116" s="136"/>
      <c r="AK116" s="136">
        <f t="shared" si="11"/>
        <v>910.6</v>
      </c>
      <c r="AL116" s="136">
        <f t="shared" si="12"/>
        <v>8.5</v>
      </c>
      <c r="AM116" s="136">
        <f t="shared" si="13"/>
        <v>119.6</v>
      </c>
      <c r="AN116" s="136">
        <f t="shared" si="14"/>
        <v>64</v>
      </c>
      <c r="AO116" s="136">
        <f t="shared" si="15"/>
        <v>262.2</v>
      </c>
      <c r="AP116" s="139">
        <f t="shared" si="16"/>
        <v>276</v>
      </c>
      <c r="AQ116" s="136">
        <f t="shared" si="19"/>
        <v>0</v>
      </c>
      <c r="AR116" s="136">
        <f t="shared" si="17"/>
        <v>174</v>
      </c>
      <c r="AS116" s="139">
        <f t="shared" si="18"/>
        <v>939</v>
      </c>
      <c r="AT116" s="136"/>
      <c r="AU116" s="136">
        <f t="shared" si="20"/>
        <v>0</v>
      </c>
      <c r="AV116" s="225">
        <v>8021232</v>
      </c>
      <c r="AX116" s="136">
        <f>'2024 Legal Max'!AS117</f>
        <v>1414.5</v>
      </c>
      <c r="AY116" s="136">
        <f t="shared" si="21"/>
        <v>-0.5</v>
      </c>
      <c r="AZ116" s="139">
        <v>243691</v>
      </c>
      <c r="BA116" s="129" t="s">
        <v>3683</v>
      </c>
      <c r="BB116" s="164">
        <v>0</v>
      </c>
      <c r="BC116" s="164">
        <v>8.5</v>
      </c>
    </row>
    <row r="117" spans="1:55">
      <c r="A117" s="216" t="s">
        <v>303</v>
      </c>
      <c r="B117" s="217"/>
      <c r="C117" s="218">
        <v>143.5</v>
      </c>
      <c r="E117" s="218"/>
      <c r="F117" s="218">
        <v>0</v>
      </c>
      <c r="G117" s="219"/>
      <c r="H117" s="218"/>
      <c r="I117" s="218"/>
      <c r="J117" s="136"/>
      <c r="K117" s="139">
        <v>151</v>
      </c>
      <c r="L117" s="136">
        <v>0</v>
      </c>
      <c r="M117" s="217">
        <v>0</v>
      </c>
      <c r="N117" s="136">
        <v>3.5</v>
      </c>
      <c r="O117" s="136">
        <v>0</v>
      </c>
      <c r="P117" s="218">
        <v>23.3</v>
      </c>
      <c r="Q117" s="136">
        <v>0</v>
      </c>
      <c r="R117" s="136">
        <v>10</v>
      </c>
      <c r="S117" s="136">
        <v>0</v>
      </c>
      <c r="T117" s="139">
        <v>23</v>
      </c>
      <c r="U117" s="217">
        <v>0</v>
      </c>
      <c r="V117" s="217">
        <v>92</v>
      </c>
      <c r="W117" s="217">
        <v>0</v>
      </c>
      <c r="X117" s="218">
        <v>0</v>
      </c>
      <c r="Y117" s="220">
        <v>47</v>
      </c>
      <c r="Z117" s="164">
        <v>0</v>
      </c>
      <c r="AA117" s="221">
        <v>0</v>
      </c>
      <c r="AB117" s="221">
        <v>0</v>
      </c>
      <c r="AC117" s="222">
        <v>0</v>
      </c>
      <c r="AD117" s="223">
        <v>0</v>
      </c>
      <c r="AE117" s="136"/>
      <c r="AF117" s="136">
        <v>9.6999999999999993</v>
      </c>
      <c r="AG117" s="224">
        <v>9.5</v>
      </c>
      <c r="AH117" s="136">
        <v>385.3</v>
      </c>
      <c r="AI117" s="136"/>
      <c r="AJ117" s="136"/>
      <c r="AK117" s="136">
        <f t="shared" si="11"/>
        <v>143.5</v>
      </c>
      <c r="AL117" s="136">
        <f t="shared" si="12"/>
        <v>3.5</v>
      </c>
      <c r="AM117" s="136">
        <f t="shared" si="13"/>
        <v>10</v>
      </c>
      <c r="AN117" s="136">
        <f t="shared" si="14"/>
        <v>23</v>
      </c>
      <c r="AO117" s="136">
        <f t="shared" si="15"/>
        <v>23.3</v>
      </c>
      <c r="AP117" s="139">
        <f t="shared" si="16"/>
        <v>92</v>
      </c>
      <c r="AQ117" s="136">
        <f t="shared" si="19"/>
        <v>0</v>
      </c>
      <c r="AR117" s="136">
        <f t="shared" si="17"/>
        <v>47</v>
      </c>
      <c r="AS117" s="139">
        <f t="shared" si="18"/>
        <v>151</v>
      </c>
      <c r="AT117" s="136"/>
      <c r="AU117" s="136">
        <f t="shared" si="20"/>
        <v>9.6999999999999993</v>
      </c>
      <c r="AV117" s="225">
        <v>2133398</v>
      </c>
      <c r="AX117" s="136">
        <f>'2024 Legal Max'!AS118</f>
        <v>384</v>
      </c>
      <c r="AY117" s="136">
        <f t="shared" si="21"/>
        <v>-1.3</v>
      </c>
      <c r="AZ117" s="139">
        <v>158172</v>
      </c>
      <c r="BB117" s="164">
        <v>0</v>
      </c>
      <c r="BC117" s="164">
        <v>3.5</v>
      </c>
    </row>
    <row r="118" spans="1:55">
      <c r="A118" s="216" t="s">
        <v>304</v>
      </c>
      <c r="B118" s="217"/>
      <c r="C118" s="218">
        <v>1587</v>
      </c>
      <c r="E118" s="218"/>
      <c r="F118" s="218">
        <v>0</v>
      </c>
      <c r="G118" s="219"/>
      <c r="H118" s="218"/>
      <c r="I118" s="218"/>
      <c r="J118" s="136"/>
      <c r="K118" s="139">
        <v>1612</v>
      </c>
      <c r="L118" s="136">
        <v>0</v>
      </c>
      <c r="M118" s="217">
        <v>0</v>
      </c>
      <c r="N118" s="136">
        <v>0</v>
      </c>
      <c r="O118" s="136">
        <v>0</v>
      </c>
      <c r="P118" s="218">
        <v>376.4</v>
      </c>
      <c r="Q118" s="136">
        <v>0</v>
      </c>
      <c r="R118" s="136">
        <v>9.4</v>
      </c>
      <c r="S118" s="136">
        <v>0</v>
      </c>
      <c r="T118" s="139">
        <v>6</v>
      </c>
      <c r="U118" s="217">
        <v>0</v>
      </c>
      <c r="V118" s="217">
        <v>413</v>
      </c>
      <c r="W118" s="217">
        <v>0</v>
      </c>
      <c r="X118" s="218">
        <v>0</v>
      </c>
      <c r="Y118" s="220">
        <v>487</v>
      </c>
      <c r="Z118" s="164">
        <v>0</v>
      </c>
      <c r="AA118" s="221">
        <v>24</v>
      </c>
      <c r="AB118" s="221">
        <v>0</v>
      </c>
      <c r="AC118" s="222">
        <v>311.75</v>
      </c>
      <c r="AD118" s="223">
        <v>34</v>
      </c>
      <c r="AE118" s="136"/>
      <c r="AF118" s="136">
        <v>0</v>
      </c>
      <c r="AG118" s="224">
        <v>0</v>
      </c>
      <c r="AH118" s="136">
        <v>1999.7</v>
      </c>
      <c r="AI118" s="136"/>
      <c r="AJ118" s="136"/>
      <c r="AK118" s="136">
        <f t="shared" si="11"/>
        <v>1587</v>
      </c>
      <c r="AL118" s="136">
        <f t="shared" si="12"/>
        <v>0</v>
      </c>
      <c r="AM118" s="136">
        <f t="shared" si="13"/>
        <v>9.4</v>
      </c>
      <c r="AN118" s="136">
        <f t="shared" si="14"/>
        <v>6</v>
      </c>
      <c r="AO118" s="136">
        <f t="shared" si="15"/>
        <v>376.4</v>
      </c>
      <c r="AP118" s="139">
        <f t="shared" si="16"/>
        <v>413</v>
      </c>
      <c r="AQ118" s="136">
        <f t="shared" si="19"/>
        <v>34</v>
      </c>
      <c r="AR118" s="136">
        <f t="shared" si="17"/>
        <v>487</v>
      </c>
      <c r="AS118" s="139">
        <f t="shared" si="18"/>
        <v>1612</v>
      </c>
      <c r="AT118" s="136"/>
      <c r="AU118" s="136">
        <f t="shared" si="20"/>
        <v>0</v>
      </c>
      <c r="AV118" s="225">
        <v>11891493</v>
      </c>
      <c r="AX118" s="136">
        <f>'2024 Legal Max'!AS119</f>
        <v>1986.4</v>
      </c>
      <c r="AY118" s="136">
        <f t="shared" si="21"/>
        <v>-13.3</v>
      </c>
      <c r="AZ118" s="139">
        <v>463320</v>
      </c>
      <c r="BB118" s="164">
        <v>0</v>
      </c>
      <c r="BC118" s="164">
        <v>0</v>
      </c>
    </row>
    <row r="119" spans="1:55">
      <c r="A119" s="216" t="s">
        <v>305</v>
      </c>
      <c r="B119" s="217"/>
      <c r="C119" s="218">
        <v>1028</v>
      </c>
      <c r="E119" s="218"/>
      <c r="F119" s="218">
        <v>0</v>
      </c>
      <c r="G119" s="219"/>
      <c r="H119" s="218"/>
      <c r="I119" s="218"/>
      <c r="J119" s="136"/>
      <c r="K119" s="139">
        <v>1064</v>
      </c>
      <c r="L119" s="136">
        <v>0</v>
      </c>
      <c r="M119" s="217">
        <v>0</v>
      </c>
      <c r="N119" s="136">
        <v>9</v>
      </c>
      <c r="O119" s="136">
        <v>0</v>
      </c>
      <c r="P119" s="218">
        <v>315.7</v>
      </c>
      <c r="Q119" s="136">
        <v>0</v>
      </c>
      <c r="R119" s="136">
        <v>0</v>
      </c>
      <c r="S119" s="136">
        <v>0</v>
      </c>
      <c r="T119" s="139">
        <v>2</v>
      </c>
      <c r="U119" s="217">
        <v>0</v>
      </c>
      <c r="V119" s="217">
        <v>333</v>
      </c>
      <c r="W119" s="217">
        <v>0</v>
      </c>
      <c r="X119" s="218">
        <v>0</v>
      </c>
      <c r="Y119" s="220">
        <v>393</v>
      </c>
      <c r="Z119" s="164">
        <v>0</v>
      </c>
      <c r="AA119" s="221">
        <v>0</v>
      </c>
      <c r="AB119" s="221">
        <v>0</v>
      </c>
      <c r="AC119" s="222">
        <v>0</v>
      </c>
      <c r="AD119" s="223">
        <v>0</v>
      </c>
      <c r="AE119" s="136"/>
      <c r="AF119" s="136">
        <v>0</v>
      </c>
      <c r="AG119" s="224">
        <v>1.9</v>
      </c>
      <c r="AH119" s="136">
        <v>1548.1</v>
      </c>
      <c r="AI119" s="136"/>
      <c r="AJ119" s="136"/>
      <c r="AK119" s="136">
        <f t="shared" si="11"/>
        <v>1028</v>
      </c>
      <c r="AL119" s="136">
        <f t="shared" si="12"/>
        <v>9</v>
      </c>
      <c r="AM119" s="136">
        <f t="shared" si="13"/>
        <v>0</v>
      </c>
      <c r="AN119" s="136">
        <f t="shared" si="14"/>
        <v>2</v>
      </c>
      <c r="AO119" s="136">
        <f t="shared" si="15"/>
        <v>315.7</v>
      </c>
      <c r="AP119" s="139">
        <f t="shared" si="16"/>
        <v>333</v>
      </c>
      <c r="AQ119" s="136">
        <f t="shared" si="19"/>
        <v>0</v>
      </c>
      <c r="AR119" s="136">
        <f t="shared" si="17"/>
        <v>393</v>
      </c>
      <c r="AS119" s="139">
        <f t="shared" si="18"/>
        <v>1064</v>
      </c>
      <c r="AT119" s="136"/>
      <c r="AU119" s="136">
        <f t="shared" si="20"/>
        <v>1.9</v>
      </c>
      <c r="AV119" s="225">
        <v>9884966</v>
      </c>
      <c r="AX119" s="136">
        <f>'2024 Legal Max'!AS120</f>
        <v>1555.3</v>
      </c>
      <c r="AY119" s="136">
        <f t="shared" si="21"/>
        <v>7.2</v>
      </c>
      <c r="AZ119" s="139">
        <v>249620</v>
      </c>
      <c r="BB119" s="164">
        <v>0</v>
      </c>
      <c r="BC119" s="164">
        <v>9</v>
      </c>
    </row>
    <row r="120" spans="1:55">
      <c r="A120" s="216" t="s">
        <v>306</v>
      </c>
      <c r="B120" s="217"/>
      <c r="C120" s="218">
        <v>310</v>
      </c>
      <c r="E120" s="218"/>
      <c r="F120" s="218">
        <v>0</v>
      </c>
      <c r="G120" s="219"/>
      <c r="H120" s="218"/>
      <c r="I120" s="218"/>
      <c r="J120" s="136"/>
      <c r="K120" s="139">
        <v>326</v>
      </c>
      <c r="L120" s="136">
        <v>0</v>
      </c>
      <c r="M120" s="217">
        <v>0</v>
      </c>
      <c r="N120" s="136">
        <v>6</v>
      </c>
      <c r="O120" s="136">
        <v>0</v>
      </c>
      <c r="P120" s="218">
        <v>106.3</v>
      </c>
      <c r="Q120" s="136">
        <v>0</v>
      </c>
      <c r="R120" s="136">
        <v>0.7</v>
      </c>
      <c r="S120" s="136">
        <v>0</v>
      </c>
      <c r="T120" s="139">
        <v>3</v>
      </c>
      <c r="U120" s="217">
        <v>0</v>
      </c>
      <c r="V120" s="217">
        <v>115</v>
      </c>
      <c r="W120" s="217">
        <v>0</v>
      </c>
      <c r="X120" s="218">
        <v>0</v>
      </c>
      <c r="Y120" s="220">
        <v>169</v>
      </c>
      <c r="Z120" s="164">
        <v>0</v>
      </c>
      <c r="AA120" s="221">
        <v>0</v>
      </c>
      <c r="AB120" s="221">
        <v>0</v>
      </c>
      <c r="AC120" s="222">
        <v>0</v>
      </c>
      <c r="AD120" s="223">
        <v>0</v>
      </c>
      <c r="AE120" s="136"/>
      <c r="AF120" s="136">
        <v>0.2</v>
      </c>
      <c r="AG120" s="224">
        <v>3.1</v>
      </c>
      <c r="AH120" s="136">
        <v>562.70000000000005</v>
      </c>
      <c r="AI120" s="136"/>
      <c r="AJ120" s="136"/>
      <c r="AK120" s="136">
        <f t="shared" si="11"/>
        <v>310</v>
      </c>
      <c r="AL120" s="136">
        <f t="shared" si="12"/>
        <v>6</v>
      </c>
      <c r="AM120" s="136">
        <f t="shared" si="13"/>
        <v>0.7</v>
      </c>
      <c r="AN120" s="136">
        <f t="shared" si="14"/>
        <v>3</v>
      </c>
      <c r="AO120" s="136">
        <f t="shared" si="15"/>
        <v>106.3</v>
      </c>
      <c r="AP120" s="139">
        <f t="shared" si="16"/>
        <v>115</v>
      </c>
      <c r="AQ120" s="136">
        <f t="shared" si="19"/>
        <v>0</v>
      </c>
      <c r="AR120" s="136">
        <f t="shared" si="17"/>
        <v>169</v>
      </c>
      <c r="AS120" s="139">
        <f t="shared" si="18"/>
        <v>326</v>
      </c>
      <c r="AT120" s="136"/>
      <c r="AU120" s="136">
        <f t="shared" si="20"/>
        <v>3.1</v>
      </c>
      <c r="AV120" s="225">
        <v>3141830</v>
      </c>
      <c r="AX120" s="136">
        <f>'2024 Legal Max'!AS121</f>
        <v>564.29999999999995</v>
      </c>
      <c r="AY120" s="136">
        <f t="shared" si="21"/>
        <v>1.6</v>
      </c>
      <c r="AZ120" s="139">
        <v>142608</v>
      </c>
      <c r="BB120" s="164">
        <v>0</v>
      </c>
      <c r="BC120" s="164">
        <v>6</v>
      </c>
    </row>
    <row r="121" spans="1:55">
      <c r="A121" s="216" t="s">
        <v>307</v>
      </c>
      <c r="B121" s="217"/>
      <c r="C121" s="218">
        <v>1283</v>
      </c>
      <c r="E121" s="218"/>
      <c r="F121" s="218">
        <v>0</v>
      </c>
      <c r="G121" s="219"/>
      <c r="H121" s="218"/>
      <c r="I121" s="218"/>
      <c r="J121" s="136"/>
      <c r="K121" s="139">
        <v>1313</v>
      </c>
      <c r="L121" s="136">
        <v>0</v>
      </c>
      <c r="M121" s="217">
        <v>0</v>
      </c>
      <c r="N121" s="136">
        <v>11</v>
      </c>
      <c r="O121" s="136">
        <v>0</v>
      </c>
      <c r="P121" s="218">
        <v>263.7</v>
      </c>
      <c r="Q121" s="136">
        <v>0</v>
      </c>
      <c r="R121" s="136">
        <v>1.1000000000000001</v>
      </c>
      <c r="S121" s="136">
        <v>0</v>
      </c>
      <c r="T121" s="139">
        <v>6</v>
      </c>
      <c r="U121" s="217">
        <v>0</v>
      </c>
      <c r="V121" s="217">
        <v>281</v>
      </c>
      <c r="W121" s="217">
        <v>0</v>
      </c>
      <c r="X121" s="218">
        <v>0</v>
      </c>
      <c r="Y121" s="220">
        <v>900.5</v>
      </c>
      <c r="Z121" s="164">
        <v>0</v>
      </c>
      <c r="AA121" s="221">
        <v>4</v>
      </c>
      <c r="AB121" s="221">
        <v>0</v>
      </c>
      <c r="AC121" s="222">
        <v>0</v>
      </c>
      <c r="AD121" s="223">
        <v>0</v>
      </c>
      <c r="AE121" s="136"/>
      <c r="AF121" s="136">
        <v>0</v>
      </c>
      <c r="AG121" s="224">
        <v>0</v>
      </c>
      <c r="AH121" s="136">
        <v>1814.3</v>
      </c>
      <c r="AI121" s="136"/>
      <c r="AJ121" s="136"/>
      <c r="AK121" s="136">
        <f t="shared" si="11"/>
        <v>1283</v>
      </c>
      <c r="AL121" s="136">
        <f t="shared" si="12"/>
        <v>11</v>
      </c>
      <c r="AM121" s="136">
        <f t="shared" si="13"/>
        <v>1.1000000000000001</v>
      </c>
      <c r="AN121" s="136">
        <f t="shared" si="14"/>
        <v>6</v>
      </c>
      <c r="AO121" s="136">
        <f t="shared" si="15"/>
        <v>263.7</v>
      </c>
      <c r="AP121" s="139">
        <f t="shared" si="16"/>
        <v>281</v>
      </c>
      <c r="AQ121" s="136">
        <f t="shared" si="19"/>
        <v>0</v>
      </c>
      <c r="AR121" s="136">
        <f t="shared" si="17"/>
        <v>900.5</v>
      </c>
      <c r="AS121" s="139">
        <f t="shared" si="18"/>
        <v>1313</v>
      </c>
      <c r="AT121" s="136"/>
      <c r="AU121" s="136">
        <f t="shared" si="20"/>
        <v>0</v>
      </c>
      <c r="AV121" s="225">
        <v>10678714</v>
      </c>
      <c r="AX121" s="136">
        <f>'2024 Legal Max'!AS122</f>
        <v>1804.4</v>
      </c>
      <c r="AY121" s="136">
        <f t="shared" si="21"/>
        <v>-9.9</v>
      </c>
      <c r="AZ121" s="139">
        <v>767165</v>
      </c>
      <c r="BB121" s="164">
        <v>0</v>
      </c>
      <c r="BC121" s="164">
        <v>11</v>
      </c>
    </row>
    <row r="122" spans="1:55">
      <c r="A122" s="216" t="s">
        <v>308</v>
      </c>
      <c r="B122" s="217"/>
      <c r="C122" s="218">
        <v>552.5</v>
      </c>
      <c r="E122" s="218"/>
      <c r="F122" s="218">
        <v>0</v>
      </c>
      <c r="G122" s="219"/>
      <c r="H122" s="218"/>
      <c r="I122" s="218"/>
      <c r="J122" s="136"/>
      <c r="K122" s="139">
        <v>565</v>
      </c>
      <c r="L122" s="136">
        <v>0</v>
      </c>
      <c r="M122" s="217">
        <v>0</v>
      </c>
      <c r="N122" s="136">
        <v>4.5</v>
      </c>
      <c r="O122" s="136">
        <v>0</v>
      </c>
      <c r="P122" s="218">
        <v>227.8</v>
      </c>
      <c r="Q122" s="136">
        <v>0</v>
      </c>
      <c r="R122" s="136">
        <v>0</v>
      </c>
      <c r="S122" s="136">
        <v>0</v>
      </c>
      <c r="T122" s="139">
        <v>2</v>
      </c>
      <c r="U122" s="217">
        <v>0</v>
      </c>
      <c r="V122" s="217">
        <v>225</v>
      </c>
      <c r="W122" s="217">
        <v>0</v>
      </c>
      <c r="X122" s="218">
        <v>0</v>
      </c>
      <c r="Y122" s="220">
        <v>102</v>
      </c>
      <c r="Z122" s="164">
        <v>0</v>
      </c>
      <c r="AA122" s="221">
        <v>0</v>
      </c>
      <c r="AB122" s="221">
        <v>0</v>
      </c>
      <c r="AC122" s="222">
        <v>0</v>
      </c>
      <c r="AD122" s="223">
        <v>0</v>
      </c>
      <c r="AE122" s="136"/>
      <c r="AF122" s="136">
        <v>7.6</v>
      </c>
      <c r="AG122" s="224">
        <v>8.4</v>
      </c>
      <c r="AH122" s="136">
        <v>958.2</v>
      </c>
      <c r="AI122" s="136"/>
      <c r="AJ122" s="136"/>
      <c r="AK122" s="136">
        <f t="shared" si="11"/>
        <v>552.5</v>
      </c>
      <c r="AL122" s="136">
        <f t="shared" si="12"/>
        <v>4.5</v>
      </c>
      <c r="AM122" s="136">
        <f t="shared" si="13"/>
        <v>0</v>
      </c>
      <c r="AN122" s="136">
        <f t="shared" si="14"/>
        <v>2</v>
      </c>
      <c r="AO122" s="136">
        <f t="shared" si="15"/>
        <v>227.8</v>
      </c>
      <c r="AP122" s="139">
        <f t="shared" si="16"/>
        <v>225</v>
      </c>
      <c r="AQ122" s="136">
        <f t="shared" si="19"/>
        <v>0</v>
      </c>
      <c r="AR122" s="136">
        <f t="shared" si="17"/>
        <v>102</v>
      </c>
      <c r="AS122" s="139">
        <f t="shared" si="18"/>
        <v>565</v>
      </c>
      <c r="AT122" s="136"/>
      <c r="AU122" s="136">
        <f t="shared" si="20"/>
        <v>8.4</v>
      </c>
      <c r="AV122" s="225">
        <v>5555078</v>
      </c>
      <c r="AX122" s="136">
        <f>'2024 Legal Max'!AS123</f>
        <v>957.4</v>
      </c>
      <c r="AY122" s="136">
        <f t="shared" si="21"/>
        <v>-0.8</v>
      </c>
      <c r="AZ122" s="139">
        <v>186939</v>
      </c>
      <c r="BB122" s="164">
        <v>0</v>
      </c>
      <c r="BC122" s="164">
        <v>4.5</v>
      </c>
    </row>
    <row r="123" spans="1:55">
      <c r="A123" s="216" t="s">
        <v>309</v>
      </c>
      <c r="B123" s="217"/>
      <c r="C123" s="218">
        <v>111.5</v>
      </c>
      <c r="E123" s="218"/>
      <c r="F123" s="218">
        <v>0</v>
      </c>
      <c r="G123" s="219"/>
      <c r="H123" s="218"/>
      <c r="I123" s="218"/>
      <c r="J123" s="136"/>
      <c r="K123" s="139">
        <v>116</v>
      </c>
      <c r="L123" s="136">
        <v>0</v>
      </c>
      <c r="M123" s="217">
        <v>0</v>
      </c>
      <c r="N123" s="136">
        <v>1</v>
      </c>
      <c r="O123" s="136">
        <v>0</v>
      </c>
      <c r="P123" s="218">
        <v>43.1</v>
      </c>
      <c r="Q123" s="136">
        <v>0</v>
      </c>
      <c r="R123" s="136">
        <v>0</v>
      </c>
      <c r="S123" s="136">
        <v>0</v>
      </c>
      <c r="T123" s="139">
        <v>0</v>
      </c>
      <c r="U123" s="217">
        <v>0</v>
      </c>
      <c r="V123" s="217">
        <v>46</v>
      </c>
      <c r="W123" s="217">
        <v>0</v>
      </c>
      <c r="X123" s="218">
        <v>0</v>
      </c>
      <c r="Y123" s="220">
        <v>40.5</v>
      </c>
      <c r="Z123" s="164">
        <v>0</v>
      </c>
      <c r="AA123" s="221">
        <v>0</v>
      </c>
      <c r="AB123" s="221">
        <v>0</v>
      </c>
      <c r="AC123" s="222">
        <v>0</v>
      </c>
      <c r="AD123" s="223">
        <v>0</v>
      </c>
      <c r="AE123" s="136"/>
      <c r="AF123" s="136">
        <v>1.5</v>
      </c>
      <c r="AG123" s="224">
        <v>1.5</v>
      </c>
      <c r="AH123" s="136">
        <v>289.39999999999998</v>
      </c>
      <c r="AI123" s="136"/>
      <c r="AJ123" s="136"/>
      <c r="AK123" s="136">
        <f t="shared" si="11"/>
        <v>111.5</v>
      </c>
      <c r="AL123" s="136">
        <f t="shared" si="12"/>
        <v>1</v>
      </c>
      <c r="AM123" s="136">
        <f t="shared" si="13"/>
        <v>0</v>
      </c>
      <c r="AN123" s="136">
        <f t="shared" si="14"/>
        <v>0</v>
      </c>
      <c r="AO123" s="136">
        <f t="shared" si="15"/>
        <v>43.1</v>
      </c>
      <c r="AP123" s="139">
        <f t="shared" si="16"/>
        <v>46</v>
      </c>
      <c r="AQ123" s="136">
        <f t="shared" si="19"/>
        <v>0</v>
      </c>
      <c r="AR123" s="136">
        <f t="shared" si="17"/>
        <v>40.5</v>
      </c>
      <c r="AS123" s="139">
        <f t="shared" si="18"/>
        <v>116</v>
      </c>
      <c r="AT123" s="136"/>
      <c r="AU123" s="136">
        <f t="shared" si="20"/>
        <v>1.5</v>
      </c>
      <c r="AV123" s="225">
        <v>1703462</v>
      </c>
      <c r="AX123" s="136">
        <f>'2024 Legal Max'!AS124</f>
        <v>298.3</v>
      </c>
      <c r="AY123" s="136">
        <f t="shared" si="21"/>
        <v>8.9</v>
      </c>
      <c r="AZ123" s="139">
        <v>79920</v>
      </c>
      <c r="BB123" s="164">
        <v>0</v>
      </c>
      <c r="BC123" s="164">
        <v>1</v>
      </c>
    </row>
    <row r="124" spans="1:55">
      <c r="A124" s="216" t="s">
        <v>310</v>
      </c>
      <c r="B124" s="217"/>
      <c r="C124" s="218">
        <v>641.79999999999995</v>
      </c>
      <c r="E124" s="218"/>
      <c r="F124" s="218">
        <v>0</v>
      </c>
      <c r="G124" s="219"/>
      <c r="H124" s="218"/>
      <c r="I124" s="218"/>
      <c r="J124" s="136"/>
      <c r="K124" s="139">
        <v>646</v>
      </c>
      <c r="L124" s="136">
        <v>0</v>
      </c>
      <c r="M124" s="217">
        <v>0</v>
      </c>
      <c r="N124" s="136">
        <v>0</v>
      </c>
      <c r="O124" s="136">
        <v>0</v>
      </c>
      <c r="P124" s="218">
        <v>68.2</v>
      </c>
      <c r="Q124" s="136">
        <v>0</v>
      </c>
      <c r="R124" s="136">
        <v>0</v>
      </c>
      <c r="S124" s="136">
        <v>0</v>
      </c>
      <c r="T124" s="139">
        <v>1</v>
      </c>
      <c r="U124" s="217">
        <v>0</v>
      </c>
      <c r="V124" s="217">
        <v>176</v>
      </c>
      <c r="W124" s="217">
        <v>0</v>
      </c>
      <c r="X124" s="218">
        <v>0</v>
      </c>
      <c r="Y124" s="220">
        <v>276</v>
      </c>
      <c r="Z124" s="164">
        <v>0</v>
      </c>
      <c r="AA124" s="221">
        <v>0</v>
      </c>
      <c r="AB124" s="221">
        <v>0</v>
      </c>
      <c r="AC124" s="222">
        <v>0</v>
      </c>
      <c r="AD124" s="223">
        <v>0</v>
      </c>
      <c r="AE124" s="136"/>
      <c r="AF124" s="136">
        <v>0</v>
      </c>
      <c r="AG124" s="224">
        <v>0</v>
      </c>
      <c r="AH124" s="136">
        <v>1038.9000000000001</v>
      </c>
      <c r="AI124" s="136"/>
      <c r="AJ124" s="136"/>
      <c r="AK124" s="136">
        <f t="shared" si="11"/>
        <v>641.79999999999995</v>
      </c>
      <c r="AL124" s="136">
        <f t="shared" si="12"/>
        <v>0</v>
      </c>
      <c r="AM124" s="136">
        <f t="shared" si="13"/>
        <v>0</v>
      </c>
      <c r="AN124" s="136">
        <f t="shared" si="14"/>
        <v>1</v>
      </c>
      <c r="AO124" s="136">
        <f t="shared" si="15"/>
        <v>68.2</v>
      </c>
      <c r="AP124" s="139">
        <f t="shared" si="16"/>
        <v>176</v>
      </c>
      <c r="AQ124" s="136">
        <f t="shared" si="19"/>
        <v>0</v>
      </c>
      <c r="AR124" s="136">
        <f t="shared" si="17"/>
        <v>276</v>
      </c>
      <c r="AS124" s="139">
        <f t="shared" si="18"/>
        <v>646</v>
      </c>
      <c r="AT124" s="136"/>
      <c r="AU124" s="136">
        <f t="shared" si="20"/>
        <v>0</v>
      </c>
      <c r="AV124" s="225">
        <v>6153936</v>
      </c>
      <c r="AX124" s="136">
        <f>'2024 Legal Max'!AS125</f>
        <v>1038</v>
      </c>
      <c r="AY124" s="136">
        <f t="shared" si="21"/>
        <v>-0.9</v>
      </c>
      <c r="AZ124" s="139">
        <v>301669</v>
      </c>
      <c r="BB124" s="164">
        <v>0</v>
      </c>
      <c r="BC124" s="164">
        <v>0</v>
      </c>
    </row>
    <row r="125" spans="1:55">
      <c r="A125" s="216" t="s">
        <v>311</v>
      </c>
      <c r="B125" s="217"/>
      <c r="C125" s="218">
        <v>378.7</v>
      </c>
      <c r="E125" s="218"/>
      <c r="F125" s="218">
        <v>0</v>
      </c>
      <c r="G125" s="219"/>
      <c r="H125" s="218"/>
      <c r="I125" s="218"/>
      <c r="J125" s="136"/>
      <c r="K125" s="139">
        <v>401</v>
      </c>
      <c r="L125" s="136">
        <v>0</v>
      </c>
      <c r="M125" s="217">
        <v>0</v>
      </c>
      <c r="N125" s="136">
        <v>9</v>
      </c>
      <c r="O125" s="136">
        <v>0</v>
      </c>
      <c r="P125" s="218">
        <v>175.4</v>
      </c>
      <c r="Q125" s="136">
        <v>0</v>
      </c>
      <c r="R125" s="136">
        <v>0.5</v>
      </c>
      <c r="S125" s="136">
        <v>0</v>
      </c>
      <c r="T125" s="139">
        <v>3</v>
      </c>
      <c r="U125" s="217">
        <v>0</v>
      </c>
      <c r="V125" s="217">
        <v>111</v>
      </c>
      <c r="W125" s="217">
        <v>0</v>
      </c>
      <c r="X125" s="218">
        <v>0</v>
      </c>
      <c r="Y125" s="220">
        <v>233</v>
      </c>
      <c r="Z125" s="164">
        <v>0</v>
      </c>
      <c r="AA125" s="221">
        <v>1</v>
      </c>
      <c r="AB125" s="221">
        <v>0</v>
      </c>
      <c r="AC125" s="222">
        <v>0</v>
      </c>
      <c r="AD125" s="223">
        <v>0</v>
      </c>
      <c r="AE125" s="136"/>
      <c r="AF125" s="136">
        <v>0</v>
      </c>
      <c r="AG125" s="224">
        <v>0</v>
      </c>
      <c r="AH125" s="136">
        <v>697.1</v>
      </c>
      <c r="AI125" s="136"/>
      <c r="AJ125" s="136"/>
      <c r="AK125" s="136">
        <f t="shared" si="11"/>
        <v>378.7</v>
      </c>
      <c r="AL125" s="136">
        <f t="shared" si="12"/>
        <v>9</v>
      </c>
      <c r="AM125" s="136">
        <f t="shared" si="13"/>
        <v>0.5</v>
      </c>
      <c r="AN125" s="136">
        <f t="shared" si="14"/>
        <v>3</v>
      </c>
      <c r="AO125" s="136">
        <f t="shared" si="15"/>
        <v>175.4</v>
      </c>
      <c r="AP125" s="139">
        <f t="shared" si="16"/>
        <v>111</v>
      </c>
      <c r="AQ125" s="136">
        <f t="shared" si="19"/>
        <v>0</v>
      </c>
      <c r="AR125" s="136">
        <f t="shared" si="17"/>
        <v>233</v>
      </c>
      <c r="AS125" s="139">
        <f t="shared" si="18"/>
        <v>401</v>
      </c>
      <c r="AT125" s="136"/>
      <c r="AU125" s="136">
        <f t="shared" si="20"/>
        <v>0</v>
      </c>
      <c r="AV125" s="225">
        <v>4043893</v>
      </c>
      <c r="AX125" s="136">
        <f>'2024 Legal Max'!AS126</f>
        <v>693.5</v>
      </c>
      <c r="AY125" s="136">
        <f t="shared" si="21"/>
        <v>-3.6</v>
      </c>
      <c r="AZ125" s="139">
        <v>394027</v>
      </c>
      <c r="BB125" s="164">
        <v>0</v>
      </c>
      <c r="BC125" s="164">
        <v>9</v>
      </c>
    </row>
    <row r="126" spans="1:55">
      <c r="A126" s="216" t="s">
        <v>312</v>
      </c>
      <c r="B126" s="217"/>
      <c r="C126" s="218">
        <v>426.8</v>
      </c>
      <c r="E126" s="218"/>
      <c r="F126" s="218">
        <v>0</v>
      </c>
      <c r="G126" s="219"/>
      <c r="H126" s="218"/>
      <c r="I126" s="218"/>
      <c r="J126" s="136"/>
      <c r="K126" s="139">
        <v>445</v>
      </c>
      <c r="L126" s="136">
        <v>0</v>
      </c>
      <c r="M126" s="217">
        <v>0</v>
      </c>
      <c r="N126" s="136">
        <v>8</v>
      </c>
      <c r="O126" s="136">
        <v>0</v>
      </c>
      <c r="P126" s="218">
        <v>231.9</v>
      </c>
      <c r="Q126" s="136">
        <v>0</v>
      </c>
      <c r="R126" s="136">
        <v>0</v>
      </c>
      <c r="S126" s="136">
        <v>0</v>
      </c>
      <c r="T126" s="139">
        <v>0</v>
      </c>
      <c r="U126" s="217">
        <v>0</v>
      </c>
      <c r="V126" s="217">
        <v>134</v>
      </c>
      <c r="W126" s="217">
        <v>0</v>
      </c>
      <c r="X126" s="218">
        <v>0</v>
      </c>
      <c r="Y126" s="220">
        <v>304</v>
      </c>
      <c r="Z126" s="164">
        <v>0</v>
      </c>
      <c r="AA126" s="221">
        <v>0</v>
      </c>
      <c r="AB126" s="221">
        <v>0</v>
      </c>
      <c r="AC126" s="222">
        <v>0</v>
      </c>
      <c r="AD126" s="223">
        <v>0</v>
      </c>
      <c r="AE126" s="136"/>
      <c r="AF126" s="136">
        <v>0</v>
      </c>
      <c r="AG126" s="224">
        <v>0</v>
      </c>
      <c r="AH126" s="136">
        <v>798</v>
      </c>
      <c r="AI126" s="136"/>
      <c r="AJ126" s="136"/>
      <c r="AK126" s="136">
        <f t="shared" si="11"/>
        <v>426.8</v>
      </c>
      <c r="AL126" s="136">
        <f t="shared" si="12"/>
        <v>8</v>
      </c>
      <c r="AM126" s="136">
        <f t="shared" si="13"/>
        <v>0</v>
      </c>
      <c r="AN126" s="136">
        <f t="shared" si="14"/>
        <v>0</v>
      </c>
      <c r="AO126" s="136">
        <f t="shared" si="15"/>
        <v>231.9</v>
      </c>
      <c r="AP126" s="139">
        <f t="shared" si="16"/>
        <v>134</v>
      </c>
      <c r="AQ126" s="136">
        <f t="shared" si="19"/>
        <v>0</v>
      </c>
      <c r="AR126" s="136">
        <f t="shared" si="17"/>
        <v>304</v>
      </c>
      <c r="AS126" s="139">
        <f t="shared" si="18"/>
        <v>445</v>
      </c>
      <c r="AT126" s="136"/>
      <c r="AU126" s="136">
        <f t="shared" si="20"/>
        <v>0</v>
      </c>
      <c r="AV126" s="225">
        <v>5002528</v>
      </c>
      <c r="AX126" s="136">
        <f>'2024 Legal Max'!AS127</f>
        <v>796</v>
      </c>
      <c r="AY126" s="136">
        <f t="shared" si="21"/>
        <v>-2</v>
      </c>
      <c r="AZ126" s="139">
        <v>366952</v>
      </c>
      <c r="BB126" s="164">
        <v>0</v>
      </c>
      <c r="BC126" s="164">
        <v>8</v>
      </c>
    </row>
    <row r="127" spans="1:55">
      <c r="A127" s="216" t="s">
        <v>313</v>
      </c>
      <c r="B127" s="217"/>
      <c r="C127" s="218">
        <v>813.3</v>
      </c>
      <c r="E127" s="218"/>
      <c r="F127" s="218">
        <v>0</v>
      </c>
      <c r="G127" s="219"/>
      <c r="H127" s="218"/>
      <c r="I127" s="218"/>
      <c r="J127" s="136"/>
      <c r="K127" s="139">
        <v>862</v>
      </c>
      <c r="L127" s="136">
        <v>0</v>
      </c>
      <c r="M127" s="217">
        <v>0</v>
      </c>
      <c r="N127" s="136">
        <v>13.5</v>
      </c>
      <c r="O127" s="136">
        <v>0</v>
      </c>
      <c r="P127" s="218">
        <v>354</v>
      </c>
      <c r="Q127" s="136">
        <v>0</v>
      </c>
      <c r="R127" s="136">
        <v>9.9</v>
      </c>
      <c r="S127" s="136">
        <v>0</v>
      </c>
      <c r="T127" s="139">
        <v>12</v>
      </c>
      <c r="U127" s="217">
        <v>0</v>
      </c>
      <c r="V127" s="217">
        <v>380</v>
      </c>
      <c r="W127" s="217">
        <v>0</v>
      </c>
      <c r="X127" s="218">
        <v>0</v>
      </c>
      <c r="Y127" s="220">
        <v>234.3</v>
      </c>
      <c r="Z127" s="164">
        <v>0</v>
      </c>
      <c r="AA127" s="221">
        <v>19</v>
      </c>
      <c r="AB127" s="221">
        <v>2.6</v>
      </c>
      <c r="AC127" s="222">
        <v>20.5</v>
      </c>
      <c r="AD127" s="223">
        <v>0</v>
      </c>
      <c r="AE127" s="136"/>
      <c r="AF127" s="136">
        <v>24.2</v>
      </c>
      <c r="AG127" s="224">
        <v>25.4</v>
      </c>
      <c r="AH127" s="136">
        <v>1409.9</v>
      </c>
      <c r="AI127" s="136"/>
      <c r="AJ127" s="136"/>
      <c r="AK127" s="136">
        <f t="shared" si="11"/>
        <v>813.3</v>
      </c>
      <c r="AL127" s="136">
        <f t="shared" si="12"/>
        <v>13.5</v>
      </c>
      <c r="AM127" s="136">
        <f t="shared" si="13"/>
        <v>9.9</v>
      </c>
      <c r="AN127" s="136">
        <f t="shared" si="14"/>
        <v>12</v>
      </c>
      <c r="AO127" s="136">
        <f t="shared" si="15"/>
        <v>354</v>
      </c>
      <c r="AP127" s="139">
        <f t="shared" si="16"/>
        <v>380</v>
      </c>
      <c r="AQ127" s="136">
        <f t="shared" si="19"/>
        <v>0</v>
      </c>
      <c r="AR127" s="136">
        <f t="shared" si="17"/>
        <v>234.3</v>
      </c>
      <c r="AS127" s="139">
        <f t="shared" si="18"/>
        <v>862</v>
      </c>
      <c r="AT127" s="136"/>
      <c r="AU127" s="136">
        <f t="shared" si="20"/>
        <v>25.4</v>
      </c>
      <c r="AV127" s="225">
        <v>8845804</v>
      </c>
      <c r="AX127" s="136">
        <f>'2024 Legal Max'!AS128</f>
        <v>1404.6</v>
      </c>
      <c r="AY127" s="136">
        <f t="shared" si="21"/>
        <v>-5.3</v>
      </c>
      <c r="AZ127" s="139">
        <v>453886</v>
      </c>
      <c r="BB127" s="164">
        <v>0</v>
      </c>
      <c r="BC127" s="164">
        <v>13.5</v>
      </c>
    </row>
    <row r="128" spans="1:55">
      <c r="A128" s="216" t="s">
        <v>314</v>
      </c>
      <c r="B128" s="217"/>
      <c r="C128" s="218">
        <v>206</v>
      </c>
      <c r="E128" s="218"/>
      <c r="F128" s="218">
        <v>0</v>
      </c>
      <c r="G128" s="219"/>
      <c r="H128" s="218"/>
      <c r="I128" s="218"/>
      <c r="J128" s="136"/>
      <c r="K128" s="139">
        <v>222</v>
      </c>
      <c r="L128" s="136">
        <v>0</v>
      </c>
      <c r="M128" s="217">
        <v>0</v>
      </c>
      <c r="N128" s="136">
        <v>7.5</v>
      </c>
      <c r="O128" s="136">
        <v>0</v>
      </c>
      <c r="P128" s="218">
        <v>38.799999999999997</v>
      </c>
      <c r="Q128" s="136">
        <v>0</v>
      </c>
      <c r="R128" s="136">
        <v>0</v>
      </c>
      <c r="S128" s="136">
        <v>0</v>
      </c>
      <c r="T128" s="139">
        <v>0</v>
      </c>
      <c r="U128" s="217">
        <v>0</v>
      </c>
      <c r="V128" s="217">
        <v>59</v>
      </c>
      <c r="W128" s="217">
        <v>0</v>
      </c>
      <c r="X128" s="218">
        <v>0</v>
      </c>
      <c r="Y128" s="220">
        <v>92</v>
      </c>
      <c r="Z128" s="164">
        <v>0</v>
      </c>
      <c r="AA128" s="221">
        <v>0</v>
      </c>
      <c r="AB128" s="221">
        <v>0</v>
      </c>
      <c r="AC128" s="222">
        <v>0</v>
      </c>
      <c r="AD128" s="223">
        <v>0</v>
      </c>
      <c r="AE128" s="136"/>
      <c r="AF128" s="136">
        <v>0</v>
      </c>
      <c r="AG128" s="224">
        <v>0</v>
      </c>
      <c r="AH128" s="136">
        <v>427.7</v>
      </c>
      <c r="AI128" s="136"/>
      <c r="AJ128" s="136"/>
      <c r="AK128" s="136">
        <f t="shared" si="11"/>
        <v>206</v>
      </c>
      <c r="AL128" s="136">
        <f t="shared" si="12"/>
        <v>7.5</v>
      </c>
      <c r="AM128" s="136">
        <f t="shared" si="13"/>
        <v>0</v>
      </c>
      <c r="AN128" s="136">
        <f t="shared" si="14"/>
        <v>0</v>
      </c>
      <c r="AO128" s="136">
        <f t="shared" si="15"/>
        <v>38.799999999999997</v>
      </c>
      <c r="AP128" s="139">
        <f t="shared" si="16"/>
        <v>59</v>
      </c>
      <c r="AQ128" s="136">
        <f t="shared" si="19"/>
        <v>0</v>
      </c>
      <c r="AR128" s="136">
        <f t="shared" si="17"/>
        <v>92</v>
      </c>
      <c r="AS128" s="139">
        <f t="shared" si="18"/>
        <v>222</v>
      </c>
      <c r="AT128" s="136"/>
      <c r="AU128" s="136">
        <f t="shared" si="20"/>
        <v>0</v>
      </c>
      <c r="AV128" s="225">
        <v>2509910</v>
      </c>
      <c r="AX128" s="136">
        <f>'2024 Legal Max'!AS129</f>
        <v>426.4</v>
      </c>
      <c r="AY128" s="136">
        <f t="shared" si="21"/>
        <v>-1.3</v>
      </c>
      <c r="AZ128" s="139">
        <v>280420</v>
      </c>
      <c r="BB128" s="164">
        <v>0</v>
      </c>
      <c r="BC128" s="164">
        <v>7.5</v>
      </c>
    </row>
    <row r="129" spans="1:55">
      <c r="A129" s="216" t="s">
        <v>315</v>
      </c>
      <c r="B129" s="217"/>
      <c r="C129" s="218">
        <v>1073.5999999999999</v>
      </c>
      <c r="E129" s="218"/>
      <c r="F129" s="218">
        <v>0</v>
      </c>
      <c r="G129" s="219"/>
      <c r="H129" s="218"/>
      <c r="I129" s="218"/>
      <c r="J129" s="136"/>
      <c r="K129" s="139">
        <v>1116</v>
      </c>
      <c r="L129" s="136">
        <v>0</v>
      </c>
      <c r="M129" s="217">
        <v>0</v>
      </c>
      <c r="N129" s="136">
        <v>17.5</v>
      </c>
      <c r="O129" s="136">
        <v>0</v>
      </c>
      <c r="P129" s="218">
        <v>260.10000000000002</v>
      </c>
      <c r="Q129" s="136">
        <v>0</v>
      </c>
      <c r="R129" s="136">
        <v>7.2</v>
      </c>
      <c r="S129" s="136">
        <v>0</v>
      </c>
      <c r="T129" s="139">
        <v>16</v>
      </c>
      <c r="U129" s="217">
        <v>0</v>
      </c>
      <c r="V129" s="217">
        <v>503</v>
      </c>
      <c r="W129" s="217">
        <v>0</v>
      </c>
      <c r="X129" s="218">
        <v>0</v>
      </c>
      <c r="Y129" s="220">
        <v>227</v>
      </c>
      <c r="Z129" s="164">
        <v>0</v>
      </c>
      <c r="AA129" s="221">
        <v>10</v>
      </c>
      <c r="AB129" s="221">
        <v>0.7</v>
      </c>
      <c r="AC129" s="222">
        <v>0</v>
      </c>
      <c r="AD129" s="223">
        <v>0</v>
      </c>
      <c r="AE129" s="136"/>
      <c r="AF129" s="136">
        <v>35.5</v>
      </c>
      <c r="AG129" s="224">
        <v>35.9</v>
      </c>
      <c r="AH129" s="136">
        <v>1709.9</v>
      </c>
      <c r="AI129" s="136"/>
      <c r="AJ129" s="136"/>
      <c r="AK129" s="136">
        <f t="shared" si="11"/>
        <v>1073.5999999999999</v>
      </c>
      <c r="AL129" s="136">
        <f t="shared" si="12"/>
        <v>17.5</v>
      </c>
      <c r="AM129" s="136">
        <f t="shared" si="13"/>
        <v>7.2</v>
      </c>
      <c r="AN129" s="136">
        <f t="shared" si="14"/>
        <v>16</v>
      </c>
      <c r="AO129" s="136">
        <f t="shared" si="15"/>
        <v>260.10000000000002</v>
      </c>
      <c r="AP129" s="139">
        <f t="shared" si="16"/>
        <v>503</v>
      </c>
      <c r="AQ129" s="136">
        <f t="shared" si="19"/>
        <v>0</v>
      </c>
      <c r="AR129" s="136">
        <f t="shared" si="17"/>
        <v>227</v>
      </c>
      <c r="AS129" s="139">
        <f t="shared" si="18"/>
        <v>1116</v>
      </c>
      <c r="AT129" s="136"/>
      <c r="AU129" s="136">
        <f t="shared" si="20"/>
        <v>35.9</v>
      </c>
      <c r="AV129" s="225">
        <v>9804228</v>
      </c>
      <c r="AX129" s="136">
        <f>'2024 Legal Max'!AS130</f>
        <v>1701</v>
      </c>
      <c r="AY129" s="136">
        <f t="shared" si="21"/>
        <v>-8.9</v>
      </c>
      <c r="AZ129" s="139">
        <v>466670</v>
      </c>
      <c r="BB129" s="164">
        <v>0</v>
      </c>
      <c r="BC129" s="164">
        <v>17.5</v>
      </c>
    </row>
    <row r="130" spans="1:55">
      <c r="A130" s="216" t="s">
        <v>316</v>
      </c>
      <c r="B130" s="217"/>
      <c r="C130" s="218">
        <v>120</v>
      </c>
      <c r="E130" s="218"/>
      <c r="F130" s="218">
        <v>0</v>
      </c>
      <c r="G130" s="219"/>
      <c r="H130" s="218"/>
      <c r="I130" s="218"/>
      <c r="J130" s="136"/>
      <c r="K130" s="139">
        <v>124</v>
      </c>
      <c r="L130" s="136">
        <v>0</v>
      </c>
      <c r="M130" s="217">
        <v>0</v>
      </c>
      <c r="N130" s="136">
        <v>1</v>
      </c>
      <c r="O130" s="136">
        <v>0</v>
      </c>
      <c r="P130" s="218">
        <v>40.5</v>
      </c>
      <c r="Q130" s="136">
        <v>0</v>
      </c>
      <c r="R130" s="136">
        <v>0</v>
      </c>
      <c r="S130" s="136">
        <v>0</v>
      </c>
      <c r="T130" s="139">
        <v>0</v>
      </c>
      <c r="U130" s="217">
        <v>0</v>
      </c>
      <c r="V130" s="217">
        <v>80</v>
      </c>
      <c r="W130" s="217">
        <v>0</v>
      </c>
      <c r="X130" s="218">
        <v>0</v>
      </c>
      <c r="Y130" s="220">
        <v>17</v>
      </c>
      <c r="Z130" s="164">
        <v>0</v>
      </c>
      <c r="AA130" s="221">
        <v>4</v>
      </c>
      <c r="AB130" s="221">
        <v>0</v>
      </c>
      <c r="AC130" s="222">
        <v>0</v>
      </c>
      <c r="AD130" s="223">
        <v>0</v>
      </c>
      <c r="AE130" s="136"/>
      <c r="AF130" s="136">
        <v>8.4</v>
      </c>
      <c r="AG130" s="224">
        <v>8</v>
      </c>
      <c r="AH130" s="136">
        <v>347.3</v>
      </c>
      <c r="AI130" s="136"/>
      <c r="AJ130" s="136"/>
      <c r="AK130" s="136">
        <f t="shared" si="11"/>
        <v>120</v>
      </c>
      <c r="AL130" s="136">
        <f t="shared" si="12"/>
        <v>1</v>
      </c>
      <c r="AM130" s="136">
        <f t="shared" si="13"/>
        <v>0</v>
      </c>
      <c r="AN130" s="136">
        <f t="shared" si="14"/>
        <v>0</v>
      </c>
      <c r="AO130" s="136">
        <f t="shared" si="15"/>
        <v>40.5</v>
      </c>
      <c r="AP130" s="139">
        <f t="shared" si="16"/>
        <v>80</v>
      </c>
      <c r="AQ130" s="136">
        <f t="shared" si="19"/>
        <v>0</v>
      </c>
      <c r="AR130" s="136">
        <f t="shared" si="17"/>
        <v>17</v>
      </c>
      <c r="AS130" s="139">
        <f t="shared" si="18"/>
        <v>124</v>
      </c>
      <c r="AT130" s="136"/>
      <c r="AU130" s="136">
        <f t="shared" si="20"/>
        <v>8.4</v>
      </c>
      <c r="AV130" s="225">
        <v>2133375</v>
      </c>
      <c r="AX130" s="136">
        <f>'2024 Legal Max'!AS131</f>
        <v>345.7</v>
      </c>
      <c r="AY130" s="136">
        <f t="shared" si="21"/>
        <v>-1.6</v>
      </c>
      <c r="AZ130" s="139">
        <v>91795</v>
      </c>
      <c r="BB130" s="164">
        <v>0</v>
      </c>
      <c r="BC130" s="164">
        <v>1</v>
      </c>
    </row>
    <row r="131" spans="1:55">
      <c r="A131" s="216" t="s">
        <v>317</v>
      </c>
      <c r="B131" s="217"/>
      <c r="C131" s="218">
        <v>456.5</v>
      </c>
      <c r="E131" s="218"/>
      <c r="F131" s="218">
        <v>0</v>
      </c>
      <c r="G131" s="219"/>
      <c r="H131" s="218"/>
      <c r="I131" s="218"/>
      <c r="J131" s="136"/>
      <c r="K131" s="139">
        <v>494</v>
      </c>
      <c r="L131" s="136">
        <v>0</v>
      </c>
      <c r="M131" s="217">
        <v>0</v>
      </c>
      <c r="N131" s="136">
        <v>16.5</v>
      </c>
      <c r="O131" s="136">
        <v>0</v>
      </c>
      <c r="P131" s="218">
        <v>273.3</v>
      </c>
      <c r="Q131" s="136">
        <v>0</v>
      </c>
      <c r="R131" s="136">
        <v>0</v>
      </c>
      <c r="S131" s="136">
        <v>0</v>
      </c>
      <c r="T131" s="139">
        <v>0</v>
      </c>
      <c r="U131" s="217">
        <v>0</v>
      </c>
      <c r="V131" s="217">
        <v>197</v>
      </c>
      <c r="W131" s="217">
        <v>0</v>
      </c>
      <c r="X131" s="218">
        <v>0</v>
      </c>
      <c r="Y131" s="220">
        <v>248</v>
      </c>
      <c r="Z131" s="164">
        <v>0</v>
      </c>
      <c r="AA131" s="221">
        <v>0</v>
      </c>
      <c r="AB131" s="221">
        <v>0</v>
      </c>
      <c r="AC131" s="222">
        <v>0</v>
      </c>
      <c r="AD131" s="223">
        <v>0</v>
      </c>
      <c r="AE131" s="136"/>
      <c r="AF131" s="136">
        <v>6.7</v>
      </c>
      <c r="AG131" s="224">
        <v>7</v>
      </c>
      <c r="AH131" s="136">
        <v>733.4</v>
      </c>
      <c r="AI131" s="136"/>
      <c r="AJ131" s="136"/>
      <c r="AK131" s="136">
        <f t="shared" si="11"/>
        <v>456.5</v>
      </c>
      <c r="AL131" s="136">
        <f t="shared" si="12"/>
        <v>16.5</v>
      </c>
      <c r="AM131" s="136">
        <f t="shared" si="13"/>
        <v>0</v>
      </c>
      <c r="AN131" s="136">
        <f t="shared" si="14"/>
        <v>0</v>
      </c>
      <c r="AO131" s="136">
        <f t="shared" si="15"/>
        <v>273.3</v>
      </c>
      <c r="AP131" s="139">
        <f t="shared" si="16"/>
        <v>197</v>
      </c>
      <c r="AQ131" s="136">
        <f t="shared" si="19"/>
        <v>0</v>
      </c>
      <c r="AR131" s="136">
        <f t="shared" si="17"/>
        <v>248</v>
      </c>
      <c r="AS131" s="139">
        <f t="shared" si="18"/>
        <v>494</v>
      </c>
      <c r="AT131" s="136"/>
      <c r="AU131" s="136">
        <f t="shared" si="20"/>
        <v>7</v>
      </c>
      <c r="AV131" s="225">
        <v>4015450</v>
      </c>
      <c r="AX131" s="136">
        <f>'2024 Legal Max'!AS132</f>
        <v>727.1</v>
      </c>
      <c r="AY131" s="136">
        <f t="shared" si="21"/>
        <v>-6.3</v>
      </c>
      <c r="AZ131" s="139">
        <v>387332</v>
      </c>
      <c r="BB131" s="164">
        <v>0</v>
      </c>
      <c r="BC131" s="164">
        <v>16.5</v>
      </c>
    </row>
    <row r="132" spans="1:55">
      <c r="A132" s="216" t="s">
        <v>318</v>
      </c>
      <c r="B132" s="217"/>
      <c r="C132" s="218">
        <v>1007.6</v>
      </c>
      <c r="E132" s="218"/>
      <c r="F132" s="218">
        <v>0</v>
      </c>
      <c r="G132" s="219"/>
      <c r="H132" s="218"/>
      <c r="I132" s="218"/>
      <c r="J132" s="136"/>
      <c r="K132" s="139">
        <v>1050</v>
      </c>
      <c r="L132" s="136">
        <v>0</v>
      </c>
      <c r="M132" s="217">
        <v>0</v>
      </c>
      <c r="N132" s="136">
        <v>16.5</v>
      </c>
      <c r="O132" s="136">
        <v>0</v>
      </c>
      <c r="P132" s="218">
        <v>262.39999999999998</v>
      </c>
      <c r="Q132" s="136">
        <v>0</v>
      </c>
      <c r="R132" s="136">
        <v>172.9</v>
      </c>
      <c r="S132" s="136">
        <v>0</v>
      </c>
      <c r="T132" s="139">
        <v>62</v>
      </c>
      <c r="U132" s="217">
        <v>0</v>
      </c>
      <c r="V132" s="217">
        <v>432</v>
      </c>
      <c r="W132" s="217">
        <v>0</v>
      </c>
      <c r="X132" s="218">
        <v>1</v>
      </c>
      <c r="Y132" s="220">
        <v>356</v>
      </c>
      <c r="Z132" s="164">
        <v>0</v>
      </c>
      <c r="AA132" s="221">
        <v>8</v>
      </c>
      <c r="AB132" s="221">
        <v>1.7</v>
      </c>
      <c r="AC132" s="222">
        <v>175</v>
      </c>
      <c r="AD132" s="223">
        <v>15</v>
      </c>
      <c r="AE132" s="136"/>
      <c r="AF132" s="136">
        <v>18.600000000000001</v>
      </c>
      <c r="AG132" s="224">
        <v>26.2</v>
      </c>
      <c r="AH132" s="136">
        <v>1605.9</v>
      </c>
      <c r="AI132" s="136"/>
      <c r="AJ132" s="136"/>
      <c r="AK132" s="136">
        <f t="shared" ref="AK132:AK195" si="22">SUM(C132+F132)</f>
        <v>1007.6</v>
      </c>
      <c r="AL132" s="136">
        <f t="shared" ref="AL132:AL195" si="23">SUM(N132+O132)</f>
        <v>16.5</v>
      </c>
      <c r="AM132" s="136">
        <f t="shared" ref="AM132:AM195" si="24">SUM(R132+S132)</f>
        <v>172.9</v>
      </c>
      <c r="AN132" s="136">
        <f t="shared" ref="AN132:AN195" si="25">SUM(T132+U132)</f>
        <v>62</v>
      </c>
      <c r="AO132" s="136">
        <f t="shared" ref="AO132:AO195" si="26">SUM(P132+Q132)</f>
        <v>262.39999999999998</v>
      </c>
      <c r="AP132" s="139">
        <f t="shared" ref="AP132:AP195" si="27">SUM(V132+W132)</f>
        <v>432</v>
      </c>
      <c r="AQ132" s="136">
        <f t="shared" si="19"/>
        <v>15</v>
      </c>
      <c r="AR132" s="136">
        <f t="shared" ref="AR132:AR195" si="28">SUM(Y132+Z132)</f>
        <v>356</v>
      </c>
      <c r="AS132" s="139">
        <f t="shared" ref="AS132:AS195" si="29">SUM(K132+M132)</f>
        <v>1050</v>
      </c>
      <c r="AT132" s="136"/>
      <c r="AU132" s="136">
        <f t="shared" si="20"/>
        <v>26.2</v>
      </c>
      <c r="AV132" s="225">
        <v>9313061</v>
      </c>
      <c r="AX132" s="136">
        <f>'2024 Legal Max'!AS133</f>
        <v>1599.8</v>
      </c>
      <c r="AY132" s="136">
        <f t="shared" si="21"/>
        <v>-6.1</v>
      </c>
      <c r="AZ132" s="139">
        <v>430226</v>
      </c>
      <c r="BB132" s="164">
        <v>0</v>
      </c>
      <c r="BC132" s="164">
        <v>16.5</v>
      </c>
    </row>
    <row r="133" spans="1:55">
      <c r="A133" s="216" t="s">
        <v>319</v>
      </c>
      <c r="B133" s="217"/>
      <c r="C133" s="218">
        <v>823.1</v>
      </c>
      <c r="E133" s="218"/>
      <c r="F133" s="218">
        <v>0</v>
      </c>
      <c r="G133" s="219"/>
      <c r="H133" s="218"/>
      <c r="I133" s="218"/>
      <c r="J133" s="136"/>
      <c r="K133" s="139">
        <v>849</v>
      </c>
      <c r="L133" s="136">
        <v>0</v>
      </c>
      <c r="M133" s="217">
        <v>0</v>
      </c>
      <c r="N133" s="136">
        <v>9</v>
      </c>
      <c r="O133" s="136">
        <v>0</v>
      </c>
      <c r="P133" s="218">
        <v>186.7</v>
      </c>
      <c r="Q133" s="136">
        <v>0</v>
      </c>
      <c r="R133" s="136">
        <v>0.8</v>
      </c>
      <c r="S133" s="136">
        <v>0</v>
      </c>
      <c r="T133" s="139">
        <v>2</v>
      </c>
      <c r="U133" s="217">
        <v>0</v>
      </c>
      <c r="V133" s="217">
        <v>363</v>
      </c>
      <c r="W133" s="217">
        <v>0</v>
      </c>
      <c r="X133" s="218">
        <v>0</v>
      </c>
      <c r="Y133" s="220">
        <v>580</v>
      </c>
      <c r="Z133" s="164">
        <v>0</v>
      </c>
      <c r="AA133" s="221">
        <v>1</v>
      </c>
      <c r="AB133" s="221">
        <v>0</v>
      </c>
      <c r="AC133" s="222">
        <v>0</v>
      </c>
      <c r="AD133" s="223">
        <v>0</v>
      </c>
      <c r="AE133" s="136"/>
      <c r="AF133" s="136">
        <v>19.7</v>
      </c>
      <c r="AG133" s="224">
        <v>25.7</v>
      </c>
      <c r="AH133" s="136">
        <v>1407.5</v>
      </c>
      <c r="AI133" s="136"/>
      <c r="AJ133" s="136"/>
      <c r="AK133" s="136">
        <f t="shared" si="22"/>
        <v>823.1</v>
      </c>
      <c r="AL133" s="136">
        <f t="shared" si="23"/>
        <v>9</v>
      </c>
      <c r="AM133" s="136">
        <f t="shared" si="24"/>
        <v>0.8</v>
      </c>
      <c r="AN133" s="136">
        <f t="shared" si="25"/>
        <v>2</v>
      </c>
      <c r="AO133" s="136">
        <f t="shared" si="26"/>
        <v>186.7</v>
      </c>
      <c r="AP133" s="139">
        <f t="shared" si="27"/>
        <v>363</v>
      </c>
      <c r="AQ133" s="136">
        <f t="shared" ref="AQ133:AQ196" si="30">SUM(AD133+AE133)</f>
        <v>0</v>
      </c>
      <c r="AR133" s="136">
        <f t="shared" si="28"/>
        <v>580</v>
      </c>
      <c r="AS133" s="139">
        <f t="shared" si="29"/>
        <v>849</v>
      </c>
      <c r="AT133" s="136"/>
      <c r="AU133" s="136">
        <f t="shared" ref="AU133:AU196" si="31">MAX(AF133,AG133)</f>
        <v>25.7</v>
      </c>
      <c r="AV133" s="225">
        <v>8062451</v>
      </c>
      <c r="AX133" s="136">
        <f>'2024 Legal Max'!AS134</f>
        <v>1405.4</v>
      </c>
      <c r="AY133" s="136">
        <f t="shared" si="21"/>
        <v>-2.1</v>
      </c>
      <c r="AZ133" s="139">
        <v>611408</v>
      </c>
      <c r="BB133" s="164">
        <v>0</v>
      </c>
      <c r="BC133" s="164">
        <v>9</v>
      </c>
    </row>
    <row r="134" spans="1:55">
      <c r="A134" s="216" t="s">
        <v>320</v>
      </c>
      <c r="B134" s="217"/>
      <c r="C134" s="218">
        <v>366</v>
      </c>
      <c r="E134" s="218"/>
      <c r="F134" s="218">
        <v>0</v>
      </c>
      <c r="G134" s="219"/>
      <c r="H134" s="218"/>
      <c r="I134" s="218"/>
      <c r="J134" s="136"/>
      <c r="K134" s="139">
        <v>376</v>
      </c>
      <c r="L134" s="136">
        <v>0</v>
      </c>
      <c r="M134" s="217">
        <v>0</v>
      </c>
      <c r="N134" s="136">
        <v>3</v>
      </c>
      <c r="O134" s="136">
        <v>0</v>
      </c>
      <c r="P134" s="218">
        <v>223.7</v>
      </c>
      <c r="Q134" s="136">
        <v>0</v>
      </c>
      <c r="R134" s="136">
        <v>0</v>
      </c>
      <c r="S134" s="136">
        <v>0</v>
      </c>
      <c r="T134" s="139">
        <v>0</v>
      </c>
      <c r="U134" s="217">
        <v>0</v>
      </c>
      <c r="V134" s="217">
        <v>112</v>
      </c>
      <c r="W134" s="217">
        <v>0</v>
      </c>
      <c r="X134" s="218">
        <v>0</v>
      </c>
      <c r="Y134" s="220">
        <v>123</v>
      </c>
      <c r="Z134" s="164">
        <v>0</v>
      </c>
      <c r="AA134" s="221">
        <v>0</v>
      </c>
      <c r="AB134" s="221">
        <v>0</v>
      </c>
      <c r="AC134" s="222">
        <v>0</v>
      </c>
      <c r="AD134" s="223">
        <v>0</v>
      </c>
      <c r="AE134" s="136"/>
      <c r="AF134" s="136">
        <v>0</v>
      </c>
      <c r="AG134" s="224">
        <v>0</v>
      </c>
      <c r="AH134" s="136">
        <v>661.2</v>
      </c>
      <c r="AI134" s="136"/>
      <c r="AJ134" s="136"/>
      <c r="AK134" s="136">
        <f t="shared" si="22"/>
        <v>366</v>
      </c>
      <c r="AL134" s="136">
        <f t="shared" si="23"/>
        <v>3</v>
      </c>
      <c r="AM134" s="136">
        <f t="shared" si="24"/>
        <v>0</v>
      </c>
      <c r="AN134" s="136">
        <f t="shared" si="25"/>
        <v>0</v>
      </c>
      <c r="AO134" s="136">
        <f t="shared" si="26"/>
        <v>223.7</v>
      </c>
      <c r="AP134" s="139">
        <f t="shared" si="27"/>
        <v>112</v>
      </c>
      <c r="AQ134" s="136">
        <f t="shared" si="30"/>
        <v>0</v>
      </c>
      <c r="AR134" s="136">
        <f t="shared" si="28"/>
        <v>123</v>
      </c>
      <c r="AS134" s="139">
        <f t="shared" si="29"/>
        <v>376</v>
      </c>
      <c r="AT134" s="136"/>
      <c r="AU134" s="136">
        <f t="shared" si="31"/>
        <v>0</v>
      </c>
      <c r="AV134" s="225">
        <v>4078541</v>
      </c>
      <c r="AX134" s="136">
        <f>'2024 Legal Max'!AS135</f>
        <v>652.79999999999995</v>
      </c>
      <c r="AY134" s="136">
        <f t="shared" ref="AY134:AY197" si="32">AX134-AH134</f>
        <v>-8.4</v>
      </c>
      <c r="AZ134" s="139">
        <v>154566</v>
      </c>
      <c r="BB134" s="164">
        <v>0</v>
      </c>
      <c r="BC134" s="164">
        <v>3</v>
      </c>
    </row>
    <row r="135" spans="1:55">
      <c r="A135" s="216" t="s">
        <v>321</v>
      </c>
      <c r="B135" s="217"/>
      <c r="C135" s="218">
        <v>436.5</v>
      </c>
      <c r="E135" s="218"/>
      <c r="F135" s="218">
        <v>0</v>
      </c>
      <c r="G135" s="219"/>
      <c r="H135" s="218"/>
      <c r="I135" s="218"/>
      <c r="J135" s="136"/>
      <c r="K135" s="139">
        <v>449</v>
      </c>
      <c r="L135" s="136">
        <v>0</v>
      </c>
      <c r="M135" s="217">
        <v>0</v>
      </c>
      <c r="N135" s="136">
        <v>5.5</v>
      </c>
      <c r="O135" s="136">
        <v>0</v>
      </c>
      <c r="P135" s="218">
        <v>175.8</v>
      </c>
      <c r="Q135" s="136">
        <v>0</v>
      </c>
      <c r="R135" s="136">
        <v>0</v>
      </c>
      <c r="S135" s="136">
        <v>0</v>
      </c>
      <c r="T135" s="139">
        <v>0</v>
      </c>
      <c r="U135" s="217">
        <v>0</v>
      </c>
      <c r="V135" s="217">
        <v>133</v>
      </c>
      <c r="W135" s="217">
        <v>0</v>
      </c>
      <c r="X135" s="218">
        <v>0</v>
      </c>
      <c r="Y135" s="220">
        <v>211.5</v>
      </c>
      <c r="Z135" s="164">
        <v>0</v>
      </c>
      <c r="AA135" s="221">
        <v>1</v>
      </c>
      <c r="AB135" s="221">
        <v>0</v>
      </c>
      <c r="AC135" s="222">
        <v>0</v>
      </c>
      <c r="AD135" s="223">
        <v>0</v>
      </c>
      <c r="AE135" s="136"/>
      <c r="AF135" s="136">
        <v>0</v>
      </c>
      <c r="AG135" s="224">
        <v>0</v>
      </c>
      <c r="AH135" s="136">
        <v>746.7</v>
      </c>
      <c r="AI135" s="136"/>
      <c r="AJ135" s="136"/>
      <c r="AK135" s="136">
        <f t="shared" si="22"/>
        <v>436.5</v>
      </c>
      <c r="AL135" s="136">
        <f t="shared" si="23"/>
        <v>5.5</v>
      </c>
      <c r="AM135" s="136">
        <f t="shared" si="24"/>
        <v>0</v>
      </c>
      <c r="AN135" s="136">
        <f t="shared" si="25"/>
        <v>0</v>
      </c>
      <c r="AO135" s="136">
        <f t="shared" si="26"/>
        <v>175.8</v>
      </c>
      <c r="AP135" s="139">
        <f t="shared" si="27"/>
        <v>133</v>
      </c>
      <c r="AQ135" s="136">
        <f t="shared" si="30"/>
        <v>0</v>
      </c>
      <c r="AR135" s="136">
        <f t="shared" si="28"/>
        <v>211.5</v>
      </c>
      <c r="AS135" s="139">
        <f t="shared" si="29"/>
        <v>449</v>
      </c>
      <c r="AT135" s="136"/>
      <c r="AU135" s="136">
        <f t="shared" si="31"/>
        <v>0</v>
      </c>
      <c r="AV135" s="225">
        <v>4624998</v>
      </c>
      <c r="AX135" s="136">
        <f>'2024 Legal Max'!AS136</f>
        <v>742.6</v>
      </c>
      <c r="AY135" s="136">
        <f t="shared" si="32"/>
        <v>-4.0999999999999996</v>
      </c>
      <c r="AZ135" s="139">
        <v>297991</v>
      </c>
      <c r="BB135" s="164">
        <v>0</v>
      </c>
      <c r="BC135" s="164">
        <v>5.5</v>
      </c>
    </row>
    <row r="136" spans="1:55">
      <c r="A136" s="216" t="s">
        <v>322</v>
      </c>
      <c r="B136" s="217"/>
      <c r="C136" s="218">
        <v>838.4</v>
      </c>
      <c r="E136" s="218"/>
      <c r="F136" s="218">
        <v>0</v>
      </c>
      <c r="G136" s="219"/>
      <c r="H136" s="218"/>
      <c r="I136" s="218"/>
      <c r="J136" s="136"/>
      <c r="K136" s="139">
        <v>849</v>
      </c>
      <c r="L136" s="136">
        <v>0</v>
      </c>
      <c r="M136" s="217">
        <v>0</v>
      </c>
      <c r="N136" s="136">
        <v>0</v>
      </c>
      <c r="O136" s="136">
        <v>0</v>
      </c>
      <c r="P136" s="218">
        <v>197.4</v>
      </c>
      <c r="Q136" s="136">
        <v>0</v>
      </c>
      <c r="R136" s="136">
        <v>0</v>
      </c>
      <c r="S136" s="136">
        <v>0</v>
      </c>
      <c r="T136" s="139">
        <v>1</v>
      </c>
      <c r="U136" s="217">
        <v>0</v>
      </c>
      <c r="V136" s="217">
        <v>222</v>
      </c>
      <c r="W136" s="217">
        <v>0</v>
      </c>
      <c r="X136" s="218">
        <v>0</v>
      </c>
      <c r="Y136" s="220">
        <v>445</v>
      </c>
      <c r="Z136" s="164">
        <v>0</v>
      </c>
      <c r="AA136" s="221">
        <v>826</v>
      </c>
      <c r="AB136" s="221">
        <v>3.4</v>
      </c>
      <c r="AC136" s="222">
        <v>70</v>
      </c>
      <c r="AD136" s="223">
        <v>0</v>
      </c>
      <c r="AE136" s="136"/>
      <c r="AF136" s="136">
        <v>0</v>
      </c>
      <c r="AG136" s="224">
        <v>0</v>
      </c>
      <c r="AH136" s="136">
        <v>1265.3</v>
      </c>
      <c r="AI136" s="136"/>
      <c r="AJ136" s="136"/>
      <c r="AK136" s="136">
        <f t="shared" si="22"/>
        <v>838.4</v>
      </c>
      <c r="AL136" s="136">
        <f t="shared" si="23"/>
        <v>0</v>
      </c>
      <c r="AM136" s="136">
        <f t="shared" si="24"/>
        <v>0</v>
      </c>
      <c r="AN136" s="136">
        <f t="shared" si="25"/>
        <v>1</v>
      </c>
      <c r="AO136" s="136">
        <f t="shared" si="26"/>
        <v>197.4</v>
      </c>
      <c r="AP136" s="139">
        <f t="shared" si="27"/>
        <v>222</v>
      </c>
      <c r="AQ136" s="136">
        <f t="shared" si="30"/>
        <v>0</v>
      </c>
      <c r="AR136" s="136">
        <f t="shared" si="28"/>
        <v>445</v>
      </c>
      <c r="AS136" s="139">
        <f t="shared" si="29"/>
        <v>849</v>
      </c>
      <c r="AT136" s="136"/>
      <c r="AU136" s="136">
        <f t="shared" si="31"/>
        <v>0</v>
      </c>
      <c r="AV136" s="225">
        <v>10367302</v>
      </c>
      <c r="AX136" s="136">
        <f>'2024 Legal Max'!AS137</f>
        <v>1261.4000000000001</v>
      </c>
      <c r="AY136" s="136">
        <f t="shared" si="32"/>
        <v>-3.9</v>
      </c>
      <c r="AZ136" s="139">
        <v>456659</v>
      </c>
      <c r="BB136" s="164">
        <v>0</v>
      </c>
      <c r="BC136" s="164">
        <v>0</v>
      </c>
    </row>
    <row r="137" spans="1:55">
      <c r="A137" s="216" t="s">
        <v>323</v>
      </c>
      <c r="B137" s="217"/>
      <c r="C137" s="218">
        <v>508.5</v>
      </c>
      <c r="E137" s="218"/>
      <c r="F137" s="218">
        <v>0</v>
      </c>
      <c r="G137" s="219"/>
      <c r="H137" s="218"/>
      <c r="I137" s="218"/>
      <c r="J137" s="136"/>
      <c r="K137" s="139">
        <v>520</v>
      </c>
      <c r="L137" s="136">
        <v>0</v>
      </c>
      <c r="M137" s="217">
        <v>0</v>
      </c>
      <c r="N137" s="136">
        <v>5</v>
      </c>
      <c r="O137" s="136">
        <v>0</v>
      </c>
      <c r="P137" s="218">
        <v>149.1</v>
      </c>
      <c r="Q137" s="136">
        <v>0</v>
      </c>
      <c r="R137" s="136">
        <v>0</v>
      </c>
      <c r="S137" s="136">
        <v>0</v>
      </c>
      <c r="T137" s="139">
        <v>0</v>
      </c>
      <c r="U137" s="217">
        <v>0</v>
      </c>
      <c r="V137" s="217">
        <v>197</v>
      </c>
      <c r="W137" s="217">
        <v>0</v>
      </c>
      <c r="X137" s="218">
        <v>0</v>
      </c>
      <c r="Y137" s="220">
        <v>236.5</v>
      </c>
      <c r="Z137" s="164">
        <v>0</v>
      </c>
      <c r="AA137" s="221">
        <v>0</v>
      </c>
      <c r="AB137" s="221">
        <v>0</v>
      </c>
      <c r="AC137" s="222">
        <v>0</v>
      </c>
      <c r="AD137" s="223">
        <v>0</v>
      </c>
      <c r="AE137" s="136"/>
      <c r="AF137" s="136">
        <v>4</v>
      </c>
      <c r="AG137" s="224">
        <v>4.3</v>
      </c>
      <c r="AH137" s="136">
        <v>956.5</v>
      </c>
      <c r="AI137" s="136"/>
      <c r="AJ137" s="136"/>
      <c r="AK137" s="136">
        <f t="shared" si="22"/>
        <v>508.5</v>
      </c>
      <c r="AL137" s="136">
        <f t="shared" si="23"/>
        <v>5</v>
      </c>
      <c r="AM137" s="136">
        <f t="shared" si="24"/>
        <v>0</v>
      </c>
      <c r="AN137" s="136">
        <f t="shared" si="25"/>
        <v>0</v>
      </c>
      <c r="AO137" s="136">
        <f t="shared" si="26"/>
        <v>149.1</v>
      </c>
      <c r="AP137" s="139">
        <f t="shared" si="27"/>
        <v>197</v>
      </c>
      <c r="AQ137" s="136">
        <f t="shared" si="30"/>
        <v>0</v>
      </c>
      <c r="AR137" s="136">
        <f t="shared" si="28"/>
        <v>236.5</v>
      </c>
      <c r="AS137" s="139">
        <f t="shared" si="29"/>
        <v>520</v>
      </c>
      <c r="AT137" s="136"/>
      <c r="AU137" s="136">
        <f t="shared" si="31"/>
        <v>4.3</v>
      </c>
      <c r="AV137" s="225">
        <v>6127482</v>
      </c>
      <c r="AX137" s="136">
        <f>'2024 Legal Max'!AS138</f>
        <v>951.3</v>
      </c>
      <c r="AY137" s="136">
        <f t="shared" si="32"/>
        <v>-5.2</v>
      </c>
      <c r="AZ137" s="139">
        <v>551397</v>
      </c>
      <c r="BB137" s="164">
        <v>0</v>
      </c>
      <c r="BC137" s="164">
        <v>5</v>
      </c>
    </row>
    <row r="138" spans="1:55">
      <c r="A138" s="216" t="s">
        <v>324</v>
      </c>
      <c r="B138" s="217"/>
      <c r="C138" s="218">
        <v>409.5</v>
      </c>
      <c r="E138" s="218"/>
      <c r="F138" s="218">
        <v>0</v>
      </c>
      <c r="G138" s="219"/>
      <c r="H138" s="218"/>
      <c r="I138" s="218"/>
      <c r="J138" s="136"/>
      <c r="K138" s="139">
        <v>439</v>
      </c>
      <c r="L138" s="136">
        <v>0</v>
      </c>
      <c r="M138" s="217">
        <v>0</v>
      </c>
      <c r="N138" s="136">
        <v>12.5</v>
      </c>
      <c r="O138" s="136">
        <v>0</v>
      </c>
      <c r="P138" s="218">
        <v>133.4</v>
      </c>
      <c r="Q138" s="136">
        <v>0</v>
      </c>
      <c r="R138" s="136">
        <v>0</v>
      </c>
      <c r="S138" s="136">
        <v>0</v>
      </c>
      <c r="T138" s="139">
        <v>0</v>
      </c>
      <c r="U138" s="217">
        <v>0</v>
      </c>
      <c r="V138" s="217">
        <v>175</v>
      </c>
      <c r="W138" s="217">
        <v>0</v>
      </c>
      <c r="X138" s="218">
        <v>0</v>
      </c>
      <c r="Y138" s="220">
        <v>205</v>
      </c>
      <c r="Z138" s="164">
        <v>0</v>
      </c>
      <c r="AA138" s="221">
        <v>0</v>
      </c>
      <c r="AB138" s="221">
        <v>0</v>
      </c>
      <c r="AC138" s="222">
        <v>0</v>
      </c>
      <c r="AD138" s="223">
        <v>0</v>
      </c>
      <c r="AE138" s="136"/>
      <c r="AF138" s="136">
        <v>6</v>
      </c>
      <c r="AG138" s="224">
        <v>7</v>
      </c>
      <c r="AH138" s="136">
        <v>780.3</v>
      </c>
      <c r="AI138" s="136"/>
      <c r="AJ138" s="136"/>
      <c r="AK138" s="136">
        <f t="shared" si="22"/>
        <v>409.5</v>
      </c>
      <c r="AL138" s="136">
        <f t="shared" si="23"/>
        <v>12.5</v>
      </c>
      <c r="AM138" s="136">
        <f t="shared" si="24"/>
        <v>0</v>
      </c>
      <c r="AN138" s="136">
        <f t="shared" si="25"/>
        <v>0</v>
      </c>
      <c r="AO138" s="136">
        <f t="shared" si="26"/>
        <v>133.4</v>
      </c>
      <c r="AP138" s="139">
        <f t="shared" si="27"/>
        <v>175</v>
      </c>
      <c r="AQ138" s="136">
        <f t="shared" si="30"/>
        <v>0</v>
      </c>
      <c r="AR138" s="136">
        <f t="shared" si="28"/>
        <v>205</v>
      </c>
      <c r="AS138" s="139">
        <f t="shared" si="29"/>
        <v>439</v>
      </c>
      <c r="AT138" s="136"/>
      <c r="AU138" s="136">
        <f t="shared" si="31"/>
        <v>7</v>
      </c>
      <c r="AV138" s="225">
        <v>4812746</v>
      </c>
      <c r="AX138" s="136">
        <f>'2024 Legal Max'!AS139</f>
        <v>777.4</v>
      </c>
      <c r="AY138" s="136">
        <f t="shared" si="32"/>
        <v>-2.9</v>
      </c>
      <c r="AZ138" s="139">
        <v>289969</v>
      </c>
      <c r="BB138" s="164">
        <v>0</v>
      </c>
      <c r="BC138" s="164">
        <v>12.5</v>
      </c>
    </row>
    <row r="139" spans="1:55">
      <c r="A139" s="216" t="s">
        <v>325</v>
      </c>
      <c r="B139" s="217"/>
      <c r="C139" s="218">
        <v>752</v>
      </c>
      <c r="E139" s="218"/>
      <c r="F139" s="218">
        <v>0</v>
      </c>
      <c r="G139" s="219"/>
      <c r="H139" s="218"/>
      <c r="I139" s="218"/>
      <c r="J139" s="136"/>
      <c r="K139" s="139">
        <v>764</v>
      </c>
      <c r="L139" s="136">
        <v>0</v>
      </c>
      <c r="M139" s="217">
        <v>0</v>
      </c>
      <c r="N139" s="136">
        <v>2</v>
      </c>
      <c r="O139" s="136">
        <v>0</v>
      </c>
      <c r="P139" s="218">
        <v>142.5</v>
      </c>
      <c r="Q139" s="136">
        <v>0</v>
      </c>
      <c r="R139" s="136">
        <v>0</v>
      </c>
      <c r="S139" s="136">
        <v>0</v>
      </c>
      <c r="T139" s="139">
        <v>1</v>
      </c>
      <c r="U139" s="217">
        <v>0</v>
      </c>
      <c r="V139" s="217">
        <v>261</v>
      </c>
      <c r="W139" s="217">
        <v>0</v>
      </c>
      <c r="X139" s="218">
        <v>0</v>
      </c>
      <c r="Y139" s="220">
        <v>446.5</v>
      </c>
      <c r="Z139" s="164">
        <v>0</v>
      </c>
      <c r="AA139" s="221">
        <v>14</v>
      </c>
      <c r="AB139" s="221">
        <v>0</v>
      </c>
      <c r="AC139" s="222">
        <v>0</v>
      </c>
      <c r="AD139" s="223">
        <v>0</v>
      </c>
      <c r="AE139" s="136"/>
      <c r="AF139" s="136">
        <v>0</v>
      </c>
      <c r="AG139" s="224">
        <v>2.2000000000000002</v>
      </c>
      <c r="AH139" s="136">
        <v>1207.7</v>
      </c>
      <c r="AI139" s="136"/>
      <c r="AJ139" s="136"/>
      <c r="AK139" s="136">
        <f t="shared" si="22"/>
        <v>752</v>
      </c>
      <c r="AL139" s="136">
        <f t="shared" si="23"/>
        <v>2</v>
      </c>
      <c r="AM139" s="136">
        <f t="shared" si="24"/>
        <v>0</v>
      </c>
      <c r="AN139" s="136">
        <f t="shared" si="25"/>
        <v>1</v>
      </c>
      <c r="AO139" s="136">
        <f t="shared" si="26"/>
        <v>142.5</v>
      </c>
      <c r="AP139" s="139">
        <f t="shared" si="27"/>
        <v>261</v>
      </c>
      <c r="AQ139" s="136">
        <f t="shared" si="30"/>
        <v>0</v>
      </c>
      <c r="AR139" s="136">
        <f t="shared" si="28"/>
        <v>446.5</v>
      </c>
      <c r="AS139" s="139">
        <f t="shared" si="29"/>
        <v>764</v>
      </c>
      <c r="AT139" s="136"/>
      <c r="AU139" s="136">
        <f t="shared" si="31"/>
        <v>2.2000000000000002</v>
      </c>
      <c r="AV139" s="225">
        <v>7273314</v>
      </c>
      <c r="AX139" s="136">
        <f>'2024 Legal Max'!AS140</f>
        <v>1199.7</v>
      </c>
      <c r="AY139" s="136">
        <f t="shared" si="32"/>
        <v>-8</v>
      </c>
      <c r="AZ139" s="139">
        <v>553590</v>
      </c>
      <c r="BB139" s="164">
        <v>0</v>
      </c>
      <c r="BC139" s="164">
        <v>2</v>
      </c>
    </row>
    <row r="140" spans="1:55">
      <c r="A140" s="216" t="s">
        <v>326</v>
      </c>
      <c r="B140" s="217"/>
      <c r="C140" s="218">
        <v>324</v>
      </c>
      <c r="E140" s="218"/>
      <c r="F140" s="218">
        <v>0</v>
      </c>
      <c r="G140" s="219"/>
      <c r="H140" s="218"/>
      <c r="I140" s="218"/>
      <c r="J140" s="136"/>
      <c r="K140" s="139">
        <v>349</v>
      </c>
      <c r="L140" s="136">
        <v>0</v>
      </c>
      <c r="M140" s="217">
        <v>0</v>
      </c>
      <c r="N140" s="136">
        <v>9</v>
      </c>
      <c r="O140" s="136">
        <v>0</v>
      </c>
      <c r="P140" s="218">
        <v>93.2</v>
      </c>
      <c r="Q140" s="136">
        <v>0</v>
      </c>
      <c r="R140" s="136">
        <v>0</v>
      </c>
      <c r="S140" s="136">
        <v>0</v>
      </c>
      <c r="T140" s="139">
        <v>0</v>
      </c>
      <c r="U140" s="217">
        <v>0</v>
      </c>
      <c r="V140" s="217">
        <v>162</v>
      </c>
      <c r="W140" s="217">
        <v>0</v>
      </c>
      <c r="X140" s="218">
        <v>0</v>
      </c>
      <c r="Y140" s="220">
        <v>64</v>
      </c>
      <c r="Z140" s="164">
        <v>0</v>
      </c>
      <c r="AA140" s="221">
        <v>0</v>
      </c>
      <c r="AB140" s="221">
        <v>0</v>
      </c>
      <c r="AC140" s="222">
        <v>0</v>
      </c>
      <c r="AD140" s="223">
        <v>0</v>
      </c>
      <c r="AE140" s="136"/>
      <c r="AF140" s="136">
        <v>13</v>
      </c>
      <c r="AG140" s="224">
        <v>12.5</v>
      </c>
      <c r="AH140" s="136">
        <v>631.20000000000005</v>
      </c>
      <c r="AI140" s="136"/>
      <c r="AJ140" s="136"/>
      <c r="AK140" s="136">
        <f t="shared" si="22"/>
        <v>324</v>
      </c>
      <c r="AL140" s="136">
        <f t="shared" si="23"/>
        <v>9</v>
      </c>
      <c r="AM140" s="136">
        <f t="shared" si="24"/>
        <v>0</v>
      </c>
      <c r="AN140" s="136">
        <f t="shared" si="25"/>
        <v>0</v>
      </c>
      <c r="AO140" s="136">
        <f t="shared" si="26"/>
        <v>93.2</v>
      </c>
      <c r="AP140" s="139">
        <f t="shared" si="27"/>
        <v>162</v>
      </c>
      <c r="AQ140" s="136">
        <f t="shared" si="30"/>
        <v>0</v>
      </c>
      <c r="AR140" s="136">
        <f t="shared" si="28"/>
        <v>64</v>
      </c>
      <c r="AS140" s="139">
        <f t="shared" si="29"/>
        <v>349</v>
      </c>
      <c r="AT140" s="136"/>
      <c r="AU140" s="136">
        <f t="shared" si="31"/>
        <v>13</v>
      </c>
      <c r="AV140" s="225">
        <v>3733066</v>
      </c>
      <c r="AX140" s="136">
        <f>'2024 Legal Max'!AS141</f>
        <v>627.9</v>
      </c>
      <c r="AY140" s="136">
        <f t="shared" si="32"/>
        <v>-3.3</v>
      </c>
      <c r="AZ140" s="139">
        <v>89720</v>
      </c>
      <c r="BA140" s="129" t="s">
        <v>3684</v>
      </c>
      <c r="BB140" s="164">
        <v>0</v>
      </c>
      <c r="BC140" s="164">
        <v>9</v>
      </c>
    </row>
    <row r="141" spans="1:55">
      <c r="A141" s="216" t="s">
        <v>327</v>
      </c>
      <c r="B141" s="217"/>
      <c r="C141" s="218">
        <v>3571.8</v>
      </c>
      <c r="E141" s="218"/>
      <c r="F141" s="218">
        <v>0</v>
      </c>
      <c r="G141" s="219"/>
      <c r="H141" s="218"/>
      <c r="I141" s="218"/>
      <c r="J141" s="136"/>
      <c r="K141" s="139">
        <v>3727</v>
      </c>
      <c r="L141" s="136">
        <v>0</v>
      </c>
      <c r="M141" s="217">
        <v>0</v>
      </c>
      <c r="N141" s="136">
        <v>60</v>
      </c>
      <c r="O141" s="136">
        <v>0</v>
      </c>
      <c r="P141" s="218">
        <v>1754.6</v>
      </c>
      <c r="Q141" s="136">
        <v>0</v>
      </c>
      <c r="R141" s="136">
        <v>12.6</v>
      </c>
      <c r="S141" s="136">
        <v>0</v>
      </c>
      <c r="T141" s="139">
        <v>20</v>
      </c>
      <c r="U141" s="217">
        <v>0</v>
      </c>
      <c r="V141" s="217">
        <v>1235</v>
      </c>
      <c r="W141" s="217">
        <v>0</v>
      </c>
      <c r="X141" s="218">
        <v>0</v>
      </c>
      <c r="Y141" s="220">
        <v>1608</v>
      </c>
      <c r="Z141" s="164">
        <v>0</v>
      </c>
      <c r="AA141" s="221">
        <v>27</v>
      </c>
      <c r="AB141" s="221">
        <v>1.5</v>
      </c>
      <c r="AC141" s="222">
        <v>0</v>
      </c>
      <c r="AD141" s="223">
        <v>0</v>
      </c>
      <c r="AE141" s="136"/>
      <c r="AF141" s="136">
        <v>0</v>
      </c>
      <c r="AG141" s="224">
        <v>35.5</v>
      </c>
      <c r="AH141" s="136">
        <v>4853.1000000000004</v>
      </c>
      <c r="AI141" s="136"/>
      <c r="AJ141" s="136"/>
      <c r="AK141" s="136">
        <f t="shared" si="22"/>
        <v>3571.8</v>
      </c>
      <c r="AL141" s="136">
        <f t="shared" si="23"/>
        <v>60</v>
      </c>
      <c r="AM141" s="136">
        <f t="shared" si="24"/>
        <v>12.6</v>
      </c>
      <c r="AN141" s="136">
        <f t="shared" si="25"/>
        <v>20</v>
      </c>
      <c r="AO141" s="136">
        <f t="shared" si="26"/>
        <v>1754.6</v>
      </c>
      <c r="AP141" s="139">
        <f t="shared" si="27"/>
        <v>1235</v>
      </c>
      <c r="AQ141" s="136">
        <f t="shared" si="30"/>
        <v>0</v>
      </c>
      <c r="AR141" s="136">
        <f t="shared" si="28"/>
        <v>1608</v>
      </c>
      <c r="AS141" s="139">
        <f t="shared" si="29"/>
        <v>3727</v>
      </c>
      <c r="AT141" s="136"/>
      <c r="AU141" s="136">
        <f t="shared" si="31"/>
        <v>35.5</v>
      </c>
      <c r="AV141" s="225">
        <v>30945795</v>
      </c>
      <c r="AX141" s="136">
        <f>'2024 Legal Max'!AS142</f>
        <v>4807.5</v>
      </c>
      <c r="AY141" s="136">
        <f t="shared" si="32"/>
        <v>-45.6</v>
      </c>
      <c r="AZ141" s="139">
        <v>1583573</v>
      </c>
      <c r="BB141" s="164">
        <v>0</v>
      </c>
      <c r="BC141" s="164">
        <v>60</v>
      </c>
    </row>
    <row r="142" spans="1:55">
      <c r="A142" s="216" t="s">
        <v>328</v>
      </c>
      <c r="B142" s="217"/>
      <c r="C142" s="218">
        <v>555.29999999999995</v>
      </c>
      <c r="E142" s="218"/>
      <c r="F142" s="218">
        <v>0</v>
      </c>
      <c r="G142" s="219"/>
      <c r="H142" s="218"/>
      <c r="I142" s="218"/>
      <c r="J142" s="136"/>
      <c r="K142" s="139">
        <v>582</v>
      </c>
      <c r="L142" s="136">
        <v>0</v>
      </c>
      <c r="M142" s="217">
        <v>0</v>
      </c>
      <c r="N142" s="136">
        <v>11</v>
      </c>
      <c r="O142" s="136">
        <v>0</v>
      </c>
      <c r="P142" s="218">
        <v>231.1</v>
      </c>
      <c r="Q142" s="136">
        <v>0</v>
      </c>
      <c r="R142" s="136">
        <v>0.3</v>
      </c>
      <c r="S142" s="136">
        <v>0</v>
      </c>
      <c r="T142" s="139">
        <v>4</v>
      </c>
      <c r="U142" s="217">
        <v>0</v>
      </c>
      <c r="V142" s="217">
        <v>297</v>
      </c>
      <c r="W142" s="217">
        <v>0</v>
      </c>
      <c r="X142" s="218">
        <v>0</v>
      </c>
      <c r="Y142" s="220">
        <v>335</v>
      </c>
      <c r="Z142" s="164">
        <v>0</v>
      </c>
      <c r="AA142" s="221">
        <v>2</v>
      </c>
      <c r="AB142" s="221">
        <v>0</v>
      </c>
      <c r="AC142" s="222">
        <v>0</v>
      </c>
      <c r="AD142" s="223">
        <v>0</v>
      </c>
      <c r="AE142" s="136"/>
      <c r="AF142" s="136">
        <v>31.2</v>
      </c>
      <c r="AG142" s="224">
        <v>25.8</v>
      </c>
      <c r="AH142" s="136">
        <v>1041.9000000000001</v>
      </c>
      <c r="AI142" s="136"/>
      <c r="AJ142" s="136"/>
      <c r="AK142" s="136">
        <f t="shared" si="22"/>
        <v>555.29999999999995</v>
      </c>
      <c r="AL142" s="136">
        <f t="shared" si="23"/>
        <v>11</v>
      </c>
      <c r="AM142" s="136">
        <f t="shared" si="24"/>
        <v>0.3</v>
      </c>
      <c r="AN142" s="136">
        <f t="shared" si="25"/>
        <v>4</v>
      </c>
      <c r="AO142" s="136">
        <f t="shared" si="26"/>
        <v>231.1</v>
      </c>
      <c r="AP142" s="139">
        <f t="shared" si="27"/>
        <v>297</v>
      </c>
      <c r="AQ142" s="136">
        <f t="shared" si="30"/>
        <v>0</v>
      </c>
      <c r="AR142" s="136">
        <f t="shared" si="28"/>
        <v>335</v>
      </c>
      <c r="AS142" s="139">
        <f t="shared" si="29"/>
        <v>582</v>
      </c>
      <c r="AT142" s="136"/>
      <c r="AU142" s="136">
        <f t="shared" si="31"/>
        <v>31.2</v>
      </c>
      <c r="AV142" s="225">
        <v>6226960</v>
      </c>
      <c r="AX142" s="136">
        <f>'2024 Legal Max'!AS143</f>
        <v>1035.0999999999999</v>
      </c>
      <c r="AY142" s="136">
        <f t="shared" si="32"/>
        <v>-6.8</v>
      </c>
      <c r="AZ142" s="139">
        <v>384582</v>
      </c>
      <c r="BB142" s="164">
        <v>0</v>
      </c>
      <c r="BC142" s="164">
        <v>11</v>
      </c>
    </row>
    <row r="143" spans="1:55">
      <c r="A143" s="216" t="s">
        <v>329</v>
      </c>
      <c r="B143" s="217"/>
      <c r="C143" s="218">
        <v>272</v>
      </c>
      <c r="E143" s="218"/>
      <c r="F143" s="218">
        <v>0</v>
      </c>
      <c r="G143" s="219"/>
      <c r="H143" s="218"/>
      <c r="I143" s="218"/>
      <c r="J143" s="136"/>
      <c r="K143" s="139">
        <v>285</v>
      </c>
      <c r="L143" s="136">
        <v>0</v>
      </c>
      <c r="M143" s="217">
        <v>0</v>
      </c>
      <c r="N143" s="136">
        <v>5.5</v>
      </c>
      <c r="O143" s="136">
        <v>0</v>
      </c>
      <c r="P143" s="218">
        <v>78.900000000000006</v>
      </c>
      <c r="Q143" s="136">
        <v>0</v>
      </c>
      <c r="R143" s="136">
        <v>70.7</v>
      </c>
      <c r="S143" s="136">
        <v>0</v>
      </c>
      <c r="T143" s="139">
        <v>22</v>
      </c>
      <c r="U143" s="217">
        <v>0</v>
      </c>
      <c r="V143" s="217">
        <v>129</v>
      </c>
      <c r="W143" s="217">
        <v>0</v>
      </c>
      <c r="X143" s="218">
        <v>0</v>
      </c>
      <c r="Y143" s="220">
        <v>114.5</v>
      </c>
      <c r="Z143" s="164">
        <v>0</v>
      </c>
      <c r="AA143" s="221">
        <v>0</v>
      </c>
      <c r="AB143" s="221">
        <v>0</v>
      </c>
      <c r="AC143" s="222">
        <v>0</v>
      </c>
      <c r="AD143" s="223">
        <v>0</v>
      </c>
      <c r="AE143" s="136"/>
      <c r="AF143" s="136">
        <v>9.3000000000000007</v>
      </c>
      <c r="AG143" s="224">
        <v>9.1999999999999993</v>
      </c>
      <c r="AH143" s="136">
        <v>552.6</v>
      </c>
      <c r="AI143" s="136"/>
      <c r="AJ143" s="136"/>
      <c r="AK143" s="136">
        <f t="shared" si="22"/>
        <v>272</v>
      </c>
      <c r="AL143" s="136">
        <f t="shared" si="23"/>
        <v>5.5</v>
      </c>
      <c r="AM143" s="136">
        <f t="shared" si="24"/>
        <v>70.7</v>
      </c>
      <c r="AN143" s="136">
        <f t="shared" si="25"/>
        <v>22</v>
      </c>
      <c r="AO143" s="136">
        <f t="shared" si="26"/>
        <v>78.900000000000006</v>
      </c>
      <c r="AP143" s="139">
        <f t="shared" si="27"/>
        <v>129</v>
      </c>
      <c r="AQ143" s="136">
        <f t="shared" si="30"/>
        <v>0</v>
      </c>
      <c r="AR143" s="136">
        <f t="shared" si="28"/>
        <v>114.5</v>
      </c>
      <c r="AS143" s="139">
        <f t="shared" si="29"/>
        <v>285</v>
      </c>
      <c r="AT143" s="136"/>
      <c r="AU143" s="136">
        <f t="shared" si="31"/>
        <v>9.3000000000000007</v>
      </c>
      <c r="AV143" s="225">
        <v>3319411</v>
      </c>
      <c r="AX143" s="136">
        <f>'2024 Legal Max'!AS144</f>
        <v>552.6</v>
      </c>
      <c r="AY143" s="136">
        <f t="shared" si="32"/>
        <v>0</v>
      </c>
      <c r="AZ143" s="139">
        <v>212580</v>
      </c>
      <c r="BA143" s="129" t="s">
        <v>3683</v>
      </c>
      <c r="BB143" s="164">
        <v>0</v>
      </c>
      <c r="BC143" s="164">
        <v>5.5</v>
      </c>
    </row>
    <row r="144" spans="1:55">
      <c r="A144" s="216" t="s">
        <v>330</v>
      </c>
      <c r="B144" s="217"/>
      <c r="C144" s="218">
        <v>1307.2</v>
      </c>
      <c r="E144" s="218"/>
      <c r="F144" s="218">
        <v>0</v>
      </c>
      <c r="G144" s="219"/>
      <c r="H144" s="218"/>
      <c r="I144" s="218"/>
      <c r="J144" s="136"/>
      <c r="K144" s="139">
        <v>1390</v>
      </c>
      <c r="L144" s="136">
        <v>0</v>
      </c>
      <c r="M144" s="217">
        <v>0</v>
      </c>
      <c r="N144" s="136">
        <v>28</v>
      </c>
      <c r="O144" s="136">
        <v>0</v>
      </c>
      <c r="P144" s="218">
        <v>383.6</v>
      </c>
      <c r="Q144" s="136">
        <v>0</v>
      </c>
      <c r="R144" s="136">
        <v>0</v>
      </c>
      <c r="S144" s="136">
        <v>0</v>
      </c>
      <c r="T144" s="139">
        <v>6</v>
      </c>
      <c r="U144" s="217">
        <v>0</v>
      </c>
      <c r="V144" s="217">
        <v>336</v>
      </c>
      <c r="W144" s="217">
        <v>0</v>
      </c>
      <c r="X144" s="218">
        <v>0</v>
      </c>
      <c r="Y144" s="220">
        <v>572</v>
      </c>
      <c r="Z144" s="164">
        <v>0</v>
      </c>
      <c r="AA144" s="221">
        <v>18</v>
      </c>
      <c r="AB144" s="221">
        <v>10.6</v>
      </c>
      <c r="AC144" s="222">
        <v>0</v>
      </c>
      <c r="AD144" s="223">
        <v>0</v>
      </c>
      <c r="AE144" s="136"/>
      <c r="AF144" s="136">
        <v>0</v>
      </c>
      <c r="AG144" s="224">
        <v>0</v>
      </c>
      <c r="AH144" s="136">
        <v>1776.5</v>
      </c>
      <c r="AI144" s="136"/>
      <c r="AJ144" s="136"/>
      <c r="AK144" s="136">
        <f t="shared" si="22"/>
        <v>1307.2</v>
      </c>
      <c r="AL144" s="136">
        <f t="shared" si="23"/>
        <v>28</v>
      </c>
      <c r="AM144" s="136">
        <f t="shared" si="24"/>
        <v>0</v>
      </c>
      <c r="AN144" s="136">
        <f t="shared" si="25"/>
        <v>6</v>
      </c>
      <c r="AO144" s="136">
        <f t="shared" si="26"/>
        <v>383.6</v>
      </c>
      <c r="AP144" s="139">
        <f t="shared" si="27"/>
        <v>336</v>
      </c>
      <c r="AQ144" s="136">
        <f t="shared" si="30"/>
        <v>0</v>
      </c>
      <c r="AR144" s="136">
        <f t="shared" si="28"/>
        <v>572</v>
      </c>
      <c r="AS144" s="139">
        <f t="shared" si="29"/>
        <v>1390</v>
      </c>
      <c r="AT144" s="136"/>
      <c r="AU144" s="136">
        <f t="shared" si="31"/>
        <v>0</v>
      </c>
      <c r="AV144" s="225">
        <v>10536826</v>
      </c>
      <c r="AX144" s="136">
        <f>'2024 Legal Max'!AS145</f>
        <v>1771.4</v>
      </c>
      <c r="AY144" s="136">
        <f t="shared" si="32"/>
        <v>-5.0999999999999996</v>
      </c>
      <c r="AZ144" s="139">
        <v>1273129</v>
      </c>
      <c r="BB144" s="164">
        <v>0</v>
      </c>
      <c r="BC144" s="164">
        <v>28</v>
      </c>
    </row>
    <row r="145" spans="1:55">
      <c r="A145" s="216" t="s">
        <v>331</v>
      </c>
      <c r="B145" s="217"/>
      <c r="C145" s="218">
        <v>235.2</v>
      </c>
      <c r="E145" s="218"/>
      <c r="F145" s="218">
        <v>0</v>
      </c>
      <c r="G145" s="219"/>
      <c r="H145" s="218"/>
      <c r="I145" s="218"/>
      <c r="J145" s="136"/>
      <c r="K145" s="139">
        <v>253</v>
      </c>
      <c r="L145" s="136">
        <v>0</v>
      </c>
      <c r="M145" s="217">
        <v>0</v>
      </c>
      <c r="N145" s="136">
        <v>6.5</v>
      </c>
      <c r="O145" s="136">
        <v>0</v>
      </c>
      <c r="P145" s="218">
        <v>96.1</v>
      </c>
      <c r="Q145" s="136">
        <v>0</v>
      </c>
      <c r="R145" s="136">
        <v>28.9</v>
      </c>
      <c r="S145" s="136">
        <v>0</v>
      </c>
      <c r="T145" s="139">
        <v>18</v>
      </c>
      <c r="U145" s="217">
        <v>0</v>
      </c>
      <c r="V145" s="217">
        <v>131</v>
      </c>
      <c r="W145" s="217">
        <v>0</v>
      </c>
      <c r="X145" s="218">
        <v>0</v>
      </c>
      <c r="Y145" s="220">
        <v>24.5</v>
      </c>
      <c r="Z145" s="164">
        <v>0</v>
      </c>
      <c r="AA145" s="221">
        <v>0</v>
      </c>
      <c r="AB145" s="221">
        <v>0</v>
      </c>
      <c r="AC145" s="222">
        <v>0</v>
      </c>
      <c r="AD145" s="223">
        <v>0</v>
      </c>
      <c r="AE145" s="136"/>
      <c r="AF145" s="136">
        <v>13.8</v>
      </c>
      <c r="AG145" s="224">
        <v>13.7</v>
      </c>
      <c r="AH145" s="136">
        <v>510.5</v>
      </c>
      <c r="AI145" s="136"/>
      <c r="AJ145" s="136"/>
      <c r="AK145" s="136">
        <f t="shared" si="22"/>
        <v>235.2</v>
      </c>
      <c r="AL145" s="136">
        <f t="shared" si="23"/>
        <v>6.5</v>
      </c>
      <c r="AM145" s="136">
        <f t="shared" si="24"/>
        <v>28.9</v>
      </c>
      <c r="AN145" s="136">
        <f t="shared" si="25"/>
        <v>18</v>
      </c>
      <c r="AO145" s="136">
        <f t="shared" si="26"/>
        <v>96.1</v>
      </c>
      <c r="AP145" s="139">
        <f t="shared" si="27"/>
        <v>131</v>
      </c>
      <c r="AQ145" s="136">
        <f t="shared" si="30"/>
        <v>0</v>
      </c>
      <c r="AR145" s="136">
        <f t="shared" si="28"/>
        <v>24.5</v>
      </c>
      <c r="AS145" s="139">
        <f t="shared" si="29"/>
        <v>253</v>
      </c>
      <c r="AT145" s="136"/>
      <c r="AU145" s="136">
        <f t="shared" si="31"/>
        <v>13.8</v>
      </c>
      <c r="AV145" s="225">
        <v>2791786</v>
      </c>
      <c r="AX145" s="136">
        <f>'2024 Legal Max'!AS146</f>
        <v>511.1</v>
      </c>
      <c r="AY145" s="136">
        <f t="shared" si="32"/>
        <v>0.6</v>
      </c>
      <c r="AZ145" s="139">
        <v>22086</v>
      </c>
      <c r="BB145" s="164">
        <v>0</v>
      </c>
      <c r="BC145" s="164">
        <v>6.5</v>
      </c>
    </row>
    <row r="146" spans="1:55">
      <c r="A146" s="216" t="s">
        <v>332</v>
      </c>
      <c r="B146" s="217"/>
      <c r="C146" s="218">
        <v>309.89999999999998</v>
      </c>
      <c r="E146" s="218"/>
      <c r="F146" s="218">
        <v>0</v>
      </c>
      <c r="G146" s="219"/>
      <c r="H146" s="218"/>
      <c r="I146" s="218"/>
      <c r="J146" s="136"/>
      <c r="K146" s="139">
        <v>330</v>
      </c>
      <c r="L146" s="136">
        <v>0</v>
      </c>
      <c r="M146" s="217">
        <v>0</v>
      </c>
      <c r="N146" s="136">
        <v>6.5</v>
      </c>
      <c r="O146" s="136">
        <v>0</v>
      </c>
      <c r="P146" s="218">
        <v>119.7</v>
      </c>
      <c r="Q146" s="136">
        <v>0</v>
      </c>
      <c r="R146" s="136">
        <v>102.4</v>
      </c>
      <c r="S146" s="136">
        <v>0</v>
      </c>
      <c r="T146" s="139">
        <v>26</v>
      </c>
      <c r="U146" s="217">
        <v>0</v>
      </c>
      <c r="V146" s="217">
        <v>133</v>
      </c>
      <c r="W146" s="217">
        <v>0</v>
      </c>
      <c r="X146" s="218">
        <v>0</v>
      </c>
      <c r="Y146" s="220">
        <v>60.5</v>
      </c>
      <c r="Z146" s="164">
        <v>0</v>
      </c>
      <c r="AA146" s="221">
        <v>0</v>
      </c>
      <c r="AB146" s="221">
        <v>0</v>
      </c>
      <c r="AC146" s="222">
        <v>0</v>
      </c>
      <c r="AD146" s="223">
        <v>0</v>
      </c>
      <c r="AE146" s="136"/>
      <c r="AF146" s="136">
        <v>4.9000000000000004</v>
      </c>
      <c r="AG146" s="224">
        <v>5.2</v>
      </c>
      <c r="AH146" s="136">
        <v>564.9</v>
      </c>
      <c r="AI146" s="136"/>
      <c r="AJ146" s="136"/>
      <c r="AK146" s="136">
        <f t="shared" si="22"/>
        <v>309.89999999999998</v>
      </c>
      <c r="AL146" s="136">
        <f t="shared" si="23"/>
        <v>6.5</v>
      </c>
      <c r="AM146" s="136">
        <f t="shared" si="24"/>
        <v>102.4</v>
      </c>
      <c r="AN146" s="136">
        <f t="shared" si="25"/>
        <v>26</v>
      </c>
      <c r="AO146" s="136">
        <f t="shared" si="26"/>
        <v>119.7</v>
      </c>
      <c r="AP146" s="139">
        <f t="shared" si="27"/>
        <v>133</v>
      </c>
      <c r="AQ146" s="136">
        <f t="shared" si="30"/>
        <v>0</v>
      </c>
      <c r="AR146" s="136">
        <f t="shared" si="28"/>
        <v>60.5</v>
      </c>
      <c r="AS146" s="139">
        <f t="shared" si="29"/>
        <v>330</v>
      </c>
      <c r="AT146" s="136"/>
      <c r="AU146" s="136">
        <f t="shared" si="31"/>
        <v>5.2</v>
      </c>
      <c r="AV146" s="225">
        <v>3384029</v>
      </c>
      <c r="AX146" s="136">
        <f>'2024 Legal Max'!AS147</f>
        <v>556.4</v>
      </c>
      <c r="AY146" s="136">
        <f t="shared" si="32"/>
        <v>-8.5</v>
      </c>
      <c r="AZ146" s="139">
        <v>131868</v>
      </c>
      <c r="BB146" s="164">
        <v>0</v>
      </c>
      <c r="BC146" s="164">
        <v>6.5</v>
      </c>
    </row>
    <row r="147" spans="1:55">
      <c r="A147" s="216" t="s">
        <v>333</v>
      </c>
      <c r="B147" s="217"/>
      <c r="C147" s="218">
        <v>164</v>
      </c>
      <c r="E147" s="218"/>
      <c r="F147" s="218">
        <v>0</v>
      </c>
      <c r="G147" s="219"/>
      <c r="H147" s="218"/>
      <c r="I147" s="218"/>
      <c r="J147" s="136"/>
      <c r="K147" s="139">
        <v>177</v>
      </c>
      <c r="L147" s="136">
        <v>0</v>
      </c>
      <c r="M147" s="217">
        <v>0</v>
      </c>
      <c r="N147" s="136">
        <v>5.5</v>
      </c>
      <c r="O147" s="136">
        <v>0</v>
      </c>
      <c r="P147" s="218">
        <v>9.1999999999999993</v>
      </c>
      <c r="Q147" s="136">
        <v>0</v>
      </c>
      <c r="R147" s="136">
        <v>81.2</v>
      </c>
      <c r="S147" s="136">
        <v>0</v>
      </c>
      <c r="T147" s="139">
        <v>28</v>
      </c>
      <c r="U147" s="217">
        <v>0</v>
      </c>
      <c r="V147" s="217">
        <v>100</v>
      </c>
      <c r="W147" s="217">
        <v>0</v>
      </c>
      <c r="X147" s="218">
        <v>0</v>
      </c>
      <c r="Y147" s="220">
        <v>60.5</v>
      </c>
      <c r="Z147" s="164">
        <v>0</v>
      </c>
      <c r="AA147" s="221">
        <v>0</v>
      </c>
      <c r="AB147" s="221">
        <v>0</v>
      </c>
      <c r="AC147" s="222">
        <v>0</v>
      </c>
      <c r="AD147" s="223">
        <v>0</v>
      </c>
      <c r="AE147" s="136"/>
      <c r="AF147" s="136">
        <v>10.5</v>
      </c>
      <c r="AG147" s="224">
        <v>10.5</v>
      </c>
      <c r="AH147" s="136">
        <v>423.8</v>
      </c>
      <c r="AI147" s="136"/>
      <c r="AJ147" s="136"/>
      <c r="AK147" s="136">
        <f t="shared" si="22"/>
        <v>164</v>
      </c>
      <c r="AL147" s="136">
        <f t="shared" si="23"/>
        <v>5.5</v>
      </c>
      <c r="AM147" s="136">
        <f t="shared" si="24"/>
        <v>81.2</v>
      </c>
      <c r="AN147" s="136">
        <f t="shared" si="25"/>
        <v>28</v>
      </c>
      <c r="AO147" s="136">
        <f t="shared" si="26"/>
        <v>9.1999999999999993</v>
      </c>
      <c r="AP147" s="139">
        <f t="shared" si="27"/>
        <v>100</v>
      </c>
      <c r="AQ147" s="136">
        <f t="shared" si="30"/>
        <v>0</v>
      </c>
      <c r="AR147" s="136">
        <f t="shared" si="28"/>
        <v>60.5</v>
      </c>
      <c r="AS147" s="139">
        <f t="shared" si="29"/>
        <v>177</v>
      </c>
      <c r="AT147" s="136"/>
      <c r="AU147" s="136">
        <f t="shared" si="31"/>
        <v>10.5</v>
      </c>
      <c r="AV147" s="225">
        <v>2596406</v>
      </c>
      <c r="AX147" s="136">
        <f>'2024 Legal Max'!AS148</f>
        <v>419.1</v>
      </c>
      <c r="AY147" s="136">
        <f t="shared" si="32"/>
        <v>-4.7</v>
      </c>
      <c r="AZ147" s="139">
        <v>176725</v>
      </c>
      <c r="BB147" s="164">
        <v>0</v>
      </c>
      <c r="BC147" s="164">
        <v>5.5</v>
      </c>
    </row>
    <row r="148" spans="1:55">
      <c r="A148" s="216" t="s">
        <v>334</v>
      </c>
      <c r="B148" s="217"/>
      <c r="C148" s="218">
        <v>843.1</v>
      </c>
      <c r="E148" s="218"/>
      <c r="F148" s="218">
        <v>0</v>
      </c>
      <c r="G148" s="219"/>
      <c r="H148" s="218"/>
      <c r="I148" s="218"/>
      <c r="J148" s="136"/>
      <c r="K148" s="139">
        <v>879</v>
      </c>
      <c r="L148" s="136">
        <v>0</v>
      </c>
      <c r="M148" s="217">
        <v>0</v>
      </c>
      <c r="N148" s="136">
        <v>12</v>
      </c>
      <c r="O148" s="136">
        <v>0</v>
      </c>
      <c r="P148" s="218">
        <v>192.7</v>
      </c>
      <c r="Q148" s="136">
        <v>0</v>
      </c>
      <c r="R148" s="136">
        <v>140.80000000000001</v>
      </c>
      <c r="S148" s="136">
        <v>0</v>
      </c>
      <c r="T148" s="139">
        <v>46</v>
      </c>
      <c r="U148" s="217">
        <v>0</v>
      </c>
      <c r="V148" s="217">
        <v>401</v>
      </c>
      <c r="W148" s="217">
        <v>0</v>
      </c>
      <c r="X148" s="218">
        <v>0</v>
      </c>
      <c r="Y148" s="220">
        <v>142</v>
      </c>
      <c r="Z148" s="164">
        <v>0</v>
      </c>
      <c r="AA148" s="221">
        <v>2</v>
      </c>
      <c r="AB148" s="221">
        <v>0</v>
      </c>
      <c r="AC148" s="222">
        <v>0</v>
      </c>
      <c r="AD148" s="223">
        <v>0</v>
      </c>
      <c r="AE148" s="136"/>
      <c r="AF148" s="136">
        <v>29.8</v>
      </c>
      <c r="AG148" s="224">
        <v>30.6</v>
      </c>
      <c r="AH148" s="136">
        <v>1439.6</v>
      </c>
      <c r="AI148" s="136"/>
      <c r="AJ148" s="136"/>
      <c r="AK148" s="136">
        <f t="shared" si="22"/>
        <v>843.1</v>
      </c>
      <c r="AL148" s="136">
        <f t="shared" si="23"/>
        <v>12</v>
      </c>
      <c r="AM148" s="136">
        <f t="shared" si="24"/>
        <v>140.80000000000001</v>
      </c>
      <c r="AN148" s="136">
        <f t="shared" si="25"/>
        <v>46</v>
      </c>
      <c r="AO148" s="136">
        <f t="shared" si="26"/>
        <v>192.7</v>
      </c>
      <c r="AP148" s="139">
        <f t="shared" si="27"/>
        <v>401</v>
      </c>
      <c r="AQ148" s="136">
        <f t="shared" si="30"/>
        <v>0</v>
      </c>
      <c r="AR148" s="136">
        <f t="shared" si="28"/>
        <v>142</v>
      </c>
      <c r="AS148" s="139">
        <f t="shared" si="29"/>
        <v>879</v>
      </c>
      <c r="AT148" s="136"/>
      <c r="AU148" s="136">
        <f t="shared" si="31"/>
        <v>30.6</v>
      </c>
      <c r="AV148" s="225">
        <v>8605301</v>
      </c>
      <c r="AX148" s="136">
        <f>'2024 Legal Max'!AS149</f>
        <v>1440.5</v>
      </c>
      <c r="AY148" s="136">
        <f t="shared" si="32"/>
        <v>0.9</v>
      </c>
      <c r="AZ148" s="139">
        <v>246358</v>
      </c>
      <c r="BB148" s="164">
        <v>0</v>
      </c>
      <c r="BC148" s="164">
        <v>12</v>
      </c>
    </row>
    <row r="149" spans="1:55">
      <c r="A149" s="216" t="s">
        <v>335</v>
      </c>
      <c r="B149" s="217"/>
      <c r="C149" s="218">
        <v>1438.6</v>
      </c>
      <c r="E149" s="218"/>
      <c r="F149" s="218">
        <v>0</v>
      </c>
      <c r="G149" s="219"/>
      <c r="H149" s="218"/>
      <c r="I149" s="218"/>
      <c r="J149" s="136"/>
      <c r="K149" s="139">
        <v>1472</v>
      </c>
      <c r="L149" s="136">
        <v>0</v>
      </c>
      <c r="M149" s="217">
        <v>0</v>
      </c>
      <c r="N149" s="136">
        <v>9</v>
      </c>
      <c r="O149" s="136">
        <v>0</v>
      </c>
      <c r="P149" s="218">
        <v>472.5</v>
      </c>
      <c r="Q149" s="136">
        <v>0</v>
      </c>
      <c r="R149" s="136">
        <v>8.6999999999999993</v>
      </c>
      <c r="S149" s="136">
        <v>0</v>
      </c>
      <c r="T149" s="139">
        <v>28</v>
      </c>
      <c r="U149" s="217">
        <v>0</v>
      </c>
      <c r="V149" s="217">
        <v>814</v>
      </c>
      <c r="W149" s="217">
        <v>0</v>
      </c>
      <c r="X149" s="218">
        <v>0</v>
      </c>
      <c r="Y149" s="220">
        <v>197</v>
      </c>
      <c r="Z149" s="164">
        <v>0</v>
      </c>
      <c r="AA149" s="221">
        <v>12</v>
      </c>
      <c r="AB149" s="221">
        <v>0.7</v>
      </c>
      <c r="AC149" s="222">
        <v>0</v>
      </c>
      <c r="AD149" s="223">
        <v>0</v>
      </c>
      <c r="AE149" s="136"/>
      <c r="AF149" s="136">
        <v>85.5</v>
      </c>
      <c r="AG149" s="224">
        <v>79.5</v>
      </c>
      <c r="AH149" s="136">
        <v>2163</v>
      </c>
      <c r="AI149" s="136"/>
      <c r="AJ149" s="136"/>
      <c r="AK149" s="136">
        <f t="shared" si="22"/>
        <v>1438.6</v>
      </c>
      <c r="AL149" s="136">
        <f t="shared" si="23"/>
        <v>9</v>
      </c>
      <c r="AM149" s="136">
        <f t="shared" si="24"/>
        <v>8.6999999999999993</v>
      </c>
      <c r="AN149" s="136">
        <f t="shared" si="25"/>
        <v>28</v>
      </c>
      <c r="AO149" s="136">
        <f t="shared" si="26"/>
        <v>472.5</v>
      </c>
      <c r="AP149" s="139">
        <f t="shared" si="27"/>
        <v>814</v>
      </c>
      <c r="AQ149" s="136">
        <f t="shared" si="30"/>
        <v>0</v>
      </c>
      <c r="AR149" s="136">
        <f t="shared" si="28"/>
        <v>197</v>
      </c>
      <c r="AS149" s="139">
        <f t="shared" si="29"/>
        <v>1472</v>
      </c>
      <c r="AT149" s="136"/>
      <c r="AU149" s="136">
        <f t="shared" si="31"/>
        <v>85.5</v>
      </c>
      <c r="AV149" s="225">
        <v>13245082</v>
      </c>
      <c r="AX149" s="136">
        <f>'2024 Legal Max'!AS150</f>
        <v>2154.5</v>
      </c>
      <c r="AY149" s="136">
        <f t="shared" si="32"/>
        <v>-8.5</v>
      </c>
      <c r="AZ149" s="139">
        <v>302908</v>
      </c>
      <c r="BB149" s="164">
        <v>0</v>
      </c>
      <c r="BC149" s="164">
        <v>9</v>
      </c>
    </row>
    <row r="150" spans="1:55">
      <c r="A150" s="216" t="s">
        <v>336</v>
      </c>
      <c r="B150" s="217"/>
      <c r="C150" s="218">
        <v>433.7</v>
      </c>
      <c r="E150" s="218"/>
      <c r="F150" s="218">
        <v>0</v>
      </c>
      <c r="G150" s="219"/>
      <c r="H150" s="218"/>
      <c r="I150" s="218"/>
      <c r="J150" s="136"/>
      <c r="K150" s="139">
        <v>475</v>
      </c>
      <c r="L150" s="136">
        <v>0</v>
      </c>
      <c r="M150" s="217">
        <v>0</v>
      </c>
      <c r="N150" s="136">
        <v>0</v>
      </c>
      <c r="O150" s="136">
        <v>0</v>
      </c>
      <c r="P150" s="218">
        <v>164.6</v>
      </c>
      <c r="Q150" s="136">
        <v>0</v>
      </c>
      <c r="R150" s="136">
        <v>6</v>
      </c>
      <c r="S150" s="136">
        <v>0</v>
      </c>
      <c r="T150" s="139">
        <v>1</v>
      </c>
      <c r="U150" s="217">
        <v>0</v>
      </c>
      <c r="V150" s="217">
        <v>165</v>
      </c>
      <c r="W150" s="217">
        <v>0</v>
      </c>
      <c r="X150" s="218">
        <v>0</v>
      </c>
      <c r="Y150" s="220">
        <v>55.3</v>
      </c>
      <c r="Z150" s="164">
        <v>0</v>
      </c>
      <c r="AA150" s="221">
        <v>0</v>
      </c>
      <c r="AB150" s="221">
        <v>0</v>
      </c>
      <c r="AC150" s="222">
        <v>0</v>
      </c>
      <c r="AD150" s="223">
        <v>0</v>
      </c>
      <c r="AE150" s="136"/>
      <c r="AF150" s="136">
        <v>0</v>
      </c>
      <c r="AG150" s="224">
        <v>1.7</v>
      </c>
      <c r="AH150" s="136">
        <v>727.7</v>
      </c>
      <c r="AI150" s="136"/>
      <c r="AJ150" s="136"/>
      <c r="AK150" s="136">
        <f t="shared" si="22"/>
        <v>433.7</v>
      </c>
      <c r="AL150" s="136">
        <f t="shared" si="23"/>
        <v>0</v>
      </c>
      <c r="AM150" s="136">
        <f t="shared" si="24"/>
        <v>6</v>
      </c>
      <c r="AN150" s="136">
        <f t="shared" si="25"/>
        <v>1</v>
      </c>
      <c r="AO150" s="136">
        <f t="shared" si="26"/>
        <v>164.6</v>
      </c>
      <c r="AP150" s="139">
        <f t="shared" si="27"/>
        <v>165</v>
      </c>
      <c r="AQ150" s="136">
        <f t="shared" si="30"/>
        <v>0</v>
      </c>
      <c r="AR150" s="136">
        <f t="shared" si="28"/>
        <v>55.3</v>
      </c>
      <c r="AS150" s="139">
        <f t="shared" si="29"/>
        <v>475</v>
      </c>
      <c r="AT150" s="136"/>
      <c r="AU150" s="136">
        <f t="shared" si="31"/>
        <v>1.7</v>
      </c>
      <c r="AV150" s="225">
        <v>4658064</v>
      </c>
      <c r="AX150" s="136">
        <f>'2024 Legal Max'!AS151</f>
        <v>729.2</v>
      </c>
      <c r="AY150" s="136">
        <f t="shared" si="32"/>
        <v>1.5</v>
      </c>
      <c r="AZ150" s="139">
        <v>97314</v>
      </c>
      <c r="BB150" s="164">
        <v>0</v>
      </c>
      <c r="BC150" s="164">
        <v>0</v>
      </c>
    </row>
    <row r="151" spans="1:55">
      <c r="A151" s="216" t="s">
        <v>337</v>
      </c>
      <c r="B151" s="217"/>
      <c r="C151" s="218">
        <v>363.1</v>
      </c>
      <c r="E151" s="218"/>
      <c r="F151" s="218">
        <v>0</v>
      </c>
      <c r="G151" s="219"/>
      <c r="H151" s="218"/>
      <c r="I151" s="218"/>
      <c r="J151" s="136"/>
      <c r="K151" s="139">
        <v>436</v>
      </c>
      <c r="L151" s="136">
        <v>0</v>
      </c>
      <c r="M151" s="217">
        <v>0</v>
      </c>
      <c r="N151" s="136">
        <v>4</v>
      </c>
      <c r="O151" s="136">
        <v>0</v>
      </c>
      <c r="P151" s="218">
        <v>114.6</v>
      </c>
      <c r="Q151" s="136">
        <v>0</v>
      </c>
      <c r="R151" s="136">
        <v>0</v>
      </c>
      <c r="S151" s="136">
        <v>0</v>
      </c>
      <c r="T151" s="139">
        <v>0</v>
      </c>
      <c r="U151" s="217">
        <v>0</v>
      </c>
      <c r="V151" s="217">
        <v>116</v>
      </c>
      <c r="W151" s="217">
        <v>0</v>
      </c>
      <c r="X151" s="218">
        <v>0</v>
      </c>
      <c r="Y151" s="220">
        <v>134.4</v>
      </c>
      <c r="Z151" s="164">
        <v>0</v>
      </c>
      <c r="AA151" s="221">
        <v>3</v>
      </c>
      <c r="AB151" s="221">
        <v>0</v>
      </c>
      <c r="AC151" s="222">
        <v>0</v>
      </c>
      <c r="AD151" s="223">
        <v>0</v>
      </c>
      <c r="AE151" s="136"/>
      <c r="AF151" s="136">
        <v>0</v>
      </c>
      <c r="AG151" s="224">
        <v>0</v>
      </c>
      <c r="AH151" s="136">
        <v>667.8</v>
      </c>
      <c r="AI151" s="136"/>
      <c r="AJ151" s="136"/>
      <c r="AK151" s="136">
        <f t="shared" si="22"/>
        <v>363.1</v>
      </c>
      <c r="AL151" s="136">
        <f t="shared" si="23"/>
        <v>4</v>
      </c>
      <c r="AM151" s="136">
        <f t="shared" si="24"/>
        <v>0</v>
      </c>
      <c r="AN151" s="136">
        <f t="shared" si="25"/>
        <v>0</v>
      </c>
      <c r="AO151" s="136">
        <f t="shared" si="26"/>
        <v>114.6</v>
      </c>
      <c r="AP151" s="139">
        <f t="shared" si="27"/>
        <v>116</v>
      </c>
      <c r="AQ151" s="136">
        <f t="shared" si="30"/>
        <v>0</v>
      </c>
      <c r="AR151" s="136">
        <f t="shared" si="28"/>
        <v>134.4</v>
      </c>
      <c r="AS151" s="139">
        <f t="shared" si="29"/>
        <v>436</v>
      </c>
      <c r="AT151" s="136"/>
      <c r="AU151" s="136">
        <f t="shared" si="31"/>
        <v>0</v>
      </c>
      <c r="AV151" s="225">
        <v>4020550</v>
      </c>
      <c r="AX151" s="136">
        <f>'2024 Legal Max'!AS152</f>
        <v>666.2</v>
      </c>
      <c r="AY151" s="136">
        <f t="shared" si="32"/>
        <v>-1.6</v>
      </c>
      <c r="AZ151" s="139">
        <v>156830</v>
      </c>
      <c r="BB151" s="164">
        <v>0</v>
      </c>
      <c r="BC151" s="164">
        <v>4</v>
      </c>
    </row>
    <row r="152" spans="1:55">
      <c r="A152" s="216" t="s">
        <v>338</v>
      </c>
      <c r="B152" s="217"/>
      <c r="C152" s="218">
        <v>530.4</v>
      </c>
      <c r="E152" s="218"/>
      <c r="F152" s="218">
        <v>0</v>
      </c>
      <c r="G152" s="219"/>
      <c r="H152" s="218"/>
      <c r="I152" s="218"/>
      <c r="J152" s="136"/>
      <c r="K152" s="139">
        <v>557</v>
      </c>
      <c r="L152" s="136">
        <v>0</v>
      </c>
      <c r="M152" s="217">
        <v>0</v>
      </c>
      <c r="N152" s="136">
        <v>9.5</v>
      </c>
      <c r="O152" s="136">
        <v>0</v>
      </c>
      <c r="P152" s="218">
        <v>119.1</v>
      </c>
      <c r="Q152" s="136">
        <v>0</v>
      </c>
      <c r="R152" s="136">
        <v>1.9</v>
      </c>
      <c r="S152" s="136">
        <v>0</v>
      </c>
      <c r="T152" s="139">
        <v>3</v>
      </c>
      <c r="U152" s="217">
        <v>0</v>
      </c>
      <c r="V152" s="217">
        <v>222</v>
      </c>
      <c r="W152" s="217">
        <v>0</v>
      </c>
      <c r="X152" s="218">
        <v>0</v>
      </c>
      <c r="Y152" s="220">
        <v>162</v>
      </c>
      <c r="Z152" s="164">
        <v>0</v>
      </c>
      <c r="AA152" s="221">
        <v>5</v>
      </c>
      <c r="AB152" s="221">
        <v>0</v>
      </c>
      <c r="AC152" s="222">
        <v>15</v>
      </c>
      <c r="AD152" s="223">
        <v>0</v>
      </c>
      <c r="AE152" s="136"/>
      <c r="AF152" s="136">
        <v>7.6</v>
      </c>
      <c r="AG152" s="224">
        <v>10.4</v>
      </c>
      <c r="AH152" s="136">
        <v>963.1</v>
      </c>
      <c r="AI152" s="136"/>
      <c r="AJ152" s="136"/>
      <c r="AK152" s="136">
        <f t="shared" si="22"/>
        <v>530.4</v>
      </c>
      <c r="AL152" s="136">
        <f t="shared" si="23"/>
        <v>9.5</v>
      </c>
      <c r="AM152" s="136">
        <f t="shared" si="24"/>
        <v>1.9</v>
      </c>
      <c r="AN152" s="136">
        <f t="shared" si="25"/>
        <v>3</v>
      </c>
      <c r="AO152" s="136">
        <f t="shared" si="26"/>
        <v>119.1</v>
      </c>
      <c r="AP152" s="139">
        <f t="shared" si="27"/>
        <v>222</v>
      </c>
      <c r="AQ152" s="136">
        <f t="shared" si="30"/>
        <v>0</v>
      </c>
      <c r="AR152" s="136">
        <f t="shared" si="28"/>
        <v>162</v>
      </c>
      <c r="AS152" s="139">
        <f t="shared" si="29"/>
        <v>557</v>
      </c>
      <c r="AT152" s="136"/>
      <c r="AU152" s="136">
        <f t="shared" si="31"/>
        <v>10.4</v>
      </c>
      <c r="AV152" s="225">
        <v>6009662</v>
      </c>
      <c r="AX152" s="136">
        <f>'2024 Legal Max'!AS153</f>
        <v>964.3</v>
      </c>
      <c r="AY152" s="136">
        <f t="shared" si="32"/>
        <v>1.2</v>
      </c>
      <c r="AZ152" s="139">
        <v>196203</v>
      </c>
      <c r="BA152" s="129" t="s">
        <v>3683</v>
      </c>
      <c r="BB152" s="164">
        <v>0</v>
      </c>
      <c r="BC152" s="164">
        <v>9.5</v>
      </c>
    </row>
    <row r="153" spans="1:55">
      <c r="A153" s="216" t="s">
        <v>339</v>
      </c>
      <c r="B153" s="217"/>
      <c r="C153" s="218">
        <v>374.7</v>
      </c>
      <c r="E153" s="218"/>
      <c r="F153" s="218">
        <v>0</v>
      </c>
      <c r="G153" s="219"/>
      <c r="H153" s="218"/>
      <c r="I153" s="218"/>
      <c r="J153" s="136"/>
      <c r="K153" s="139">
        <v>399</v>
      </c>
      <c r="L153" s="136">
        <v>0</v>
      </c>
      <c r="M153" s="217">
        <v>0</v>
      </c>
      <c r="N153" s="136">
        <v>5</v>
      </c>
      <c r="O153" s="136">
        <v>0</v>
      </c>
      <c r="P153" s="218">
        <v>118.5</v>
      </c>
      <c r="Q153" s="136">
        <v>0</v>
      </c>
      <c r="R153" s="136">
        <v>6.6</v>
      </c>
      <c r="S153" s="136">
        <v>0</v>
      </c>
      <c r="T153" s="139">
        <v>3</v>
      </c>
      <c r="U153" s="217">
        <v>0</v>
      </c>
      <c r="V153" s="217">
        <v>134</v>
      </c>
      <c r="W153" s="217">
        <v>0</v>
      </c>
      <c r="X153" s="218">
        <v>0</v>
      </c>
      <c r="Y153" s="220">
        <v>69</v>
      </c>
      <c r="Z153" s="164">
        <v>0</v>
      </c>
      <c r="AA153" s="221">
        <v>48</v>
      </c>
      <c r="AB153" s="221">
        <v>3.7</v>
      </c>
      <c r="AC153" s="222">
        <v>0</v>
      </c>
      <c r="AD153" s="223">
        <v>6</v>
      </c>
      <c r="AE153" s="136"/>
      <c r="AF153" s="136">
        <v>0</v>
      </c>
      <c r="AG153" s="224">
        <v>1.1000000000000001</v>
      </c>
      <c r="AH153" s="136">
        <v>657.1</v>
      </c>
      <c r="AI153" s="136"/>
      <c r="AJ153" s="136"/>
      <c r="AK153" s="136">
        <f t="shared" si="22"/>
        <v>374.7</v>
      </c>
      <c r="AL153" s="136">
        <f t="shared" si="23"/>
        <v>5</v>
      </c>
      <c r="AM153" s="136">
        <f t="shared" si="24"/>
        <v>6.6</v>
      </c>
      <c r="AN153" s="136">
        <f t="shared" si="25"/>
        <v>3</v>
      </c>
      <c r="AO153" s="136">
        <f t="shared" si="26"/>
        <v>118.5</v>
      </c>
      <c r="AP153" s="139">
        <f t="shared" si="27"/>
        <v>134</v>
      </c>
      <c r="AQ153" s="136">
        <f t="shared" si="30"/>
        <v>6</v>
      </c>
      <c r="AR153" s="136">
        <f t="shared" si="28"/>
        <v>69</v>
      </c>
      <c r="AS153" s="139">
        <f t="shared" si="29"/>
        <v>399</v>
      </c>
      <c r="AT153" s="136"/>
      <c r="AU153" s="136">
        <f t="shared" si="31"/>
        <v>1.1000000000000001</v>
      </c>
      <c r="AV153" s="225">
        <v>4614345</v>
      </c>
      <c r="AX153" s="136">
        <f>'2024 Legal Max'!AS154</f>
        <v>654.6</v>
      </c>
      <c r="AY153" s="136">
        <f t="shared" si="32"/>
        <v>-2.5</v>
      </c>
      <c r="AZ153" s="139">
        <v>163535</v>
      </c>
      <c r="BB153" s="164">
        <v>0</v>
      </c>
      <c r="BC153" s="164">
        <v>5</v>
      </c>
    </row>
    <row r="154" spans="1:55">
      <c r="A154" s="216" t="s">
        <v>340</v>
      </c>
      <c r="B154" s="217"/>
      <c r="C154" s="218">
        <v>129.5</v>
      </c>
      <c r="E154" s="218"/>
      <c r="F154" s="218">
        <v>0</v>
      </c>
      <c r="G154" s="219"/>
      <c r="H154" s="218"/>
      <c r="I154" s="218"/>
      <c r="J154" s="136"/>
      <c r="K154" s="139">
        <v>135</v>
      </c>
      <c r="L154" s="136">
        <v>0</v>
      </c>
      <c r="M154" s="217">
        <v>0</v>
      </c>
      <c r="N154" s="136">
        <v>2.5</v>
      </c>
      <c r="O154" s="136">
        <v>0</v>
      </c>
      <c r="P154" s="218">
        <v>49.4</v>
      </c>
      <c r="Q154" s="136">
        <v>0</v>
      </c>
      <c r="R154" s="136">
        <v>0</v>
      </c>
      <c r="S154" s="136">
        <v>0</v>
      </c>
      <c r="T154" s="139">
        <v>0</v>
      </c>
      <c r="U154" s="217">
        <v>0</v>
      </c>
      <c r="V154" s="217">
        <v>52</v>
      </c>
      <c r="W154" s="217">
        <v>0</v>
      </c>
      <c r="X154" s="218">
        <v>0</v>
      </c>
      <c r="Y154" s="220">
        <v>29.5</v>
      </c>
      <c r="Z154" s="164">
        <v>0</v>
      </c>
      <c r="AA154" s="221">
        <v>0</v>
      </c>
      <c r="AB154" s="221">
        <v>0</v>
      </c>
      <c r="AC154" s="222">
        <v>0</v>
      </c>
      <c r="AD154" s="223">
        <v>0</v>
      </c>
      <c r="AE154" s="136"/>
      <c r="AF154" s="136">
        <v>1.3</v>
      </c>
      <c r="AG154" s="224">
        <v>2.7</v>
      </c>
      <c r="AH154" s="136">
        <v>343.8</v>
      </c>
      <c r="AI154" s="136"/>
      <c r="AJ154" s="136"/>
      <c r="AK154" s="136">
        <f t="shared" si="22"/>
        <v>129.5</v>
      </c>
      <c r="AL154" s="136">
        <f t="shared" si="23"/>
        <v>2.5</v>
      </c>
      <c r="AM154" s="136">
        <f t="shared" si="24"/>
        <v>0</v>
      </c>
      <c r="AN154" s="136">
        <f t="shared" si="25"/>
        <v>0</v>
      </c>
      <c r="AO154" s="136">
        <f t="shared" si="26"/>
        <v>49.4</v>
      </c>
      <c r="AP154" s="139">
        <f t="shared" si="27"/>
        <v>52</v>
      </c>
      <c r="AQ154" s="136">
        <f t="shared" si="30"/>
        <v>0</v>
      </c>
      <c r="AR154" s="136">
        <f t="shared" si="28"/>
        <v>29.5</v>
      </c>
      <c r="AS154" s="139">
        <f t="shared" si="29"/>
        <v>135</v>
      </c>
      <c r="AT154" s="136"/>
      <c r="AU154" s="136">
        <f t="shared" si="31"/>
        <v>2.7</v>
      </c>
      <c r="AV154" s="225">
        <v>2110502</v>
      </c>
      <c r="AX154" s="136">
        <f>'2024 Legal Max'!AS155</f>
        <v>343</v>
      </c>
      <c r="AY154" s="136">
        <f t="shared" si="32"/>
        <v>-0.8</v>
      </c>
      <c r="AZ154" s="139">
        <v>99675</v>
      </c>
      <c r="BB154" s="164">
        <v>0</v>
      </c>
      <c r="BC154" s="164">
        <v>2.5</v>
      </c>
    </row>
    <row r="155" spans="1:55">
      <c r="A155" s="216" t="s">
        <v>341</v>
      </c>
      <c r="B155" s="217"/>
      <c r="C155" s="218">
        <v>220.5</v>
      </c>
      <c r="E155" s="218"/>
      <c r="F155" s="218">
        <v>0</v>
      </c>
      <c r="G155" s="219"/>
      <c r="H155" s="218"/>
      <c r="I155" s="218"/>
      <c r="J155" s="136"/>
      <c r="K155" s="139">
        <v>233</v>
      </c>
      <c r="L155" s="136">
        <v>0</v>
      </c>
      <c r="M155" s="217">
        <v>0</v>
      </c>
      <c r="N155" s="136">
        <v>3.5</v>
      </c>
      <c r="O155" s="136">
        <v>0</v>
      </c>
      <c r="P155" s="218">
        <v>29.1</v>
      </c>
      <c r="Q155" s="136">
        <v>0</v>
      </c>
      <c r="R155" s="136">
        <v>0</v>
      </c>
      <c r="S155" s="136">
        <v>0</v>
      </c>
      <c r="T155" s="139">
        <v>0</v>
      </c>
      <c r="U155" s="217">
        <v>0</v>
      </c>
      <c r="V155" s="217">
        <v>140</v>
      </c>
      <c r="W155" s="217">
        <v>0</v>
      </c>
      <c r="X155" s="218">
        <v>0</v>
      </c>
      <c r="Y155" s="220">
        <v>42</v>
      </c>
      <c r="Z155" s="164">
        <v>0</v>
      </c>
      <c r="AA155" s="221">
        <v>1</v>
      </c>
      <c r="AB155" s="221">
        <v>0</v>
      </c>
      <c r="AC155" s="222">
        <v>0</v>
      </c>
      <c r="AD155" s="223">
        <v>0</v>
      </c>
      <c r="AE155" s="136"/>
      <c r="AF155" s="136">
        <v>14.7</v>
      </c>
      <c r="AG155" s="224">
        <v>14.7</v>
      </c>
      <c r="AH155" s="136">
        <v>481.1</v>
      </c>
      <c r="AI155" s="136"/>
      <c r="AJ155" s="136"/>
      <c r="AK155" s="136">
        <f t="shared" si="22"/>
        <v>220.5</v>
      </c>
      <c r="AL155" s="136">
        <f t="shared" si="23"/>
        <v>3.5</v>
      </c>
      <c r="AM155" s="136">
        <f t="shared" si="24"/>
        <v>0</v>
      </c>
      <c r="AN155" s="136">
        <f t="shared" si="25"/>
        <v>0</v>
      </c>
      <c r="AO155" s="136">
        <f t="shared" si="26"/>
        <v>29.1</v>
      </c>
      <c r="AP155" s="139">
        <f t="shared" si="27"/>
        <v>140</v>
      </c>
      <c r="AQ155" s="136">
        <f t="shared" si="30"/>
        <v>0</v>
      </c>
      <c r="AR155" s="136">
        <f t="shared" si="28"/>
        <v>42</v>
      </c>
      <c r="AS155" s="139">
        <f t="shared" si="29"/>
        <v>233</v>
      </c>
      <c r="AT155" s="136"/>
      <c r="AU155" s="136">
        <f t="shared" si="31"/>
        <v>14.7</v>
      </c>
      <c r="AV155" s="225">
        <v>2987696</v>
      </c>
      <c r="AX155" s="136">
        <f>'2024 Legal Max'!AS156</f>
        <v>481.2</v>
      </c>
      <c r="AY155" s="136">
        <f t="shared" si="32"/>
        <v>0.1</v>
      </c>
      <c r="AZ155" s="139">
        <v>41290</v>
      </c>
      <c r="BB155" s="164">
        <v>0</v>
      </c>
      <c r="BC155" s="164">
        <v>3.5</v>
      </c>
    </row>
    <row r="156" spans="1:55">
      <c r="A156" s="216" t="s">
        <v>342</v>
      </c>
      <c r="B156" s="217"/>
      <c r="C156" s="218">
        <v>781.9</v>
      </c>
      <c r="E156" s="218"/>
      <c r="F156" s="218">
        <v>0</v>
      </c>
      <c r="G156" s="219"/>
      <c r="H156" s="218"/>
      <c r="I156" s="218"/>
      <c r="J156" s="136"/>
      <c r="K156" s="139">
        <v>823</v>
      </c>
      <c r="L156" s="136">
        <v>0</v>
      </c>
      <c r="M156" s="217">
        <v>0</v>
      </c>
      <c r="N156" s="136">
        <v>15.5</v>
      </c>
      <c r="O156" s="136">
        <v>0</v>
      </c>
      <c r="P156" s="218">
        <v>133.4</v>
      </c>
      <c r="Q156" s="136">
        <v>0</v>
      </c>
      <c r="R156" s="136">
        <v>160.19999999999999</v>
      </c>
      <c r="S156" s="136">
        <v>0</v>
      </c>
      <c r="T156" s="139">
        <v>72</v>
      </c>
      <c r="U156" s="217">
        <v>0</v>
      </c>
      <c r="V156" s="217">
        <v>443</v>
      </c>
      <c r="W156" s="217">
        <v>0</v>
      </c>
      <c r="X156" s="218">
        <v>0</v>
      </c>
      <c r="Y156" s="220">
        <v>428.5</v>
      </c>
      <c r="Z156" s="164">
        <v>0</v>
      </c>
      <c r="AA156" s="221">
        <v>3</v>
      </c>
      <c r="AB156" s="221">
        <v>2.2000000000000002</v>
      </c>
      <c r="AC156" s="222">
        <v>3</v>
      </c>
      <c r="AD156" s="223">
        <v>0</v>
      </c>
      <c r="AE156" s="136"/>
      <c r="AF156" s="136">
        <v>46.5</v>
      </c>
      <c r="AG156" s="224">
        <v>46.5</v>
      </c>
      <c r="AH156" s="136">
        <v>1423.5</v>
      </c>
      <c r="AI156" s="136"/>
      <c r="AJ156" s="136"/>
      <c r="AK156" s="136">
        <f t="shared" si="22"/>
        <v>781.9</v>
      </c>
      <c r="AL156" s="136">
        <f t="shared" si="23"/>
        <v>15.5</v>
      </c>
      <c r="AM156" s="136">
        <f t="shared" si="24"/>
        <v>160.19999999999999</v>
      </c>
      <c r="AN156" s="136">
        <f t="shared" si="25"/>
        <v>72</v>
      </c>
      <c r="AO156" s="136">
        <f t="shared" si="26"/>
        <v>133.4</v>
      </c>
      <c r="AP156" s="139">
        <f t="shared" si="27"/>
        <v>443</v>
      </c>
      <c r="AQ156" s="136">
        <f t="shared" si="30"/>
        <v>0</v>
      </c>
      <c r="AR156" s="136">
        <f t="shared" si="28"/>
        <v>428.5</v>
      </c>
      <c r="AS156" s="139">
        <f t="shared" si="29"/>
        <v>823</v>
      </c>
      <c r="AT156" s="136"/>
      <c r="AU156" s="136">
        <f t="shared" si="31"/>
        <v>46.5</v>
      </c>
      <c r="AV156" s="225">
        <v>8574287</v>
      </c>
      <c r="AX156" s="136">
        <f>'2024 Legal Max'!AS157</f>
        <v>1418.1</v>
      </c>
      <c r="AY156" s="136">
        <f t="shared" si="32"/>
        <v>-5.4</v>
      </c>
      <c r="AZ156" s="139">
        <v>632936</v>
      </c>
      <c r="BB156" s="164">
        <v>0</v>
      </c>
      <c r="BC156" s="164">
        <v>15.5</v>
      </c>
    </row>
    <row r="157" spans="1:55">
      <c r="A157" s="216" t="s">
        <v>343</v>
      </c>
      <c r="B157" s="217"/>
      <c r="C157" s="218">
        <v>826.3</v>
      </c>
      <c r="E157" s="218"/>
      <c r="F157" s="218">
        <v>0</v>
      </c>
      <c r="G157" s="219"/>
      <c r="H157" s="218"/>
      <c r="I157" s="218"/>
      <c r="J157" s="136"/>
      <c r="K157" s="139">
        <v>877</v>
      </c>
      <c r="L157" s="136">
        <v>0</v>
      </c>
      <c r="M157" s="217">
        <v>0</v>
      </c>
      <c r="N157" s="136">
        <v>19.5</v>
      </c>
      <c r="O157" s="136">
        <v>0</v>
      </c>
      <c r="P157" s="218">
        <v>285</v>
      </c>
      <c r="Q157" s="136">
        <v>0</v>
      </c>
      <c r="R157" s="136">
        <v>0.3</v>
      </c>
      <c r="S157" s="136">
        <v>0</v>
      </c>
      <c r="T157" s="139">
        <v>1</v>
      </c>
      <c r="U157" s="217">
        <v>0</v>
      </c>
      <c r="V157" s="217">
        <v>370</v>
      </c>
      <c r="W157" s="217">
        <v>0</v>
      </c>
      <c r="X157" s="218">
        <v>0</v>
      </c>
      <c r="Y157" s="220">
        <v>607</v>
      </c>
      <c r="Z157" s="164">
        <v>0</v>
      </c>
      <c r="AA157" s="221">
        <v>8</v>
      </c>
      <c r="AB157" s="221">
        <v>1.9</v>
      </c>
      <c r="AC157" s="222">
        <v>0</v>
      </c>
      <c r="AD157" s="223">
        <v>0</v>
      </c>
      <c r="AE157" s="136"/>
      <c r="AF157" s="136">
        <v>18.600000000000001</v>
      </c>
      <c r="AG157" s="224">
        <v>19.600000000000001</v>
      </c>
      <c r="AH157" s="136">
        <v>1462.8</v>
      </c>
      <c r="AI157" s="136"/>
      <c r="AJ157" s="136"/>
      <c r="AK157" s="136">
        <f t="shared" si="22"/>
        <v>826.3</v>
      </c>
      <c r="AL157" s="136">
        <f t="shared" si="23"/>
        <v>19.5</v>
      </c>
      <c r="AM157" s="136">
        <f t="shared" si="24"/>
        <v>0.3</v>
      </c>
      <c r="AN157" s="136">
        <f t="shared" si="25"/>
        <v>1</v>
      </c>
      <c r="AO157" s="136">
        <f t="shared" si="26"/>
        <v>285</v>
      </c>
      <c r="AP157" s="139">
        <f t="shared" si="27"/>
        <v>370</v>
      </c>
      <c r="AQ157" s="136">
        <f t="shared" si="30"/>
        <v>0</v>
      </c>
      <c r="AR157" s="136">
        <f t="shared" si="28"/>
        <v>607</v>
      </c>
      <c r="AS157" s="139">
        <f t="shared" si="29"/>
        <v>877</v>
      </c>
      <c r="AT157" s="136"/>
      <c r="AU157" s="136">
        <f t="shared" si="31"/>
        <v>19.600000000000001</v>
      </c>
      <c r="AV157" s="225">
        <v>9368829</v>
      </c>
      <c r="AX157" s="136">
        <f>'2024 Legal Max'!AS158</f>
        <v>1425.1</v>
      </c>
      <c r="AY157" s="136">
        <f t="shared" si="32"/>
        <v>-37.700000000000003</v>
      </c>
      <c r="AZ157" s="139">
        <v>680837</v>
      </c>
      <c r="BB157" s="164">
        <v>0</v>
      </c>
      <c r="BC157" s="164">
        <v>19.5</v>
      </c>
    </row>
    <row r="158" spans="1:55">
      <c r="A158" s="216" t="s">
        <v>344</v>
      </c>
      <c r="B158" s="217"/>
      <c r="C158" s="218">
        <v>922</v>
      </c>
      <c r="E158" s="218"/>
      <c r="F158" s="218">
        <v>0</v>
      </c>
      <c r="G158" s="219"/>
      <c r="H158" s="218"/>
      <c r="I158" s="218"/>
      <c r="J158" s="136"/>
      <c r="K158" s="139">
        <v>965</v>
      </c>
      <c r="L158" s="136">
        <v>0</v>
      </c>
      <c r="M158" s="217">
        <v>0</v>
      </c>
      <c r="N158" s="136">
        <v>21</v>
      </c>
      <c r="O158" s="136">
        <v>0</v>
      </c>
      <c r="P158" s="218">
        <v>296.2</v>
      </c>
      <c r="Q158" s="136">
        <v>0</v>
      </c>
      <c r="R158" s="136">
        <v>364.2</v>
      </c>
      <c r="S158" s="136">
        <v>0</v>
      </c>
      <c r="T158" s="139">
        <v>90</v>
      </c>
      <c r="U158" s="217">
        <v>0</v>
      </c>
      <c r="V158" s="217">
        <v>456</v>
      </c>
      <c r="W158" s="217">
        <v>0</v>
      </c>
      <c r="X158" s="218">
        <v>0</v>
      </c>
      <c r="Y158" s="220">
        <v>56</v>
      </c>
      <c r="Z158" s="164">
        <v>0</v>
      </c>
      <c r="AA158" s="221">
        <v>4</v>
      </c>
      <c r="AB158" s="221">
        <v>0</v>
      </c>
      <c r="AC158" s="222">
        <v>0</v>
      </c>
      <c r="AD158" s="223">
        <v>0</v>
      </c>
      <c r="AE158" s="136"/>
      <c r="AF158" s="136">
        <v>39.1</v>
      </c>
      <c r="AG158" s="224">
        <v>37.9</v>
      </c>
      <c r="AH158" s="136">
        <v>1526.1</v>
      </c>
      <c r="AI158" s="136"/>
      <c r="AJ158" s="136"/>
      <c r="AK158" s="136">
        <f t="shared" si="22"/>
        <v>922</v>
      </c>
      <c r="AL158" s="136">
        <f t="shared" si="23"/>
        <v>21</v>
      </c>
      <c r="AM158" s="136">
        <f t="shared" si="24"/>
        <v>364.2</v>
      </c>
      <c r="AN158" s="136">
        <f t="shared" si="25"/>
        <v>90</v>
      </c>
      <c r="AO158" s="136">
        <f t="shared" si="26"/>
        <v>296.2</v>
      </c>
      <c r="AP158" s="139">
        <f t="shared" si="27"/>
        <v>456</v>
      </c>
      <c r="AQ158" s="136">
        <f t="shared" si="30"/>
        <v>0</v>
      </c>
      <c r="AR158" s="136">
        <f t="shared" si="28"/>
        <v>56</v>
      </c>
      <c r="AS158" s="139">
        <f t="shared" si="29"/>
        <v>965</v>
      </c>
      <c r="AT158" s="136"/>
      <c r="AU158" s="136">
        <f t="shared" si="31"/>
        <v>39.1</v>
      </c>
      <c r="AV158" s="225">
        <v>8445344</v>
      </c>
      <c r="AX158" s="136">
        <f>'2024 Legal Max'!AS159</f>
        <v>1527.2</v>
      </c>
      <c r="AY158" s="136">
        <f t="shared" si="32"/>
        <v>1.1000000000000001</v>
      </c>
      <c r="AZ158" s="139">
        <v>166646</v>
      </c>
      <c r="BB158" s="164">
        <v>0</v>
      </c>
      <c r="BC158" s="164">
        <v>21</v>
      </c>
    </row>
    <row r="159" spans="1:55">
      <c r="A159" s="216" t="s">
        <v>345</v>
      </c>
      <c r="B159" s="217"/>
      <c r="C159" s="218">
        <v>719.5</v>
      </c>
      <c r="E159" s="218"/>
      <c r="F159" s="218">
        <v>0</v>
      </c>
      <c r="G159" s="219"/>
      <c r="H159" s="218"/>
      <c r="I159" s="218"/>
      <c r="J159" s="136"/>
      <c r="K159" s="139">
        <v>772</v>
      </c>
      <c r="L159" s="136">
        <v>0</v>
      </c>
      <c r="M159" s="217">
        <v>0</v>
      </c>
      <c r="N159" s="136">
        <v>17.5</v>
      </c>
      <c r="O159" s="136">
        <v>0</v>
      </c>
      <c r="P159" s="218">
        <v>362.1</v>
      </c>
      <c r="Q159" s="136">
        <v>0</v>
      </c>
      <c r="R159" s="136">
        <v>1.5</v>
      </c>
      <c r="S159" s="136">
        <v>0</v>
      </c>
      <c r="T159" s="139">
        <v>2</v>
      </c>
      <c r="U159" s="217">
        <v>0</v>
      </c>
      <c r="V159" s="217">
        <v>337</v>
      </c>
      <c r="W159" s="217">
        <v>0</v>
      </c>
      <c r="X159" s="218">
        <v>0</v>
      </c>
      <c r="Y159" s="220">
        <v>235</v>
      </c>
      <c r="Z159" s="164">
        <v>0</v>
      </c>
      <c r="AA159" s="221">
        <v>0</v>
      </c>
      <c r="AB159" s="221">
        <v>0</v>
      </c>
      <c r="AC159" s="222">
        <v>0</v>
      </c>
      <c r="AD159" s="223">
        <v>0</v>
      </c>
      <c r="AE159" s="136"/>
      <c r="AF159" s="136">
        <v>20.399999999999999</v>
      </c>
      <c r="AG159" s="224">
        <v>22.5</v>
      </c>
      <c r="AH159" s="136">
        <v>1291.5</v>
      </c>
      <c r="AI159" s="136"/>
      <c r="AJ159" s="136"/>
      <c r="AK159" s="136">
        <f t="shared" si="22"/>
        <v>719.5</v>
      </c>
      <c r="AL159" s="136">
        <f t="shared" si="23"/>
        <v>17.5</v>
      </c>
      <c r="AM159" s="136">
        <f t="shared" si="24"/>
        <v>1.5</v>
      </c>
      <c r="AN159" s="136">
        <f t="shared" si="25"/>
        <v>2</v>
      </c>
      <c r="AO159" s="136">
        <f t="shared" si="26"/>
        <v>362.1</v>
      </c>
      <c r="AP159" s="139">
        <f t="shared" si="27"/>
        <v>337</v>
      </c>
      <c r="AQ159" s="136">
        <f t="shared" si="30"/>
        <v>0</v>
      </c>
      <c r="AR159" s="136">
        <f t="shared" si="28"/>
        <v>235</v>
      </c>
      <c r="AS159" s="139">
        <f t="shared" si="29"/>
        <v>772</v>
      </c>
      <c r="AT159" s="136"/>
      <c r="AU159" s="136">
        <f t="shared" si="31"/>
        <v>22.5</v>
      </c>
      <c r="AV159" s="225">
        <v>7419322</v>
      </c>
      <c r="AX159" s="136">
        <f>'2024 Legal Max'!AS160</f>
        <v>1288</v>
      </c>
      <c r="AY159" s="136">
        <f t="shared" si="32"/>
        <v>-3.5</v>
      </c>
      <c r="AZ159" s="139">
        <v>340255</v>
      </c>
      <c r="BB159" s="164">
        <v>0</v>
      </c>
      <c r="BC159" s="164">
        <v>17.5</v>
      </c>
    </row>
    <row r="160" spans="1:55">
      <c r="A160" s="216" t="s">
        <v>346</v>
      </c>
      <c r="B160" s="217"/>
      <c r="C160" s="218">
        <v>901</v>
      </c>
      <c r="E160" s="218"/>
      <c r="F160" s="218">
        <v>0</v>
      </c>
      <c r="G160" s="219"/>
      <c r="H160" s="218"/>
      <c r="I160" s="218"/>
      <c r="J160" s="136"/>
      <c r="K160" s="139">
        <v>941</v>
      </c>
      <c r="L160" s="136">
        <v>0</v>
      </c>
      <c r="M160" s="217">
        <v>0</v>
      </c>
      <c r="N160" s="136">
        <v>13.5</v>
      </c>
      <c r="O160" s="136">
        <v>0</v>
      </c>
      <c r="P160" s="218">
        <v>229.5</v>
      </c>
      <c r="Q160" s="136">
        <v>0</v>
      </c>
      <c r="R160" s="136">
        <v>0</v>
      </c>
      <c r="S160" s="136">
        <v>0</v>
      </c>
      <c r="T160" s="139">
        <v>1</v>
      </c>
      <c r="U160" s="217">
        <v>0</v>
      </c>
      <c r="V160" s="217">
        <v>397</v>
      </c>
      <c r="W160" s="217">
        <v>0</v>
      </c>
      <c r="X160" s="218">
        <v>0</v>
      </c>
      <c r="Y160" s="220">
        <v>306</v>
      </c>
      <c r="Z160" s="164">
        <v>0</v>
      </c>
      <c r="AA160" s="221">
        <v>0</v>
      </c>
      <c r="AB160" s="221">
        <v>0</v>
      </c>
      <c r="AC160" s="222">
        <v>0</v>
      </c>
      <c r="AD160" s="223">
        <v>0</v>
      </c>
      <c r="AE160" s="136"/>
      <c r="AF160" s="136">
        <v>20</v>
      </c>
      <c r="AG160" s="224">
        <v>24.2</v>
      </c>
      <c r="AH160" s="136">
        <v>1492</v>
      </c>
      <c r="AI160" s="136"/>
      <c r="AJ160" s="136"/>
      <c r="AK160" s="136">
        <f t="shared" si="22"/>
        <v>901</v>
      </c>
      <c r="AL160" s="136">
        <f t="shared" si="23"/>
        <v>13.5</v>
      </c>
      <c r="AM160" s="136">
        <f t="shared" si="24"/>
        <v>0</v>
      </c>
      <c r="AN160" s="136">
        <f t="shared" si="25"/>
        <v>1</v>
      </c>
      <c r="AO160" s="136">
        <f t="shared" si="26"/>
        <v>229.5</v>
      </c>
      <c r="AP160" s="139">
        <f t="shared" si="27"/>
        <v>397</v>
      </c>
      <c r="AQ160" s="136">
        <f t="shared" si="30"/>
        <v>0</v>
      </c>
      <c r="AR160" s="136">
        <f t="shared" si="28"/>
        <v>306</v>
      </c>
      <c r="AS160" s="139">
        <f t="shared" si="29"/>
        <v>941</v>
      </c>
      <c r="AT160" s="136"/>
      <c r="AU160" s="136">
        <f t="shared" si="31"/>
        <v>24.2</v>
      </c>
      <c r="AV160" s="225">
        <v>8866358</v>
      </c>
      <c r="AX160" s="136">
        <f>'2024 Legal Max'!AS161</f>
        <v>1492.1</v>
      </c>
      <c r="AY160" s="136">
        <f t="shared" si="32"/>
        <v>0.1</v>
      </c>
      <c r="AZ160" s="139">
        <v>658112</v>
      </c>
      <c r="BA160" s="129" t="s">
        <v>3683</v>
      </c>
      <c r="BB160" s="164">
        <v>0</v>
      </c>
      <c r="BC160" s="164">
        <v>13.5</v>
      </c>
    </row>
    <row r="161" spans="1:55">
      <c r="A161" s="216" t="s">
        <v>347</v>
      </c>
      <c r="B161" s="217"/>
      <c r="C161" s="218">
        <v>396.5</v>
      </c>
      <c r="E161" s="218"/>
      <c r="F161" s="218">
        <v>0</v>
      </c>
      <c r="G161" s="219"/>
      <c r="H161" s="218"/>
      <c r="I161" s="218"/>
      <c r="J161" s="136"/>
      <c r="K161" s="139">
        <v>429</v>
      </c>
      <c r="L161" s="136">
        <v>0</v>
      </c>
      <c r="M161" s="217">
        <v>0</v>
      </c>
      <c r="N161" s="136">
        <v>14</v>
      </c>
      <c r="O161" s="136">
        <v>0</v>
      </c>
      <c r="P161" s="218">
        <v>10</v>
      </c>
      <c r="Q161" s="136">
        <v>0</v>
      </c>
      <c r="R161" s="136">
        <v>0</v>
      </c>
      <c r="S161" s="136">
        <v>0</v>
      </c>
      <c r="T161" s="139">
        <v>0</v>
      </c>
      <c r="U161" s="217">
        <v>0</v>
      </c>
      <c r="V161" s="217">
        <v>205</v>
      </c>
      <c r="W161" s="217">
        <v>0</v>
      </c>
      <c r="X161" s="218">
        <v>0</v>
      </c>
      <c r="Y161" s="220">
        <v>187</v>
      </c>
      <c r="Z161" s="164">
        <v>0</v>
      </c>
      <c r="AA161" s="221">
        <v>3</v>
      </c>
      <c r="AB161" s="221">
        <v>0</v>
      </c>
      <c r="AC161" s="222">
        <v>0</v>
      </c>
      <c r="AD161" s="223">
        <v>0</v>
      </c>
      <c r="AE161" s="136"/>
      <c r="AF161" s="136">
        <v>18.399999999999999</v>
      </c>
      <c r="AG161" s="224">
        <v>18.399999999999999</v>
      </c>
      <c r="AH161" s="136">
        <v>735.1</v>
      </c>
      <c r="AI161" s="136"/>
      <c r="AJ161" s="136"/>
      <c r="AK161" s="136">
        <f t="shared" si="22"/>
        <v>396.5</v>
      </c>
      <c r="AL161" s="136">
        <f t="shared" si="23"/>
        <v>14</v>
      </c>
      <c r="AM161" s="136">
        <f t="shared" si="24"/>
        <v>0</v>
      </c>
      <c r="AN161" s="136">
        <f t="shared" si="25"/>
        <v>0</v>
      </c>
      <c r="AO161" s="136">
        <f t="shared" si="26"/>
        <v>10</v>
      </c>
      <c r="AP161" s="139">
        <f t="shared" si="27"/>
        <v>205</v>
      </c>
      <c r="AQ161" s="136">
        <f t="shared" si="30"/>
        <v>0</v>
      </c>
      <c r="AR161" s="136">
        <f t="shared" si="28"/>
        <v>187</v>
      </c>
      <c r="AS161" s="139">
        <f t="shared" si="29"/>
        <v>429</v>
      </c>
      <c r="AT161" s="136"/>
      <c r="AU161" s="136">
        <f t="shared" si="31"/>
        <v>18.399999999999999</v>
      </c>
      <c r="AV161" s="225">
        <v>4263199</v>
      </c>
      <c r="AX161" s="136">
        <f>'2024 Legal Max'!AS162</f>
        <v>726.7</v>
      </c>
      <c r="AY161" s="136">
        <f t="shared" si="32"/>
        <v>-8.4</v>
      </c>
      <c r="AZ161" s="139">
        <v>301029</v>
      </c>
      <c r="BB161" s="164">
        <v>0</v>
      </c>
      <c r="BC161" s="164">
        <v>14</v>
      </c>
    </row>
    <row r="162" spans="1:55">
      <c r="A162" s="216" t="s">
        <v>348</v>
      </c>
      <c r="B162" s="217"/>
      <c r="C162" s="218">
        <v>947.8</v>
      </c>
      <c r="E162" s="218"/>
      <c r="F162" s="218">
        <v>0</v>
      </c>
      <c r="G162" s="219"/>
      <c r="H162" s="218"/>
      <c r="I162" s="218"/>
      <c r="J162" s="136"/>
      <c r="K162" s="139">
        <v>1009</v>
      </c>
      <c r="L162" s="136">
        <v>0</v>
      </c>
      <c r="M162" s="217">
        <v>0</v>
      </c>
      <c r="N162" s="136">
        <v>20</v>
      </c>
      <c r="O162" s="136">
        <v>0</v>
      </c>
      <c r="P162" s="218">
        <v>359.6</v>
      </c>
      <c r="Q162" s="136">
        <v>0</v>
      </c>
      <c r="R162" s="136">
        <v>0</v>
      </c>
      <c r="S162" s="136">
        <v>0</v>
      </c>
      <c r="T162" s="139">
        <v>12</v>
      </c>
      <c r="U162" s="217">
        <v>0</v>
      </c>
      <c r="V162" s="217">
        <v>545</v>
      </c>
      <c r="W162" s="217">
        <v>0</v>
      </c>
      <c r="X162" s="218">
        <v>0</v>
      </c>
      <c r="Y162" s="220">
        <v>172</v>
      </c>
      <c r="Z162" s="164">
        <v>0</v>
      </c>
      <c r="AA162" s="221">
        <v>15</v>
      </c>
      <c r="AB162" s="221">
        <v>0</v>
      </c>
      <c r="AC162" s="222">
        <v>0</v>
      </c>
      <c r="AD162" s="223">
        <v>0</v>
      </c>
      <c r="AE162" s="136"/>
      <c r="AF162" s="136">
        <v>57.2</v>
      </c>
      <c r="AG162" s="224">
        <v>52.7</v>
      </c>
      <c r="AH162" s="136">
        <v>1658.8</v>
      </c>
      <c r="AI162" s="136"/>
      <c r="AJ162" s="136"/>
      <c r="AK162" s="136">
        <f t="shared" si="22"/>
        <v>947.8</v>
      </c>
      <c r="AL162" s="136">
        <f t="shared" si="23"/>
        <v>20</v>
      </c>
      <c r="AM162" s="136">
        <f t="shared" si="24"/>
        <v>0</v>
      </c>
      <c r="AN162" s="136">
        <f t="shared" si="25"/>
        <v>12</v>
      </c>
      <c r="AO162" s="136">
        <f t="shared" si="26"/>
        <v>359.6</v>
      </c>
      <c r="AP162" s="139">
        <f t="shared" si="27"/>
        <v>545</v>
      </c>
      <c r="AQ162" s="136">
        <f t="shared" si="30"/>
        <v>0</v>
      </c>
      <c r="AR162" s="136">
        <f t="shared" si="28"/>
        <v>172</v>
      </c>
      <c r="AS162" s="139">
        <f t="shared" si="29"/>
        <v>1009</v>
      </c>
      <c r="AT162" s="136"/>
      <c r="AU162" s="136">
        <f t="shared" si="31"/>
        <v>57.2</v>
      </c>
      <c r="AV162" s="225">
        <v>10664973</v>
      </c>
      <c r="AX162" s="136">
        <f>'2024 Legal Max'!AS163</f>
        <v>1643.1</v>
      </c>
      <c r="AY162" s="136">
        <f t="shared" si="32"/>
        <v>-15.7</v>
      </c>
      <c r="AZ162" s="139">
        <v>513325</v>
      </c>
      <c r="BA162" s="227"/>
      <c r="BB162" s="164">
        <v>0</v>
      </c>
      <c r="BC162" s="164">
        <v>20</v>
      </c>
    </row>
    <row r="163" spans="1:55">
      <c r="A163" s="216" t="s">
        <v>349</v>
      </c>
      <c r="B163" s="217"/>
      <c r="C163" s="218">
        <v>1772.7</v>
      </c>
      <c r="E163" s="218"/>
      <c r="F163" s="218">
        <v>0</v>
      </c>
      <c r="G163" s="219"/>
      <c r="H163" s="218"/>
      <c r="I163" s="218"/>
      <c r="J163" s="136"/>
      <c r="K163" s="139">
        <v>1785</v>
      </c>
      <c r="L163" s="136">
        <v>0</v>
      </c>
      <c r="M163" s="217">
        <v>0</v>
      </c>
      <c r="N163" s="136">
        <v>0</v>
      </c>
      <c r="O163" s="136">
        <v>0</v>
      </c>
      <c r="P163" s="218">
        <v>561</v>
      </c>
      <c r="Q163" s="136">
        <v>0</v>
      </c>
      <c r="R163" s="136">
        <v>15.1</v>
      </c>
      <c r="S163" s="136">
        <v>0</v>
      </c>
      <c r="T163" s="139">
        <v>14</v>
      </c>
      <c r="U163" s="217">
        <v>0</v>
      </c>
      <c r="V163" s="217">
        <v>601</v>
      </c>
      <c r="W163" s="217">
        <v>0</v>
      </c>
      <c r="X163" s="218">
        <v>0</v>
      </c>
      <c r="Y163" s="220">
        <v>736.2</v>
      </c>
      <c r="Z163" s="164">
        <v>0</v>
      </c>
      <c r="AA163" s="221">
        <v>22</v>
      </c>
      <c r="AB163" s="221">
        <v>0</v>
      </c>
      <c r="AC163" s="222">
        <v>0</v>
      </c>
      <c r="AD163" s="223">
        <v>0</v>
      </c>
      <c r="AE163" s="136"/>
      <c r="AF163" s="136">
        <v>0</v>
      </c>
      <c r="AG163" s="224">
        <v>1.5</v>
      </c>
      <c r="AH163" s="136">
        <v>2309.5</v>
      </c>
      <c r="AI163" s="136"/>
      <c r="AJ163" s="136"/>
      <c r="AK163" s="136">
        <f t="shared" si="22"/>
        <v>1772.7</v>
      </c>
      <c r="AL163" s="136">
        <f t="shared" si="23"/>
        <v>0</v>
      </c>
      <c r="AM163" s="136">
        <f t="shared" si="24"/>
        <v>15.1</v>
      </c>
      <c r="AN163" s="136">
        <f t="shared" si="25"/>
        <v>14</v>
      </c>
      <c r="AO163" s="136">
        <f t="shared" si="26"/>
        <v>561</v>
      </c>
      <c r="AP163" s="139">
        <f t="shared" si="27"/>
        <v>601</v>
      </c>
      <c r="AQ163" s="136">
        <f t="shared" si="30"/>
        <v>0</v>
      </c>
      <c r="AR163" s="136">
        <f t="shared" si="28"/>
        <v>736.2</v>
      </c>
      <c r="AS163" s="139">
        <f t="shared" si="29"/>
        <v>1785</v>
      </c>
      <c r="AT163" s="136"/>
      <c r="AU163" s="136">
        <f t="shared" si="31"/>
        <v>1.5</v>
      </c>
      <c r="AV163" s="225">
        <v>14831942</v>
      </c>
      <c r="AX163" s="136">
        <f>'2024 Legal Max'!AS164</f>
        <v>2306</v>
      </c>
      <c r="AY163" s="136">
        <f t="shared" si="32"/>
        <v>-3.5</v>
      </c>
      <c r="AZ163" s="139">
        <v>774569</v>
      </c>
      <c r="BB163" s="164">
        <v>0</v>
      </c>
      <c r="BC163" s="164">
        <v>0</v>
      </c>
    </row>
    <row r="164" spans="1:55">
      <c r="A164" s="216" t="s">
        <v>350</v>
      </c>
      <c r="B164" s="217"/>
      <c r="C164" s="218">
        <v>132</v>
      </c>
      <c r="E164" s="218"/>
      <c r="F164" s="218">
        <v>0</v>
      </c>
      <c r="G164" s="219"/>
      <c r="H164" s="218"/>
      <c r="I164" s="218"/>
      <c r="J164" s="136"/>
      <c r="K164" s="139">
        <v>140</v>
      </c>
      <c r="L164" s="136">
        <v>0</v>
      </c>
      <c r="M164" s="217">
        <v>0</v>
      </c>
      <c r="N164" s="136">
        <v>4</v>
      </c>
      <c r="O164" s="136">
        <v>0</v>
      </c>
      <c r="P164" s="218">
        <v>99.2</v>
      </c>
      <c r="Q164" s="136">
        <v>0</v>
      </c>
      <c r="R164" s="136">
        <v>0</v>
      </c>
      <c r="S164" s="136">
        <v>0</v>
      </c>
      <c r="T164" s="139">
        <v>0</v>
      </c>
      <c r="U164" s="217">
        <v>0</v>
      </c>
      <c r="V164" s="217">
        <v>60</v>
      </c>
      <c r="W164" s="217">
        <v>0</v>
      </c>
      <c r="X164" s="218">
        <v>0</v>
      </c>
      <c r="Y164" s="220">
        <v>26</v>
      </c>
      <c r="Z164" s="164">
        <v>0</v>
      </c>
      <c r="AA164" s="221">
        <v>0</v>
      </c>
      <c r="AB164" s="221">
        <v>0</v>
      </c>
      <c r="AC164" s="222">
        <v>0</v>
      </c>
      <c r="AD164" s="223">
        <v>0</v>
      </c>
      <c r="AE164" s="136"/>
      <c r="AF164" s="136">
        <v>3.3</v>
      </c>
      <c r="AG164" s="224">
        <v>3.6</v>
      </c>
      <c r="AH164" s="136">
        <v>371.6</v>
      </c>
      <c r="AI164" s="136"/>
      <c r="AJ164" s="136"/>
      <c r="AK164" s="136">
        <f t="shared" si="22"/>
        <v>132</v>
      </c>
      <c r="AL164" s="136">
        <f t="shared" si="23"/>
        <v>4</v>
      </c>
      <c r="AM164" s="136">
        <f t="shared" si="24"/>
        <v>0</v>
      </c>
      <c r="AN164" s="136">
        <f t="shared" si="25"/>
        <v>0</v>
      </c>
      <c r="AO164" s="136">
        <f t="shared" si="26"/>
        <v>99.2</v>
      </c>
      <c r="AP164" s="139">
        <f t="shared" si="27"/>
        <v>60</v>
      </c>
      <c r="AQ164" s="136">
        <f t="shared" si="30"/>
        <v>0</v>
      </c>
      <c r="AR164" s="136">
        <f t="shared" si="28"/>
        <v>26</v>
      </c>
      <c r="AS164" s="139">
        <f t="shared" si="29"/>
        <v>140</v>
      </c>
      <c r="AT164" s="136"/>
      <c r="AU164" s="136">
        <f t="shared" si="31"/>
        <v>3.6</v>
      </c>
      <c r="AV164" s="225">
        <v>2247370</v>
      </c>
      <c r="AX164" s="136">
        <f>'2024 Legal Max'!AS165</f>
        <v>368.8</v>
      </c>
      <c r="AY164" s="136">
        <f t="shared" si="32"/>
        <v>-2.8</v>
      </c>
      <c r="AZ164" s="139">
        <v>42415</v>
      </c>
      <c r="BB164" s="164">
        <v>0</v>
      </c>
      <c r="BC164" s="164">
        <v>4</v>
      </c>
    </row>
    <row r="165" spans="1:55">
      <c r="A165" s="216" t="s">
        <v>351</v>
      </c>
      <c r="B165" s="217"/>
      <c r="C165" s="218">
        <v>186.4</v>
      </c>
      <c r="E165" s="218"/>
      <c r="F165" s="218">
        <v>0</v>
      </c>
      <c r="G165" s="219"/>
      <c r="H165" s="218"/>
      <c r="I165" s="218"/>
      <c r="J165" s="136"/>
      <c r="K165" s="139">
        <v>192</v>
      </c>
      <c r="L165" s="136">
        <v>0</v>
      </c>
      <c r="M165" s="217">
        <v>0</v>
      </c>
      <c r="N165" s="136">
        <v>2.5</v>
      </c>
      <c r="O165" s="136">
        <v>0</v>
      </c>
      <c r="P165" s="218">
        <v>72.2</v>
      </c>
      <c r="Q165" s="136">
        <v>0</v>
      </c>
      <c r="R165" s="136">
        <v>77.3</v>
      </c>
      <c r="S165" s="136">
        <v>0</v>
      </c>
      <c r="T165" s="139">
        <v>23</v>
      </c>
      <c r="U165" s="217">
        <v>0</v>
      </c>
      <c r="V165" s="217">
        <v>50</v>
      </c>
      <c r="W165" s="217">
        <v>0</v>
      </c>
      <c r="X165" s="218">
        <v>0</v>
      </c>
      <c r="Y165" s="220">
        <v>63</v>
      </c>
      <c r="Z165" s="164">
        <v>0</v>
      </c>
      <c r="AA165" s="221">
        <v>0</v>
      </c>
      <c r="AB165" s="221">
        <v>0</v>
      </c>
      <c r="AC165" s="222">
        <v>0</v>
      </c>
      <c r="AD165" s="223">
        <v>0</v>
      </c>
      <c r="AE165" s="136"/>
      <c r="AF165" s="136">
        <v>0</v>
      </c>
      <c r="AG165" s="224">
        <v>0</v>
      </c>
      <c r="AH165" s="136">
        <v>393.2</v>
      </c>
      <c r="AI165" s="136"/>
      <c r="AJ165" s="136"/>
      <c r="AK165" s="136">
        <f t="shared" si="22"/>
        <v>186.4</v>
      </c>
      <c r="AL165" s="136">
        <f t="shared" si="23"/>
        <v>2.5</v>
      </c>
      <c r="AM165" s="136">
        <f t="shared" si="24"/>
        <v>77.3</v>
      </c>
      <c r="AN165" s="136">
        <f t="shared" si="25"/>
        <v>23</v>
      </c>
      <c r="AO165" s="136">
        <f t="shared" si="26"/>
        <v>72.2</v>
      </c>
      <c r="AP165" s="139">
        <f t="shared" si="27"/>
        <v>50</v>
      </c>
      <c r="AQ165" s="136">
        <f t="shared" si="30"/>
        <v>0</v>
      </c>
      <c r="AR165" s="136">
        <f t="shared" si="28"/>
        <v>63</v>
      </c>
      <c r="AS165" s="139">
        <f t="shared" si="29"/>
        <v>192</v>
      </c>
      <c r="AT165" s="136"/>
      <c r="AU165" s="136">
        <f t="shared" si="31"/>
        <v>0</v>
      </c>
      <c r="AV165" s="225">
        <v>2198016</v>
      </c>
      <c r="AX165" s="136">
        <f>'2024 Legal Max'!AS166</f>
        <v>388.3</v>
      </c>
      <c r="AY165" s="136">
        <f t="shared" si="32"/>
        <v>-4.9000000000000004</v>
      </c>
      <c r="AZ165" s="139">
        <v>102743</v>
      </c>
      <c r="BB165" s="164">
        <v>0</v>
      </c>
      <c r="BC165" s="164">
        <v>2.5</v>
      </c>
    </row>
    <row r="166" spans="1:55">
      <c r="A166" s="216" t="s">
        <v>352</v>
      </c>
      <c r="B166" s="217"/>
      <c r="C166" s="218">
        <v>664</v>
      </c>
      <c r="E166" s="218"/>
      <c r="F166" s="218">
        <v>0</v>
      </c>
      <c r="G166" s="219"/>
      <c r="H166" s="218"/>
      <c r="I166" s="218"/>
      <c r="J166" s="136"/>
      <c r="K166" s="139">
        <v>686</v>
      </c>
      <c r="L166" s="136">
        <v>0</v>
      </c>
      <c r="M166" s="217">
        <v>0</v>
      </c>
      <c r="N166" s="136">
        <v>9</v>
      </c>
      <c r="O166" s="136">
        <v>0</v>
      </c>
      <c r="P166" s="218">
        <v>98.9</v>
      </c>
      <c r="Q166" s="136">
        <v>0</v>
      </c>
      <c r="R166" s="136">
        <v>0</v>
      </c>
      <c r="S166" s="136">
        <v>0</v>
      </c>
      <c r="T166" s="139">
        <v>0</v>
      </c>
      <c r="U166" s="217">
        <v>0</v>
      </c>
      <c r="V166" s="217">
        <v>125</v>
      </c>
      <c r="W166" s="217">
        <v>0</v>
      </c>
      <c r="X166" s="218">
        <v>0</v>
      </c>
      <c r="Y166" s="220">
        <v>286</v>
      </c>
      <c r="Z166" s="164">
        <v>0</v>
      </c>
      <c r="AA166" s="221">
        <v>0</v>
      </c>
      <c r="AB166" s="221">
        <v>0</v>
      </c>
      <c r="AC166" s="222">
        <v>0</v>
      </c>
      <c r="AD166" s="223">
        <v>0</v>
      </c>
      <c r="AE166" s="136"/>
      <c r="AF166" s="136">
        <v>0</v>
      </c>
      <c r="AG166" s="224">
        <v>0</v>
      </c>
      <c r="AH166" s="136">
        <v>1059.5</v>
      </c>
      <c r="AI166" s="136"/>
      <c r="AJ166" s="136"/>
      <c r="AK166" s="136">
        <f t="shared" si="22"/>
        <v>664</v>
      </c>
      <c r="AL166" s="136">
        <f t="shared" si="23"/>
        <v>9</v>
      </c>
      <c r="AM166" s="136">
        <f t="shared" si="24"/>
        <v>0</v>
      </c>
      <c r="AN166" s="136">
        <f t="shared" si="25"/>
        <v>0</v>
      </c>
      <c r="AO166" s="136">
        <f t="shared" si="26"/>
        <v>98.9</v>
      </c>
      <c r="AP166" s="139">
        <f t="shared" si="27"/>
        <v>125</v>
      </c>
      <c r="AQ166" s="136">
        <f t="shared" si="30"/>
        <v>0</v>
      </c>
      <c r="AR166" s="136">
        <f t="shared" si="28"/>
        <v>286</v>
      </c>
      <c r="AS166" s="139">
        <f t="shared" si="29"/>
        <v>686</v>
      </c>
      <c r="AT166" s="136"/>
      <c r="AU166" s="136">
        <f t="shared" si="31"/>
        <v>0</v>
      </c>
      <c r="AV166" s="225">
        <v>6055980</v>
      </c>
      <c r="AX166" s="136">
        <f>'2024 Legal Max'!AS167</f>
        <v>1060.4000000000001</v>
      </c>
      <c r="AY166" s="136">
        <f t="shared" si="32"/>
        <v>0.9</v>
      </c>
      <c r="AZ166" s="139">
        <v>295617</v>
      </c>
      <c r="BB166" s="164">
        <v>0</v>
      </c>
      <c r="BC166" s="164">
        <v>9</v>
      </c>
    </row>
    <row r="167" spans="1:55">
      <c r="A167" s="216" t="s">
        <v>353</v>
      </c>
      <c r="B167" s="217"/>
      <c r="C167" s="218">
        <v>2894.8</v>
      </c>
      <c r="E167" s="218"/>
      <c r="F167" s="218">
        <v>0</v>
      </c>
      <c r="G167" s="219"/>
      <c r="H167" s="218"/>
      <c r="I167" s="218"/>
      <c r="J167" s="136"/>
      <c r="K167" s="139">
        <v>3141</v>
      </c>
      <c r="L167" s="136">
        <v>0</v>
      </c>
      <c r="M167" s="217">
        <v>0</v>
      </c>
      <c r="N167" s="136">
        <v>65.5</v>
      </c>
      <c r="O167" s="136">
        <v>0</v>
      </c>
      <c r="P167" s="218">
        <v>748.8</v>
      </c>
      <c r="Q167" s="136">
        <v>0</v>
      </c>
      <c r="R167" s="136">
        <v>241</v>
      </c>
      <c r="S167" s="136">
        <v>0</v>
      </c>
      <c r="T167" s="139">
        <v>121</v>
      </c>
      <c r="U167" s="217">
        <v>0</v>
      </c>
      <c r="V167" s="217">
        <v>1562</v>
      </c>
      <c r="W167" s="217">
        <v>0</v>
      </c>
      <c r="X167" s="218">
        <v>0</v>
      </c>
      <c r="Y167" s="220">
        <v>704</v>
      </c>
      <c r="Z167" s="164">
        <v>0</v>
      </c>
      <c r="AA167" s="221">
        <v>18</v>
      </c>
      <c r="AB167" s="221">
        <v>0</v>
      </c>
      <c r="AC167" s="222">
        <v>0</v>
      </c>
      <c r="AD167" s="223">
        <v>17</v>
      </c>
      <c r="AE167" s="136"/>
      <c r="AF167" s="136">
        <v>161.1</v>
      </c>
      <c r="AG167" s="224">
        <v>137.69999999999999</v>
      </c>
      <c r="AH167" s="136">
        <v>4323.3999999999996</v>
      </c>
      <c r="AI167" s="136"/>
      <c r="AJ167" s="136"/>
      <c r="AK167" s="136">
        <f t="shared" si="22"/>
        <v>2894.8</v>
      </c>
      <c r="AL167" s="136">
        <f t="shared" si="23"/>
        <v>65.5</v>
      </c>
      <c r="AM167" s="136">
        <f t="shared" si="24"/>
        <v>241</v>
      </c>
      <c r="AN167" s="136">
        <f t="shared" si="25"/>
        <v>121</v>
      </c>
      <c r="AO167" s="136">
        <f t="shared" si="26"/>
        <v>748.8</v>
      </c>
      <c r="AP167" s="139">
        <f t="shared" si="27"/>
        <v>1562</v>
      </c>
      <c r="AQ167" s="136">
        <f t="shared" si="30"/>
        <v>17</v>
      </c>
      <c r="AR167" s="136">
        <f t="shared" si="28"/>
        <v>704</v>
      </c>
      <c r="AS167" s="139">
        <f t="shared" si="29"/>
        <v>3141</v>
      </c>
      <c r="AT167" s="136"/>
      <c r="AU167" s="136">
        <f t="shared" si="31"/>
        <v>161.1</v>
      </c>
      <c r="AV167" s="225">
        <v>25542323</v>
      </c>
      <c r="AX167" s="136">
        <f>'2024 Legal Max'!AS168</f>
        <v>4291</v>
      </c>
      <c r="AY167" s="136">
        <f t="shared" si="32"/>
        <v>-32.4</v>
      </c>
      <c r="AZ167" s="139">
        <v>481351</v>
      </c>
      <c r="BA167" s="129" t="s">
        <v>3683</v>
      </c>
      <c r="BB167" s="164">
        <v>0</v>
      </c>
      <c r="BC167" s="164">
        <v>65.5</v>
      </c>
    </row>
    <row r="168" spans="1:55">
      <c r="A168" s="216" t="s">
        <v>354</v>
      </c>
      <c r="B168" s="217"/>
      <c r="C168" s="218">
        <v>352.2</v>
      </c>
      <c r="E168" s="218"/>
      <c r="F168" s="218">
        <v>0</v>
      </c>
      <c r="G168" s="219"/>
      <c r="H168" s="218"/>
      <c r="I168" s="218"/>
      <c r="J168" s="136"/>
      <c r="K168" s="139">
        <v>376</v>
      </c>
      <c r="L168" s="136">
        <v>0</v>
      </c>
      <c r="M168" s="217">
        <v>0</v>
      </c>
      <c r="N168" s="136">
        <v>10.5</v>
      </c>
      <c r="O168" s="136">
        <v>0</v>
      </c>
      <c r="P168" s="218">
        <v>99.8</v>
      </c>
      <c r="Q168" s="136">
        <v>0</v>
      </c>
      <c r="R168" s="136">
        <v>596</v>
      </c>
      <c r="S168" s="136">
        <v>0</v>
      </c>
      <c r="T168" s="139">
        <v>107</v>
      </c>
      <c r="U168" s="217">
        <v>0</v>
      </c>
      <c r="V168" s="217">
        <v>230</v>
      </c>
      <c r="W168" s="217">
        <v>0</v>
      </c>
      <c r="X168" s="218">
        <v>0</v>
      </c>
      <c r="Y168" s="220">
        <v>63</v>
      </c>
      <c r="Z168" s="164">
        <v>0</v>
      </c>
      <c r="AA168" s="221">
        <v>0</v>
      </c>
      <c r="AB168" s="221">
        <v>0</v>
      </c>
      <c r="AC168" s="222">
        <v>0</v>
      </c>
      <c r="AD168" s="223">
        <v>0</v>
      </c>
      <c r="AE168" s="136"/>
      <c r="AF168" s="136">
        <v>24.2</v>
      </c>
      <c r="AG168" s="224">
        <v>24.2</v>
      </c>
      <c r="AH168" s="136">
        <v>758.5</v>
      </c>
      <c r="AI168" s="136"/>
      <c r="AJ168" s="136"/>
      <c r="AK168" s="136">
        <f t="shared" si="22"/>
        <v>352.2</v>
      </c>
      <c r="AL168" s="136">
        <f t="shared" si="23"/>
        <v>10.5</v>
      </c>
      <c r="AM168" s="136">
        <f t="shared" si="24"/>
        <v>596</v>
      </c>
      <c r="AN168" s="136">
        <f t="shared" si="25"/>
        <v>107</v>
      </c>
      <c r="AO168" s="136">
        <f t="shared" si="26"/>
        <v>99.8</v>
      </c>
      <c r="AP168" s="139">
        <f t="shared" si="27"/>
        <v>230</v>
      </c>
      <c r="AQ168" s="136">
        <f t="shared" si="30"/>
        <v>0</v>
      </c>
      <c r="AR168" s="136">
        <f t="shared" si="28"/>
        <v>63</v>
      </c>
      <c r="AS168" s="139">
        <f t="shared" si="29"/>
        <v>376</v>
      </c>
      <c r="AT168" s="136"/>
      <c r="AU168" s="136">
        <f t="shared" si="31"/>
        <v>24.2</v>
      </c>
      <c r="AV168" s="225">
        <v>4149264</v>
      </c>
      <c r="AX168" s="136">
        <f>'2024 Legal Max'!AS169</f>
        <v>757.6</v>
      </c>
      <c r="AY168" s="136">
        <f t="shared" si="32"/>
        <v>-0.9</v>
      </c>
      <c r="AZ168" s="139">
        <v>167396</v>
      </c>
      <c r="BA168" s="129" t="s">
        <v>3557</v>
      </c>
      <c r="BB168" s="164">
        <v>0</v>
      </c>
      <c r="BC168" s="164">
        <v>10.5</v>
      </c>
    </row>
    <row r="169" spans="1:55">
      <c r="A169" s="216" t="s">
        <v>355</v>
      </c>
      <c r="B169" s="217"/>
      <c r="C169" s="218">
        <v>2003.4</v>
      </c>
      <c r="E169" s="218"/>
      <c r="F169" s="218">
        <v>0</v>
      </c>
      <c r="G169" s="219"/>
      <c r="H169" s="218"/>
      <c r="I169" s="218"/>
      <c r="J169" s="136"/>
      <c r="K169" s="139">
        <v>2057</v>
      </c>
      <c r="L169" s="136">
        <v>0</v>
      </c>
      <c r="M169" s="217">
        <v>0</v>
      </c>
      <c r="N169" s="136">
        <v>21.5</v>
      </c>
      <c r="O169" s="136">
        <v>0</v>
      </c>
      <c r="P169" s="218">
        <v>703.3</v>
      </c>
      <c r="Q169" s="136">
        <v>0</v>
      </c>
      <c r="R169" s="136">
        <v>48.8</v>
      </c>
      <c r="S169" s="136">
        <v>0</v>
      </c>
      <c r="T169" s="139">
        <v>40</v>
      </c>
      <c r="U169" s="217">
        <v>0</v>
      </c>
      <c r="V169" s="217">
        <v>628</v>
      </c>
      <c r="W169" s="217">
        <v>0</v>
      </c>
      <c r="X169" s="218">
        <v>0</v>
      </c>
      <c r="Y169" s="220">
        <v>294</v>
      </c>
      <c r="Z169" s="164">
        <v>0</v>
      </c>
      <c r="AA169" s="221">
        <v>12</v>
      </c>
      <c r="AB169" s="221">
        <v>2.1</v>
      </c>
      <c r="AC169" s="222">
        <v>0</v>
      </c>
      <c r="AD169" s="223">
        <v>0</v>
      </c>
      <c r="AE169" s="136"/>
      <c r="AF169" s="136">
        <v>0</v>
      </c>
      <c r="AG169" s="224">
        <v>12.4</v>
      </c>
      <c r="AH169" s="136">
        <v>2524.9</v>
      </c>
      <c r="AI169" s="136"/>
      <c r="AJ169" s="136"/>
      <c r="AK169" s="136">
        <f t="shared" si="22"/>
        <v>2003.4</v>
      </c>
      <c r="AL169" s="136">
        <f t="shared" si="23"/>
        <v>21.5</v>
      </c>
      <c r="AM169" s="136">
        <f t="shared" si="24"/>
        <v>48.8</v>
      </c>
      <c r="AN169" s="136">
        <f t="shared" si="25"/>
        <v>40</v>
      </c>
      <c r="AO169" s="136">
        <f t="shared" si="26"/>
        <v>703.3</v>
      </c>
      <c r="AP169" s="139">
        <f t="shared" si="27"/>
        <v>628</v>
      </c>
      <c r="AQ169" s="136">
        <f t="shared" si="30"/>
        <v>0</v>
      </c>
      <c r="AR169" s="136">
        <f t="shared" si="28"/>
        <v>294</v>
      </c>
      <c r="AS169" s="139">
        <f t="shared" si="29"/>
        <v>2057</v>
      </c>
      <c r="AT169" s="136"/>
      <c r="AU169" s="136">
        <f t="shared" si="31"/>
        <v>12.4</v>
      </c>
      <c r="AV169" s="225">
        <v>14452394</v>
      </c>
      <c r="AX169" s="136">
        <f>'2024 Legal Max'!AS170</f>
        <v>2516.8000000000002</v>
      </c>
      <c r="AY169" s="136">
        <f t="shared" si="32"/>
        <v>-8.1</v>
      </c>
      <c r="AZ169" s="139">
        <v>616551</v>
      </c>
      <c r="BB169" s="164">
        <v>0</v>
      </c>
      <c r="BC169" s="164">
        <v>21.5</v>
      </c>
    </row>
    <row r="170" spans="1:55">
      <c r="A170" s="216" t="s">
        <v>356</v>
      </c>
      <c r="B170" s="217"/>
      <c r="C170" s="218">
        <v>485</v>
      </c>
      <c r="E170" s="218"/>
      <c r="F170" s="218">
        <v>0</v>
      </c>
      <c r="G170" s="219"/>
      <c r="H170" s="218"/>
      <c r="I170" s="218"/>
      <c r="J170" s="136"/>
      <c r="K170" s="139">
        <v>497</v>
      </c>
      <c r="L170" s="136">
        <v>0</v>
      </c>
      <c r="M170" s="217">
        <v>0</v>
      </c>
      <c r="N170" s="136">
        <v>5</v>
      </c>
      <c r="O170" s="136">
        <v>0</v>
      </c>
      <c r="P170" s="218">
        <v>163.30000000000001</v>
      </c>
      <c r="Q170" s="136">
        <v>0</v>
      </c>
      <c r="R170" s="136">
        <v>2</v>
      </c>
      <c r="S170" s="136">
        <v>0</v>
      </c>
      <c r="T170" s="139">
        <v>3</v>
      </c>
      <c r="U170" s="217">
        <v>0</v>
      </c>
      <c r="V170" s="217">
        <v>160</v>
      </c>
      <c r="W170" s="217">
        <v>0</v>
      </c>
      <c r="X170" s="218">
        <v>0</v>
      </c>
      <c r="Y170" s="220">
        <v>83</v>
      </c>
      <c r="Z170" s="164">
        <v>0</v>
      </c>
      <c r="AA170" s="221">
        <v>0</v>
      </c>
      <c r="AB170" s="221">
        <v>0</v>
      </c>
      <c r="AC170" s="222">
        <v>0</v>
      </c>
      <c r="AD170" s="223">
        <v>0</v>
      </c>
      <c r="AE170" s="136"/>
      <c r="AF170" s="136">
        <v>0</v>
      </c>
      <c r="AG170" s="224">
        <v>0</v>
      </c>
      <c r="AH170" s="136">
        <v>787.1</v>
      </c>
      <c r="AI170" s="136"/>
      <c r="AJ170" s="136"/>
      <c r="AK170" s="136">
        <f t="shared" si="22"/>
        <v>485</v>
      </c>
      <c r="AL170" s="136">
        <f t="shared" si="23"/>
        <v>5</v>
      </c>
      <c r="AM170" s="136">
        <f t="shared" si="24"/>
        <v>2</v>
      </c>
      <c r="AN170" s="136">
        <f t="shared" si="25"/>
        <v>3</v>
      </c>
      <c r="AO170" s="136">
        <f t="shared" si="26"/>
        <v>163.30000000000001</v>
      </c>
      <c r="AP170" s="139">
        <f t="shared" si="27"/>
        <v>160</v>
      </c>
      <c r="AQ170" s="136">
        <f t="shared" si="30"/>
        <v>0</v>
      </c>
      <c r="AR170" s="136">
        <f t="shared" si="28"/>
        <v>83</v>
      </c>
      <c r="AS170" s="139">
        <f t="shared" si="29"/>
        <v>497</v>
      </c>
      <c r="AT170" s="136"/>
      <c r="AU170" s="136">
        <f t="shared" si="31"/>
        <v>0</v>
      </c>
      <c r="AV170" s="225">
        <v>4565462</v>
      </c>
      <c r="AX170" s="136">
        <f>'2024 Legal Max'!AS171</f>
        <v>771.9</v>
      </c>
      <c r="AY170" s="136">
        <f t="shared" si="32"/>
        <v>-15.2</v>
      </c>
      <c r="AZ170" s="139">
        <v>180821</v>
      </c>
      <c r="BB170" s="164">
        <v>0</v>
      </c>
      <c r="BC170" s="164">
        <v>5</v>
      </c>
    </row>
    <row r="171" spans="1:55">
      <c r="A171" s="216" t="s">
        <v>357</v>
      </c>
      <c r="B171" s="217"/>
      <c r="C171" s="218">
        <v>493</v>
      </c>
      <c r="E171" s="218"/>
      <c r="F171" s="218">
        <v>0</v>
      </c>
      <c r="G171" s="219"/>
      <c r="H171" s="218"/>
      <c r="I171" s="218"/>
      <c r="J171" s="136"/>
      <c r="K171" s="139">
        <v>505</v>
      </c>
      <c r="L171" s="136">
        <v>0</v>
      </c>
      <c r="M171" s="217">
        <v>0</v>
      </c>
      <c r="N171" s="136">
        <v>6</v>
      </c>
      <c r="O171" s="136">
        <v>0</v>
      </c>
      <c r="P171" s="218">
        <v>103.2</v>
      </c>
      <c r="Q171" s="136">
        <v>0</v>
      </c>
      <c r="R171" s="136">
        <v>0</v>
      </c>
      <c r="S171" s="136">
        <v>0</v>
      </c>
      <c r="T171" s="139">
        <v>1</v>
      </c>
      <c r="U171" s="217">
        <v>0</v>
      </c>
      <c r="V171" s="217">
        <v>211</v>
      </c>
      <c r="W171" s="217">
        <v>0</v>
      </c>
      <c r="X171" s="218">
        <v>0</v>
      </c>
      <c r="Y171" s="220">
        <v>296</v>
      </c>
      <c r="Z171" s="164">
        <v>0</v>
      </c>
      <c r="AA171" s="221">
        <v>2</v>
      </c>
      <c r="AB171" s="221">
        <v>0</v>
      </c>
      <c r="AC171" s="222">
        <v>0</v>
      </c>
      <c r="AD171" s="223">
        <v>0</v>
      </c>
      <c r="AE171" s="136"/>
      <c r="AF171" s="136">
        <v>10</v>
      </c>
      <c r="AG171" s="224">
        <v>10.8</v>
      </c>
      <c r="AH171" s="136">
        <v>893.4</v>
      </c>
      <c r="AI171" s="136"/>
      <c r="AJ171" s="136"/>
      <c r="AK171" s="136">
        <f t="shared" si="22"/>
        <v>493</v>
      </c>
      <c r="AL171" s="136">
        <f t="shared" si="23"/>
        <v>6</v>
      </c>
      <c r="AM171" s="136">
        <f t="shared" si="24"/>
        <v>0</v>
      </c>
      <c r="AN171" s="136">
        <f t="shared" si="25"/>
        <v>1</v>
      </c>
      <c r="AO171" s="136">
        <f t="shared" si="26"/>
        <v>103.2</v>
      </c>
      <c r="AP171" s="139">
        <f t="shared" si="27"/>
        <v>211</v>
      </c>
      <c r="AQ171" s="136">
        <f t="shared" si="30"/>
        <v>0</v>
      </c>
      <c r="AR171" s="136">
        <f t="shared" si="28"/>
        <v>296</v>
      </c>
      <c r="AS171" s="139">
        <f t="shared" si="29"/>
        <v>505</v>
      </c>
      <c r="AT171" s="136"/>
      <c r="AU171" s="136">
        <f t="shared" si="31"/>
        <v>10.8</v>
      </c>
      <c r="AV171" s="225">
        <v>5336301</v>
      </c>
      <c r="AX171" s="136">
        <f>'2024 Legal Max'!AS172</f>
        <v>894.5</v>
      </c>
      <c r="AY171" s="136">
        <f t="shared" si="32"/>
        <v>1.1000000000000001</v>
      </c>
      <c r="AZ171" s="139">
        <v>621744</v>
      </c>
      <c r="BB171" s="164">
        <v>0</v>
      </c>
      <c r="BC171" s="164">
        <v>6</v>
      </c>
    </row>
    <row r="172" spans="1:55">
      <c r="A172" s="216" t="s">
        <v>358</v>
      </c>
      <c r="B172" s="217"/>
      <c r="C172" s="218">
        <v>684.5</v>
      </c>
      <c r="E172" s="218"/>
      <c r="F172" s="218">
        <v>0</v>
      </c>
      <c r="G172" s="219"/>
      <c r="H172" s="218"/>
      <c r="I172" s="218"/>
      <c r="J172" s="136"/>
      <c r="K172" s="139">
        <v>695</v>
      </c>
      <c r="L172" s="136">
        <v>0</v>
      </c>
      <c r="M172" s="217">
        <v>0</v>
      </c>
      <c r="N172" s="136">
        <v>4</v>
      </c>
      <c r="O172" s="136">
        <v>0</v>
      </c>
      <c r="P172" s="218">
        <v>198.1</v>
      </c>
      <c r="Q172" s="136">
        <v>0</v>
      </c>
      <c r="R172" s="136">
        <v>0</v>
      </c>
      <c r="S172" s="136">
        <v>0</v>
      </c>
      <c r="T172" s="139">
        <v>0</v>
      </c>
      <c r="U172" s="217">
        <v>0</v>
      </c>
      <c r="V172" s="217">
        <v>143</v>
      </c>
      <c r="W172" s="217">
        <v>0</v>
      </c>
      <c r="X172" s="218">
        <v>0</v>
      </c>
      <c r="Y172" s="220">
        <v>427</v>
      </c>
      <c r="Z172" s="164">
        <v>0</v>
      </c>
      <c r="AA172" s="221">
        <v>0</v>
      </c>
      <c r="AB172" s="221">
        <v>0</v>
      </c>
      <c r="AC172" s="222">
        <v>0</v>
      </c>
      <c r="AD172" s="223">
        <v>0</v>
      </c>
      <c r="AE172" s="136"/>
      <c r="AF172" s="136">
        <v>0</v>
      </c>
      <c r="AG172" s="224">
        <v>0</v>
      </c>
      <c r="AH172" s="136">
        <v>1082.9000000000001</v>
      </c>
      <c r="AI172" s="136"/>
      <c r="AJ172" s="136"/>
      <c r="AK172" s="136">
        <f t="shared" si="22"/>
        <v>684.5</v>
      </c>
      <c r="AL172" s="136">
        <f t="shared" si="23"/>
        <v>4</v>
      </c>
      <c r="AM172" s="136">
        <f t="shared" si="24"/>
        <v>0</v>
      </c>
      <c r="AN172" s="136">
        <f t="shared" si="25"/>
        <v>0</v>
      </c>
      <c r="AO172" s="136">
        <f t="shared" si="26"/>
        <v>198.1</v>
      </c>
      <c r="AP172" s="139">
        <f t="shared" si="27"/>
        <v>143</v>
      </c>
      <c r="AQ172" s="136">
        <f t="shared" si="30"/>
        <v>0</v>
      </c>
      <c r="AR172" s="136">
        <f t="shared" si="28"/>
        <v>427</v>
      </c>
      <c r="AS172" s="139">
        <f t="shared" si="29"/>
        <v>695</v>
      </c>
      <c r="AT172" s="136"/>
      <c r="AU172" s="136">
        <f t="shared" si="31"/>
        <v>0</v>
      </c>
      <c r="AV172" s="225">
        <v>6344227</v>
      </c>
      <c r="AX172" s="136">
        <f>'2024 Legal Max'!AS173</f>
        <v>1072.3</v>
      </c>
      <c r="AY172" s="136">
        <f t="shared" si="32"/>
        <v>-10.6</v>
      </c>
      <c r="AZ172" s="139">
        <v>444593</v>
      </c>
      <c r="BB172" s="164">
        <v>0</v>
      </c>
      <c r="BC172" s="164">
        <v>4</v>
      </c>
    </row>
    <row r="173" spans="1:55">
      <c r="A173" s="216" t="s">
        <v>359</v>
      </c>
      <c r="B173" s="217"/>
      <c r="C173" s="218">
        <v>1284.5</v>
      </c>
      <c r="E173" s="218"/>
      <c r="F173" s="218">
        <v>0</v>
      </c>
      <c r="G173" s="219"/>
      <c r="H173" s="218"/>
      <c r="I173" s="218"/>
      <c r="J173" s="136"/>
      <c r="K173" s="139">
        <v>1320</v>
      </c>
      <c r="L173" s="136">
        <v>0</v>
      </c>
      <c r="M173" s="217">
        <v>0</v>
      </c>
      <c r="N173" s="136">
        <v>14.5</v>
      </c>
      <c r="O173" s="136">
        <v>0</v>
      </c>
      <c r="P173" s="218">
        <v>474.9</v>
      </c>
      <c r="Q173" s="136">
        <v>0</v>
      </c>
      <c r="R173" s="136">
        <v>0.3</v>
      </c>
      <c r="S173" s="136">
        <v>0</v>
      </c>
      <c r="T173" s="139">
        <v>5</v>
      </c>
      <c r="U173" s="217">
        <v>0</v>
      </c>
      <c r="V173" s="217">
        <v>496</v>
      </c>
      <c r="W173" s="217">
        <v>0</v>
      </c>
      <c r="X173" s="218">
        <v>0</v>
      </c>
      <c r="Y173" s="220">
        <v>341</v>
      </c>
      <c r="Z173" s="164">
        <v>0</v>
      </c>
      <c r="AA173" s="221">
        <v>0</v>
      </c>
      <c r="AB173" s="221">
        <v>0</v>
      </c>
      <c r="AC173" s="222">
        <v>0</v>
      </c>
      <c r="AD173" s="223">
        <v>0</v>
      </c>
      <c r="AE173" s="136"/>
      <c r="AF173" s="136">
        <v>9</v>
      </c>
      <c r="AG173" s="224">
        <v>16.2</v>
      </c>
      <c r="AH173" s="136">
        <v>1876.9</v>
      </c>
      <c r="AI173" s="136"/>
      <c r="AJ173" s="136"/>
      <c r="AK173" s="136">
        <f t="shared" si="22"/>
        <v>1284.5</v>
      </c>
      <c r="AL173" s="136">
        <f t="shared" si="23"/>
        <v>14.5</v>
      </c>
      <c r="AM173" s="136">
        <f t="shared" si="24"/>
        <v>0.3</v>
      </c>
      <c r="AN173" s="136">
        <f t="shared" si="25"/>
        <v>5</v>
      </c>
      <c r="AO173" s="136">
        <f t="shared" si="26"/>
        <v>474.9</v>
      </c>
      <c r="AP173" s="139">
        <f t="shared" si="27"/>
        <v>496</v>
      </c>
      <c r="AQ173" s="136">
        <f t="shared" si="30"/>
        <v>0</v>
      </c>
      <c r="AR173" s="136">
        <f t="shared" si="28"/>
        <v>341</v>
      </c>
      <c r="AS173" s="139">
        <f t="shared" si="29"/>
        <v>1320</v>
      </c>
      <c r="AT173" s="136"/>
      <c r="AU173" s="136">
        <f t="shared" si="31"/>
        <v>16.2</v>
      </c>
      <c r="AV173" s="225">
        <v>10960061</v>
      </c>
      <c r="AX173" s="136">
        <f>'2024 Legal Max'!AS174</f>
        <v>1870</v>
      </c>
      <c r="AY173" s="136">
        <f t="shared" si="32"/>
        <v>-6.9</v>
      </c>
      <c r="AZ173" s="139">
        <v>643207</v>
      </c>
      <c r="BB173" s="164">
        <v>0</v>
      </c>
      <c r="BC173" s="164">
        <v>14.5</v>
      </c>
    </row>
    <row r="174" spans="1:55">
      <c r="A174" s="216" t="s">
        <v>360</v>
      </c>
      <c r="B174" s="217"/>
      <c r="C174" s="218">
        <v>585.1</v>
      </c>
      <c r="E174" s="218"/>
      <c r="F174" s="218">
        <v>0</v>
      </c>
      <c r="G174" s="219"/>
      <c r="H174" s="218"/>
      <c r="I174" s="218"/>
      <c r="J174" s="136"/>
      <c r="K174" s="139">
        <v>633</v>
      </c>
      <c r="L174" s="136">
        <v>0</v>
      </c>
      <c r="M174" s="217">
        <v>0</v>
      </c>
      <c r="N174" s="136">
        <v>19.5</v>
      </c>
      <c r="O174" s="136">
        <v>0</v>
      </c>
      <c r="P174" s="218">
        <v>294.5</v>
      </c>
      <c r="Q174" s="136">
        <v>0</v>
      </c>
      <c r="R174" s="136">
        <v>0</v>
      </c>
      <c r="S174" s="136">
        <v>0</v>
      </c>
      <c r="T174" s="139">
        <v>2</v>
      </c>
      <c r="U174" s="217">
        <v>0</v>
      </c>
      <c r="V174" s="217">
        <v>141</v>
      </c>
      <c r="W174" s="217">
        <v>0</v>
      </c>
      <c r="X174" s="218">
        <v>0</v>
      </c>
      <c r="Y174" s="220">
        <v>322</v>
      </c>
      <c r="Z174" s="164">
        <v>0</v>
      </c>
      <c r="AA174" s="221">
        <v>0</v>
      </c>
      <c r="AB174" s="221">
        <v>0</v>
      </c>
      <c r="AC174" s="222">
        <v>0</v>
      </c>
      <c r="AD174" s="223">
        <v>0</v>
      </c>
      <c r="AE174" s="136"/>
      <c r="AF174" s="136">
        <v>0</v>
      </c>
      <c r="AG174" s="224">
        <v>0</v>
      </c>
      <c r="AH174" s="136">
        <v>1000.6</v>
      </c>
      <c r="AI174" s="136"/>
      <c r="AJ174" s="136"/>
      <c r="AK174" s="136">
        <f t="shared" si="22"/>
        <v>585.1</v>
      </c>
      <c r="AL174" s="136">
        <f t="shared" si="23"/>
        <v>19.5</v>
      </c>
      <c r="AM174" s="136">
        <f t="shared" si="24"/>
        <v>0</v>
      </c>
      <c r="AN174" s="136">
        <f t="shared" si="25"/>
        <v>2</v>
      </c>
      <c r="AO174" s="136">
        <f t="shared" si="26"/>
        <v>294.5</v>
      </c>
      <c r="AP174" s="139">
        <f t="shared" si="27"/>
        <v>141</v>
      </c>
      <c r="AQ174" s="136">
        <f t="shared" si="30"/>
        <v>0</v>
      </c>
      <c r="AR174" s="136">
        <f t="shared" si="28"/>
        <v>322</v>
      </c>
      <c r="AS174" s="139">
        <f t="shared" si="29"/>
        <v>633</v>
      </c>
      <c r="AT174" s="136"/>
      <c r="AU174" s="136">
        <f t="shared" si="31"/>
        <v>0</v>
      </c>
      <c r="AV174" s="225">
        <v>5562202</v>
      </c>
      <c r="AX174" s="136">
        <f>'2024 Legal Max'!AS175</f>
        <v>991.5</v>
      </c>
      <c r="AY174" s="136">
        <f t="shared" si="32"/>
        <v>-9.1</v>
      </c>
      <c r="AZ174" s="139">
        <v>439128</v>
      </c>
      <c r="BB174" s="164">
        <v>0</v>
      </c>
      <c r="BC174" s="164">
        <v>19.5</v>
      </c>
    </row>
    <row r="175" spans="1:55">
      <c r="A175" s="216" t="s">
        <v>361</v>
      </c>
      <c r="B175" s="217"/>
      <c r="C175" s="218">
        <v>337.5</v>
      </c>
      <c r="E175" s="218"/>
      <c r="F175" s="218">
        <v>0</v>
      </c>
      <c r="G175" s="219"/>
      <c r="H175" s="218"/>
      <c r="I175" s="218"/>
      <c r="J175" s="136"/>
      <c r="K175" s="139">
        <v>344</v>
      </c>
      <c r="L175" s="136">
        <v>0</v>
      </c>
      <c r="M175" s="217">
        <v>0</v>
      </c>
      <c r="N175" s="136">
        <v>1.5</v>
      </c>
      <c r="O175" s="136">
        <v>0</v>
      </c>
      <c r="P175" s="218">
        <v>85.8</v>
      </c>
      <c r="Q175" s="136">
        <v>0</v>
      </c>
      <c r="R175" s="136">
        <v>33.200000000000003</v>
      </c>
      <c r="S175" s="136">
        <v>0</v>
      </c>
      <c r="T175" s="139">
        <v>11</v>
      </c>
      <c r="U175" s="217">
        <v>0</v>
      </c>
      <c r="V175" s="217">
        <v>94</v>
      </c>
      <c r="W175" s="217">
        <v>0</v>
      </c>
      <c r="X175" s="218">
        <v>1</v>
      </c>
      <c r="Y175" s="220">
        <v>60</v>
      </c>
      <c r="Z175" s="164">
        <v>0</v>
      </c>
      <c r="AA175" s="221">
        <v>0</v>
      </c>
      <c r="AB175" s="221">
        <v>0</v>
      </c>
      <c r="AC175" s="222">
        <v>0</v>
      </c>
      <c r="AD175" s="223">
        <v>0</v>
      </c>
      <c r="AE175" s="136"/>
      <c r="AF175" s="136">
        <v>0</v>
      </c>
      <c r="AG175" s="224">
        <v>0</v>
      </c>
      <c r="AH175" s="136">
        <v>555.1</v>
      </c>
      <c r="AI175" s="136"/>
      <c r="AJ175" s="136"/>
      <c r="AK175" s="136">
        <f t="shared" si="22"/>
        <v>337.5</v>
      </c>
      <c r="AL175" s="136">
        <f t="shared" si="23"/>
        <v>1.5</v>
      </c>
      <c r="AM175" s="136">
        <f t="shared" si="24"/>
        <v>33.200000000000003</v>
      </c>
      <c r="AN175" s="136">
        <f t="shared" si="25"/>
        <v>11</v>
      </c>
      <c r="AO175" s="136">
        <f t="shared" si="26"/>
        <v>85.8</v>
      </c>
      <c r="AP175" s="139">
        <f t="shared" si="27"/>
        <v>94</v>
      </c>
      <c r="AQ175" s="136">
        <f t="shared" si="30"/>
        <v>0</v>
      </c>
      <c r="AR175" s="136">
        <f t="shared" si="28"/>
        <v>60</v>
      </c>
      <c r="AS175" s="139">
        <f t="shared" si="29"/>
        <v>344</v>
      </c>
      <c r="AT175" s="136"/>
      <c r="AU175" s="136">
        <f t="shared" si="31"/>
        <v>0</v>
      </c>
      <c r="AV175" s="225">
        <v>3076205</v>
      </c>
      <c r="AX175" s="136">
        <f>'2024 Legal Max'!AS176</f>
        <v>555.29999999999995</v>
      </c>
      <c r="AY175" s="136">
        <f t="shared" si="32"/>
        <v>0.2</v>
      </c>
      <c r="AZ175" s="139">
        <v>151464</v>
      </c>
      <c r="BB175" s="164">
        <v>0</v>
      </c>
      <c r="BC175" s="164">
        <v>1.5</v>
      </c>
    </row>
    <row r="176" spans="1:55">
      <c r="A176" s="216" t="s">
        <v>362</v>
      </c>
      <c r="B176" s="217"/>
      <c r="C176" s="218">
        <v>1146.5999999999999</v>
      </c>
      <c r="E176" s="218"/>
      <c r="F176" s="218">
        <v>0</v>
      </c>
      <c r="G176" s="219"/>
      <c r="H176" s="218"/>
      <c r="I176" s="218"/>
      <c r="J176" s="136"/>
      <c r="K176" s="139">
        <v>1196</v>
      </c>
      <c r="L176" s="136">
        <v>0</v>
      </c>
      <c r="M176" s="217">
        <v>0</v>
      </c>
      <c r="N176" s="136">
        <v>15.5</v>
      </c>
      <c r="O176" s="136">
        <v>0</v>
      </c>
      <c r="P176" s="218">
        <v>229</v>
      </c>
      <c r="Q176" s="136">
        <v>0</v>
      </c>
      <c r="R176" s="136">
        <v>243.2</v>
      </c>
      <c r="S176" s="136">
        <v>0</v>
      </c>
      <c r="T176" s="139">
        <v>53</v>
      </c>
      <c r="U176" s="217">
        <v>0</v>
      </c>
      <c r="V176" s="217">
        <v>521</v>
      </c>
      <c r="W176" s="217">
        <v>0</v>
      </c>
      <c r="X176" s="218">
        <v>0</v>
      </c>
      <c r="Y176" s="220">
        <v>136</v>
      </c>
      <c r="Z176" s="164">
        <v>0</v>
      </c>
      <c r="AA176" s="221">
        <v>13</v>
      </c>
      <c r="AB176" s="221">
        <v>0</v>
      </c>
      <c r="AC176" s="222">
        <v>0</v>
      </c>
      <c r="AD176" s="223">
        <v>0</v>
      </c>
      <c r="AE176" s="136"/>
      <c r="AF176" s="136">
        <v>31.2</v>
      </c>
      <c r="AG176" s="224">
        <v>32.200000000000003</v>
      </c>
      <c r="AH176" s="136">
        <v>1707.4</v>
      </c>
      <c r="AI176" s="136"/>
      <c r="AJ176" s="136"/>
      <c r="AK176" s="136">
        <f t="shared" si="22"/>
        <v>1146.5999999999999</v>
      </c>
      <c r="AL176" s="136">
        <f t="shared" si="23"/>
        <v>15.5</v>
      </c>
      <c r="AM176" s="136">
        <f t="shared" si="24"/>
        <v>243.2</v>
      </c>
      <c r="AN176" s="136">
        <f t="shared" si="25"/>
        <v>53</v>
      </c>
      <c r="AO176" s="136">
        <f t="shared" si="26"/>
        <v>229</v>
      </c>
      <c r="AP176" s="139">
        <f t="shared" si="27"/>
        <v>521</v>
      </c>
      <c r="AQ176" s="136">
        <f t="shared" si="30"/>
        <v>0</v>
      </c>
      <c r="AR176" s="136">
        <f t="shared" si="28"/>
        <v>136</v>
      </c>
      <c r="AS176" s="139">
        <f t="shared" si="29"/>
        <v>1196</v>
      </c>
      <c r="AT176" s="136"/>
      <c r="AU176" s="136">
        <f t="shared" si="31"/>
        <v>32.200000000000003</v>
      </c>
      <c r="AV176" s="225">
        <v>10326653</v>
      </c>
      <c r="AX176" s="136">
        <f>'2024 Legal Max'!AS177</f>
        <v>1697.9</v>
      </c>
      <c r="AY176" s="136">
        <f t="shared" si="32"/>
        <v>-9.5</v>
      </c>
      <c r="AZ176" s="139">
        <v>245123</v>
      </c>
      <c r="BB176" s="164">
        <v>0</v>
      </c>
      <c r="BC176" s="164">
        <v>15.5</v>
      </c>
    </row>
    <row r="177" spans="1:55">
      <c r="A177" s="216" t="s">
        <v>363</v>
      </c>
      <c r="B177" s="217"/>
      <c r="C177" s="218">
        <v>6618.1</v>
      </c>
      <c r="E177" s="218"/>
      <c r="F177" s="218">
        <v>70</v>
      </c>
      <c r="G177" s="219"/>
      <c r="H177" s="218"/>
      <c r="I177" s="218"/>
      <c r="J177" s="136"/>
      <c r="K177" s="139">
        <v>6885</v>
      </c>
      <c r="L177" s="136">
        <v>65</v>
      </c>
      <c r="M177" s="217">
        <v>65</v>
      </c>
      <c r="N177" s="136">
        <v>97</v>
      </c>
      <c r="O177" s="136">
        <v>3</v>
      </c>
      <c r="P177" s="218">
        <v>846.9</v>
      </c>
      <c r="Q177" s="136">
        <v>15</v>
      </c>
      <c r="R177" s="136">
        <v>1195.7</v>
      </c>
      <c r="S177" s="136">
        <v>12.5</v>
      </c>
      <c r="T177" s="139">
        <v>407</v>
      </c>
      <c r="U177" s="217">
        <v>10</v>
      </c>
      <c r="V177" s="217">
        <v>2612</v>
      </c>
      <c r="W177" s="217">
        <v>10</v>
      </c>
      <c r="X177" s="218">
        <v>1</v>
      </c>
      <c r="Y177" s="220">
        <v>2743</v>
      </c>
      <c r="Z177" s="164">
        <v>12</v>
      </c>
      <c r="AA177" s="221">
        <v>176</v>
      </c>
      <c r="AB177" s="221">
        <v>0</v>
      </c>
      <c r="AC177" s="222">
        <v>0</v>
      </c>
      <c r="AD177" s="223">
        <v>0</v>
      </c>
      <c r="AE177" s="136"/>
      <c r="AF177" s="136">
        <v>50.1</v>
      </c>
      <c r="AG177" s="224">
        <v>128.1</v>
      </c>
      <c r="AH177" s="136">
        <v>8823.5</v>
      </c>
      <c r="AI177" s="136"/>
      <c r="AJ177" s="136"/>
      <c r="AK177" s="136">
        <f t="shared" si="22"/>
        <v>6688.1</v>
      </c>
      <c r="AL177" s="136">
        <f t="shared" si="23"/>
        <v>100</v>
      </c>
      <c r="AM177" s="136">
        <f t="shared" si="24"/>
        <v>1208.2</v>
      </c>
      <c r="AN177" s="136">
        <f t="shared" si="25"/>
        <v>417</v>
      </c>
      <c r="AO177" s="136">
        <f t="shared" si="26"/>
        <v>861.9</v>
      </c>
      <c r="AP177" s="139">
        <f t="shared" si="27"/>
        <v>2622</v>
      </c>
      <c r="AQ177" s="136">
        <f t="shared" si="30"/>
        <v>0</v>
      </c>
      <c r="AR177" s="136">
        <f t="shared" si="28"/>
        <v>2755</v>
      </c>
      <c r="AS177" s="139">
        <f t="shared" si="29"/>
        <v>6950</v>
      </c>
      <c r="AT177" s="136"/>
      <c r="AU177" s="136">
        <f t="shared" si="31"/>
        <v>128.1</v>
      </c>
      <c r="AV177" s="225">
        <v>54044021</v>
      </c>
      <c r="AX177" s="136">
        <f>'2024 Legal Max'!AS178</f>
        <v>8804.9</v>
      </c>
      <c r="AY177" s="136">
        <f t="shared" si="32"/>
        <v>-18.600000000000001</v>
      </c>
      <c r="AZ177" s="139">
        <v>2609830</v>
      </c>
      <c r="BA177" s="129" t="s">
        <v>3558</v>
      </c>
      <c r="BB177" s="164">
        <v>0</v>
      </c>
      <c r="BC177" s="164">
        <v>97</v>
      </c>
    </row>
    <row r="178" spans="1:55">
      <c r="A178" s="216" t="s">
        <v>364</v>
      </c>
      <c r="B178" s="217"/>
      <c r="C178" s="218">
        <v>248</v>
      </c>
      <c r="E178" s="218"/>
      <c r="F178" s="218">
        <v>0</v>
      </c>
      <c r="G178" s="219"/>
      <c r="H178" s="218"/>
      <c r="I178" s="218"/>
      <c r="J178" s="136"/>
      <c r="K178" s="139">
        <v>258</v>
      </c>
      <c r="L178" s="136">
        <v>0</v>
      </c>
      <c r="M178" s="217">
        <v>0</v>
      </c>
      <c r="N178" s="136">
        <v>5</v>
      </c>
      <c r="O178" s="136">
        <v>0</v>
      </c>
      <c r="P178" s="218">
        <v>74.900000000000006</v>
      </c>
      <c r="Q178" s="136">
        <v>0</v>
      </c>
      <c r="R178" s="136">
        <v>0</v>
      </c>
      <c r="S178" s="136">
        <v>0</v>
      </c>
      <c r="T178" s="139">
        <v>0</v>
      </c>
      <c r="U178" s="217">
        <v>0</v>
      </c>
      <c r="V178" s="217">
        <v>43</v>
      </c>
      <c r="W178" s="217">
        <v>0</v>
      </c>
      <c r="X178" s="218">
        <v>0</v>
      </c>
      <c r="Y178" s="220">
        <v>190</v>
      </c>
      <c r="Z178" s="164">
        <v>0</v>
      </c>
      <c r="AA178" s="221">
        <v>0</v>
      </c>
      <c r="AB178" s="221">
        <v>0</v>
      </c>
      <c r="AC178" s="222">
        <v>0</v>
      </c>
      <c r="AD178" s="223">
        <v>0</v>
      </c>
      <c r="AE178" s="136"/>
      <c r="AF178" s="136">
        <v>0</v>
      </c>
      <c r="AG178" s="224">
        <v>0</v>
      </c>
      <c r="AH178" s="136">
        <v>478.6</v>
      </c>
      <c r="AI178" s="136"/>
      <c r="AJ178" s="136"/>
      <c r="AK178" s="136">
        <f t="shared" si="22"/>
        <v>248</v>
      </c>
      <c r="AL178" s="136">
        <f t="shared" si="23"/>
        <v>5</v>
      </c>
      <c r="AM178" s="136">
        <f t="shared" si="24"/>
        <v>0</v>
      </c>
      <c r="AN178" s="136">
        <f t="shared" si="25"/>
        <v>0</v>
      </c>
      <c r="AO178" s="136">
        <f t="shared" si="26"/>
        <v>74.900000000000006</v>
      </c>
      <c r="AP178" s="139">
        <f t="shared" si="27"/>
        <v>43</v>
      </c>
      <c r="AQ178" s="136">
        <f t="shared" si="30"/>
        <v>0</v>
      </c>
      <c r="AR178" s="136">
        <f t="shared" si="28"/>
        <v>190</v>
      </c>
      <c r="AS178" s="139">
        <f t="shared" si="29"/>
        <v>258</v>
      </c>
      <c r="AT178" s="136"/>
      <c r="AU178" s="136">
        <f t="shared" si="31"/>
        <v>0</v>
      </c>
      <c r="AV178" s="225">
        <v>2734291</v>
      </c>
      <c r="AX178" s="136">
        <f>'2024 Legal Max'!AS179</f>
        <v>477.5</v>
      </c>
      <c r="AY178" s="136">
        <f t="shared" si="32"/>
        <v>-1.1000000000000001</v>
      </c>
      <c r="AZ178" s="139">
        <v>144222</v>
      </c>
      <c r="BB178" s="164">
        <v>0</v>
      </c>
      <c r="BC178" s="164">
        <v>5</v>
      </c>
    </row>
    <row r="179" spans="1:55">
      <c r="A179" s="216" t="s">
        <v>365</v>
      </c>
      <c r="B179" s="217"/>
      <c r="C179" s="218">
        <v>5578.4</v>
      </c>
      <c r="E179" s="218"/>
      <c r="F179" s="218">
        <v>0</v>
      </c>
      <c r="G179" s="219"/>
      <c r="H179" s="218"/>
      <c r="I179" s="218"/>
      <c r="J179" s="136"/>
      <c r="K179" s="139">
        <v>5681</v>
      </c>
      <c r="L179" s="136">
        <v>0</v>
      </c>
      <c r="M179" s="217">
        <v>0</v>
      </c>
      <c r="N179" s="136">
        <v>38.5</v>
      </c>
      <c r="O179" s="136">
        <v>0</v>
      </c>
      <c r="P179" s="218">
        <v>1232.9000000000001</v>
      </c>
      <c r="Q179" s="136">
        <v>0</v>
      </c>
      <c r="R179" s="136">
        <v>251.1</v>
      </c>
      <c r="S179" s="136">
        <v>0</v>
      </c>
      <c r="T179" s="139">
        <v>122</v>
      </c>
      <c r="U179" s="217">
        <v>0</v>
      </c>
      <c r="V179" s="217">
        <v>1035</v>
      </c>
      <c r="W179" s="217">
        <v>0</v>
      </c>
      <c r="X179" s="218">
        <v>0</v>
      </c>
      <c r="Y179" s="220">
        <v>1770</v>
      </c>
      <c r="Z179" s="164">
        <v>0</v>
      </c>
      <c r="AA179" s="221">
        <v>357</v>
      </c>
      <c r="AB179" s="221">
        <v>656.1</v>
      </c>
      <c r="AC179" s="222">
        <v>17</v>
      </c>
      <c r="AD179" s="223">
        <v>1</v>
      </c>
      <c r="AE179" s="136"/>
      <c r="AF179" s="136">
        <v>0</v>
      </c>
      <c r="AG179" s="224">
        <v>0</v>
      </c>
      <c r="AH179" s="136">
        <v>6675.3</v>
      </c>
      <c r="AI179" s="136"/>
      <c r="AJ179" s="136"/>
      <c r="AK179" s="136">
        <f t="shared" si="22"/>
        <v>5578.4</v>
      </c>
      <c r="AL179" s="136">
        <f t="shared" si="23"/>
        <v>38.5</v>
      </c>
      <c r="AM179" s="136">
        <f t="shared" si="24"/>
        <v>251.1</v>
      </c>
      <c r="AN179" s="136">
        <f t="shared" si="25"/>
        <v>122</v>
      </c>
      <c r="AO179" s="136">
        <f t="shared" si="26"/>
        <v>1232.9000000000001</v>
      </c>
      <c r="AP179" s="139">
        <f t="shared" si="27"/>
        <v>1035</v>
      </c>
      <c r="AQ179" s="136">
        <f t="shared" si="30"/>
        <v>1</v>
      </c>
      <c r="AR179" s="136">
        <f t="shared" si="28"/>
        <v>1770</v>
      </c>
      <c r="AS179" s="139">
        <f t="shared" si="29"/>
        <v>5681</v>
      </c>
      <c r="AT179" s="136"/>
      <c r="AU179" s="136">
        <f t="shared" si="31"/>
        <v>0</v>
      </c>
      <c r="AV179" s="225">
        <v>44164734</v>
      </c>
      <c r="AX179" s="136">
        <f>'2024 Legal Max'!AS180</f>
        <v>6668.8</v>
      </c>
      <c r="AY179" s="136">
        <f t="shared" si="32"/>
        <v>-6.5</v>
      </c>
      <c r="AZ179" s="139">
        <v>2018853</v>
      </c>
      <c r="BB179" s="164">
        <v>0</v>
      </c>
      <c r="BC179" s="164">
        <v>38.5</v>
      </c>
    </row>
    <row r="180" spans="1:55">
      <c r="A180" s="216" t="s">
        <v>366</v>
      </c>
      <c r="B180" s="217"/>
      <c r="C180" s="218">
        <v>212.5</v>
      </c>
      <c r="E180" s="218"/>
      <c r="F180" s="218">
        <v>0</v>
      </c>
      <c r="G180" s="219"/>
      <c r="H180" s="218"/>
      <c r="I180" s="218"/>
      <c r="J180" s="136"/>
      <c r="K180" s="139">
        <v>215</v>
      </c>
      <c r="L180" s="136">
        <v>0</v>
      </c>
      <c r="M180" s="217">
        <v>0</v>
      </c>
      <c r="N180" s="136">
        <v>0</v>
      </c>
      <c r="O180" s="136">
        <v>0</v>
      </c>
      <c r="P180" s="218">
        <v>87.2</v>
      </c>
      <c r="Q180" s="136">
        <v>0</v>
      </c>
      <c r="R180" s="136">
        <v>1.3</v>
      </c>
      <c r="S180" s="136">
        <v>0</v>
      </c>
      <c r="T180" s="139">
        <v>1</v>
      </c>
      <c r="U180" s="217">
        <v>0</v>
      </c>
      <c r="V180" s="217">
        <v>81</v>
      </c>
      <c r="W180" s="217">
        <v>0</v>
      </c>
      <c r="X180" s="218">
        <v>0</v>
      </c>
      <c r="Y180" s="220">
        <v>58.5</v>
      </c>
      <c r="Z180" s="164">
        <v>0</v>
      </c>
      <c r="AA180" s="221">
        <v>1</v>
      </c>
      <c r="AB180" s="221">
        <v>0</v>
      </c>
      <c r="AC180" s="222">
        <v>0</v>
      </c>
      <c r="AD180" s="223">
        <v>0</v>
      </c>
      <c r="AE180" s="136"/>
      <c r="AF180" s="136">
        <v>1.5</v>
      </c>
      <c r="AG180" s="224">
        <v>1.9</v>
      </c>
      <c r="AH180" s="136">
        <v>443.2</v>
      </c>
      <c r="AI180" s="136"/>
      <c r="AJ180" s="136"/>
      <c r="AK180" s="136">
        <f t="shared" si="22"/>
        <v>212.5</v>
      </c>
      <c r="AL180" s="136">
        <f t="shared" si="23"/>
        <v>0</v>
      </c>
      <c r="AM180" s="136">
        <f t="shared" si="24"/>
        <v>1.3</v>
      </c>
      <c r="AN180" s="136">
        <f t="shared" si="25"/>
        <v>1</v>
      </c>
      <c r="AO180" s="136">
        <f t="shared" si="26"/>
        <v>87.2</v>
      </c>
      <c r="AP180" s="139">
        <f t="shared" si="27"/>
        <v>81</v>
      </c>
      <c r="AQ180" s="136">
        <f t="shared" si="30"/>
        <v>0</v>
      </c>
      <c r="AR180" s="136">
        <f t="shared" si="28"/>
        <v>58.5</v>
      </c>
      <c r="AS180" s="139">
        <f t="shared" si="29"/>
        <v>215</v>
      </c>
      <c r="AT180" s="136"/>
      <c r="AU180" s="136">
        <f t="shared" si="31"/>
        <v>1.9</v>
      </c>
      <c r="AV180" s="225">
        <v>2898637</v>
      </c>
      <c r="AX180" s="136">
        <f>'2024 Legal Max'!AS181</f>
        <v>448.2</v>
      </c>
      <c r="AY180" s="136">
        <f t="shared" si="32"/>
        <v>5</v>
      </c>
      <c r="AZ180" s="139">
        <v>224643</v>
      </c>
      <c r="BB180" s="164">
        <v>0</v>
      </c>
      <c r="BC180" s="164">
        <v>0</v>
      </c>
    </row>
    <row r="181" spans="1:55">
      <c r="A181" s="216" t="s">
        <v>367</v>
      </c>
      <c r="B181" s="217"/>
      <c r="C181" s="218">
        <v>138</v>
      </c>
      <c r="E181" s="218"/>
      <c r="F181" s="218">
        <v>0</v>
      </c>
      <c r="G181" s="219"/>
      <c r="H181" s="218"/>
      <c r="I181" s="218"/>
      <c r="J181" s="136"/>
      <c r="K181" s="139">
        <v>147</v>
      </c>
      <c r="L181" s="136">
        <v>0</v>
      </c>
      <c r="M181" s="217">
        <v>0</v>
      </c>
      <c r="N181" s="136">
        <v>4.5</v>
      </c>
      <c r="O181" s="136">
        <v>0</v>
      </c>
      <c r="P181" s="218">
        <v>50.9</v>
      </c>
      <c r="Q181" s="136">
        <v>0</v>
      </c>
      <c r="R181" s="136">
        <v>0</v>
      </c>
      <c r="S181" s="136">
        <v>0</v>
      </c>
      <c r="T181" s="139">
        <v>0</v>
      </c>
      <c r="U181" s="217">
        <v>0</v>
      </c>
      <c r="V181" s="217">
        <v>95</v>
      </c>
      <c r="W181" s="217">
        <v>0</v>
      </c>
      <c r="X181" s="218">
        <v>0</v>
      </c>
      <c r="Y181" s="220">
        <v>107.5</v>
      </c>
      <c r="Z181" s="164">
        <v>0</v>
      </c>
      <c r="AA181" s="221">
        <v>0</v>
      </c>
      <c r="AB181" s="221">
        <v>0</v>
      </c>
      <c r="AC181" s="222">
        <v>0</v>
      </c>
      <c r="AD181" s="223">
        <v>0</v>
      </c>
      <c r="AE181" s="136"/>
      <c r="AF181" s="136">
        <v>10</v>
      </c>
      <c r="AG181" s="224">
        <v>9.9</v>
      </c>
      <c r="AH181" s="136">
        <v>376.7</v>
      </c>
      <c r="AI181" s="136"/>
      <c r="AJ181" s="136"/>
      <c r="AK181" s="136">
        <f t="shared" si="22"/>
        <v>138</v>
      </c>
      <c r="AL181" s="136">
        <f t="shared" si="23"/>
        <v>4.5</v>
      </c>
      <c r="AM181" s="136">
        <f t="shared" si="24"/>
        <v>0</v>
      </c>
      <c r="AN181" s="136">
        <f t="shared" si="25"/>
        <v>0</v>
      </c>
      <c r="AO181" s="136">
        <f t="shared" si="26"/>
        <v>50.9</v>
      </c>
      <c r="AP181" s="139">
        <f t="shared" si="27"/>
        <v>95</v>
      </c>
      <c r="AQ181" s="136">
        <f t="shared" si="30"/>
        <v>0</v>
      </c>
      <c r="AR181" s="136">
        <f t="shared" si="28"/>
        <v>107.5</v>
      </c>
      <c r="AS181" s="139">
        <f t="shared" si="29"/>
        <v>147</v>
      </c>
      <c r="AT181" s="136"/>
      <c r="AU181" s="136">
        <f t="shared" si="31"/>
        <v>10</v>
      </c>
      <c r="AV181" s="225">
        <v>2120678</v>
      </c>
      <c r="AX181" s="136">
        <f>'2024 Legal Max'!AS182</f>
        <v>374.1</v>
      </c>
      <c r="AY181" s="136">
        <f t="shared" si="32"/>
        <v>-2.6</v>
      </c>
      <c r="AZ181" s="139">
        <v>127604</v>
      </c>
      <c r="BB181" s="164">
        <v>0</v>
      </c>
      <c r="BC181" s="164">
        <v>4.5</v>
      </c>
    </row>
    <row r="182" spans="1:55">
      <c r="A182" s="216" t="s">
        <v>368</v>
      </c>
      <c r="B182" s="217"/>
      <c r="C182" s="218">
        <v>331.6</v>
      </c>
      <c r="E182" s="218"/>
      <c r="F182" s="218">
        <v>0</v>
      </c>
      <c r="G182" s="219"/>
      <c r="H182" s="218"/>
      <c r="I182" s="218"/>
      <c r="J182" s="136"/>
      <c r="K182" s="139">
        <v>384</v>
      </c>
      <c r="L182" s="136">
        <v>0</v>
      </c>
      <c r="M182" s="217">
        <v>0</v>
      </c>
      <c r="N182" s="136">
        <v>3</v>
      </c>
      <c r="O182" s="136">
        <v>0</v>
      </c>
      <c r="P182" s="218">
        <v>179.7</v>
      </c>
      <c r="Q182" s="136">
        <v>0</v>
      </c>
      <c r="R182" s="136">
        <v>0</v>
      </c>
      <c r="S182" s="136">
        <v>0</v>
      </c>
      <c r="T182" s="139">
        <v>0</v>
      </c>
      <c r="U182" s="217">
        <v>0</v>
      </c>
      <c r="V182" s="217">
        <v>95</v>
      </c>
      <c r="W182" s="217">
        <v>0</v>
      </c>
      <c r="X182" s="218">
        <v>0</v>
      </c>
      <c r="Y182" s="220">
        <v>29</v>
      </c>
      <c r="Z182" s="164">
        <v>0</v>
      </c>
      <c r="AA182" s="221">
        <v>0</v>
      </c>
      <c r="AB182" s="221">
        <v>0</v>
      </c>
      <c r="AC182" s="222">
        <v>0</v>
      </c>
      <c r="AD182" s="223">
        <v>0</v>
      </c>
      <c r="AE182" s="136"/>
      <c r="AF182" s="136">
        <v>0</v>
      </c>
      <c r="AG182" s="224">
        <v>0</v>
      </c>
      <c r="AH182" s="136">
        <v>566.1</v>
      </c>
      <c r="AI182" s="136"/>
      <c r="AJ182" s="136"/>
      <c r="AK182" s="136">
        <f t="shared" si="22"/>
        <v>331.6</v>
      </c>
      <c r="AL182" s="136">
        <f t="shared" si="23"/>
        <v>3</v>
      </c>
      <c r="AM182" s="136">
        <f t="shared" si="24"/>
        <v>0</v>
      </c>
      <c r="AN182" s="136">
        <f t="shared" si="25"/>
        <v>0</v>
      </c>
      <c r="AO182" s="136">
        <f t="shared" si="26"/>
        <v>179.7</v>
      </c>
      <c r="AP182" s="139">
        <f t="shared" si="27"/>
        <v>95</v>
      </c>
      <c r="AQ182" s="136">
        <f t="shared" si="30"/>
        <v>0</v>
      </c>
      <c r="AR182" s="136">
        <f t="shared" si="28"/>
        <v>29</v>
      </c>
      <c r="AS182" s="139">
        <f t="shared" si="29"/>
        <v>384</v>
      </c>
      <c r="AT182" s="136"/>
      <c r="AU182" s="136">
        <f t="shared" si="31"/>
        <v>0</v>
      </c>
      <c r="AV182" s="225">
        <v>3285322</v>
      </c>
      <c r="AX182" s="136">
        <f>'2024 Legal Max'!AS183</f>
        <v>563.70000000000005</v>
      </c>
      <c r="AY182" s="136">
        <f t="shared" si="32"/>
        <v>-2.4</v>
      </c>
      <c r="AZ182" s="139">
        <v>110514</v>
      </c>
      <c r="BA182" s="129" t="s">
        <v>3683</v>
      </c>
      <c r="BB182" s="164">
        <v>0</v>
      </c>
      <c r="BC182" s="164">
        <v>3</v>
      </c>
    </row>
    <row r="183" spans="1:55">
      <c r="A183" s="216" t="s">
        <v>369</v>
      </c>
      <c r="B183" s="217"/>
      <c r="C183" s="218">
        <v>525.5</v>
      </c>
      <c r="E183" s="218"/>
      <c r="F183" s="218">
        <v>0</v>
      </c>
      <c r="G183" s="219"/>
      <c r="H183" s="218"/>
      <c r="I183" s="218"/>
      <c r="J183" s="136"/>
      <c r="K183" s="139">
        <v>552</v>
      </c>
      <c r="L183" s="136">
        <v>0</v>
      </c>
      <c r="M183" s="217">
        <v>0</v>
      </c>
      <c r="N183" s="136">
        <v>9</v>
      </c>
      <c r="O183" s="136">
        <v>0</v>
      </c>
      <c r="P183" s="218">
        <v>147.19999999999999</v>
      </c>
      <c r="Q183" s="136">
        <v>0</v>
      </c>
      <c r="R183" s="136">
        <v>0</v>
      </c>
      <c r="S183" s="136">
        <v>0</v>
      </c>
      <c r="T183" s="139">
        <v>0</v>
      </c>
      <c r="U183" s="217">
        <v>0</v>
      </c>
      <c r="V183" s="217">
        <v>336</v>
      </c>
      <c r="W183" s="217">
        <v>0</v>
      </c>
      <c r="X183" s="218">
        <v>0</v>
      </c>
      <c r="Y183" s="220">
        <v>138</v>
      </c>
      <c r="Z183" s="164">
        <v>0</v>
      </c>
      <c r="AA183" s="221">
        <v>0</v>
      </c>
      <c r="AB183" s="221">
        <v>0.7</v>
      </c>
      <c r="AC183" s="222">
        <v>0</v>
      </c>
      <c r="AD183" s="223">
        <v>0</v>
      </c>
      <c r="AE183" s="136"/>
      <c r="AF183" s="136">
        <v>35.299999999999997</v>
      </c>
      <c r="AG183" s="224">
        <v>35.299999999999997</v>
      </c>
      <c r="AH183" s="136">
        <v>1051.3</v>
      </c>
      <c r="AI183" s="136"/>
      <c r="AJ183" s="136"/>
      <c r="AK183" s="136">
        <f t="shared" si="22"/>
        <v>525.5</v>
      </c>
      <c r="AL183" s="136">
        <f t="shared" si="23"/>
        <v>9</v>
      </c>
      <c r="AM183" s="136">
        <f t="shared" si="24"/>
        <v>0</v>
      </c>
      <c r="AN183" s="136">
        <f t="shared" si="25"/>
        <v>0</v>
      </c>
      <c r="AO183" s="136">
        <f t="shared" si="26"/>
        <v>147.19999999999999</v>
      </c>
      <c r="AP183" s="139">
        <f t="shared" si="27"/>
        <v>336</v>
      </c>
      <c r="AQ183" s="136">
        <f t="shared" si="30"/>
        <v>0</v>
      </c>
      <c r="AR183" s="136">
        <f t="shared" si="28"/>
        <v>138</v>
      </c>
      <c r="AS183" s="139">
        <f t="shared" si="29"/>
        <v>552</v>
      </c>
      <c r="AT183" s="136"/>
      <c r="AU183" s="136">
        <f t="shared" si="31"/>
        <v>35.299999999999997</v>
      </c>
      <c r="AV183" s="225">
        <v>5951935</v>
      </c>
      <c r="AX183" s="136">
        <f>'2024 Legal Max'!AS184</f>
        <v>1041.9000000000001</v>
      </c>
      <c r="AY183" s="136">
        <f t="shared" si="32"/>
        <v>-9.4</v>
      </c>
      <c r="AZ183" s="139">
        <v>274443</v>
      </c>
      <c r="BB183" s="164">
        <v>0</v>
      </c>
      <c r="BC183" s="164">
        <v>9</v>
      </c>
    </row>
    <row r="184" spans="1:55">
      <c r="A184" s="216" t="s">
        <v>370</v>
      </c>
      <c r="B184" s="217"/>
      <c r="C184" s="218">
        <v>87</v>
      </c>
      <c r="E184" s="218"/>
      <c r="F184" s="218">
        <v>0</v>
      </c>
      <c r="G184" s="219"/>
      <c r="H184" s="218"/>
      <c r="I184" s="218"/>
      <c r="J184" s="136"/>
      <c r="K184" s="139">
        <v>88</v>
      </c>
      <c r="L184" s="136">
        <v>0</v>
      </c>
      <c r="M184" s="217">
        <v>0</v>
      </c>
      <c r="N184" s="136">
        <v>0.5</v>
      </c>
      <c r="O184" s="136">
        <v>0</v>
      </c>
      <c r="P184" s="218">
        <v>0</v>
      </c>
      <c r="Q184" s="136">
        <v>0</v>
      </c>
      <c r="R184" s="136">
        <v>0</v>
      </c>
      <c r="S184" s="136">
        <v>0</v>
      </c>
      <c r="T184" s="139">
        <v>0</v>
      </c>
      <c r="U184" s="217">
        <v>0</v>
      </c>
      <c r="V184" s="217">
        <v>50</v>
      </c>
      <c r="W184" s="217">
        <v>0</v>
      </c>
      <c r="X184" s="218">
        <v>0</v>
      </c>
      <c r="Y184" s="220">
        <v>10</v>
      </c>
      <c r="Z184" s="164">
        <v>0</v>
      </c>
      <c r="AA184" s="221">
        <v>0</v>
      </c>
      <c r="AB184" s="221">
        <v>0</v>
      </c>
      <c r="AC184" s="222">
        <v>0</v>
      </c>
      <c r="AD184" s="223">
        <v>0</v>
      </c>
      <c r="AE184" s="136"/>
      <c r="AF184" s="136">
        <v>5.3</v>
      </c>
      <c r="AG184" s="224">
        <v>5.3</v>
      </c>
      <c r="AH184" s="136">
        <v>233.8</v>
      </c>
      <c r="AI184" s="136"/>
      <c r="AJ184" s="136"/>
      <c r="AK184" s="136">
        <f t="shared" si="22"/>
        <v>87</v>
      </c>
      <c r="AL184" s="136">
        <f t="shared" si="23"/>
        <v>0.5</v>
      </c>
      <c r="AM184" s="136">
        <f t="shared" si="24"/>
        <v>0</v>
      </c>
      <c r="AN184" s="136">
        <f t="shared" si="25"/>
        <v>0</v>
      </c>
      <c r="AO184" s="136">
        <f t="shared" si="26"/>
        <v>0</v>
      </c>
      <c r="AP184" s="139">
        <f t="shared" si="27"/>
        <v>50</v>
      </c>
      <c r="AQ184" s="136">
        <f t="shared" si="30"/>
        <v>0</v>
      </c>
      <c r="AR184" s="136">
        <f t="shared" si="28"/>
        <v>10</v>
      </c>
      <c r="AS184" s="139">
        <f t="shared" si="29"/>
        <v>88</v>
      </c>
      <c r="AT184" s="136"/>
      <c r="AU184" s="136">
        <f t="shared" si="31"/>
        <v>5.3</v>
      </c>
      <c r="AV184" s="225">
        <v>1482134</v>
      </c>
      <c r="AX184" s="136">
        <f>'2024 Legal Max'!AS185</f>
        <v>233.8</v>
      </c>
      <c r="AY184" s="136">
        <f t="shared" si="32"/>
        <v>0</v>
      </c>
      <c r="AZ184" s="139">
        <v>71393</v>
      </c>
      <c r="BB184" s="164">
        <v>0</v>
      </c>
      <c r="BC184" s="164">
        <v>0.5</v>
      </c>
    </row>
    <row r="185" spans="1:55">
      <c r="A185" s="216" t="s">
        <v>371</v>
      </c>
      <c r="B185" s="217"/>
      <c r="C185" s="218">
        <v>308.60000000000002</v>
      </c>
      <c r="E185" s="218"/>
      <c r="F185" s="218">
        <v>0</v>
      </c>
      <c r="G185" s="219"/>
      <c r="H185" s="218"/>
      <c r="I185" s="218"/>
      <c r="J185" s="136"/>
      <c r="K185" s="139">
        <v>337</v>
      </c>
      <c r="L185" s="136">
        <v>0</v>
      </c>
      <c r="M185" s="217">
        <v>0</v>
      </c>
      <c r="N185" s="136">
        <v>12</v>
      </c>
      <c r="O185" s="136">
        <v>0</v>
      </c>
      <c r="P185" s="218">
        <v>108.3</v>
      </c>
      <c r="Q185" s="136">
        <v>0</v>
      </c>
      <c r="R185" s="136">
        <v>0.8</v>
      </c>
      <c r="S185" s="136">
        <v>0</v>
      </c>
      <c r="T185" s="139">
        <v>2</v>
      </c>
      <c r="U185" s="217">
        <v>0</v>
      </c>
      <c r="V185" s="217">
        <v>126</v>
      </c>
      <c r="W185" s="217">
        <v>0</v>
      </c>
      <c r="X185" s="218">
        <v>0</v>
      </c>
      <c r="Y185" s="220">
        <v>101.5</v>
      </c>
      <c r="Z185" s="164">
        <v>0</v>
      </c>
      <c r="AA185" s="221">
        <v>0</v>
      </c>
      <c r="AB185" s="221">
        <v>0</v>
      </c>
      <c r="AC185" s="222">
        <v>0</v>
      </c>
      <c r="AD185" s="223">
        <v>0</v>
      </c>
      <c r="AE185" s="136"/>
      <c r="AF185" s="136">
        <v>2.1</v>
      </c>
      <c r="AG185" s="224">
        <v>3.8</v>
      </c>
      <c r="AH185" s="136">
        <v>604.70000000000005</v>
      </c>
      <c r="AI185" s="136"/>
      <c r="AJ185" s="136"/>
      <c r="AK185" s="136">
        <f t="shared" si="22"/>
        <v>308.60000000000002</v>
      </c>
      <c r="AL185" s="136">
        <f t="shared" si="23"/>
        <v>12</v>
      </c>
      <c r="AM185" s="136">
        <f t="shared" si="24"/>
        <v>0.8</v>
      </c>
      <c r="AN185" s="136">
        <f t="shared" si="25"/>
        <v>2</v>
      </c>
      <c r="AO185" s="136">
        <f t="shared" si="26"/>
        <v>108.3</v>
      </c>
      <c r="AP185" s="139">
        <f t="shared" si="27"/>
        <v>126</v>
      </c>
      <c r="AQ185" s="136">
        <f t="shared" si="30"/>
        <v>0</v>
      </c>
      <c r="AR185" s="136">
        <f t="shared" si="28"/>
        <v>101.5</v>
      </c>
      <c r="AS185" s="139">
        <f t="shared" si="29"/>
        <v>337</v>
      </c>
      <c r="AT185" s="136"/>
      <c r="AU185" s="136">
        <f t="shared" si="31"/>
        <v>3.8</v>
      </c>
      <c r="AV185" s="225">
        <v>3464419</v>
      </c>
      <c r="AX185" s="136">
        <f>'2024 Legal Max'!AS186</f>
        <v>607.6</v>
      </c>
      <c r="AY185" s="136">
        <f t="shared" si="32"/>
        <v>2.9</v>
      </c>
      <c r="AZ185" s="139">
        <v>137442</v>
      </c>
      <c r="BB185" s="164">
        <v>0</v>
      </c>
      <c r="BC185" s="164">
        <v>12</v>
      </c>
    </row>
    <row r="186" spans="1:55">
      <c r="A186" s="216" t="s">
        <v>372</v>
      </c>
      <c r="B186" s="217"/>
      <c r="C186" s="218">
        <v>354.5</v>
      </c>
      <c r="E186" s="218"/>
      <c r="F186" s="218">
        <v>0</v>
      </c>
      <c r="G186" s="219"/>
      <c r="H186" s="218"/>
      <c r="I186" s="218"/>
      <c r="J186" s="136"/>
      <c r="K186" s="139">
        <v>368</v>
      </c>
      <c r="L186" s="136">
        <v>0</v>
      </c>
      <c r="M186" s="217">
        <v>0</v>
      </c>
      <c r="N186" s="136">
        <v>5</v>
      </c>
      <c r="O186" s="136">
        <v>0</v>
      </c>
      <c r="P186" s="218">
        <v>108.4</v>
      </c>
      <c r="Q186" s="136">
        <v>0</v>
      </c>
      <c r="R186" s="136">
        <v>0</v>
      </c>
      <c r="S186" s="136">
        <v>0</v>
      </c>
      <c r="T186" s="139">
        <v>0</v>
      </c>
      <c r="U186" s="217">
        <v>0</v>
      </c>
      <c r="V186" s="217">
        <v>181</v>
      </c>
      <c r="W186" s="217">
        <v>0</v>
      </c>
      <c r="X186" s="218">
        <v>0</v>
      </c>
      <c r="Y186" s="220">
        <v>75.5</v>
      </c>
      <c r="Z186" s="164">
        <v>0</v>
      </c>
      <c r="AA186" s="221">
        <v>0</v>
      </c>
      <c r="AB186" s="221">
        <v>0</v>
      </c>
      <c r="AC186" s="222">
        <v>0</v>
      </c>
      <c r="AD186" s="223">
        <v>0</v>
      </c>
      <c r="AE186" s="136"/>
      <c r="AF186" s="136">
        <v>18</v>
      </c>
      <c r="AG186" s="224">
        <v>17.5</v>
      </c>
      <c r="AH186" s="136">
        <v>656.7</v>
      </c>
      <c r="AI186" s="136"/>
      <c r="AJ186" s="136"/>
      <c r="AK186" s="136">
        <f t="shared" si="22"/>
        <v>354.5</v>
      </c>
      <c r="AL186" s="136">
        <f t="shared" si="23"/>
        <v>5</v>
      </c>
      <c r="AM186" s="136">
        <f t="shared" si="24"/>
        <v>0</v>
      </c>
      <c r="AN186" s="136">
        <f t="shared" si="25"/>
        <v>0</v>
      </c>
      <c r="AO186" s="136">
        <f t="shared" si="26"/>
        <v>108.4</v>
      </c>
      <c r="AP186" s="139">
        <f t="shared" si="27"/>
        <v>181</v>
      </c>
      <c r="AQ186" s="136">
        <f t="shared" si="30"/>
        <v>0</v>
      </c>
      <c r="AR186" s="136">
        <f t="shared" si="28"/>
        <v>75.5</v>
      </c>
      <c r="AS186" s="139">
        <f t="shared" si="29"/>
        <v>368</v>
      </c>
      <c r="AT186" s="136"/>
      <c r="AU186" s="136">
        <f t="shared" si="31"/>
        <v>18</v>
      </c>
      <c r="AV186" s="225">
        <v>3989501</v>
      </c>
      <c r="AX186" s="136">
        <f>'2024 Legal Max'!AS187</f>
        <v>651.20000000000005</v>
      </c>
      <c r="AY186" s="136">
        <f t="shared" si="32"/>
        <v>-5.5</v>
      </c>
      <c r="AZ186" s="139">
        <v>122030</v>
      </c>
      <c r="BB186" s="164">
        <v>0</v>
      </c>
      <c r="BC186" s="164">
        <v>5</v>
      </c>
    </row>
    <row r="187" spans="1:55">
      <c r="A187" s="216" t="s">
        <v>373</v>
      </c>
      <c r="B187" s="217"/>
      <c r="C187" s="218">
        <v>1552.7</v>
      </c>
      <c r="E187" s="218"/>
      <c r="F187" s="218">
        <v>0</v>
      </c>
      <c r="G187" s="219"/>
      <c r="H187" s="218"/>
      <c r="I187" s="218"/>
      <c r="J187" s="136"/>
      <c r="K187" s="139">
        <v>1634</v>
      </c>
      <c r="L187" s="136">
        <v>0</v>
      </c>
      <c r="M187" s="217">
        <v>0</v>
      </c>
      <c r="N187" s="136">
        <v>33</v>
      </c>
      <c r="O187" s="136">
        <v>0</v>
      </c>
      <c r="P187" s="218">
        <v>496.4</v>
      </c>
      <c r="Q187" s="136">
        <v>0</v>
      </c>
      <c r="R187" s="136">
        <v>61.3</v>
      </c>
      <c r="S187" s="136">
        <v>0</v>
      </c>
      <c r="T187" s="139">
        <v>27</v>
      </c>
      <c r="U187" s="217">
        <v>0</v>
      </c>
      <c r="V187" s="217">
        <v>451</v>
      </c>
      <c r="W187" s="217">
        <v>0</v>
      </c>
      <c r="X187" s="218">
        <v>0</v>
      </c>
      <c r="Y187" s="220">
        <v>587</v>
      </c>
      <c r="Z187" s="164">
        <v>0</v>
      </c>
      <c r="AA187" s="221">
        <v>36</v>
      </c>
      <c r="AB187" s="221">
        <v>4.0999999999999996</v>
      </c>
      <c r="AC187" s="222">
        <v>16</v>
      </c>
      <c r="AD187" s="223">
        <v>4</v>
      </c>
      <c r="AE187" s="136"/>
      <c r="AF187" s="136">
        <v>0</v>
      </c>
      <c r="AG187" s="224">
        <v>0</v>
      </c>
      <c r="AH187" s="136">
        <v>2014.9</v>
      </c>
      <c r="AI187" s="136"/>
      <c r="AJ187" s="136"/>
      <c r="AK187" s="136">
        <f t="shared" si="22"/>
        <v>1552.7</v>
      </c>
      <c r="AL187" s="136">
        <f t="shared" si="23"/>
        <v>33</v>
      </c>
      <c r="AM187" s="136">
        <f t="shared" si="24"/>
        <v>61.3</v>
      </c>
      <c r="AN187" s="136">
        <f t="shared" si="25"/>
        <v>27</v>
      </c>
      <c r="AO187" s="136">
        <f t="shared" si="26"/>
        <v>496.4</v>
      </c>
      <c r="AP187" s="139">
        <f t="shared" si="27"/>
        <v>451</v>
      </c>
      <c r="AQ187" s="136">
        <f t="shared" si="30"/>
        <v>4</v>
      </c>
      <c r="AR187" s="136">
        <f t="shared" si="28"/>
        <v>587</v>
      </c>
      <c r="AS187" s="139">
        <f t="shared" si="29"/>
        <v>1634</v>
      </c>
      <c r="AT187" s="136"/>
      <c r="AU187" s="136">
        <f t="shared" si="31"/>
        <v>0</v>
      </c>
      <c r="AV187" s="225">
        <v>12481629</v>
      </c>
      <c r="AX187" s="136">
        <f>'2024 Legal Max'!AS188</f>
        <v>2006.4</v>
      </c>
      <c r="AY187" s="136">
        <f t="shared" si="32"/>
        <v>-8.5</v>
      </c>
      <c r="AZ187" s="139">
        <v>409091</v>
      </c>
      <c r="BB187" s="164">
        <v>0</v>
      </c>
      <c r="BC187" s="164">
        <v>33</v>
      </c>
    </row>
    <row r="188" spans="1:55">
      <c r="A188" s="216" t="s">
        <v>374</v>
      </c>
      <c r="B188" s="217"/>
      <c r="C188" s="218">
        <v>280.5</v>
      </c>
      <c r="E188" s="218"/>
      <c r="F188" s="218">
        <v>0</v>
      </c>
      <c r="G188" s="219"/>
      <c r="H188" s="218"/>
      <c r="I188" s="218"/>
      <c r="J188" s="136"/>
      <c r="K188" s="139">
        <v>282</v>
      </c>
      <c r="L188" s="136">
        <v>0</v>
      </c>
      <c r="M188" s="217">
        <v>0</v>
      </c>
      <c r="N188" s="136">
        <v>0</v>
      </c>
      <c r="O188" s="136">
        <v>0</v>
      </c>
      <c r="P188" s="218">
        <v>166.9</v>
      </c>
      <c r="Q188" s="136">
        <v>0</v>
      </c>
      <c r="R188" s="136">
        <v>0</v>
      </c>
      <c r="S188" s="136">
        <v>0</v>
      </c>
      <c r="T188" s="139">
        <v>0</v>
      </c>
      <c r="U188" s="217">
        <v>0</v>
      </c>
      <c r="V188" s="217">
        <v>118</v>
      </c>
      <c r="W188" s="217">
        <v>0</v>
      </c>
      <c r="X188" s="218">
        <v>0</v>
      </c>
      <c r="Y188" s="220">
        <v>68</v>
      </c>
      <c r="Z188" s="164">
        <v>0</v>
      </c>
      <c r="AA188" s="221">
        <v>0</v>
      </c>
      <c r="AB188" s="221">
        <v>0</v>
      </c>
      <c r="AC188" s="222">
        <v>0</v>
      </c>
      <c r="AD188" s="223">
        <v>0</v>
      </c>
      <c r="AE188" s="136"/>
      <c r="AF188" s="136">
        <v>5.7</v>
      </c>
      <c r="AG188" s="224">
        <v>6.1</v>
      </c>
      <c r="AH188" s="136">
        <v>539.1</v>
      </c>
      <c r="AI188" s="136"/>
      <c r="AJ188" s="136"/>
      <c r="AK188" s="136">
        <f t="shared" si="22"/>
        <v>280.5</v>
      </c>
      <c r="AL188" s="136">
        <f t="shared" si="23"/>
        <v>0</v>
      </c>
      <c r="AM188" s="136">
        <f t="shared" si="24"/>
        <v>0</v>
      </c>
      <c r="AN188" s="136">
        <f t="shared" si="25"/>
        <v>0</v>
      </c>
      <c r="AO188" s="136">
        <f t="shared" si="26"/>
        <v>166.9</v>
      </c>
      <c r="AP188" s="139">
        <f t="shared" si="27"/>
        <v>118</v>
      </c>
      <c r="AQ188" s="136">
        <f t="shared" si="30"/>
        <v>0</v>
      </c>
      <c r="AR188" s="136">
        <f t="shared" si="28"/>
        <v>68</v>
      </c>
      <c r="AS188" s="139">
        <f t="shared" si="29"/>
        <v>282</v>
      </c>
      <c r="AT188" s="136"/>
      <c r="AU188" s="136">
        <f t="shared" si="31"/>
        <v>6.1</v>
      </c>
      <c r="AV188" s="225">
        <v>3162701</v>
      </c>
      <c r="AX188" s="136">
        <f>'2024 Legal Max'!AS189</f>
        <v>535.9</v>
      </c>
      <c r="AY188" s="136">
        <f t="shared" si="32"/>
        <v>-3.2</v>
      </c>
      <c r="AZ188" s="139">
        <v>243056</v>
      </c>
      <c r="BB188" s="164">
        <v>0</v>
      </c>
      <c r="BC188" s="164">
        <v>0</v>
      </c>
    </row>
    <row r="189" spans="1:55">
      <c r="A189" s="216" t="s">
        <v>375</v>
      </c>
      <c r="B189" s="217"/>
      <c r="C189" s="218">
        <v>586</v>
      </c>
      <c r="E189" s="218"/>
      <c r="F189" s="218">
        <v>0</v>
      </c>
      <c r="G189" s="219"/>
      <c r="H189" s="218"/>
      <c r="I189" s="218"/>
      <c r="J189" s="136"/>
      <c r="K189" s="139">
        <v>603</v>
      </c>
      <c r="L189" s="136">
        <v>0</v>
      </c>
      <c r="M189" s="217">
        <v>0</v>
      </c>
      <c r="N189" s="136">
        <v>6.5</v>
      </c>
      <c r="O189" s="136">
        <v>0</v>
      </c>
      <c r="P189" s="218">
        <v>194.9</v>
      </c>
      <c r="Q189" s="136">
        <v>0</v>
      </c>
      <c r="R189" s="136">
        <v>0.1</v>
      </c>
      <c r="S189" s="136">
        <v>0</v>
      </c>
      <c r="T189" s="139">
        <v>1</v>
      </c>
      <c r="U189" s="217">
        <v>0</v>
      </c>
      <c r="V189" s="217">
        <v>228</v>
      </c>
      <c r="W189" s="217">
        <v>0</v>
      </c>
      <c r="X189" s="218">
        <v>0</v>
      </c>
      <c r="Y189" s="220">
        <v>177.5</v>
      </c>
      <c r="Z189" s="164">
        <v>0</v>
      </c>
      <c r="AA189" s="221">
        <v>2</v>
      </c>
      <c r="AB189" s="221">
        <v>0</v>
      </c>
      <c r="AC189" s="222">
        <v>9</v>
      </c>
      <c r="AD189" s="223">
        <v>1</v>
      </c>
      <c r="AE189" s="136"/>
      <c r="AF189" s="136">
        <v>4.5</v>
      </c>
      <c r="AG189" s="224">
        <v>7.3</v>
      </c>
      <c r="AH189" s="136">
        <v>1029.8</v>
      </c>
      <c r="AI189" s="136"/>
      <c r="AJ189" s="136"/>
      <c r="AK189" s="136">
        <f t="shared" si="22"/>
        <v>586</v>
      </c>
      <c r="AL189" s="136">
        <f t="shared" si="23"/>
        <v>6.5</v>
      </c>
      <c r="AM189" s="136">
        <f t="shared" si="24"/>
        <v>0.1</v>
      </c>
      <c r="AN189" s="136">
        <f t="shared" si="25"/>
        <v>1</v>
      </c>
      <c r="AO189" s="136">
        <f t="shared" si="26"/>
        <v>194.9</v>
      </c>
      <c r="AP189" s="139">
        <f t="shared" si="27"/>
        <v>228</v>
      </c>
      <c r="AQ189" s="136">
        <f t="shared" si="30"/>
        <v>1</v>
      </c>
      <c r="AR189" s="136">
        <f t="shared" si="28"/>
        <v>177.5</v>
      </c>
      <c r="AS189" s="139">
        <f t="shared" si="29"/>
        <v>603</v>
      </c>
      <c r="AT189" s="136"/>
      <c r="AU189" s="136">
        <f t="shared" si="31"/>
        <v>7.3</v>
      </c>
      <c r="AV189" s="225">
        <v>6019093</v>
      </c>
      <c r="AX189" s="136">
        <f>'2024 Legal Max'!AS190</f>
        <v>1026.7</v>
      </c>
      <c r="AY189" s="136">
        <f t="shared" si="32"/>
        <v>-3.1</v>
      </c>
      <c r="AZ189" s="139">
        <v>212050</v>
      </c>
      <c r="BB189" s="164">
        <v>0</v>
      </c>
      <c r="BC189" s="164">
        <v>6.5</v>
      </c>
    </row>
    <row r="190" spans="1:55">
      <c r="A190" s="216" t="s">
        <v>376</v>
      </c>
      <c r="B190" s="217"/>
      <c r="C190" s="218">
        <v>184.5</v>
      </c>
      <c r="E190" s="218"/>
      <c r="F190" s="218">
        <v>0</v>
      </c>
      <c r="G190" s="219"/>
      <c r="H190" s="218"/>
      <c r="I190" s="218"/>
      <c r="J190" s="136"/>
      <c r="K190" s="139">
        <v>189</v>
      </c>
      <c r="L190" s="136">
        <v>0</v>
      </c>
      <c r="M190" s="217">
        <v>0</v>
      </c>
      <c r="N190" s="136">
        <v>1.5</v>
      </c>
      <c r="O190" s="136">
        <v>0</v>
      </c>
      <c r="P190" s="218">
        <v>90.7</v>
      </c>
      <c r="Q190" s="136">
        <v>0</v>
      </c>
      <c r="R190" s="136">
        <v>0</v>
      </c>
      <c r="S190" s="136">
        <v>0</v>
      </c>
      <c r="T190" s="139">
        <v>0</v>
      </c>
      <c r="U190" s="217">
        <v>0</v>
      </c>
      <c r="V190" s="217">
        <v>74</v>
      </c>
      <c r="W190" s="217">
        <v>0</v>
      </c>
      <c r="X190" s="218">
        <v>0</v>
      </c>
      <c r="Y190" s="220">
        <v>125</v>
      </c>
      <c r="Z190" s="164">
        <v>0</v>
      </c>
      <c r="AA190" s="221">
        <v>124</v>
      </c>
      <c r="AB190" s="221">
        <v>0</v>
      </c>
      <c r="AC190" s="222">
        <v>550</v>
      </c>
      <c r="AD190" s="223">
        <v>0</v>
      </c>
      <c r="AE190" s="136"/>
      <c r="AF190" s="136">
        <v>2.2000000000000002</v>
      </c>
      <c r="AG190" s="224">
        <v>2.1</v>
      </c>
      <c r="AH190" s="136">
        <v>401</v>
      </c>
      <c r="AI190" s="136"/>
      <c r="AJ190" s="136"/>
      <c r="AK190" s="136">
        <f t="shared" si="22"/>
        <v>184.5</v>
      </c>
      <c r="AL190" s="136">
        <f t="shared" si="23"/>
        <v>1.5</v>
      </c>
      <c r="AM190" s="136">
        <f t="shared" si="24"/>
        <v>0</v>
      </c>
      <c r="AN190" s="136">
        <f t="shared" si="25"/>
        <v>0</v>
      </c>
      <c r="AO190" s="136">
        <f t="shared" si="26"/>
        <v>90.7</v>
      </c>
      <c r="AP190" s="139">
        <f t="shared" si="27"/>
        <v>74</v>
      </c>
      <c r="AQ190" s="136">
        <f t="shared" si="30"/>
        <v>0</v>
      </c>
      <c r="AR190" s="136">
        <f t="shared" si="28"/>
        <v>125</v>
      </c>
      <c r="AS190" s="139">
        <f t="shared" si="29"/>
        <v>189</v>
      </c>
      <c r="AT190" s="136"/>
      <c r="AU190" s="136">
        <f t="shared" si="31"/>
        <v>2.2000000000000002</v>
      </c>
      <c r="AV190" s="225">
        <v>3481230</v>
      </c>
      <c r="AX190" s="136">
        <f>'2024 Legal Max'!AS191</f>
        <v>401.3</v>
      </c>
      <c r="AY190" s="136">
        <f t="shared" si="32"/>
        <v>0.3</v>
      </c>
      <c r="AZ190" s="139">
        <v>322437</v>
      </c>
      <c r="BA190" s="129" t="s">
        <v>3684</v>
      </c>
      <c r="BB190" s="164">
        <v>0</v>
      </c>
      <c r="BC190" s="164">
        <v>1.5</v>
      </c>
    </row>
    <row r="191" spans="1:55">
      <c r="A191" s="216" t="s">
        <v>377</v>
      </c>
      <c r="B191" s="217"/>
      <c r="C191" s="218">
        <v>187</v>
      </c>
      <c r="E191" s="218"/>
      <c r="F191" s="218">
        <v>0</v>
      </c>
      <c r="G191" s="219"/>
      <c r="H191" s="218"/>
      <c r="I191" s="218"/>
      <c r="J191" s="136"/>
      <c r="K191" s="139">
        <v>200</v>
      </c>
      <c r="L191" s="136">
        <v>0</v>
      </c>
      <c r="M191" s="217">
        <v>0</v>
      </c>
      <c r="N191" s="136">
        <v>5.5</v>
      </c>
      <c r="O191" s="136">
        <v>0</v>
      </c>
      <c r="P191" s="218">
        <v>64.3</v>
      </c>
      <c r="Q191" s="136">
        <v>0</v>
      </c>
      <c r="R191" s="136">
        <v>0</v>
      </c>
      <c r="S191" s="136">
        <v>0</v>
      </c>
      <c r="T191" s="139">
        <v>0</v>
      </c>
      <c r="U191" s="217">
        <v>0</v>
      </c>
      <c r="V191" s="217">
        <v>109</v>
      </c>
      <c r="W191" s="217">
        <v>0</v>
      </c>
      <c r="X191" s="218">
        <v>0</v>
      </c>
      <c r="Y191" s="220">
        <v>51</v>
      </c>
      <c r="Z191" s="164">
        <v>0</v>
      </c>
      <c r="AA191" s="221">
        <v>4</v>
      </c>
      <c r="AB191" s="221">
        <v>1.2</v>
      </c>
      <c r="AC191" s="222">
        <v>0</v>
      </c>
      <c r="AD191" s="223">
        <v>0</v>
      </c>
      <c r="AE191" s="136"/>
      <c r="AF191" s="136">
        <v>11.4</v>
      </c>
      <c r="AG191" s="224">
        <v>9.1</v>
      </c>
      <c r="AH191" s="136">
        <v>441.1</v>
      </c>
      <c r="AI191" s="136"/>
      <c r="AJ191" s="136"/>
      <c r="AK191" s="136">
        <f t="shared" si="22"/>
        <v>187</v>
      </c>
      <c r="AL191" s="136">
        <f t="shared" si="23"/>
        <v>5.5</v>
      </c>
      <c r="AM191" s="136">
        <f t="shared" si="24"/>
        <v>0</v>
      </c>
      <c r="AN191" s="136">
        <f t="shared" si="25"/>
        <v>0</v>
      </c>
      <c r="AO191" s="136">
        <f t="shared" si="26"/>
        <v>64.3</v>
      </c>
      <c r="AP191" s="139">
        <f t="shared" si="27"/>
        <v>109</v>
      </c>
      <c r="AQ191" s="136">
        <f t="shared" si="30"/>
        <v>0</v>
      </c>
      <c r="AR191" s="136">
        <f t="shared" si="28"/>
        <v>51</v>
      </c>
      <c r="AS191" s="139">
        <f t="shared" si="29"/>
        <v>200</v>
      </c>
      <c r="AT191" s="136"/>
      <c r="AU191" s="136">
        <f t="shared" si="31"/>
        <v>11.4</v>
      </c>
      <c r="AV191" s="225">
        <v>2735512</v>
      </c>
      <c r="AX191" s="136">
        <f>'2024 Legal Max'!AS192</f>
        <v>438.4</v>
      </c>
      <c r="AY191" s="136">
        <f t="shared" si="32"/>
        <v>-2.7</v>
      </c>
      <c r="AZ191" s="139">
        <v>168530</v>
      </c>
      <c r="BB191" s="164">
        <v>0</v>
      </c>
      <c r="BC191" s="164">
        <v>5.5</v>
      </c>
    </row>
    <row r="192" spans="1:55">
      <c r="A192" s="216" t="s">
        <v>378</v>
      </c>
      <c r="B192" s="217"/>
      <c r="C192" s="218">
        <v>91</v>
      </c>
      <c r="E192" s="218"/>
      <c r="F192" s="218">
        <v>0</v>
      </c>
      <c r="G192" s="219"/>
      <c r="H192" s="218"/>
      <c r="I192" s="218"/>
      <c r="J192" s="136"/>
      <c r="K192" s="139">
        <v>93</v>
      </c>
      <c r="L192" s="136">
        <v>0</v>
      </c>
      <c r="M192" s="217">
        <v>0</v>
      </c>
      <c r="N192" s="136">
        <v>1</v>
      </c>
      <c r="O192" s="136">
        <v>0</v>
      </c>
      <c r="P192" s="218">
        <v>27</v>
      </c>
      <c r="Q192" s="136">
        <v>0</v>
      </c>
      <c r="R192" s="136">
        <v>0</v>
      </c>
      <c r="S192" s="136">
        <v>0</v>
      </c>
      <c r="T192" s="139">
        <v>0</v>
      </c>
      <c r="U192" s="217">
        <v>0</v>
      </c>
      <c r="V192" s="217">
        <v>39</v>
      </c>
      <c r="W192" s="217">
        <v>0</v>
      </c>
      <c r="X192" s="218">
        <v>1</v>
      </c>
      <c r="Y192" s="220">
        <v>15</v>
      </c>
      <c r="Z192" s="164">
        <v>0</v>
      </c>
      <c r="AA192" s="221">
        <v>0</v>
      </c>
      <c r="AB192" s="221">
        <v>0</v>
      </c>
      <c r="AC192" s="222">
        <v>0</v>
      </c>
      <c r="AD192" s="223">
        <v>0</v>
      </c>
      <c r="AE192" s="136"/>
      <c r="AF192" s="136">
        <v>1.9</v>
      </c>
      <c r="AG192" s="224">
        <v>1.9</v>
      </c>
      <c r="AH192" s="136">
        <v>265.3</v>
      </c>
      <c r="AI192" s="136"/>
      <c r="AJ192" s="136"/>
      <c r="AK192" s="136">
        <f t="shared" si="22"/>
        <v>91</v>
      </c>
      <c r="AL192" s="136">
        <f t="shared" si="23"/>
        <v>1</v>
      </c>
      <c r="AM192" s="136">
        <f t="shared" si="24"/>
        <v>0</v>
      </c>
      <c r="AN192" s="136">
        <f t="shared" si="25"/>
        <v>0</v>
      </c>
      <c r="AO192" s="136">
        <f t="shared" si="26"/>
        <v>27</v>
      </c>
      <c r="AP192" s="139">
        <f t="shared" si="27"/>
        <v>39</v>
      </c>
      <c r="AQ192" s="136">
        <f t="shared" si="30"/>
        <v>0</v>
      </c>
      <c r="AR192" s="136">
        <f t="shared" si="28"/>
        <v>15</v>
      </c>
      <c r="AS192" s="139">
        <f t="shared" si="29"/>
        <v>93</v>
      </c>
      <c r="AT192" s="136"/>
      <c r="AU192" s="136">
        <f t="shared" si="31"/>
        <v>1.9</v>
      </c>
      <c r="AV192" s="225">
        <v>1575754</v>
      </c>
      <c r="AX192" s="136">
        <f>'2024 Legal Max'!AS193</f>
        <v>265.39999999999998</v>
      </c>
      <c r="AY192" s="136">
        <f t="shared" si="32"/>
        <v>0.1</v>
      </c>
      <c r="AZ192" s="139">
        <v>156852</v>
      </c>
      <c r="BB192" s="164">
        <v>0</v>
      </c>
      <c r="BC192" s="164">
        <v>1</v>
      </c>
    </row>
    <row r="193" spans="1:55">
      <c r="A193" s="216" t="s">
        <v>379</v>
      </c>
      <c r="B193" s="217"/>
      <c r="C193" s="218">
        <v>763.7</v>
      </c>
      <c r="E193" s="218"/>
      <c r="F193" s="218">
        <v>0</v>
      </c>
      <c r="G193" s="219"/>
      <c r="H193" s="218"/>
      <c r="I193" s="218"/>
      <c r="J193" s="136"/>
      <c r="K193" s="139">
        <v>807</v>
      </c>
      <c r="L193" s="136">
        <v>0</v>
      </c>
      <c r="M193" s="217">
        <v>0</v>
      </c>
      <c r="N193" s="136">
        <v>18.5</v>
      </c>
      <c r="O193" s="136">
        <v>0</v>
      </c>
      <c r="P193" s="218">
        <v>257.39999999999998</v>
      </c>
      <c r="Q193" s="136">
        <v>0</v>
      </c>
      <c r="R193" s="136">
        <v>4</v>
      </c>
      <c r="S193" s="136">
        <v>0</v>
      </c>
      <c r="T193" s="139">
        <v>4</v>
      </c>
      <c r="U193" s="217">
        <v>0</v>
      </c>
      <c r="V193" s="217">
        <v>233</v>
      </c>
      <c r="W193" s="217">
        <v>0</v>
      </c>
      <c r="X193" s="218">
        <v>0</v>
      </c>
      <c r="Y193" s="220">
        <v>295.5</v>
      </c>
      <c r="Z193" s="164">
        <v>0</v>
      </c>
      <c r="AA193" s="221">
        <v>110</v>
      </c>
      <c r="AB193" s="221">
        <v>57.7</v>
      </c>
      <c r="AC193" s="222">
        <v>0</v>
      </c>
      <c r="AD193" s="223">
        <v>0</v>
      </c>
      <c r="AE193" s="136"/>
      <c r="AF193" s="136">
        <v>0</v>
      </c>
      <c r="AG193" s="224">
        <v>0</v>
      </c>
      <c r="AH193" s="136">
        <v>1254.5</v>
      </c>
      <c r="AI193" s="136"/>
      <c r="AJ193" s="136"/>
      <c r="AK193" s="136">
        <f t="shared" si="22"/>
        <v>763.7</v>
      </c>
      <c r="AL193" s="136">
        <f t="shared" si="23"/>
        <v>18.5</v>
      </c>
      <c r="AM193" s="136">
        <f t="shared" si="24"/>
        <v>4</v>
      </c>
      <c r="AN193" s="136">
        <f t="shared" si="25"/>
        <v>4</v>
      </c>
      <c r="AO193" s="136">
        <f t="shared" si="26"/>
        <v>257.39999999999998</v>
      </c>
      <c r="AP193" s="139">
        <f t="shared" si="27"/>
        <v>233</v>
      </c>
      <c r="AQ193" s="136">
        <f t="shared" si="30"/>
        <v>0</v>
      </c>
      <c r="AR193" s="136">
        <f t="shared" si="28"/>
        <v>295.5</v>
      </c>
      <c r="AS193" s="139">
        <f t="shared" si="29"/>
        <v>807</v>
      </c>
      <c r="AT193" s="136"/>
      <c r="AU193" s="136">
        <f t="shared" si="31"/>
        <v>0</v>
      </c>
      <c r="AV193" s="225">
        <v>8484228</v>
      </c>
      <c r="AX193" s="136">
        <f>'2024 Legal Max'!AS194</f>
        <v>1250.4000000000001</v>
      </c>
      <c r="AY193" s="136">
        <f t="shared" si="32"/>
        <v>-4.0999999999999996</v>
      </c>
      <c r="AZ193" s="139">
        <v>501784</v>
      </c>
      <c r="BB193" s="164">
        <v>0</v>
      </c>
      <c r="BC193" s="164">
        <v>18.5</v>
      </c>
    </row>
    <row r="194" spans="1:55">
      <c r="A194" s="216" t="s">
        <v>380</v>
      </c>
      <c r="B194" s="217"/>
      <c r="C194" s="218">
        <v>114</v>
      </c>
      <c r="E194" s="218"/>
      <c r="F194" s="218">
        <v>0</v>
      </c>
      <c r="G194" s="219"/>
      <c r="H194" s="218"/>
      <c r="I194" s="218"/>
      <c r="J194" s="136"/>
      <c r="K194" s="139">
        <v>126</v>
      </c>
      <c r="L194" s="136">
        <v>0</v>
      </c>
      <c r="M194" s="217">
        <v>0</v>
      </c>
      <c r="N194" s="136">
        <v>6</v>
      </c>
      <c r="O194" s="136">
        <v>0</v>
      </c>
      <c r="P194" s="218">
        <v>48.8</v>
      </c>
      <c r="Q194" s="136">
        <v>0</v>
      </c>
      <c r="R194" s="136">
        <v>14.4</v>
      </c>
      <c r="S194" s="136">
        <v>0</v>
      </c>
      <c r="T194" s="139">
        <v>10</v>
      </c>
      <c r="U194" s="217">
        <v>0</v>
      </c>
      <c r="V194" s="217">
        <v>97</v>
      </c>
      <c r="W194" s="217">
        <v>0</v>
      </c>
      <c r="X194" s="218">
        <v>0</v>
      </c>
      <c r="Y194" s="220">
        <v>15</v>
      </c>
      <c r="Z194" s="164">
        <v>0</v>
      </c>
      <c r="AA194" s="221">
        <v>0</v>
      </c>
      <c r="AB194" s="221">
        <v>0</v>
      </c>
      <c r="AC194" s="222">
        <v>0</v>
      </c>
      <c r="AD194" s="223">
        <v>0</v>
      </c>
      <c r="AE194" s="136"/>
      <c r="AF194" s="136">
        <v>10.199999999999999</v>
      </c>
      <c r="AG194" s="224">
        <v>10.199999999999999</v>
      </c>
      <c r="AH194" s="136">
        <v>341.9</v>
      </c>
      <c r="AI194" s="136"/>
      <c r="AJ194" s="136"/>
      <c r="AK194" s="136">
        <f t="shared" si="22"/>
        <v>114</v>
      </c>
      <c r="AL194" s="136">
        <f t="shared" si="23"/>
        <v>6</v>
      </c>
      <c r="AM194" s="136">
        <f t="shared" si="24"/>
        <v>14.4</v>
      </c>
      <c r="AN194" s="136">
        <f t="shared" si="25"/>
        <v>10</v>
      </c>
      <c r="AO194" s="136">
        <f t="shared" si="26"/>
        <v>48.8</v>
      </c>
      <c r="AP194" s="139">
        <f t="shared" si="27"/>
        <v>97</v>
      </c>
      <c r="AQ194" s="136">
        <f t="shared" si="30"/>
        <v>0</v>
      </c>
      <c r="AR194" s="136">
        <f t="shared" si="28"/>
        <v>15</v>
      </c>
      <c r="AS194" s="139">
        <f t="shared" si="29"/>
        <v>126</v>
      </c>
      <c r="AT194" s="136"/>
      <c r="AU194" s="136">
        <f t="shared" si="31"/>
        <v>10.199999999999999</v>
      </c>
      <c r="AV194" s="225">
        <v>2145610</v>
      </c>
      <c r="AX194" s="136">
        <f>'2024 Legal Max'!AS195</f>
        <v>338.8</v>
      </c>
      <c r="AY194" s="136">
        <f t="shared" si="32"/>
        <v>-3.1</v>
      </c>
      <c r="AZ194" s="139">
        <v>61836</v>
      </c>
      <c r="BB194" s="164">
        <v>0</v>
      </c>
      <c r="BC194" s="164">
        <v>6</v>
      </c>
    </row>
    <row r="195" spans="1:55">
      <c r="A195" s="216" t="s">
        <v>381</v>
      </c>
      <c r="B195" s="217"/>
      <c r="C195" s="218">
        <v>1900.5</v>
      </c>
      <c r="E195" s="218"/>
      <c r="F195" s="218">
        <v>0</v>
      </c>
      <c r="G195" s="219"/>
      <c r="H195" s="218"/>
      <c r="I195" s="218"/>
      <c r="J195" s="136"/>
      <c r="K195" s="139">
        <v>2025</v>
      </c>
      <c r="L195" s="136">
        <v>0</v>
      </c>
      <c r="M195" s="217">
        <v>0</v>
      </c>
      <c r="N195" s="136">
        <v>28.5</v>
      </c>
      <c r="O195" s="136">
        <v>0</v>
      </c>
      <c r="P195" s="218">
        <v>562.9</v>
      </c>
      <c r="Q195" s="136">
        <v>0</v>
      </c>
      <c r="R195" s="136">
        <v>9.9</v>
      </c>
      <c r="S195" s="136">
        <v>0</v>
      </c>
      <c r="T195" s="139">
        <v>17</v>
      </c>
      <c r="U195" s="217">
        <v>0</v>
      </c>
      <c r="V195" s="217">
        <v>731</v>
      </c>
      <c r="W195" s="217">
        <v>0</v>
      </c>
      <c r="X195" s="218">
        <v>0</v>
      </c>
      <c r="Y195" s="220">
        <v>377</v>
      </c>
      <c r="Z195" s="164">
        <v>0</v>
      </c>
      <c r="AA195" s="221">
        <v>5</v>
      </c>
      <c r="AB195" s="221">
        <v>0</v>
      </c>
      <c r="AC195" s="222">
        <v>0</v>
      </c>
      <c r="AD195" s="223">
        <v>0</v>
      </c>
      <c r="AE195" s="136"/>
      <c r="AF195" s="136">
        <v>5.6</v>
      </c>
      <c r="AG195" s="224">
        <v>15.2</v>
      </c>
      <c r="AH195" s="136">
        <v>2533.6999999999998</v>
      </c>
      <c r="AI195" s="136"/>
      <c r="AJ195" s="136"/>
      <c r="AK195" s="136">
        <f t="shared" si="22"/>
        <v>1900.5</v>
      </c>
      <c r="AL195" s="136">
        <f t="shared" si="23"/>
        <v>28.5</v>
      </c>
      <c r="AM195" s="136">
        <f t="shared" si="24"/>
        <v>9.9</v>
      </c>
      <c r="AN195" s="136">
        <f t="shared" si="25"/>
        <v>17</v>
      </c>
      <c r="AO195" s="136">
        <f t="shared" si="26"/>
        <v>562.9</v>
      </c>
      <c r="AP195" s="139">
        <f t="shared" si="27"/>
        <v>731</v>
      </c>
      <c r="AQ195" s="136">
        <f t="shared" si="30"/>
        <v>0</v>
      </c>
      <c r="AR195" s="136">
        <f t="shared" si="28"/>
        <v>377</v>
      </c>
      <c r="AS195" s="139">
        <f t="shared" si="29"/>
        <v>2025</v>
      </c>
      <c r="AT195" s="136"/>
      <c r="AU195" s="136">
        <f t="shared" si="31"/>
        <v>15.2</v>
      </c>
      <c r="AV195" s="225">
        <v>14802035</v>
      </c>
      <c r="AX195" s="136">
        <f>'2024 Legal Max'!AS196</f>
        <v>2524.6999999999998</v>
      </c>
      <c r="AY195" s="136">
        <f t="shared" si="32"/>
        <v>-9</v>
      </c>
      <c r="AZ195" s="139">
        <v>282569</v>
      </c>
      <c r="BB195" s="164">
        <v>0</v>
      </c>
      <c r="BC195" s="164">
        <v>28.5</v>
      </c>
    </row>
    <row r="196" spans="1:55">
      <c r="A196" s="216" t="s">
        <v>382</v>
      </c>
      <c r="B196" s="217"/>
      <c r="C196" s="218">
        <v>164.1</v>
      </c>
      <c r="E196" s="218"/>
      <c r="F196" s="218">
        <v>0</v>
      </c>
      <c r="G196" s="219"/>
      <c r="H196" s="218"/>
      <c r="I196" s="218"/>
      <c r="J196" s="136"/>
      <c r="K196" s="139">
        <v>171</v>
      </c>
      <c r="L196" s="136">
        <v>0</v>
      </c>
      <c r="M196" s="217">
        <v>0</v>
      </c>
      <c r="N196" s="136">
        <v>3</v>
      </c>
      <c r="O196" s="136">
        <v>0</v>
      </c>
      <c r="P196" s="218">
        <v>97.5</v>
      </c>
      <c r="Q196" s="136">
        <v>0</v>
      </c>
      <c r="R196" s="136">
        <v>5.6</v>
      </c>
      <c r="S196" s="136">
        <v>0</v>
      </c>
      <c r="T196" s="139">
        <v>3</v>
      </c>
      <c r="U196" s="217">
        <v>0</v>
      </c>
      <c r="V196" s="217">
        <v>63</v>
      </c>
      <c r="W196" s="217">
        <v>0</v>
      </c>
      <c r="X196" s="218">
        <v>0</v>
      </c>
      <c r="Y196" s="220">
        <v>80</v>
      </c>
      <c r="Z196" s="164">
        <v>0</v>
      </c>
      <c r="AA196" s="221">
        <v>26</v>
      </c>
      <c r="AB196" s="221">
        <v>0</v>
      </c>
      <c r="AC196" s="222">
        <v>0</v>
      </c>
      <c r="AD196" s="223">
        <v>0</v>
      </c>
      <c r="AE196" s="136"/>
      <c r="AF196" s="136">
        <v>0.8</v>
      </c>
      <c r="AG196" s="224">
        <v>0.9</v>
      </c>
      <c r="AH196" s="136">
        <v>419.5</v>
      </c>
      <c r="AI196" s="136"/>
      <c r="AJ196" s="136"/>
      <c r="AK196" s="136">
        <f t="shared" ref="AK196:AK259" si="33">SUM(C196+F196)</f>
        <v>164.1</v>
      </c>
      <c r="AL196" s="136">
        <f t="shared" ref="AL196:AL259" si="34">SUM(N196+O196)</f>
        <v>3</v>
      </c>
      <c r="AM196" s="136">
        <f t="shared" ref="AM196:AM259" si="35">SUM(R196+S196)</f>
        <v>5.6</v>
      </c>
      <c r="AN196" s="136">
        <f t="shared" ref="AN196:AN259" si="36">SUM(T196+U196)</f>
        <v>3</v>
      </c>
      <c r="AO196" s="136">
        <f t="shared" ref="AO196:AO259" si="37">SUM(P196+Q196)</f>
        <v>97.5</v>
      </c>
      <c r="AP196" s="139">
        <f t="shared" ref="AP196:AP259" si="38">SUM(V196+W196)</f>
        <v>63</v>
      </c>
      <c r="AQ196" s="136">
        <f t="shared" si="30"/>
        <v>0</v>
      </c>
      <c r="AR196" s="136">
        <f t="shared" ref="AR196:AR259" si="39">SUM(Y196+Z196)</f>
        <v>80</v>
      </c>
      <c r="AS196" s="139">
        <f t="shared" ref="AS196:AS259" si="40">SUM(K196+M196)</f>
        <v>171</v>
      </c>
      <c r="AT196" s="136"/>
      <c r="AU196" s="136">
        <f t="shared" si="31"/>
        <v>0.9</v>
      </c>
      <c r="AV196" s="225">
        <v>2720653</v>
      </c>
      <c r="AX196" s="136">
        <f>'2024 Legal Max'!AS197</f>
        <v>416.4</v>
      </c>
      <c r="AY196" s="136">
        <f t="shared" si="32"/>
        <v>-3.1</v>
      </c>
      <c r="AZ196" s="139">
        <v>105049</v>
      </c>
      <c r="BB196" s="164">
        <v>0</v>
      </c>
      <c r="BC196" s="164">
        <v>3</v>
      </c>
    </row>
    <row r="197" spans="1:55">
      <c r="A197" s="216" t="s">
        <v>383</v>
      </c>
      <c r="B197" s="217"/>
      <c r="C197" s="218">
        <v>656</v>
      </c>
      <c r="E197" s="218"/>
      <c r="F197" s="218">
        <v>0</v>
      </c>
      <c r="G197" s="219"/>
      <c r="H197" s="218"/>
      <c r="I197" s="218"/>
      <c r="J197" s="136"/>
      <c r="K197" s="139">
        <v>690</v>
      </c>
      <c r="L197" s="136">
        <v>0</v>
      </c>
      <c r="M197" s="217">
        <v>0</v>
      </c>
      <c r="N197" s="136">
        <v>8.5</v>
      </c>
      <c r="O197" s="136">
        <v>0</v>
      </c>
      <c r="P197" s="218">
        <v>244</v>
      </c>
      <c r="Q197" s="136">
        <v>0</v>
      </c>
      <c r="R197" s="136">
        <v>0</v>
      </c>
      <c r="S197" s="136">
        <v>0</v>
      </c>
      <c r="T197" s="139">
        <v>2</v>
      </c>
      <c r="U197" s="217">
        <v>0</v>
      </c>
      <c r="V197" s="217">
        <v>330</v>
      </c>
      <c r="W197" s="217">
        <v>0</v>
      </c>
      <c r="X197" s="218">
        <v>0</v>
      </c>
      <c r="Y197" s="220">
        <v>212</v>
      </c>
      <c r="Z197" s="164">
        <v>0</v>
      </c>
      <c r="AA197" s="221">
        <v>6</v>
      </c>
      <c r="AB197" s="221">
        <v>0</v>
      </c>
      <c r="AC197" s="222">
        <v>0</v>
      </c>
      <c r="AD197" s="223">
        <v>0</v>
      </c>
      <c r="AE197" s="136"/>
      <c r="AF197" s="136">
        <v>29.6</v>
      </c>
      <c r="AG197" s="224">
        <v>29.8</v>
      </c>
      <c r="AH197" s="136">
        <v>1169.9000000000001</v>
      </c>
      <c r="AI197" s="136"/>
      <c r="AJ197" s="136"/>
      <c r="AK197" s="136">
        <f t="shared" si="33"/>
        <v>656</v>
      </c>
      <c r="AL197" s="136">
        <f t="shared" si="34"/>
        <v>8.5</v>
      </c>
      <c r="AM197" s="136">
        <f t="shared" si="35"/>
        <v>0</v>
      </c>
      <c r="AN197" s="136">
        <f t="shared" si="36"/>
        <v>2</v>
      </c>
      <c r="AO197" s="136">
        <f t="shared" si="37"/>
        <v>244</v>
      </c>
      <c r="AP197" s="139">
        <f t="shared" si="38"/>
        <v>330</v>
      </c>
      <c r="AQ197" s="136">
        <f t="shared" ref="AQ197:AQ260" si="41">SUM(AD197+AE197)</f>
        <v>0</v>
      </c>
      <c r="AR197" s="136">
        <f t="shared" si="39"/>
        <v>212</v>
      </c>
      <c r="AS197" s="139">
        <f t="shared" si="40"/>
        <v>690</v>
      </c>
      <c r="AT197" s="136"/>
      <c r="AU197" s="136">
        <f t="shared" ref="AU197:AU260" si="42">MAX(AF197,AG197)</f>
        <v>29.8</v>
      </c>
      <c r="AV197" s="225">
        <v>6855929</v>
      </c>
      <c r="AX197" s="136">
        <f>'2024 Legal Max'!AS198</f>
        <v>1165.5</v>
      </c>
      <c r="AY197" s="136">
        <f t="shared" si="32"/>
        <v>-4.4000000000000004</v>
      </c>
      <c r="AZ197" s="139">
        <v>210737</v>
      </c>
      <c r="BB197" s="164">
        <v>0</v>
      </c>
      <c r="BC197" s="164">
        <v>8.5</v>
      </c>
    </row>
    <row r="198" spans="1:55">
      <c r="A198" s="216" t="s">
        <v>384</v>
      </c>
      <c r="B198" s="217"/>
      <c r="C198" s="218">
        <v>696.5</v>
      </c>
      <c r="E198" s="218"/>
      <c r="F198" s="218">
        <v>0</v>
      </c>
      <c r="G198" s="219"/>
      <c r="H198" s="218"/>
      <c r="I198" s="218"/>
      <c r="J198" s="136"/>
      <c r="K198" s="139">
        <v>720</v>
      </c>
      <c r="L198" s="136">
        <v>0</v>
      </c>
      <c r="M198" s="217">
        <v>0</v>
      </c>
      <c r="N198" s="136">
        <v>9</v>
      </c>
      <c r="O198" s="136">
        <v>0</v>
      </c>
      <c r="P198" s="218">
        <v>112.8</v>
      </c>
      <c r="Q198" s="136">
        <v>0</v>
      </c>
      <c r="R198" s="136">
        <v>673.5</v>
      </c>
      <c r="S198" s="136">
        <v>0</v>
      </c>
      <c r="T198" s="139">
        <v>156</v>
      </c>
      <c r="U198" s="217">
        <v>0</v>
      </c>
      <c r="V198" s="217">
        <v>466</v>
      </c>
      <c r="W198" s="217">
        <v>0</v>
      </c>
      <c r="X198" s="218">
        <v>0</v>
      </c>
      <c r="Y198" s="220">
        <v>28</v>
      </c>
      <c r="Z198" s="164">
        <v>0</v>
      </c>
      <c r="AA198" s="221">
        <v>0</v>
      </c>
      <c r="AB198" s="221">
        <v>0</v>
      </c>
      <c r="AC198" s="222">
        <v>0</v>
      </c>
      <c r="AD198" s="223">
        <v>0</v>
      </c>
      <c r="AE198" s="136"/>
      <c r="AF198" s="136">
        <v>48.9</v>
      </c>
      <c r="AG198" s="224">
        <v>48.9</v>
      </c>
      <c r="AH198" s="136">
        <v>1342.6</v>
      </c>
      <c r="AI198" s="136"/>
      <c r="AJ198" s="136"/>
      <c r="AK198" s="136">
        <f t="shared" si="33"/>
        <v>696.5</v>
      </c>
      <c r="AL198" s="136">
        <f t="shared" si="34"/>
        <v>9</v>
      </c>
      <c r="AM198" s="136">
        <f t="shared" si="35"/>
        <v>673.5</v>
      </c>
      <c r="AN198" s="136">
        <f t="shared" si="36"/>
        <v>156</v>
      </c>
      <c r="AO198" s="136">
        <f t="shared" si="37"/>
        <v>112.8</v>
      </c>
      <c r="AP198" s="139">
        <f t="shared" si="38"/>
        <v>466</v>
      </c>
      <c r="AQ198" s="136">
        <f t="shared" si="41"/>
        <v>0</v>
      </c>
      <c r="AR198" s="136">
        <f t="shared" si="39"/>
        <v>28</v>
      </c>
      <c r="AS198" s="139">
        <f t="shared" si="40"/>
        <v>720</v>
      </c>
      <c r="AT198" s="136"/>
      <c r="AU198" s="136">
        <f t="shared" si="42"/>
        <v>48.9</v>
      </c>
      <c r="AV198" s="225">
        <v>8054304</v>
      </c>
      <c r="AX198" s="136">
        <f>'2024 Legal Max'!AS199</f>
        <v>1333.7</v>
      </c>
      <c r="AY198" s="136">
        <f t="shared" ref="AY198:AY261" si="43">AX198-AH198</f>
        <v>-8.9</v>
      </c>
      <c r="AZ198" s="139">
        <v>89332</v>
      </c>
      <c r="BB198" s="164">
        <v>0</v>
      </c>
      <c r="BC198" s="164">
        <v>9</v>
      </c>
    </row>
    <row r="199" spans="1:55">
      <c r="A199" s="216" t="s">
        <v>385</v>
      </c>
      <c r="B199" s="217"/>
      <c r="C199" s="218">
        <v>754</v>
      </c>
      <c r="E199" s="218"/>
      <c r="F199" s="218">
        <v>0</v>
      </c>
      <c r="G199" s="219"/>
      <c r="H199" s="218"/>
      <c r="I199" s="218"/>
      <c r="J199" s="136"/>
      <c r="K199" s="139">
        <v>777</v>
      </c>
      <c r="L199" s="136">
        <v>0</v>
      </c>
      <c r="M199" s="217">
        <v>0</v>
      </c>
      <c r="N199" s="136">
        <v>9.5</v>
      </c>
      <c r="O199" s="136">
        <v>0</v>
      </c>
      <c r="P199" s="218">
        <v>238.8</v>
      </c>
      <c r="Q199" s="136">
        <v>0</v>
      </c>
      <c r="R199" s="136">
        <v>12.3</v>
      </c>
      <c r="S199" s="136">
        <v>0</v>
      </c>
      <c r="T199" s="139">
        <v>10</v>
      </c>
      <c r="U199" s="217">
        <v>0</v>
      </c>
      <c r="V199" s="217">
        <v>354</v>
      </c>
      <c r="W199" s="217">
        <v>0</v>
      </c>
      <c r="X199" s="218">
        <v>0</v>
      </c>
      <c r="Y199" s="220">
        <v>103</v>
      </c>
      <c r="Z199" s="164">
        <v>0</v>
      </c>
      <c r="AA199" s="221">
        <v>0</v>
      </c>
      <c r="AB199" s="221">
        <v>0</v>
      </c>
      <c r="AC199" s="222">
        <v>0</v>
      </c>
      <c r="AD199" s="223">
        <v>0</v>
      </c>
      <c r="AE199" s="136"/>
      <c r="AF199" s="136">
        <v>26.2</v>
      </c>
      <c r="AG199" s="224">
        <v>26.6</v>
      </c>
      <c r="AH199" s="136">
        <v>1304.5999999999999</v>
      </c>
      <c r="AI199" s="136"/>
      <c r="AJ199" s="136"/>
      <c r="AK199" s="136">
        <f t="shared" si="33"/>
        <v>754</v>
      </c>
      <c r="AL199" s="136">
        <f t="shared" si="34"/>
        <v>9.5</v>
      </c>
      <c r="AM199" s="136">
        <f t="shared" si="35"/>
        <v>12.3</v>
      </c>
      <c r="AN199" s="136">
        <f t="shared" si="36"/>
        <v>10</v>
      </c>
      <c r="AO199" s="136">
        <f t="shared" si="37"/>
        <v>238.8</v>
      </c>
      <c r="AP199" s="139">
        <f t="shared" si="38"/>
        <v>354</v>
      </c>
      <c r="AQ199" s="136">
        <f t="shared" si="41"/>
        <v>0</v>
      </c>
      <c r="AR199" s="136">
        <f t="shared" si="39"/>
        <v>103</v>
      </c>
      <c r="AS199" s="139">
        <f t="shared" si="40"/>
        <v>777</v>
      </c>
      <c r="AT199" s="136"/>
      <c r="AU199" s="136">
        <f t="shared" si="42"/>
        <v>26.6</v>
      </c>
      <c r="AV199" s="225">
        <v>7997827</v>
      </c>
      <c r="AX199" s="136">
        <f>'2024 Legal Max'!AS200</f>
        <v>1298.7</v>
      </c>
      <c r="AY199" s="136">
        <f t="shared" si="43"/>
        <v>-5.9</v>
      </c>
      <c r="AZ199" s="139">
        <v>243573</v>
      </c>
      <c r="BB199" s="164">
        <v>0</v>
      </c>
      <c r="BC199" s="164">
        <v>9.5</v>
      </c>
    </row>
    <row r="200" spans="1:55">
      <c r="A200" s="216" t="s">
        <v>386</v>
      </c>
      <c r="B200" s="217"/>
      <c r="C200" s="218">
        <v>481</v>
      </c>
      <c r="E200" s="218"/>
      <c r="F200" s="218">
        <v>0</v>
      </c>
      <c r="G200" s="219"/>
      <c r="H200" s="218"/>
      <c r="I200" s="218"/>
      <c r="J200" s="136"/>
      <c r="K200" s="139">
        <v>508</v>
      </c>
      <c r="L200" s="136">
        <v>0</v>
      </c>
      <c r="M200" s="217">
        <v>0</v>
      </c>
      <c r="N200" s="136">
        <v>11.5</v>
      </c>
      <c r="O200" s="136">
        <v>0</v>
      </c>
      <c r="P200" s="218">
        <v>241</v>
      </c>
      <c r="Q200" s="136">
        <v>0</v>
      </c>
      <c r="R200" s="136">
        <v>0</v>
      </c>
      <c r="S200" s="136">
        <v>0</v>
      </c>
      <c r="T200" s="139">
        <v>0</v>
      </c>
      <c r="U200" s="217">
        <v>0</v>
      </c>
      <c r="V200" s="217">
        <v>210</v>
      </c>
      <c r="W200" s="217">
        <v>0</v>
      </c>
      <c r="X200" s="218">
        <v>1</v>
      </c>
      <c r="Y200" s="220">
        <v>175</v>
      </c>
      <c r="Z200" s="164">
        <v>0</v>
      </c>
      <c r="AA200" s="221">
        <v>10</v>
      </c>
      <c r="AB200" s="221">
        <v>1.5</v>
      </c>
      <c r="AC200" s="222">
        <v>5</v>
      </c>
      <c r="AD200" s="223">
        <v>0</v>
      </c>
      <c r="AE200" s="136"/>
      <c r="AF200" s="136">
        <v>9.3000000000000007</v>
      </c>
      <c r="AG200" s="224">
        <v>11.6</v>
      </c>
      <c r="AH200" s="136">
        <v>889.8</v>
      </c>
      <c r="AI200" s="136"/>
      <c r="AJ200" s="136"/>
      <c r="AK200" s="136">
        <f t="shared" si="33"/>
        <v>481</v>
      </c>
      <c r="AL200" s="136">
        <f t="shared" si="34"/>
        <v>11.5</v>
      </c>
      <c r="AM200" s="136">
        <f t="shared" si="35"/>
        <v>0</v>
      </c>
      <c r="AN200" s="136">
        <f t="shared" si="36"/>
        <v>0</v>
      </c>
      <c r="AO200" s="136">
        <f t="shared" si="37"/>
        <v>241</v>
      </c>
      <c r="AP200" s="139">
        <f t="shared" si="38"/>
        <v>210</v>
      </c>
      <c r="AQ200" s="136">
        <f t="shared" si="41"/>
        <v>0</v>
      </c>
      <c r="AR200" s="136">
        <f t="shared" si="39"/>
        <v>175</v>
      </c>
      <c r="AS200" s="139">
        <f t="shared" si="40"/>
        <v>508</v>
      </c>
      <c r="AT200" s="136"/>
      <c r="AU200" s="136">
        <f t="shared" si="42"/>
        <v>11.6</v>
      </c>
      <c r="AV200" s="225">
        <v>5489324</v>
      </c>
      <c r="AX200" s="136">
        <f>'2024 Legal Max'!AS201</f>
        <v>889.1</v>
      </c>
      <c r="AY200" s="136">
        <f t="shared" si="43"/>
        <v>-0.7</v>
      </c>
      <c r="AZ200" s="139">
        <v>196522</v>
      </c>
      <c r="BB200" s="164">
        <v>0</v>
      </c>
      <c r="BC200" s="164">
        <v>11.5</v>
      </c>
    </row>
    <row r="201" spans="1:55">
      <c r="A201" s="216" t="s">
        <v>387</v>
      </c>
      <c r="B201" s="217"/>
      <c r="C201" s="218">
        <v>1414</v>
      </c>
      <c r="E201" s="218"/>
      <c r="F201" s="218">
        <v>0</v>
      </c>
      <c r="G201" s="219"/>
      <c r="H201" s="218"/>
      <c r="I201" s="218"/>
      <c r="J201" s="136"/>
      <c r="K201" s="139">
        <v>1469</v>
      </c>
      <c r="L201" s="136">
        <v>0</v>
      </c>
      <c r="M201" s="217">
        <v>0</v>
      </c>
      <c r="N201" s="136">
        <v>16.3</v>
      </c>
      <c r="O201" s="136">
        <v>0</v>
      </c>
      <c r="P201" s="218">
        <v>251.5</v>
      </c>
      <c r="Q201" s="136">
        <v>0</v>
      </c>
      <c r="R201" s="136">
        <v>2</v>
      </c>
      <c r="S201" s="136">
        <v>0</v>
      </c>
      <c r="T201" s="139">
        <v>5</v>
      </c>
      <c r="U201" s="217">
        <v>0</v>
      </c>
      <c r="V201" s="217">
        <v>846</v>
      </c>
      <c r="W201" s="217">
        <v>0</v>
      </c>
      <c r="X201" s="218">
        <v>0</v>
      </c>
      <c r="Y201" s="220">
        <v>18.8</v>
      </c>
      <c r="Z201" s="164">
        <v>0</v>
      </c>
      <c r="AA201" s="221">
        <v>0</v>
      </c>
      <c r="AB201" s="221">
        <v>0</v>
      </c>
      <c r="AC201" s="222">
        <v>0</v>
      </c>
      <c r="AD201" s="223">
        <v>0</v>
      </c>
      <c r="AE201" s="136"/>
      <c r="AF201" s="136">
        <v>88.8</v>
      </c>
      <c r="AG201" s="224">
        <v>88.8</v>
      </c>
      <c r="AH201" s="136">
        <v>2156.5</v>
      </c>
      <c r="AI201" s="136"/>
      <c r="AJ201" s="136"/>
      <c r="AK201" s="136">
        <f t="shared" si="33"/>
        <v>1414</v>
      </c>
      <c r="AL201" s="136">
        <f t="shared" si="34"/>
        <v>16.3</v>
      </c>
      <c r="AM201" s="136">
        <f t="shared" si="35"/>
        <v>2</v>
      </c>
      <c r="AN201" s="136">
        <f t="shared" si="36"/>
        <v>5</v>
      </c>
      <c r="AO201" s="136">
        <f t="shared" si="37"/>
        <v>251.5</v>
      </c>
      <c r="AP201" s="139">
        <f t="shared" si="38"/>
        <v>846</v>
      </c>
      <c r="AQ201" s="136">
        <f t="shared" si="41"/>
        <v>0</v>
      </c>
      <c r="AR201" s="136">
        <f t="shared" si="39"/>
        <v>18.8</v>
      </c>
      <c r="AS201" s="139">
        <f t="shared" si="40"/>
        <v>1469</v>
      </c>
      <c r="AT201" s="136"/>
      <c r="AU201" s="136">
        <f t="shared" si="42"/>
        <v>88.8</v>
      </c>
      <c r="AV201" s="225">
        <v>14354266</v>
      </c>
      <c r="AX201" s="136">
        <f>'2024 Legal Max'!AS202</f>
        <v>2180.8000000000002</v>
      </c>
      <c r="AY201" s="136">
        <f t="shared" si="43"/>
        <v>24.3</v>
      </c>
      <c r="AZ201" s="139">
        <v>545900</v>
      </c>
      <c r="BA201" s="129" t="s">
        <v>3683</v>
      </c>
      <c r="BB201" s="164">
        <v>0</v>
      </c>
      <c r="BC201" s="164">
        <v>16.3</v>
      </c>
    </row>
    <row r="202" spans="1:55">
      <c r="A202" s="216" t="s">
        <v>388</v>
      </c>
      <c r="B202" s="217"/>
      <c r="C202" s="218">
        <v>576.20000000000005</v>
      </c>
      <c r="E202" s="218"/>
      <c r="F202" s="218">
        <v>0</v>
      </c>
      <c r="G202" s="219"/>
      <c r="H202" s="218"/>
      <c r="I202" s="218"/>
      <c r="J202" s="136"/>
      <c r="K202" s="139">
        <v>603</v>
      </c>
      <c r="L202" s="136">
        <v>0</v>
      </c>
      <c r="M202" s="217">
        <v>0</v>
      </c>
      <c r="N202" s="136">
        <v>10.5</v>
      </c>
      <c r="O202" s="136">
        <v>0</v>
      </c>
      <c r="P202" s="218">
        <v>322.8</v>
      </c>
      <c r="Q202" s="136">
        <v>0</v>
      </c>
      <c r="R202" s="136">
        <v>18.399999999999999</v>
      </c>
      <c r="S202" s="136">
        <v>0</v>
      </c>
      <c r="T202" s="139">
        <v>8</v>
      </c>
      <c r="U202" s="217">
        <v>0</v>
      </c>
      <c r="V202" s="217">
        <v>226</v>
      </c>
      <c r="W202" s="217">
        <v>0</v>
      </c>
      <c r="X202" s="218">
        <v>0</v>
      </c>
      <c r="Y202" s="220">
        <v>159.5</v>
      </c>
      <c r="Z202" s="164">
        <v>0</v>
      </c>
      <c r="AA202" s="221">
        <v>11</v>
      </c>
      <c r="AB202" s="221">
        <v>1.1000000000000001</v>
      </c>
      <c r="AC202" s="222">
        <v>6</v>
      </c>
      <c r="AD202" s="223">
        <v>0</v>
      </c>
      <c r="AE202" s="136"/>
      <c r="AF202" s="136">
        <v>3.9</v>
      </c>
      <c r="AG202" s="224">
        <v>8.6</v>
      </c>
      <c r="AH202" s="136">
        <v>1009.8</v>
      </c>
      <c r="AI202" s="136"/>
      <c r="AJ202" s="136"/>
      <c r="AK202" s="136">
        <f t="shared" si="33"/>
        <v>576.20000000000005</v>
      </c>
      <c r="AL202" s="136">
        <f t="shared" si="34"/>
        <v>10.5</v>
      </c>
      <c r="AM202" s="136">
        <f t="shared" si="35"/>
        <v>18.399999999999999</v>
      </c>
      <c r="AN202" s="136">
        <f t="shared" si="36"/>
        <v>8</v>
      </c>
      <c r="AO202" s="136">
        <f t="shared" si="37"/>
        <v>322.8</v>
      </c>
      <c r="AP202" s="139">
        <f t="shared" si="38"/>
        <v>226</v>
      </c>
      <c r="AQ202" s="136">
        <f t="shared" si="41"/>
        <v>0</v>
      </c>
      <c r="AR202" s="136">
        <f t="shared" si="39"/>
        <v>159.5</v>
      </c>
      <c r="AS202" s="139">
        <f t="shared" si="40"/>
        <v>603</v>
      </c>
      <c r="AT202" s="136"/>
      <c r="AU202" s="136">
        <f t="shared" si="42"/>
        <v>8.6</v>
      </c>
      <c r="AV202" s="225">
        <v>6197222</v>
      </c>
      <c r="AX202" s="136">
        <f>'2024 Legal Max'!AS203</f>
        <v>1006.4</v>
      </c>
      <c r="AY202" s="136">
        <f t="shared" si="43"/>
        <v>-3.4</v>
      </c>
      <c r="AZ202" s="139">
        <v>250397</v>
      </c>
      <c r="BB202" s="164">
        <v>0</v>
      </c>
      <c r="BC202" s="164">
        <v>10.5</v>
      </c>
    </row>
    <row r="203" spans="1:55">
      <c r="A203" s="216" t="s">
        <v>389</v>
      </c>
      <c r="B203" s="217"/>
      <c r="C203" s="218">
        <v>266</v>
      </c>
      <c r="E203" s="218"/>
      <c r="F203" s="218">
        <v>0</v>
      </c>
      <c r="G203" s="219"/>
      <c r="H203" s="218"/>
      <c r="I203" s="218"/>
      <c r="J203" s="136"/>
      <c r="K203" s="139">
        <v>283</v>
      </c>
      <c r="L203" s="136">
        <v>0</v>
      </c>
      <c r="M203" s="217">
        <v>0</v>
      </c>
      <c r="N203" s="136">
        <v>7</v>
      </c>
      <c r="O203" s="136">
        <v>0</v>
      </c>
      <c r="P203" s="218">
        <v>100.5</v>
      </c>
      <c r="Q203" s="136">
        <v>0</v>
      </c>
      <c r="R203" s="136">
        <v>2.2000000000000002</v>
      </c>
      <c r="S203" s="136">
        <v>0</v>
      </c>
      <c r="T203" s="139">
        <v>2</v>
      </c>
      <c r="U203" s="217">
        <v>0</v>
      </c>
      <c r="V203" s="217">
        <v>62</v>
      </c>
      <c r="W203" s="217">
        <v>0</v>
      </c>
      <c r="X203" s="218">
        <v>0</v>
      </c>
      <c r="Y203" s="220">
        <v>92</v>
      </c>
      <c r="Z203" s="164">
        <v>0</v>
      </c>
      <c r="AA203" s="221">
        <v>0</v>
      </c>
      <c r="AB203" s="221">
        <v>0</v>
      </c>
      <c r="AC203" s="222">
        <v>0</v>
      </c>
      <c r="AD203" s="223">
        <v>0</v>
      </c>
      <c r="AE203" s="136"/>
      <c r="AF203" s="136">
        <v>0</v>
      </c>
      <c r="AG203" s="224">
        <v>0</v>
      </c>
      <c r="AH203" s="136">
        <v>497.7</v>
      </c>
      <c r="AI203" s="136"/>
      <c r="AJ203" s="136"/>
      <c r="AK203" s="136">
        <f t="shared" si="33"/>
        <v>266</v>
      </c>
      <c r="AL203" s="136">
        <f t="shared" si="34"/>
        <v>7</v>
      </c>
      <c r="AM203" s="136">
        <f t="shared" si="35"/>
        <v>2.2000000000000002</v>
      </c>
      <c r="AN203" s="136">
        <f t="shared" si="36"/>
        <v>2</v>
      </c>
      <c r="AO203" s="136">
        <f t="shared" si="37"/>
        <v>100.5</v>
      </c>
      <c r="AP203" s="139">
        <f t="shared" si="38"/>
        <v>62</v>
      </c>
      <c r="AQ203" s="136">
        <f t="shared" si="41"/>
        <v>0</v>
      </c>
      <c r="AR203" s="136">
        <f t="shared" si="39"/>
        <v>92</v>
      </c>
      <c r="AS203" s="139">
        <f t="shared" si="40"/>
        <v>283</v>
      </c>
      <c r="AT203" s="136"/>
      <c r="AU203" s="136">
        <f t="shared" si="42"/>
        <v>0</v>
      </c>
      <c r="AV203" s="225">
        <v>3194246</v>
      </c>
      <c r="AX203" s="136">
        <f>'2024 Legal Max'!AS204</f>
        <v>497.5</v>
      </c>
      <c r="AY203" s="136">
        <f t="shared" si="43"/>
        <v>-0.2</v>
      </c>
      <c r="AZ203" s="139">
        <v>165030</v>
      </c>
      <c r="BB203" s="164">
        <v>0</v>
      </c>
      <c r="BC203" s="164">
        <v>7</v>
      </c>
    </row>
    <row r="204" spans="1:55">
      <c r="A204" s="216" t="s">
        <v>390</v>
      </c>
      <c r="B204" s="217"/>
      <c r="C204" s="218">
        <v>395.5</v>
      </c>
      <c r="E204" s="218"/>
      <c r="F204" s="218">
        <v>0</v>
      </c>
      <c r="G204" s="219"/>
      <c r="H204" s="218"/>
      <c r="I204" s="218"/>
      <c r="J204" s="136"/>
      <c r="K204" s="139">
        <v>411</v>
      </c>
      <c r="L204" s="136">
        <v>0</v>
      </c>
      <c r="M204" s="217">
        <v>0</v>
      </c>
      <c r="N204" s="136">
        <v>6</v>
      </c>
      <c r="O204" s="136">
        <v>0</v>
      </c>
      <c r="P204" s="218">
        <v>110</v>
      </c>
      <c r="Q204" s="136">
        <v>0</v>
      </c>
      <c r="R204" s="136">
        <v>0</v>
      </c>
      <c r="S204" s="136">
        <v>0</v>
      </c>
      <c r="T204" s="139">
        <v>13</v>
      </c>
      <c r="U204" s="217">
        <v>0</v>
      </c>
      <c r="V204" s="217">
        <v>107</v>
      </c>
      <c r="W204" s="217">
        <v>0</v>
      </c>
      <c r="X204" s="218">
        <v>0</v>
      </c>
      <c r="Y204" s="220">
        <v>106</v>
      </c>
      <c r="Z204" s="164">
        <v>0</v>
      </c>
      <c r="AA204" s="221">
        <v>0</v>
      </c>
      <c r="AB204" s="221">
        <v>0</v>
      </c>
      <c r="AC204" s="222">
        <v>0</v>
      </c>
      <c r="AD204" s="223">
        <v>0</v>
      </c>
      <c r="AE204" s="136"/>
      <c r="AF204" s="136">
        <v>0</v>
      </c>
      <c r="AG204" s="224">
        <v>0</v>
      </c>
      <c r="AH204" s="136">
        <v>703</v>
      </c>
      <c r="AI204" s="136"/>
      <c r="AJ204" s="136"/>
      <c r="AK204" s="136">
        <f t="shared" si="33"/>
        <v>395.5</v>
      </c>
      <c r="AL204" s="136">
        <f t="shared" si="34"/>
        <v>6</v>
      </c>
      <c r="AM204" s="136">
        <f t="shared" si="35"/>
        <v>0</v>
      </c>
      <c r="AN204" s="136">
        <f t="shared" si="36"/>
        <v>13</v>
      </c>
      <c r="AO204" s="136">
        <f t="shared" si="37"/>
        <v>110</v>
      </c>
      <c r="AP204" s="139">
        <f t="shared" si="38"/>
        <v>107</v>
      </c>
      <c r="AQ204" s="136">
        <f t="shared" si="41"/>
        <v>0</v>
      </c>
      <c r="AR204" s="136">
        <f t="shared" si="39"/>
        <v>106</v>
      </c>
      <c r="AS204" s="139">
        <f t="shared" si="40"/>
        <v>411</v>
      </c>
      <c r="AT204" s="136"/>
      <c r="AU204" s="136">
        <f t="shared" si="42"/>
        <v>0</v>
      </c>
      <c r="AV204" s="225">
        <v>4036819</v>
      </c>
      <c r="AX204" s="136">
        <f>'2024 Legal Max'!AS205</f>
        <v>698.3</v>
      </c>
      <c r="AY204" s="136">
        <f t="shared" si="43"/>
        <v>-4.7</v>
      </c>
      <c r="AZ204" s="139">
        <v>293202</v>
      </c>
      <c r="BB204" s="164">
        <v>0</v>
      </c>
      <c r="BC204" s="164">
        <v>6</v>
      </c>
    </row>
    <row r="205" spans="1:55">
      <c r="A205" s="216" t="s">
        <v>391</v>
      </c>
      <c r="B205" s="217"/>
      <c r="C205" s="218">
        <v>1653.2</v>
      </c>
      <c r="E205" s="218"/>
      <c r="F205" s="218">
        <v>0</v>
      </c>
      <c r="G205" s="219"/>
      <c r="H205" s="218"/>
      <c r="I205" s="218"/>
      <c r="J205" s="136"/>
      <c r="K205" s="139">
        <v>1754</v>
      </c>
      <c r="L205" s="136">
        <v>0</v>
      </c>
      <c r="M205" s="217">
        <v>0</v>
      </c>
      <c r="N205" s="136">
        <v>41</v>
      </c>
      <c r="O205" s="136">
        <v>0</v>
      </c>
      <c r="P205" s="218">
        <v>634.4</v>
      </c>
      <c r="Q205" s="136">
        <v>0</v>
      </c>
      <c r="R205" s="136">
        <v>69.8</v>
      </c>
      <c r="S205" s="136">
        <v>0</v>
      </c>
      <c r="T205" s="139">
        <v>47</v>
      </c>
      <c r="U205" s="217">
        <v>0</v>
      </c>
      <c r="V205" s="217">
        <v>954</v>
      </c>
      <c r="W205" s="217">
        <v>0</v>
      </c>
      <c r="X205" s="218">
        <v>0</v>
      </c>
      <c r="Y205" s="220">
        <v>607</v>
      </c>
      <c r="Z205" s="164">
        <v>0</v>
      </c>
      <c r="AA205" s="221">
        <v>1</v>
      </c>
      <c r="AB205" s="221">
        <v>0</v>
      </c>
      <c r="AC205" s="222">
        <v>0</v>
      </c>
      <c r="AD205" s="223">
        <v>0</v>
      </c>
      <c r="AE205" s="136"/>
      <c r="AF205" s="136">
        <v>100.2</v>
      </c>
      <c r="AG205" s="224">
        <v>89.6</v>
      </c>
      <c r="AH205" s="136">
        <v>2526.4</v>
      </c>
      <c r="AI205" s="136"/>
      <c r="AJ205" s="136"/>
      <c r="AK205" s="136">
        <f t="shared" si="33"/>
        <v>1653.2</v>
      </c>
      <c r="AL205" s="136">
        <f t="shared" si="34"/>
        <v>41</v>
      </c>
      <c r="AM205" s="136">
        <f t="shared" si="35"/>
        <v>69.8</v>
      </c>
      <c r="AN205" s="136">
        <f t="shared" si="36"/>
        <v>47</v>
      </c>
      <c r="AO205" s="136">
        <f t="shared" si="37"/>
        <v>634.4</v>
      </c>
      <c r="AP205" s="139">
        <f t="shared" si="38"/>
        <v>954</v>
      </c>
      <c r="AQ205" s="136">
        <f t="shared" si="41"/>
        <v>0</v>
      </c>
      <c r="AR205" s="136">
        <f t="shared" si="39"/>
        <v>607</v>
      </c>
      <c r="AS205" s="139">
        <f t="shared" si="40"/>
        <v>1754</v>
      </c>
      <c r="AT205" s="136"/>
      <c r="AU205" s="136">
        <f t="shared" si="42"/>
        <v>100.2</v>
      </c>
      <c r="AV205" s="225">
        <v>14528784</v>
      </c>
      <c r="AX205" s="136">
        <f>'2024 Legal Max'!AS206</f>
        <v>2505.1999999999998</v>
      </c>
      <c r="AY205" s="136">
        <f t="shared" si="43"/>
        <v>-21.2</v>
      </c>
      <c r="AZ205" s="139">
        <v>1002222</v>
      </c>
      <c r="BB205" s="164">
        <v>0</v>
      </c>
      <c r="BC205" s="164">
        <v>41</v>
      </c>
    </row>
    <row r="206" spans="1:55">
      <c r="A206" s="216" t="s">
        <v>392</v>
      </c>
      <c r="B206" s="217"/>
      <c r="C206" s="218">
        <v>847.5</v>
      </c>
      <c r="E206" s="218"/>
      <c r="F206" s="218">
        <v>0</v>
      </c>
      <c r="G206" s="219"/>
      <c r="H206" s="218"/>
      <c r="I206" s="218"/>
      <c r="J206" s="136"/>
      <c r="K206" s="139">
        <v>872</v>
      </c>
      <c r="L206" s="136">
        <v>0</v>
      </c>
      <c r="M206" s="217">
        <v>0</v>
      </c>
      <c r="N206" s="136">
        <v>6.5</v>
      </c>
      <c r="O206" s="136">
        <v>0</v>
      </c>
      <c r="P206" s="218">
        <v>339.3</v>
      </c>
      <c r="Q206" s="136">
        <v>0</v>
      </c>
      <c r="R206" s="136">
        <v>7.2</v>
      </c>
      <c r="S206" s="136">
        <v>0</v>
      </c>
      <c r="T206" s="139">
        <v>5</v>
      </c>
      <c r="U206" s="217">
        <v>0</v>
      </c>
      <c r="V206" s="217">
        <v>418</v>
      </c>
      <c r="W206" s="217">
        <v>0</v>
      </c>
      <c r="X206" s="218">
        <v>0</v>
      </c>
      <c r="Y206" s="220">
        <v>246</v>
      </c>
      <c r="Z206" s="164">
        <v>0</v>
      </c>
      <c r="AA206" s="221">
        <v>4</v>
      </c>
      <c r="AB206" s="221">
        <v>0.5</v>
      </c>
      <c r="AC206" s="222">
        <v>0</v>
      </c>
      <c r="AD206" s="223">
        <v>0</v>
      </c>
      <c r="AE206" s="136"/>
      <c r="AF206" s="136">
        <v>37.9</v>
      </c>
      <c r="AG206" s="224">
        <v>33</v>
      </c>
      <c r="AH206" s="136">
        <v>1488.2</v>
      </c>
      <c r="AI206" s="136"/>
      <c r="AJ206" s="136"/>
      <c r="AK206" s="136">
        <f t="shared" si="33"/>
        <v>847.5</v>
      </c>
      <c r="AL206" s="136">
        <f t="shared" si="34"/>
        <v>6.5</v>
      </c>
      <c r="AM206" s="136">
        <f t="shared" si="35"/>
        <v>7.2</v>
      </c>
      <c r="AN206" s="136">
        <f t="shared" si="36"/>
        <v>5</v>
      </c>
      <c r="AO206" s="136">
        <f t="shared" si="37"/>
        <v>339.3</v>
      </c>
      <c r="AP206" s="139">
        <f t="shared" si="38"/>
        <v>418</v>
      </c>
      <c r="AQ206" s="136">
        <f t="shared" si="41"/>
        <v>0</v>
      </c>
      <c r="AR206" s="136">
        <f t="shared" si="39"/>
        <v>246</v>
      </c>
      <c r="AS206" s="139">
        <f t="shared" si="40"/>
        <v>872</v>
      </c>
      <c r="AT206" s="136"/>
      <c r="AU206" s="136">
        <f t="shared" si="42"/>
        <v>37.9</v>
      </c>
      <c r="AV206" s="225">
        <v>8593285</v>
      </c>
      <c r="AX206" s="136">
        <f>'2024 Legal Max'!AS207</f>
        <v>1471</v>
      </c>
      <c r="AY206" s="136">
        <f t="shared" si="43"/>
        <v>-17.2</v>
      </c>
      <c r="AZ206" s="139">
        <v>365326</v>
      </c>
      <c r="BB206" s="164">
        <v>0</v>
      </c>
      <c r="BC206" s="164">
        <v>6.5</v>
      </c>
    </row>
    <row r="207" spans="1:55">
      <c r="A207" s="216" t="s">
        <v>393</v>
      </c>
      <c r="B207" s="217"/>
      <c r="C207" s="218">
        <v>1657.6</v>
      </c>
      <c r="E207" s="218"/>
      <c r="F207" s="218">
        <v>0</v>
      </c>
      <c r="G207" s="219"/>
      <c r="H207" s="218"/>
      <c r="I207" s="218"/>
      <c r="J207" s="136"/>
      <c r="K207" s="139">
        <v>1692</v>
      </c>
      <c r="L207" s="136">
        <v>0</v>
      </c>
      <c r="M207" s="217">
        <v>0</v>
      </c>
      <c r="N207" s="136">
        <v>7</v>
      </c>
      <c r="O207" s="136">
        <v>0</v>
      </c>
      <c r="P207" s="218">
        <v>404.8</v>
      </c>
      <c r="Q207" s="136">
        <v>0</v>
      </c>
      <c r="R207" s="136">
        <v>22.7</v>
      </c>
      <c r="S207" s="136">
        <v>0</v>
      </c>
      <c r="T207" s="139">
        <v>27</v>
      </c>
      <c r="U207" s="217">
        <v>0</v>
      </c>
      <c r="V207" s="217">
        <v>304</v>
      </c>
      <c r="W207" s="217">
        <v>0</v>
      </c>
      <c r="X207" s="218">
        <v>0</v>
      </c>
      <c r="Y207" s="220">
        <v>662</v>
      </c>
      <c r="Z207" s="164">
        <v>0</v>
      </c>
      <c r="AA207" s="221">
        <v>10</v>
      </c>
      <c r="AB207" s="221">
        <v>8.4</v>
      </c>
      <c r="AC207" s="222">
        <v>0</v>
      </c>
      <c r="AD207" s="223">
        <v>0</v>
      </c>
      <c r="AE207" s="136"/>
      <c r="AF207" s="136">
        <v>0</v>
      </c>
      <c r="AG207" s="224">
        <v>0</v>
      </c>
      <c r="AH207" s="136">
        <v>2056.8000000000002</v>
      </c>
      <c r="AI207" s="136"/>
      <c r="AJ207" s="136"/>
      <c r="AK207" s="136">
        <f t="shared" si="33"/>
        <v>1657.6</v>
      </c>
      <c r="AL207" s="136">
        <f t="shared" si="34"/>
        <v>7</v>
      </c>
      <c r="AM207" s="136">
        <f t="shared" si="35"/>
        <v>22.7</v>
      </c>
      <c r="AN207" s="136">
        <f t="shared" si="36"/>
        <v>27</v>
      </c>
      <c r="AO207" s="136">
        <f t="shared" si="37"/>
        <v>404.8</v>
      </c>
      <c r="AP207" s="139">
        <f t="shared" si="38"/>
        <v>304</v>
      </c>
      <c r="AQ207" s="136">
        <f t="shared" si="41"/>
        <v>0</v>
      </c>
      <c r="AR207" s="136">
        <f t="shared" si="39"/>
        <v>662</v>
      </c>
      <c r="AS207" s="139">
        <f t="shared" si="40"/>
        <v>1692</v>
      </c>
      <c r="AT207" s="136"/>
      <c r="AU207" s="136">
        <f t="shared" si="42"/>
        <v>0</v>
      </c>
      <c r="AV207" s="225">
        <v>13246610</v>
      </c>
      <c r="AX207" s="136">
        <f>'2024 Legal Max'!AS208</f>
        <v>2146.9</v>
      </c>
      <c r="AY207" s="136">
        <f t="shared" si="43"/>
        <v>90.1</v>
      </c>
      <c r="AZ207" s="139">
        <v>478890</v>
      </c>
      <c r="BA207" s="129" t="s">
        <v>3555</v>
      </c>
      <c r="BB207" s="164">
        <v>0</v>
      </c>
      <c r="BC207" s="164">
        <v>7</v>
      </c>
    </row>
    <row r="208" spans="1:55">
      <c r="A208" s="216" t="s">
        <v>394</v>
      </c>
      <c r="B208" s="217"/>
      <c r="C208" s="218">
        <v>736.5</v>
      </c>
      <c r="E208" s="218"/>
      <c r="F208" s="218">
        <v>0</v>
      </c>
      <c r="G208" s="219"/>
      <c r="H208" s="218"/>
      <c r="I208" s="218"/>
      <c r="J208" s="136"/>
      <c r="K208" s="139">
        <v>767</v>
      </c>
      <c r="L208" s="136">
        <v>0</v>
      </c>
      <c r="M208" s="217">
        <v>0</v>
      </c>
      <c r="N208" s="136">
        <v>12</v>
      </c>
      <c r="O208" s="136">
        <v>0</v>
      </c>
      <c r="P208" s="218">
        <v>257.2</v>
      </c>
      <c r="Q208" s="136">
        <v>0</v>
      </c>
      <c r="R208" s="136">
        <v>10.7</v>
      </c>
      <c r="S208" s="136">
        <v>0</v>
      </c>
      <c r="T208" s="139">
        <v>5</v>
      </c>
      <c r="U208" s="217">
        <v>0</v>
      </c>
      <c r="V208" s="217">
        <v>372</v>
      </c>
      <c r="W208" s="217">
        <v>0</v>
      </c>
      <c r="X208" s="218">
        <v>0</v>
      </c>
      <c r="Y208" s="220">
        <v>270</v>
      </c>
      <c r="Z208" s="164">
        <v>0</v>
      </c>
      <c r="AA208" s="221">
        <v>0</v>
      </c>
      <c r="AB208" s="221">
        <v>0</v>
      </c>
      <c r="AC208" s="222">
        <v>0</v>
      </c>
      <c r="AD208" s="223">
        <v>0</v>
      </c>
      <c r="AE208" s="136"/>
      <c r="AF208" s="136">
        <v>35.200000000000003</v>
      </c>
      <c r="AG208" s="224">
        <v>35.799999999999997</v>
      </c>
      <c r="AH208" s="136">
        <v>1316.9</v>
      </c>
      <c r="AI208" s="136"/>
      <c r="AJ208" s="136"/>
      <c r="AK208" s="136">
        <f t="shared" si="33"/>
        <v>736.5</v>
      </c>
      <c r="AL208" s="136">
        <f t="shared" si="34"/>
        <v>12</v>
      </c>
      <c r="AM208" s="136">
        <f t="shared" si="35"/>
        <v>10.7</v>
      </c>
      <c r="AN208" s="136">
        <f t="shared" si="36"/>
        <v>5</v>
      </c>
      <c r="AO208" s="136">
        <f t="shared" si="37"/>
        <v>257.2</v>
      </c>
      <c r="AP208" s="139">
        <f t="shared" si="38"/>
        <v>372</v>
      </c>
      <c r="AQ208" s="136">
        <f t="shared" si="41"/>
        <v>0</v>
      </c>
      <c r="AR208" s="136">
        <f t="shared" si="39"/>
        <v>270</v>
      </c>
      <c r="AS208" s="139">
        <f t="shared" si="40"/>
        <v>767</v>
      </c>
      <c r="AT208" s="136"/>
      <c r="AU208" s="136">
        <f t="shared" si="42"/>
        <v>35.799999999999997</v>
      </c>
      <c r="AV208" s="225">
        <v>7699108</v>
      </c>
      <c r="AX208" s="136">
        <f>'2024 Legal Max'!AS209</f>
        <v>1308.9000000000001</v>
      </c>
      <c r="AY208" s="136">
        <f t="shared" si="43"/>
        <v>-8</v>
      </c>
      <c r="AZ208" s="139">
        <v>609649</v>
      </c>
      <c r="BB208" s="164">
        <v>0</v>
      </c>
      <c r="BC208" s="164">
        <v>12</v>
      </c>
    </row>
    <row r="209" spans="1:55">
      <c r="A209" s="216" t="s">
        <v>395</v>
      </c>
      <c r="B209" s="217"/>
      <c r="C209" s="218">
        <v>2141.3000000000002</v>
      </c>
      <c r="E209" s="218"/>
      <c r="F209" s="218">
        <v>0</v>
      </c>
      <c r="G209" s="219"/>
      <c r="H209" s="218"/>
      <c r="I209" s="218"/>
      <c r="J209" s="136"/>
      <c r="K209" s="139">
        <v>2242</v>
      </c>
      <c r="L209" s="136">
        <v>0</v>
      </c>
      <c r="M209" s="217">
        <v>0</v>
      </c>
      <c r="N209" s="136">
        <v>38</v>
      </c>
      <c r="O209" s="136">
        <v>0</v>
      </c>
      <c r="P209" s="218">
        <v>496.7</v>
      </c>
      <c r="Q209" s="136">
        <v>0</v>
      </c>
      <c r="R209" s="136">
        <v>112.7</v>
      </c>
      <c r="S209" s="136">
        <v>0</v>
      </c>
      <c r="T209" s="139">
        <v>68</v>
      </c>
      <c r="U209" s="217">
        <v>0</v>
      </c>
      <c r="V209" s="217">
        <v>867</v>
      </c>
      <c r="W209" s="217">
        <v>0</v>
      </c>
      <c r="X209" s="218">
        <v>0</v>
      </c>
      <c r="Y209" s="220">
        <v>201</v>
      </c>
      <c r="Z209" s="164">
        <v>0</v>
      </c>
      <c r="AA209" s="221">
        <v>11</v>
      </c>
      <c r="AB209" s="221">
        <v>0</v>
      </c>
      <c r="AC209" s="222">
        <v>0</v>
      </c>
      <c r="AD209" s="223">
        <v>0</v>
      </c>
      <c r="AE209" s="136"/>
      <c r="AF209" s="136">
        <v>22.3</v>
      </c>
      <c r="AG209" s="224">
        <v>36.799999999999997</v>
      </c>
      <c r="AH209" s="136">
        <v>2886.2</v>
      </c>
      <c r="AI209" s="136"/>
      <c r="AJ209" s="136"/>
      <c r="AK209" s="136">
        <f t="shared" si="33"/>
        <v>2141.3000000000002</v>
      </c>
      <c r="AL209" s="136">
        <f t="shared" si="34"/>
        <v>38</v>
      </c>
      <c r="AM209" s="136">
        <f t="shared" si="35"/>
        <v>112.7</v>
      </c>
      <c r="AN209" s="136">
        <f t="shared" si="36"/>
        <v>68</v>
      </c>
      <c r="AO209" s="136">
        <f t="shared" si="37"/>
        <v>496.7</v>
      </c>
      <c r="AP209" s="139">
        <f t="shared" si="38"/>
        <v>867</v>
      </c>
      <c r="AQ209" s="136">
        <f t="shared" si="41"/>
        <v>0</v>
      </c>
      <c r="AR209" s="136">
        <f t="shared" si="39"/>
        <v>201</v>
      </c>
      <c r="AS209" s="139">
        <f t="shared" si="40"/>
        <v>2242</v>
      </c>
      <c r="AT209" s="136"/>
      <c r="AU209" s="136">
        <f t="shared" si="42"/>
        <v>36.799999999999997</v>
      </c>
      <c r="AV209" s="225">
        <v>18358534</v>
      </c>
      <c r="AX209" s="136">
        <f>'2024 Legal Max'!AS210</f>
        <v>2879.7</v>
      </c>
      <c r="AY209" s="136">
        <f t="shared" si="43"/>
        <v>-6.5</v>
      </c>
      <c r="AZ209" s="139">
        <v>431735</v>
      </c>
      <c r="BB209" s="164">
        <v>0</v>
      </c>
      <c r="BC209" s="164">
        <v>38</v>
      </c>
    </row>
    <row r="210" spans="1:55">
      <c r="A210" s="216" t="s">
        <v>396</v>
      </c>
      <c r="B210" s="217"/>
      <c r="C210" s="218">
        <v>336.5</v>
      </c>
      <c r="E210" s="218"/>
      <c r="F210" s="218">
        <v>0</v>
      </c>
      <c r="G210" s="219"/>
      <c r="H210" s="218"/>
      <c r="I210" s="218"/>
      <c r="J210" s="136"/>
      <c r="K210" s="139">
        <v>354</v>
      </c>
      <c r="L210" s="136">
        <v>0</v>
      </c>
      <c r="M210" s="217">
        <v>0</v>
      </c>
      <c r="N210" s="136">
        <v>7</v>
      </c>
      <c r="O210" s="136">
        <v>0</v>
      </c>
      <c r="P210" s="218">
        <v>47.3</v>
      </c>
      <c r="Q210" s="136">
        <v>0</v>
      </c>
      <c r="R210" s="136">
        <v>0</v>
      </c>
      <c r="S210" s="136">
        <v>0</v>
      </c>
      <c r="T210" s="139">
        <v>1</v>
      </c>
      <c r="U210" s="217">
        <v>0</v>
      </c>
      <c r="V210" s="217">
        <v>106</v>
      </c>
      <c r="W210" s="217">
        <v>0</v>
      </c>
      <c r="X210" s="218">
        <v>0</v>
      </c>
      <c r="Y210" s="220">
        <v>178</v>
      </c>
      <c r="Z210" s="164">
        <v>0</v>
      </c>
      <c r="AA210" s="221">
        <v>0</v>
      </c>
      <c r="AB210" s="221">
        <v>0</v>
      </c>
      <c r="AC210" s="222">
        <v>0</v>
      </c>
      <c r="AD210" s="223">
        <v>0</v>
      </c>
      <c r="AE210" s="136"/>
      <c r="AF210" s="136">
        <v>0</v>
      </c>
      <c r="AG210" s="224">
        <v>0.9</v>
      </c>
      <c r="AH210" s="136">
        <v>574.9</v>
      </c>
      <c r="AI210" s="136"/>
      <c r="AJ210" s="136"/>
      <c r="AK210" s="136">
        <f t="shared" si="33"/>
        <v>336.5</v>
      </c>
      <c r="AL210" s="136">
        <f t="shared" si="34"/>
        <v>7</v>
      </c>
      <c r="AM210" s="136">
        <f t="shared" si="35"/>
        <v>0</v>
      </c>
      <c r="AN210" s="136">
        <f t="shared" si="36"/>
        <v>1</v>
      </c>
      <c r="AO210" s="136">
        <f t="shared" si="37"/>
        <v>47.3</v>
      </c>
      <c r="AP210" s="139">
        <f t="shared" si="38"/>
        <v>106</v>
      </c>
      <c r="AQ210" s="136">
        <f t="shared" si="41"/>
        <v>0</v>
      </c>
      <c r="AR210" s="136">
        <f t="shared" si="39"/>
        <v>178</v>
      </c>
      <c r="AS210" s="139">
        <f t="shared" si="40"/>
        <v>354</v>
      </c>
      <c r="AT210" s="136"/>
      <c r="AU210" s="136">
        <f t="shared" si="42"/>
        <v>0.9</v>
      </c>
      <c r="AV210" s="225">
        <v>3328061</v>
      </c>
      <c r="AX210" s="136">
        <f>'2024 Legal Max'!AS211</f>
        <v>572</v>
      </c>
      <c r="AY210" s="136">
        <f t="shared" si="43"/>
        <v>-2.9</v>
      </c>
      <c r="AZ210" s="139">
        <v>176227</v>
      </c>
      <c r="BB210" s="164">
        <v>0</v>
      </c>
      <c r="BC210" s="164">
        <v>7</v>
      </c>
    </row>
    <row r="211" spans="1:55">
      <c r="A211" s="216" t="s">
        <v>397</v>
      </c>
      <c r="B211" s="217"/>
      <c r="C211" s="218">
        <v>653.5</v>
      </c>
      <c r="E211" s="218"/>
      <c r="F211" s="218">
        <v>0</v>
      </c>
      <c r="G211" s="219"/>
      <c r="H211" s="218"/>
      <c r="I211" s="218"/>
      <c r="J211" s="136"/>
      <c r="K211" s="139">
        <v>688</v>
      </c>
      <c r="L211" s="136">
        <v>0</v>
      </c>
      <c r="M211" s="217">
        <v>0</v>
      </c>
      <c r="N211" s="136">
        <v>11.5</v>
      </c>
      <c r="O211" s="136">
        <v>0</v>
      </c>
      <c r="P211" s="218">
        <v>108.6</v>
      </c>
      <c r="Q211" s="136">
        <v>0</v>
      </c>
      <c r="R211" s="136">
        <v>0</v>
      </c>
      <c r="S211" s="136">
        <v>0</v>
      </c>
      <c r="T211" s="139">
        <v>2</v>
      </c>
      <c r="U211" s="217">
        <v>0</v>
      </c>
      <c r="V211" s="217">
        <v>332</v>
      </c>
      <c r="W211" s="217">
        <v>0</v>
      </c>
      <c r="X211" s="218">
        <v>0</v>
      </c>
      <c r="Y211" s="220">
        <v>106.5</v>
      </c>
      <c r="Z211" s="164">
        <v>0</v>
      </c>
      <c r="AA211" s="221">
        <v>2</v>
      </c>
      <c r="AB211" s="221">
        <v>0.5</v>
      </c>
      <c r="AC211" s="222">
        <v>0</v>
      </c>
      <c r="AD211" s="223">
        <v>0</v>
      </c>
      <c r="AE211" s="136"/>
      <c r="AF211" s="136">
        <v>30.8</v>
      </c>
      <c r="AG211" s="224">
        <v>26.2</v>
      </c>
      <c r="AH211" s="136">
        <v>1150.5999999999999</v>
      </c>
      <c r="AI211" s="136"/>
      <c r="AJ211" s="136"/>
      <c r="AK211" s="136">
        <f t="shared" si="33"/>
        <v>653.5</v>
      </c>
      <c r="AL211" s="136">
        <f t="shared" si="34"/>
        <v>11.5</v>
      </c>
      <c r="AM211" s="136">
        <f t="shared" si="35"/>
        <v>0</v>
      </c>
      <c r="AN211" s="136">
        <f t="shared" si="36"/>
        <v>2</v>
      </c>
      <c r="AO211" s="136">
        <f t="shared" si="37"/>
        <v>108.6</v>
      </c>
      <c r="AP211" s="139">
        <f t="shared" si="38"/>
        <v>332</v>
      </c>
      <c r="AQ211" s="136">
        <f t="shared" si="41"/>
        <v>0</v>
      </c>
      <c r="AR211" s="136">
        <f t="shared" si="39"/>
        <v>106.5</v>
      </c>
      <c r="AS211" s="139">
        <f t="shared" si="40"/>
        <v>688</v>
      </c>
      <c r="AT211" s="136"/>
      <c r="AU211" s="136">
        <f t="shared" si="42"/>
        <v>30.8</v>
      </c>
      <c r="AV211" s="225">
        <v>6635418</v>
      </c>
      <c r="AX211" s="136">
        <f>'2024 Legal Max'!AS212</f>
        <v>1145.8</v>
      </c>
      <c r="AY211" s="136">
        <f t="shared" si="43"/>
        <v>-4.8</v>
      </c>
      <c r="AZ211" s="139">
        <v>177060</v>
      </c>
      <c r="BB211" s="164">
        <v>0</v>
      </c>
      <c r="BC211" s="164">
        <v>11.5</v>
      </c>
    </row>
    <row r="212" spans="1:55">
      <c r="A212" s="216" t="s">
        <v>398</v>
      </c>
      <c r="B212" s="217"/>
      <c r="C212" s="218">
        <v>394</v>
      </c>
      <c r="E212" s="218"/>
      <c r="F212" s="218">
        <v>0</v>
      </c>
      <c r="G212" s="219"/>
      <c r="H212" s="218"/>
      <c r="I212" s="218"/>
      <c r="J212" s="136"/>
      <c r="K212" s="139">
        <v>410</v>
      </c>
      <c r="L212" s="136">
        <v>0</v>
      </c>
      <c r="M212" s="217">
        <v>0</v>
      </c>
      <c r="N212" s="136">
        <v>5</v>
      </c>
      <c r="O212" s="136">
        <v>0</v>
      </c>
      <c r="P212" s="218">
        <v>46.8</v>
      </c>
      <c r="Q212" s="136">
        <v>0</v>
      </c>
      <c r="R212" s="136">
        <v>0</v>
      </c>
      <c r="S212" s="136">
        <v>0</v>
      </c>
      <c r="T212" s="139">
        <v>0</v>
      </c>
      <c r="U212" s="217">
        <v>0</v>
      </c>
      <c r="V212" s="217">
        <v>125</v>
      </c>
      <c r="W212" s="217">
        <v>0</v>
      </c>
      <c r="X212" s="218">
        <v>0</v>
      </c>
      <c r="Y212" s="220">
        <v>153</v>
      </c>
      <c r="Z212" s="164">
        <v>0</v>
      </c>
      <c r="AA212" s="221">
        <v>1</v>
      </c>
      <c r="AB212" s="221">
        <v>0</v>
      </c>
      <c r="AC212" s="222">
        <v>0</v>
      </c>
      <c r="AD212" s="223">
        <v>0</v>
      </c>
      <c r="AE212" s="136"/>
      <c r="AF212" s="136">
        <v>0</v>
      </c>
      <c r="AG212" s="224">
        <v>0</v>
      </c>
      <c r="AH212" s="136">
        <v>712.4</v>
      </c>
      <c r="AI212" s="136"/>
      <c r="AJ212" s="136"/>
      <c r="AK212" s="136">
        <f t="shared" si="33"/>
        <v>394</v>
      </c>
      <c r="AL212" s="136">
        <f t="shared" si="34"/>
        <v>5</v>
      </c>
      <c r="AM212" s="136">
        <f t="shared" si="35"/>
        <v>0</v>
      </c>
      <c r="AN212" s="136">
        <f t="shared" si="36"/>
        <v>0</v>
      </c>
      <c r="AO212" s="136">
        <f t="shared" si="37"/>
        <v>46.8</v>
      </c>
      <c r="AP212" s="139">
        <f t="shared" si="38"/>
        <v>125</v>
      </c>
      <c r="AQ212" s="136">
        <f t="shared" si="41"/>
        <v>0</v>
      </c>
      <c r="AR212" s="136">
        <f t="shared" si="39"/>
        <v>153</v>
      </c>
      <c r="AS212" s="139">
        <f t="shared" si="40"/>
        <v>410</v>
      </c>
      <c r="AT212" s="136"/>
      <c r="AU212" s="136">
        <f t="shared" si="42"/>
        <v>0</v>
      </c>
      <c r="AV212" s="225">
        <v>4397562</v>
      </c>
      <c r="AX212" s="136">
        <f>'2024 Legal Max'!AS213</f>
        <v>711.1</v>
      </c>
      <c r="AY212" s="136">
        <f t="shared" si="43"/>
        <v>-1.3</v>
      </c>
      <c r="AZ212" s="139">
        <v>210302</v>
      </c>
      <c r="BB212" s="164">
        <v>0</v>
      </c>
      <c r="BC212" s="164">
        <v>5</v>
      </c>
    </row>
    <row r="213" spans="1:55">
      <c r="A213" s="216" t="s">
        <v>399</v>
      </c>
      <c r="B213" s="217"/>
      <c r="C213" s="218">
        <v>259</v>
      </c>
      <c r="E213" s="218"/>
      <c r="F213" s="218">
        <v>0</v>
      </c>
      <c r="G213" s="219"/>
      <c r="H213" s="218"/>
      <c r="I213" s="218"/>
      <c r="J213" s="136"/>
      <c r="K213" s="139">
        <v>270</v>
      </c>
      <c r="L213" s="136">
        <v>0</v>
      </c>
      <c r="M213" s="217">
        <v>0</v>
      </c>
      <c r="N213" s="136">
        <v>5</v>
      </c>
      <c r="O213" s="136">
        <v>0</v>
      </c>
      <c r="P213" s="218">
        <v>49.9</v>
      </c>
      <c r="Q213" s="136">
        <v>0</v>
      </c>
      <c r="R213" s="136">
        <v>0</v>
      </c>
      <c r="S213" s="136">
        <v>0</v>
      </c>
      <c r="T213" s="139">
        <v>21</v>
      </c>
      <c r="U213" s="217">
        <v>0</v>
      </c>
      <c r="V213" s="217">
        <v>99</v>
      </c>
      <c r="W213" s="217">
        <v>0</v>
      </c>
      <c r="X213" s="218">
        <v>0</v>
      </c>
      <c r="Y213" s="220">
        <v>93</v>
      </c>
      <c r="Z213" s="164">
        <v>0</v>
      </c>
      <c r="AA213" s="221">
        <v>0</v>
      </c>
      <c r="AB213" s="221">
        <v>0</v>
      </c>
      <c r="AC213" s="222">
        <v>0</v>
      </c>
      <c r="AD213" s="223">
        <v>0</v>
      </c>
      <c r="AE213" s="136"/>
      <c r="AF213" s="136">
        <v>1.2</v>
      </c>
      <c r="AG213" s="224">
        <v>3.4</v>
      </c>
      <c r="AH213" s="136">
        <v>530.70000000000005</v>
      </c>
      <c r="AI213" s="136"/>
      <c r="AJ213" s="136"/>
      <c r="AK213" s="136">
        <f t="shared" si="33"/>
        <v>259</v>
      </c>
      <c r="AL213" s="136">
        <f t="shared" si="34"/>
        <v>5</v>
      </c>
      <c r="AM213" s="136">
        <f t="shared" si="35"/>
        <v>0</v>
      </c>
      <c r="AN213" s="136">
        <f t="shared" si="36"/>
        <v>21</v>
      </c>
      <c r="AO213" s="136">
        <f t="shared" si="37"/>
        <v>49.9</v>
      </c>
      <c r="AP213" s="139">
        <f t="shared" si="38"/>
        <v>99</v>
      </c>
      <c r="AQ213" s="136">
        <f t="shared" si="41"/>
        <v>0</v>
      </c>
      <c r="AR213" s="136">
        <f t="shared" si="39"/>
        <v>93</v>
      </c>
      <c r="AS213" s="139">
        <f t="shared" si="40"/>
        <v>270</v>
      </c>
      <c r="AT213" s="136"/>
      <c r="AU213" s="136">
        <f t="shared" si="42"/>
        <v>3.4</v>
      </c>
      <c r="AV213" s="225">
        <v>3208493</v>
      </c>
      <c r="AX213" s="136">
        <f>'2024 Legal Max'!AS214</f>
        <v>531.1</v>
      </c>
      <c r="AY213" s="136">
        <f t="shared" si="43"/>
        <v>0.4</v>
      </c>
      <c r="AZ213" s="139">
        <v>189687</v>
      </c>
      <c r="BB213" s="164">
        <v>0</v>
      </c>
      <c r="BC213" s="164">
        <v>5</v>
      </c>
    </row>
    <row r="214" spans="1:55">
      <c r="A214" s="216" t="s">
        <v>400</v>
      </c>
      <c r="B214" s="217"/>
      <c r="C214" s="218">
        <v>476.6</v>
      </c>
      <c r="E214" s="218"/>
      <c r="F214" s="218">
        <v>0</v>
      </c>
      <c r="G214" s="219"/>
      <c r="H214" s="218"/>
      <c r="I214" s="218"/>
      <c r="J214" s="136"/>
      <c r="K214" s="139">
        <v>506</v>
      </c>
      <c r="L214" s="136">
        <v>0</v>
      </c>
      <c r="M214" s="217">
        <v>0</v>
      </c>
      <c r="N214" s="136">
        <v>12.5</v>
      </c>
      <c r="O214" s="136">
        <v>0</v>
      </c>
      <c r="P214" s="218">
        <v>200</v>
      </c>
      <c r="Q214" s="136">
        <v>0</v>
      </c>
      <c r="R214" s="136">
        <v>14.3</v>
      </c>
      <c r="S214" s="136">
        <v>0</v>
      </c>
      <c r="T214" s="139">
        <v>8</v>
      </c>
      <c r="U214" s="217">
        <v>0</v>
      </c>
      <c r="V214" s="217">
        <v>162</v>
      </c>
      <c r="W214" s="217">
        <v>0</v>
      </c>
      <c r="X214" s="218">
        <v>0</v>
      </c>
      <c r="Y214" s="220">
        <v>119</v>
      </c>
      <c r="Z214" s="164">
        <v>0</v>
      </c>
      <c r="AA214" s="221">
        <v>0</v>
      </c>
      <c r="AB214" s="221">
        <v>0</v>
      </c>
      <c r="AC214" s="222">
        <v>0</v>
      </c>
      <c r="AD214" s="223">
        <v>0</v>
      </c>
      <c r="AE214" s="136"/>
      <c r="AF214" s="136">
        <v>0</v>
      </c>
      <c r="AG214" s="224">
        <v>0.9</v>
      </c>
      <c r="AH214" s="136">
        <v>787.4</v>
      </c>
      <c r="AI214" s="136"/>
      <c r="AJ214" s="136"/>
      <c r="AK214" s="136">
        <f t="shared" si="33"/>
        <v>476.6</v>
      </c>
      <c r="AL214" s="136">
        <f t="shared" si="34"/>
        <v>12.5</v>
      </c>
      <c r="AM214" s="136">
        <f t="shared" si="35"/>
        <v>14.3</v>
      </c>
      <c r="AN214" s="136">
        <f t="shared" si="36"/>
        <v>8</v>
      </c>
      <c r="AO214" s="136">
        <f t="shared" si="37"/>
        <v>200</v>
      </c>
      <c r="AP214" s="139">
        <f t="shared" si="38"/>
        <v>162</v>
      </c>
      <c r="AQ214" s="136">
        <f t="shared" si="41"/>
        <v>0</v>
      </c>
      <c r="AR214" s="136">
        <f t="shared" si="39"/>
        <v>119</v>
      </c>
      <c r="AS214" s="139">
        <f t="shared" si="40"/>
        <v>506</v>
      </c>
      <c r="AT214" s="136"/>
      <c r="AU214" s="136">
        <f t="shared" si="42"/>
        <v>0.9</v>
      </c>
      <c r="AV214" s="225">
        <v>4538496</v>
      </c>
      <c r="AX214" s="136">
        <f>'2024 Legal Max'!AS215</f>
        <v>789.7</v>
      </c>
      <c r="AY214" s="136">
        <f t="shared" si="43"/>
        <v>2.2999999999999998</v>
      </c>
      <c r="AZ214" s="139">
        <v>150333</v>
      </c>
      <c r="BB214" s="164">
        <v>0</v>
      </c>
      <c r="BC214" s="164">
        <v>12.5</v>
      </c>
    </row>
    <row r="215" spans="1:55">
      <c r="A215" s="216" t="s">
        <v>401</v>
      </c>
      <c r="B215" s="217"/>
      <c r="C215" s="218">
        <v>199</v>
      </c>
      <c r="E215" s="218"/>
      <c r="F215" s="218">
        <v>0</v>
      </c>
      <c r="G215" s="219"/>
      <c r="H215" s="218"/>
      <c r="I215" s="218"/>
      <c r="J215" s="136"/>
      <c r="K215" s="139">
        <v>216</v>
      </c>
      <c r="L215" s="136">
        <v>0</v>
      </c>
      <c r="M215" s="217">
        <v>0</v>
      </c>
      <c r="N215" s="136">
        <v>5</v>
      </c>
      <c r="O215" s="136">
        <v>0</v>
      </c>
      <c r="P215" s="218">
        <v>82.8</v>
      </c>
      <c r="Q215" s="136">
        <v>0</v>
      </c>
      <c r="R215" s="136">
        <v>0</v>
      </c>
      <c r="S215" s="136">
        <v>0</v>
      </c>
      <c r="T215" s="139">
        <v>0</v>
      </c>
      <c r="U215" s="217">
        <v>0</v>
      </c>
      <c r="V215" s="217">
        <v>63</v>
      </c>
      <c r="W215" s="217">
        <v>0</v>
      </c>
      <c r="X215" s="218">
        <v>0</v>
      </c>
      <c r="Y215" s="220">
        <v>103</v>
      </c>
      <c r="Z215" s="164">
        <v>0</v>
      </c>
      <c r="AA215" s="221">
        <v>0</v>
      </c>
      <c r="AB215" s="221">
        <v>0</v>
      </c>
      <c r="AC215" s="222">
        <v>0</v>
      </c>
      <c r="AD215" s="223">
        <v>0</v>
      </c>
      <c r="AE215" s="136"/>
      <c r="AF215" s="136">
        <v>0</v>
      </c>
      <c r="AG215" s="224">
        <v>0</v>
      </c>
      <c r="AH215" s="136">
        <v>423</v>
      </c>
      <c r="AI215" s="136"/>
      <c r="AJ215" s="136"/>
      <c r="AK215" s="136">
        <f t="shared" si="33"/>
        <v>199</v>
      </c>
      <c r="AL215" s="136">
        <f t="shared" si="34"/>
        <v>5</v>
      </c>
      <c r="AM215" s="136">
        <f t="shared" si="35"/>
        <v>0</v>
      </c>
      <c r="AN215" s="136">
        <f t="shared" si="36"/>
        <v>0</v>
      </c>
      <c r="AO215" s="136">
        <f t="shared" si="37"/>
        <v>82.8</v>
      </c>
      <c r="AP215" s="139">
        <f t="shared" si="38"/>
        <v>63</v>
      </c>
      <c r="AQ215" s="136">
        <f t="shared" si="41"/>
        <v>0</v>
      </c>
      <c r="AR215" s="136">
        <f t="shared" si="39"/>
        <v>103</v>
      </c>
      <c r="AS215" s="139">
        <f t="shared" si="40"/>
        <v>216</v>
      </c>
      <c r="AT215" s="136"/>
      <c r="AU215" s="136">
        <f t="shared" si="42"/>
        <v>0</v>
      </c>
      <c r="AV215" s="225">
        <v>2398483</v>
      </c>
      <c r="AX215" s="136">
        <f>'2024 Legal Max'!AS216</f>
        <v>419.8</v>
      </c>
      <c r="AY215" s="136">
        <f t="shared" si="43"/>
        <v>-3.2</v>
      </c>
      <c r="AZ215" s="139">
        <v>282781</v>
      </c>
      <c r="BB215" s="164">
        <v>0</v>
      </c>
      <c r="BC215" s="164">
        <v>5</v>
      </c>
    </row>
    <row r="216" spans="1:55">
      <c r="A216" s="216" t="s">
        <v>402</v>
      </c>
      <c r="B216" s="217"/>
      <c r="C216" s="218">
        <v>2780.9</v>
      </c>
      <c r="E216" s="218"/>
      <c r="F216" s="218">
        <v>0</v>
      </c>
      <c r="G216" s="219"/>
      <c r="H216" s="218"/>
      <c r="I216" s="218"/>
      <c r="J216" s="136"/>
      <c r="K216" s="139">
        <v>2907</v>
      </c>
      <c r="L216" s="136">
        <v>0</v>
      </c>
      <c r="M216" s="217">
        <v>0</v>
      </c>
      <c r="N216" s="136">
        <v>50.5</v>
      </c>
      <c r="O216" s="136">
        <v>0</v>
      </c>
      <c r="P216" s="218">
        <v>687.8</v>
      </c>
      <c r="Q216" s="136">
        <v>0</v>
      </c>
      <c r="R216" s="136">
        <v>1506.6</v>
      </c>
      <c r="S216" s="136">
        <v>0</v>
      </c>
      <c r="T216" s="139">
        <v>493</v>
      </c>
      <c r="U216" s="217">
        <v>0</v>
      </c>
      <c r="V216" s="217">
        <v>1732</v>
      </c>
      <c r="W216" s="217">
        <v>0</v>
      </c>
      <c r="X216" s="218">
        <v>0</v>
      </c>
      <c r="Y216" s="220">
        <v>175</v>
      </c>
      <c r="Z216" s="164">
        <v>0</v>
      </c>
      <c r="AA216" s="221">
        <v>12</v>
      </c>
      <c r="AB216" s="221">
        <v>0.1</v>
      </c>
      <c r="AC216" s="222">
        <v>0</v>
      </c>
      <c r="AD216" s="223">
        <v>0</v>
      </c>
      <c r="AE216" s="136"/>
      <c r="AF216" s="136">
        <v>181.9</v>
      </c>
      <c r="AG216" s="224">
        <v>174</v>
      </c>
      <c r="AH216" s="136">
        <v>4137</v>
      </c>
      <c r="AI216" s="136"/>
      <c r="AJ216" s="136"/>
      <c r="AK216" s="136">
        <f t="shared" si="33"/>
        <v>2780.9</v>
      </c>
      <c r="AL216" s="136">
        <f t="shared" si="34"/>
        <v>50.5</v>
      </c>
      <c r="AM216" s="136">
        <f t="shared" si="35"/>
        <v>1506.6</v>
      </c>
      <c r="AN216" s="136">
        <f t="shared" si="36"/>
        <v>493</v>
      </c>
      <c r="AO216" s="136">
        <f t="shared" si="37"/>
        <v>687.8</v>
      </c>
      <c r="AP216" s="139">
        <f t="shared" si="38"/>
        <v>1732</v>
      </c>
      <c r="AQ216" s="136">
        <f t="shared" si="41"/>
        <v>0</v>
      </c>
      <c r="AR216" s="136">
        <f t="shared" si="39"/>
        <v>175</v>
      </c>
      <c r="AS216" s="139">
        <f t="shared" si="40"/>
        <v>2907</v>
      </c>
      <c r="AT216" s="136"/>
      <c r="AU216" s="136">
        <f t="shared" si="42"/>
        <v>181.9</v>
      </c>
      <c r="AV216" s="225">
        <v>23675267</v>
      </c>
      <c r="AX216" s="136">
        <f>'2024 Legal Max'!AS217</f>
        <v>4122</v>
      </c>
      <c r="AY216" s="136">
        <f t="shared" si="43"/>
        <v>-15</v>
      </c>
      <c r="AZ216" s="139">
        <v>112705</v>
      </c>
      <c r="BB216" s="164">
        <v>0</v>
      </c>
      <c r="BC216" s="164">
        <v>50.5</v>
      </c>
    </row>
    <row r="217" spans="1:55">
      <c r="A217" s="216" t="s">
        <v>403</v>
      </c>
      <c r="B217" s="217"/>
      <c r="C217" s="218">
        <v>295.5</v>
      </c>
      <c r="E217" s="218"/>
      <c r="F217" s="218">
        <v>0</v>
      </c>
      <c r="G217" s="219"/>
      <c r="H217" s="218"/>
      <c r="I217" s="218"/>
      <c r="J217" s="136"/>
      <c r="K217" s="139">
        <v>299</v>
      </c>
      <c r="L217" s="136">
        <v>0</v>
      </c>
      <c r="M217" s="217">
        <v>0</v>
      </c>
      <c r="N217" s="136">
        <v>0</v>
      </c>
      <c r="O217" s="136">
        <v>0</v>
      </c>
      <c r="P217" s="218">
        <v>106.8</v>
      </c>
      <c r="Q217" s="136">
        <v>0</v>
      </c>
      <c r="R217" s="136">
        <v>0</v>
      </c>
      <c r="S217" s="136">
        <v>0</v>
      </c>
      <c r="T217" s="139">
        <v>0</v>
      </c>
      <c r="U217" s="217">
        <v>0</v>
      </c>
      <c r="V217" s="217">
        <v>72</v>
      </c>
      <c r="W217" s="217">
        <v>0</v>
      </c>
      <c r="X217" s="218">
        <v>0</v>
      </c>
      <c r="Y217" s="220">
        <v>55</v>
      </c>
      <c r="Z217" s="164">
        <v>0</v>
      </c>
      <c r="AA217" s="221">
        <v>0</v>
      </c>
      <c r="AB217" s="221">
        <v>0</v>
      </c>
      <c r="AC217" s="222">
        <v>0</v>
      </c>
      <c r="AD217" s="223">
        <v>0</v>
      </c>
      <c r="AE217" s="136"/>
      <c r="AF217" s="136">
        <v>0</v>
      </c>
      <c r="AG217" s="224">
        <v>0</v>
      </c>
      <c r="AH217" s="136">
        <v>527.4</v>
      </c>
      <c r="AI217" s="136"/>
      <c r="AJ217" s="136"/>
      <c r="AK217" s="136">
        <f t="shared" si="33"/>
        <v>295.5</v>
      </c>
      <c r="AL217" s="136">
        <f t="shared" si="34"/>
        <v>0</v>
      </c>
      <c r="AM217" s="136">
        <f t="shared" si="35"/>
        <v>0</v>
      </c>
      <c r="AN217" s="136">
        <f t="shared" si="36"/>
        <v>0</v>
      </c>
      <c r="AO217" s="136">
        <f t="shared" si="37"/>
        <v>106.8</v>
      </c>
      <c r="AP217" s="139">
        <f t="shared" si="38"/>
        <v>72</v>
      </c>
      <c r="AQ217" s="136">
        <f t="shared" si="41"/>
        <v>0</v>
      </c>
      <c r="AR217" s="136">
        <f t="shared" si="39"/>
        <v>55</v>
      </c>
      <c r="AS217" s="139">
        <f t="shared" si="40"/>
        <v>299</v>
      </c>
      <c r="AT217" s="136"/>
      <c r="AU217" s="136">
        <f t="shared" si="42"/>
        <v>0</v>
      </c>
      <c r="AV217" s="225">
        <v>3102662</v>
      </c>
      <c r="AX217" s="136">
        <f>'2024 Legal Max'!AS218</f>
        <v>528.29999999999995</v>
      </c>
      <c r="AY217" s="136">
        <f t="shared" si="43"/>
        <v>0.9</v>
      </c>
      <c r="AZ217" s="139">
        <v>99153</v>
      </c>
      <c r="BB217" s="164">
        <v>0</v>
      </c>
      <c r="BC217" s="164">
        <v>0</v>
      </c>
    </row>
    <row r="218" spans="1:55">
      <c r="A218" s="216" t="s">
        <v>404</v>
      </c>
      <c r="B218" s="217"/>
      <c r="C218" s="218">
        <v>495</v>
      </c>
      <c r="E218" s="218"/>
      <c r="F218" s="218">
        <v>0</v>
      </c>
      <c r="G218" s="219"/>
      <c r="H218" s="218"/>
      <c r="I218" s="218"/>
      <c r="J218" s="136"/>
      <c r="K218" s="139">
        <v>519</v>
      </c>
      <c r="L218" s="136">
        <v>0</v>
      </c>
      <c r="M218" s="217">
        <v>0</v>
      </c>
      <c r="N218" s="136">
        <v>6</v>
      </c>
      <c r="O218" s="136">
        <v>0</v>
      </c>
      <c r="P218" s="218">
        <v>201.7</v>
      </c>
      <c r="Q218" s="136">
        <v>0</v>
      </c>
      <c r="R218" s="136">
        <v>2.2000000000000002</v>
      </c>
      <c r="S218" s="136">
        <v>0</v>
      </c>
      <c r="T218" s="139">
        <v>4</v>
      </c>
      <c r="U218" s="217">
        <v>0</v>
      </c>
      <c r="V218" s="217">
        <v>282</v>
      </c>
      <c r="W218" s="217">
        <v>0</v>
      </c>
      <c r="X218" s="218">
        <v>0</v>
      </c>
      <c r="Y218" s="220">
        <v>201</v>
      </c>
      <c r="Z218" s="164">
        <v>0</v>
      </c>
      <c r="AA218" s="221">
        <v>0</v>
      </c>
      <c r="AB218" s="221">
        <v>0</v>
      </c>
      <c r="AC218" s="222">
        <v>0</v>
      </c>
      <c r="AD218" s="223">
        <v>0</v>
      </c>
      <c r="AE218" s="136"/>
      <c r="AF218" s="136">
        <v>29.6</v>
      </c>
      <c r="AG218" s="224">
        <v>29.6</v>
      </c>
      <c r="AH218" s="136">
        <v>962.3</v>
      </c>
      <c r="AI218" s="136"/>
      <c r="AJ218" s="136"/>
      <c r="AK218" s="136">
        <f t="shared" si="33"/>
        <v>495</v>
      </c>
      <c r="AL218" s="136">
        <f t="shared" si="34"/>
        <v>6</v>
      </c>
      <c r="AM218" s="136">
        <f t="shared" si="35"/>
        <v>2.2000000000000002</v>
      </c>
      <c r="AN218" s="136">
        <f t="shared" si="36"/>
        <v>4</v>
      </c>
      <c r="AO218" s="136">
        <f t="shared" si="37"/>
        <v>201.7</v>
      </c>
      <c r="AP218" s="139">
        <f t="shared" si="38"/>
        <v>282</v>
      </c>
      <c r="AQ218" s="136">
        <f t="shared" si="41"/>
        <v>0</v>
      </c>
      <c r="AR218" s="136">
        <f t="shared" si="39"/>
        <v>201</v>
      </c>
      <c r="AS218" s="139">
        <f t="shared" si="40"/>
        <v>519</v>
      </c>
      <c r="AT218" s="136"/>
      <c r="AU218" s="136">
        <f t="shared" si="42"/>
        <v>29.6</v>
      </c>
      <c r="AV218" s="225">
        <v>5788618</v>
      </c>
      <c r="AX218" s="136">
        <f>'2024 Legal Max'!AS219</f>
        <v>947</v>
      </c>
      <c r="AY218" s="136">
        <f t="shared" si="43"/>
        <v>-15.3</v>
      </c>
      <c r="AZ218" s="139">
        <v>623912</v>
      </c>
      <c r="BB218" s="164">
        <v>0</v>
      </c>
      <c r="BC218" s="164">
        <v>6</v>
      </c>
    </row>
    <row r="219" spans="1:55">
      <c r="A219" s="216" t="s">
        <v>405</v>
      </c>
      <c r="B219" s="217"/>
      <c r="C219" s="218">
        <v>667.5</v>
      </c>
      <c r="E219" s="218"/>
      <c r="F219" s="218">
        <v>0</v>
      </c>
      <c r="G219" s="219"/>
      <c r="H219" s="218"/>
      <c r="I219" s="218"/>
      <c r="J219" s="136"/>
      <c r="K219" s="139">
        <v>708</v>
      </c>
      <c r="L219" s="136">
        <v>0</v>
      </c>
      <c r="M219" s="217">
        <v>0</v>
      </c>
      <c r="N219" s="136">
        <v>13</v>
      </c>
      <c r="O219" s="136">
        <v>0</v>
      </c>
      <c r="P219" s="218">
        <v>470.5</v>
      </c>
      <c r="Q219" s="136">
        <v>0</v>
      </c>
      <c r="R219" s="136">
        <v>0</v>
      </c>
      <c r="S219" s="136">
        <v>0</v>
      </c>
      <c r="T219" s="139">
        <v>0</v>
      </c>
      <c r="U219" s="217">
        <v>0</v>
      </c>
      <c r="V219" s="217">
        <v>323</v>
      </c>
      <c r="W219" s="217">
        <v>0</v>
      </c>
      <c r="X219" s="218">
        <v>0</v>
      </c>
      <c r="Y219" s="220">
        <v>76.5</v>
      </c>
      <c r="Z219" s="164">
        <v>0</v>
      </c>
      <c r="AA219" s="221">
        <v>0</v>
      </c>
      <c r="AB219" s="221">
        <v>0</v>
      </c>
      <c r="AC219" s="222">
        <v>0</v>
      </c>
      <c r="AD219" s="223">
        <v>0</v>
      </c>
      <c r="AE219" s="136"/>
      <c r="AF219" s="136">
        <v>24</v>
      </c>
      <c r="AG219" s="224">
        <v>25.5</v>
      </c>
      <c r="AH219" s="136">
        <v>1237.7</v>
      </c>
      <c r="AI219" s="136"/>
      <c r="AJ219" s="136"/>
      <c r="AK219" s="136">
        <f t="shared" si="33"/>
        <v>667.5</v>
      </c>
      <c r="AL219" s="136">
        <f t="shared" si="34"/>
        <v>13</v>
      </c>
      <c r="AM219" s="136">
        <f t="shared" si="35"/>
        <v>0</v>
      </c>
      <c r="AN219" s="136">
        <f t="shared" si="36"/>
        <v>0</v>
      </c>
      <c r="AO219" s="136">
        <f t="shared" si="37"/>
        <v>470.5</v>
      </c>
      <c r="AP219" s="139">
        <f t="shared" si="38"/>
        <v>323</v>
      </c>
      <c r="AQ219" s="136">
        <f t="shared" si="41"/>
        <v>0</v>
      </c>
      <c r="AR219" s="136">
        <f t="shared" si="39"/>
        <v>76.5</v>
      </c>
      <c r="AS219" s="139">
        <f t="shared" si="40"/>
        <v>708</v>
      </c>
      <c r="AT219" s="136"/>
      <c r="AU219" s="136">
        <f t="shared" si="42"/>
        <v>25.5</v>
      </c>
      <c r="AV219" s="225">
        <v>7130832</v>
      </c>
      <c r="AX219" s="136">
        <f>'2024 Legal Max'!AS220</f>
        <v>1211.3</v>
      </c>
      <c r="AY219" s="136">
        <f t="shared" si="43"/>
        <v>-26.4</v>
      </c>
      <c r="AZ219" s="139">
        <v>147457</v>
      </c>
      <c r="BB219" s="164">
        <v>0</v>
      </c>
      <c r="BC219" s="164">
        <v>13</v>
      </c>
    </row>
    <row r="220" spans="1:55">
      <c r="A220" s="216" t="s">
        <v>406</v>
      </c>
      <c r="B220" s="217"/>
      <c r="C220" s="218">
        <v>260</v>
      </c>
      <c r="E220" s="218"/>
      <c r="F220" s="218">
        <v>0</v>
      </c>
      <c r="G220" s="219"/>
      <c r="H220" s="218"/>
      <c r="I220" s="218"/>
      <c r="J220" s="136"/>
      <c r="K220" s="139">
        <v>264</v>
      </c>
      <c r="L220" s="136">
        <v>0</v>
      </c>
      <c r="M220" s="217">
        <v>0</v>
      </c>
      <c r="N220" s="136">
        <v>1.5</v>
      </c>
      <c r="O220" s="136">
        <v>0</v>
      </c>
      <c r="P220" s="218">
        <v>148</v>
      </c>
      <c r="Q220" s="136">
        <v>0</v>
      </c>
      <c r="R220" s="136">
        <v>0</v>
      </c>
      <c r="S220" s="136">
        <v>0</v>
      </c>
      <c r="T220" s="139">
        <v>0</v>
      </c>
      <c r="U220" s="217">
        <v>0</v>
      </c>
      <c r="V220" s="217">
        <v>59</v>
      </c>
      <c r="W220" s="217">
        <v>0</v>
      </c>
      <c r="X220" s="218">
        <v>0</v>
      </c>
      <c r="Y220" s="220">
        <v>33</v>
      </c>
      <c r="Z220" s="164">
        <v>0</v>
      </c>
      <c r="AA220" s="221">
        <v>0</v>
      </c>
      <c r="AB220" s="221">
        <v>0</v>
      </c>
      <c r="AC220" s="222">
        <v>0</v>
      </c>
      <c r="AD220" s="223">
        <v>0</v>
      </c>
      <c r="AE220" s="136"/>
      <c r="AF220" s="136">
        <v>0</v>
      </c>
      <c r="AG220" s="224">
        <v>0</v>
      </c>
      <c r="AH220" s="136">
        <v>477.4</v>
      </c>
      <c r="AI220" s="136"/>
      <c r="AJ220" s="136"/>
      <c r="AK220" s="136">
        <f t="shared" si="33"/>
        <v>260</v>
      </c>
      <c r="AL220" s="136">
        <f t="shared" si="34"/>
        <v>1.5</v>
      </c>
      <c r="AM220" s="136">
        <f t="shared" si="35"/>
        <v>0</v>
      </c>
      <c r="AN220" s="136">
        <f t="shared" si="36"/>
        <v>0</v>
      </c>
      <c r="AO220" s="136">
        <f t="shared" si="37"/>
        <v>148</v>
      </c>
      <c r="AP220" s="139">
        <f t="shared" si="38"/>
        <v>59</v>
      </c>
      <c r="AQ220" s="136">
        <f t="shared" si="41"/>
        <v>0</v>
      </c>
      <c r="AR220" s="136">
        <f t="shared" si="39"/>
        <v>33</v>
      </c>
      <c r="AS220" s="139">
        <f t="shared" si="40"/>
        <v>264</v>
      </c>
      <c r="AT220" s="136"/>
      <c r="AU220" s="136">
        <f t="shared" si="42"/>
        <v>0</v>
      </c>
      <c r="AV220" s="225">
        <v>2770925</v>
      </c>
      <c r="AX220" s="136">
        <f>'2024 Legal Max'!AS221</f>
        <v>476.9</v>
      </c>
      <c r="AY220" s="136">
        <f t="shared" si="43"/>
        <v>-0.5</v>
      </c>
      <c r="AZ220" s="139">
        <v>54370</v>
      </c>
      <c r="BB220" s="164">
        <v>0</v>
      </c>
      <c r="BC220" s="164">
        <v>1.5</v>
      </c>
    </row>
    <row r="221" spans="1:55">
      <c r="A221" s="216" t="s">
        <v>407</v>
      </c>
      <c r="B221" s="217"/>
      <c r="C221" s="218">
        <v>988.7</v>
      </c>
      <c r="E221" s="218"/>
      <c r="F221" s="218">
        <v>0</v>
      </c>
      <c r="G221" s="219"/>
      <c r="H221" s="218"/>
      <c r="I221" s="218"/>
      <c r="J221" s="136"/>
      <c r="K221" s="139">
        <v>1024</v>
      </c>
      <c r="L221" s="136">
        <v>0</v>
      </c>
      <c r="M221" s="217">
        <v>0</v>
      </c>
      <c r="N221" s="136">
        <v>10.5</v>
      </c>
      <c r="O221" s="136">
        <v>0</v>
      </c>
      <c r="P221" s="218">
        <v>77.400000000000006</v>
      </c>
      <c r="Q221" s="136">
        <v>0</v>
      </c>
      <c r="R221" s="136">
        <v>0</v>
      </c>
      <c r="S221" s="136">
        <v>0</v>
      </c>
      <c r="T221" s="139">
        <v>0</v>
      </c>
      <c r="U221" s="217">
        <v>0</v>
      </c>
      <c r="V221" s="217">
        <v>398</v>
      </c>
      <c r="W221" s="217">
        <v>0</v>
      </c>
      <c r="X221" s="218">
        <v>0</v>
      </c>
      <c r="Y221" s="220">
        <v>689.5</v>
      </c>
      <c r="Z221" s="164">
        <v>0</v>
      </c>
      <c r="AA221" s="221">
        <v>6</v>
      </c>
      <c r="AB221" s="221">
        <v>0</v>
      </c>
      <c r="AC221" s="222">
        <v>12</v>
      </c>
      <c r="AD221" s="223">
        <v>0</v>
      </c>
      <c r="AE221" s="136"/>
      <c r="AF221" s="136">
        <v>10.8</v>
      </c>
      <c r="AG221" s="224">
        <v>10.8</v>
      </c>
      <c r="AH221" s="136">
        <v>1594.1</v>
      </c>
      <c r="AI221" s="136"/>
      <c r="AJ221" s="136"/>
      <c r="AK221" s="136">
        <f t="shared" si="33"/>
        <v>988.7</v>
      </c>
      <c r="AL221" s="136">
        <f t="shared" si="34"/>
        <v>10.5</v>
      </c>
      <c r="AM221" s="136">
        <f t="shared" si="35"/>
        <v>0</v>
      </c>
      <c r="AN221" s="136">
        <f t="shared" si="36"/>
        <v>0</v>
      </c>
      <c r="AO221" s="136">
        <f t="shared" si="37"/>
        <v>77.400000000000006</v>
      </c>
      <c r="AP221" s="139">
        <f t="shared" si="38"/>
        <v>398</v>
      </c>
      <c r="AQ221" s="136">
        <f t="shared" si="41"/>
        <v>0</v>
      </c>
      <c r="AR221" s="136">
        <f t="shared" si="39"/>
        <v>689.5</v>
      </c>
      <c r="AS221" s="139">
        <f t="shared" si="40"/>
        <v>1024</v>
      </c>
      <c r="AT221" s="136"/>
      <c r="AU221" s="136">
        <f t="shared" si="42"/>
        <v>10.8</v>
      </c>
      <c r="AV221" s="225">
        <v>9790476</v>
      </c>
      <c r="AX221" s="136">
        <f>'2024 Legal Max'!AS222</f>
        <v>1598.7</v>
      </c>
      <c r="AY221" s="136">
        <f t="shared" si="43"/>
        <v>4.5999999999999996</v>
      </c>
      <c r="AZ221" s="139">
        <v>1015131</v>
      </c>
      <c r="BB221" s="164">
        <v>0</v>
      </c>
      <c r="BC221" s="164">
        <v>10.5</v>
      </c>
    </row>
    <row r="222" spans="1:55">
      <c r="A222" s="216" t="s">
        <v>408</v>
      </c>
      <c r="B222" s="217"/>
      <c r="C222" s="218">
        <v>1337.2</v>
      </c>
      <c r="E222" s="218"/>
      <c r="F222" s="218">
        <v>0</v>
      </c>
      <c r="G222" s="219"/>
      <c r="H222" s="218"/>
      <c r="I222" s="218"/>
      <c r="J222" s="136"/>
      <c r="K222" s="139">
        <v>1461</v>
      </c>
      <c r="L222" s="136">
        <v>0</v>
      </c>
      <c r="M222" s="217">
        <v>0</v>
      </c>
      <c r="N222" s="136">
        <v>18.5</v>
      </c>
      <c r="O222" s="136">
        <v>0</v>
      </c>
      <c r="P222" s="218">
        <v>592.4</v>
      </c>
      <c r="Q222" s="136">
        <v>0</v>
      </c>
      <c r="R222" s="136">
        <v>29.3</v>
      </c>
      <c r="S222" s="136">
        <v>0</v>
      </c>
      <c r="T222" s="139">
        <v>24</v>
      </c>
      <c r="U222" s="217">
        <v>0</v>
      </c>
      <c r="V222" s="217">
        <v>574</v>
      </c>
      <c r="W222" s="217">
        <v>0</v>
      </c>
      <c r="X222" s="218">
        <v>0</v>
      </c>
      <c r="Y222" s="220">
        <v>242</v>
      </c>
      <c r="Z222" s="164">
        <v>0</v>
      </c>
      <c r="AA222" s="221">
        <v>5</v>
      </c>
      <c r="AB222" s="221">
        <v>11.7</v>
      </c>
      <c r="AC222" s="222">
        <v>13.5</v>
      </c>
      <c r="AD222" s="223">
        <v>0</v>
      </c>
      <c r="AE222" s="136"/>
      <c r="AF222" s="136">
        <v>17.2</v>
      </c>
      <c r="AG222" s="224">
        <v>22.4</v>
      </c>
      <c r="AH222" s="136">
        <v>1960.2</v>
      </c>
      <c r="AI222" s="136"/>
      <c r="AJ222" s="136"/>
      <c r="AK222" s="136">
        <f t="shared" si="33"/>
        <v>1337.2</v>
      </c>
      <c r="AL222" s="136">
        <f t="shared" si="34"/>
        <v>18.5</v>
      </c>
      <c r="AM222" s="136">
        <f t="shared" si="35"/>
        <v>29.3</v>
      </c>
      <c r="AN222" s="136">
        <f t="shared" si="36"/>
        <v>24</v>
      </c>
      <c r="AO222" s="136">
        <f t="shared" si="37"/>
        <v>592.4</v>
      </c>
      <c r="AP222" s="139">
        <f t="shared" si="38"/>
        <v>574</v>
      </c>
      <c r="AQ222" s="136">
        <f t="shared" si="41"/>
        <v>0</v>
      </c>
      <c r="AR222" s="136">
        <f t="shared" si="39"/>
        <v>242</v>
      </c>
      <c r="AS222" s="139">
        <f t="shared" si="40"/>
        <v>1461</v>
      </c>
      <c r="AT222" s="136"/>
      <c r="AU222" s="136">
        <f t="shared" si="42"/>
        <v>22.4</v>
      </c>
      <c r="AV222" s="225">
        <v>11778052</v>
      </c>
      <c r="AX222" s="136">
        <f>'2024 Legal Max'!AS223</f>
        <v>1953.1</v>
      </c>
      <c r="AY222" s="136">
        <f t="shared" si="43"/>
        <v>-7.1</v>
      </c>
      <c r="AZ222" s="139">
        <v>412142</v>
      </c>
      <c r="BB222" s="164">
        <v>0</v>
      </c>
      <c r="BC222" s="164">
        <v>18.5</v>
      </c>
    </row>
    <row r="223" spans="1:55">
      <c r="A223" s="216" t="s">
        <v>409</v>
      </c>
      <c r="B223" s="217"/>
      <c r="C223" s="218">
        <v>746.2</v>
      </c>
      <c r="E223" s="218"/>
      <c r="F223" s="218">
        <v>0</v>
      </c>
      <c r="G223" s="219"/>
      <c r="H223" s="218"/>
      <c r="I223" s="218"/>
      <c r="J223" s="136"/>
      <c r="K223" s="139">
        <v>770</v>
      </c>
      <c r="L223" s="136">
        <v>0</v>
      </c>
      <c r="M223" s="217">
        <v>0</v>
      </c>
      <c r="N223" s="136">
        <v>7</v>
      </c>
      <c r="O223" s="136">
        <v>0</v>
      </c>
      <c r="P223" s="218">
        <v>235.7</v>
      </c>
      <c r="Q223" s="136">
        <v>0</v>
      </c>
      <c r="R223" s="136">
        <v>3.8</v>
      </c>
      <c r="S223" s="136">
        <v>0</v>
      </c>
      <c r="T223" s="139">
        <v>5</v>
      </c>
      <c r="U223" s="217">
        <v>0</v>
      </c>
      <c r="V223" s="217">
        <v>309</v>
      </c>
      <c r="W223" s="217">
        <v>0</v>
      </c>
      <c r="X223" s="218">
        <v>0</v>
      </c>
      <c r="Y223" s="220">
        <v>259.5</v>
      </c>
      <c r="Z223" s="164">
        <v>0</v>
      </c>
      <c r="AA223" s="221">
        <v>1</v>
      </c>
      <c r="AB223" s="221">
        <v>0</v>
      </c>
      <c r="AC223" s="222">
        <v>0</v>
      </c>
      <c r="AD223" s="223">
        <v>0</v>
      </c>
      <c r="AE223" s="136"/>
      <c r="AF223" s="136">
        <v>11.1</v>
      </c>
      <c r="AG223" s="224">
        <v>11.4</v>
      </c>
      <c r="AH223" s="136">
        <v>1239.9000000000001</v>
      </c>
      <c r="AI223" s="136"/>
      <c r="AJ223" s="136"/>
      <c r="AK223" s="136">
        <f t="shared" si="33"/>
        <v>746.2</v>
      </c>
      <c r="AL223" s="136">
        <f t="shared" si="34"/>
        <v>7</v>
      </c>
      <c r="AM223" s="136">
        <f t="shared" si="35"/>
        <v>3.8</v>
      </c>
      <c r="AN223" s="136">
        <f t="shared" si="36"/>
        <v>5</v>
      </c>
      <c r="AO223" s="136">
        <f t="shared" si="37"/>
        <v>235.7</v>
      </c>
      <c r="AP223" s="139">
        <f t="shared" si="38"/>
        <v>309</v>
      </c>
      <c r="AQ223" s="136">
        <f t="shared" si="41"/>
        <v>0</v>
      </c>
      <c r="AR223" s="136">
        <f t="shared" si="39"/>
        <v>259.5</v>
      </c>
      <c r="AS223" s="139">
        <f t="shared" si="40"/>
        <v>770</v>
      </c>
      <c r="AT223" s="136"/>
      <c r="AU223" s="136">
        <f t="shared" si="42"/>
        <v>11.4</v>
      </c>
      <c r="AV223" s="225">
        <v>6982525</v>
      </c>
      <c r="AX223" s="136">
        <f>'2024 Legal Max'!AS224</f>
        <v>1238.4000000000001</v>
      </c>
      <c r="AY223" s="136">
        <f t="shared" si="43"/>
        <v>-1.5</v>
      </c>
      <c r="AZ223" s="139">
        <v>292496</v>
      </c>
      <c r="BB223" s="164">
        <v>0</v>
      </c>
      <c r="BC223" s="164">
        <v>7</v>
      </c>
    </row>
    <row r="224" spans="1:55">
      <c r="A224" s="216" t="s">
        <v>410</v>
      </c>
      <c r="B224" s="217"/>
      <c r="C224" s="218">
        <v>5847.7</v>
      </c>
      <c r="E224" s="218"/>
      <c r="F224" s="218">
        <v>0</v>
      </c>
      <c r="G224" s="219"/>
      <c r="H224" s="218"/>
      <c r="I224" s="218"/>
      <c r="J224" s="136"/>
      <c r="K224" s="139">
        <v>5983</v>
      </c>
      <c r="L224" s="136">
        <v>0</v>
      </c>
      <c r="M224" s="217">
        <v>0</v>
      </c>
      <c r="N224" s="136">
        <v>43.5</v>
      </c>
      <c r="O224" s="136">
        <v>0</v>
      </c>
      <c r="P224" s="218">
        <v>1847.1</v>
      </c>
      <c r="Q224" s="136">
        <v>0</v>
      </c>
      <c r="R224" s="136">
        <v>129.5</v>
      </c>
      <c r="S224" s="136">
        <v>0</v>
      </c>
      <c r="T224" s="139">
        <v>126</v>
      </c>
      <c r="U224" s="217">
        <v>0</v>
      </c>
      <c r="V224" s="217">
        <v>1832</v>
      </c>
      <c r="W224" s="217">
        <v>0</v>
      </c>
      <c r="X224" s="218">
        <v>3</v>
      </c>
      <c r="Y224" s="220">
        <v>3201.5</v>
      </c>
      <c r="Z224" s="164">
        <v>0</v>
      </c>
      <c r="AA224" s="221">
        <v>0</v>
      </c>
      <c r="AB224" s="221">
        <v>0</v>
      </c>
      <c r="AC224" s="222">
        <v>6</v>
      </c>
      <c r="AD224" s="223">
        <v>0</v>
      </c>
      <c r="AE224" s="136"/>
      <c r="AF224" s="136">
        <v>0</v>
      </c>
      <c r="AG224" s="224">
        <v>48</v>
      </c>
      <c r="AH224" s="136">
        <v>7717.5</v>
      </c>
      <c r="AI224" s="136"/>
      <c r="AJ224" s="136"/>
      <c r="AK224" s="136">
        <f t="shared" si="33"/>
        <v>5847.7</v>
      </c>
      <c r="AL224" s="136">
        <f t="shared" si="34"/>
        <v>43.5</v>
      </c>
      <c r="AM224" s="136">
        <f t="shared" si="35"/>
        <v>129.5</v>
      </c>
      <c r="AN224" s="136">
        <f t="shared" si="36"/>
        <v>126</v>
      </c>
      <c r="AO224" s="136">
        <f t="shared" si="37"/>
        <v>1847.1</v>
      </c>
      <c r="AP224" s="139">
        <f t="shared" si="38"/>
        <v>1832</v>
      </c>
      <c r="AQ224" s="136">
        <f t="shared" si="41"/>
        <v>0</v>
      </c>
      <c r="AR224" s="136">
        <f t="shared" si="39"/>
        <v>3201.5</v>
      </c>
      <c r="AS224" s="139">
        <f t="shared" si="40"/>
        <v>5983</v>
      </c>
      <c r="AT224" s="136"/>
      <c r="AU224" s="136">
        <f t="shared" si="42"/>
        <v>48</v>
      </c>
      <c r="AV224" s="225">
        <v>47585195</v>
      </c>
      <c r="AX224" s="136">
        <f>'2024 Legal Max'!AS225</f>
        <v>7710.2</v>
      </c>
      <c r="AY224" s="136">
        <f t="shared" si="43"/>
        <v>-7.3</v>
      </c>
      <c r="AZ224" s="139">
        <v>1982437</v>
      </c>
      <c r="BB224" s="164">
        <v>0</v>
      </c>
      <c r="BC224" s="164">
        <v>43.5</v>
      </c>
    </row>
    <row r="225" spans="1:55">
      <c r="A225" s="216" t="s">
        <v>411</v>
      </c>
      <c r="B225" s="217"/>
      <c r="C225" s="218">
        <v>307.10000000000002</v>
      </c>
      <c r="E225" s="218"/>
      <c r="F225" s="218">
        <v>0</v>
      </c>
      <c r="G225" s="219"/>
      <c r="H225" s="218"/>
      <c r="I225" s="218"/>
      <c r="J225" s="136"/>
      <c r="K225" s="139">
        <v>322</v>
      </c>
      <c r="L225" s="136">
        <v>0</v>
      </c>
      <c r="M225" s="217">
        <v>0</v>
      </c>
      <c r="N225" s="136">
        <v>6.5</v>
      </c>
      <c r="O225" s="136">
        <v>0</v>
      </c>
      <c r="P225" s="218">
        <v>145</v>
      </c>
      <c r="Q225" s="136">
        <v>0</v>
      </c>
      <c r="R225" s="136">
        <v>3.8</v>
      </c>
      <c r="S225" s="136">
        <v>0</v>
      </c>
      <c r="T225" s="139">
        <v>11</v>
      </c>
      <c r="U225" s="217">
        <v>0</v>
      </c>
      <c r="V225" s="217">
        <v>143</v>
      </c>
      <c r="W225" s="217">
        <v>0</v>
      </c>
      <c r="X225" s="218">
        <v>0</v>
      </c>
      <c r="Y225" s="220">
        <v>89</v>
      </c>
      <c r="Z225" s="164">
        <v>0</v>
      </c>
      <c r="AA225" s="221">
        <v>0</v>
      </c>
      <c r="AB225" s="221">
        <v>0</v>
      </c>
      <c r="AC225" s="222">
        <v>0</v>
      </c>
      <c r="AD225" s="223">
        <v>0</v>
      </c>
      <c r="AE225" s="136"/>
      <c r="AF225" s="136">
        <v>9.4</v>
      </c>
      <c r="AG225" s="224">
        <v>12</v>
      </c>
      <c r="AH225" s="136">
        <v>651.4</v>
      </c>
      <c r="AI225" s="136"/>
      <c r="AJ225" s="136"/>
      <c r="AK225" s="136">
        <f t="shared" si="33"/>
        <v>307.10000000000002</v>
      </c>
      <c r="AL225" s="136">
        <f t="shared" si="34"/>
        <v>6.5</v>
      </c>
      <c r="AM225" s="136">
        <f t="shared" si="35"/>
        <v>3.8</v>
      </c>
      <c r="AN225" s="136">
        <f t="shared" si="36"/>
        <v>11</v>
      </c>
      <c r="AO225" s="136">
        <f t="shared" si="37"/>
        <v>145</v>
      </c>
      <c r="AP225" s="139">
        <f t="shared" si="38"/>
        <v>143</v>
      </c>
      <c r="AQ225" s="136">
        <f t="shared" si="41"/>
        <v>0</v>
      </c>
      <c r="AR225" s="136">
        <f t="shared" si="39"/>
        <v>89</v>
      </c>
      <c r="AS225" s="139">
        <f t="shared" si="40"/>
        <v>322</v>
      </c>
      <c r="AT225" s="136"/>
      <c r="AU225" s="136">
        <f t="shared" si="42"/>
        <v>12</v>
      </c>
      <c r="AV225" s="225">
        <v>4121789</v>
      </c>
      <c r="AX225" s="136">
        <f>'2024 Legal Max'!AS226</f>
        <v>656.1</v>
      </c>
      <c r="AY225" s="136">
        <f t="shared" si="43"/>
        <v>4.7</v>
      </c>
      <c r="AZ225" s="139">
        <v>256879</v>
      </c>
      <c r="BB225" s="164">
        <v>0</v>
      </c>
      <c r="BC225" s="164">
        <v>6.5</v>
      </c>
    </row>
    <row r="226" spans="1:55">
      <c r="A226" s="216" t="s">
        <v>412</v>
      </c>
      <c r="B226" s="217"/>
      <c r="C226" s="218">
        <v>480.5</v>
      </c>
      <c r="E226" s="218"/>
      <c r="F226" s="218">
        <v>0</v>
      </c>
      <c r="G226" s="219"/>
      <c r="H226" s="218"/>
      <c r="I226" s="218"/>
      <c r="J226" s="136"/>
      <c r="K226" s="139">
        <v>502</v>
      </c>
      <c r="L226" s="136">
        <v>0</v>
      </c>
      <c r="M226" s="217">
        <v>0</v>
      </c>
      <c r="N226" s="136">
        <v>9.5</v>
      </c>
      <c r="O226" s="136">
        <v>0</v>
      </c>
      <c r="P226" s="218">
        <v>156.6</v>
      </c>
      <c r="Q226" s="136">
        <v>0</v>
      </c>
      <c r="R226" s="136">
        <v>0</v>
      </c>
      <c r="S226" s="136">
        <v>0</v>
      </c>
      <c r="T226" s="139">
        <v>1</v>
      </c>
      <c r="U226" s="217">
        <v>0</v>
      </c>
      <c r="V226" s="217">
        <v>153</v>
      </c>
      <c r="W226" s="217">
        <v>0</v>
      </c>
      <c r="X226" s="218">
        <v>0</v>
      </c>
      <c r="Y226" s="220">
        <v>43</v>
      </c>
      <c r="Z226" s="164">
        <v>0</v>
      </c>
      <c r="AA226" s="221">
        <v>0</v>
      </c>
      <c r="AB226" s="221">
        <v>0</v>
      </c>
      <c r="AC226" s="222">
        <v>0</v>
      </c>
      <c r="AD226" s="223">
        <v>0</v>
      </c>
      <c r="AE226" s="136"/>
      <c r="AF226" s="136">
        <v>0</v>
      </c>
      <c r="AG226" s="224">
        <v>0.4</v>
      </c>
      <c r="AH226" s="136">
        <v>802</v>
      </c>
      <c r="AI226" s="136"/>
      <c r="AJ226" s="136"/>
      <c r="AK226" s="136">
        <f t="shared" si="33"/>
        <v>480.5</v>
      </c>
      <c r="AL226" s="136">
        <f t="shared" si="34"/>
        <v>9.5</v>
      </c>
      <c r="AM226" s="136">
        <f t="shared" si="35"/>
        <v>0</v>
      </c>
      <c r="AN226" s="136">
        <f t="shared" si="36"/>
        <v>1</v>
      </c>
      <c r="AO226" s="136">
        <f t="shared" si="37"/>
        <v>156.6</v>
      </c>
      <c r="AP226" s="139">
        <f t="shared" si="38"/>
        <v>153</v>
      </c>
      <c r="AQ226" s="136">
        <f t="shared" si="41"/>
        <v>0</v>
      </c>
      <c r="AR226" s="136">
        <f t="shared" si="39"/>
        <v>43</v>
      </c>
      <c r="AS226" s="139">
        <f t="shared" si="40"/>
        <v>502</v>
      </c>
      <c r="AT226" s="136"/>
      <c r="AU226" s="136">
        <f t="shared" si="42"/>
        <v>0.4</v>
      </c>
      <c r="AV226" s="225">
        <v>4897709</v>
      </c>
      <c r="AX226" s="136">
        <f>'2024 Legal Max'!AS227</f>
        <v>800.4</v>
      </c>
      <c r="AY226" s="136">
        <f t="shared" si="43"/>
        <v>-1.6</v>
      </c>
      <c r="AZ226" s="139">
        <v>127741</v>
      </c>
      <c r="BB226" s="164">
        <v>0</v>
      </c>
      <c r="BC226" s="164">
        <v>9.5</v>
      </c>
    </row>
    <row r="227" spans="1:55">
      <c r="A227" s="216" t="s">
        <v>413</v>
      </c>
      <c r="B227" s="217"/>
      <c r="C227" s="218">
        <v>754.7</v>
      </c>
      <c r="E227" s="218"/>
      <c r="F227" s="218">
        <v>0</v>
      </c>
      <c r="G227" s="219"/>
      <c r="H227" s="218"/>
      <c r="I227" s="218"/>
      <c r="J227" s="136"/>
      <c r="K227" s="139">
        <v>794</v>
      </c>
      <c r="L227" s="136">
        <v>0</v>
      </c>
      <c r="M227" s="217">
        <v>0</v>
      </c>
      <c r="N227" s="136">
        <v>16</v>
      </c>
      <c r="O227" s="136">
        <v>0</v>
      </c>
      <c r="P227" s="218">
        <v>345.2</v>
      </c>
      <c r="Q227" s="136">
        <v>0</v>
      </c>
      <c r="R227" s="136">
        <v>29.2</v>
      </c>
      <c r="S227" s="136">
        <v>0</v>
      </c>
      <c r="T227" s="139">
        <v>14</v>
      </c>
      <c r="U227" s="217">
        <v>0</v>
      </c>
      <c r="V227" s="217">
        <v>280</v>
      </c>
      <c r="W227" s="217">
        <v>0</v>
      </c>
      <c r="X227" s="218">
        <v>0</v>
      </c>
      <c r="Y227" s="220">
        <v>320</v>
      </c>
      <c r="Z227" s="164">
        <v>0</v>
      </c>
      <c r="AA227" s="221">
        <v>1</v>
      </c>
      <c r="AB227" s="221">
        <v>0.2</v>
      </c>
      <c r="AC227" s="222">
        <v>0</v>
      </c>
      <c r="AD227" s="223">
        <v>0</v>
      </c>
      <c r="AE227" s="136"/>
      <c r="AF227" s="136">
        <v>0.5</v>
      </c>
      <c r="AG227" s="224">
        <v>4.2</v>
      </c>
      <c r="AH227" s="136">
        <v>1282.8</v>
      </c>
      <c r="AI227" s="136"/>
      <c r="AJ227" s="136"/>
      <c r="AK227" s="136">
        <f t="shared" si="33"/>
        <v>754.7</v>
      </c>
      <c r="AL227" s="136">
        <f t="shared" si="34"/>
        <v>16</v>
      </c>
      <c r="AM227" s="136">
        <f t="shared" si="35"/>
        <v>29.2</v>
      </c>
      <c r="AN227" s="136">
        <f t="shared" si="36"/>
        <v>14</v>
      </c>
      <c r="AO227" s="136">
        <f t="shared" si="37"/>
        <v>345.2</v>
      </c>
      <c r="AP227" s="139">
        <f t="shared" si="38"/>
        <v>280</v>
      </c>
      <c r="AQ227" s="136">
        <f t="shared" si="41"/>
        <v>0</v>
      </c>
      <c r="AR227" s="136">
        <f t="shared" si="39"/>
        <v>320</v>
      </c>
      <c r="AS227" s="139">
        <f t="shared" si="40"/>
        <v>794</v>
      </c>
      <c r="AT227" s="136"/>
      <c r="AU227" s="136">
        <f t="shared" si="42"/>
        <v>4.2</v>
      </c>
      <c r="AV227" s="225">
        <v>7542451</v>
      </c>
      <c r="AX227" s="136">
        <f>'2024 Legal Max'!AS228</f>
        <v>1274.5</v>
      </c>
      <c r="AY227" s="136">
        <f t="shared" si="43"/>
        <v>-8.3000000000000007</v>
      </c>
      <c r="AZ227" s="139">
        <v>436616</v>
      </c>
      <c r="BB227" s="164">
        <v>0</v>
      </c>
      <c r="BC227" s="164">
        <v>16</v>
      </c>
    </row>
    <row r="228" spans="1:55">
      <c r="A228" s="216" t="s">
        <v>414</v>
      </c>
      <c r="B228" s="217"/>
      <c r="C228" s="218">
        <v>6744.7</v>
      </c>
      <c r="E228" s="218"/>
      <c r="F228" s="218">
        <v>0</v>
      </c>
      <c r="G228" s="219"/>
      <c r="H228" s="218"/>
      <c r="I228" s="218"/>
      <c r="J228" s="136"/>
      <c r="K228" s="139">
        <v>7154</v>
      </c>
      <c r="L228" s="136">
        <v>0</v>
      </c>
      <c r="M228" s="217">
        <v>0</v>
      </c>
      <c r="N228" s="136">
        <v>168</v>
      </c>
      <c r="O228" s="136">
        <v>0</v>
      </c>
      <c r="P228" s="218">
        <v>2149.3000000000002</v>
      </c>
      <c r="Q228" s="136">
        <v>0</v>
      </c>
      <c r="R228" s="136">
        <v>12571</v>
      </c>
      <c r="S228" s="136">
        <v>0</v>
      </c>
      <c r="T228" s="139">
        <v>3242</v>
      </c>
      <c r="U228" s="217">
        <v>0</v>
      </c>
      <c r="V228" s="217">
        <v>5077</v>
      </c>
      <c r="W228" s="217">
        <v>0</v>
      </c>
      <c r="X228" s="218">
        <v>0</v>
      </c>
      <c r="Y228" s="220">
        <v>2716</v>
      </c>
      <c r="Z228" s="164">
        <v>0</v>
      </c>
      <c r="AA228" s="221">
        <v>0</v>
      </c>
      <c r="AB228" s="221">
        <v>0</v>
      </c>
      <c r="AC228" s="222">
        <v>40</v>
      </c>
      <c r="AD228" s="223">
        <v>6</v>
      </c>
      <c r="AE228" s="136"/>
      <c r="AF228" s="136">
        <v>533.1</v>
      </c>
      <c r="AG228" s="224">
        <v>533.20000000000005</v>
      </c>
      <c r="AH228" s="136">
        <v>11637.2</v>
      </c>
      <c r="AI228" s="136"/>
      <c r="AJ228" s="136"/>
      <c r="AK228" s="136">
        <f t="shared" si="33"/>
        <v>6744.7</v>
      </c>
      <c r="AL228" s="136">
        <f t="shared" si="34"/>
        <v>168</v>
      </c>
      <c r="AM228" s="136">
        <f t="shared" si="35"/>
        <v>12571</v>
      </c>
      <c r="AN228" s="136">
        <f t="shared" si="36"/>
        <v>3242</v>
      </c>
      <c r="AO228" s="136">
        <f t="shared" si="37"/>
        <v>2149.3000000000002</v>
      </c>
      <c r="AP228" s="139">
        <f t="shared" si="38"/>
        <v>5077</v>
      </c>
      <c r="AQ228" s="136">
        <f t="shared" si="41"/>
        <v>6</v>
      </c>
      <c r="AR228" s="136">
        <f t="shared" si="39"/>
        <v>2716</v>
      </c>
      <c r="AS228" s="139">
        <f t="shared" si="40"/>
        <v>7154</v>
      </c>
      <c r="AT228" s="136"/>
      <c r="AU228" s="136">
        <f t="shared" si="42"/>
        <v>533.20000000000005</v>
      </c>
      <c r="AV228" s="225">
        <v>64283169</v>
      </c>
      <c r="AX228" s="136">
        <f>'2024 Legal Max'!AS229</f>
        <v>11589</v>
      </c>
      <c r="AY228" s="136">
        <f t="shared" si="43"/>
        <v>-48.2</v>
      </c>
      <c r="AZ228" s="139">
        <v>1404440</v>
      </c>
      <c r="BB228" s="164">
        <v>0</v>
      </c>
      <c r="BC228" s="164">
        <v>168</v>
      </c>
    </row>
    <row r="229" spans="1:55">
      <c r="A229" s="216" t="s">
        <v>415</v>
      </c>
      <c r="B229" s="217"/>
      <c r="C229" s="218">
        <v>273</v>
      </c>
      <c r="E229" s="218"/>
      <c r="F229" s="218">
        <v>0</v>
      </c>
      <c r="G229" s="219"/>
      <c r="H229" s="218"/>
      <c r="I229" s="218"/>
      <c r="J229" s="136"/>
      <c r="K229" s="139">
        <v>282</v>
      </c>
      <c r="L229" s="136">
        <v>0</v>
      </c>
      <c r="M229" s="217">
        <v>0</v>
      </c>
      <c r="N229" s="136">
        <v>4</v>
      </c>
      <c r="O229" s="136">
        <v>0</v>
      </c>
      <c r="P229" s="218">
        <v>108</v>
      </c>
      <c r="Q229" s="136">
        <v>0</v>
      </c>
      <c r="R229" s="136">
        <v>0</v>
      </c>
      <c r="S229" s="136">
        <v>0</v>
      </c>
      <c r="T229" s="139">
        <v>0</v>
      </c>
      <c r="U229" s="217">
        <v>0</v>
      </c>
      <c r="V229" s="217">
        <v>76</v>
      </c>
      <c r="W229" s="217">
        <v>0</v>
      </c>
      <c r="X229" s="218">
        <v>0</v>
      </c>
      <c r="Y229" s="220">
        <v>142.5</v>
      </c>
      <c r="Z229" s="164">
        <v>0</v>
      </c>
      <c r="AA229" s="221">
        <v>0</v>
      </c>
      <c r="AB229" s="221">
        <v>0</v>
      </c>
      <c r="AC229" s="222">
        <v>0</v>
      </c>
      <c r="AD229" s="223">
        <v>0</v>
      </c>
      <c r="AE229" s="136"/>
      <c r="AF229" s="136">
        <v>0</v>
      </c>
      <c r="AG229" s="224">
        <v>0</v>
      </c>
      <c r="AH229" s="136">
        <v>510.1</v>
      </c>
      <c r="AI229" s="136"/>
      <c r="AJ229" s="136"/>
      <c r="AK229" s="136">
        <f t="shared" si="33"/>
        <v>273</v>
      </c>
      <c r="AL229" s="136">
        <f t="shared" si="34"/>
        <v>4</v>
      </c>
      <c r="AM229" s="136">
        <f t="shared" si="35"/>
        <v>0</v>
      </c>
      <c r="AN229" s="136">
        <f t="shared" si="36"/>
        <v>0</v>
      </c>
      <c r="AO229" s="136">
        <f t="shared" si="37"/>
        <v>108</v>
      </c>
      <c r="AP229" s="139">
        <f t="shared" si="38"/>
        <v>76</v>
      </c>
      <c r="AQ229" s="136">
        <f t="shared" si="41"/>
        <v>0</v>
      </c>
      <c r="AR229" s="136">
        <f t="shared" si="39"/>
        <v>142.5</v>
      </c>
      <c r="AS229" s="139">
        <f t="shared" si="40"/>
        <v>282</v>
      </c>
      <c r="AT229" s="136"/>
      <c r="AU229" s="136">
        <f t="shared" si="42"/>
        <v>0</v>
      </c>
      <c r="AV229" s="225">
        <v>2962234</v>
      </c>
      <c r="AX229" s="136">
        <f>'2024 Legal Max'!AS230</f>
        <v>507.1</v>
      </c>
      <c r="AY229" s="136">
        <f t="shared" si="43"/>
        <v>-3</v>
      </c>
      <c r="AZ229" s="139">
        <v>178703</v>
      </c>
      <c r="BB229" s="164">
        <v>0</v>
      </c>
      <c r="BC229" s="164">
        <v>4</v>
      </c>
    </row>
    <row r="230" spans="1:55">
      <c r="A230" s="216" t="s">
        <v>416</v>
      </c>
      <c r="B230" s="217"/>
      <c r="C230" s="218">
        <v>1604.4</v>
      </c>
      <c r="E230" s="218"/>
      <c r="F230" s="218">
        <v>0</v>
      </c>
      <c r="G230" s="219"/>
      <c r="H230" s="218"/>
      <c r="I230" s="218"/>
      <c r="J230" s="136"/>
      <c r="K230" s="139">
        <v>1728</v>
      </c>
      <c r="L230" s="136">
        <v>0</v>
      </c>
      <c r="M230" s="217">
        <v>0</v>
      </c>
      <c r="N230" s="136">
        <v>58</v>
      </c>
      <c r="O230" s="136">
        <v>0</v>
      </c>
      <c r="P230" s="218">
        <v>284.5</v>
      </c>
      <c r="Q230" s="136">
        <v>0</v>
      </c>
      <c r="R230" s="136">
        <v>281.2</v>
      </c>
      <c r="S230" s="136">
        <v>0</v>
      </c>
      <c r="T230" s="139">
        <v>270</v>
      </c>
      <c r="U230" s="217">
        <v>0</v>
      </c>
      <c r="V230" s="217">
        <v>1073</v>
      </c>
      <c r="W230" s="217">
        <v>0</v>
      </c>
      <c r="X230" s="218">
        <v>0</v>
      </c>
      <c r="Y230" s="220">
        <v>376</v>
      </c>
      <c r="Z230" s="164">
        <v>0</v>
      </c>
      <c r="AA230" s="221">
        <v>45</v>
      </c>
      <c r="AB230" s="221">
        <v>2.8</v>
      </c>
      <c r="AC230" s="222">
        <v>28</v>
      </c>
      <c r="AD230" s="223">
        <v>0</v>
      </c>
      <c r="AE230" s="136"/>
      <c r="AF230" s="136">
        <v>112.7</v>
      </c>
      <c r="AG230" s="224">
        <v>109.5</v>
      </c>
      <c r="AH230" s="136">
        <v>2512.6999999999998</v>
      </c>
      <c r="AI230" s="136"/>
      <c r="AJ230" s="136"/>
      <c r="AK230" s="136">
        <f t="shared" si="33"/>
        <v>1604.4</v>
      </c>
      <c r="AL230" s="136">
        <f t="shared" si="34"/>
        <v>58</v>
      </c>
      <c r="AM230" s="136">
        <f t="shared" si="35"/>
        <v>281.2</v>
      </c>
      <c r="AN230" s="136">
        <f t="shared" si="36"/>
        <v>270</v>
      </c>
      <c r="AO230" s="136">
        <f t="shared" si="37"/>
        <v>284.5</v>
      </c>
      <c r="AP230" s="139">
        <f t="shared" si="38"/>
        <v>1073</v>
      </c>
      <c r="AQ230" s="136">
        <f t="shared" si="41"/>
        <v>0</v>
      </c>
      <c r="AR230" s="136">
        <f t="shared" si="39"/>
        <v>376</v>
      </c>
      <c r="AS230" s="139">
        <f t="shared" si="40"/>
        <v>1728</v>
      </c>
      <c r="AT230" s="136"/>
      <c r="AU230" s="136">
        <f t="shared" si="42"/>
        <v>112.7</v>
      </c>
      <c r="AV230" s="225">
        <v>14912334</v>
      </c>
      <c r="AX230" s="136">
        <f>'2024 Legal Max'!AS231</f>
        <v>2502</v>
      </c>
      <c r="AY230" s="136">
        <f t="shared" si="43"/>
        <v>-10.7</v>
      </c>
      <c r="AZ230" s="139">
        <v>675181</v>
      </c>
      <c r="BA230" s="227" t="s">
        <v>3683</v>
      </c>
      <c r="BB230" s="164">
        <v>0</v>
      </c>
      <c r="BC230" s="164">
        <v>58</v>
      </c>
    </row>
    <row r="231" spans="1:55" ht="12.75" customHeight="1">
      <c r="A231" s="216" t="s">
        <v>417</v>
      </c>
      <c r="B231" s="217"/>
      <c r="C231" s="218">
        <v>1674.2</v>
      </c>
      <c r="E231" s="218"/>
      <c r="F231" s="218">
        <v>0</v>
      </c>
      <c r="G231" s="219"/>
      <c r="H231" s="218"/>
      <c r="I231" s="218"/>
      <c r="J231" s="136"/>
      <c r="K231" s="139">
        <v>1786</v>
      </c>
      <c r="L231" s="136">
        <v>0</v>
      </c>
      <c r="M231" s="217">
        <v>0</v>
      </c>
      <c r="N231" s="136">
        <v>31.5</v>
      </c>
      <c r="O231" s="136">
        <v>0</v>
      </c>
      <c r="P231" s="218">
        <v>325.10000000000002</v>
      </c>
      <c r="Q231" s="136">
        <v>0</v>
      </c>
      <c r="R231" s="136">
        <v>79.599999999999994</v>
      </c>
      <c r="S231" s="136">
        <v>0</v>
      </c>
      <c r="T231" s="139">
        <v>57</v>
      </c>
      <c r="U231" s="217">
        <v>0</v>
      </c>
      <c r="V231" s="217">
        <v>1073</v>
      </c>
      <c r="W231" s="217">
        <v>0</v>
      </c>
      <c r="X231" s="218">
        <v>0</v>
      </c>
      <c r="Y231" s="220">
        <v>390</v>
      </c>
      <c r="Z231" s="164">
        <v>0</v>
      </c>
      <c r="AA231" s="221">
        <v>23</v>
      </c>
      <c r="AB231" s="221">
        <v>7.5</v>
      </c>
      <c r="AC231" s="222">
        <v>0</v>
      </c>
      <c r="AD231" s="223">
        <v>0</v>
      </c>
      <c r="AE231" s="136"/>
      <c r="AF231" s="136">
        <v>112.7</v>
      </c>
      <c r="AG231" s="224">
        <v>104.8</v>
      </c>
      <c r="AH231" s="136">
        <v>2672.7</v>
      </c>
      <c r="AI231" s="136"/>
      <c r="AJ231" s="136"/>
      <c r="AK231" s="136">
        <f t="shared" si="33"/>
        <v>1674.2</v>
      </c>
      <c r="AL231" s="136">
        <f t="shared" si="34"/>
        <v>31.5</v>
      </c>
      <c r="AM231" s="136">
        <f t="shared" si="35"/>
        <v>79.599999999999994</v>
      </c>
      <c r="AN231" s="136">
        <f t="shared" si="36"/>
        <v>57</v>
      </c>
      <c r="AO231" s="136">
        <f t="shared" si="37"/>
        <v>325.10000000000002</v>
      </c>
      <c r="AP231" s="139">
        <f t="shared" si="38"/>
        <v>1073</v>
      </c>
      <c r="AQ231" s="136">
        <f t="shared" si="41"/>
        <v>0</v>
      </c>
      <c r="AR231" s="136">
        <f t="shared" si="39"/>
        <v>390</v>
      </c>
      <c r="AS231" s="139">
        <f t="shared" si="40"/>
        <v>1786</v>
      </c>
      <c r="AT231" s="136"/>
      <c r="AU231" s="136">
        <f t="shared" si="42"/>
        <v>112.7</v>
      </c>
      <c r="AV231" s="225">
        <v>15909659</v>
      </c>
      <c r="AX231" s="136">
        <f>'2024 Legal Max'!AS232</f>
        <v>2651.6</v>
      </c>
      <c r="AY231" s="136">
        <f t="shared" si="43"/>
        <v>-21.1</v>
      </c>
      <c r="AZ231" s="139">
        <v>1318432</v>
      </c>
      <c r="BA231" s="227" t="s">
        <v>3683</v>
      </c>
      <c r="BB231" s="164">
        <v>0</v>
      </c>
      <c r="BC231" s="164">
        <v>31.5</v>
      </c>
    </row>
    <row r="232" spans="1:55">
      <c r="A232" s="216" t="s">
        <v>418</v>
      </c>
      <c r="B232" s="217"/>
      <c r="C232" s="218">
        <v>660</v>
      </c>
      <c r="E232" s="218"/>
      <c r="F232" s="218">
        <v>0</v>
      </c>
      <c r="G232" s="219"/>
      <c r="H232" s="218"/>
      <c r="I232" s="218"/>
      <c r="J232" s="136"/>
      <c r="K232" s="139">
        <v>688</v>
      </c>
      <c r="L232" s="136">
        <v>0</v>
      </c>
      <c r="M232" s="217">
        <v>0</v>
      </c>
      <c r="N232" s="136">
        <v>13</v>
      </c>
      <c r="O232" s="136">
        <v>0</v>
      </c>
      <c r="P232" s="218">
        <v>244.3</v>
      </c>
      <c r="Q232" s="136">
        <v>0</v>
      </c>
      <c r="R232" s="136">
        <v>0</v>
      </c>
      <c r="S232" s="136">
        <v>0</v>
      </c>
      <c r="T232" s="139">
        <v>4</v>
      </c>
      <c r="U232" s="217">
        <v>0</v>
      </c>
      <c r="V232" s="217">
        <v>405</v>
      </c>
      <c r="W232" s="217">
        <v>0</v>
      </c>
      <c r="X232" s="218">
        <v>0</v>
      </c>
      <c r="Y232" s="220">
        <v>134</v>
      </c>
      <c r="Z232" s="164">
        <v>0</v>
      </c>
      <c r="AA232" s="221">
        <v>3</v>
      </c>
      <c r="AB232" s="221">
        <v>0.8</v>
      </c>
      <c r="AC232" s="222">
        <v>0</v>
      </c>
      <c r="AD232" s="223">
        <v>0</v>
      </c>
      <c r="AE232" s="136"/>
      <c r="AF232" s="136">
        <v>42.5</v>
      </c>
      <c r="AG232" s="224">
        <v>40.9</v>
      </c>
      <c r="AH232" s="136">
        <v>1261.2</v>
      </c>
      <c r="AI232" s="136"/>
      <c r="AJ232" s="136"/>
      <c r="AK232" s="136">
        <f t="shared" si="33"/>
        <v>660</v>
      </c>
      <c r="AL232" s="136">
        <f t="shared" si="34"/>
        <v>13</v>
      </c>
      <c r="AM232" s="136">
        <f t="shared" si="35"/>
        <v>0</v>
      </c>
      <c r="AN232" s="136">
        <f t="shared" si="36"/>
        <v>4</v>
      </c>
      <c r="AO232" s="136">
        <f t="shared" si="37"/>
        <v>244.3</v>
      </c>
      <c r="AP232" s="139">
        <f t="shared" si="38"/>
        <v>405</v>
      </c>
      <c r="AQ232" s="136">
        <f t="shared" si="41"/>
        <v>0</v>
      </c>
      <c r="AR232" s="136">
        <f t="shared" si="39"/>
        <v>134</v>
      </c>
      <c r="AS232" s="139">
        <f t="shared" si="40"/>
        <v>688</v>
      </c>
      <c r="AT232" s="136"/>
      <c r="AU232" s="136">
        <f t="shared" si="42"/>
        <v>42.5</v>
      </c>
      <c r="AV232" s="225">
        <v>7248328</v>
      </c>
      <c r="AX232" s="136">
        <f>'2024 Legal Max'!AS233</f>
        <v>1253.9000000000001</v>
      </c>
      <c r="AY232" s="136">
        <f t="shared" si="43"/>
        <v>-7.3</v>
      </c>
      <c r="AZ232" s="139">
        <v>399507</v>
      </c>
      <c r="BB232" s="164">
        <v>0</v>
      </c>
      <c r="BC232" s="164">
        <v>13</v>
      </c>
    </row>
    <row r="233" spans="1:55">
      <c r="A233" s="216" t="s">
        <v>419</v>
      </c>
      <c r="B233" s="217"/>
      <c r="C233" s="218">
        <v>408.5</v>
      </c>
      <c r="E233" s="218"/>
      <c r="F233" s="218">
        <v>0</v>
      </c>
      <c r="G233" s="219"/>
      <c r="H233" s="218"/>
      <c r="I233" s="218"/>
      <c r="J233" s="136"/>
      <c r="K233" s="139">
        <v>434</v>
      </c>
      <c r="L233" s="136">
        <v>0</v>
      </c>
      <c r="M233" s="217">
        <v>0</v>
      </c>
      <c r="N233" s="136">
        <v>9.5</v>
      </c>
      <c r="O233" s="136">
        <v>0</v>
      </c>
      <c r="P233" s="218">
        <v>180.8</v>
      </c>
      <c r="Q233" s="136">
        <v>0</v>
      </c>
      <c r="R233" s="136">
        <v>0</v>
      </c>
      <c r="S233" s="136">
        <v>0</v>
      </c>
      <c r="T233" s="139">
        <v>0</v>
      </c>
      <c r="U233" s="217">
        <v>0</v>
      </c>
      <c r="V233" s="217">
        <v>125</v>
      </c>
      <c r="W233" s="217">
        <v>0</v>
      </c>
      <c r="X233" s="218">
        <v>0</v>
      </c>
      <c r="Y233" s="220">
        <v>90</v>
      </c>
      <c r="Z233" s="164">
        <v>0</v>
      </c>
      <c r="AA233" s="221">
        <v>0</v>
      </c>
      <c r="AB233" s="221">
        <v>0</v>
      </c>
      <c r="AC233" s="222">
        <v>0</v>
      </c>
      <c r="AD233" s="223">
        <v>0</v>
      </c>
      <c r="AE233" s="136"/>
      <c r="AF233" s="136">
        <v>0</v>
      </c>
      <c r="AG233" s="224">
        <v>0.8</v>
      </c>
      <c r="AH233" s="136">
        <v>692.9</v>
      </c>
      <c r="AI233" s="136"/>
      <c r="AJ233" s="136"/>
      <c r="AK233" s="136">
        <f t="shared" si="33"/>
        <v>408.5</v>
      </c>
      <c r="AL233" s="136">
        <f t="shared" si="34"/>
        <v>9.5</v>
      </c>
      <c r="AM233" s="136">
        <f t="shared" si="35"/>
        <v>0</v>
      </c>
      <c r="AN233" s="136">
        <f t="shared" si="36"/>
        <v>0</v>
      </c>
      <c r="AO233" s="136">
        <f t="shared" si="37"/>
        <v>180.8</v>
      </c>
      <c r="AP233" s="139">
        <f t="shared" si="38"/>
        <v>125</v>
      </c>
      <c r="AQ233" s="136">
        <f t="shared" si="41"/>
        <v>0</v>
      </c>
      <c r="AR233" s="136">
        <f t="shared" si="39"/>
        <v>90</v>
      </c>
      <c r="AS233" s="139">
        <f t="shared" si="40"/>
        <v>434</v>
      </c>
      <c r="AT233" s="136"/>
      <c r="AU233" s="136">
        <f t="shared" si="42"/>
        <v>0.8</v>
      </c>
      <c r="AV233" s="225">
        <v>4104998</v>
      </c>
      <c r="AX233" s="136">
        <f>'2024 Legal Max'!AS234</f>
        <v>691.5</v>
      </c>
      <c r="AY233" s="136">
        <f t="shared" si="43"/>
        <v>-1.4</v>
      </c>
      <c r="AZ233" s="139">
        <v>141780</v>
      </c>
      <c r="BB233" s="164">
        <v>0</v>
      </c>
      <c r="BC233" s="164">
        <v>9.5</v>
      </c>
    </row>
    <row r="234" spans="1:55">
      <c r="A234" s="216" t="s">
        <v>420</v>
      </c>
      <c r="B234" s="217"/>
      <c r="C234" s="218">
        <v>632.5</v>
      </c>
      <c r="E234" s="218"/>
      <c r="F234" s="218">
        <v>0</v>
      </c>
      <c r="G234" s="219"/>
      <c r="H234" s="218"/>
      <c r="I234" s="218"/>
      <c r="J234" s="136"/>
      <c r="K234" s="139">
        <v>672</v>
      </c>
      <c r="L234" s="136">
        <v>0</v>
      </c>
      <c r="M234" s="217">
        <v>0</v>
      </c>
      <c r="N234" s="136">
        <v>14.5</v>
      </c>
      <c r="O234" s="136">
        <v>0</v>
      </c>
      <c r="P234" s="218">
        <v>128.9</v>
      </c>
      <c r="Q234" s="136">
        <v>0</v>
      </c>
      <c r="R234" s="136">
        <v>0</v>
      </c>
      <c r="S234" s="136">
        <v>0</v>
      </c>
      <c r="T234" s="139">
        <v>0</v>
      </c>
      <c r="U234" s="217">
        <v>0</v>
      </c>
      <c r="V234" s="217">
        <v>129</v>
      </c>
      <c r="W234" s="217">
        <v>0</v>
      </c>
      <c r="X234" s="218">
        <v>0</v>
      </c>
      <c r="Y234" s="220">
        <v>378</v>
      </c>
      <c r="Z234" s="164">
        <v>0</v>
      </c>
      <c r="AA234" s="221">
        <v>0</v>
      </c>
      <c r="AB234" s="221">
        <v>0</v>
      </c>
      <c r="AC234" s="222">
        <v>0</v>
      </c>
      <c r="AD234" s="223">
        <v>0</v>
      </c>
      <c r="AE234" s="136"/>
      <c r="AF234" s="136">
        <v>0</v>
      </c>
      <c r="AG234" s="224">
        <v>0</v>
      </c>
      <c r="AH234" s="136">
        <v>1010.2</v>
      </c>
      <c r="AI234" s="136"/>
      <c r="AJ234" s="136"/>
      <c r="AK234" s="136">
        <f t="shared" si="33"/>
        <v>632.5</v>
      </c>
      <c r="AL234" s="136">
        <f t="shared" si="34"/>
        <v>14.5</v>
      </c>
      <c r="AM234" s="136">
        <f t="shared" si="35"/>
        <v>0</v>
      </c>
      <c r="AN234" s="136">
        <f t="shared" si="36"/>
        <v>0</v>
      </c>
      <c r="AO234" s="136">
        <f t="shared" si="37"/>
        <v>128.9</v>
      </c>
      <c r="AP234" s="139">
        <f t="shared" si="38"/>
        <v>129</v>
      </c>
      <c r="AQ234" s="136">
        <f t="shared" si="41"/>
        <v>0</v>
      </c>
      <c r="AR234" s="136">
        <f t="shared" si="39"/>
        <v>378</v>
      </c>
      <c r="AS234" s="139">
        <f t="shared" si="40"/>
        <v>672</v>
      </c>
      <c r="AT234" s="136"/>
      <c r="AU234" s="136">
        <f t="shared" si="42"/>
        <v>0</v>
      </c>
      <c r="AV234" s="225">
        <v>6028771</v>
      </c>
      <c r="AX234" s="136">
        <f>'2024 Legal Max'!AS235</f>
        <v>1007.8</v>
      </c>
      <c r="AY234" s="136">
        <f t="shared" si="43"/>
        <v>-2.4</v>
      </c>
      <c r="AZ234" s="139">
        <v>448234</v>
      </c>
      <c r="BB234" s="164">
        <v>0</v>
      </c>
      <c r="BC234" s="164">
        <v>14.5</v>
      </c>
    </row>
    <row r="235" spans="1:55">
      <c r="A235" s="216" t="s">
        <v>421</v>
      </c>
      <c r="B235" s="217"/>
      <c r="C235" s="218">
        <v>3515.9</v>
      </c>
      <c r="E235" s="218"/>
      <c r="F235" s="218">
        <v>0</v>
      </c>
      <c r="G235" s="219"/>
      <c r="H235" s="218"/>
      <c r="I235" s="218"/>
      <c r="J235" s="136"/>
      <c r="K235" s="139">
        <v>3584</v>
      </c>
      <c r="L235" s="136">
        <v>0</v>
      </c>
      <c r="M235" s="217">
        <v>0</v>
      </c>
      <c r="N235" s="136">
        <v>19</v>
      </c>
      <c r="O235" s="136">
        <v>0</v>
      </c>
      <c r="P235" s="218">
        <v>692</v>
      </c>
      <c r="Q235" s="136">
        <v>0</v>
      </c>
      <c r="R235" s="136">
        <v>184.1</v>
      </c>
      <c r="S235" s="136">
        <v>0</v>
      </c>
      <c r="T235" s="139">
        <v>79</v>
      </c>
      <c r="U235" s="217">
        <v>0</v>
      </c>
      <c r="V235" s="217">
        <v>1161</v>
      </c>
      <c r="W235" s="217">
        <v>0</v>
      </c>
      <c r="X235" s="218">
        <v>1</v>
      </c>
      <c r="Y235" s="220">
        <v>2491</v>
      </c>
      <c r="Z235" s="164">
        <v>0</v>
      </c>
      <c r="AA235" s="221">
        <v>15</v>
      </c>
      <c r="AB235" s="221">
        <v>1.7</v>
      </c>
      <c r="AC235" s="222">
        <v>47</v>
      </c>
      <c r="AD235" s="223">
        <v>45</v>
      </c>
      <c r="AE235" s="136"/>
      <c r="AF235" s="136">
        <v>0</v>
      </c>
      <c r="AG235" s="224">
        <v>16.7</v>
      </c>
      <c r="AH235" s="136">
        <v>4742.3999999999996</v>
      </c>
      <c r="AI235" s="136"/>
      <c r="AJ235" s="136"/>
      <c r="AK235" s="136">
        <f t="shared" si="33"/>
        <v>3515.9</v>
      </c>
      <c r="AL235" s="136">
        <f t="shared" si="34"/>
        <v>19</v>
      </c>
      <c r="AM235" s="136">
        <f t="shared" si="35"/>
        <v>184.1</v>
      </c>
      <c r="AN235" s="136">
        <f t="shared" si="36"/>
        <v>79</v>
      </c>
      <c r="AO235" s="136">
        <f t="shared" si="37"/>
        <v>692</v>
      </c>
      <c r="AP235" s="139">
        <f t="shared" si="38"/>
        <v>1161</v>
      </c>
      <c r="AQ235" s="136">
        <f t="shared" si="41"/>
        <v>45</v>
      </c>
      <c r="AR235" s="136">
        <f t="shared" si="39"/>
        <v>2491</v>
      </c>
      <c r="AS235" s="139">
        <f t="shared" si="40"/>
        <v>3584</v>
      </c>
      <c r="AT235" s="136"/>
      <c r="AU235" s="136">
        <f t="shared" si="42"/>
        <v>16.7</v>
      </c>
      <c r="AV235" s="225">
        <v>29827680</v>
      </c>
      <c r="AX235" s="136">
        <f>'2024 Legal Max'!AS236</f>
        <v>4719.8999999999996</v>
      </c>
      <c r="AY235" s="136">
        <f t="shared" si="43"/>
        <v>-22.5</v>
      </c>
      <c r="AZ235" s="139">
        <v>2298203</v>
      </c>
      <c r="BB235" s="164">
        <v>0</v>
      </c>
      <c r="BC235" s="164">
        <v>19</v>
      </c>
    </row>
    <row r="236" spans="1:55">
      <c r="A236" s="216" t="s">
        <v>422</v>
      </c>
      <c r="B236" s="217"/>
      <c r="C236" s="218">
        <v>400.2</v>
      </c>
      <c r="E236" s="218"/>
      <c r="F236" s="218">
        <v>0</v>
      </c>
      <c r="G236" s="219"/>
      <c r="H236" s="218"/>
      <c r="I236" s="218"/>
      <c r="J236" s="136"/>
      <c r="K236" s="139">
        <v>413</v>
      </c>
      <c r="L236" s="136">
        <v>0</v>
      </c>
      <c r="M236" s="217">
        <v>0</v>
      </c>
      <c r="N236" s="136">
        <v>5.5</v>
      </c>
      <c r="O236" s="136">
        <v>0</v>
      </c>
      <c r="P236" s="218">
        <v>154.30000000000001</v>
      </c>
      <c r="Q236" s="136">
        <v>0</v>
      </c>
      <c r="R236" s="136">
        <v>564.70000000000005</v>
      </c>
      <c r="S236" s="136">
        <v>0</v>
      </c>
      <c r="T236" s="139">
        <v>140</v>
      </c>
      <c r="U236" s="217">
        <v>0</v>
      </c>
      <c r="V236" s="217">
        <v>203</v>
      </c>
      <c r="W236" s="217">
        <v>0</v>
      </c>
      <c r="X236" s="218">
        <v>0</v>
      </c>
      <c r="Y236" s="220">
        <v>76.5</v>
      </c>
      <c r="Z236" s="164">
        <v>0</v>
      </c>
      <c r="AA236" s="221">
        <v>0</v>
      </c>
      <c r="AB236" s="221">
        <v>0</v>
      </c>
      <c r="AC236" s="222">
        <v>0</v>
      </c>
      <c r="AD236" s="223">
        <v>0</v>
      </c>
      <c r="AE236" s="136"/>
      <c r="AF236" s="136">
        <v>20.100000000000001</v>
      </c>
      <c r="AG236" s="224">
        <v>19.7</v>
      </c>
      <c r="AH236" s="136">
        <v>791.3</v>
      </c>
      <c r="AI236" s="136"/>
      <c r="AJ236" s="136"/>
      <c r="AK236" s="136">
        <f t="shared" si="33"/>
        <v>400.2</v>
      </c>
      <c r="AL236" s="136">
        <f t="shared" si="34"/>
        <v>5.5</v>
      </c>
      <c r="AM236" s="136">
        <f t="shared" si="35"/>
        <v>564.70000000000005</v>
      </c>
      <c r="AN236" s="136">
        <f t="shared" si="36"/>
        <v>140</v>
      </c>
      <c r="AO236" s="136">
        <f t="shared" si="37"/>
        <v>154.30000000000001</v>
      </c>
      <c r="AP236" s="139">
        <f t="shared" si="38"/>
        <v>203</v>
      </c>
      <c r="AQ236" s="136">
        <f t="shared" si="41"/>
        <v>0</v>
      </c>
      <c r="AR236" s="136">
        <f t="shared" si="39"/>
        <v>76.5</v>
      </c>
      <c r="AS236" s="139">
        <f t="shared" si="40"/>
        <v>413</v>
      </c>
      <c r="AT236" s="136"/>
      <c r="AU236" s="136">
        <f t="shared" si="42"/>
        <v>20.100000000000001</v>
      </c>
      <c r="AV236" s="225">
        <v>4311571</v>
      </c>
      <c r="AX236" s="136">
        <f>'2024 Legal Max'!AS237</f>
        <v>793.2</v>
      </c>
      <c r="AY236" s="136">
        <f t="shared" si="43"/>
        <v>1.9</v>
      </c>
      <c r="AZ236" s="139">
        <v>255882</v>
      </c>
      <c r="BB236" s="164">
        <v>0</v>
      </c>
      <c r="BC236" s="164">
        <v>5.5</v>
      </c>
    </row>
    <row r="237" spans="1:55">
      <c r="A237" s="216" t="s">
        <v>423</v>
      </c>
      <c r="B237" s="217"/>
      <c r="C237" s="218">
        <v>3344.6</v>
      </c>
      <c r="E237" s="218"/>
      <c r="F237" s="218">
        <v>0</v>
      </c>
      <c r="G237" s="219"/>
      <c r="H237" s="218"/>
      <c r="I237" s="218"/>
      <c r="J237" s="136"/>
      <c r="K237" s="139">
        <v>3435</v>
      </c>
      <c r="L237" s="136">
        <v>0</v>
      </c>
      <c r="M237" s="217">
        <v>0</v>
      </c>
      <c r="N237" s="136">
        <v>28</v>
      </c>
      <c r="O237" s="136">
        <v>0</v>
      </c>
      <c r="P237" s="218">
        <v>860.8</v>
      </c>
      <c r="Q237" s="136">
        <v>0</v>
      </c>
      <c r="R237" s="136">
        <v>21</v>
      </c>
      <c r="S237" s="136">
        <v>0</v>
      </c>
      <c r="T237" s="139">
        <v>33</v>
      </c>
      <c r="U237" s="217">
        <v>0</v>
      </c>
      <c r="V237" s="217">
        <v>1716</v>
      </c>
      <c r="W237" s="217">
        <v>0</v>
      </c>
      <c r="X237" s="218">
        <v>0</v>
      </c>
      <c r="Y237" s="220">
        <v>745</v>
      </c>
      <c r="Z237" s="164">
        <v>0</v>
      </c>
      <c r="AA237" s="221">
        <v>24</v>
      </c>
      <c r="AB237" s="221">
        <v>0</v>
      </c>
      <c r="AC237" s="222">
        <v>0</v>
      </c>
      <c r="AD237" s="223">
        <v>0</v>
      </c>
      <c r="AE237" s="136"/>
      <c r="AF237" s="136">
        <v>179.7</v>
      </c>
      <c r="AG237" s="224">
        <v>136.30000000000001</v>
      </c>
      <c r="AH237" s="136">
        <v>4803</v>
      </c>
      <c r="AI237" s="136"/>
      <c r="AJ237" s="136"/>
      <c r="AK237" s="136">
        <f t="shared" si="33"/>
        <v>3344.6</v>
      </c>
      <c r="AL237" s="136">
        <f t="shared" si="34"/>
        <v>28</v>
      </c>
      <c r="AM237" s="136">
        <f t="shared" si="35"/>
        <v>21</v>
      </c>
      <c r="AN237" s="136">
        <f t="shared" si="36"/>
        <v>33</v>
      </c>
      <c r="AO237" s="136">
        <f t="shared" si="37"/>
        <v>860.8</v>
      </c>
      <c r="AP237" s="139">
        <f t="shared" si="38"/>
        <v>1716</v>
      </c>
      <c r="AQ237" s="136">
        <f t="shared" si="41"/>
        <v>0</v>
      </c>
      <c r="AR237" s="136">
        <f t="shared" si="39"/>
        <v>745</v>
      </c>
      <c r="AS237" s="139">
        <f t="shared" si="40"/>
        <v>3435</v>
      </c>
      <c r="AT237" s="136"/>
      <c r="AU237" s="136">
        <f t="shared" si="42"/>
        <v>179.7</v>
      </c>
      <c r="AV237" s="225">
        <v>29958259</v>
      </c>
      <c r="AX237" s="136">
        <f>'2024 Legal Max'!AS238</f>
        <v>4757.3999999999996</v>
      </c>
      <c r="AY237" s="136">
        <f t="shared" si="43"/>
        <v>-45.6</v>
      </c>
      <c r="AZ237" s="139">
        <v>800468</v>
      </c>
      <c r="BA237" s="129" t="s">
        <v>3683</v>
      </c>
      <c r="BB237" s="164">
        <v>0</v>
      </c>
      <c r="BC237" s="164">
        <v>28</v>
      </c>
    </row>
    <row r="238" spans="1:55">
      <c r="A238" s="216" t="s">
        <v>424</v>
      </c>
      <c r="B238" s="217"/>
      <c r="C238" s="218">
        <v>262</v>
      </c>
      <c r="E238" s="218"/>
      <c r="F238" s="218">
        <v>0</v>
      </c>
      <c r="G238" s="219"/>
      <c r="H238" s="218"/>
      <c r="I238" s="218"/>
      <c r="J238" s="136"/>
      <c r="K238" s="139">
        <v>276</v>
      </c>
      <c r="L238" s="136">
        <v>0</v>
      </c>
      <c r="M238" s="217">
        <v>0</v>
      </c>
      <c r="N238" s="136">
        <v>6.5</v>
      </c>
      <c r="O238" s="136">
        <v>0</v>
      </c>
      <c r="P238" s="218">
        <v>13.3</v>
      </c>
      <c r="Q238" s="136">
        <v>0</v>
      </c>
      <c r="R238" s="136">
        <v>0.5</v>
      </c>
      <c r="S238" s="136">
        <v>0</v>
      </c>
      <c r="T238" s="139">
        <v>1</v>
      </c>
      <c r="U238" s="217">
        <v>0</v>
      </c>
      <c r="V238" s="217">
        <v>120</v>
      </c>
      <c r="W238" s="217">
        <v>0</v>
      </c>
      <c r="X238" s="218">
        <v>0</v>
      </c>
      <c r="Y238" s="220">
        <v>50</v>
      </c>
      <c r="Z238" s="164">
        <v>0</v>
      </c>
      <c r="AA238" s="221">
        <v>0</v>
      </c>
      <c r="AB238" s="221">
        <v>0</v>
      </c>
      <c r="AC238" s="222">
        <v>0</v>
      </c>
      <c r="AD238" s="223">
        <v>0</v>
      </c>
      <c r="AE238" s="136"/>
      <c r="AF238" s="136">
        <v>7.1</v>
      </c>
      <c r="AG238" s="224">
        <v>7.5</v>
      </c>
      <c r="AH238" s="136">
        <v>518</v>
      </c>
      <c r="AI238" s="136"/>
      <c r="AJ238" s="136"/>
      <c r="AK238" s="136">
        <f t="shared" si="33"/>
        <v>262</v>
      </c>
      <c r="AL238" s="136">
        <f t="shared" si="34"/>
        <v>6.5</v>
      </c>
      <c r="AM238" s="136">
        <f t="shared" si="35"/>
        <v>0.5</v>
      </c>
      <c r="AN238" s="136">
        <f t="shared" si="36"/>
        <v>1</v>
      </c>
      <c r="AO238" s="136">
        <f t="shared" si="37"/>
        <v>13.3</v>
      </c>
      <c r="AP238" s="139">
        <f t="shared" si="38"/>
        <v>120</v>
      </c>
      <c r="AQ238" s="136">
        <f t="shared" si="41"/>
        <v>0</v>
      </c>
      <c r="AR238" s="136">
        <f t="shared" si="39"/>
        <v>50</v>
      </c>
      <c r="AS238" s="139">
        <f t="shared" si="40"/>
        <v>276</v>
      </c>
      <c r="AT238" s="136"/>
      <c r="AU238" s="136">
        <f t="shared" si="42"/>
        <v>7.5</v>
      </c>
      <c r="AV238" s="225">
        <v>3097581</v>
      </c>
      <c r="AX238" s="136">
        <f>'2024 Legal Max'!AS239</f>
        <v>514.9</v>
      </c>
      <c r="AY238" s="136">
        <f t="shared" si="43"/>
        <v>-3.1</v>
      </c>
      <c r="AZ238" s="139">
        <v>121647</v>
      </c>
      <c r="BB238" s="164">
        <v>0</v>
      </c>
      <c r="BC238" s="164">
        <v>6.5</v>
      </c>
    </row>
    <row r="239" spans="1:55">
      <c r="A239" s="216" t="s">
        <v>425</v>
      </c>
      <c r="B239" s="217"/>
      <c r="C239" s="218">
        <v>184.5</v>
      </c>
      <c r="E239" s="218"/>
      <c r="F239" s="218">
        <v>0</v>
      </c>
      <c r="G239" s="219"/>
      <c r="H239" s="218"/>
      <c r="I239" s="218"/>
      <c r="J239" s="136"/>
      <c r="K239" s="139">
        <v>197</v>
      </c>
      <c r="L239" s="136">
        <v>197</v>
      </c>
      <c r="M239" s="217">
        <v>0</v>
      </c>
      <c r="N239" s="136">
        <v>3.5</v>
      </c>
      <c r="O239" s="136">
        <v>0</v>
      </c>
      <c r="P239" s="218">
        <v>96.1</v>
      </c>
      <c r="Q239" s="136">
        <v>0</v>
      </c>
      <c r="R239" s="136">
        <v>0</v>
      </c>
      <c r="S239" s="136">
        <v>0</v>
      </c>
      <c r="T239" s="139">
        <v>0</v>
      </c>
      <c r="U239" s="217">
        <v>0</v>
      </c>
      <c r="V239" s="217">
        <v>118</v>
      </c>
      <c r="W239" s="217">
        <v>0</v>
      </c>
      <c r="X239" s="218">
        <v>0</v>
      </c>
      <c r="Y239" s="220">
        <v>99.5</v>
      </c>
      <c r="Z239" s="164">
        <v>0</v>
      </c>
      <c r="AA239" s="221">
        <v>2</v>
      </c>
      <c r="AB239" s="221">
        <v>0</v>
      </c>
      <c r="AC239" s="222">
        <v>0</v>
      </c>
      <c r="AD239" s="223">
        <v>0</v>
      </c>
      <c r="AE239" s="136"/>
      <c r="AF239" s="136">
        <v>24.8</v>
      </c>
      <c r="AG239" s="224">
        <v>11.9</v>
      </c>
      <c r="AH239" s="136">
        <v>542</v>
      </c>
      <c r="AI239" s="136"/>
      <c r="AJ239" s="136"/>
      <c r="AK239" s="136">
        <f t="shared" si="33"/>
        <v>184.5</v>
      </c>
      <c r="AL239" s="136">
        <f t="shared" si="34"/>
        <v>3.5</v>
      </c>
      <c r="AM239" s="136">
        <f t="shared" si="35"/>
        <v>0</v>
      </c>
      <c r="AN239" s="136">
        <f t="shared" si="36"/>
        <v>0</v>
      </c>
      <c r="AO239" s="136">
        <f t="shared" si="37"/>
        <v>96.1</v>
      </c>
      <c r="AP239" s="139">
        <f t="shared" si="38"/>
        <v>118</v>
      </c>
      <c r="AQ239" s="136">
        <f t="shared" si="41"/>
        <v>0</v>
      </c>
      <c r="AR239" s="136">
        <f t="shared" si="39"/>
        <v>99.5</v>
      </c>
      <c r="AS239" s="139">
        <f t="shared" si="40"/>
        <v>197</v>
      </c>
      <c r="AT239" s="136"/>
      <c r="AU239" s="136">
        <f t="shared" si="42"/>
        <v>24.8</v>
      </c>
      <c r="AV239" s="225">
        <v>2607600</v>
      </c>
      <c r="AX239" s="136">
        <f>'2024 Legal Max'!AS240</f>
        <v>454.6</v>
      </c>
      <c r="AY239" s="136">
        <f t="shared" si="43"/>
        <v>-87.4</v>
      </c>
      <c r="AZ239" s="139">
        <v>147590</v>
      </c>
      <c r="BA239" s="129" t="s">
        <v>3559</v>
      </c>
      <c r="BB239" s="164">
        <v>0</v>
      </c>
      <c r="BC239" s="164">
        <v>3.5</v>
      </c>
    </row>
    <row r="240" spans="1:55">
      <c r="A240" s="216" t="s">
        <v>426</v>
      </c>
      <c r="B240" s="217"/>
      <c r="C240" s="218">
        <v>6642.9</v>
      </c>
      <c r="E240" s="218"/>
      <c r="F240" s="218">
        <v>0</v>
      </c>
      <c r="G240" s="219"/>
      <c r="H240" s="218"/>
      <c r="I240" s="218"/>
      <c r="J240" s="136"/>
      <c r="K240" s="139">
        <v>6765</v>
      </c>
      <c r="L240" s="136">
        <v>0</v>
      </c>
      <c r="M240" s="217">
        <v>0</v>
      </c>
      <c r="N240" s="136">
        <v>0</v>
      </c>
      <c r="O240" s="136">
        <v>0</v>
      </c>
      <c r="P240" s="218">
        <v>1765</v>
      </c>
      <c r="Q240" s="136">
        <v>0</v>
      </c>
      <c r="R240" s="136">
        <v>6335.7</v>
      </c>
      <c r="S240" s="136">
        <v>0</v>
      </c>
      <c r="T240" s="139">
        <v>2096</v>
      </c>
      <c r="U240" s="217">
        <v>0</v>
      </c>
      <c r="V240" s="217">
        <v>4245</v>
      </c>
      <c r="W240" s="217">
        <v>0</v>
      </c>
      <c r="X240" s="218">
        <v>0</v>
      </c>
      <c r="Y240" s="220">
        <v>2072</v>
      </c>
      <c r="Z240" s="164">
        <v>0</v>
      </c>
      <c r="AA240" s="221">
        <v>84</v>
      </c>
      <c r="AB240" s="221">
        <v>0.9</v>
      </c>
      <c r="AC240" s="222">
        <v>45</v>
      </c>
      <c r="AD240" s="223">
        <v>0</v>
      </c>
      <c r="AE240" s="136"/>
      <c r="AF240" s="136">
        <v>445.7</v>
      </c>
      <c r="AG240" s="224">
        <v>435.9</v>
      </c>
      <c r="AH240" s="136">
        <v>10448.4</v>
      </c>
      <c r="AI240" s="136"/>
      <c r="AJ240" s="136"/>
      <c r="AK240" s="136">
        <f t="shared" si="33"/>
        <v>6642.9</v>
      </c>
      <c r="AL240" s="136">
        <f t="shared" si="34"/>
        <v>0</v>
      </c>
      <c r="AM240" s="136">
        <f t="shared" si="35"/>
        <v>6335.7</v>
      </c>
      <c r="AN240" s="136">
        <f t="shared" si="36"/>
        <v>2096</v>
      </c>
      <c r="AO240" s="136">
        <f t="shared" si="37"/>
        <v>1765</v>
      </c>
      <c r="AP240" s="139">
        <f t="shared" si="38"/>
        <v>4245</v>
      </c>
      <c r="AQ240" s="136">
        <f t="shared" si="41"/>
        <v>0</v>
      </c>
      <c r="AR240" s="136">
        <f t="shared" si="39"/>
        <v>2072</v>
      </c>
      <c r="AS240" s="139">
        <f t="shared" si="40"/>
        <v>6765</v>
      </c>
      <c r="AT240" s="136"/>
      <c r="AU240" s="136">
        <f t="shared" si="42"/>
        <v>445.7</v>
      </c>
      <c r="AV240" s="225">
        <v>61480548</v>
      </c>
      <c r="AX240" s="136">
        <f>'2024 Legal Max'!AS241</f>
        <v>10793</v>
      </c>
      <c r="AY240" s="136">
        <f t="shared" si="43"/>
        <v>344.6</v>
      </c>
      <c r="AZ240" s="139">
        <v>2386032</v>
      </c>
      <c r="BA240" s="227" t="s">
        <v>3683</v>
      </c>
      <c r="BB240" s="164">
        <v>0</v>
      </c>
      <c r="BC240" s="164">
        <v>0</v>
      </c>
    </row>
    <row r="241" spans="1:55">
      <c r="A241" s="216" t="s">
        <v>427</v>
      </c>
      <c r="B241" s="217"/>
      <c r="C241" s="218">
        <v>2837.1</v>
      </c>
      <c r="E241" s="218"/>
      <c r="F241" s="218">
        <v>0</v>
      </c>
      <c r="G241" s="219"/>
      <c r="H241" s="218"/>
      <c r="I241" s="218"/>
      <c r="J241" s="136"/>
      <c r="K241" s="139">
        <v>2910</v>
      </c>
      <c r="L241" s="136">
        <v>0</v>
      </c>
      <c r="M241" s="217">
        <v>0</v>
      </c>
      <c r="N241" s="136">
        <v>21.5</v>
      </c>
      <c r="O241" s="136">
        <v>0</v>
      </c>
      <c r="P241" s="218">
        <v>640.6</v>
      </c>
      <c r="Q241" s="136">
        <v>0</v>
      </c>
      <c r="R241" s="136">
        <v>117.4</v>
      </c>
      <c r="S241" s="136">
        <v>0</v>
      </c>
      <c r="T241" s="139">
        <v>67</v>
      </c>
      <c r="U241" s="217">
        <v>0</v>
      </c>
      <c r="V241" s="217">
        <v>442</v>
      </c>
      <c r="W241" s="217">
        <v>0</v>
      </c>
      <c r="X241" s="218">
        <v>0</v>
      </c>
      <c r="Y241" s="220">
        <v>1516</v>
      </c>
      <c r="Z241" s="164">
        <v>0</v>
      </c>
      <c r="AA241" s="221">
        <v>127</v>
      </c>
      <c r="AB241" s="221">
        <v>10</v>
      </c>
      <c r="AC241" s="222">
        <v>30</v>
      </c>
      <c r="AD241" s="223">
        <v>20</v>
      </c>
      <c r="AE241" s="136"/>
      <c r="AF241" s="136">
        <v>0</v>
      </c>
      <c r="AG241" s="224">
        <v>0</v>
      </c>
      <c r="AH241" s="136">
        <v>3372.8</v>
      </c>
      <c r="AI241" s="136"/>
      <c r="AJ241" s="136"/>
      <c r="AK241" s="136">
        <f t="shared" si="33"/>
        <v>2837.1</v>
      </c>
      <c r="AL241" s="136">
        <f t="shared" si="34"/>
        <v>21.5</v>
      </c>
      <c r="AM241" s="136">
        <f t="shared" si="35"/>
        <v>117.4</v>
      </c>
      <c r="AN241" s="136">
        <f t="shared" si="36"/>
        <v>67</v>
      </c>
      <c r="AO241" s="136">
        <f t="shared" si="37"/>
        <v>640.6</v>
      </c>
      <c r="AP241" s="139">
        <f t="shared" si="38"/>
        <v>442</v>
      </c>
      <c r="AQ241" s="136">
        <f t="shared" si="41"/>
        <v>20</v>
      </c>
      <c r="AR241" s="136">
        <f t="shared" si="39"/>
        <v>1516</v>
      </c>
      <c r="AS241" s="139">
        <f t="shared" si="40"/>
        <v>2910</v>
      </c>
      <c r="AT241" s="136"/>
      <c r="AU241" s="136">
        <f t="shared" si="42"/>
        <v>0</v>
      </c>
      <c r="AV241" s="225">
        <v>22958085</v>
      </c>
      <c r="AX241" s="136">
        <f>'2024 Legal Max'!AS242</f>
        <v>3355</v>
      </c>
      <c r="AY241" s="136">
        <f t="shared" si="43"/>
        <v>-17.8</v>
      </c>
      <c r="AZ241" s="139">
        <v>1119454</v>
      </c>
      <c r="BB241" s="164">
        <v>0</v>
      </c>
      <c r="BC241" s="164">
        <v>21.5</v>
      </c>
    </row>
    <row r="242" spans="1:55">
      <c r="A242" s="216" t="s">
        <v>428</v>
      </c>
      <c r="B242" s="217"/>
      <c r="C242" s="218">
        <v>196.8</v>
      </c>
      <c r="E242" s="218"/>
      <c r="F242" s="218">
        <v>0</v>
      </c>
      <c r="G242" s="219"/>
      <c r="H242" s="218"/>
      <c r="I242" s="218"/>
      <c r="J242" s="136"/>
      <c r="K242" s="139">
        <v>214</v>
      </c>
      <c r="L242" s="136">
        <v>0</v>
      </c>
      <c r="M242" s="217">
        <v>0</v>
      </c>
      <c r="N242" s="136">
        <v>8</v>
      </c>
      <c r="O242" s="136">
        <v>0</v>
      </c>
      <c r="P242" s="218">
        <v>66.099999999999994</v>
      </c>
      <c r="Q242" s="136">
        <v>0</v>
      </c>
      <c r="R242" s="136">
        <v>20.8</v>
      </c>
      <c r="S242" s="136">
        <v>0</v>
      </c>
      <c r="T242" s="139">
        <v>7</v>
      </c>
      <c r="U242" s="217">
        <v>0</v>
      </c>
      <c r="V242" s="217">
        <v>88</v>
      </c>
      <c r="W242" s="217">
        <v>0</v>
      </c>
      <c r="X242" s="218">
        <v>0</v>
      </c>
      <c r="Y242" s="220">
        <v>67</v>
      </c>
      <c r="Z242" s="164">
        <v>0</v>
      </c>
      <c r="AA242" s="221">
        <v>0</v>
      </c>
      <c r="AB242" s="221">
        <v>0</v>
      </c>
      <c r="AC242" s="222">
        <v>0</v>
      </c>
      <c r="AD242" s="223">
        <v>0</v>
      </c>
      <c r="AE242" s="136"/>
      <c r="AF242" s="136">
        <v>3.8</v>
      </c>
      <c r="AG242" s="224">
        <v>6.3</v>
      </c>
      <c r="AH242" s="136">
        <v>458.9</v>
      </c>
      <c r="AI242" s="136"/>
      <c r="AJ242" s="136"/>
      <c r="AK242" s="136">
        <f t="shared" si="33"/>
        <v>196.8</v>
      </c>
      <c r="AL242" s="136">
        <f t="shared" si="34"/>
        <v>8</v>
      </c>
      <c r="AM242" s="136">
        <f t="shared" si="35"/>
        <v>20.8</v>
      </c>
      <c r="AN242" s="136">
        <f t="shared" si="36"/>
        <v>7</v>
      </c>
      <c r="AO242" s="136">
        <f t="shared" si="37"/>
        <v>66.099999999999994</v>
      </c>
      <c r="AP242" s="139">
        <f t="shared" si="38"/>
        <v>88</v>
      </c>
      <c r="AQ242" s="136">
        <f t="shared" si="41"/>
        <v>0</v>
      </c>
      <c r="AR242" s="136">
        <f t="shared" si="39"/>
        <v>67</v>
      </c>
      <c r="AS242" s="139">
        <f t="shared" si="40"/>
        <v>214</v>
      </c>
      <c r="AT242" s="136"/>
      <c r="AU242" s="136">
        <f t="shared" si="42"/>
        <v>6.3</v>
      </c>
      <c r="AV242" s="225">
        <v>2721571</v>
      </c>
      <c r="AX242" s="136">
        <f>'2024 Legal Max'!AS243</f>
        <v>458.7</v>
      </c>
      <c r="AY242" s="136">
        <f t="shared" si="43"/>
        <v>-0.2</v>
      </c>
      <c r="AZ242" s="139">
        <v>125682</v>
      </c>
      <c r="BB242" s="164">
        <v>0</v>
      </c>
      <c r="BC242" s="164">
        <v>8</v>
      </c>
    </row>
    <row r="243" spans="1:55">
      <c r="A243" s="216" t="s">
        <v>429</v>
      </c>
      <c r="B243" s="217"/>
      <c r="C243" s="218">
        <v>828.7</v>
      </c>
      <c r="E243" s="218"/>
      <c r="F243" s="218">
        <v>0</v>
      </c>
      <c r="G243" s="219"/>
      <c r="H243" s="218"/>
      <c r="I243" s="218"/>
      <c r="J243" s="136"/>
      <c r="K243" s="139">
        <v>832</v>
      </c>
      <c r="L243" s="136">
        <v>0</v>
      </c>
      <c r="M243" s="217">
        <v>0</v>
      </c>
      <c r="N243" s="136">
        <v>0</v>
      </c>
      <c r="O243" s="136">
        <v>0</v>
      </c>
      <c r="P243" s="218">
        <v>195.9</v>
      </c>
      <c r="Q243" s="136">
        <v>0</v>
      </c>
      <c r="R243" s="136">
        <v>45.5</v>
      </c>
      <c r="S243" s="136">
        <v>0</v>
      </c>
      <c r="T243" s="139">
        <v>16</v>
      </c>
      <c r="U243" s="217">
        <v>0</v>
      </c>
      <c r="V243" s="217">
        <v>156</v>
      </c>
      <c r="W243" s="217">
        <v>0</v>
      </c>
      <c r="X243" s="218">
        <v>0</v>
      </c>
      <c r="Y243" s="220">
        <v>95</v>
      </c>
      <c r="Z243" s="164">
        <v>0</v>
      </c>
      <c r="AA243" s="221">
        <v>0</v>
      </c>
      <c r="AB243" s="221">
        <v>0</v>
      </c>
      <c r="AC243" s="222">
        <v>0</v>
      </c>
      <c r="AD243" s="223">
        <v>0</v>
      </c>
      <c r="AE243" s="136"/>
      <c r="AF243" s="136">
        <v>0</v>
      </c>
      <c r="AG243" s="224">
        <v>0</v>
      </c>
      <c r="AH243" s="136">
        <v>1232.4000000000001</v>
      </c>
      <c r="AI243" s="136"/>
      <c r="AJ243" s="136"/>
      <c r="AK243" s="136">
        <f t="shared" si="33"/>
        <v>828.7</v>
      </c>
      <c r="AL243" s="136">
        <f t="shared" si="34"/>
        <v>0</v>
      </c>
      <c r="AM243" s="136">
        <f t="shared" si="35"/>
        <v>45.5</v>
      </c>
      <c r="AN243" s="136">
        <f t="shared" si="36"/>
        <v>16</v>
      </c>
      <c r="AO243" s="136">
        <f t="shared" si="37"/>
        <v>195.9</v>
      </c>
      <c r="AP243" s="139">
        <f t="shared" si="38"/>
        <v>156</v>
      </c>
      <c r="AQ243" s="136">
        <f t="shared" si="41"/>
        <v>0</v>
      </c>
      <c r="AR243" s="136">
        <f t="shared" si="39"/>
        <v>95</v>
      </c>
      <c r="AS243" s="139">
        <f t="shared" si="40"/>
        <v>832</v>
      </c>
      <c r="AT243" s="136"/>
      <c r="AU243" s="136">
        <f t="shared" si="42"/>
        <v>0</v>
      </c>
      <c r="AV243" s="225">
        <v>6998035</v>
      </c>
      <c r="AX243" s="136">
        <f>'2024 Legal Max'!AS244</f>
        <v>1229.8</v>
      </c>
      <c r="AY243" s="136">
        <f t="shared" si="43"/>
        <v>-2.6</v>
      </c>
      <c r="AZ243" s="139">
        <v>93491</v>
      </c>
      <c r="BB243" s="164">
        <v>0</v>
      </c>
      <c r="BC243" s="164">
        <v>0</v>
      </c>
    </row>
    <row r="244" spans="1:55">
      <c r="A244" s="216" t="s">
        <v>430</v>
      </c>
      <c r="B244" s="217"/>
      <c r="C244" s="218">
        <v>728</v>
      </c>
      <c r="E244" s="218"/>
      <c r="F244" s="218">
        <v>0</v>
      </c>
      <c r="G244" s="219"/>
      <c r="H244" s="218"/>
      <c r="I244" s="218"/>
      <c r="J244" s="136"/>
      <c r="K244" s="139">
        <v>756</v>
      </c>
      <c r="L244" s="136">
        <v>0</v>
      </c>
      <c r="M244" s="217">
        <v>0</v>
      </c>
      <c r="N244" s="136">
        <v>12.5</v>
      </c>
      <c r="O244" s="136">
        <v>0</v>
      </c>
      <c r="P244" s="218">
        <v>223.6</v>
      </c>
      <c r="Q244" s="136">
        <v>0</v>
      </c>
      <c r="R244" s="136">
        <v>0.7</v>
      </c>
      <c r="S244" s="136">
        <v>0</v>
      </c>
      <c r="T244" s="139">
        <v>1</v>
      </c>
      <c r="U244" s="217">
        <v>0</v>
      </c>
      <c r="V244" s="217">
        <v>403</v>
      </c>
      <c r="W244" s="217">
        <v>0</v>
      </c>
      <c r="X244" s="218">
        <v>0</v>
      </c>
      <c r="Y244" s="220">
        <v>52</v>
      </c>
      <c r="Z244" s="164">
        <v>0</v>
      </c>
      <c r="AA244" s="221">
        <v>5</v>
      </c>
      <c r="AB244" s="221">
        <v>0</v>
      </c>
      <c r="AC244" s="222">
        <v>0</v>
      </c>
      <c r="AD244" s="223">
        <v>0</v>
      </c>
      <c r="AE244" s="136"/>
      <c r="AF244" s="136">
        <v>42.3</v>
      </c>
      <c r="AG244" s="224">
        <v>38.4</v>
      </c>
      <c r="AH244" s="136">
        <v>1242.5</v>
      </c>
      <c r="AI244" s="136"/>
      <c r="AJ244" s="136"/>
      <c r="AK244" s="136">
        <f t="shared" si="33"/>
        <v>728</v>
      </c>
      <c r="AL244" s="136">
        <f t="shared" si="34"/>
        <v>12.5</v>
      </c>
      <c r="AM244" s="136">
        <f t="shared" si="35"/>
        <v>0.7</v>
      </c>
      <c r="AN244" s="136">
        <f t="shared" si="36"/>
        <v>1</v>
      </c>
      <c r="AO244" s="136">
        <f t="shared" si="37"/>
        <v>223.6</v>
      </c>
      <c r="AP244" s="139">
        <f t="shared" si="38"/>
        <v>403</v>
      </c>
      <c r="AQ244" s="136">
        <f t="shared" si="41"/>
        <v>0</v>
      </c>
      <c r="AR244" s="136">
        <f t="shared" si="39"/>
        <v>52</v>
      </c>
      <c r="AS244" s="139">
        <f t="shared" si="40"/>
        <v>756</v>
      </c>
      <c r="AT244" s="136"/>
      <c r="AU244" s="136">
        <f t="shared" si="42"/>
        <v>42.3</v>
      </c>
      <c r="AV244" s="225">
        <v>7097523</v>
      </c>
      <c r="AX244" s="136">
        <f>'2024 Legal Max'!AS245</f>
        <v>1196.5</v>
      </c>
      <c r="AY244" s="136">
        <f t="shared" si="43"/>
        <v>-46</v>
      </c>
      <c r="AZ244" s="139">
        <v>392899</v>
      </c>
      <c r="BB244" s="164">
        <v>0</v>
      </c>
      <c r="BC244" s="164">
        <v>12.5</v>
      </c>
    </row>
    <row r="245" spans="1:55">
      <c r="A245" s="216" t="s">
        <v>431</v>
      </c>
      <c r="B245" s="217"/>
      <c r="C245" s="218">
        <v>262.5</v>
      </c>
      <c r="E245" s="218"/>
      <c r="F245" s="218">
        <v>0</v>
      </c>
      <c r="G245" s="219"/>
      <c r="H245" s="218"/>
      <c r="I245" s="218"/>
      <c r="J245" s="136"/>
      <c r="K245" s="139">
        <v>275</v>
      </c>
      <c r="L245" s="136">
        <v>0</v>
      </c>
      <c r="M245" s="217">
        <v>0</v>
      </c>
      <c r="N245" s="136">
        <v>5</v>
      </c>
      <c r="O245" s="136">
        <v>0</v>
      </c>
      <c r="P245" s="218">
        <v>172.3</v>
      </c>
      <c r="Q245" s="136">
        <v>0</v>
      </c>
      <c r="R245" s="136">
        <v>0</v>
      </c>
      <c r="S245" s="136">
        <v>0</v>
      </c>
      <c r="T245" s="139">
        <v>0</v>
      </c>
      <c r="U245" s="217">
        <v>0</v>
      </c>
      <c r="V245" s="217">
        <v>140</v>
      </c>
      <c r="W245" s="217">
        <v>0</v>
      </c>
      <c r="X245" s="218">
        <v>0</v>
      </c>
      <c r="Y245" s="220">
        <v>99</v>
      </c>
      <c r="Z245" s="164">
        <v>0</v>
      </c>
      <c r="AA245" s="221">
        <v>11</v>
      </c>
      <c r="AB245" s="221">
        <v>0</v>
      </c>
      <c r="AC245" s="222">
        <v>0</v>
      </c>
      <c r="AD245" s="223">
        <v>0</v>
      </c>
      <c r="AE245" s="136"/>
      <c r="AF245" s="136">
        <v>14.7</v>
      </c>
      <c r="AG245" s="224">
        <v>13.7</v>
      </c>
      <c r="AH245" s="136">
        <v>557.5</v>
      </c>
      <c r="AI245" s="136"/>
      <c r="AJ245" s="136"/>
      <c r="AK245" s="136">
        <f t="shared" si="33"/>
        <v>262.5</v>
      </c>
      <c r="AL245" s="136">
        <f t="shared" si="34"/>
        <v>5</v>
      </c>
      <c r="AM245" s="136">
        <f t="shared" si="35"/>
        <v>0</v>
      </c>
      <c r="AN245" s="136">
        <f t="shared" si="36"/>
        <v>0</v>
      </c>
      <c r="AO245" s="136">
        <f t="shared" si="37"/>
        <v>172.3</v>
      </c>
      <c r="AP245" s="139">
        <f t="shared" si="38"/>
        <v>140</v>
      </c>
      <c r="AQ245" s="136">
        <f t="shared" si="41"/>
        <v>0</v>
      </c>
      <c r="AR245" s="136">
        <f t="shared" si="39"/>
        <v>99</v>
      </c>
      <c r="AS245" s="139">
        <f t="shared" si="40"/>
        <v>275</v>
      </c>
      <c r="AT245" s="136"/>
      <c r="AU245" s="136">
        <f t="shared" si="42"/>
        <v>14.7</v>
      </c>
      <c r="AV245" s="225">
        <v>3239034</v>
      </c>
      <c r="AX245" s="136">
        <f>'2024 Legal Max'!AS246</f>
        <v>556.29999999999995</v>
      </c>
      <c r="AY245" s="136">
        <f t="shared" si="43"/>
        <v>-1.2</v>
      </c>
      <c r="AZ245" s="139">
        <v>253404</v>
      </c>
      <c r="BB245" s="164">
        <v>0</v>
      </c>
      <c r="BC245" s="164">
        <v>5</v>
      </c>
    </row>
    <row r="246" spans="1:55">
      <c r="A246" s="216" t="s">
        <v>432</v>
      </c>
      <c r="B246" s="217"/>
      <c r="C246" s="218">
        <v>281.5</v>
      </c>
      <c r="E246" s="218"/>
      <c r="F246" s="218">
        <v>0</v>
      </c>
      <c r="G246" s="219"/>
      <c r="H246" s="218"/>
      <c r="I246" s="218"/>
      <c r="J246" s="136"/>
      <c r="K246" s="139">
        <v>296</v>
      </c>
      <c r="L246" s="136">
        <v>0</v>
      </c>
      <c r="M246" s="217">
        <v>0</v>
      </c>
      <c r="N246" s="136">
        <v>5</v>
      </c>
      <c r="O246" s="136">
        <v>0</v>
      </c>
      <c r="P246" s="218">
        <v>130.4</v>
      </c>
      <c r="Q246" s="136">
        <v>0</v>
      </c>
      <c r="R246" s="136">
        <v>2.2000000000000002</v>
      </c>
      <c r="S246" s="136">
        <v>0</v>
      </c>
      <c r="T246" s="139">
        <v>2</v>
      </c>
      <c r="U246" s="217">
        <v>0</v>
      </c>
      <c r="V246" s="217">
        <v>120</v>
      </c>
      <c r="W246" s="217">
        <v>0</v>
      </c>
      <c r="X246" s="218">
        <v>0</v>
      </c>
      <c r="Y246" s="220">
        <v>129</v>
      </c>
      <c r="Z246" s="164">
        <v>0</v>
      </c>
      <c r="AA246" s="221">
        <v>1</v>
      </c>
      <c r="AB246" s="221">
        <v>0.6</v>
      </c>
      <c r="AC246" s="222">
        <v>0</v>
      </c>
      <c r="AD246" s="223">
        <v>0</v>
      </c>
      <c r="AE246" s="136"/>
      <c r="AF246" s="136">
        <v>4.7</v>
      </c>
      <c r="AG246" s="224">
        <v>6.3</v>
      </c>
      <c r="AH246" s="136">
        <v>586</v>
      </c>
      <c r="AI246" s="136"/>
      <c r="AJ246" s="136"/>
      <c r="AK246" s="136">
        <f t="shared" si="33"/>
        <v>281.5</v>
      </c>
      <c r="AL246" s="136">
        <f t="shared" si="34"/>
        <v>5</v>
      </c>
      <c r="AM246" s="136">
        <f t="shared" si="35"/>
        <v>2.2000000000000002</v>
      </c>
      <c r="AN246" s="136">
        <f t="shared" si="36"/>
        <v>2</v>
      </c>
      <c r="AO246" s="136">
        <f t="shared" si="37"/>
        <v>130.4</v>
      </c>
      <c r="AP246" s="139">
        <f t="shared" si="38"/>
        <v>120</v>
      </c>
      <c r="AQ246" s="136">
        <f t="shared" si="41"/>
        <v>0</v>
      </c>
      <c r="AR246" s="136">
        <f t="shared" si="39"/>
        <v>129</v>
      </c>
      <c r="AS246" s="139">
        <f t="shared" si="40"/>
        <v>296</v>
      </c>
      <c r="AT246" s="136"/>
      <c r="AU246" s="136">
        <f t="shared" si="42"/>
        <v>6.3</v>
      </c>
      <c r="AV246" s="225">
        <v>3509200</v>
      </c>
      <c r="AX246" s="136">
        <f>'2024 Legal Max'!AS247</f>
        <v>583.9</v>
      </c>
      <c r="AY246" s="136">
        <f t="shared" si="43"/>
        <v>-2.1</v>
      </c>
      <c r="AZ246" s="139">
        <v>219124</v>
      </c>
      <c r="BB246" s="164">
        <v>0</v>
      </c>
      <c r="BC246" s="164">
        <v>5</v>
      </c>
    </row>
    <row r="247" spans="1:55">
      <c r="A247" s="216" t="s">
        <v>433</v>
      </c>
      <c r="B247" s="217"/>
      <c r="C247" s="218">
        <v>1899.2</v>
      </c>
      <c r="E247" s="218"/>
      <c r="F247" s="218">
        <v>0</v>
      </c>
      <c r="G247" s="219"/>
      <c r="H247" s="218"/>
      <c r="I247" s="218"/>
      <c r="J247" s="136"/>
      <c r="K247" s="139">
        <v>1943</v>
      </c>
      <c r="L247" s="136">
        <v>0</v>
      </c>
      <c r="M247" s="217">
        <v>0</v>
      </c>
      <c r="N247" s="136">
        <v>15.5</v>
      </c>
      <c r="O247" s="136">
        <v>0</v>
      </c>
      <c r="P247" s="218">
        <v>513.1</v>
      </c>
      <c r="Q247" s="136">
        <v>0</v>
      </c>
      <c r="R247" s="136">
        <v>38.9</v>
      </c>
      <c r="S247" s="136">
        <v>0</v>
      </c>
      <c r="T247" s="139">
        <v>29</v>
      </c>
      <c r="U247" s="217">
        <v>0</v>
      </c>
      <c r="V247" s="217">
        <v>449</v>
      </c>
      <c r="W247" s="217">
        <v>0</v>
      </c>
      <c r="X247" s="218">
        <v>1</v>
      </c>
      <c r="Y247" s="220">
        <v>657</v>
      </c>
      <c r="Z247" s="164">
        <v>0</v>
      </c>
      <c r="AA247" s="221">
        <v>18</v>
      </c>
      <c r="AB247" s="221">
        <v>0</v>
      </c>
      <c r="AC247" s="222">
        <v>0</v>
      </c>
      <c r="AD247" s="223">
        <v>0</v>
      </c>
      <c r="AE247" s="136"/>
      <c r="AF247" s="136">
        <v>0</v>
      </c>
      <c r="AG247" s="224">
        <v>0</v>
      </c>
      <c r="AH247" s="136">
        <v>2362</v>
      </c>
      <c r="AI247" s="136"/>
      <c r="AJ247" s="136"/>
      <c r="AK247" s="136">
        <f t="shared" si="33"/>
        <v>1899.2</v>
      </c>
      <c r="AL247" s="136">
        <f t="shared" si="34"/>
        <v>15.5</v>
      </c>
      <c r="AM247" s="136">
        <f t="shared" si="35"/>
        <v>38.9</v>
      </c>
      <c r="AN247" s="136">
        <f t="shared" si="36"/>
        <v>29</v>
      </c>
      <c r="AO247" s="136">
        <f t="shared" si="37"/>
        <v>513.1</v>
      </c>
      <c r="AP247" s="139">
        <f t="shared" si="38"/>
        <v>449</v>
      </c>
      <c r="AQ247" s="136">
        <f t="shared" si="41"/>
        <v>0</v>
      </c>
      <c r="AR247" s="136">
        <f t="shared" si="39"/>
        <v>657</v>
      </c>
      <c r="AS247" s="139">
        <f t="shared" si="40"/>
        <v>1943</v>
      </c>
      <c r="AT247" s="136"/>
      <c r="AU247" s="136">
        <f t="shared" si="42"/>
        <v>0</v>
      </c>
      <c r="AV247" s="225">
        <v>14567254</v>
      </c>
      <c r="AX247" s="136">
        <f>'2024 Legal Max'!AS248</f>
        <v>2347.5</v>
      </c>
      <c r="AY247" s="136">
        <f t="shared" si="43"/>
        <v>-14.5</v>
      </c>
      <c r="AZ247" s="139">
        <v>594217</v>
      </c>
      <c r="BB247" s="164">
        <v>0</v>
      </c>
      <c r="BC247" s="164">
        <v>15.5</v>
      </c>
    </row>
    <row r="248" spans="1:55">
      <c r="A248" s="216" t="s">
        <v>434</v>
      </c>
      <c r="B248" s="217"/>
      <c r="C248" s="218">
        <v>1967.4</v>
      </c>
      <c r="E248" s="218"/>
      <c r="F248" s="218">
        <v>0</v>
      </c>
      <c r="G248" s="219"/>
      <c r="H248" s="218"/>
      <c r="I248" s="218"/>
      <c r="J248" s="136"/>
      <c r="K248" s="139">
        <v>2037</v>
      </c>
      <c r="L248" s="136">
        <v>0</v>
      </c>
      <c r="M248" s="217">
        <v>0</v>
      </c>
      <c r="N248" s="136">
        <v>20</v>
      </c>
      <c r="O248" s="136">
        <v>0</v>
      </c>
      <c r="P248" s="218">
        <v>1046.8</v>
      </c>
      <c r="Q248" s="136">
        <v>0</v>
      </c>
      <c r="R248" s="136">
        <v>55.5</v>
      </c>
      <c r="S248" s="136">
        <v>0</v>
      </c>
      <c r="T248" s="139">
        <v>77</v>
      </c>
      <c r="U248" s="217">
        <v>0</v>
      </c>
      <c r="V248" s="217">
        <v>1040</v>
      </c>
      <c r="W248" s="217">
        <v>0</v>
      </c>
      <c r="X248" s="218">
        <v>0</v>
      </c>
      <c r="Y248" s="220">
        <v>544</v>
      </c>
      <c r="Z248" s="164">
        <v>0</v>
      </c>
      <c r="AA248" s="221">
        <v>24</v>
      </c>
      <c r="AB248" s="221">
        <v>3.8</v>
      </c>
      <c r="AC248" s="222">
        <v>0</v>
      </c>
      <c r="AD248" s="223">
        <v>2</v>
      </c>
      <c r="AE248" s="136"/>
      <c r="AF248" s="136">
        <v>109.2</v>
      </c>
      <c r="AG248" s="224">
        <v>87.4</v>
      </c>
      <c r="AH248" s="136">
        <v>2963.2</v>
      </c>
      <c r="AI248" s="136"/>
      <c r="AJ248" s="136"/>
      <c r="AK248" s="136">
        <f t="shared" si="33"/>
        <v>1967.4</v>
      </c>
      <c r="AL248" s="136">
        <f t="shared" si="34"/>
        <v>20</v>
      </c>
      <c r="AM248" s="136">
        <f t="shared" si="35"/>
        <v>55.5</v>
      </c>
      <c r="AN248" s="136">
        <f t="shared" si="36"/>
        <v>77</v>
      </c>
      <c r="AO248" s="136">
        <f t="shared" si="37"/>
        <v>1046.8</v>
      </c>
      <c r="AP248" s="139">
        <f t="shared" si="38"/>
        <v>1040</v>
      </c>
      <c r="AQ248" s="136">
        <f t="shared" si="41"/>
        <v>2</v>
      </c>
      <c r="AR248" s="136">
        <f t="shared" si="39"/>
        <v>544</v>
      </c>
      <c r="AS248" s="139">
        <f t="shared" si="40"/>
        <v>2037</v>
      </c>
      <c r="AT248" s="136"/>
      <c r="AU248" s="136">
        <f t="shared" si="42"/>
        <v>109.2</v>
      </c>
      <c r="AV248" s="225">
        <v>18967674</v>
      </c>
      <c r="AX248" s="136">
        <f>'2024 Legal Max'!AS249</f>
        <v>2920.6</v>
      </c>
      <c r="AY248" s="136">
        <f t="shared" si="43"/>
        <v>-42.6</v>
      </c>
      <c r="AZ248" s="139">
        <v>696228</v>
      </c>
      <c r="BA248" s="129" t="s">
        <v>3683</v>
      </c>
      <c r="BB248" s="164">
        <v>0</v>
      </c>
      <c r="BC248" s="164">
        <v>20</v>
      </c>
    </row>
    <row r="249" spans="1:55">
      <c r="A249" s="216" t="s">
        <v>435</v>
      </c>
      <c r="B249" s="217"/>
      <c r="C249" s="218">
        <v>926.6</v>
      </c>
      <c r="E249" s="218"/>
      <c r="F249" s="218">
        <v>0</v>
      </c>
      <c r="G249" s="219"/>
      <c r="H249" s="218"/>
      <c r="I249" s="218"/>
      <c r="J249" s="136"/>
      <c r="K249" s="139">
        <v>959</v>
      </c>
      <c r="L249" s="136">
        <v>0</v>
      </c>
      <c r="M249" s="217">
        <v>0</v>
      </c>
      <c r="N249" s="136">
        <v>7.5</v>
      </c>
      <c r="O249" s="136">
        <v>0</v>
      </c>
      <c r="P249" s="218">
        <v>328.8</v>
      </c>
      <c r="Q249" s="136">
        <v>0</v>
      </c>
      <c r="R249" s="136">
        <v>323.8</v>
      </c>
      <c r="S249" s="136">
        <v>0</v>
      </c>
      <c r="T249" s="139">
        <v>165</v>
      </c>
      <c r="U249" s="217">
        <v>0</v>
      </c>
      <c r="V249" s="217">
        <v>417</v>
      </c>
      <c r="W249" s="217">
        <v>0</v>
      </c>
      <c r="X249" s="218">
        <v>0</v>
      </c>
      <c r="Y249" s="220">
        <v>105</v>
      </c>
      <c r="Z249" s="164">
        <v>0</v>
      </c>
      <c r="AA249" s="221">
        <v>4</v>
      </c>
      <c r="AB249" s="221">
        <v>0</v>
      </c>
      <c r="AC249" s="222">
        <v>6</v>
      </c>
      <c r="AD249" s="223">
        <v>3</v>
      </c>
      <c r="AE249" s="136"/>
      <c r="AF249" s="136">
        <v>24.8</v>
      </c>
      <c r="AG249" s="224">
        <v>25.1</v>
      </c>
      <c r="AH249" s="136">
        <v>1510.4</v>
      </c>
      <c r="AI249" s="136"/>
      <c r="AJ249" s="136"/>
      <c r="AK249" s="136">
        <f t="shared" si="33"/>
        <v>926.6</v>
      </c>
      <c r="AL249" s="136">
        <f t="shared" si="34"/>
        <v>7.5</v>
      </c>
      <c r="AM249" s="136">
        <f t="shared" si="35"/>
        <v>323.8</v>
      </c>
      <c r="AN249" s="136">
        <f t="shared" si="36"/>
        <v>165</v>
      </c>
      <c r="AO249" s="136">
        <f t="shared" si="37"/>
        <v>328.8</v>
      </c>
      <c r="AP249" s="139">
        <f t="shared" si="38"/>
        <v>417</v>
      </c>
      <c r="AQ249" s="136">
        <f t="shared" si="41"/>
        <v>3</v>
      </c>
      <c r="AR249" s="136">
        <f t="shared" si="39"/>
        <v>105</v>
      </c>
      <c r="AS249" s="139">
        <f t="shared" si="40"/>
        <v>959</v>
      </c>
      <c r="AT249" s="136"/>
      <c r="AU249" s="136">
        <f t="shared" si="42"/>
        <v>25.1</v>
      </c>
      <c r="AV249" s="225">
        <v>8169186</v>
      </c>
      <c r="AX249" s="136">
        <f>'2024 Legal Max'!AS250</f>
        <v>1496.8</v>
      </c>
      <c r="AY249" s="136">
        <f t="shared" si="43"/>
        <v>-13.6</v>
      </c>
      <c r="AZ249" s="139">
        <v>314553</v>
      </c>
      <c r="BB249" s="164">
        <v>0</v>
      </c>
      <c r="BC249" s="164">
        <v>7.5</v>
      </c>
    </row>
    <row r="250" spans="1:55">
      <c r="A250" s="216" t="s">
        <v>436</v>
      </c>
      <c r="B250" s="217"/>
      <c r="C250" s="218">
        <v>367.4</v>
      </c>
      <c r="E250" s="218"/>
      <c r="F250" s="218">
        <v>0</v>
      </c>
      <c r="G250" s="219"/>
      <c r="H250" s="218"/>
      <c r="I250" s="218"/>
      <c r="J250" s="136"/>
      <c r="K250" s="139">
        <v>380</v>
      </c>
      <c r="L250" s="136">
        <v>0</v>
      </c>
      <c r="M250" s="217">
        <v>0</v>
      </c>
      <c r="N250" s="136">
        <v>4</v>
      </c>
      <c r="O250" s="136">
        <v>0</v>
      </c>
      <c r="P250" s="218">
        <v>71</v>
      </c>
      <c r="Q250" s="136">
        <v>0</v>
      </c>
      <c r="R250" s="136">
        <v>254.7</v>
      </c>
      <c r="S250" s="136">
        <v>0</v>
      </c>
      <c r="T250" s="139">
        <v>73</v>
      </c>
      <c r="U250" s="217">
        <v>0</v>
      </c>
      <c r="V250" s="217">
        <v>143</v>
      </c>
      <c r="W250" s="217">
        <v>0</v>
      </c>
      <c r="X250" s="218">
        <v>0</v>
      </c>
      <c r="Y250" s="220">
        <v>71.5</v>
      </c>
      <c r="Z250" s="164">
        <v>0</v>
      </c>
      <c r="AA250" s="221">
        <v>0</v>
      </c>
      <c r="AB250" s="221">
        <v>0</v>
      </c>
      <c r="AC250" s="222">
        <v>0</v>
      </c>
      <c r="AD250" s="223">
        <v>0</v>
      </c>
      <c r="AE250" s="136"/>
      <c r="AF250" s="136">
        <v>2.6</v>
      </c>
      <c r="AG250" s="224">
        <v>4.5</v>
      </c>
      <c r="AH250" s="136">
        <v>668.9</v>
      </c>
      <c r="AI250" s="136"/>
      <c r="AJ250" s="136"/>
      <c r="AK250" s="136">
        <f t="shared" si="33"/>
        <v>367.4</v>
      </c>
      <c r="AL250" s="136">
        <f t="shared" si="34"/>
        <v>4</v>
      </c>
      <c r="AM250" s="136">
        <f t="shared" si="35"/>
        <v>254.7</v>
      </c>
      <c r="AN250" s="136">
        <f t="shared" si="36"/>
        <v>73</v>
      </c>
      <c r="AO250" s="136">
        <f t="shared" si="37"/>
        <v>71</v>
      </c>
      <c r="AP250" s="139">
        <f t="shared" si="38"/>
        <v>143</v>
      </c>
      <c r="AQ250" s="136">
        <f t="shared" si="41"/>
        <v>0</v>
      </c>
      <c r="AR250" s="136">
        <f t="shared" si="39"/>
        <v>71.5</v>
      </c>
      <c r="AS250" s="139">
        <f t="shared" si="40"/>
        <v>380</v>
      </c>
      <c r="AT250" s="136"/>
      <c r="AU250" s="136">
        <f t="shared" si="42"/>
        <v>4.5</v>
      </c>
      <c r="AV250" s="225">
        <v>3798192</v>
      </c>
      <c r="AX250" s="136">
        <f>'2024 Legal Max'!AS251</f>
        <v>666.7</v>
      </c>
      <c r="AY250" s="136">
        <f t="shared" si="43"/>
        <v>-2.2000000000000002</v>
      </c>
      <c r="AZ250" s="139">
        <v>206700</v>
      </c>
      <c r="BB250" s="164">
        <v>0</v>
      </c>
      <c r="BC250" s="164">
        <v>4</v>
      </c>
    </row>
    <row r="251" spans="1:55">
      <c r="A251" s="216" t="s">
        <v>437</v>
      </c>
      <c r="B251" s="217"/>
      <c r="C251" s="218">
        <v>21</v>
      </c>
      <c r="E251" s="218"/>
      <c r="F251" s="218">
        <v>0</v>
      </c>
      <c r="G251" s="219"/>
      <c r="H251" s="218"/>
      <c r="I251" s="218"/>
      <c r="J251" s="136"/>
      <c r="K251" s="139">
        <v>21</v>
      </c>
      <c r="L251" s="136">
        <v>0</v>
      </c>
      <c r="M251" s="217">
        <v>0</v>
      </c>
      <c r="N251" s="136">
        <v>0</v>
      </c>
      <c r="O251" s="136">
        <v>0</v>
      </c>
      <c r="P251" s="218">
        <v>0</v>
      </c>
      <c r="Q251" s="136">
        <v>0</v>
      </c>
      <c r="R251" s="136">
        <v>1.7</v>
      </c>
      <c r="S251" s="136">
        <v>0</v>
      </c>
      <c r="T251" s="139">
        <v>5</v>
      </c>
      <c r="U251" s="217">
        <v>0</v>
      </c>
      <c r="V251" s="217">
        <v>18</v>
      </c>
      <c r="W251" s="217">
        <v>0</v>
      </c>
      <c r="X251" s="218">
        <v>0</v>
      </c>
      <c r="Y251" s="220">
        <v>4.5</v>
      </c>
      <c r="Z251" s="164">
        <v>0</v>
      </c>
      <c r="AA251" s="221">
        <v>0</v>
      </c>
      <c r="AB251" s="221">
        <v>0</v>
      </c>
      <c r="AC251" s="222">
        <v>0</v>
      </c>
      <c r="AD251" s="223">
        <v>0</v>
      </c>
      <c r="AE251" s="136"/>
      <c r="AF251" s="136">
        <v>1.9</v>
      </c>
      <c r="AG251" s="224">
        <v>1.9</v>
      </c>
      <c r="AH251" s="136">
        <v>93.9</v>
      </c>
      <c r="AI251" s="136"/>
      <c r="AJ251" s="136"/>
      <c r="AK251" s="136">
        <f t="shared" si="33"/>
        <v>21</v>
      </c>
      <c r="AL251" s="136">
        <f t="shared" si="34"/>
        <v>0</v>
      </c>
      <c r="AM251" s="136">
        <f t="shared" si="35"/>
        <v>1.7</v>
      </c>
      <c r="AN251" s="136">
        <f t="shared" si="36"/>
        <v>5</v>
      </c>
      <c r="AO251" s="136">
        <f t="shared" si="37"/>
        <v>0</v>
      </c>
      <c r="AP251" s="139">
        <f t="shared" si="38"/>
        <v>18</v>
      </c>
      <c r="AQ251" s="136">
        <f t="shared" si="41"/>
        <v>0</v>
      </c>
      <c r="AR251" s="136">
        <f t="shared" si="39"/>
        <v>4.5</v>
      </c>
      <c r="AS251" s="139">
        <f t="shared" si="40"/>
        <v>21</v>
      </c>
      <c r="AT251" s="136"/>
      <c r="AU251" s="136">
        <f t="shared" si="42"/>
        <v>1.9</v>
      </c>
      <c r="AV251" s="225">
        <v>637526</v>
      </c>
      <c r="AX251" s="136">
        <f>'2024 Legal Max'!AS252</f>
        <v>91.4</v>
      </c>
      <c r="AY251" s="136">
        <f t="shared" si="43"/>
        <v>-2.5</v>
      </c>
      <c r="AZ251" s="139">
        <v>39027</v>
      </c>
      <c r="BB251" s="164">
        <v>0</v>
      </c>
      <c r="BC251" s="164">
        <v>0</v>
      </c>
    </row>
    <row r="252" spans="1:55">
      <c r="A252" s="216" t="s">
        <v>438</v>
      </c>
      <c r="B252" s="217"/>
      <c r="C252" s="218">
        <v>2451.4</v>
      </c>
      <c r="E252" s="218"/>
      <c r="F252" s="218">
        <v>0</v>
      </c>
      <c r="G252" s="219"/>
      <c r="H252" s="218"/>
      <c r="I252" s="218"/>
      <c r="J252" s="136"/>
      <c r="K252" s="139">
        <v>2498</v>
      </c>
      <c r="L252" s="136">
        <v>0</v>
      </c>
      <c r="M252" s="217">
        <v>0</v>
      </c>
      <c r="N252" s="136">
        <v>14</v>
      </c>
      <c r="O252" s="136">
        <v>0</v>
      </c>
      <c r="P252" s="218">
        <v>348.5</v>
      </c>
      <c r="Q252" s="136">
        <v>0</v>
      </c>
      <c r="R252" s="136">
        <v>38.1</v>
      </c>
      <c r="S252" s="136">
        <v>0</v>
      </c>
      <c r="T252" s="139">
        <v>25</v>
      </c>
      <c r="U252" s="217">
        <v>0</v>
      </c>
      <c r="V252" s="217">
        <v>735</v>
      </c>
      <c r="W252" s="217">
        <v>0</v>
      </c>
      <c r="X252" s="218">
        <v>0</v>
      </c>
      <c r="Y252" s="220">
        <v>803</v>
      </c>
      <c r="Z252" s="164">
        <v>0</v>
      </c>
      <c r="AA252" s="221">
        <v>19</v>
      </c>
      <c r="AB252" s="221">
        <v>0.5</v>
      </c>
      <c r="AC252" s="222">
        <v>0</v>
      </c>
      <c r="AD252" s="223">
        <v>0</v>
      </c>
      <c r="AE252" s="136"/>
      <c r="AF252" s="136">
        <v>0</v>
      </c>
      <c r="AG252" s="224">
        <v>2.2000000000000002</v>
      </c>
      <c r="AH252" s="136">
        <v>3280.7</v>
      </c>
      <c r="AI252" s="136"/>
      <c r="AJ252" s="136"/>
      <c r="AK252" s="136">
        <f t="shared" si="33"/>
        <v>2451.4</v>
      </c>
      <c r="AL252" s="136">
        <f t="shared" si="34"/>
        <v>14</v>
      </c>
      <c r="AM252" s="136">
        <f t="shared" si="35"/>
        <v>38.1</v>
      </c>
      <c r="AN252" s="136">
        <f t="shared" si="36"/>
        <v>25</v>
      </c>
      <c r="AO252" s="136">
        <f t="shared" si="37"/>
        <v>348.5</v>
      </c>
      <c r="AP252" s="139">
        <f t="shared" si="38"/>
        <v>735</v>
      </c>
      <c r="AQ252" s="136">
        <f t="shared" si="41"/>
        <v>0</v>
      </c>
      <c r="AR252" s="136">
        <f t="shared" si="39"/>
        <v>803</v>
      </c>
      <c r="AS252" s="139">
        <f t="shared" si="40"/>
        <v>2498</v>
      </c>
      <c r="AT252" s="136"/>
      <c r="AU252" s="136">
        <f t="shared" si="42"/>
        <v>2.2000000000000002</v>
      </c>
      <c r="AV252" s="225">
        <v>20148592</v>
      </c>
      <c r="AX252" s="136">
        <f>'2024 Legal Max'!AS253</f>
        <v>3257.4</v>
      </c>
      <c r="AY252" s="136">
        <f t="shared" si="43"/>
        <v>-23.3</v>
      </c>
      <c r="AZ252" s="139">
        <v>821362</v>
      </c>
      <c r="BA252" s="129" t="s">
        <v>3554</v>
      </c>
      <c r="BB252" s="164">
        <v>0</v>
      </c>
      <c r="BC252" s="164">
        <v>14</v>
      </c>
    </row>
    <row r="253" spans="1:55">
      <c r="A253" s="216" t="s">
        <v>439</v>
      </c>
      <c r="B253" s="217"/>
      <c r="C253" s="218">
        <v>2695.6</v>
      </c>
      <c r="E253" s="218"/>
      <c r="F253" s="218">
        <v>0</v>
      </c>
      <c r="G253" s="219"/>
      <c r="H253" s="218"/>
      <c r="I253" s="218"/>
      <c r="J253" s="136"/>
      <c r="K253" s="139">
        <v>2881</v>
      </c>
      <c r="L253" s="136">
        <v>0</v>
      </c>
      <c r="M253" s="217">
        <v>0</v>
      </c>
      <c r="N253" s="136">
        <v>62</v>
      </c>
      <c r="O253" s="136">
        <v>0</v>
      </c>
      <c r="P253" s="218">
        <v>831.8</v>
      </c>
      <c r="Q253" s="136">
        <v>0</v>
      </c>
      <c r="R253" s="136">
        <v>1288.7</v>
      </c>
      <c r="S253" s="136">
        <v>0</v>
      </c>
      <c r="T253" s="139">
        <v>570</v>
      </c>
      <c r="U253" s="217">
        <v>0</v>
      </c>
      <c r="V253" s="217">
        <v>1902</v>
      </c>
      <c r="W253" s="217">
        <v>0</v>
      </c>
      <c r="X253" s="218">
        <v>0</v>
      </c>
      <c r="Y253" s="220">
        <v>689</v>
      </c>
      <c r="Z253" s="164">
        <v>0</v>
      </c>
      <c r="AA253" s="221">
        <v>34</v>
      </c>
      <c r="AB253" s="221">
        <v>1.3</v>
      </c>
      <c r="AC253" s="222">
        <v>0</v>
      </c>
      <c r="AD253" s="223">
        <v>0</v>
      </c>
      <c r="AE253" s="136"/>
      <c r="AF253" s="136">
        <v>199.7</v>
      </c>
      <c r="AG253" s="224">
        <v>196.1</v>
      </c>
      <c r="AH253" s="136">
        <v>4232.1000000000004</v>
      </c>
      <c r="AI253" s="136"/>
      <c r="AJ253" s="136"/>
      <c r="AK253" s="136">
        <f t="shared" si="33"/>
        <v>2695.6</v>
      </c>
      <c r="AL253" s="136">
        <f t="shared" si="34"/>
        <v>62</v>
      </c>
      <c r="AM253" s="136">
        <f t="shared" si="35"/>
        <v>1288.7</v>
      </c>
      <c r="AN253" s="136">
        <f t="shared" si="36"/>
        <v>570</v>
      </c>
      <c r="AO253" s="136">
        <f t="shared" si="37"/>
        <v>831.8</v>
      </c>
      <c r="AP253" s="139">
        <f t="shared" si="38"/>
        <v>1902</v>
      </c>
      <c r="AQ253" s="136">
        <f t="shared" si="41"/>
        <v>0</v>
      </c>
      <c r="AR253" s="136">
        <f t="shared" si="39"/>
        <v>689</v>
      </c>
      <c r="AS253" s="139">
        <f t="shared" si="40"/>
        <v>2881</v>
      </c>
      <c r="AT253" s="136"/>
      <c r="AU253" s="136">
        <f t="shared" si="42"/>
        <v>199.7</v>
      </c>
      <c r="AV253" s="225">
        <v>25850742</v>
      </c>
      <c r="AX253" s="136">
        <f>'2024 Legal Max'!AS254</f>
        <v>4217.7</v>
      </c>
      <c r="AY253" s="136">
        <f t="shared" si="43"/>
        <v>-14.4</v>
      </c>
      <c r="AZ253" s="139">
        <v>818843</v>
      </c>
      <c r="BB253" s="164">
        <v>0</v>
      </c>
      <c r="BC253" s="164">
        <v>62</v>
      </c>
    </row>
    <row r="254" spans="1:55">
      <c r="A254" s="216" t="s">
        <v>440</v>
      </c>
      <c r="B254" s="217"/>
      <c r="C254" s="218">
        <v>273</v>
      </c>
      <c r="E254" s="218"/>
      <c r="F254" s="218">
        <v>0</v>
      </c>
      <c r="G254" s="219"/>
      <c r="H254" s="218"/>
      <c r="I254" s="218"/>
      <c r="J254" s="136"/>
      <c r="K254" s="139">
        <v>275</v>
      </c>
      <c r="L254" s="136">
        <v>0</v>
      </c>
      <c r="M254" s="217">
        <v>0</v>
      </c>
      <c r="N254" s="136">
        <v>0</v>
      </c>
      <c r="O254" s="136">
        <v>0</v>
      </c>
      <c r="P254" s="218">
        <v>71.7</v>
      </c>
      <c r="Q254" s="136">
        <v>0</v>
      </c>
      <c r="R254" s="136">
        <v>0</v>
      </c>
      <c r="S254" s="136">
        <v>0</v>
      </c>
      <c r="T254" s="139">
        <v>0</v>
      </c>
      <c r="U254" s="217">
        <v>0</v>
      </c>
      <c r="V254" s="217">
        <v>101</v>
      </c>
      <c r="W254" s="217">
        <v>0</v>
      </c>
      <c r="X254" s="218">
        <v>1</v>
      </c>
      <c r="Y254" s="220">
        <v>56</v>
      </c>
      <c r="Z254" s="164">
        <v>0</v>
      </c>
      <c r="AA254" s="221">
        <v>0</v>
      </c>
      <c r="AB254" s="221">
        <v>0</v>
      </c>
      <c r="AC254" s="222">
        <v>0</v>
      </c>
      <c r="AD254" s="223">
        <v>0</v>
      </c>
      <c r="AE254" s="136"/>
      <c r="AF254" s="136">
        <v>1.2</v>
      </c>
      <c r="AG254" s="224">
        <v>2.1</v>
      </c>
      <c r="AH254" s="136">
        <v>490.6</v>
      </c>
      <c r="AI254" s="136"/>
      <c r="AJ254" s="136"/>
      <c r="AK254" s="136">
        <f t="shared" si="33"/>
        <v>273</v>
      </c>
      <c r="AL254" s="136">
        <f t="shared" si="34"/>
        <v>0</v>
      </c>
      <c r="AM254" s="136">
        <f t="shared" si="35"/>
        <v>0</v>
      </c>
      <c r="AN254" s="136">
        <f t="shared" si="36"/>
        <v>0</v>
      </c>
      <c r="AO254" s="136">
        <f t="shared" si="37"/>
        <v>71.7</v>
      </c>
      <c r="AP254" s="139">
        <f t="shared" si="38"/>
        <v>101</v>
      </c>
      <c r="AQ254" s="136">
        <f t="shared" si="41"/>
        <v>0</v>
      </c>
      <c r="AR254" s="136">
        <f t="shared" si="39"/>
        <v>56</v>
      </c>
      <c r="AS254" s="139">
        <f t="shared" si="40"/>
        <v>275</v>
      </c>
      <c r="AT254" s="136"/>
      <c r="AU254" s="136">
        <f t="shared" si="42"/>
        <v>2.1</v>
      </c>
      <c r="AV254" s="225">
        <v>2903213</v>
      </c>
      <c r="AX254" s="136">
        <f>'2024 Legal Max'!AS255</f>
        <v>488.8</v>
      </c>
      <c r="AY254" s="136">
        <f t="shared" si="43"/>
        <v>-1.8</v>
      </c>
      <c r="AZ254" s="139">
        <v>94688</v>
      </c>
      <c r="BB254" s="164">
        <v>0</v>
      </c>
      <c r="BC254" s="164">
        <v>0</v>
      </c>
    </row>
    <row r="255" spans="1:55">
      <c r="A255" s="216" t="s">
        <v>441</v>
      </c>
      <c r="B255" s="217"/>
      <c r="C255" s="218">
        <v>1094</v>
      </c>
      <c r="E255" s="218"/>
      <c r="F255" s="218">
        <v>0</v>
      </c>
      <c r="G255" s="219"/>
      <c r="H255" s="218"/>
      <c r="I255" s="218"/>
      <c r="J255" s="136"/>
      <c r="K255" s="139">
        <v>1107</v>
      </c>
      <c r="L255" s="136">
        <v>0</v>
      </c>
      <c r="M255" s="217">
        <v>0</v>
      </c>
      <c r="N255" s="136">
        <v>4</v>
      </c>
      <c r="O255" s="136">
        <v>0</v>
      </c>
      <c r="P255" s="218">
        <v>421.6</v>
      </c>
      <c r="Q255" s="136">
        <v>0</v>
      </c>
      <c r="R255" s="136">
        <v>1</v>
      </c>
      <c r="S255" s="136">
        <v>0</v>
      </c>
      <c r="T255" s="139">
        <v>2</v>
      </c>
      <c r="U255" s="217">
        <v>0</v>
      </c>
      <c r="V255" s="217">
        <v>366</v>
      </c>
      <c r="W255" s="217">
        <v>0</v>
      </c>
      <c r="X255" s="218">
        <v>0</v>
      </c>
      <c r="Y255" s="220">
        <v>453.5</v>
      </c>
      <c r="Z255" s="164">
        <v>0</v>
      </c>
      <c r="AA255" s="221">
        <v>0</v>
      </c>
      <c r="AB255" s="221">
        <v>0</v>
      </c>
      <c r="AC255" s="222">
        <v>0</v>
      </c>
      <c r="AD255" s="223">
        <v>0</v>
      </c>
      <c r="AE255" s="136"/>
      <c r="AF255" s="136">
        <v>0</v>
      </c>
      <c r="AG255" s="224">
        <v>5.0999999999999996</v>
      </c>
      <c r="AH255" s="136">
        <v>1684.4</v>
      </c>
      <c r="AI255" s="136"/>
      <c r="AJ255" s="136"/>
      <c r="AK255" s="136">
        <f t="shared" si="33"/>
        <v>1094</v>
      </c>
      <c r="AL255" s="136">
        <f t="shared" si="34"/>
        <v>4</v>
      </c>
      <c r="AM255" s="136">
        <f t="shared" si="35"/>
        <v>1</v>
      </c>
      <c r="AN255" s="136">
        <f t="shared" si="36"/>
        <v>2</v>
      </c>
      <c r="AO255" s="136">
        <f t="shared" si="37"/>
        <v>421.6</v>
      </c>
      <c r="AP255" s="139">
        <f t="shared" si="38"/>
        <v>366</v>
      </c>
      <c r="AQ255" s="136">
        <f t="shared" si="41"/>
        <v>0</v>
      </c>
      <c r="AR255" s="136">
        <f t="shared" si="39"/>
        <v>453.5</v>
      </c>
      <c r="AS255" s="139">
        <f t="shared" si="40"/>
        <v>1107</v>
      </c>
      <c r="AT255" s="136"/>
      <c r="AU255" s="136">
        <f t="shared" si="42"/>
        <v>5.0999999999999996</v>
      </c>
      <c r="AV255" s="225">
        <v>9953146</v>
      </c>
      <c r="AX255" s="136">
        <f>'2024 Legal Max'!AS256</f>
        <v>1685</v>
      </c>
      <c r="AY255" s="136">
        <f t="shared" si="43"/>
        <v>0.6</v>
      </c>
      <c r="AZ255" s="139">
        <v>945681</v>
      </c>
      <c r="BB255" s="164">
        <v>0</v>
      </c>
      <c r="BC255" s="164">
        <v>4</v>
      </c>
    </row>
    <row r="256" spans="1:55">
      <c r="A256" s="216" t="s">
        <v>442</v>
      </c>
      <c r="B256" s="217"/>
      <c r="C256" s="218">
        <v>86</v>
      </c>
      <c r="E256" s="218"/>
      <c r="F256" s="218">
        <v>0</v>
      </c>
      <c r="G256" s="219"/>
      <c r="H256" s="218"/>
      <c r="I256" s="218"/>
      <c r="J256" s="136"/>
      <c r="K256" s="139">
        <v>94</v>
      </c>
      <c r="L256" s="136">
        <v>0</v>
      </c>
      <c r="M256" s="217">
        <v>0</v>
      </c>
      <c r="N256" s="136">
        <v>2.5</v>
      </c>
      <c r="O256" s="136">
        <v>0</v>
      </c>
      <c r="P256" s="218">
        <v>20.8</v>
      </c>
      <c r="Q256" s="136">
        <v>0</v>
      </c>
      <c r="R256" s="136">
        <v>0</v>
      </c>
      <c r="S256" s="136">
        <v>0</v>
      </c>
      <c r="T256" s="139">
        <v>0</v>
      </c>
      <c r="U256" s="217">
        <v>0</v>
      </c>
      <c r="V256" s="217">
        <v>37</v>
      </c>
      <c r="W256" s="217">
        <v>0</v>
      </c>
      <c r="X256" s="218">
        <v>0</v>
      </c>
      <c r="Y256" s="220">
        <v>30</v>
      </c>
      <c r="Z256" s="164">
        <v>0</v>
      </c>
      <c r="AA256" s="221">
        <v>4</v>
      </c>
      <c r="AB256" s="221">
        <v>0</v>
      </c>
      <c r="AC256" s="222">
        <v>0</v>
      </c>
      <c r="AD256" s="223">
        <v>0</v>
      </c>
      <c r="AE256" s="136"/>
      <c r="AF256" s="136">
        <v>1.1000000000000001</v>
      </c>
      <c r="AG256" s="224">
        <v>1.7</v>
      </c>
      <c r="AH256" s="136">
        <v>201.7</v>
      </c>
      <c r="AI256" s="136"/>
      <c r="AJ256" s="136"/>
      <c r="AK256" s="136">
        <f t="shared" si="33"/>
        <v>86</v>
      </c>
      <c r="AL256" s="136">
        <f t="shared" si="34"/>
        <v>2.5</v>
      </c>
      <c r="AM256" s="136">
        <f t="shared" si="35"/>
        <v>0</v>
      </c>
      <c r="AN256" s="136">
        <f t="shared" si="36"/>
        <v>0</v>
      </c>
      <c r="AO256" s="136">
        <f t="shared" si="37"/>
        <v>20.8</v>
      </c>
      <c r="AP256" s="139">
        <f t="shared" si="38"/>
        <v>37</v>
      </c>
      <c r="AQ256" s="136">
        <f t="shared" si="41"/>
        <v>0</v>
      </c>
      <c r="AR256" s="136">
        <f t="shared" si="39"/>
        <v>30</v>
      </c>
      <c r="AS256" s="139">
        <f t="shared" si="40"/>
        <v>94</v>
      </c>
      <c r="AT256" s="136"/>
      <c r="AU256" s="136">
        <f t="shared" si="42"/>
        <v>1.7</v>
      </c>
      <c r="AV256" s="225">
        <v>1148870</v>
      </c>
      <c r="AX256" s="136">
        <f>'2024 Legal Max'!AS257</f>
        <v>200</v>
      </c>
      <c r="AY256" s="136">
        <f t="shared" si="43"/>
        <v>-1.7</v>
      </c>
      <c r="AZ256" s="139">
        <v>72674</v>
      </c>
      <c r="BB256" s="164">
        <v>0</v>
      </c>
      <c r="BC256" s="164">
        <v>2.5</v>
      </c>
    </row>
    <row r="257" spans="1:55">
      <c r="A257" s="216" t="s">
        <v>443</v>
      </c>
      <c r="B257" s="217"/>
      <c r="C257" s="218">
        <v>6888.3</v>
      </c>
      <c r="E257" s="218"/>
      <c r="F257" s="218">
        <v>410</v>
      </c>
      <c r="G257" s="219"/>
      <c r="H257" s="218"/>
      <c r="I257" s="218"/>
      <c r="J257" s="136"/>
      <c r="K257" s="139">
        <v>7226</v>
      </c>
      <c r="L257" s="136">
        <v>450</v>
      </c>
      <c r="M257" s="217">
        <v>450</v>
      </c>
      <c r="N257" s="136">
        <v>118</v>
      </c>
      <c r="O257" s="136">
        <v>40</v>
      </c>
      <c r="P257" s="218">
        <v>1250.5999999999999</v>
      </c>
      <c r="Q257" s="136">
        <v>50</v>
      </c>
      <c r="R257" s="136">
        <v>1552.8</v>
      </c>
      <c r="S257" s="136">
        <v>150</v>
      </c>
      <c r="T257" s="139">
        <v>538</v>
      </c>
      <c r="U257" s="217">
        <v>50</v>
      </c>
      <c r="V257" s="217">
        <v>2917</v>
      </c>
      <c r="W257" s="217">
        <v>100</v>
      </c>
      <c r="X257" s="218">
        <v>0</v>
      </c>
      <c r="Y257" s="220">
        <v>1965</v>
      </c>
      <c r="Z257" s="164">
        <v>120</v>
      </c>
      <c r="AA257" s="221">
        <v>3</v>
      </c>
      <c r="AB257" s="221">
        <v>1.3</v>
      </c>
      <c r="AC257" s="222">
        <v>40</v>
      </c>
      <c r="AD257" s="223">
        <v>2</v>
      </c>
      <c r="AE257" s="136"/>
      <c r="AF257" s="136">
        <v>90.8</v>
      </c>
      <c r="AG257" s="224">
        <v>158.5</v>
      </c>
      <c r="AH257" s="136">
        <v>9779.1</v>
      </c>
      <c r="AI257" s="136"/>
      <c r="AJ257" s="136"/>
      <c r="AK257" s="136">
        <f t="shared" si="33"/>
        <v>7298.3</v>
      </c>
      <c r="AL257" s="136">
        <f t="shared" si="34"/>
        <v>158</v>
      </c>
      <c r="AM257" s="136">
        <f t="shared" si="35"/>
        <v>1702.8</v>
      </c>
      <c r="AN257" s="136">
        <f t="shared" si="36"/>
        <v>588</v>
      </c>
      <c r="AO257" s="136">
        <f t="shared" si="37"/>
        <v>1300.5999999999999</v>
      </c>
      <c r="AP257" s="139">
        <f t="shared" si="38"/>
        <v>3017</v>
      </c>
      <c r="AQ257" s="136">
        <f t="shared" si="41"/>
        <v>2</v>
      </c>
      <c r="AR257" s="136">
        <f t="shared" si="39"/>
        <v>2085</v>
      </c>
      <c r="AS257" s="139">
        <f t="shared" si="40"/>
        <v>7676</v>
      </c>
      <c r="AT257" s="136"/>
      <c r="AU257" s="136">
        <f t="shared" si="42"/>
        <v>158.5</v>
      </c>
      <c r="AV257" s="225">
        <v>58875093</v>
      </c>
      <c r="AX257" s="136">
        <f>'2024 Legal Max'!AS258</f>
        <v>9729.2999999999993</v>
      </c>
      <c r="AY257" s="136">
        <f t="shared" si="43"/>
        <v>-49.8</v>
      </c>
      <c r="AZ257" s="139">
        <v>1860518</v>
      </c>
      <c r="BA257" s="129" t="s">
        <v>3558</v>
      </c>
      <c r="BB257" s="164">
        <v>0</v>
      </c>
      <c r="BC257" s="164">
        <v>118</v>
      </c>
    </row>
    <row r="258" spans="1:55">
      <c r="A258" s="216" t="s">
        <v>444</v>
      </c>
      <c r="B258" s="217"/>
      <c r="C258" s="218">
        <v>99.2</v>
      </c>
      <c r="E258" s="218"/>
      <c r="F258" s="218">
        <v>0</v>
      </c>
      <c r="G258" s="219"/>
      <c r="H258" s="218"/>
      <c r="I258" s="218"/>
      <c r="J258" s="136"/>
      <c r="K258" s="139">
        <v>106</v>
      </c>
      <c r="L258" s="136">
        <v>0</v>
      </c>
      <c r="M258" s="217">
        <v>0</v>
      </c>
      <c r="N258" s="136">
        <v>2</v>
      </c>
      <c r="O258" s="136">
        <v>0</v>
      </c>
      <c r="P258" s="218">
        <v>36.200000000000003</v>
      </c>
      <c r="Q258" s="136">
        <v>0</v>
      </c>
      <c r="R258" s="136">
        <v>72.5</v>
      </c>
      <c r="S258" s="136">
        <v>0</v>
      </c>
      <c r="T258" s="139">
        <v>22</v>
      </c>
      <c r="U258" s="217">
        <v>0</v>
      </c>
      <c r="V258" s="217">
        <v>35</v>
      </c>
      <c r="W258" s="217">
        <v>0</v>
      </c>
      <c r="X258" s="218">
        <v>0</v>
      </c>
      <c r="Y258" s="220">
        <v>36</v>
      </c>
      <c r="Z258" s="164">
        <v>0</v>
      </c>
      <c r="AA258" s="221">
        <v>0</v>
      </c>
      <c r="AB258" s="221">
        <v>0</v>
      </c>
      <c r="AC258" s="222">
        <v>0</v>
      </c>
      <c r="AD258" s="223">
        <v>0</v>
      </c>
      <c r="AE258" s="136"/>
      <c r="AF258" s="136">
        <v>0</v>
      </c>
      <c r="AG258" s="224">
        <v>0.3</v>
      </c>
      <c r="AH258" s="136">
        <v>231.2</v>
      </c>
      <c r="AI258" s="136"/>
      <c r="AJ258" s="136"/>
      <c r="AK258" s="136">
        <f t="shared" si="33"/>
        <v>99.2</v>
      </c>
      <c r="AL258" s="136">
        <f t="shared" si="34"/>
        <v>2</v>
      </c>
      <c r="AM258" s="136">
        <f t="shared" si="35"/>
        <v>72.5</v>
      </c>
      <c r="AN258" s="136">
        <f t="shared" si="36"/>
        <v>22</v>
      </c>
      <c r="AO258" s="136">
        <f t="shared" si="37"/>
        <v>36.200000000000003</v>
      </c>
      <c r="AP258" s="139">
        <f t="shared" si="38"/>
        <v>35</v>
      </c>
      <c r="AQ258" s="136">
        <f t="shared" si="41"/>
        <v>0</v>
      </c>
      <c r="AR258" s="136">
        <f t="shared" si="39"/>
        <v>36</v>
      </c>
      <c r="AS258" s="139">
        <f t="shared" si="40"/>
        <v>106</v>
      </c>
      <c r="AT258" s="136"/>
      <c r="AU258" s="136">
        <f t="shared" si="42"/>
        <v>0.3</v>
      </c>
      <c r="AV258" s="225">
        <v>1341706</v>
      </c>
      <c r="AX258" s="136">
        <f>'2024 Legal Max'!AS259</f>
        <v>231.5</v>
      </c>
      <c r="AY258" s="136">
        <f t="shared" si="43"/>
        <v>0.3</v>
      </c>
      <c r="AZ258" s="139">
        <v>112493</v>
      </c>
      <c r="BB258" s="164">
        <v>0</v>
      </c>
      <c r="BC258" s="164">
        <v>2</v>
      </c>
    </row>
    <row r="259" spans="1:55">
      <c r="A259" s="216" t="s">
        <v>445</v>
      </c>
      <c r="B259" s="217"/>
      <c r="C259" s="218">
        <v>207</v>
      </c>
      <c r="E259" s="218"/>
      <c r="F259" s="218">
        <v>0</v>
      </c>
      <c r="G259" s="219"/>
      <c r="H259" s="218"/>
      <c r="I259" s="218"/>
      <c r="J259" s="136"/>
      <c r="K259" s="139">
        <v>215</v>
      </c>
      <c r="L259" s="136">
        <v>0</v>
      </c>
      <c r="M259" s="217">
        <v>0</v>
      </c>
      <c r="N259" s="136">
        <v>4</v>
      </c>
      <c r="O259" s="136">
        <v>0</v>
      </c>
      <c r="P259" s="218">
        <v>99.7</v>
      </c>
      <c r="Q259" s="136">
        <v>0</v>
      </c>
      <c r="R259" s="136">
        <v>38.1</v>
      </c>
      <c r="S259" s="136">
        <v>0</v>
      </c>
      <c r="T259" s="139">
        <v>17</v>
      </c>
      <c r="U259" s="217">
        <v>0</v>
      </c>
      <c r="V259" s="217">
        <v>63</v>
      </c>
      <c r="W259" s="217">
        <v>0</v>
      </c>
      <c r="X259" s="218">
        <v>0</v>
      </c>
      <c r="Y259" s="220">
        <v>53</v>
      </c>
      <c r="Z259" s="164">
        <v>0</v>
      </c>
      <c r="AA259" s="221">
        <v>0</v>
      </c>
      <c r="AB259" s="221">
        <v>0</v>
      </c>
      <c r="AC259" s="222">
        <v>0</v>
      </c>
      <c r="AD259" s="223">
        <v>0</v>
      </c>
      <c r="AE259" s="136"/>
      <c r="AF259" s="136">
        <v>0</v>
      </c>
      <c r="AG259" s="224">
        <v>0</v>
      </c>
      <c r="AH259" s="136">
        <v>442.4</v>
      </c>
      <c r="AI259" s="136"/>
      <c r="AJ259" s="136"/>
      <c r="AK259" s="136">
        <f t="shared" si="33"/>
        <v>207</v>
      </c>
      <c r="AL259" s="136">
        <f t="shared" si="34"/>
        <v>4</v>
      </c>
      <c r="AM259" s="136">
        <f t="shared" si="35"/>
        <v>38.1</v>
      </c>
      <c r="AN259" s="136">
        <f t="shared" si="36"/>
        <v>17</v>
      </c>
      <c r="AO259" s="136">
        <f t="shared" si="37"/>
        <v>99.7</v>
      </c>
      <c r="AP259" s="139">
        <f t="shared" si="38"/>
        <v>63</v>
      </c>
      <c r="AQ259" s="136">
        <f t="shared" si="41"/>
        <v>0</v>
      </c>
      <c r="AR259" s="136">
        <f t="shared" si="39"/>
        <v>53</v>
      </c>
      <c r="AS259" s="139">
        <f t="shared" si="40"/>
        <v>215</v>
      </c>
      <c r="AT259" s="136"/>
      <c r="AU259" s="136">
        <f t="shared" si="42"/>
        <v>0</v>
      </c>
      <c r="AV259" s="225">
        <v>2555194</v>
      </c>
      <c r="AX259" s="136">
        <f>'2024 Legal Max'!AS260</f>
        <v>438</v>
      </c>
      <c r="AY259" s="136">
        <f t="shared" si="43"/>
        <v>-4.4000000000000004</v>
      </c>
      <c r="AZ259" s="139">
        <v>322970</v>
      </c>
      <c r="BB259" s="164">
        <v>0</v>
      </c>
      <c r="BC259" s="164">
        <v>4</v>
      </c>
    </row>
    <row r="260" spans="1:55">
      <c r="A260" s="216" t="s">
        <v>446</v>
      </c>
      <c r="B260" s="217"/>
      <c r="C260" s="218">
        <v>237.5</v>
      </c>
      <c r="E260" s="218"/>
      <c r="F260" s="218">
        <v>0</v>
      </c>
      <c r="G260" s="219"/>
      <c r="H260" s="218"/>
      <c r="I260" s="218"/>
      <c r="J260" s="136"/>
      <c r="K260" s="139">
        <v>246</v>
      </c>
      <c r="L260" s="136">
        <v>0</v>
      </c>
      <c r="M260" s="217">
        <v>0</v>
      </c>
      <c r="N260" s="136">
        <v>4</v>
      </c>
      <c r="O260" s="136">
        <v>0</v>
      </c>
      <c r="P260" s="218">
        <v>141</v>
      </c>
      <c r="Q260" s="136">
        <v>0</v>
      </c>
      <c r="R260" s="136">
        <v>0</v>
      </c>
      <c r="S260" s="136">
        <v>0</v>
      </c>
      <c r="T260" s="139">
        <v>3</v>
      </c>
      <c r="U260" s="217">
        <v>0</v>
      </c>
      <c r="V260" s="217">
        <v>121</v>
      </c>
      <c r="W260" s="217">
        <v>0</v>
      </c>
      <c r="X260" s="218">
        <v>0</v>
      </c>
      <c r="Y260" s="220">
        <v>101</v>
      </c>
      <c r="Z260" s="164">
        <v>0</v>
      </c>
      <c r="AA260" s="221">
        <v>0</v>
      </c>
      <c r="AB260" s="221">
        <v>0</v>
      </c>
      <c r="AC260" s="222">
        <v>0</v>
      </c>
      <c r="AD260" s="223">
        <v>0</v>
      </c>
      <c r="AE260" s="136"/>
      <c r="AF260" s="136">
        <v>12</v>
      </c>
      <c r="AG260" s="224">
        <v>10.1</v>
      </c>
      <c r="AH260" s="136">
        <v>503.3</v>
      </c>
      <c r="AI260" s="136"/>
      <c r="AJ260" s="136"/>
      <c r="AK260" s="136">
        <f t="shared" ref="AK260:AK289" si="44">SUM(C260+F260)</f>
        <v>237.5</v>
      </c>
      <c r="AL260" s="136">
        <f t="shared" ref="AL260:AL289" si="45">SUM(N260+O260)</f>
        <v>4</v>
      </c>
      <c r="AM260" s="136">
        <f t="shared" ref="AM260:AM289" si="46">SUM(R260+S260)</f>
        <v>0</v>
      </c>
      <c r="AN260" s="136">
        <f t="shared" ref="AN260:AN289" si="47">SUM(T260+U260)</f>
        <v>3</v>
      </c>
      <c r="AO260" s="136">
        <f t="shared" ref="AO260:AO289" si="48">SUM(P260+Q260)</f>
        <v>141</v>
      </c>
      <c r="AP260" s="139">
        <f t="shared" ref="AP260:AP289" si="49">SUM(V260+W260)</f>
        <v>121</v>
      </c>
      <c r="AQ260" s="136">
        <f t="shared" si="41"/>
        <v>0</v>
      </c>
      <c r="AR260" s="136">
        <f t="shared" ref="AR260:AR289" si="50">SUM(Y260+Z260)</f>
        <v>101</v>
      </c>
      <c r="AS260" s="139">
        <f t="shared" ref="AS260:AS289" si="51">SUM(K260+M260)</f>
        <v>246</v>
      </c>
      <c r="AT260" s="136"/>
      <c r="AU260" s="136">
        <f t="shared" si="42"/>
        <v>12</v>
      </c>
      <c r="AV260" s="225">
        <v>2867600</v>
      </c>
      <c r="AX260" s="136">
        <f>'2024 Legal Max'!AS261</f>
        <v>501.3</v>
      </c>
      <c r="AY260" s="136">
        <f t="shared" si="43"/>
        <v>-2</v>
      </c>
      <c r="AZ260" s="139">
        <v>152762</v>
      </c>
      <c r="BB260" s="164">
        <v>0</v>
      </c>
      <c r="BC260" s="164">
        <v>4</v>
      </c>
    </row>
    <row r="261" spans="1:55">
      <c r="A261" s="216" t="s">
        <v>447</v>
      </c>
      <c r="B261" s="217"/>
      <c r="C261" s="218">
        <v>4472</v>
      </c>
      <c r="E261" s="218"/>
      <c r="F261" s="218">
        <v>0</v>
      </c>
      <c r="G261" s="219"/>
      <c r="H261" s="218"/>
      <c r="I261" s="218"/>
      <c r="J261" s="136"/>
      <c r="K261" s="139">
        <v>4628</v>
      </c>
      <c r="L261" s="136">
        <v>0</v>
      </c>
      <c r="M261" s="217">
        <v>0</v>
      </c>
      <c r="N261" s="136">
        <v>62</v>
      </c>
      <c r="O261" s="136">
        <v>0</v>
      </c>
      <c r="P261" s="218">
        <v>1054.0999999999999</v>
      </c>
      <c r="Q261" s="136">
        <v>0</v>
      </c>
      <c r="R261" s="136">
        <v>6342.6</v>
      </c>
      <c r="S261" s="136">
        <v>0</v>
      </c>
      <c r="T261" s="139">
        <v>2167</v>
      </c>
      <c r="U261" s="217">
        <v>0</v>
      </c>
      <c r="V261" s="217">
        <v>3476</v>
      </c>
      <c r="W261" s="217">
        <v>0</v>
      </c>
      <c r="X261" s="218">
        <v>0</v>
      </c>
      <c r="Y261" s="220">
        <v>197.5</v>
      </c>
      <c r="Z261" s="164">
        <v>0</v>
      </c>
      <c r="AA261" s="221">
        <v>0</v>
      </c>
      <c r="AB261" s="221">
        <v>0</v>
      </c>
      <c r="AC261" s="222">
        <v>0</v>
      </c>
      <c r="AD261" s="223">
        <v>0</v>
      </c>
      <c r="AE261" s="136"/>
      <c r="AF261" s="136">
        <v>365</v>
      </c>
      <c r="AG261" s="224">
        <v>365</v>
      </c>
      <c r="AH261" s="136">
        <v>7254.3</v>
      </c>
      <c r="AI261" s="136"/>
      <c r="AJ261" s="136"/>
      <c r="AK261" s="136">
        <f t="shared" si="44"/>
        <v>4472</v>
      </c>
      <c r="AL261" s="136">
        <f t="shared" si="45"/>
        <v>62</v>
      </c>
      <c r="AM261" s="136">
        <f t="shared" si="46"/>
        <v>6342.6</v>
      </c>
      <c r="AN261" s="136">
        <f t="shared" si="47"/>
        <v>2167</v>
      </c>
      <c r="AO261" s="136">
        <f t="shared" si="48"/>
        <v>1054.0999999999999</v>
      </c>
      <c r="AP261" s="139">
        <f t="shared" si="49"/>
        <v>3476</v>
      </c>
      <c r="AQ261" s="136">
        <f t="shared" ref="AQ261:AQ289" si="52">SUM(AD261+AE261)</f>
        <v>0</v>
      </c>
      <c r="AR261" s="136">
        <f t="shared" si="50"/>
        <v>197.5</v>
      </c>
      <c r="AS261" s="139">
        <f t="shared" si="51"/>
        <v>4628</v>
      </c>
      <c r="AT261" s="136"/>
      <c r="AU261" s="136">
        <f t="shared" ref="AU261:AU289" si="53">MAX(AF261,AG261)</f>
        <v>365</v>
      </c>
      <c r="AV261" s="225">
        <v>38405242</v>
      </c>
      <c r="AX261" s="136">
        <f>'2024 Legal Max'!AS262</f>
        <v>7265</v>
      </c>
      <c r="AY261" s="136">
        <f t="shared" si="43"/>
        <v>10.7</v>
      </c>
      <c r="AZ261" s="139">
        <v>1164243</v>
      </c>
      <c r="BB261" s="164">
        <v>0</v>
      </c>
      <c r="BC261" s="164">
        <v>62</v>
      </c>
    </row>
    <row r="262" spans="1:55">
      <c r="A262" s="216" t="s">
        <v>448</v>
      </c>
      <c r="B262" s="217"/>
      <c r="C262" s="218">
        <v>269</v>
      </c>
      <c r="E262" s="218"/>
      <c r="F262" s="218">
        <v>0</v>
      </c>
      <c r="G262" s="219"/>
      <c r="H262" s="218"/>
      <c r="I262" s="218"/>
      <c r="J262" s="136"/>
      <c r="K262" s="139">
        <v>280</v>
      </c>
      <c r="L262" s="136">
        <v>0</v>
      </c>
      <c r="M262" s="217">
        <v>0</v>
      </c>
      <c r="N262" s="136">
        <v>4</v>
      </c>
      <c r="O262" s="136">
        <v>0</v>
      </c>
      <c r="P262" s="218">
        <v>87.1</v>
      </c>
      <c r="Q262" s="136">
        <v>0</v>
      </c>
      <c r="R262" s="136">
        <v>0</v>
      </c>
      <c r="S262" s="136">
        <v>0</v>
      </c>
      <c r="T262" s="139">
        <v>1</v>
      </c>
      <c r="U262" s="217">
        <v>0</v>
      </c>
      <c r="V262" s="217">
        <v>109</v>
      </c>
      <c r="W262" s="217">
        <v>0</v>
      </c>
      <c r="X262" s="218">
        <v>1</v>
      </c>
      <c r="Y262" s="220">
        <v>97.5</v>
      </c>
      <c r="Z262" s="164">
        <v>0</v>
      </c>
      <c r="AA262" s="221">
        <v>0</v>
      </c>
      <c r="AB262" s="221">
        <v>0</v>
      </c>
      <c r="AC262" s="222">
        <v>0</v>
      </c>
      <c r="AD262" s="223">
        <v>0</v>
      </c>
      <c r="AE262" s="136"/>
      <c r="AF262" s="136">
        <v>3</v>
      </c>
      <c r="AG262" s="224">
        <v>4.0999999999999996</v>
      </c>
      <c r="AH262" s="136">
        <v>508.2</v>
      </c>
      <c r="AI262" s="136"/>
      <c r="AJ262" s="136"/>
      <c r="AK262" s="136">
        <f t="shared" si="44"/>
        <v>269</v>
      </c>
      <c r="AL262" s="136">
        <f t="shared" si="45"/>
        <v>4</v>
      </c>
      <c r="AM262" s="136">
        <f t="shared" si="46"/>
        <v>0</v>
      </c>
      <c r="AN262" s="136">
        <f t="shared" si="47"/>
        <v>1</v>
      </c>
      <c r="AO262" s="136">
        <f t="shared" si="48"/>
        <v>87.1</v>
      </c>
      <c r="AP262" s="139">
        <f t="shared" si="49"/>
        <v>109</v>
      </c>
      <c r="AQ262" s="136">
        <f t="shared" si="52"/>
        <v>0</v>
      </c>
      <c r="AR262" s="136">
        <f t="shared" si="50"/>
        <v>97.5</v>
      </c>
      <c r="AS262" s="139">
        <f t="shared" si="51"/>
        <v>280</v>
      </c>
      <c r="AT262" s="136"/>
      <c r="AU262" s="136">
        <f t="shared" si="53"/>
        <v>4.0999999999999996</v>
      </c>
      <c r="AV262" s="225">
        <v>2905248</v>
      </c>
      <c r="AX262" s="136">
        <f>'2024 Legal Max'!AS263</f>
        <v>507.4</v>
      </c>
      <c r="AY262" s="136">
        <f t="shared" ref="AY262:AY289" si="54">AX262-AH262</f>
        <v>-0.8</v>
      </c>
      <c r="AZ262" s="139">
        <v>231325</v>
      </c>
      <c r="BB262" s="164">
        <v>0</v>
      </c>
      <c r="BC262" s="164">
        <v>4</v>
      </c>
    </row>
    <row r="263" spans="1:55">
      <c r="A263" s="216" t="s">
        <v>449</v>
      </c>
      <c r="B263" s="217"/>
      <c r="C263" s="218">
        <v>228.5</v>
      </c>
      <c r="E263" s="218"/>
      <c r="F263" s="218">
        <v>0</v>
      </c>
      <c r="G263" s="219"/>
      <c r="H263" s="218"/>
      <c r="I263" s="218"/>
      <c r="J263" s="136"/>
      <c r="K263" s="139">
        <v>237</v>
      </c>
      <c r="L263" s="136">
        <v>0</v>
      </c>
      <c r="M263" s="217">
        <v>0</v>
      </c>
      <c r="N263" s="136">
        <v>3.5</v>
      </c>
      <c r="O263" s="136">
        <v>0</v>
      </c>
      <c r="P263" s="218">
        <v>89.1</v>
      </c>
      <c r="Q263" s="136">
        <v>0</v>
      </c>
      <c r="R263" s="136">
        <v>50.3</v>
      </c>
      <c r="S263" s="136">
        <v>0</v>
      </c>
      <c r="T263" s="139">
        <v>26</v>
      </c>
      <c r="U263" s="217">
        <v>0</v>
      </c>
      <c r="V263" s="217">
        <v>95</v>
      </c>
      <c r="W263" s="217">
        <v>0</v>
      </c>
      <c r="X263" s="218">
        <v>1</v>
      </c>
      <c r="Y263" s="220">
        <v>33.5</v>
      </c>
      <c r="Z263" s="164">
        <v>0</v>
      </c>
      <c r="AA263" s="221">
        <v>0</v>
      </c>
      <c r="AB263" s="221">
        <v>0</v>
      </c>
      <c r="AC263" s="222">
        <v>0</v>
      </c>
      <c r="AD263" s="223">
        <v>0</v>
      </c>
      <c r="AE263" s="136"/>
      <c r="AF263" s="136">
        <v>3.4</v>
      </c>
      <c r="AG263" s="224">
        <v>4</v>
      </c>
      <c r="AH263" s="136">
        <v>468</v>
      </c>
      <c r="AI263" s="136"/>
      <c r="AJ263" s="136"/>
      <c r="AK263" s="136">
        <f t="shared" si="44"/>
        <v>228.5</v>
      </c>
      <c r="AL263" s="136">
        <f t="shared" si="45"/>
        <v>3.5</v>
      </c>
      <c r="AM263" s="136">
        <f t="shared" si="46"/>
        <v>50.3</v>
      </c>
      <c r="AN263" s="136">
        <f t="shared" si="47"/>
        <v>26</v>
      </c>
      <c r="AO263" s="136">
        <f t="shared" si="48"/>
        <v>89.1</v>
      </c>
      <c r="AP263" s="139">
        <f t="shared" si="49"/>
        <v>95</v>
      </c>
      <c r="AQ263" s="136">
        <f t="shared" si="52"/>
        <v>0</v>
      </c>
      <c r="AR263" s="136">
        <f t="shared" si="50"/>
        <v>33.5</v>
      </c>
      <c r="AS263" s="139">
        <f t="shared" si="51"/>
        <v>237</v>
      </c>
      <c r="AT263" s="136"/>
      <c r="AU263" s="136">
        <f t="shared" si="53"/>
        <v>4</v>
      </c>
      <c r="AV263" s="225">
        <v>2583686</v>
      </c>
      <c r="AX263" s="136">
        <f>'2024 Legal Max'!AS264</f>
        <v>462.1</v>
      </c>
      <c r="AY263" s="136">
        <f t="shared" si="54"/>
        <v>-5.9</v>
      </c>
      <c r="AZ263" s="139">
        <v>141471</v>
      </c>
      <c r="BB263" s="164">
        <v>0</v>
      </c>
      <c r="BC263" s="164">
        <v>3.5</v>
      </c>
    </row>
    <row r="264" spans="1:55">
      <c r="A264" s="216" t="s">
        <v>450</v>
      </c>
      <c r="B264" s="217"/>
      <c r="C264" s="218">
        <v>530</v>
      </c>
      <c r="E264" s="218"/>
      <c r="F264" s="218">
        <v>0</v>
      </c>
      <c r="G264" s="219"/>
      <c r="H264" s="218"/>
      <c r="I264" s="218"/>
      <c r="J264" s="136"/>
      <c r="K264" s="139">
        <v>573</v>
      </c>
      <c r="L264" s="136">
        <v>0</v>
      </c>
      <c r="M264" s="217">
        <v>0</v>
      </c>
      <c r="N264" s="136">
        <v>20.5</v>
      </c>
      <c r="O264" s="136">
        <v>0</v>
      </c>
      <c r="P264" s="218">
        <v>51.4</v>
      </c>
      <c r="Q264" s="136">
        <v>0</v>
      </c>
      <c r="R264" s="136">
        <v>1408.1</v>
      </c>
      <c r="S264" s="136">
        <v>0</v>
      </c>
      <c r="T264" s="139">
        <v>260</v>
      </c>
      <c r="U264" s="217">
        <v>0</v>
      </c>
      <c r="V264" s="217">
        <v>349</v>
      </c>
      <c r="W264" s="217">
        <v>0</v>
      </c>
      <c r="X264" s="218">
        <v>0</v>
      </c>
      <c r="Y264" s="220">
        <v>457</v>
      </c>
      <c r="Z264" s="164">
        <v>0</v>
      </c>
      <c r="AA264" s="221">
        <v>0</v>
      </c>
      <c r="AB264" s="221">
        <v>0</v>
      </c>
      <c r="AC264" s="222">
        <v>0</v>
      </c>
      <c r="AD264" s="223">
        <v>0</v>
      </c>
      <c r="AE264" s="136"/>
      <c r="AF264" s="136">
        <v>36.700000000000003</v>
      </c>
      <c r="AG264" s="224">
        <v>36.6</v>
      </c>
      <c r="AH264" s="136">
        <v>1231.7</v>
      </c>
      <c r="AI264" s="136"/>
      <c r="AJ264" s="136"/>
      <c r="AK264" s="136">
        <f t="shared" si="44"/>
        <v>530</v>
      </c>
      <c r="AL264" s="136">
        <f t="shared" si="45"/>
        <v>20.5</v>
      </c>
      <c r="AM264" s="136">
        <f t="shared" si="46"/>
        <v>1408.1</v>
      </c>
      <c r="AN264" s="136">
        <f t="shared" si="47"/>
        <v>260</v>
      </c>
      <c r="AO264" s="136">
        <f t="shared" si="48"/>
        <v>51.4</v>
      </c>
      <c r="AP264" s="139">
        <f t="shared" si="49"/>
        <v>349</v>
      </c>
      <c r="AQ264" s="136">
        <f t="shared" si="52"/>
        <v>0</v>
      </c>
      <c r="AR264" s="136">
        <f t="shared" si="50"/>
        <v>457</v>
      </c>
      <c r="AS264" s="139">
        <f t="shared" si="51"/>
        <v>573</v>
      </c>
      <c r="AT264" s="136"/>
      <c r="AU264" s="136">
        <f t="shared" si="53"/>
        <v>36.700000000000003</v>
      </c>
      <c r="AV264" s="225">
        <v>7451376</v>
      </c>
      <c r="AX264" s="136">
        <f>'2024 Legal Max'!AS265</f>
        <v>1225.7</v>
      </c>
      <c r="AY264" s="136">
        <f t="shared" si="54"/>
        <v>-6</v>
      </c>
      <c r="AZ264" s="139">
        <v>642062</v>
      </c>
      <c r="BA264" s="129" t="s">
        <v>3684</v>
      </c>
      <c r="BB264" s="164">
        <v>0</v>
      </c>
      <c r="BC264" s="164">
        <v>20.5</v>
      </c>
    </row>
    <row r="265" spans="1:55">
      <c r="A265" s="216" t="s">
        <v>451</v>
      </c>
      <c r="B265" s="217"/>
      <c r="C265" s="218">
        <v>597</v>
      </c>
      <c r="E265" s="218"/>
      <c r="F265" s="218">
        <v>0</v>
      </c>
      <c r="G265" s="219"/>
      <c r="H265" s="218"/>
      <c r="I265" s="218"/>
      <c r="J265" s="136"/>
      <c r="K265" s="139">
        <v>613</v>
      </c>
      <c r="L265" s="136">
        <v>0</v>
      </c>
      <c r="M265" s="217">
        <v>0</v>
      </c>
      <c r="N265" s="136">
        <v>8</v>
      </c>
      <c r="O265" s="136">
        <v>0</v>
      </c>
      <c r="P265" s="218">
        <v>202.8</v>
      </c>
      <c r="Q265" s="136">
        <v>0</v>
      </c>
      <c r="R265" s="136">
        <v>0</v>
      </c>
      <c r="S265" s="136">
        <v>0</v>
      </c>
      <c r="T265" s="139">
        <v>0</v>
      </c>
      <c r="U265" s="217">
        <v>0</v>
      </c>
      <c r="V265" s="217">
        <v>268</v>
      </c>
      <c r="W265" s="217">
        <v>0</v>
      </c>
      <c r="X265" s="218">
        <v>0</v>
      </c>
      <c r="Y265" s="220">
        <v>200</v>
      </c>
      <c r="Z265" s="164">
        <v>0</v>
      </c>
      <c r="AA265" s="221">
        <v>0</v>
      </c>
      <c r="AB265" s="221">
        <v>0</v>
      </c>
      <c r="AC265" s="222">
        <v>2</v>
      </c>
      <c r="AD265" s="223">
        <v>0</v>
      </c>
      <c r="AE265" s="136"/>
      <c r="AF265" s="136">
        <v>16.399999999999999</v>
      </c>
      <c r="AG265" s="224">
        <v>16.7</v>
      </c>
      <c r="AH265" s="136">
        <v>1086.4000000000001</v>
      </c>
      <c r="AI265" s="136"/>
      <c r="AJ265" s="136"/>
      <c r="AK265" s="136">
        <f t="shared" si="44"/>
        <v>597</v>
      </c>
      <c r="AL265" s="136">
        <f t="shared" si="45"/>
        <v>8</v>
      </c>
      <c r="AM265" s="136">
        <f t="shared" si="46"/>
        <v>0</v>
      </c>
      <c r="AN265" s="136">
        <f t="shared" si="47"/>
        <v>0</v>
      </c>
      <c r="AO265" s="136">
        <f t="shared" si="48"/>
        <v>202.8</v>
      </c>
      <c r="AP265" s="139">
        <f t="shared" si="49"/>
        <v>268</v>
      </c>
      <c r="AQ265" s="136">
        <f t="shared" si="52"/>
        <v>0</v>
      </c>
      <c r="AR265" s="136">
        <f t="shared" si="50"/>
        <v>200</v>
      </c>
      <c r="AS265" s="139">
        <f t="shared" si="51"/>
        <v>613</v>
      </c>
      <c r="AT265" s="136"/>
      <c r="AU265" s="136">
        <f t="shared" si="53"/>
        <v>16.7</v>
      </c>
      <c r="AV265" s="225">
        <v>6424618</v>
      </c>
      <c r="AX265" s="136">
        <f>'2024 Legal Max'!AS266</f>
        <v>1080.9000000000001</v>
      </c>
      <c r="AY265" s="136">
        <f t="shared" si="54"/>
        <v>-5.5</v>
      </c>
      <c r="AZ265" s="139">
        <v>367079</v>
      </c>
      <c r="BB265" s="164">
        <v>0</v>
      </c>
      <c r="BC265" s="164">
        <v>8</v>
      </c>
    </row>
    <row r="266" spans="1:55">
      <c r="A266" s="216" t="s">
        <v>452</v>
      </c>
      <c r="B266" s="217"/>
      <c r="C266" s="218">
        <v>380</v>
      </c>
      <c r="E266" s="218"/>
      <c r="F266" s="218">
        <v>0</v>
      </c>
      <c r="G266" s="219"/>
      <c r="H266" s="218"/>
      <c r="I266" s="218"/>
      <c r="J266" s="136"/>
      <c r="K266" s="139">
        <v>397</v>
      </c>
      <c r="L266" s="136">
        <v>0</v>
      </c>
      <c r="M266" s="217">
        <v>0</v>
      </c>
      <c r="N266" s="136">
        <v>8</v>
      </c>
      <c r="O266" s="136">
        <v>0</v>
      </c>
      <c r="P266" s="218">
        <v>236.1</v>
      </c>
      <c r="Q266" s="136">
        <v>0</v>
      </c>
      <c r="R266" s="136">
        <v>0</v>
      </c>
      <c r="S266" s="136">
        <v>0</v>
      </c>
      <c r="T266" s="139">
        <v>6</v>
      </c>
      <c r="U266" s="217">
        <v>0</v>
      </c>
      <c r="V266" s="217">
        <v>251</v>
      </c>
      <c r="W266" s="217">
        <v>0</v>
      </c>
      <c r="X266" s="218">
        <v>0</v>
      </c>
      <c r="Y266" s="220">
        <v>30</v>
      </c>
      <c r="Z266" s="164">
        <v>0</v>
      </c>
      <c r="AA266" s="221">
        <v>10</v>
      </c>
      <c r="AB266" s="221">
        <v>0</v>
      </c>
      <c r="AC266" s="222">
        <v>2.5</v>
      </c>
      <c r="AD266" s="223">
        <v>9</v>
      </c>
      <c r="AE266" s="136"/>
      <c r="AF266" s="136">
        <v>26.4</v>
      </c>
      <c r="AG266" s="224">
        <v>26.4</v>
      </c>
      <c r="AH266" s="136">
        <v>777.5</v>
      </c>
      <c r="AI266" s="136"/>
      <c r="AJ266" s="136"/>
      <c r="AK266" s="136">
        <f t="shared" si="44"/>
        <v>380</v>
      </c>
      <c r="AL266" s="136">
        <f t="shared" si="45"/>
        <v>8</v>
      </c>
      <c r="AM266" s="136">
        <f t="shared" si="46"/>
        <v>0</v>
      </c>
      <c r="AN266" s="136">
        <f t="shared" si="47"/>
        <v>6</v>
      </c>
      <c r="AO266" s="136">
        <f t="shared" si="48"/>
        <v>236.1</v>
      </c>
      <c r="AP266" s="139">
        <f t="shared" si="49"/>
        <v>251</v>
      </c>
      <c r="AQ266" s="136">
        <f t="shared" si="52"/>
        <v>9</v>
      </c>
      <c r="AR266" s="136">
        <f t="shared" si="50"/>
        <v>30</v>
      </c>
      <c r="AS266" s="139">
        <f t="shared" si="51"/>
        <v>397</v>
      </c>
      <c r="AT266" s="136"/>
      <c r="AU266" s="136">
        <f t="shared" si="53"/>
        <v>26.4</v>
      </c>
      <c r="AV266" s="225">
        <v>4665715</v>
      </c>
      <c r="AX266" s="136">
        <f>'2024 Legal Max'!AS267</f>
        <v>769.1</v>
      </c>
      <c r="AY266" s="136">
        <f t="shared" si="54"/>
        <v>-8.4</v>
      </c>
      <c r="AZ266" s="139">
        <v>188247</v>
      </c>
      <c r="BB266" s="164">
        <v>0</v>
      </c>
      <c r="BC266" s="164">
        <v>8</v>
      </c>
    </row>
    <row r="267" spans="1:55">
      <c r="A267" s="216" t="s">
        <v>453</v>
      </c>
      <c r="B267" s="217"/>
      <c r="C267" s="218">
        <v>3130.4</v>
      </c>
      <c r="E267" s="218"/>
      <c r="F267" s="218">
        <v>0</v>
      </c>
      <c r="G267" s="219"/>
      <c r="H267" s="218"/>
      <c r="I267" s="218"/>
      <c r="J267" s="136"/>
      <c r="K267" s="139">
        <v>3251</v>
      </c>
      <c r="L267" s="136">
        <v>0</v>
      </c>
      <c r="M267" s="217">
        <v>0</v>
      </c>
      <c r="N267" s="136">
        <v>43</v>
      </c>
      <c r="O267" s="136">
        <v>0</v>
      </c>
      <c r="P267" s="218">
        <v>787.2</v>
      </c>
      <c r="Q267" s="136">
        <v>0</v>
      </c>
      <c r="R267" s="136">
        <v>494.6</v>
      </c>
      <c r="S267" s="136">
        <v>0</v>
      </c>
      <c r="T267" s="139">
        <v>158</v>
      </c>
      <c r="U267" s="217">
        <v>0</v>
      </c>
      <c r="V267" s="217">
        <v>1171</v>
      </c>
      <c r="W267" s="217">
        <v>0</v>
      </c>
      <c r="X267" s="218">
        <v>3</v>
      </c>
      <c r="Y267" s="220">
        <v>739</v>
      </c>
      <c r="Z267" s="164">
        <v>0</v>
      </c>
      <c r="AA267" s="221">
        <v>42</v>
      </c>
      <c r="AB267" s="221">
        <v>23.6</v>
      </c>
      <c r="AC267" s="222">
        <v>18</v>
      </c>
      <c r="AD267" s="223">
        <v>5</v>
      </c>
      <c r="AE267" s="136"/>
      <c r="AF267" s="136">
        <v>8.4</v>
      </c>
      <c r="AG267" s="224">
        <v>17.3</v>
      </c>
      <c r="AH267" s="136">
        <v>4099</v>
      </c>
      <c r="AI267" s="136"/>
      <c r="AJ267" s="136"/>
      <c r="AK267" s="136">
        <f t="shared" si="44"/>
        <v>3130.4</v>
      </c>
      <c r="AL267" s="136">
        <f t="shared" si="45"/>
        <v>43</v>
      </c>
      <c r="AM267" s="136">
        <f t="shared" si="46"/>
        <v>494.6</v>
      </c>
      <c r="AN267" s="136">
        <f t="shared" si="47"/>
        <v>158</v>
      </c>
      <c r="AO267" s="136">
        <f t="shared" si="48"/>
        <v>787.2</v>
      </c>
      <c r="AP267" s="139">
        <f t="shared" si="49"/>
        <v>1171</v>
      </c>
      <c r="AQ267" s="136">
        <f t="shared" si="52"/>
        <v>5</v>
      </c>
      <c r="AR267" s="136">
        <f t="shared" si="50"/>
        <v>739</v>
      </c>
      <c r="AS267" s="139">
        <f t="shared" si="51"/>
        <v>3251</v>
      </c>
      <c r="AT267" s="136"/>
      <c r="AU267" s="136">
        <f t="shared" si="53"/>
        <v>17.3</v>
      </c>
      <c r="AV267" s="225">
        <v>24506476</v>
      </c>
      <c r="AX267" s="136">
        <f>'2024 Legal Max'!AS268</f>
        <v>4088.3</v>
      </c>
      <c r="AY267" s="136">
        <f t="shared" si="54"/>
        <v>-10.7</v>
      </c>
      <c r="AZ267" s="139">
        <v>988302</v>
      </c>
      <c r="BB267" s="164">
        <v>0</v>
      </c>
      <c r="BC267" s="164">
        <v>43</v>
      </c>
    </row>
    <row r="268" spans="1:55">
      <c r="A268" s="216" t="s">
        <v>454</v>
      </c>
      <c r="B268" s="217"/>
      <c r="C268" s="218">
        <v>1710.3</v>
      </c>
      <c r="E268" s="218"/>
      <c r="F268" s="218">
        <v>0</v>
      </c>
      <c r="G268" s="219"/>
      <c r="H268" s="218"/>
      <c r="I268" s="218"/>
      <c r="J268" s="136"/>
      <c r="K268" s="139">
        <v>1797</v>
      </c>
      <c r="L268" s="136">
        <v>0</v>
      </c>
      <c r="M268" s="217">
        <v>0</v>
      </c>
      <c r="N268" s="136">
        <v>33</v>
      </c>
      <c r="O268" s="136">
        <v>0</v>
      </c>
      <c r="P268" s="218">
        <v>275.7</v>
      </c>
      <c r="Q268" s="136">
        <v>0</v>
      </c>
      <c r="R268" s="136">
        <v>14.6</v>
      </c>
      <c r="S268" s="136">
        <v>0</v>
      </c>
      <c r="T268" s="139">
        <v>18</v>
      </c>
      <c r="U268" s="217">
        <v>0</v>
      </c>
      <c r="V268" s="217">
        <v>1020</v>
      </c>
      <c r="W268" s="217">
        <v>0</v>
      </c>
      <c r="X268" s="218">
        <v>0</v>
      </c>
      <c r="Y268" s="220">
        <v>660</v>
      </c>
      <c r="Z268" s="164">
        <v>0</v>
      </c>
      <c r="AA268" s="221">
        <v>11</v>
      </c>
      <c r="AB268" s="221">
        <v>0</v>
      </c>
      <c r="AC268" s="222">
        <v>25</v>
      </c>
      <c r="AD268" s="223">
        <v>0</v>
      </c>
      <c r="AE268" s="136"/>
      <c r="AF268" s="136">
        <v>107.1</v>
      </c>
      <c r="AG268" s="224">
        <v>96.2</v>
      </c>
      <c r="AH268" s="136">
        <v>2574.6999999999998</v>
      </c>
      <c r="AI268" s="136"/>
      <c r="AJ268" s="136"/>
      <c r="AK268" s="136">
        <f t="shared" si="44"/>
        <v>1710.3</v>
      </c>
      <c r="AL268" s="136">
        <f t="shared" si="45"/>
        <v>33</v>
      </c>
      <c r="AM268" s="136">
        <f t="shared" si="46"/>
        <v>14.6</v>
      </c>
      <c r="AN268" s="136">
        <f t="shared" si="47"/>
        <v>18</v>
      </c>
      <c r="AO268" s="136">
        <f t="shared" si="48"/>
        <v>275.7</v>
      </c>
      <c r="AP268" s="139">
        <f t="shared" si="49"/>
        <v>1020</v>
      </c>
      <c r="AQ268" s="136">
        <f t="shared" si="52"/>
        <v>0</v>
      </c>
      <c r="AR268" s="136">
        <f t="shared" si="50"/>
        <v>660</v>
      </c>
      <c r="AS268" s="139">
        <f t="shared" si="51"/>
        <v>1797</v>
      </c>
      <c r="AT268" s="136"/>
      <c r="AU268" s="136">
        <f t="shared" si="53"/>
        <v>107.1</v>
      </c>
      <c r="AV268" s="225">
        <v>14992205</v>
      </c>
      <c r="AX268" s="136">
        <f>'2024 Legal Max'!AS269</f>
        <v>2562.5</v>
      </c>
      <c r="AY268" s="136">
        <f t="shared" si="54"/>
        <v>-12.2</v>
      </c>
      <c r="AZ268" s="139">
        <v>1420963</v>
      </c>
      <c r="BB268" s="164">
        <v>0</v>
      </c>
      <c r="BC268" s="164">
        <v>33</v>
      </c>
    </row>
    <row r="269" spans="1:55">
      <c r="A269" s="216" t="s">
        <v>455</v>
      </c>
      <c r="B269" s="217"/>
      <c r="C269" s="218">
        <v>1600</v>
      </c>
      <c r="E269" s="218"/>
      <c r="F269" s="218">
        <v>0</v>
      </c>
      <c r="G269" s="219"/>
      <c r="H269" s="218"/>
      <c r="I269" s="218"/>
      <c r="J269" s="136"/>
      <c r="K269" s="139">
        <v>1643</v>
      </c>
      <c r="L269" s="136">
        <v>0</v>
      </c>
      <c r="M269" s="217">
        <v>0</v>
      </c>
      <c r="N269" s="136">
        <v>14.5</v>
      </c>
      <c r="O269" s="136">
        <v>0</v>
      </c>
      <c r="P269" s="218">
        <v>714.6</v>
      </c>
      <c r="Q269" s="136">
        <v>0</v>
      </c>
      <c r="R269" s="136">
        <v>32.200000000000003</v>
      </c>
      <c r="S269" s="136">
        <v>0</v>
      </c>
      <c r="T269" s="139">
        <v>8</v>
      </c>
      <c r="U269" s="217">
        <v>0</v>
      </c>
      <c r="V269" s="217">
        <v>468</v>
      </c>
      <c r="W269" s="217">
        <v>0</v>
      </c>
      <c r="X269" s="218">
        <v>0</v>
      </c>
      <c r="Y269" s="220">
        <v>235</v>
      </c>
      <c r="Z269" s="164">
        <v>0</v>
      </c>
      <c r="AA269" s="221">
        <v>23</v>
      </c>
      <c r="AB269" s="221">
        <v>4.8</v>
      </c>
      <c r="AC269" s="222">
        <v>10</v>
      </c>
      <c r="AD269" s="223">
        <v>4</v>
      </c>
      <c r="AE269" s="136"/>
      <c r="AF269" s="136">
        <v>0</v>
      </c>
      <c r="AG269" s="224">
        <v>0</v>
      </c>
      <c r="AH269" s="136">
        <v>2031.8</v>
      </c>
      <c r="AI269" s="136"/>
      <c r="AJ269" s="136"/>
      <c r="AK269" s="136">
        <f t="shared" si="44"/>
        <v>1600</v>
      </c>
      <c r="AL269" s="136">
        <f t="shared" si="45"/>
        <v>14.5</v>
      </c>
      <c r="AM269" s="136">
        <f t="shared" si="46"/>
        <v>32.200000000000003</v>
      </c>
      <c r="AN269" s="136">
        <f t="shared" si="47"/>
        <v>8</v>
      </c>
      <c r="AO269" s="136">
        <f t="shared" si="48"/>
        <v>714.6</v>
      </c>
      <c r="AP269" s="139">
        <f t="shared" si="49"/>
        <v>468</v>
      </c>
      <c r="AQ269" s="136">
        <f t="shared" si="52"/>
        <v>4</v>
      </c>
      <c r="AR269" s="136">
        <f t="shared" si="50"/>
        <v>235</v>
      </c>
      <c r="AS269" s="139">
        <f t="shared" si="51"/>
        <v>1643</v>
      </c>
      <c r="AT269" s="136"/>
      <c r="AU269" s="136">
        <f t="shared" si="53"/>
        <v>0</v>
      </c>
      <c r="AV269" s="225">
        <v>12345181</v>
      </c>
      <c r="AX269" s="136">
        <f>'2024 Legal Max'!AS270</f>
        <v>2030.3</v>
      </c>
      <c r="AY269" s="136">
        <f t="shared" si="54"/>
        <v>-1.5</v>
      </c>
      <c r="AZ269" s="139">
        <v>318834</v>
      </c>
      <c r="BB269" s="164">
        <v>0</v>
      </c>
      <c r="BC269" s="164">
        <v>14.5</v>
      </c>
    </row>
    <row r="270" spans="1:55">
      <c r="A270" s="216" t="s">
        <v>456</v>
      </c>
      <c r="B270" s="217"/>
      <c r="C270" s="218">
        <v>254</v>
      </c>
      <c r="E270" s="218"/>
      <c r="F270" s="218">
        <v>0</v>
      </c>
      <c r="G270" s="219"/>
      <c r="H270" s="218"/>
      <c r="I270" s="218"/>
      <c r="J270" s="136"/>
      <c r="K270" s="139">
        <v>266</v>
      </c>
      <c r="L270" s="136">
        <v>0</v>
      </c>
      <c r="M270" s="217">
        <v>0</v>
      </c>
      <c r="N270" s="136">
        <v>6</v>
      </c>
      <c r="O270" s="136">
        <v>0</v>
      </c>
      <c r="P270" s="218">
        <v>85.4</v>
      </c>
      <c r="Q270" s="136">
        <v>0</v>
      </c>
      <c r="R270" s="136">
        <v>0</v>
      </c>
      <c r="S270" s="136">
        <v>0</v>
      </c>
      <c r="T270" s="139">
        <v>0</v>
      </c>
      <c r="U270" s="217">
        <v>0</v>
      </c>
      <c r="V270" s="217">
        <v>116</v>
      </c>
      <c r="W270" s="217">
        <v>0</v>
      </c>
      <c r="X270" s="218">
        <v>0</v>
      </c>
      <c r="Y270" s="220">
        <v>147</v>
      </c>
      <c r="Z270" s="164">
        <v>0</v>
      </c>
      <c r="AA270" s="221">
        <v>4</v>
      </c>
      <c r="AB270" s="221">
        <v>0</v>
      </c>
      <c r="AC270" s="222">
        <v>0</v>
      </c>
      <c r="AD270" s="223">
        <v>0</v>
      </c>
      <c r="AE270" s="136"/>
      <c r="AF270" s="136">
        <v>7</v>
      </c>
      <c r="AG270" s="224">
        <v>7.3</v>
      </c>
      <c r="AH270" s="136">
        <v>545.4</v>
      </c>
      <c r="AI270" s="136"/>
      <c r="AJ270" s="136"/>
      <c r="AK270" s="136">
        <f t="shared" si="44"/>
        <v>254</v>
      </c>
      <c r="AL270" s="136">
        <f t="shared" si="45"/>
        <v>6</v>
      </c>
      <c r="AM270" s="136">
        <f t="shared" si="46"/>
        <v>0</v>
      </c>
      <c r="AN270" s="136">
        <f t="shared" si="47"/>
        <v>0</v>
      </c>
      <c r="AO270" s="136">
        <f t="shared" si="48"/>
        <v>85.4</v>
      </c>
      <c r="AP270" s="139">
        <f t="shared" si="49"/>
        <v>116</v>
      </c>
      <c r="AQ270" s="136">
        <f t="shared" si="52"/>
        <v>0</v>
      </c>
      <c r="AR270" s="136">
        <f t="shared" si="50"/>
        <v>147</v>
      </c>
      <c r="AS270" s="139">
        <f t="shared" si="51"/>
        <v>266</v>
      </c>
      <c r="AT270" s="136"/>
      <c r="AU270" s="136">
        <f t="shared" si="53"/>
        <v>7.3</v>
      </c>
      <c r="AV270" s="225">
        <v>3220214</v>
      </c>
      <c r="AX270" s="136">
        <f>'2024 Legal Max'!AS271</f>
        <v>540.79999999999995</v>
      </c>
      <c r="AY270" s="136">
        <f t="shared" si="54"/>
        <v>-4.5999999999999996</v>
      </c>
      <c r="AZ270" s="139">
        <v>386343</v>
      </c>
      <c r="BB270" s="164">
        <v>0</v>
      </c>
      <c r="BC270" s="164">
        <v>6</v>
      </c>
    </row>
    <row r="271" spans="1:55">
      <c r="A271" s="216" t="s">
        <v>457</v>
      </c>
      <c r="B271" s="217"/>
      <c r="C271" s="218">
        <v>940</v>
      </c>
      <c r="E271" s="218"/>
      <c r="F271" s="218">
        <v>0</v>
      </c>
      <c r="G271" s="219"/>
      <c r="H271" s="218"/>
      <c r="I271" s="218"/>
      <c r="J271" s="136"/>
      <c r="K271" s="139">
        <v>976</v>
      </c>
      <c r="L271" s="136">
        <v>0</v>
      </c>
      <c r="M271" s="217">
        <v>0</v>
      </c>
      <c r="N271" s="136">
        <v>15</v>
      </c>
      <c r="O271" s="136">
        <v>0</v>
      </c>
      <c r="P271" s="218">
        <v>515.1</v>
      </c>
      <c r="Q271" s="136">
        <v>0</v>
      </c>
      <c r="R271" s="136">
        <v>0</v>
      </c>
      <c r="S271" s="136">
        <v>0</v>
      </c>
      <c r="T271" s="139">
        <v>0</v>
      </c>
      <c r="U271" s="217">
        <v>0</v>
      </c>
      <c r="V271" s="217">
        <v>502</v>
      </c>
      <c r="W271" s="217">
        <v>0</v>
      </c>
      <c r="X271" s="218">
        <v>0</v>
      </c>
      <c r="Y271" s="220">
        <v>296.5</v>
      </c>
      <c r="Z271" s="164">
        <v>0</v>
      </c>
      <c r="AA271" s="221">
        <v>2</v>
      </c>
      <c r="AB271" s="221">
        <v>0</v>
      </c>
      <c r="AC271" s="222">
        <v>0</v>
      </c>
      <c r="AD271" s="223">
        <v>0</v>
      </c>
      <c r="AE271" s="136"/>
      <c r="AF271" s="136">
        <v>52.7</v>
      </c>
      <c r="AG271" s="224">
        <v>50</v>
      </c>
      <c r="AH271" s="136">
        <v>1562.4</v>
      </c>
      <c r="AI271" s="136"/>
      <c r="AJ271" s="136"/>
      <c r="AK271" s="136">
        <f t="shared" si="44"/>
        <v>940</v>
      </c>
      <c r="AL271" s="136">
        <f t="shared" si="45"/>
        <v>15</v>
      </c>
      <c r="AM271" s="136">
        <f t="shared" si="46"/>
        <v>0</v>
      </c>
      <c r="AN271" s="136">
        <f t="shared" si="47"/>
        <v>0</v>
      </c>
      <c r="AO271" s="136">
        <f t="shared" si="48"/>
        <v>515.1</v>
      </c>
      <c r="AP271" s="139">
        <f t="shared" si="49"/>
        <v>502</v>
      </c>
      <c r="AQ271" s="136">
        <f t="shared" si="52"/>
        <v>0</v>
      </c>
      <c r="AR271" s="136">
        <f t="shared" si="50"/>
        <v>296.5</v>
      </c>
      <c r="AS271" s="139">
        <f t="shared" si="51"/>
        <v>976</v>
      </c>
      <c r="AT271" s="136"/>
      <c r="AU271" s="136">
        <f t="shared" si="53"/>
        <v>52.7</v>
      </c>
      <c r="AV271" s="225">
        <v>8685885</v>
      </c>
      <c r="AX271" s="136">
        <f>'2024 Legal Max'!AS272</f>
        <v>1551</v>
      </c>
      <c r="AY271" s="136">
        <f t="shared" si="54"/>
        <v>-11.4</v>
      </c>
      <c r="AZ271" s="139">
        <v>527374</v>
      </c>
      <c r="BB271" s="164">
        <v>0</v>
      </c>
      <c r="BC271" s="164">
        <v>15</v>
      </c>
    </row>
    <row r="272" spans="1:55">
      <c r="A272" s="216" t="s">
        <v>458</v>
      </c>
      <c r="B272" s="217"/>
      <c r="C272" s="218">
        <v>507.8</v>
      </c>
      <c r="E272" s="218"/>
      <c r="F272" s="218">
        <v>0</v>
      </c>
      <c r="G272" s="219"/>
      <c r="H272" s="218"/>
      <c r="I272" s="218"/>
      <c r="J272" s="136"/>
      <c r="K272" s="139">
        <v>526</v>
      </c>
      <c r="L272" s="136">
        <v>0</v>
      </c>
      <c r="M272" s="217">
        <v>0</v>
      </c>
      <c r="N272" s="136">
        <v>7</v>
      </c>
      <c r="O272" s="136">
        <v>0</v>
      </c>
      <c r="P272" s="218">
        <v>182.3</v>
      </c>
      <c r="Q272" s="136">
        <v>0</v>
      </c>
      <c r="R272" s="136">
        <v>698.9</v>
      </c>
      <c r="S272" s="136">
        <v>0</v>
      </c>
      <c r="T272" s="139">
        <v>231</v>
      </c>
      <c r="U272" s="217">
        <v>0</v>
      </c>
      <c r="V272" s="217">
        <v>332</v>
      </c>
      <c r="W272" s="217">
        <v>0</v>
      </c>
      <c r="X272" s="218">
        <v>0</v>
      </c>
      <c r="Y272" s="220">
        <v>106</v>
      </c>
      <c r="Z272" s="164">
        <v>0</v>
      </c>
      <c r="AA272" s="221">
        <v>0</v>
      </c>
      <c r="AB272" s="221">
        <v>0</v>
      </c>
      <c r="AC272" s="222">
        <v>0</v>
      </c>
      <c r="AD272" s="223">
        <v>0</v>
      </c>
      <c r="AE272" s="136"/>
      <c r="AF272" s="136">
        <v>34.9</v>
      </c>
      <c r="AG272" s="224">
        <v>34.9</v>
      </c>
      <c r="AH272" s="136">
        <v>1055.4000000000001</v>
      </c>
      <c r="AI272" s="136"/>
      <c r="AJ272" s="136"/>
      <c r="AK272" s="136">
        <f t="shared" si="44"/>
        <v>507.8</v>
      </c>
      <c r="AL272" s="136">
        <f t="shared" si="45"/>
        <v>7</v>
      </c>
      <c r="AM272" s="136">
        <f t="shared" si="46"/>
        <v>698.9</v>
      </c>
      <c r="AN272" s="136">
        <f t="shared" si="47"/>
        <v>231</v>
      </c>
      <c r="AO272" s="136">
        <f t="shared" si="48"/>
        <v>182.3</v>
      </c>
      <c r="AP272" s="139">
        <f t="shared" si="49"/>
        <v>332</v>
      </c>
      <c r="AQ272" s="136">
        <f t="shared" si="52"/>
        <v>0</v>
      </c>
      <c r="AR272" s="136">
        <f t="shared" si="50"/>
        <v>106</v>
      </c>
      <c r="AS272" s="139">
        <f t="shared" si="51"/>
        <v>526</v>
      </c>
      <c r="AT272" s="136"/>
      <c r="AU272" s="136">
        <f t="shared" si="53"/>
        <v>34.9</v>
      </c>
      <c r="AV272" s="225">
        <v>5902080</v>
      </c>
      <c r="AX272" s="136">
        <f>'2024 Legal Max'!AS273</f>
        <v>1050.8</v>
      </c>
      <c r="AY272" s="136">
        <f t="shared" si="54"/>
        <v>-4.5999999999999996</v>
      </c>
      <c r="AZ272" s="139">
        <v>191330</v>
      </c>
      <c r="BB272" s="164">
        <v>0</v>
      </c>
      <c r="BC272" s="164">
        <v>7</v>
      </c>
    </row>
    <row r="273" spans="1:55">
      <c r="A273" s="216" t="s">
        <v>459</v>
      </c>
      <c r="B273" s="217"/>
      <c r="C273" s="218">
        <v>778</v>
      </c>
      <c r="E273" s="218"/>
      <c r="F273" s="218">
        <v>0</v>
      </c>
      <c r="G273" s="219"/>
      <c r="H273" s="218"/>
      <c r="I273" s="218"/>
      <c r="J273" s="136"/>
      <c r="K273" s="139">
        <v>855</v>
      </c>
      <c r="L273" s="136">
        <v>0</v>
      </c>
      <c r="M273" s="217">
        <v>0</v>
      </c>
      <c r="N273" s="136">
        <v>33.5</v>
      </c>
      <c r="O273" s="136">
        <v>0</v>
      </c>
      <c r="P273" s="218">
        <v>447.2</v>
      </c>
      <c r="Q273" s="136">
        <v>0</v>
      </c>
      <c r="R273" s="136">
        <v>17.600000000000001</v>
      </c>
      <c r="S273" s="136">
        <v>0</v>
      </c>
      <c r="T273" s="139">
        <v>20</v>
      </c>
      <c r="U273" s="217">
        <v>0</v>
      </c>
      <c r="V273" s="217">
        <v>399</v>
      </c>
      <c r="W273" s="217">
        <v>0</v>
      </c>
      <c r="X273" s="218">
        <v>0</v>
      </c>
      <c r="Y273" s="220">
        <v>175</v>
      </c>
      <c r="Z273" s="164">
        <v>0</v>
      </c>
      <c r="AA273" s="221">
        <v>0</v>
      </c>
      <c r="AB273" s="221">
        <v>0</v>
      </c>
      <c r="AC273" s="222">
        <v>0</v>
      </c>
      <c r="AD273" s="223">
        <v>0</v>
      </c>
      <c r="AE273" s="136"/>
      <c r="AF273" s="136">
        <v>32.6</v>
      </c>
      <c r="AG273" s="224">
        <v>30.7</v>
      </c>
      <c r="AH273" s="136">
        <v>1393</v>
      </c>
      <c r="AI273" s="136"/>
      <c r="AJ273" s="136"/>
      <c r="AK273" s="136">
        <f t="shared" si="44"/>
        <v>778</v>
      </c>
      <c r="AL273" s="136">
        <f t="shared" si="45"/>
        <v>33.5</v>
      </c>
      <c r="AM273" s="136">
        <f t="shared" si="46"/>
        <v>17.600000000000001</v>
      </c>
      <c r="AN273" s="136">
        <f t="shared" si="47"/>
        <v>20</v>
      </c>
      <c r="AO273" s="136">
        <f t="shared" si="48"/>
        <v>447.2</v>
      </c>
      <c r="AP273" s="139">
        <f t="shared" si="49"/>
        <v>399</v>
      </c>
      <c r="AQ273" s="136">
        <f t="shared" si="52"/>
        <v>0</v>
      </c>
      <c r="AR273" s="136">
        <f t="shared" si="50"/>
        <v>175</v>
      </c>
      <c r="AS273" s="139">
        <f t="shared" si="51"/>
        <v>855</v>
      </c>
      <c r="AT273" s="136"/>
      <c r="AU273" s="136">
        <f t="shared" si="53"/>
        <v>32.6</v>
      </c>
      <c r="AV273" s="225">
        <v>8495446</v>
      </c>
      <c r="AX273" s="136">
        <f>'2024 Legal Max'!AS274</f>
        <v>1378.5</v>
      </c>
      <c r="AY273" s="136">
        <f t="shared" si="54"/>
        <v>-14.5</v>
      </c>
      <c r="AZ273" s="139">
        <v>359950</v>
      </c>
      <c r="BB273" s="164">
        <v>0</v>
      </c>
      <c r="BC273" s="164">
        <v>33.5</v>
      </c>
    </row>
    <row r="274" spans="1:55">
      <c r="A274" s="216" t="s">
        <v>460</v>
      </c>
      <c r="B274" s="217"/>
      <c r="C274" s="218">
        <v>116.5</v>
      </c>
      <c r="E274" s="218"/>
      <c r="F274" s="218">
        <v>0</v>
      </c>
      <c r="G274" s="219"/>
      <c r="H274" s="218"/>
      <c r="I274" s="218"/>
      <c r="J274" s="136"/>
      <c r="K274" s="139">
        <v>124</v>
      </c>
      <c r="L274" s="136">
        <v>0</v>
      </c>
      <c r="M274" s="217">
        <v>0</v>
      </c>
      <c r="N274" s="136">
        <v>3.5</v>
      </c>
      <c r="O274" s="136">
        <v>0</v>
      </c>
      <c r="P274" s="218">
        <v>0</v>
      </c>
      <c r="Q274" s="136">
        <v>0</v>
      </c>
      <c r="R274" s="136">
        <v>0</v>
      </c>
      <c r="S274" s="136">
        <v>0</v>
      </c>
      <c r="T274" s="139">
        <v>0</v>
      </c>
      <c r="U274" s="217">
        <v>0</v>
      </c>
      <c r="V274" s="217">
        <v>44</v>
      </c>
      <c r="W274" s="217">
        <v>0</v>
      </c>
      <c r="X274" s="218">
        <v>0</v>
      </c>
      <c r="Y274" s="220">
        <v>71.5</v>
      </c>
      <c r="Z274" s="164">
        <v>0</v>
      </c>
      <c r="AA274" s="221">
        <v>4</v>
      </c>
      <c r="AB274" s="221">
        <v>0</v>
      </c>
      <c r="AC274" s="222">
        <v>10</v>
      </c>
      <c r="AD274" s="223">
        <v>0</v>
      </c>
      <c r="AE274" s="136"/>
      <c r="AF274" s="136">
        <v>0.2</v>
      </c>
      <c r="AG274" s="224">
        <v>1</v>
      </c>
      <c r="AH274" s="136">
        <v>307.5</v>
      </c>
      <c r="AI274" s="136"/>
      <c r="AJ274" s="136"/>
      <c r="AK274" s="136">
        <f t="shared" si="44"/>
        <v>116.5</v>
      </c>
      <c r="AL274" s="136">
        <f t="shared" si="45"/>
        <v>3.5</v>
      </c>
      <c r="AM274" s="136">
        <f t="shared" si="46"/>
        <v>0</v>
      </c>
      <c r="AN274" s="136">
        <f t="shared" si="47"/>
        <v>0</v>
      </c>
      <c r="AO274" s="136">
        <f t="shared" si="48"/>
        <v>0</v>
      </c>
      <c r="AP274" s="139">
        <f t="shared" si="49"/>
        <v>44</v>
      </c>
      <c r="AQ274" s="136">
        <f t="shared" si="52"/>
        <v>0</v>
      </c>
      <c r="AR274" s="136">
        <f t="shared" si="50"/>
        <v>71.5</v>
      </c>
      <c r="AS274" s="139">
        <f t="shared" si="51"/>
        <v>124</v>
      </c>
      <c r="AT274" s="136"/>
      <c r="AU274" s="136">
        <f t="shared" si="53"/>
        <v>1</v>
      </c>
      <c r="AV274" s="225">
        <v>1971573</v>
      </c>
      <c r="AX274" s="136">
        <f>'2024 Legal Max'!AS275</f>
        <v>306.8</v>
      </c>
      <c r="AY274" s="136">
        <f t="shared" si="54"/>
        <v>-0.7</v>
      </c>
      <c r="AZ274" s="139">
        <v>145161</v>
      </c>
      <c r="BB274" s="164">
        <v>0</v>
      </c>
      <c r="BC274" s="164">
        <v>3.5</v>
      </c>
    </row>
    <row r="275" spans="1:55">
      <c r="A275" s="216" t="s">
        <v>461</v>
      </c>
      <c r="B275" s="217"/>
      <c r="C275" s="218">
        <v>9820</v>
      </c>
      <c r="D275" s="129"/>
      <c r="E275" s="218"/>
      <c r="F275" s="218">
        <v>0</v>
      </c>
      <c r="G275" s="219"/>
      <c r="H275" s="218"/>
      <c r="I275" s="218"/>
      <c r="J275" s="136"/>
      <c r="K275" s="139">
        <v>9947</v>
      </c>
      <c r="L275" s="136">
        <v>0</v>
      </c>
      <c r="M275" s="217">
        <v>0</v>
      </c>
      <c r="N275" s="136">
        <v>23</v>
      </c>
      <c r="O275" s="136">
        <v>0</v>
      </c>
      <c r="P275" s="218">
        <v>2625.4</v>
      </c>
      <c r="Q275" s="136">
        <v>0</v>
      </c>
      <c r="R275" s="136">
        <v>2369.5</v>
      </c>
      <c r="S275" s="136">
        <v>0</v>
      </c>
      <c r="T275" s="139">
        <v>629</v>
      </c>
      <c r="U275" s="217">
        <v>0</v>
      </c>
      <c r="V275" s="217">
        <v>3519</v>
      </c>
      <c r="W275" s="217">
        <v>0</v>
      </c>
      <c r="X275" s="218">
        <v>0</v>
      </c>
      <c r="Y275" s="220">
        <v>2261</v>
      </c>
      <c r="Z275" s="164">
        <v>0</v>
      </c>
      <c r="AA275" s="221">
        <v>577</v>
      </c>
      <c r="AB275" s="221">
        <v>16.100000000000001</v>
      </c>
      <c r="AC275" s="222">
        <v>84</v>
      </c>
      <c r="AD275" s="223">
        <v>0</v>
      </c>
      <c r="AE275" s="136"/>
      <c r="AF275" s="136">
        <v>9.4</v>
      </c>
      <c r="AG275" s="224">
        <v>168.6</v>
      </c>
      <c r="AH275" s="136">
        <v>12925.2</v>
      </c>
      <c r="AI275" s="136"/>
      <c r="AJ275" s="136"/>
      <c r="AK275" s="136">
        <f t="shared" si="44"/>
        <v>9820</v>
      </c>
      <c r="AL275" s="136">
        <f t="shared" si="45"/>
        <v>23</v>
      </c>
      <c r="AM275" s="136">
        <f t="shared" si="46"/>
        <v>2369.5</v>
      </c>
      <c r="AN275" s="136">
        <f t="shared" si="47"/>
        <v>629</v>
      </c>
      <c r="AO275" s="136">
        <f t="shared" si="48"/>
        <v>2625.4</v>
      </c>
      <c r="AP275" s="139">
        <f t="shared" si="49"/>
        <v>3519</v>
      </c>
      <c r="AQ275" s="136">
        <f t="shared" si="52"/>
        <v>0</v>
      </c>
      <c r="AR275" s="136">
        <f t="shared" si="50"/>
        <v>2261</v>
      </c>
      <c r="AS275" s="139">
        <f t="shared" si="51"/>
        <v>9947</v>
      </c>
      <c r="AT275" s="136"/>
      <c r="AU275" s="136">
        <f t="shared" si="53"/>
        <v>168.6</v>
      </c>
      <c r="AV275" s="225">
        <v>87397847</v>
      </c>
      <c r="AX275" s="136">
        <f>'2024 Legal Max'!AS276</f>
        <v>13367.6</v>
      </c>
      <c r="AY275" s="136">
        <f t="shared" si="54"/>
        <v>442.4</v>
      </c>
      <c r="AZ275" s="139">
        <v>1972504</v>
      </c>
      <c r="BA275" s="129" t="s">
        <v>3555</v>
      </c>
      <c r="BB275" s="164">
        <v>0</v>
      </c>
      <c r="BC275" s="164">
        <v>23</v>
      </c>
    </row>
    <row r="276" spans="1:55">
      <c r="A276" s="216" t="s">
        <v>462</v>
      </c>
      <c r="B276" s="217"/>
      <c r="C276" s="218">
        <v>373.5</v>
      </c>
      <c r="E276" s="218"/>
      <c r="F276" s="218">
        <v>0</v>
      </c>
      <c r="G276" s="219"/>
      <c r="H276" s="218"/>
      <c r="I276" s="218"/>
      <c r="J276" s="136"/>
      <c r="K276" s="139">
        <v>391</v>
      </c>
      <c r="L276" s="136">
        <v>0</v>
      </c>
      <c r="M276" s="217">
        <v>0</v>
      </c>
      <c r="N276" s="136">
        <v>5.5</v>
      </c>
      <c r="O276" s="136">
        <v>0</v>
      </c>
      <c r="P276" s="218">
        <v>120.5</v>
      </c>
      <c r="Q276" s="136">
        <v>0</v>
      </c>
      <c r="R276" s="136">
        <v>0</v>
      </c>
      <c r="S276" s="136">
        <v>0</v>
      </c>
      <c r="T276" s="139">
        <v>4</v>
      </c>
      <c r="U276" s="217">
        <v>0</v>
      </c>
      <c r="V276" s="217">
        <v>156</v>
      </c>
      <c r="W276" s="217">
        <v>0</v>
      </c>
      <c r="X276" s="218">
        <v>0</v>
      </c>
      <c r="Y276" s="220">
        <v>268</v>
      </c>
      <c r="Z276" s="164">
        <v>0</v>
      </c>
      <c r="AA276" s="221">
        <v>0</v>
      </c>
      <c r="AB276" s="221">
        <v>0</v>
      </c>
      <c r="AC276" s="222">
        <v>0</v>
      </c>
      <c r="AD276" s="223">
        <v>0</v>
      </c>
      <c r="AE276" s="136"/>
      <c r="AF276" s="136">
        <v>5.4</v>
      </c>
      <c r="AG276" s="224">
        <v>7.2</v>
      </c>
      <c r="AH276" s="136">
        <v>737.9</v>
      </c>
      <c r="AI276" s="136"/>
      <c r="AJ276" s="136"/>
      <c r="AK276" s="136">
        <f t="shared" si="44"/>
        <v>373.5</v>
      </c>
      <c r="AL276" s="136">
        <f t="shared" si="45"/>
        <v>5.5</v>
      </c>
      <c r="AM276" s="136">
        <f t="shared" si="46"/>
        <v>0</v>
      </c>
      <c r="AN276" s="136">
        <f t="shared" si="47"/>
        <v>4</v>
      </c>
      <c r="AO276" s="136">
        <f t="shared" si="48"/>
        <v>120.5</v>
      </c>
      <c r="AP276" s="139">
        <f t="shared" si="49"/>
        <v>156</v>
      </c>
      <c r="AQ276" s="136">
        <f t="shared" si="52"/>
        <v>0</v>
      </c>
      <c r="AR276" s="136">
        <f t="shared" si="50"/>
        <v>268</v>
      </c>
      <c r="AS276" s="139">
        <f t="shared" si="51"/>
        <v>391</v>
      </c>
      <c r="AT276" s="136"/>
      <c r="AU276" s="136">
        <f t="shared" si="53"/>
        <v>7.2</v>
      </c>
      <c r="AV276" s="225">
        <v>4245936</v>
      </c>
      <c r="AX276" s="136">
        <f>'2024 Legal Max'!AS277</f>
        <v>738.1</v>
      </c>
      <c r="AY276" s="136">
        <f t="shared" si="54"/>
        <v>0.2</v>
      </c>
      <c r="AZ276" s="139">
        <v>300419</v>
      </c>
      <c r="BB276" s="164">
        <v>0</v>
      </c>
      <c r="BC276" s="164">
        <v>5.5</v>
      </c>
    </row>
    <row r="277" spans="1:55">
      <c r="A277" s="216" t="s">
        <v>463</v>
      </c>
      <c r="B277" s="217"/>
      <c r="C277" s="218">
        <v>692.1</v>
      </c>
      <c r="E277" s="218"/>
      <c r="F277" s="218">
        <v>0</v>
      </c>
      <c r="G277" s="219"/>
      <c r="H277" s="218"/>
      <c r="I277" s="218"/>
      <c r="J277" s="136"/>
      <c r="K277" s="139">
        <v>760</v>
      </c>
      <c r="L277" s="136">
        <v>0</v>
      </c>
      <c r="M277" s="217">
        <v>0</v>
      </c>
      <c r="N277" s="136">
        <v>13.4</v>
      </c>
      <c r="O277" s="136">
        <v>0</v>
      </c>
      <c r="P277" s="218">
        <v>193.3</v>
      </c>
      <c r="Q277" s="136">
        <v>0</v>
      </c>
      <c r="R277" s="136">
        <v>0</v>
      </c>
      <c r="S277" s="136">
        <v>0</v>
      </c>
      <c r="T277" s="139">
        <v>0</v>
      </c>
      <c r="U277" s="217">
        <v>0</v>
      </c>
      <c r="V277" s="217">
        <v>448</v>
      </c>
      <c r="W277" s="217">
        <v>0</v>
      </c>
      <c r="X277" s="218">
        <v>0</v>
      </c>
      <c r="Y277" s="220">
        <v>20</v>
      </c>
      <c r="Z277" s="164">
        <v>0</v>
      </c>
      <c r="AA277" s="221">
        <v>10</v>
      </c>
      <c r="AB277" s="221">
        <v>1.7</v>
      </c>
      <c r="AC277" s="222">
        <v>12</v>
      </c>
      <c r="AD277" s="223">
        <v>0</v>
      </c>
      <c r="AE277" s="136"/>
      <c r="AF277" s="136">
        <v>47</v>
      </c>
      <c r="AG277" s="224">
        <v>47.1</v>
      </c>
      <c r="AH277" s="136">
        <v>1307.5999999999999</v>
      </c>
      <c r="AI277" s="136"/>
      <c r="AJ277" s="136"/>
      <c r="AK277" s="136">
        <f t="shared" si="44"/>
        <v>692.1</v>
      </c>
      <c r="AL277" s="136">
        <f t="shared" si="45"/>
        <v>13.4</v>
      </c>
      <c r="AM277" s="136">
        <f t="shared" si="46"/>
        <v>0</v>
      </c>
      <c r="AN277" s="136">
        <f t="shared" si="47"/>
        <v>0</v>
      </c>
      <c r="AO277" s="136">
        <f t="shared" si="48"/>
        <v>193.3</v>
      </c>
      <c r="AP277" s="139">
        <f t="shared" si="49"/>
        <v>448</v>
      </c>
      <c r="AQ277" s="136">
        <f t="shared" si="52"/>
        <v>0</v>
      </c>
      <c r="AR277" s="136">
        <f t="shared" si="50"/>
        <v>20</v>
      </c>
      <c r="AS277" s="139">
        <f t="shared" si="51"/>
        <v>760</v>
      </c>
      <c r="AT277" s="136"/>
      <c r="AU277" s="136">
        <f t="shared" si="53"/>
        <v>47.1</v>
      </c>
      <c r="AV277" s="225">
        <v>7676760</v>
      </c>
      <c r="AX277" s="136">
        <f>'2024 Legal Max'!AS278</f>
        <v>1303.8</v>
      </c>
      <c r="AY277" s="136">
        <f t="shared" si="54"/>
        <v>-3.8</v>
      </c>
      <c r="AZ277" s="139">
        <v>225026</v>
      </c>
      <c r="BB277" s="164">
        <v>0</v>
      </c>
      <c r="BC277" s="164">
        <v>13.4</v>
      </c>
    </row>
    <row r="278" spans="1:55">
      <c r="A278" s="216" t="s">
        <v>464</v>
      </c>
      <c r="B278" s="217"/>
      <c r="C278" s="218">
        <v>19498.900000000001</v>
      </c>
      <c r="D278" s="129"/>
      <c r="E278" s="218"/>
      <c r="F278" s="218">
        <v>0</v>
      </c>
      <c r="G278" s="219"/>
      <c r="H278" s="218"/>
      <c r="I278" s="218"/>
      <c r="J278" s="136"/>
      <c r="K278" s="139">
        <v>20621</v>
      </c>
      <c r="L278" s="136">
        <v>0</v>
      </c>
      <c r="M278" s="217">
        <v>0</v>
      </c>
      <c r="N278" s="136">
        <v>507.5</v>
      </c>
      <c r="O278" s="136">
        <v>0</v>
      </c>
      <c r="P278" s="218">
        <v>5683</v>
      </c>
      <c r="Q278" s="136">
        <v>0</v>
      </c>
      <c r="R278" s="136">
        <v>18584.3</v>
      </c>
      <c r="S278" s="136">
        <v>0</v>
      </c>
      <c r="T278" s="139">
        <v>8300</v>
      </c>
      <c r="U278" s="217">
        <v>0</v>
      </c>
      <c r="V278" s="217">
        <v>15153</v>
      </c>
      <c r="W278" s="217">
        <v>0</v>
      </c>
      <c r="X278" s="218">
        <v>0</v>
      </c>
      <c r="Y278" s="220">
        <v>4234</v>
      </c>
      <c r="Z278" s="164">
        <v>0</v>
      </c>
      <c r="AA278" s="221">
        <v>322</v>
      </c>
      <c r="AB278" s="221">
        <v>51.4</v>
      </c>
      <c r="AC278" s="222">
        <v>110</v>
      </c>
      <c r="AD278" s="223">
        <v>0</v>
      </c>
      <c r="AE278" s="136"/>
      <c r="AF278" s="136">
        <v>1591.1</v>
      </c>
      <c r="AG278" s="224">
        <v>1591.3</v>
      </c>
      <c r="AH278" s="136">
        <v>32535.1</v>
      </c>
      <c r="AI278" s="136"/>
      <c r="AJ278" s="136"/>
      <c r="AK278" s="136">
        <f t="shared" si="44"/>
        <v>19498.900000000001</v>
      </c>
      <c r="AL278" s="136">
        <f t="shared" si="45"/>
        <v>507.5</v>
      </c>
      <c r="AM278" s="136">
        <f t="shared" si="46"/>
        <v>18584.3</v>
      </c>
      <c r="AN278" s="136">
        <f t="shared" si="47"/>
        <v>8300</v>
      </c>
      <c r="AO278" s="136">
        <f t="shared" si="48"/>
        <v>5683</v>
      </c>
      <c r="AP278" s="139">
        <f t="shared" si="49"/>
        <v>15153</v>
      </c>
      <c r="AQ278" s="136">
        <f t="shared" si="52"/>
        <v>0</v>
      </c>
      <c r="AR278" s="136">
        <f t="shared" si="50"/>
        <v>4234</v>
      </c>
      <c r="AS278" s="139">
        <f t="shared" si="51"/>
        <v>20621</v>
      </c>
      <c r="AT278" s="136"/>
      <c r="AU278" s="136">
        <f t="shared" si="53"/>
        <v>1591.3</v>
      </c>
      <c r="AV278" s="225">
        <v>188818951</v>
      </c>
      <c r="AX278" s="136">
        <f>'2024 Legal Max'!AS279</f>
        <v>32405.200000000001</v>
      </c>
      <c r="AY278" s="136">
        <f t="shared" si="54"/>
        <v>-129.9</v>
      </c>
      <c r="AZ278" s="139">
        <v>17302055</v>
      </c>
      <c r="BA278" s="129" t="s">
        <v>3683</v>
      </c>
      <c r="BB278" s="164">
        <v>0</v>
      </c>
      <c r="BC278" s="164">
        <v>507.5</v>
      </c>
    </row>
    <row r="279" spans="1:55">
      <c r="A279" s="216" t="s">
        <v>465</v>
      </c>
      <c r="B279" s="217"/>
      <c r="C279" s="218">
        <v>11537.6</v>
      </c>
      <c r="E279" s="218"/>
      <c r="F279" s="218">
        <v>0</v>
      </c>
      <c r="G279" s="219"/>
      <c r="H279" s="218"/>
      <c r="I279" s="218"/>
      <c r="J279" s="136"/>
      <c r="K279" s="139">
        <v>12198</v>
      </c>
      <c r="L279" s="136">
        <v>0</v>
      </c>
      <c r="M279" s="217">
        <v>0</v>
      </c>
      <c r="N279" s="136">
        <v>231.5</v>
      </c>
      <c r="O279" s="136">
        <v>0</v>
      </c>
      <c r="P279" s="218">
        <v>3648.4</v>
      </c>
      <c r="Q279" s="136">
        <v>0</v>
      </c>
      <c r="R279" s="136">
        <v>1989</v>
      </c>
      <c r="S279" s="136">
        <v>0</v>
      </c>
      <c r="T279" s="139">
        <v>1218</v>
      </c>
      <c r="U279" s="217">
        <v>0</v>
      </c>
      <c r="V279" s="217">
        <v>8395</v>
      </c>
      <c r="W279" s="217">
        <v>0</v>
      </c>
      <c r="X279" s="218">
        <v>0</v>
      </c>
      <c r="Y279" s="220">
        <v>728</v>
      </c>
      <c r="Z279" s="164">
        <v>0</v>
      </c>
      <c r="AA279" s="221">
        <v>289</v>
      </c>
      <c r="AB279" s="221">
        <v>70.099999999999994</v>
      </c>
      <c r="AC279" s="222">
        <v>5</v>
      </c>
      <c r="AD279" s="223">
        <v>1</v>
      </c>
      <c r="AE279" s="136"/>
      <c r="AF279" s="136">
        <v>881.5</v>
      </c>
      <c r="AG279" s="224">
        <v>839.5</v>
      </c>
      <c r="AH279" s="136">
        <v>18065.2</v>
      </c>
      <c r="AI279" s="136"/>
      <c r="AJ279" s="136"/>
      <c r="AK279" s="136">
        <f t="shared" si="44"/>
        <v>11537.6</v>
      </c>
      <c r="AL279" s="136">
        <f t="shared" si="45"/>
        <v>231.5</v>
      </c>
      <c r="AM279" s="136">
        <f t="shared" si="46"/>
        <v>1989</v>
      </c>
      <c r="AN279" s="136">
        <f t="shared" si="47"/>
        <v>1218</v>
      </c>
      <c r="AO279" s="136">
        <f t="shared" si="48"/>
        <v>3648.4</v>
      </c>
      <c r="AP279" s="139">
        <f t="shared" si="49"/>
        <v>8395</v>
      </c>
      <c r="AQ279" s="136">
        <f t="shared" si="52"/>
        <v>1</v>
      </c>
      <c r="AR279" s="136">
        <f t="shared" si="50"/>
        <v>728</v>
      </c>
      <c r="AS279" s="139">
        <f t="shared" si="51"/>
        <v>12198</v>
      </c>
      <c r="AT279" s="136"/>
      <c r="AU279" s="136">
        <f t="shared" si="53"/>
        <v>881.5</v>
      </c>
      <c r="AV279" s="225">
        <v>112986567</v>
      </c>
      <c r="AX279" s="136">
        <f>'2024 Legal Max'!AS280</f>
        <v>17971.8</v>
      </c>
      <c r="AY279" s="136">
        <f t="shared" si="54"/>
        <v>-93.4</v>
      </c>
      <c r="AZ279" s="139">
        <v>3108226</v>
      </c>
      <c r="BB279" s="164">
        <v>0</v>
      </c>
      <c r="BC279" s="164">
        <v>231.5</v>
      </c>
    </row>
    <row r="280" spans="1:55">
      <c r="A280" s="216" t="s">
        <v>466</v>
      </c>
      <c r="B280" s="217"/>
      <c r="C280" s="218">
        <v>110</v>
      </c>
      <c r="E280" s="218"/>
      <c r="F280" s="218">
        <v>0</v>
      </c>
      <c r="G280" s="219"/>
      <c r="H280" s="218"/>
      <c r="I280" s="218"/>
      <c r="J280" s="136"/>
      <c r="K280" s="139">
        <v>120</v>
      </c>
      <c r="L280" s="136">
        <v>0</v>
      </c>
      <c r="M280" s="217">
        <v>0</v>
      </c>
      <c r="N280" s="136">
        <v>4</v>
      </c>
      <c r="O280" s="136">
        <v>0</v>
      </c>
      <c r="P280" s="218">
        <v>6.7</v>
      </c>
      <c r="Q280" s="136">
        <v>0</v>
      </c>
      <c r="R280" s="136">
        <v>75.599999999999994</v>
      </c>
      <c r="S280" s="136">
        <v>0</v>
      </c>
      <c r="T280" s="139">
        <v>25</v>
      </c>
      <c r="U280" s="217">
        <v>0</v>
      </c>
      <c r="V280" s="217">
        <v>61</v>
      </c>
      <c r="W280" s="217">
        <v>0</v>
      </c>
      <c r="X280" s="218">
        <v>0</v>
      </c>
      <c r="Y280" s="220">
        <v>57</v>
      </c>
      <c r="Z280" s="164">
        <v>0</v>
      </c>
      <c r="AA280" s="221">
        <v>0</v>
      </c>
      <c r="AB280" s="221">
        <v>0</v>
      </c>
      <c r="AC280" s="222">
        <v>0</v>
      </c>
      <c r="AD280" s="223">
        <v>0</v>
      </c>
      <c r="AE280" s="136"/>
      <c r="AF280" s="136">
        <v>6.4</v>
      </c>
      <c r="AG280" s="224">
        <v>3.2</v>
      </c>
      <c r="AH280" s="136">
        <v>301.8</v>
      </c>
      <c r="AI280" s="136"/>
      <c r="AJ280" s="136"/>
      <c r="AK280" s="136">
        <f t="shared" si="44"/>
        <v>110</v>
      </c>
      <c r="AL280" s="136">
        <f t="shared" si="45"/>
        <v>4</v>
      </c>
      <c r="AM280" s="136">
        <f t="shared" si="46"/>
        <v>75.599999999999994</v>
      </c>
      <c r="AN280" s="136">
        <f t="shared" si="47"/>
        <v>25</v>
      </c>
      <c r="AO280" s="136">
        <f t="shared" si="48"/>
        <v>6.7</v>
      </c>
      <c r="AP280" s="139">
        <f t="shared" si="49"/>
        <v>61</v>
      </c>
      <c r="AQ280" s="136">
        <f t="shared" si="52"/>
        <v>0</v>
      </c>
      <c r="AR280" s="136">
        <f t="shared" si="50"/>
        <v>57</v>
      </c>
      <c r="AS280" s="139">
        <f t="shared" si="51"/>
        <v>120</v>
      </c>
      <c r="AT280" s="136"/>
      <c r="AU280" s="136">
        <f t="shared" si="53"/>
        <v>6.4</v>
      </c>
      <c r="AV280" s="225">
        <v>1760957</v>
      </c>
      <c r="AX280" s="136">
        <f>'2024 Legal Max'!AS281</f>
        <v>303.8</v>
      </c>
      <c r="AY280" s="136">
        <f t="shared" si="54"/>
        <v>2</v>
      </c>
      <c r="AZ280" s="139">
        <v>269992</v>
      </c>
      <c r="BB280" s="164">
        <v>0</v>
      </c>
      <c r="BC280" s="164">
        <v>4</v>
      </c>
    </row>
    <row r="281" spans="1:55">
      <c r="A281" s="216" t="s">
        <v>467</v>
      </c>
      <c r="B281" s="217"/>
      <c r="C281" s="218">
        <v>1238.3</v>
      </c>
      <c r="E281" s="218"/>
      <c r="F281" s="218">
        <v>0</v>
      </c>
      <c r="G281" s="219"/>
      <c r="H281" s="218"/>
      <c r="I281" s="218"/>
      <c r="J281" s="136"/>
      <c r="K281" s="139">
        <v>1314</v>
      </c>
      <c r="L281" s="136">
        <v>0</v>
      </c>
      <c r="M281" s="217">
        <v>0</v>
      </c>
      <c r="N281" s="136">
        <v>27</v>
      </c>
      <c r="O281" s="136">
        <v>0</v>
      </c>
      <c r="P281" s="218">
        <v>297</v>
      </c>
      <c r="Q281" s="136">
        <v>0</v>
      </c>
      <c r="R281" s="136">
        <v>49.2</v>
      </c>
      <c r="S281" s="136">
        <v>0</v>
      </c>
      <c r="T281" s="139">
        <v>23</v>
      </c>
      <c r="U281" s="217">
        <v>0</v>
      </c>
      <c r="V281" s="217">
        <v>902</v>
      </c>
      <c r="W281" s="217">
        <v>0</v>
      </c>
      <c r="X281" s="218">
        <v>0</v>
      </c>
      <c r="Y281" s="220">
        <v>82</v>
      </c>
      <c r="Z281" s="164">
        <v>0</v>
      </c>
      <c r="AA281" s="221">
        <v>4</v>
      </c>
      <c r="AB281" s="221">
        <v>0.8</v>
      </c>
      <c r="AC281" s="222">
        <v>0</v>
      </c>
      <c r="AD281" s="223">
        <v>0</v>
      </c>
      <c r="AE281" s="136"/>
      <c r="AF281" s="136">
        <v>94.7</v>
      </c>
      <c r="AG281" s="224">
        <v>94.7</v>
      </c>
      <c r="AH281" s="136">
        <v>2047.9</v>
      </c>
      <c r="AI281" s="136"/>
      <c r="AJ281" s="136"/>
      <c r="AK281" s="136">
        <f t="shared" si="44"/>
        <v>1238.3</v>
      </c>
      <c r="AL281" s="136">
        <f t="shared" si="45"/>
        <v>27</v>
      </c>
      <c r="AM281" s="136">
        <f t="shared" si="46"/>
        <v>49.2</v>
      </c>
      <c r="AN281" s="136">
        <f t="shared" si="47"/>
        <v>23</v>
      </c>
      <c r="AO281" s="136">
        <f t="shared" si="48"/>
        <v>297</v>
      </c>
      <c r="AP281" s="139">
        <f t="shared" si="49"/>
        <v>902</v>
      </c>
      <c r="AQ281" s="136">
        <f t="shared" si="52"/>
        <v>0</v>
      </c>
      <c r="AR281" s="136">
        <f t="shared" si="50"/>
        <v>82</v>
      </c>
      <c r="AS281" s="139">
        <f t="shared" si="51"/>
        <v>1314</v>
      </c>
      <c r="AT281" s="136"/>
      <c r="AU281" s="136">
        <f t="shared" si="53"/>
        <v>94.7</v>
      </c>
      <c r="AV281" s="225">
        <v>12146605</v>
      </c>
      <c r="AX281" s="136">
        <f>'2024 Legal Max'!AS282</f>
        <v>2053.5</v>
      </c>
      <c r="AY281" s="136">
        <f t="shared" si="54"/>
        <v>5.6</v>
      </c>
      <c r="AZ281" s="139">
        <v>199461</v>
      </c>
      <c r="BB281" s="164">
        <v>0</v>
      </c>
      <c r="BC281" s="164">
        <v>27</v>
      </c>
    </row>
    <row r="282" spans="1:55">
      <c r="A282" s="216" t="s">
        <v>468</v>
      </c>
      <c r="B282" s="217"/>
      <c r="C282" s="218">
        <v>477.5</v>
      </c>
      <c r="E282" s="218"/>
      <c r="F282" s="218">
        <v>0</v>
      </c>
      <c r="G282" s="219"/>
      <c r="H282" s="218"/>
      <c r="I282" s="218"/>
      <c r="J282" s="136"/>
      <c r="K282" s="139">
        <v>495</v>
      </c>
      <c r="L282" s="136">
        <v>0</v>
      </c>
      <c r="M282" s="217">
        <v>0</v>
      </c>
      <c r="N282" s="136">
        <v>6.5</v>
      </c>
      <c r="O282" s="136">
        <v>0</v>
      </c>
      <c r="P282" s="218">
        <v>29.2</v>
      </c>
      <c r="Q282" s="136">
        <v>0</v>
      </c>
      <c r="R282" s="136">
        <v>0</v>
      </c>
      <c r="S282" s="136">
        <v>0</v>
      </c>
      <c r="T282" s="139">
        <v>0</v>
      </c>
      <c r="U282" s="217">
        <v>0</v>
      </c>
      <c r="V282" s="217">
        <v>250</v>
      </c>
      <c r="W282" s="217">
        <v>0</v>
      </c>
      <c r="X282" s="218">
        <v>0</v>
      </c>
      <c r="Y282" s="220">
        <v>40</v>
      </c>
      <c r="Z282" s="164">
        <v>0</v>
      </c>
      <c r="AA282" s="221">
        <v>0</v>
      </c>
      <c r="AB282" s="221">
        <v>0</v>
      </c>
      <c r="AC282" s="222">
        <v>0</v>
      </c>
      <c r="AD282" s="223">
        <v>0</v>
      </c>
      <c r="AE282" s="136"/>
      <c r="AF282" s="136">
        <v>26.3</v>
      </c>
      <c r="AG282" s="224">
        <v>24</v>
      </c>
      <c r="AH282" s="136">
        <v>849.6</v>
      </c>
      <c r="AI282" s="136"/>
      <c r="AJ282" s="136"/>
      <c r="AK282" s="136">
        <f t="shared" si="44"/>
        <v>477.5</v>
      </c>
      <c r="AL282" s="136">
        <f t="shared" si="45"/>
        <v>6.5</v>
      </c>
      <c r="AM282" s="136">
        <f t="shared" si="46"/>
        <v>0</v>
      </c>
      <c r="AN282" s="136">
        <f t="shared" si="47"/>
        <v>0</v>
      </c>
      <c r="AO282" s="136">
        <f t="shared" si="48"/>
        <v>29.2</v>
      </c>
      <c r="AP282" s="139">
        <f t="shared" si="49"/>
        <v>250</v>
      </c>
      <c r="AQ282" s="136">
        <f t="shared" si="52"/>
        <v>0</v>
      </c>
      <c r="AR282" s="136">
        <f t="shared" si="50"/>
        <v>40</v>
      </c>
      <c r="AS282" s="139">
        <f t="shared" si="51"/>
        <v>495</v>
      </c>
      <c r="AT282" s="136"/>
      <c r="AU282" s="136">
        <f t="shared" si="53"/>
        <v>26.3</v>
      </c>
      <c r="AV282" s="225">
        <v>4904832</v>
      </c>
      <c r="AX282" s="136">
        <f>'2024 Legal Max'!AS283</f>
        <v>847.3</v>
      </c>
      <c r="AY282" s="136">
        <f t="shared" si="54"/>
        <v>-2.2999999999999998</v>
      </c>
      <c r="AZ282" s="139">
        <v>250224</v>
      </c>
      <c r="BB282" s="164">
        <v>0</v>
      </c>
      <c r="BC282" s="164">
        <v>6.5</v>
      </c>
    </row>
    <row r="283" spans="1:55">
      <c r="A283" s="216" t="s">
        <v>469</v>
      </c>
      <c r="B283" s="217"/>
      <c r="C283" s="218">
        <v>373</v>
      </c>
      <c r="E283" s="218"/>
      <c r="F283" s="218">
        <v>0</v>
      </c>
      <c r="G283" s="219"/>
      <c r="H283" s="218"/>
      <c r="I283" s="218"/>
      <c r="J283" s="136"/>
      <c r="K283" s="139">
        <v>388</v>
      </c>
      <c r="L283" s="136">
        <v>0</v>
      </c>
      <c r="M283" s="217">
        <v>0</v>
      </c>
      <c r="N283" s="136">
        <v>6</v>
      </c>
      <c r="O283" s="136">
        <v>0</v>
      </c>
      <c r="P283" s="218">
        <v>213.2</v>
      </c>
      <c r="Q283" s="136">
        <v>0</v>
      </c>
      <c r="R283" s="136">
        <v>1.6</v>
      </c>
      <c r="S283" s="136">
        <v>0</v>
      </c>
      <c r="T283" s="139">
        <v>2</v>
      </c>
      <c r="U283" s="217">
        <v>0</v>
      </c>
      <c r="V283" s="217">
        <v>188</v>
      </c>
      <c r="W283" s="217">
        <v>0</v>
      </c>
      <c r="X283" s="218">
        <v>0</v>
      </c>
      <c r="Y283" s="220">
        <v>26.5</v>
      </c>
      <c r="Z283" s="164">
        <v>0</v>
      </c>
      <c r="AA283" s="221">
        <v>0</v>
      </c>
      <c r="AB283" s="221">
        <v>0</v>
      </c>
      <c r="AC283" s="222">
        <v>0</v>
      </c>
      <c r="AD283" s="223">
        <v>0</v>
      </c>
      <c r="AE283" s="136"/>
      <c r="AF283" s="136">
        <v>17.7</v>
      </c>
      <c r="AG283" s="224">
        <v>12.3</v>
      </c>
      <c r="AH283" s="136">
        <v>673.3</v>
      </c>
      <c r="AI283" s="136"/>
      <c r="AJ283" s="136"/>
      <c r="AK283" s="136">
        <f t="shared" si="44"/>
        <v>373</v>
      </c>
      <c r="AL283" s="136">
        <f t="shared" si="45"/>
        <v>6</v>
      </c>
      <c r="AM283" s="136">
        <f t="shared" si="46"/>
        <v>1.6</v>
      </c>
      <c r="AN283" s="136">
        <f t="shared" si="47"/>
        <v>2</v>
      </c>
      <c r="AO283" s="136">
        <f t="shared" si="48"/>
        <v>213.2</v>
      </c>
      <c r="AP283" s="139">
        <f t="shared" si="49"/>
        <v>188</v>
      </c>
      <c r="AQ283" s="136">
        <f t="shared" si="52"/>
        <v>0</v>
      </c>
      <c r="AR283" s="136">
        <f t="shared" si="50"/>
        <v>26.5</v>
      </c>
      <c r="AS283" s="139">
        <f t="shared" si="51"/>
        <v>388</v>
      </c>
      <c r="AT283" s="136"/>
      <c r="AU283" s="136">
        <f t="shared" si="53"/>
        <v>17.7</v>
      </c>
      <c r="AV283" s="225">
        <v>4015958</v>
      </c>
      <c r="AX283" s="136">
        <f>'2024 Legal Max'!AS284</f>
        <v>666.8</v>
      </c>
      <c r="AY283" s="136">
        <f t="shared" si="54"/>
        <v>-6.5</v>
      </c>
      <c r="AZ283" s="139">
        <v>93438</v>
      </c>
      <c r="BB283" s="164">
        <v>0</v>
      </c>
      <c r="BC283" s="164">
        <v>6</v>
      </c>
    </row>
    <row r="284" spans="1:55">
      <c r="A284" s="216" t="s">
        <v>470</v>
      </c>
      <c r="B284" s="217"/>
      <c r="C284" s="218">
        <v>1397</v>
      </c>
      <c r="E284" s="218"/>
      <c r="F284" s="218">
        <v>0</v>
      </c>
      <c r="G284" s="219"/>
      <c r="H284" s="218"/>
      <c r="I284" s="218"/>
      <c r="J284" s="136"/>
      <c r="K284" s="139">
        <v>1443</v>
      </c>
      <c r="L284" s="136">
        <v>0</v>
      </c>
      <c r="M284" s="217">
        <v>0</v>
      </c>
      <c r="N284" s="136">
        <v>20.5</v>
      </c>
      <c r="O284" s="136">
        <v>0</v>
      </c>
      <c r="P284" s="218">
        <v>322.3</v>
      </c>
      <c r="Q284" s="136">
        <v>0</v>
      </c>
      <c r="R284" s="136">
        <v>0</v>
      </c>
      <c r="S284" s="136">
        <v>0</v>
      </c>
      <c r="T284" s="139">
        <v>0</v>
      </c>
      <c r="U284" s="217">
        <v>0</v>
      </c>
      <c r="V284" s="217">
        <v>719</v>
      </c>
      <c r="W284" s="217">
        <v>0</v>
      </c>
      <c r="X284" s="218">
        <v>0</v>
      </c>
      <c r="Y284" s="220">
        <v>609</v>
      </c>
      <c r="Z284" s="164">
        <v>0</v>
      </c>
      <c r="AA284" s="221">
        <v>25</v>
      </c>
      <c r="AB284" s="221">
        <v>0</v>
      </c>
      <c r="AC284" s="222">
        <v>0</v>
      </c>
      <c r="AD284" s="223">
        <v>0</v>
      </c>
      <c r="AE284" s="136"/>
      <c r="AF284" s="136">
        <v>74.599999999999994</v>
      </c>
      <c r="AG284" s="224">
        <v>61.1</v>
      </c>
      <c r="AH284" s="136">
        <v>2200.5</v>
      </c>
      <c r="AI284" s="136"/>
      <c r="AJ284" s="136"/>
      <c r="AK284" s="136">
        <f t="shared" si="44"/>
        <v>1397</v>
      </c>
      <c r="AL284" s="136">
        <f t="shared" si="45"/>
        <v>20.5</v>
      </c>
      <c r="AM284" s="136">
        <f t="shared" si="46"/>
        <v>0</v>
      </c>
      <c r="AN284" s="136">
        <f t="shared" si="47"/>
        <v>0</v>
      </c>
      <c r="AO284" s="136">
        <f t="shared" si="48"/>
        <v>322.3</v>
      </c>
      <c r="AP284" s="139">
        <f t="shared" si="49"/>
        <v>719</v>
      </c>
      <c r="AQ284" s="136">
        <f t="shared" si="52"/>
        <v>0</v>
      </c>
      <c r="AR284" s="136">
        <f t="shared" si="50"/>
        <v>609</v>
      </c>
      <c r="AS284" s="139">
        <f t="shared" si="51"/>
        <v>1443</v>
      </c>
      <c r="AT284" s="136"/>
      <c r="AU284" s="136">
        <f t="shared" si="53"/>
        <v>74.599999999999994</v>
      </c>
      <c r="AV284" s="225">
        <v>12976837</v>
      </c>
      <c r="AX284" s="136">
        <f>'2024 Legal Max'!AS285</f>
        <v>2156.5</v>
      </c>
      <c r="AY284" s="136">
        <f t="shared" si="54"/>
        <v>-44</v>
      </c>
      <c r="AZ284" s="139">
        <v>1133896</v>
      </c>
      <c r="BB284" s="164">
        <v>0</v>
      </c>
      <c r="BC284" s="164">
        <v>20.5</v>
      </c>
    </row>
    <row r="285" spans="1:55">
      <c r="A285" s="216" t="s">
        <v>471</v>
      </c>
      <c r="B285" s="217"/>
      <c r="C285" s="218">
        <v>225.5</v>
      </c>
      <c r="E285" s="218"/>
      <c r="F285" s="218">
        <v>0</v>
      </c>
      <c r="G285" s="219"/>
      <c r="H285" s="218"/>
      <c r="I285" s="218"/>
      <c r="J285" s="136"/>
      <c r="K285" s="139">
        <v>242</v>
      </c>
      <c r="L285" s="136">
        <v>0</v>
      </c>
      <c r="M285" s="217">
        <v>0</v>
      </c>
      <c r="N285" s="136">
        <v>6.5</v>
      </c>
      <c r="O285" s="136">
        <v>0</v>
      </c>
      <c r="P285" s="218">
        <v>77.400000000000006</v>
      </c>
      <c r="Q285" s="136">
        <v>0</v>
      </c>
      <c r="R285" s="136">
        <v>459.8</v>
      </c>
      <c r="S285" s="136">
        <v>0</v>
      </c>
      <c r="T285" s="139">
        <v>83</v>
      </c>
      <c r="U285" s="217">
        <v>0</v>
      </c>
      <c r="V285" s="217">
        <v>142</v>
      </c>
      <c r="W285" s="217">
        <v>0</v>
      </c>
      <c r="X285" s="218">
        <v>0</v>
      </c>
      <c r="Y285" s="220">
        <v>57</v>
      </c>
      <c r="Z285" s="164">
        <v>0</v>
      </c>
      <c r="AA285" s="221">
        <v>0</v>
      </c>
      <c r="AB285" s="221">
        <v>0</v>
      </c>
      <c r="AC285" s="222">
        <v>0</v>
      </c>
      <c r="AD285" s="223">
        <v>0</v>
      </c>
      <c r="AE285" s="136"/>
      <c r="AF285" s="136">
        <v>14.9</v>
      </c>
      <c r="AG285" s="224">
        <v>14.9</v>
      </c>
      <c r="AH285" s="136">
        <v>539.79999999999995</v>
      </c>
      <c r="AI285" s="136"/>
      <c r="AJ285" s="136"/>
      <c r="AK285" s="136">
        <f t="shared" si="44"/>
        <v>225.5</v>
      </c>
      <c r="AL285" s="136">
        <f t="shared" si="45"/>
        <v>6.5</v>
      </c>
      <c r="AM285" s="136">
        <f t="shared" si="46"/>
        <v>459.8</v>
      </c>
      <c r="AN285" s="136">
        <f t="shared" si="47"/>
        <v>83</v>
      </c>
      <c r="AO285" s="136">
        <f t="shared" si="48"/>
        <v>77.400000000000006</v>
      </c>
      <c r="AP285" s="139">
        <f t="shared" si="49"/>
        <v>142</v>
      </c>
      <c r="AQ285" s="136">
        <f t="shared" si="52"/>
        <v>0</v>
      </c>
      <c r="AR285" s="136">
        <f t="shared" si="50"/>
        <v>57</v>
      </c>
      <c r="AS285" s="139">
        <f t="shared" si="51"/>
        <v>242</v>
      </c>
      <c r="AT285" s="136"/>
      <c r="AU285" s="136">
        <f t="shared" si="53"/>
        <v>14.9</v>
      </c>
      <c r="AV285" s="225">
        <v>3013622</v>
      </c>
      <c r="AX285" s="136">
        <f>'2024 Legal Max'!AS286</f>
        <v>538.1</v>
      </c>
      <c r="AY285" s="136">
        <f t="shared" si="54"/>
        <v>-1.7</v>
      </c>
      <c r="AZ285" s="139">
        <v>136072</v>
      </c>
      <c r="BA285" s="227"/>
      <c r="BB285" s="164">
        <v>0</v>
      </c>
      <c r="BC285" s="164">
        <v>6.5</v>
      </c>
    </row>
    <row r="286" spans="1:55">
      <c r="A286" s="216" t="s">
        <v>472</v>
      </c>
      <c r="B286" s="217"/>
      <c r="C286" s="218">
        <v>748.5</v>
      </c>
      <c r="E286" s="218"/>
      <c r="F286" s="218">
        <v>0</v>
      </c>
      <c r="G286" s="219"/>
      <c r="H286" s="218"/>
      <c r="I286" s="218"/>
      <c r="J286" s="136"/>
      <c r="K286" s="139">
        <v>825</v>
      </c>
      <c r="L286" s="136">
        <v>0</v>
      </c>
      <c r="M286" s="217">
        <v>0</v>
      </c>
      <c r="N286" s="136">
        <v>27.4</v>
      </c>
      <c r="O286" s="136">
        <v>0</v>
      </c>
      <c r="P286" s="218">
        <v>204.3</v>
      </c>
      <c r="Q286" s="136">
        <v>0</v>
      </c>
      <c r="R286" s="136">
        <v>0.6</v>
      </c>
      <c r="S286" s="136">
        <v>0</v>
      </c>
      <c r="T286" s="139">
        <v>1</v>
      </c>
      <c r="U286" s="217">
        <v>0</v>
      </c>
      <c r="V286" s="217">
        <v>457</v>
      </c>
      <c r="W286" s="217">
        <v>0</v>
      </c>
      <c r="X286" s="218">
        <v>0</v>
      </c>
      <c r="Y286" s="220">
        <v>79</v>
      </c>
      <c r="Z286" s="164">
        <v>0</v>
      </c>
      <c r="AA286" s="221">
        <v>39</v>
      </c>
      <c r="AB286" s="221">
        <v>0</v>
      </c>
      <c r="AC286" s="222">
        <v>0</v>
      </c>
      <c r="AD286" s="223">
        <v>0</v>
      </c>
      <c r="AE286" s="136"/>
      <c r="AF286" s="136">
        <v>48</v>
      </c>
      <c r="AG286" s="224">
        <v>48</v>
      </c>
      <c r="AH286" s="136">
        <v>1367.3</v>
      </c>
      <c r="AI286" s="136"/>
      <c r="AJ286" s="136"/>
      <c r="AK286" s="136">
        <f t="shared" si="44"/>
        <v>748.5</v>
      </c>
      <c r="AL286" s="136">
        <f t="shared" si="45"/>
        <v>27.4</v>
      </c>
      <c r="AM286" s="136">
        <f t="shared" si="46"/>
        <v>0.6</v>
      </c>
      <c r="AN286" s="136">
        <f t="shared" si="47"/>
        <v>1</v>
      </c>
      <c r="AO286" s="136">
        <f t="shared" si="48"/>
        <v>204.3</v>
      </c>
      <c r="AP286" s="139">
        <f t="shared" si="49"/>
        <v>457</v>
      </c>
      <c r="AQ286" s="136">
        <f t="shared" si="52"/>
        <v>0</v>
      </c>
      <c r="AR286" s="136">
        <f t="shared" si="50"/>
        <v>79</v>
      </c>
      <c r="AS286" s="139">
        <f t="shared" si="51"/>
        <v>825</v>
      </c>
      <c r="AT286" s="136"/>
      <c r="AU286" s="136">
        <f t="shared" si="53"/>
        <v>48</v>
      </c>
      <c r="AV286" s="225">
        <v>8148976</v>
      </c>
      <c r="AW286" s="136"/>
      <c r="AX286" s="136">
        <f>'2024 Legal Max'!AS287</f>
        <v>1356.1</v>
      </c>
      <c r="AY286" s="136">
        <f t="shared" si="54"/>
        <v>-11.2</v>
      </c>
      <c r="AZ286" s="139">
        <v>183659</v>
      </c>
      <c r="BB286" s="164">
        <v>0</v>
      </c>
      <c r="BC286" s="164">
        <v>27.4</v>
      </c>
    </row>
    <row r="287" spans="1:55">
      <c r="A287" s="216" t="s">
        <v>473</v>
      </c>
      <c r="B287" s="217"/>
      <c r="C287" s="218">
        <v>197.5</v>
      </c>
      <c r="E287" s="218"/>
      <c r="F287" s="218">
        <v>0</v>
      </c>
      <c r="G287" s="219"/>
      <c r="H287" s="218"/>
      <c r="I287" s="218"/>
      <c r="J287" s="136"/>
      <c r="K287" s="139">
        <v>207</v>
      </c>
      <c r="L287" s="136">
        <v>0</v>
      </c>
      <c r="M287" s="217">
        <v>0</v>
      </c>
      <c r="N287" s="136">
        <v>2.8</v>
      </c>
      <c r="O287" s="136">
        <v>0</v>
      </c>
      <c r="P287" s="218">
        <v>71.8</v>
      </c>
      <c r="Q287" s="136">
        <v>0</v>
      </c>
      <c r="R287" s="136">
        <v>0</v>
      </c>
      <c r="S287" s="136">
        <v>0</v>
      </c>
      <c r="T287" s="139">
        <v>0</v>
      </c>
      <c r="U287" s="217">
        <v>0</v>
      </c>
      <c r="V287" s="217">
        <v>74</v>
      </c>
      <c r="W287" s="217">
        <v>0</v>
      </c>
      <c r="X287" s="218">
        <v>0</v>
      </c>
      <c r="Y287" s="220">
        <v>53</v>
      </c>
      <c r="Z287" s="164">
        <v>0</v>
      </c>
      <c r="AA287" s="221">
        <v>0</v>
      </c>
      <c r="AB287" s="221">
        <v>0</v>
      </c>
      <c r="AC287" s="222">
        <v>0</v>
      </c>
      <c r="AD287" s="223">
        <v>0</v>
      </c>
      <c r="AE287" s="136"/>
      <c r="AF287" s="136">
        <v>0.4</v>
      </c>
      <c r="AG287" s="224">
        <v>0.5</v>
      </c>
      <c r="AH287" s="136">
        <v>407.4</v>
      </c>
      <c r="AI287" s="136"/>
      <c r="AJ287" s="136"/>
      <c r="AK287" s="136">
        <f t="shared" si="44"/>
        <v>197.5</v>
      </c>
      <c r="AL287" s="136">
        <f t="shared" si="45"/>
        <v>2.8</v>
      </c>
      <c r="AM287" s="136">
        <f t="shared" si="46"/>
        <v>0</v>
      </c>
      <c r="AN287" s="136">
        <f t="shared" si="47"/>
        <v>0</v>
      </c>
      <c r="AO287" s="136">
        <f t="shared" si="48"/>
        <v>71.8</v>
      </c>
      <c r="AP287" s="139">
        <f t="shared" si="49"/>
        <v>74</v>
      </c>
      <c r="AQ287" s="136">
        <f t="shared" si="52"/>
        <v>0</v>
      </c>
      <c r="AR287" s="136">
        <f t="shared" si="50"/>
        <v>53</v>
      </c>
      <c r="AS287" s="139">
        <f t="shared" si="51"/>
        <v>207</v>
      </c>
      <c r="AT287" s="136"/>
      <c r="AU287" s="136">
        <f t="shared" si="53"/>
        <v>0.5</v>
      </c>
      <c r="AV287" s="225">
        <v>2487014</v>
      </c>
      <c r="AX287" s="136">
        <f>'2024 Legal Max'!AS288</f>
        <v>408.7</v>
      </c>
      <c r="AY287" s="136">
        <f t="shared" si="54"/>
        <v>1.3</v>
      </c>
      <c r="AZ287" s="139">
        <v>91874</v>
      </c>
      <c r="BB287" s="164">
        <v>0</v>
      </c>
      <c r="BC287" s="164">
        <v>2.8</v>
      </c>
    </row>
    <row r="288" spans="1:55">
      <c r="A288" s="216" t="s">
        <v>474</v>
      </c>
      <c r="B288" s="217"/>
      <c r="C288" s="218">
        <v>147</v>
      </c>
      <c r="E288" s="218"/>
      <c r="F288" s="218">
        <v>0</v>
      </c>
      <c r="G288" s="219"/>
      <c r="H288" s="218"/>
      <c r="I288" s="218"/>
      <c r="J288" s="136"/>
      <c r="K288" s="139">
        <v>158</v>
      </c>
      <c r="L288" s="136">
        <v>0</v>
      </c>
      <c r="M288" s="217">
        <v>0</v>
      </c>
      <c r="N288" s="136">
        <v>4</v>
      </c>
      <c r="O288" s="136">
        <v>0</v>
      </c>
      <c r="P288" s="218">
        <v>27</v>
      </c>
      <c r="Q288" s="136">
        <v>0</v>
      </c>
      <c r="R288" s="136">
        <v>0</v>
      </c>
      <c r="S288" s="136">
        <v>0</v>
      </c>
      <c r="T288" s="139">
        <v>0</v>
      </c>
      <c r="U288" s="217">
        <v>0</v>
      </c>
      <c r="V288" s="217">
        <v>69</v>
      </c>
      <c r="W288" s="217">
        <v>0</v>
      </c>
      <c r="X288" s="218">
        <v>0</v>
      </c>
      <c r="Y288" s="220">
        <v>14</v>
      </c>
      <c r="Z288" s="164">
        <v>0</v>
      </c>
      <c r="AA288" s="221">
        <v>0</v>
      </c>
      <c r="AB288" s="221">
        <v>0</v>
      </c>
      <c r="AC288" s="222">
        <v>0</v>
      </c>
      <c r="AD288" s="223">
        <v>0</v>
      </c>
      <c r="AE288" s="136"/>
      <c r="AF288" s="136">
        <v>4.2</v>
      </c>
      <c r="AG288" s="224">
        <v>5.2</v>
      </c>
      <c r="AH288" s="136">
        <v>352.6</v>
      </c>
      <c r="AI288" s="136"/>
      <c r="AJ288" s="136"/>
      <c r="AK288" s="136">
        <f t="shared" si="44"/>
        <v>147</v>
      </c>
      <c r="AL288" s="136">
        <f t="shared" si="45"/>
        <v>4</v>
      </c>
      <c r="AM288" s="136">
        <f t="shared" si="46"/>
        <v>0</v>
      </c>
      <c r="AN288" s="136">
        <f t="shared" si="47"/>
        <v>0</v>
      </c>
      <c r="AO288" s="136">
        <f t="shared" si="48"/>
        <v>27</v>
      </c>
      <c r="AP288" s="139">
        <f t="shared" si="49"/>
        <v>69</v>
      </c>
      <c r="AQ288" s="136">
        <f t="shared" si="52"/>
        <v>0</v>
      </c>
      <c r="AR288" s="136">
        <f t="shared" si="50"/>
        <v>14</v>
      </c>
      <c r="AS288" s="139">
        <f t="shared" si="51"/>
        <v>158</v>
      </c>
      <c r="AT288" s="136"/>
      <c r="AU288" s="136">
        <f t="shared" si="53"/>
        <v>5.2</v>
      </c>
      <c r="AV288" s="225">
        <v>2099309</v>
      </c>
      <c r="AX288" s="136">
        <f>'2024 Legal Max'!AS289</f>
        <v>345.8</v>
      </c>
      <c r="AY288" s="136">
        <f t="shared" si="54"/>
        <v>-6.8</v>
      </c>
      <c r="AZ288" s="139">
        <v>123819</v>
      </c>
      <c r="BB288" s="164">
        <v>0</v>
      </c>
      <c r="BC288" s="164">
        <v>4</v>
      </c>
    </row>
    <row r="289" spans="1:55">
      <c r="A289" s="216" t="s">
        <v>475</v>
      </c>
      <c r="B289" s="217"/>
      <c r="C289" s="218">
        <v>25796.799999999999</v>
      </c>
      <c r="E289" s="218"/>
      <c r="F289" s="218">
        <v>0</v>
      </c>
      <c r="G289" s="219"/>
      <c r="H289" s="218"/>
      <c r="I289" s="218"/>
      <c r="J289" s="136"/>
      <c r="K289" s="139">
        <v>26241</v>
      </c>
      <c r="L289" s="136">
        <v>0</v>
      </c>
      <c r="M289" s="217">
        <v>0</v>
      </c>
      <c r="N289" s="136">
        <v>143</v>
      </c>
      <c r="O289" s="136">
        <v>0</v>
      </c>
      <c r="P289" s="218">
        <v>7620.5</v>
      </c>
      <c r="Q289" s="136">
        <v>0</v>
      </c>
      <c r="R289" s="136">
        <v>4610.5</v>
      </c>
      <c r="S289" s="136">
        <v>0</v>
      </c>
      <c r="T289" s="139">
        <v>2584</v>
      </c>
      <c r="U289" s="217">
        <v>0</v>
      </c>
      <c r="V289" s="217">
        <v>8626</v>
      </c>
      <c r="W289" s="217">
        <v>0</v>
      </c>
      <c r="X289" s="218">
        <v>1</v>
      </c>
      <c r="Y289" s="220">
        <v>4930</v>
      </c>
      <c r="Z289" s="164">
        <v>0</v>
      </c>
      <c r="AA289" s="221">
        <v>0</v>
      </c>
      <c r="AB289" s="221">
        <v>0.6</v>
      </c>
      <c r="AC289" s="222">
        <v>45</v>
      </c>
      <c r="AD289" s="223">
        <v>5</v>
      </c>
      <c r="AE289" s="136"/>
      <c r="AF289" s="136">
        <v>0</v>
      </c>
      <c r="AG289" s="224">
        <v>439.5</v>
      </c>
      <c r="AH289" s="136">
        <v>36130.400000000001</v>
      </c>
      <c r="AI289" s="136"/>
      <c r="AJ289" s="136"/>
      <c r="AK289" s="136">
        <f t="shared" si="44"/>
        <v>25796.799999999999</v>
      </c>
      <c r="AL289" s="136">
        <f t="shared" si="45"/>
        <v>143</v>
      </c>
      <c r="AM289" s="136">
        <f t="shared" si="46"/>
        <v>4610.5</v>
      </c>
      <c r="AN289" s="136">
        <f t="shared" si="47"/>
        <v>2584</v>
      </c>
      <c r="AO289" s="136">
        <f t="shared" si="48"/>
        <v>7620.5</v>
      </c>
      <c r="AP289" s="139">
        <f t="shared" si="49"/>
        <v>8626</v>
      </c>
      <c r="AQ289" s="136">
        <f t="shared" si="52"/>
        <v>5</v>
      </c>
      <c r="AR289" s="136">
        <f t="shared" si="50"/>
        <v>4930</v>
      </c>
      <c r="AS289" s="139">
        <f t="shared" si="51"/>
        <v>26241</v>
      </c>
      <c r="AT289" s="136"/>
      <c r="AU289" s="136">
        <f t="shared" si="53"/>
        <v>439.5</v>
      </c>
      <c r="AV289" s="225">
        <v>209363911</v>
      </c>
      <c r="AX289" s="136">
        <f>'2024 Legal Max'!AS290</f>
        <v>35798.9</v>
      </c>
      <c r="AY289" s="136">
        <f t="shared" si="54"/>
        <v>-331.5</v>
      </c>
      <c r="AZ289" s="139">
        <v>6717497</v>
      </c>
      <c r="BA289" s="129" t="s">
        <v>3554</v>
      </c>
      <c r="BB289" s="164">
        <v>0</v>
      </c>
      <c r="BC289" s="164">
        <v>143</v>
      </c>
    </row>
  </sheetData>
  <autoFilter ref="A3:BE289" xr:uid="{00000000-0009-0000-0000-000009000000}"/>
  <mergeCells count="13">
    <mergeCell ref="BB2:BC2"/>
    <mergeCell ref="AX2:AY2"/>
    <mergeCell ref="C1:AE1"/>
    <mergeCell ref="C2:F2"/>
    <mergeCell ref="H2:J2"/>
    <mergeCell ref="K2:M2"/>
    <mergeCell ref="N2:O2"/>
    <mergeCell ref="P2:Q2"/>
    <mergeCell ref="R2:S2"/>
    <mergeCell ref="T2:U2"/>
    <mergeCell ref="V2:W2"/>
    <mergeCell ref="Y2:Z2"/>
    <mergeCell ref="AA2:AE2"/>
  </mergeCells>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X1347"/>
  <sheetViews>
    <sheetView zoomScaleNormal="100" workbookViewId="0">
      <pane xSplit="1" ySplit="4" topLeftCell="B5" activePane="bottomRight" state="frozen"/>
      <selection pane="topRight" activeCell="B1" sqref="B1"/>
      <selection pane="bottomLeft" activeCell="A4" sqref="A4"/>
      <selection pane="bottomRight" activeCell="A4" sqref="A4"/>
    </sheetView>
  </sheetViews>
  <sheetFormatPr defaultColWidth="9.109375" defaultRowHeight="13.2"/>
  <cols>
    <col min="1" max="1" width="6.6640625" style="134" bestFit="1" customWidth="1"/>
    <col min="2" max="2" width="7.88671875" style="134" bestFit="1" customWidth="1"/>
    <col min="3" max="3" width="40.33203125" style="129" bestFit="1" customWidth="1"/>
    <col min="4" max="4" width="13" style="129" customWidth="1"/>
    <col min="5" max="5" width="12.109375" style="129" customWidth="1"/>
    <col min="6" max="6" width="14.33203125" style="129" customWidth="1"/>
    <col min="7" max="7" width="13" style="129" customWidth="1"/>
    <col min="8" max="8" width="12.109375" style="129" customWidth="1"/>
    <col min="9" max="9" width="14.33203125" style="129" customWidth="1"/>
    <col min="10" max="10" width="14.5546875" style="166" customWidth="1"/>
    <col min="11" max="12" width="14.5546875" style="129" customWidth="1"/>
    <col min="13" max="13" width="12.33203125" style="129" bestFit="1" customWidth="1"/>
    <col min="14" max="14" width="10.88671875" style="129" bestFit="1" customWidth="1"/>
    <col min="15" max="16384" width="9.109375" style="129"/>
  </cols>
  <sheetData>
    <row r="1" spans="1:24">
      <c r="A1" s="368" t="s">
        <v>3642</v>
      </c>
      <c r="B1" s="368"/>
      <c r="C1" s="368"/>
      <c r="J1" s="171" t="s">
        <v>1047</v>
      </c>
      <c r="K1" s="171" t="s">
        <v>853</v>
      </c>
      <c r="L1" s="171" t="s">
        <v>854</v>
      </c>
      <c r="M1" s="171" t="s">
        <v>1047</v>
      </c>
    </row>
    <row r="2" spans="1:24">
      <c r="A2" s="369" t="s">
        <v>3643</v>
      </c>
      <c r="B2" s="369"/>
      <c r="C2" s="370"/>
      <c r="D2" s="172">
        <v>45189</v>
      </c>
      <c r="E2" s="172">
        <v>45342</v>
      </c>
      <c r="F2" s="171" t="s">
        <v>1047</v>
      </c>
      <c r="G2" s="172">
        <v>45189</v>
      </c>
      <c r="H2" s="172">
        <v>45342</v>
      </c>
      <c r="I2" s="171" t="s">
        <v>1047</v>
      </c>
      <c r="J2" s="174" t="s">
        <v>805</v>
      </c>
      <c r="K2" s="174" t="s">
        <v>855</v>
      </c>
      <c r="L2" s="174" t="s">
        <v>855</v>
      </c>
      <c r="M2" s="174" t="s">
        <v>855</v>
      </c>
    </row>
    <row r="3" spans="1:24" ht="13.8" thickBot="1">
      <c r="A3" s="130" t="s">
        <v>170</v>
      </c>
      <c r="B3" s="130" t="s">
        <v>850</v>
      </c>
      <c r="C3" s="130" t="s">
        <v>849</v>
      </c>
      <c r="D3" s="175" t="s">
        <v>851</v>
      </c>
      <c r="E3" s="175" t="s">
        <v>851</v>
      </c>
      <c r="F3" s="178" t="s">
        <v>852</v>
      </c>
      <c r="G3" s="175" t="s">
        <v>856</v>
      </c>
      <c r="H3" s="175" t="s">
        <v>856</v>
      </c>
      <c r="I3" s="178" t="s">
        <v>857</v>
      </c>
      <c r="J3" s="178" t="s">
        <v>856</v>
      </c>
      <c r="K3" s="178" t="s">
        <v>858</v>
      </c>
      <c r="L3" s="178" t="s">
        <v>858</v>
      </c>
      <c r="M3" s="178" t="s">
        <v>803</v>
      </c>
      <c r="O3" s="367" t="s">
        <v>859</v>
      </c>
      <c r="P3" s="367"/>
      <c r="Q3" s="367"/>
      <c r="R3" s="367"/>
      <c r="S3" s="367"/>
      <c r="T3" s="367"/>
      <c r="U3" s="367"/>
      <c r="V3" s="367"/>
      <c r="W3" s="367"/>
      <c r="X3" s="367"/>
    </row>
    <row r="4" spans="1:24">
      <c r="A4" s="288" t="s">
        <v>3638</v>
      </c>
      <c r="B4" s="288"/>
      <c r="C4" s="287" t="s">
        <v>3639</v>
      </c>
      <c r="D4" s="289">
        <f>SUM(D5:D1347)</f>
        <v>459549</v>
      </c>
      <c r="E4" s="289">
        <f t="shared" ref="E4:I4" si="0">SUM(E5:E1347)</f>
        <v>410</v>
      </c>
      <c r="F4" s="289">
        <f t="shared" si="0"/>
        <v>459959</v>
      </c>
      <c r="G4" s="289">
        <f t="shared" si="0"/>
        <v>198446</v>
      </c>
      <c r="H4" s="289">
        <f t="shared" si="0"/>
        <v>104</v>
      </c>
      <c r="I4" s="289">
        <f t="shared" si="0"/>
        <v>198550</v>
      </c>
      <c r="J4" s="290">
        <f>SUM(I4/F4)</f>
        <v>0.43169999999999997</v>
      </c>
      <c r="K4" s="291">
        <f t="shared" ref="K4:M4" si="1">SUM(K5:K1347)</f>
        <v>2641.9</v>
      </c>
      <c r="L4" s="291">
        <f t="shared" si="1"/>
        <v>11809</v>
      </c>
      <c r="M4" s="291">
        <f t="shared" si="1"/>
        <v>14450.9</v>
      </c>
    </row>
    <row r="5" spans="1:24">
      <c r="A5" s="134">
        <v>101</v>
      </c>
      <c r="B5" s="259" t="s">
        <v>1049</v>
      </c>
      <c r="C5" s="129" t="s">
        <v>1050</v>
      </c>
      <c r="D5" s="292">
        <v>202</v>
      </c>
      <c r="E5" s="292">
        <v>0</v>
      </c>
      <c r="F5" s="139">
        <f>D5+E5</f>
        <v>202</v>
      </c>
      <c r="G5" s="292">
        <v>118</v>
      </c>
      <c r="H5" s="292">
        <v>0</v>
      </c>
      <c r="I5" s="139">
        <f>G5+H5</f>
        <v>118</v>
      </c>
      <c r="J5" s="266">
        <f>IF(ISERROR(I5/F5),0,I5/F5)</f>
        <v>0.58420000000000005</v>
      </c>
      <c r="K5" s="136">
        <f t="shared" ref="K5:K68" si="2">IF(AND((J5-35%)&gt;0,J5&lt;50%),I5*(J5-35%)*0.7,0)</f>
        <v>0</v>
      </c>
      <c r="L5" s="136">
        <f t="shared" ref="L5:L68" si="3">IF(J5&gt;=50%,I5*10.5%,0)</f>
        <v>12.4</v>
      </c>
      <c r="M5" s="136">
        <f t="shared" ref="M5:M68" si="4">MAX(K5,L5)</f>
        <v>12.4</v>
      </c>
      <c r="O5" s="134"/>
      <c r="P5" s="259"/>
    </row>
    <row r="6" spans="1:24">
      <c r="A6" s="134">
        <v>101</v>
      </c>
      <c r="B6" s="259" t="s">
        <v>1051</v>
      </c>
      <c r="C6" s="129" t="s">
        <v>1052</v>
      </c>
      <c r="D6" s="292">
        <v>89</v>
      </c>
      <c r="E6" s="292">
        <v>0</v>
      </c>
      <c r="F6" s="139">
        <f t="shared" ref="F6:F69" si="5">D6+E6</f>
        <v>89</v>
      </c>
      <c r="G6" s="292">
        <v>53</v>
      </c>
      <c r="H6" s="292">
        <v>0</v>
      </c>
      <c r="I6" s="139">
        <f t="shared" ref="I6:I69" si="6">G6+H6</f>
        <v>53</v>
      </c>
      <c r="J6" s="266">
        <f t="shared" ref="J6:J69" si="7">IF(ISERROR(I6/F6),0,I6/F6)</f>
        <v>0.59550000000000003</v>
      </c>
      <c r="K6" s="136">
        <f t="shared" si="2"/>
        <v>0</v>
      </c>
      <c r="L6" s="136">
        <f t="shared" si="3"/>
        <v>5.6</v>
      </c>
      <c r="M6" s="136">
        <f t="shared" si="4"/>
        <v>5.6</v>
      </c>
      <c r="O6" s="134"/>
      <c r="P6" s="259"/>
    </row>
    <row r="7" spans="1:24">
      <c r="A7" s="134">
        <v>101</v>
      </c>
      <c r="B7" s="259" t="s">
        <v>1053</v>
      </c>
      <c r="C7" s="129" t="s">
        <v>1054</v>
      </c>
      <c r="D7" s="292">
        <v>151</v>
      </c>
      <c r="E7" s="292">
        <v>0</v>
      </c>
      <c r="F7" s="139">
        <f t="shared" si="5"/>
        <v>151</v>
      </c>
      <c r="G7" s="292">
        <v>68</v>
      </c>
      <c r="H7" s="292">
        <v>0</v>
      </c>
      <c r="I7" s="139">
        <f t="shared" si="6"/>
        <v>68</v>
      </c>
      <c r="J7" s="266">
        <f t="shared" si="7"/>
        <v>0.45029999999999998</v>
      </c>
      <c r="K7" s="136">
        <f t="shared" si="2"/>
        <v>4.8</v>
      </c>
      <c r="L7" s="136">
        <f t="shared" si="3"/>
        <v>0</v>
      </c>
      <c r="M7" s="136">
        <f t="shared" si="4"/>
        <v>4.8</v>
      </c>
      <c r="O7" s="134"/>
      <c r="P7" s="259"/>
    </row>
    <row r="8" spans="1:24">
      <c r="A8" s="134">
        <v>102</v>
      </c>
      <c r="B8" s="259" t="s">
        <v>1055</v>
      </c>
      <c r="C8" s="129" t="s">
        <v>1056</v>
      </c>
      <c r="D8" s="292">
        <v>320</v>
      </c>
      <c r="E8" s="292">
        <v>0</v>
      </c>
      <c r="F8" s="139">
        <f t="shared" si="5"/>
        <v>320</v>
      </c>
      <c r="G8" s="292">
        <v>106</v>
      </c>
      <c r="H8" s="292">
        <v>0</v>
      </c>
      <c r="I8" s="139">
        <f t="shared" si="6"/>
        <v>106</v>
      </c>
      <c r="J8" s="266">
        <f t="shared" si="7"/>
        <v>0.33129999999999998</v>
      </c>
      <c r="K8" s="136">
        <f t="shared" si="2"/>
        <v>0</v>
      </c>
      <c r="L8" s="136">
        <f t="shared" si="3"/>
        <v>0</v>
      </c>
      <c r="M8" s="136">
        <f t="shared" si="4"/>
        <v>0</v>
      </c>
      <c r="O8" s="134"/>
      <c r="P8" s="259"/>
    </row>
    <row r="9" spans="1:24">
      <c r="A9" s="134">
        <v>102</v>
      </c>
      <c r="B9" s="259" t="s">
        <v>1057</v>
      </c>
      <c r="C9" s="129" t="s">
        <v>1058</v>
      </c>
      <c r="D9" s="292">
        <v>282</v>
      </c>
      <c r="E9" s="292">
        <v>0</v>
      </c>
      <c r="F9" s="139">
        <f t="shared" si="5"/>
        <v>282</v>
      </c>
      <c r="G9" s="292">
        <v>90</v>
      </c>
      <c r="H9" s="292">
        <v>0</v>
      </c>
      <c r="I9" s="139">
        <f t="shared" si="6"/>
        <v>90</v>
      </c>
      <c r="J9" s="266">
        <f t="shared" si="7"/>
        <v>0.31909999999999999</v>
      </c>
      <c r="K9" s="136">
        <f t="shared" si="2"/>
        <v>0</v>
      </c>
      <c r="L9" s="136">
        <f t="shared" si="3"/>
        <v>0</v>
      </c>
      <c r="M9" s="136">
        <f t="shared" si="4"/>
        <v>0</v>
      </c>
      <c r="O9" s="134"/>
      <c r="P9" s="259"/>
    </row>
    <row r="10" spans="1:24">
      <c r="A10" s="134">
        <v>103</v>
      </c>
      <c r="B10" s="259" t="s">
        <v>1059</v>
      </c>
      <c r="C10" s="129" t="s">
        <v>1060</v>
      </c>
      <c r="D10" s="292">
        <v>63</v>
      </c>
      <c r="E10" s="292">
        <v>0</v>
      </c>
      <c r="F10" s="139">
        <f t="shared" si="5"/>
        <v>63</v>
      </c>
      <c r="G10" s="292">
        <v>21</v>
      </c>
      <c r="H10" s="292">
        <v>0</v>
      </c>
      <c r="I10" s="139">
        <f t="shared" si="6"/>
        <v>21</v>
      </c>
      <c r="J10" s="266">
        <f t="shared" si="7"/>
        <v>0.33329999999999999</v>
      </c>
      <c r="K10" s="136">
        <f t="shared" si="2"/>
        <v>0</v>
      </c>
      <c r="L10" s="136">
        <f t="shared" si="3"/>
        <v>0</v>
      </c>
      <c r="M10" s="136">
        <f t="shared" si="4"/>
        <v>0</v>
      </c>
      <c r="O10" s="134"/>
      <c r="P10" s="259"/>
    </row>
    <row r="11" spans="1:24">
      <c r="A11" s="134">
        <v>103</v>
      </c>
      <c r="B11" s="259" t="s">
        <v>1061</v>
      </c>
      <c r="C11" s="129" t="s">
        <v>1062</v>
      </c>
      <c r="D11" s="292">
        <v>90</v>
      </c>
      <c r="E11" s="292">
        <v>0</v>
      </c>
      <c r="F11" s="139">
        <f t="shared" si="5"/>
        <v>90</v>
      </c>
      <c r="G11" s="292">
        <v>44</v>
      </c>
      <c r="H11" s="292">
        <v>0</v>
      </c>
      <c r="I11" s="139">
        <f t="shared" si="6"/>
        <v>44</v>
      </c>
      <c r="J11" s="266">
        <f t="shared" si="7"/>
        <v>0.4889</v>
      </c>
      <c r="K11" s="136">
        <f t="shared" si="2"/>
        <v>4.3</v>
      </c>
      <c r="L11" s="136">
        <f t="shared" si="3"/>
        <v>0</v>
      </c>
      <c r="M11" s="136">
        <f t="shared" si="4"/>
        <v>4.3</v>
      </c>
      <c r="O11" s="134"/>
      <c r="P11" s="259"/>
    </row>
    <row r="12" spans="1:24">
      <c r="A12" s="134">
        <v>105</v>
      </c>
      <c r="B12" s="259" t="s">
        <v>1063</v>
      </c>
      <c r="C12" s="129" t="s">
        <v>1064</v>
      </c>
      <c r="D12" s="292">
        <v>194</v>
      </c>
      <c r="E12" s="292">
        <v>0</v>
      </c>
      <c r="F12" s="139">
        <f t="shared" si="5"/>
        <v>194</v>
      </c>
      <c r="G12" s="292">
        <v>77</v>
      </c>
      <c r="H12" s="292">
        <v>0</v>
      </c>
      <c r="I12" s="139">
        <f t="shared" si="6"/>
        <v>77</v>
      </c>
      <c r="J12" s="266">
        <f t="shared" si="7"/>
        <v>0.39689999999999998</v>
      </c>
      <c r="K12" s="136">
        <f t="shared" si="2"/>
        <v>2.5</v>
      </c>
      <c r="L12" s="136">
        <f t="shared" si="3"/>
        <v>0</v>
      </c>
      <c r="M12" s="136">
        <f t="shared" si="4"/>
        <v>2.5</v>
      </c>
      <c r="O12" s="134"/>
      <c r="P12" s="259"/>
    </row>
    <row r="13" spans="1:24">
      <c r="A13" s="134">
        <v>105</v>
      </c>
      <c r="B13" s="259" t="s">
        <v>1065</v>
      </c>
      <c r="C13" s="129" t="s">
        <v>1066</v>
      </c>
      <c r="D13" s="292">
        <v>168</v>
      </c>
      <c r="E13" s="292">
        <v>0</v>
      </c>
      <c r="F13" s="139">
        <f t="shared" si="5"/>
        <v>168</v>
      </c>
      <c r="G13" s="292">
        <v>47</v>
      </c>
      <c r="H13" s="292">
        <v>0</v>
      </c>
      <c r="I13" s="139">
        <f t="shared" si="6"/>
        <v>47</v>
      </c>
      <c r="J13" s="266">
        <f t="shared" si="7"/>
        <v>0.27979999999999999</v>
      </c>
      <c r="K13" s="136">
        <f t="shared" si="2"/>
        <v>0</v>
      </c>
      <c r="L13" s="136">
        <f t="shared" si="3"/>
        <v>0</v>
      </c>
      <c r="M13" s="136">
        <f t="shared" si="4"/>
        <v>0</v>
      </c>
      <c r="O13" s="134"/>
      <c r="P13" s="259"/>
    </row>
    <row r="14" spans="1:24">
      <c r="A14" s="134">
        <v>106</v>
      </c>
      <c r="B14" s="259" t="s">
        <v>1067</v>
      </c>
      <c r="C14" s="129" t="s">
        <v>1068</v>
      </c>
      <c r="D14" s="292">
        <v>55</v>
      </c>
      <c r="E14" s="292">
        <v>0</v>
      </c>
      <c r="F14" s="139">
        <f t="shared" si="5"/>
        <v>55</v>
      </c>
      <c r="G14" s="292">
        <v>32</v>
      </c>
      <c r="H14" s="292">
        <v>0</v>
      </c>
      <c r="I14" s="139">
        <f t="shared" si="6"/>
        <v>32</v>
      </c>
      <c r="J14" s="266">
        <f t="shared" si="7"/>
        <v>0.58179999999999998</v>
      </c>
      <c r="K14" s="136">
        <f t="shared" si="2"/>
        <v>0</v>
      </c>
      <c r="L14" s="136">
        <f t="shared" si="3"/>
        <v>3.4</v>
      </c>
      <c r="M14" s="136">
        <f t="shared" si="4"/>
        <v>3.4</v>
      </c>
      <c r="O14" s="134"/>
      <c r="P14" s="259"/>
    </row>
    <row r="15" spans="1:24">
      <c r="A15" s="134">
        <v>106</v>
      </c>
      <c r="B15" s="259" t="s">
        <v>1069</v>
      </c>
      <c r="C15" s="129" t="s">
        <v>1070</v>
      </c>
      <c r="D15" s="292">
        <v>31</v>
      </c>
      <c r="E15" s="292">
        <v>0</v>
      </c>
      <c r="F15" s="139">
        <f t="shared" si="5"/>
        <v>31</v>
      </c>
      <c r="G15" s="292">
        <v>19</v>
      </c>
      <c r="H15" s="292">
        <v>0</v>
      </c>
      <c r="I15" s="139">
        <f t="shared" si="6"/>
        <v>19</v>
      </c>
      <c r="J15" s="266">
        <f t="shared" si="7"/>
        <v>0.6129</v>
      </c>
      <c r="K15" s="136">
        <f t="shared" si="2"/>
        <v>0</v>
      </c>
      <c r="L15" s="136">
        <f t="shared" si="3"/>
        <v>2</v>
      </c>
      <c r="M15" s="136">
        <f t="shared" si="4"/>
        <v>2</v>
      </c>
      <c r="O15" s="134"/>
      <c r="P15" s="259"/>
    </row>
    <row r="16" spans="1:24">
      <c r="A16" s="134">
        <v>106</v>
      </c>
      <c r="B16" s="259" t="s">
        <v>1071</v>
      </c>
      <c r="C16" s="129" t="s">
        <v>1072</v>
      </c>
      <c r="D16" s="292">
        <v>38</v>
      </c>
      <c r="E16" s="292">
        <v>0</v>
      </c>
      <c r="F16" s="139">
        <f t="shared" si="5"/>
        <v>38</v>
      </c>
      <c r="G16" s="292">
        <v>29</v>
      </c>
      <c r="H16" s="292">
        <v>0</v>
      </c>
      <c r="I16" s="139">
        <f t="shared" si="6"/>
        <v>29</v>
      </c>
      <c r="J16" s="266">
        <f t="shared" si="7"/>
        <v>0.76319999999999999</v>
      </c>
      <c r="K16" s="136">
        <f t="shared" si="2"/>
        <v>0</v>
      </c>
      <c r="L16" s="136">
        <f t="shared" si="3"/>
        <v>3</v>
      </c>
      <c r="M16" s="136">
        <f t="shared" si="4"/>
        <v>3</v>
      </c>
      <c r="O16" s="134"/>
      <c r="P16" s="259"/>
    </row>
    <row r="17" spans="1:20">
      <c r="A17" s="134">
        <v>107</v>
      </c>
      <c r="B17" s="259" t="s">
        <v>1073</v>
      </c>
      <c r="C17" s="129" t="s">
        <v>1074</v>
      </c>
      <c r="D17" s="292">
        <v>191</v>
      </c>
      <c r="E17" s="292">
        <v>0</v>
      </c>
      <c r="F17" s="139">
        <f t="shared" si="5"/>
        <v>191</v>
      </c>
      <c r="G17" s="292">
        <v>113</v>
      </c>
      <c r="H17" s="292">
        <v>0</v>
      </c>
      <c r="I17" s="139">
        <f t="shared" si="6"/>
        <v>113</v>
      </c>
      <c r="J17" s="266">
        <f t="shared" si="7"/>
        <v>0.59160000000000001</v>
      </c>
      <c r="K17" s="136">
        <f t="shared" si="2"/>
        <v>0</v>
      </c>
      <c r="L17" s="136">
        <f t="shared" si="3"/>
        <v>11.9</v>
      </c>
      <c r="M17" s="136">
        <f t="shared" si="4"/>
        <v>11.9</v>
      </c>
      <c r="O17" s="134"/>
      <c r="P17" s="259"/>
    </row>
    <row r="18" spans="1:20">
      <c r="A18" s="134">
        <v>107</v>
      </c>
      <c r="B18" s="259" t="s">
        <v>1075</v>
      </c>
      <c r="C18" s="129" t="s">
        <v>1076</v>
      </c>
      <c r="D18" s="292">
        <v>178</v>
      </c>
      <c r="E18" s="292">
        <v>0</v>
      </c>
      <c r="F18" s="139">
        <f t="shared" si="5"/>
        <v>178</v>
      </c>
      <c r="G18" s="292">
        <v>77</v>
      </c>
      <c r="H18" s="292">
        <v>0</v>
      </c>
      <c r="I18" s="139">
        <f t="shared" si="6"/>
        <v>77</v>
      </c>
      <c r="J18" s="266">
        <f t="shared" si="7"/>
        <v>0.43259999999999998</v>
      </c>
      <c r="K18" s="136">
        <f t="shared" si="2"/>
        <v>4.5</v>
      </c>
      <c r="L18" s="136">
        <f t="shared" si="3"/>
        <v>0</v>
      </c>
      <c r="M18" s="136">
        <f t="shared" si="4"/>
        <v>4.5</v>
      </c>
      <c r="O18" s="134"/>
      <c r="P18" s="259"/>
    </row>
    <row r="19" spans="1:20">
      <c r="A19" s="134">
        <v>108</v>
      </c>
      <c r="B19" s="259" t="s">
        <v>1077</v>
      </c>
      <c r="C19" s="129" t="s">
        <v>1078</v>
      </c>
      <c r="D19" s="292">
        <v>166</v>
      </c>
      <c r="E19" s="292">
        <v>0</v>
      </c>
      <c r="F19" s="139">
        <f t="shared" si="5"/>
        <v>166</v>
      </c>
      <c r="G19" s="292">
        <v>70</v>
      </c>
      <c r="H19" s="292">
        <v>0</v>
      </c>
      <c r="I19" s="139">
        <f t="shared" si="6"/>
        <v>70</v>
      </c>
      <c r="J19" s="266">
        <f t="shared" si="7"/>
        <v>0.42170000000000002</v>
      </c>
      <c r="K19" s="136">
        <f t="shared" si="2"/>
        <v>3.5</v>
      </c>
      <c r="L19" s="136">
        <f t="shared" si="3"/>
        <v>0</v>
      </c>
      <c r="M19" s="136">
        <f t="shared" si="4"/>
        <v>3.5</v>
      </c>
      <c r="O19" s="134"/>
      <c r="P19" s="259"/>
    </row>
    <row r="20" spans="1:20">
      <c r="A20" s="134">
        <v>108</v>
      </c>
      <c r="B20" s="259" t="s">
        <v>1079</v>
      </c>
      <c r="C20" s="129" t="s">
        <v>1080</v>
      </c>
      <c r="D20" s="292">
        <v>190</v>
      </c>
      <c r="E20" s="292">
        <v>0</v>
      </c>
      <c r="F20" s="139">
        <f t="shared" si="5"/>
        <v>190</v>
      </c>
      <c r="G20" s="292">
        <v>82</v>
      </c>
      <c r="H20" s="292">
        <v>0</v>
      </c>
      <c r="I20" s="139">
        <f t="shared" si="6"/>
        <v>82</v>
      </c>
      <c r="J20" s="266">
        <f t="shared" si="7"/>
        <v>0.43159999999999998</v>
      </c>
      <c r="K20" s="136">
        <f t="shared" si="2"/>
        <v>4.7</v>
      </c>
      <c r="L20" s="136">
        <f t="shared" si="3"/>
        <v>0</v>
      </c>
      <c r="M20" s="136">
        <f t="shared" si="4"/>
        <v>4.7</v>
      </c>
      <c r="O20" s="134"/>
      <c r="P20" s="259"/>
    </row>
    <row r="21" spans="1:20">
      <c r="A21" s="134">
        <v>109</v>
      </c>
      <c r="B21" s="259" t="s">
        <v>1081</v>
      </c>
      <c r="C21" s="129" t="s">
        <v>1082</v>
      </c>
      <c r="D21" s="292">
        <v>262</v>
      </c>
      <c r="E21" s="292">
        <v>0</v>
      </c>
      <c r="F21" s="139">
        <f t="shared" si="5"/>
        <v>262</v>
      </c>
      <c r="G21" s="292">
        <v>122</v>
      </c>
      <c r="H21" s="292">
        <v>0</v>
      </c>
      <c r="I21" s="139">
        <f t="shared" si="6"/>
        <v>122</v>
      </c>
      <c r="J21" s="266">
        <f t="shared" si="7"/>
        <v>0.46560000000000001</v>
      </c>
      <c r="K21" s="136">
        <f t="shared" si="2"/>
        <v>9.9</v>
      </c>
      <c r="L21" s="136">
        <f t="shared" si="3"/>
        <v>0</v>
      </c>
      <c r="M21" s="136">
        <f t="shared" si="4"/>
        <v>9.9</v>
      </c>
      <c r="O21" s="134"/>
      <c r="P21" s="259"/>
    </row>
    <row r="22" spans="1:20">
      <c r="A22" s="134">
        <v>109</v>
      </c>
      <c r="B22" s="259" t="s">
        <v>1083</v>
      </c>
      <c r="C22" s="129" t="s">
        <v>1084</v>
      </c>
      <c r="D22" s="292">
        <v>253</v>
      </c>
      <c r="E22" s="292">
        <v>0</v>
      </c>
      <c r="F22" s="139">
        <f t="shared" si="5"/>
        <v>253</v>
      </c>
      <c r="G22" s="292">
        <v>111</v>
      </c>
      <c r="H22" s="292">
        <v>0</v>
      </c>
      <c r="I22" s="139">
        <f t="shared" si="6"/>
        <v>111</v>
      </c>
      <c r="J22" s="266">
        <f t="shared" si="7"/>
        <v>0.43869999999999998</v>
      </c>
      <c r="K22" s="136">
        <f t="shared" si="2"/>
        <v>6.9</v>
      </c>
      <c r="L22" s="136">
        <f t="shared" si="3"/>
        <v>0</v>
      </c>
      <c r="M22" s="136">
        <f t="shared" si="4"/>
        <v>6.9</v>
      </c>
      <c r="O22" s="134"/>
      <c r="P22" s="259"/>
      <c r="T22" s="134"/>
    </row>
    <row r="23" spans="1:20">
      <c r="A23" s="134">
        <v>110</v>
      </c>
      <c r="B23" s="259" t="s">
        <v>1085</v>
      </c>
      <c r="C23" s="129" t="s">
        <v>1086</v>
      </c>
      <c r="D23" s="292">
        <v>45</v>
      </c>
      <c r="E23" s="292">
        <v>0</v>
      </c>
      <c r="F23" s="139">
        <f t="shared" si="5"/>
        <v>45</v>
      </c>
      <c r="G23" s="292">
        <v>20</v>
      </c>
      <c r="H23" s="292">
        <v>0</v>
      </c>
      <c r="I23" s="139">
        <f t="shared" si="6"/>
        <v>20</v>
      </c>
      <c r="J23" s="266">
        <f t="shared" si="7"/>
        <v>0.44440000000000002</v>
      </c>
      <c r="K23" s="136">
        <f t="shared" si="2"/>
        <v>1.3</v>
      </c>
      <c r="L23" s="136">
        <f t="shared" si="3"/>
        <v>0</v>
      </c>
      <c r="M23" s="136">
        <f t="shared" si="4"/>
        <v>1.3</v>
      </c>
      <c r="O23" s="134"/>
      <c r="P23" s="259"/>
      <c r="T23" s="134"/>
    </row>
    <row r="24" spans="1:20">
      <c r="A24" s="134">
        <v>110</v>
      </c>
      <c r="B24" s="259" t="s">
        <v>1087</v>
      </c>
      <c r="C24" s="129" t="s">
        <v>1088</v>
      </c>
      <c r="D24" s="292">
        <v>63</v>
      </c>
      <c r="E24" s="292">
        <v>0</v>
      </c>
      <c r="F24" s="139">
        <f t="shared" si="5"/>
        <v>63</v>
      </c>
      <c r="G24" s="292">
        <v>26</v>
      </c>
      <c r="H24" s="292">
        <v>0</v>
      </c>
      <c r="I24" s="139">
        <f t="shared" si="6"/>
        <v>26</v>
      </c>
      <c r="J24" s="266">
        <f t="shared" si="7"/>
        <v>0.41270000000000001</v>
      </c>
      <c r="K24" s="136">
        <f t="shared" si="2"/>
        <v>1.1000000000000001</v>
      </c>
      <c r="L24" s="136">
        <f t="shared" si="3"/>
        <v>0</v>
      </c>
      <c r="M24" s="136">
        <f t="shared" si="4"/>
        <v>1.1000000000000001</v>
      </c>
      <c r="O24" s="134"/>
      <c r="P24" s="259"/>
      <c r="T24" s="134"/>
    </row>
    <row r="25" spans="1:20">
      <c r="A25" s="134">
        <v>110</v>
      </c>
      <c r="B25" s="259" t="s">
        <v>1089</v>
      </c>
      <c r="C25" s="129" t="s">
        <v>1090</v>
      </c>
      <c r="D25" s="292">
        <v>71</v>
      </c>
      <c r="E25" s="292">
        <v>0</v>
      </c>
      <c r="F25" s="139">
        <f t="shared" si="5"/>
        <v>71</v>
      </c>
      <c r="G25" s="292">
        <v>22</v>
      </c>
      <c r="H25" s="292">
        <v>0</v>
      </c>
      <c r="I25" s="139">
        <f t="shared" si="6"/>
        <v>22</v>
      </c>
      <c r="J25" s="266">
        <f t="shared" si="7"/>
        <v>0.30990000000000001</v>
      </c>
      <c r="K25" s="136">
        <f t="shared" si="2"/>
        <v>0</v>
      </c>
      <c r="L25" s="136">
        <f t="shared" si="3"/>
        <v>0</v>
      </c>
      <c r="M25" s="136">
        <f t="shared" si="4"/>
        <v>0</v>
      </c>
      <c r="O25" s="134"/>
      <c r="P25" s="259"/>
      <c r="T25" s="134"/>
    </row>
    <row r="26" spans="1:20">
      <c r="A26" s="134">
        <v>111</v>
      </c>
      <c r="B26" s="259" t="s">
        <v>1091</v>
      </c>
      <c r="C26" s="129" t="s">
        <v>1092</v>
      </c>
      <c r="D26" s="292">
        <v>172</v>
      </c>
      <c r="E26" s="292">
        <v>0</v>
      </c>
      <c r="F26" s="139">
        <f t="shared" si="5"/>
        <v>172</v>
      </c>
      <c r="G26" s="292">
        <v>56</v>
      </c>
      <c r="H26" s="292">
        <v>0</v>
      </c>
      <c r="I26" s="139">
        <f t="shared" si="6"/>
        <v>56</v>
      </c>
      <c r="J26" s="266">
        <f t="shared" si="7"/>
        <v>0.3256</v>
      </c>
      <c r="K26" s="136">
        <f t="shared" si="2"/>
        <v>0</v>
      </c>
      <c r="L26" s="136">
        <f t="shared" si="3"/>
        <v>0</v>
      </c>
      <c r="M26" s="136">
        <f t="shared" si="4"/>
        <v>0</v>
      </c>
      <c r="O26" s="134"/>
      <c r="P26" s="259"/>
    </row>
    <row r="27" spans="1:20">
      <c r="A27" s="134">
        <v>111</v>
      </c>
      <c r="B27" s="259" t="s">
        <v>1093</v>
      </c>
      <c r="C27" s="129" t="s">
        <v>1094</v>
      </c>
      <c r="D27" s="292">
        <v>210</v>
      </c>
      <c r="E27" s="292">
        <v>0</v>
      </c>
      <c r="F27" s="139">
        <f t="shared" si="5"/>
        <v>210</v>
      </c>
      <c r="G27" s="292">
        <v>80</v>
      </c>
      <c r="H27" s="292">
        <v>0</v>
      </c>
      <c r="I27" s="139">
        <f t="shared" si="6"/>
        <v>80</v>
      </c>
      <c r="J27" s="266">
        <f t="shared" si="7"/>
        <v>0.38100000000000001</v>
      </c>
      <c r="K27" s="136">
        <f t="shared" si="2"/>
        <v>1.7</v>
      </c>
      <c r="L27" s="136">
        <f t="shared" si="3"/>
        <v>0</v>
      </c>
      <c r="M27" s="136">
        <f t="shared" si="4"/>
        <v>1.7</v>
      </c>
      <c r="O27" s="134"/>
      <c r="P27" s="259"/>
    </row>
    <row r="28" spans="1:20">
      <c r="A28" s="134">
        <v>112</v>
      </c>
      <c r="B28" s="259" t="s">
        <v>1095</v>
      </c>
      <c r="C28" s="129" t="s">
        <v>1096</v>
      </c>
      <c r="D28" s="292">
        <v>75</v>
      </c>
      <c r="E28" s="292">
        <v>0</v>
      </c>
      <c r="F28" s="139">
        <f t="shared" si="5"/>
        <v>75</v>
      </c>
      <c r="G28" s="292">
        <v>37</v>
      </c>
      <c r="H28" s="292">
        <v>0</v>
      </c>
      <c r="I28" s="139">
        <f t="shared" si="6"/>
        <v>37</v>
      </c>
      <c r="J28" s="266">
        <f t="shared" si="7"/>
        <v>0.49330000000000002</v>
      </c>
      <c r="K28" s="136">
        <f t="shared" si="2"/>
        <v>3.7</v>
      </c>
      <c r="L28" s="136">
        <f t="shared" si="3"/>
        <v>0</v>
      </c>
      <c r="M28" s="136">
        <f t="shared" si="4"/>
        <v>3.7</v>
      </c>
      <c r="O28" s="134"/>
      <c r="P28" s="259"/>
    </row>
    <row r="29" spans="1:20">
      <c r="A29" s="134">
        <v>112</v>
      </c>
      <c r="B29" s="259" t="s">
        <v>1097</v>
      </c>
      <c r="C29" s="129" t="s">
        <v>1098</v>
      </c>
      <c r="D29" s="292">
        <v>206</v>
      </c>
      <c r="E29" s="292">
        <v>0</v>
      </c>
      <c r="F29" s="139">
        <f t="shared" si="5"/>
        <v>206</v>
      </c>
      <c r="G29" s="292">
        <v>77</v>
      </c>
      <c r="H29" s="292">
        <v>0</v>
      </c>
      <c r="I29" s="139">
        <f t="shared" si="6"/>
        <v>77</v>
      </c>
      <c r="J29" s="266">
        <f t="shared" si="7"/>
        <v>0.37380000000000002</v>
      </c>
      <c r="K29" s="136">
        <f t="shared" si="2"/>
        <v>1.3</v>
      </c>
      <c r="L29" s="136">
        <f t="shared" si="3"/>
        <v>0</v>
      </c>
      <c r="M29" s="136">
        <f t="shared" si="4"/>
        <v>1.3</v>
      </c>
      <c r="O29" s="134"/>
      <c r="P29" s="259"/>
    </row>
    <row r="30" spans="1:20">
      <c r="A30" s="134">
        <v>112</v>
      </c>
      <c r="B30" s="259" t="s">
        <v>1099</v>
      </c>
      <c r="C30" s="129" t="s">
        <v>1100</v>
      </c>
      <c r="D30" s="292">
        <v>141</v>
      </c>
      <c r="E30" s="292">
        <v>0</v>
      </c>
      <c r="F30" s="139">
        <f t="shared" si="5"/>
        <v>141</v>
      </c>
      <c r="G30" s="292">
        <v>55</v>
      </c>
      <c r="H30" s="292">
        <v>0</v>
      </c>
      <c r="I30" s="139">
        <f t="shared" si="6"/>
        <v>55</v>
      </c>
      <c r="J30" s="266">
        <f t="shared" si="7"/>
        <v>0.3901</v>
      </c>
      <c r="K30" s="136">
        <f t="shared" si="2"/>
        <v>1.5</v>
      </c>
      <c r="L30" s="136">
        <f t="shared" si="3"/>
        <v>0</v>
      </c>
      <c r="M30" s="136">
        <f t="shared" si="4"/>
        <v>1.5</v>
      </c>
      <c r="O30" s="134"/>
      <c r="P30" s="259"/>
    </row>
    <row r="31" spans="1:20">
      <c r="A31" s="134">
        <v>112</v>
      </c>
      <c r="B31" s="259" t="s">
        <v>3965</v>
      </c>
      <c r="C31" s="129" t="s">
        <v>3966</v>
      </c>
      <c r="D31" s="292">
        <v>5</v>
      </c>
      <c r="E31" s="292">
        <v>0</v>
      </c>
      <c r="F31" s="139">
        <f t="shared" si="5"/>
        <v>5</v>
      </c>
      <c r="G31" s="292">
        <v>0</v>
      </c>
      <c r="H31" s="292">
        <v>0</v>
      </c>
      <c r="I31" s="139">
        <f t="shared" si="6"/>
        <v>0</v>
      </c>
      <c r="J31" s="266">
        <f t="shared" si="7"/>
        <v>0</v>
      </c>
      <c r="K31" s="136">
        <f t="shared" si="2"/>
        <v>0</v>
      </c>
      <c r="L31" s="136">
        <f t="shared" si="3"/>
        <v>0</v>
      </c>
      <c r="M31" s="136">
        <f t="shared" si="4"/>
        <v>0</v>
      </c>
      <c r="O31" s="134"/>
      <c r="P31" s="259"/>
    </row>
    <row r="32" spans="1:20">
      <c r="A32" s="134">
        <v>113</v>
      </c>
      <c r="B32" s="259" t="s">
        <v>1101</v>
      </c>
      <c r="C32" s="129" t="s">
        <v>1102</v>
      </c>
      <c r="D32" s="292">
        <v>47</v>
      </c>
      <c r="E32" s="292">
        <v>0</v>
      </c>
      <c r="F32" s="139">
        <f t="shared" si="5"/>
        <v>47</v>
      </c>
      <c r="G32" s="292">
        <v>8</v>
      </c>
      <c r="H32" s="292">
        <v>0</v>
      </c>
      <c r="I32" s="139">
        <f t="shared" si="6"/>
        <v>8</v>
      </c>
      <c r="J32" s="266">
        <f t="shared" si="7"/>
        <v>0.17019999999999999</v>
      </c>
      <c r="K32" s="136">
        <f t="shared" si="2"/>
        <v>0</v>
      </c>
      <c r="L32" s="136">
        <f t="shared" si="3"/>
        <v>0</v>
      </c>
      <c r="M32" s="136">
        <f t="shared" si="4"/>
        <v>0</v>
      </c>
      <c r="O32" s="134"/>
      <c r="P32" s="259"/>
    </row>
    <row r="33" spans="1:16">
      <c r="A33" s="134">
        <v>113</v>
      </c>
      <c r="B33" s="259" t="s">
        <v>1103</v>
      </c>
      <c r="C33" s="129" t="s">
        <v>1104</v>
      </c>
      <c r="D33" s="292">
        <v>376</v>
      </c>
      <c r="E33" s="292">
        <v>0</v>
      </c>
      <c r="F33" s="139">
        <f t="shared" si="5"/>
        <v>376</v>
      </c>
      <c r="G33" s="292">
        <v>114</v>
      </c>
      <c r="H33" s="292">
        <v>0</v>
      </c>
      <c r="I33" s="139">
        <f t="shared" si="6"/>
        <v>114</v>
      </c>
      <c r="J33" s="266">
        <f t="shared" si="7"/>
        <v>0.30320000000000003</v>
      </c>
      <c r="K33" s="136">
        <f t="shared" si="2"/>
        <v>0</v>
      </c>
      <c r="L33" s="136">
        <f t="shared" si="3"/>
        <v>0</v>
      </c>
      <c r="M33" s="136">
        <f t="shared" si="4"/>
        <v>0</v>
      </c>
      <c r="O33" s="134"/>
      <c r="P33" s="259"/>
    </row>
    <row r="34" spans="1:16">
      <c r="A34" s="134">
        <v>113</v>
      </c>
      <c r="B34" s="259" t="s">
        <v>1105</v>
      </c>
      <c r="C34" s="129" t="s">
        <v>1106</v>
      </c>
      <c r="D34" s="292">
        <v>220</v>
      </c>
      <c r="E34" s="292">
        <v>0</v>
      </c>
      <c r="F34" s="139">
        <f t="shared" si="5"/>
        <v>220</v>
      </c>
      <c r="G34" s="292">
        <v>55</v>
      </c>
      <c r="H34" s="292">
        <v>0</v>
      </c>
      <c r="I34" s="139">
        <f t="shared" si="6"/>
        <v>55</v>
      </c>
      <c r="J34" s="266">
        <f t="shared" si="7"/>
        <v>0.25</v>
      </c>
      <c r="K34" s="136">
        <f t="shared" si="2"/>
        <v>0</v>
      </c>
      <c r="L34" s="136">
        <f t="shared" si="3"/>
        <v>0</v>
      </c>
      <c r="M34" s="136">
        <f t="shared" si="4"/>
        <v>0</v>
      </c>
      <c r="O34" s="134"/>
      <c r="P34" s="259"/>
    </row>
    <row r="35" spans="1:16">
      <c r="A35" s="134">
        <v>113</v>
      </c>
      <c r="B35" s="259" t="s">
        <v>1107</v>
      </c>
      <c r="C35" s="129" t="s">
        <v>1108</v>
      </c>
      <c r="D35" s="292">
        <v>165</v>
      </c>
      <c r="E35" s="292">
        <v>0</v>
      </c>
      <c r="F35" s="139">
        <f t="shared" si="5"/>
        <v>165</v>
      </c>
      <c r="G35" s="292">
        <v>46</v>
      </c>
      <c r="H35" s="292">
        <v>0</v>
      </c>
      <c r="I35" s="139">
        <f t="shared" si="6"/>
        <v>46</v>
      </c>
      <c r="J35" s="266">
        <f t="shared" si="7"/>
        <v>0.27879999999999999</v>
      </c>
      <c r="K35" s="136">
        <f t="shared" si="2"/>
        <v>0</v>
      </c>
      <c r="L35" s="136">
        <f t="shared" si="3"/>
        <v>0</v>
      </c>
      <c r="M35" s="136">
        <f t="shared" si="4"/>
        <v>0</v>
      </c>
      <c r="O35" s="134"/>
      <c r="P35" s="259"/>
    </row>
    <row r="36" spans="1:16">
      <c r="A36" s="134">
        <v>113</v>
      </c>
      <c r="B36" s="259" t="s">
        <v>1109</v>
      </c>
      <c r="C36" s="129" t="s">
        <v>1110</v>
      </c>
      <c r="D36" s="292">
        <v>113</v>
      </c>
      <c r="E36" s="292">
        <v>0</v>
      </c>
      <c r="F36" s="139">
        <f t="shared" si="5"/>
        <v>113</v>
      </c>
      <c r="G36" s="292">
        <v>20</v>
      </c>
      <c r="H36" s="292">
        <v>0</v>
      </c>
      <c r="I36" s="139">
        <f t="shared" si="6"/>
        <v>20</v>
      </c>
      <c r="J36" s="266">
        <f t="shared" si="7"/>
        <v>0.17699999999999999</v>
      </c>
      <c r="K36" s="136">
        <f t="shared" si="2"/>
        <v>0</v>
      </c>
      <c r="L36" s="136">
        <f t="shared" si="3"/>
        <v>0</v>
      </c>
      <c r="M36" s="136">
        <f t="shared" si="4"/>
        <v>0</v>
      </c>
      <c r="O36" s="134"/>
      <c r="P36" s="259"/>
    </row>
    <row r="37" spans="1:16">
      <c r="A37" s="134">
        <v>114</v>
      </c>
      <c r="B37" s="259" t="s">
        <v>1111</v>
      </c>
      <c r="C37" s="129" t="s">
        <v>1112</v>
      </c>
      <c r="D37" s="292">
        <v>138</v>
      </c>
      <c r="E37" s="292">
        <v>0</v>
      </c>
      <c r="F37" s="139">
        <f t="shared" si="5"/>
        <v>138</v>
      </c>
      <c r="G37" s="292">
        <v>59</v>
      </c>
      <c r="H37" s="292">
        <v>0</v>
      </c>
      <c r="I37" s="139">
        <f t="shared" si="6"/>
        <v>59</v>
      </c>
      <c r="J37" s="266">
        <f t="shared" si="7"/>
        <v>0.42749999999999999</v>
      </c>
      <c r="K37" s="136">
        <f t="shared" si="2"/>
        <v>3.2</v>
      </c>
      <c r="L37" s="136">
        <f t="shared" si="3"/>
        <v>0</v>
      </c>
      <c r="M37" s="136">
        <f t="shared" si="4"/>
        <v>3.2</v>
      </c>
      <c r="O37" s="134"/>
      <c r="P37" s="259"/>
    </row>
    <row r="38" spans="1:16">
      <c r="A38" s="134">
        <v>114</v>
      </c>
      <c r="B38" s="259" t="s">
        <v>1113</v>
      </c>
      <c r="C38" s="129" t="s">
        <v>1114</v>
      </c>
      <c r="D38" s="292">
        <v>152</v>
      </c>
      <c r="E38" s="292">
        <v>0</v>
      </c>
      <c r="F38" s="139">
        <f t="shared" si="5"/>
        <v>152</v>
      </c>
      <c r="G38" s="292">
        <v>68</v>
      </c>
      <c r="H38" s="292">
        <v>0</v>
      </c>
      <c r="I38" s="139">
        <f t="shared" si="6"/>
        <v>68</v>
      </c>
      <c r="J38" s="266">
        <f t="shared" si="7"/>
        <v>0.44740000000000002</v>
      </c>
      <c r="K38" s="136">
        <f t="shared" si="2"/>
        <v>4.5999999999999996</v>
      </c>
      <c r="L38" s="136">
        <f t="shared" si="3"/>
        <v>0</v>
      </c>
      <c r="M38" s="136">
        <f t="shared" si="4"/>
        <v>4.5999999999999996</v>
      </c>
      <c r="O38" s="134"/>
      <c r="P38" s="259"/>
    </row>
    <row r="39" spans="1:16">
      <c r="A39" s="134">
        <v>114</v>
      </c>
      <c r="B39" s="259" t="s">
        <v>1115</v>
      </c>
      <c r="C39" s="129" t="s">
        <v>1116</v>
      </c>
      <c r="D39" s="292">
        <v>175</v>
      </c>
      <c r="E39" s="292">
        <v>0</v>
      </c>
      <c r="F39" s="139">
        <f t="shared" si="5"/>
        <v>175</v>
      </c>
      <c r="G39" s="292">
        <v>87</v>
      </c>
      <c r="H39" s="292">
        <v>0</v>
      </c>
      <c r="I39" s="139">
        <f t="shared" si="6"/>
        <v>87</v>
      </c>
      <c r="J39" s="266">
        <f t="shared" si="7"/>
        <v>0.49709999999999999</v>
      </c>
      <c r="K39" s="136">
        <f t="shared" si="2"/>
        <v>9</v>
      </c>
      <c r="L39" s="136">
        <f t="shared" si="3"/>
        <v>0</v>
      </c>
      <c r="M39" s="136">
        <f t="shared" si="4"/>
        <v>9</v>
      </c>
      <c r="O39" s="134"/>
      <c r="P39" s="259"/>
    </row>
    <row r="40" spans="1:16">
      <c r="A40" s="134">
        <v>114</v>
      </c>
      <c r="B40" s="259" t="s">
        <v>1117</v>
      </c>
      <c r="C40" s="129" t="s">
        <v>1118</v>
      </c>
      <c r="D40" s="292">
        <v>168</v>
      </c>
      <c r="E40" s="292">
        <v>0</v>
      </c>
      <c r="F40" s="139">
        <f t="shared" si="5"/>
        <v>168</v>
      </c>
      <c r="G40" s="292">
        <v>75</v>
      </c>
      <c r="H40" s="292">
        <v>0</v>
      </c>
      <c r="I40" s="139">
        <f t="shared" si="6"/>
        <v>75</v>
      </c>
      <c r="J40" s="266">
        <f t="shared" si="7"/>
        <v>0.44640000000000002</v>
      </c>
      <c r="K40" s="136">
        <f t="shared" si="2"/>
        <v>5.0999999999999996</v>
      </c>
      <c r="L40" s="136">
        <f t="shared" si="3"/>
        <v>0</v>
      </c>
      <c r="M40" s="136">
        <f t="shared" si="4"/>
        <v>5.0999999999999996</v>
      </c>
      <c r="O40" s="134"/>
      <c r="P40" s="259"/>
    </row>
    <row r="41" spans="1:16">
      <c r="A41" s="134">
        <v>114</v>
      </c>
      <c r="B41" s="259" t="s">
        <v>3967</v>
      </c>
      <c r="C41" s="129" t="s">
        <v>3968</v>
      </c>
      <c r="D41" s="292">
        <v>0</v>
      </c>
      <c r="E41" s="292">
        <v>0</v>
      </c>
      <c r="F41" s="139">
        <f t="shared" si="5"/>
        <v>0</v>
      </c>
      <c r="G41" s="292">
        <v>0</v>
      </c>
      <c r="H41" s="292">
        <v>0</v>
      </c>
      <c r="I41" s="139">
        <f t="shared" si="6"/>
        <v>0</v>
      </c>
      <c r="J41" s="266">
        <f t="shared" si="7"/>
        <v>0</v>
      </c>
      <c r="K41" s="136">
        <f t="shared" si="2"/>
        <v>0</v>
      </c>
      <c r="L41" s="136">
        <f t="shared" si="3"/>
        <v>0</v>
      </c>
      <c r="M41" s="136">
        <f t="shared" si="4"/>
        <v>0</v>
      </c>
      <c r="O41" s="134"/>
      <c r="P41" s="259"/>
    </row>
    <row r="42" spans="1:16">
      <c r="A42" s="134">
        <v>115</v>
      </c>
      <c r="B42" s="259" t="s">
        <v>1119</v>
      </c>
      <c r="C42" s="129" t="s">
        <v>1120</v>
      </c>
      <c r="D42" s="292">
        <v>531</v>
      </c>
      <c r="E42" s="292">
        <v>0</v>
      </c>
      <c r="F42" s="139">
        <f t="shared" si="5"/>
        <v>531</v>
      </c>
      <c r="G42" s="292">
        <v>150</v>
      </c>
      <c r="H42" s="292">
        <v>0</v>
      </c>
      <c r="I42" s="139">
        <f t="shared" si="6"/>
        <v>150</v>
      </c>
      <c r="J42" s="266">
        <f t="shared" si="7"/>
        <v>0.28249999999999997</v>
      </c>
      <c r="K42" s="136">
        <f t="shared" si="2"/>
        <v>0</v>
      </c>
      <c r="L42" s="136">
        <f t="shared" si="3"/>
        <v>0</v>
      </c>
      <c r="M42" s="136">
        <f t="shared" si="4"/>
        <v>0</v>
      </c>
      <c r="O42" s="134"/>
      <c r="P42" s="259"/>
    </row>
    <row r="43" spans="1:16">
      <c r="A43" s="134">
        <v>115</v>
      </c>
      <c r="B43" s="259" t="s">
        <v>1121</v>
      </c>
      <c r="C43" s="129" t="s">
        <v>1122</v>
      </c>
      <c r="D43" s="292">
        <v>224</v>
      </c>
      <c r="E43" s="292">
        <v>0</v>
      </c>
      <c r="F43" s="139">
        <f t="shared" si="5"/>
        <v>224</v>
      </c>
      <c r="G43" s="292">
        <v>21</v>
      </c>
      <c r="H43" s="292">
        <v>0</v>
      </c>
      <c r="I43" s="139">
        <f t="shared" si="6"/>
        <v>21</v>
      </c>
      <c r="J43" s="266">
        <f t="shared" si="7"/>
        <v>9.3799999999999994E-2</v>
      </c>
      <c r="K43" s="136">
        <f t="shared" si="2"/>
        <v>0</v>
      </c>
      <c r="L43" s="136">
        <f t="shared" si="3"/>
        <v>0</v>
      </c>
      <c r="M43" s="136">
        <f t="shared" si="4"/>
        <v>0</v>
      </c>
      <c r="O43" s="134"/>
      <c r="P43" s="259"/>
    </row>
    <row r="44" spans="1:16">
      <c r="A44" s="134">
        <v>200</v>
      </c>
      <c r="B44" s="259" t="s">
        <v>1123</v>
      </c>
      <c r="C44" s="129" t="s">
        <v>1124</v>
      </c>
      <c r="D44" s="292">
        <v>111</v>
      </c>
      <c r="E44" s="292">
        <v>0</v>
      </c>
      <c r="F44" s="139">
        <f t="shared" si="5"/>
        <v>111</v>
      </c>
      <c r="G44" s="292">
        <v>35</v>
      </c>
      <c r="H44" s="292">
        <v>0</v>
      </c>
      <c r="I44" s="139">
        <f t="shared" si="6"/>
        <v>35</v>
      </c>
      <c r="J44" s="266">
        <f t="shared" si="7"/>
        <v>0.31530000000000002</v>
      </c>
      <c r="K44" s="136">
        <f t="shared" si="2"/>
        <v>0</v>
      </c>
      <c r="L44" s="136">
        <f t="shared" si="3"/>
        <v>0</v>
      </c>
      <c r="M44" s="136">
        <f t="shared" si="4"/>
        <v>0</v>
      </c>
      <c r="O44" s="134"/>
      <c r="P44" s="259"/>
    </row>
    <row r="45" spans="1:16">
      <c r="A45" s="134">
        <v>200</v>
      </c>
      <c r="B45" s="259" t="s">
        <v>1125</v>
      </c>
      <c r="C45" s="129" t="s">
        <v>1126</v>
      </c>
      <c r="D45" s="292">
        <v>122</v>
      </c>
      <c r="E45" s="292">
        <v>0</v>
      </c>
      <c r="F45" s="139">
        <f t="shared" si="5"/>
        <v>122</v>
      </c>
      <c r="G45" s="292">
        <v>41</v>
      </c>
      <c r="H45" s="292">
        <v>0</v>
      </c>
      <c r="I45" s="139">
        <f t="shared" si="6"/>
        <v>41</v>
      </c>
      <c r="J45" s="266">
        <f t="shared" si="7"/>
        <v>0.33610000000000001</v>
      </c>
      <c r="K45" s="136">
        <f t="shared" si="2"/>
        <v>0</v>
      </c>
      <c r="L45" s="136">
        <f t="shared" si="3"/>
        <v>0</v>
      </c>
      <c r="M45" s="136">
        <f t="shared" si="4"/>
        <v>0</v>
      </c>
      <c r="O45" s="134"/>
      <c r="P45" s="259"/>
    </row>
    <row r="46" spans="1:16">
      <c r="A46" s="134">
        <v>202</v>
      </c>
      <c r="B46" s="259" t="s">
        <v>1127</v>
      </c>
      <c r="C46" s="129" t="s">
        <v>1128</v>
      </c>
      <c r="D46" s="292">
        <v>243</v>
      </c>
      <c r="E46" s="292">
        <v>0</v>
      </c>
      <c r="F46" s="139">
        <f t="shared" si="5"/>
        <v>243</v>
      </c>
      <c r="G46" s="292">
        <v>169</v>
      </c>
      <c r="H46" s="292">
        <v>0</v>
      </c>
      <c r="I46" s="139">
        <f t="shared" si="6"/>
        <v>169</v>
      </c>
      <c r="J46" s="266">
        <f t="shared" si="7"/>
        <v>0.69550000000000001</v>
      </c>
      <c r="K46" s="136">
        <f t="shared" si="2"/>
        <v>0</v>
      </c>
      <c r="L46" s="136">
        <f t="shared" si="3"/>
        <v>17.7</v>
      </c>
      <c r="M46" s="136">
        <f t="shared" si="4"/>
        <v>17.7</v>
      </c>
      <c r="O46" s="134"/>
      <c r="P46" s="259"/>
    </row>
    <row r="47" spans="1:16">
      <c r="A47" s="134">
        <v>202</v>
      </c>
      <c r="B47" s="259" t="s">
        <v>1129</v>
      </c>
      <c r="C47" s="129" t="s">
        <v>1130</v>
      </c>
      <c r="D47" s="292">
        <v>281</v>
      </c>
      <c r="E47" s="292">
        <v>0</v>
      </c>
      <c r="F47" s="139">
        <f t="shared" si="5"/>
        <v>281</v>
      </c>
      <c r="G47" s="292">
        <v>212</v>
      </c>
      <c r="H47" s="292">
        <v>0</v>
      </c>
      <c r="I47" s="139">
        <f t="shared" si="6"/>
        <v>212</v>
      </c>
      <c r="J47" s="266">
        <f t="shared" si="7"/>
        <v>0.75439999999999996</v>
      </c>
      <c r="K47" s="136">
        <f t="shared" si="2"/>
        <v>0</v>
      </c>
      <c r="L47" s="136">
        <f t="shared" si="3"/>
        <v>22.3</v>
      </c>
      <c r="M47" s="136">
        <f t="shared" si="4"/>
        <v>22.3</v>
      </c>
      <c r="O47" s="134"/>
      <c r="P47" s="259"/>
    </row>
    <row r="48" spans="1:16">
      <c r="A48" s="134">
        <v>202</v>
      </c>
      <c r="B48" s="259" t="s">
        <v>1131</v>
      </c>
      <c r="C48" s="129" t="s">
        <v>1132</v>
      </c>
      <c r="D48" s="292">
        <v>491</v>
      </c>
      <c r="E48" s="292">
        <v>0</v>
      </c>
      <c r="F48" s="139">
        <f t="shared" si="5"/>
        <v>491</v>
      </c>
      <c r="G48" s="292">
        <v>408</v>
      </c>
      <c r="H48" s="292">
        <v>0</v>
      </c>
      <c r="I48" s="139">
        <f t="shared" si="6"/>
        <v>408</v>
      </c>
      <c r="J48" s="266">
        <f t="shared" si="7"/>
        <v>0.83099999999999996</v>
      </c>
      <c r="K48" s="136">
        <f t="shared" si="2"/>
        <v>0</v>
      </c>
      <c r="L48" s="136">
        <f t="shared" si="3"/>
        <v>42.8</v>
      </c>
      <c r="M48" s="136">
        <f t="shared" si="4"/>
        <v>42.8</v>
      </c>
      <c r="O48" s="134"/>
      <c r="P48" s="259"/>
    </row>
    <row r="49" spans="1:16">
      <c r="A49" s="134">
        <v>202</v>
      </c>
      <c r="B49" s="259" t="s">
        <v>1133</v>
      </c>
      <c r="C49" s="129" t="s">
        <v>1134</v>
      </c>
      <c r="D49" s="292">
        <v>524</v>
      </c>
      <c r="E49" s="292">
        <v>0</v>
      </c>
      <c r="F49" s="139">
        <f t="shared" si="5"/>
        <v>524</v>
      </c>
      <c r="G49" s="292">
        <v>352</v>
      </c>
      <c r="H49" s="292">
        <v>0</v>
      </c>
      <c r="I49" s="139">
        <f t="shared" si="6"/>
        <v>352</v>
      </c>
      <c r="J49" s="266">
        <f t="shared" si="7"/>
        <v>0.67179999999999995</v>
      </c>
      <c r="K49" s="136">
        <f t="shared" si="2"/>
        <v>0</v>
      </c>
      <c r="L49" s="136">
        <f t="shared" si="3"/>
        <v>37</v>
      </c>
      <c r="M49" s="136">
        <f t="shared" si="4"/>
        <v>37</v>
      </c>
      <c r="O49" s="134"/>
      <c r="P49" s="259"/>
    </row>
    <row r="50" spans="1:16">
      <c r="A50" s="134">
        <v>202</v>
      </c>
      <c r="B50" s="259" t="s">
        <v>1135</v>
      </c>
      <c r="C50" s="129" t="s">
        <v>1136</v>
      </c>
      <c r="D50" s="292">
        <v>571</v>
      </c>
      <c r="E50" s="292">
        <v>0</v>
      </c>
      <c r="F50" s="139">
        <f t="shared" si="5"/>
        <v>571</v>
      </c>
      <c r="G50" s="292">
        <v>432</v>
      </c>
      <c r="H50" s="292">
        <v>0</v>
      </c>
      <c r="I50" s="139">
        <f t="shared" si="6"/>
        <v>432</v>
      </c>
      <c r="J50" s="266">
        <f t="shared" si="7"/>
        <v>0.75660000000000005</v>
      </c>
      <c r="K50" s="136">
        <f t="shared" si="2"/>
        <v>0</v>
      </c>
      <c r="L50" s="136">
        <f t="shared" si="3"/>
        <v>45.4</v>
      </c>
      <c r="M50" s="136">
        <f t="shared" si="4"/>
        <v>45.4</v>
      </c>
      <c r="O50" s="134"/>
      <c r="P50" s="259"/>
    </row>
    <row r="51" spans="1:16">
      <c r="A51" s="134">
        <v>202</v>
      </c>
      <c r="B51" s="259" t="s">
        <v>1137</v>
      </c>
      <c r="C51" s="129" t="s">
        <v>1138</v>
      </c>
      <c r="D51" s="292">
        <v>572</v>
      </c>
      <c r="E51" s="292">
        <v>0</v>
      </c>
      <c r="F51" s="139">
        <f t="shared" si="5"/>
        <v>572</v>
      </c>
      <c r="G51" s="292">
        <v>408</v>
      </c>
      <c r="H51" s="292">
        <v>0</v>
      </c>
      <c r="I51" s="139">
        <f t="shared" si="6"/>
        <v>408</v>
      </c>
      <c r="J51" s="266">
        <f t="shared" si="7"/>
        <v>0.71330000000000005</v>
      </c>
      <c r="K51" s="136">
        <f t="shared" si="2"/>
        <v>0</v>
      </c>
      <c r="L51" s="136">
        <f t="shared" si="3"/>
        <v>42.8</v>
      </c>
      <c r="M51" s="136">
        <f t="shared" si="4"/>
        <v>42.8</v>
      </c>
      <c r="O51" s="134"/>
      <c r="P51" s="259"/>
    </row>
    <row r="52" spans="1:16">
      <c r="A52" s="134">
        <v>202</v>
      </c>
      <c r="B52" s="259" t="s">
        <v>1139</v>
      </c>
      <c r="C52" s="129" t="s">
        <v>1140</v>
      </c>
      <c r="D52" s="292">
        <v>1136</v>
      </c>
      <c r="E52" s="292">
        <v>0</v>
      </c>
      <c r="F52" s="139">
        <f t="shared" si="5"/>
        <v>1136</v>
      </c>
      <c r="G52" s="292">
        <v>743</v>
      </c>
      <c r="H52" s="292">
        <v>0</v>
      </c>
      <c r="I52" s="139">
        <f t="shared" si="6"/>
        <v>743</v>
      </c>
      <c r="J52" s="266">
        <f t="shared" si="7"/>
        <v>0.65400000000000003</v>
      </c>
      <c r="K52" s="136">
        <f t="shared" si="2"/>
        <v>0</v>
      </c>
      <c r="L52" s="136">
        <f t="shared" si="3"/>
        <v>78</v>
      </c>
      <c r="M52" s="136">
        <f t="shared" si="4"/>
        <v>78</v>
      </c>
      <c r="O52" s="134"/>
      <c r="P52" s="259"/>
    </row>
    <row r="53" spans="1:16">
      <c r="A53" s="134">
        <v>202</v>
      </c>
      <c r="B53" s="259" t="s">
        <v>3969</v>
      </c>
      <c r="C53" s="129" t="s">
        <v>3970</v>
      </c>
      <c r="D53" s="292">
        <v>0</v>
      </c>
      <c r="E53" s="292">
        <v>0</v>
      </c>
      <c r="F53" s="139">
        <f t="shared" si="5"/>
        <v>0</v>
      </c>
      <c r="G53" s="292">
        <v>0</v>
      </c>
      <c r="H53" s="292">
        <v>0</v>
      </c>
      <c r="I53" s="139">
        <f t="shared" si="6"/>
        <v>0</v>
      </c>
      <c r="J53" s="266">
        <f t="shared" si="7"/>
        <v>0</v>
      </c>
      <c r="K53" s="136">
        <f t="shared" si="2"/>
        <v>0</v>
      </c>
      <c r="L53" s="136">
        <f t="shared" si="3"/>
        <v>0</v>
      </c>
      <c r="M53" s="136">
        <f t="shared" si="4"/>
        <v>0</v>
      </c>
      <c r="O53" s="134"/>
      <c r="P53" s="259"/>
    </row>
    <row r="54" spans="1:16">
      <c r="A54" s="134">
        <v>203</v>
      </c>
      <c r="B54" s="259" t="s">
        <v>1141</v>
      </c>
      <c r="C54" s="129" t="s">
        <v>1142</v>
      </c>
      <c r="D54" s="292">
        <v>592</v>
      </c>
      <c r="E54" s="292">
        <v>0</v>
      </c>
      <c r="F54" s="139">
        <f t="shared" si="5"/>
        <v>592</v>
      </c>
      <c r="G54" s="292">
        <v>138</v>
      </c>
      <c r="H54" s="292">
        <v>0</v>
      </c>
      <c r="I54" s="139">
        <f t="shared" si="6"/>
        <v>138</v>
      </c>
      <c r="J54" s="266">
        <f t="shared" si="7"/>
        <v>0.2331</v>
      </c>
      <c r="K54" s="136">
        <f t="shared" si="2"/>
        <v>0</v>
      </c>
      <c r="L54" s="136">
        <f t="shared" si="3"/>
        <v>0</v>
      </c>
      <c r="M54" s="136">
        <f t="shared" si="4"/>
        <v>0</v>
      </c>
      <c r="O54" s="134"/>
      <c r="P54" s="259"/>
    </row>
    <row r="55" spans="1:16">
      <c r="A55" s="134">
        <v>203</v>
      </c>
      <c r="B55" s="259" t="s">
        <v>1143</v>
      </c>
      <c r="C55" s="129" t="s">
        <v>1144</v>
      </c>
      <c r="D55" s="292">
        <v>610</v>
      </c>
      <c r="E55" s="292">
        <v>0</v>
      </c>
      <c r="F55" s="139">
        <f t="shared" si="5"/>
        <v>610</v>
      </c>
      <c r="G55" s="292">
        <v>143</v>
      </c>
      <c r="H55" s="292">
        <v>0</v>
      </c>
      <c r="I55" s="139">
        <f t="shared" si="6"/>
        <v>143</v>
      </c>
      <c r="J55" s="266">
        <f t="shared" si="7"/>
        <v>0.2344</v>
      </c>
      <c r="K55" s="136">
        <f t="shared" si="2"/>
        <v>0</v>
      </c>
      <c r="L55" s="136">
        <f t="shared" si="3"/>
        <v>0</v>
      </c>
      <c r="M55" s="136">
        <f t="shared" si="4"/>
        <v>0</v>
      </c>
      <c r="O55" s="134"/>
      <c r="P55" s="259"/>
    </row>
    <row r="56" spans="1:16">
      <c r="A56" s="134">
        <v>203</v>
      </c>
      <c r="B56" s="259" t="s">
        <v>1145</v>
      </c>
      <c r="C56" s="129" t="s">
        <v>1146</v>
      </c>
      <c r="D56" s="292">
        <v>688</v>
      </c>
      <c r="E56" s="292">
        <v>0</v>
      </c>
      <c r="F56" s="139">
        <f t="shared" si="5"/>
        <v>688</v>
      </c>
      <c r="G56" s="292">
        <v>160</v>
      </c>
      <c r="H56" s="292">
        <v>0</v>
      </c>
      <c r="I56" s="139">
        <f t="shared" si="6"/>
        <v>160</v>
      </c>
      <c r="J56" s="266">
        <f t="shared" si="7"/>
        <v>0.2326</v>
      </c>
      <c r="K56" s="136">
        <f t="shared" si="2"/>
        <v>0</v>
      </c>
      <c r="L56" s="136">
        <f t="shared" si="3"/>
        <v>0</v>
      </c>
      <c r="M56" s="136">
        <f t="shared" si="4"/>
        <v>0</v>
      </c>
      <c r="O56" s="134"/>
      <c r="P56" s="259"/>
    </row>
    <row r="57" spans="1:16">
      <c r="A57" s="134">
        <v>203</v>
      </c>
      <c r="B57" s="259" t="s">
        <v>1147</v>
      </c>
      <c r="C57" s="129" t="s">
        <v>1148</v>
      </c>
      <c r="D57" s="292">
        <v>817</v>
      </c>
      <c r="E57" s="292">
        <v>0</v>
      </c>
      <c r="F57" s="139">
        <f t="shared" si="5"/>
        <v>817</v>
      </c>
      <c r="G57" s="292">
        <v>162</v>
      </c>
      <c r="H57" s="292">
        <v>0</v>
      </c>
      <c r="I57" s="139">
        <f t="shared" si="6"/>
        <v>162</v>
      </c>
      <c r="J57" s="266">
        <f t="shared" si="7"/>
        <v>0.1983</v>
      </c>
      <c r="K57" s="136">
        <f t="shared" si="2"/>
        <v>0</v>
      </c>
      <c r="L57" s="136">
        <f t="shared" si="3"/>
        <v>0</v>
      </c>
      <c r="M57" s="136">
        <f t="shared" si="4"/>
        <v>0</v>
      </c>
      <c r="O57" s="134"/>
      <c r="P57" s="259"/>
    </row>
    <row r="58" spans="1:16">
      <c r="A58" s="134">
        <v>204</v>
      </c>
      <c r="B58" s="259" t="s">
        <v>1149</v>
      </c>
      <c r="C58" s="129" t="s">
        <v>1150</v>
      </c>
      <c r="D58" s="292">
        <v>361</v>
      </c>
      <c r="E58" s="292">
        <v>0</v>
      </c>
      <c r="F58" s="139">
        <f t="shared" si="5"/>
        <v>361</v>
      </c>
      <c r="G58" s="292">
        <v>181</v>
      </c>
      <c r="H58" s="292">
        <v>0</v>
      </c>
      <c r="I58" s="139">
        <f t="shared" si="6"/>
        <v>181</v>
      </c>
      <c r="J58" s="266">
        <f t="shared" si="7"/>
        <v>0.50139999999999996</v>
      </c>
      <c r="K58" s="136">
        <f t="shared" si="2"/>
        <v>0</v>
      </c>
      <c r="L58" s="136">
        <f t="shared" si="3"/>
        <v>19</v>
      </c>
      <c r="M58" s="136">
        <f t="shared" si="4"/>
        <v>19</v>
      </c>
      <c r="O58" s="134"/>
      <c r="P58" s="259"/>
    </row>
    <row r="59" spans="1:16">
      <c r="A59" s="134">
        <v>204</v>
      </c>
      <c r="B59" s="259" t="s">
        <v>1151</v>
      </c>
      <c r="C59" s="129" t="s">
        <v>1152</v>
      </c>
      <c r="D59" s="292">
        <v>758</v>
      </c>
      <c r="E59" s="292">
        <v>0</v>
      </c>
      <c r="F59" s="139">
        <f t="shared" si="5"/>
        <v>758</v>
      </c>
      <c r="G59" s="292">
        <v>324</v>
      </c>
      <c r="H59" s="292">
        <v>0</v>
      </c>
      <c r="I59" s="139">
        <f t="shared" si="6"/>
        <v>324</v>
      </c>
      <c r="J59" s="266">
        <f t="shared" si="7"/>
        <v>0.4274</v>
      </c>
      <c r="K59" s="136">
        <f t="shared" si="2"/>
        <v>17.600000000000001</v>
      </c>
      <c r="L59" s="136">
        <f t="shared" si="3"/>
        <v>0</v>
      </c>
      <c r="M59" s="136">
        <f t="shared" si="4"/>
        <v>17.600000000000001</v>
      </c>
      <c r="O59" s="134"/>
      <c r="P59" s="259"/>
    </row>
    <row r="60" spans="1:16">
      <c r="A60" s="134">
        <v>204</v>
      </c>
      <c r="B60" s="259" t="s">
        <v>1153</v>
      </c>
      <c r="C60" s="129" t="s">
        <v>1154</v>
      </c>
      <c r="D60" s="292">
        <v>336</v>
      </c>
      <c r="E60" s="292">
        <v>0</v>
      </c>
      <c r="F60" s="139">
        <f t="shared" si="5"/>
        <v>336</v>
      </c>
      <c r="G60" s="292">
        <v>197</v>
      </c>
      <c r="H60" s="292">
        <v>0</v>
      </c>
      <c r="I60" s="139">
        <f t="shared" si="6"/>
        <v>197</v>
      </c>
      <c r="J60" s="266">
        <f t="shared" si="7"/>
        <v>0.58630000000000004</v>
      </c>
      <c r="K60" s="136">
        <f t="shared" si="2"/>
        <v>0</v>
      </c>
      <c r="L60" s="136">
        <f t="shared" si="3"/>
        <v>20.7</v>
      </c>
      <c r="M60" s="136">
        <f t="shared" si="4"/>
        <v>20.7</v>
      </c>
      <c r="O60" s="134"/>
      <c r="P60" s="259"/>
    </row>
    <row r="61" spans="1:16">
      <c r="A61" s="134">
        <v>204</v>
      </c>
      <c r="B61" s="259" t="s">
        <v>1155</v>
      </c>
      <c r="C61" s="129" t="s">
        <v>1156</v>
      </c>
      <c r="D61" s="297">
        <v>584</v>
      </c>
      <c r="E61" s="292">
        <v>0</v>
      </c>
      <c r="F61" s="139">
        <f t="shared" si="5"/>
        <v>584</v>
      </c>
      <c r="G61" s="292">
        <v>304</v>
      </c>
      <c r="H61" s="292">
        <v>0</v>
      </c>
      <c r="I61" s="139">
        <f t="shared" si="6"/>
        <v>304</v>
      </c>
      <c r="J61" s="266">
        <f t="shared" si="7"/>
        <v>0.52049999999999996</v>
      </c>
      <c r="K61" s="136">
        <f t="shared" si="2"/>
        <v>0</v>
      </c>
      <c r="L61" s="136">
        <f t="shared" si="3"/>
        <v>31.9</v>
      </c>
      <c r="M61" s="136">
        <f t="shared" si="4"/>
        <v>31.9</v>
      </c>
      <c r="O61" s="134"/>
      <c r="P61" s="259"/>
    </row>
    <row r="62" spans="1:16">
      <c r="A62" s="134">
        <v>204</v>
      </c>
      <c r="B62" s="259" t="s">
        <v>1157</v>
      </c>
      <c r="C62" s="129" t="s">
        <v>1158</v>
      </c>
      <c r="D62" s="292">
        <v>363</v>
      </c>
      <c r="E62" s="292">
        <v>0</v>
      </c>
      <c r="F62" s="139">
        <f t="shared" si="5"/>
        <v>363</v>
      </c>
      <c r="G62" s="292">
        <v>169</v>
      </c>
      <c r="H62" s="292">
        <v>0</v>
      </c>
      <c r="I62" s="139">
        <f t="shared" si="6"/>
        <v>169</v>
      </c>
      <c r="J62" s="266">
        <f t="shared" si="7"/>
        <v>0.46560000000000001</v>
      </c>
      <c r="K62" s="136">
        <f t="shared" si="2"/>
        <v>13.7</v>
      </c>
      <c r="L62" s="136">
        <f t="shared" si="3"/>
        <v>0</v>
      </c>
      <c r="M62" s="136">
        <f t="shared" si="4"/>
        <v>13.7</v>
      </c>
      <c r="O62" s="134"/>
      <c r="P62" s="259"/>
    </row>
    <row r="63" spans="1:16">
      <c r="A63" s="134">
        <v>205</v>
      </c>
      <c r="B63" s="259" t="s">
        <v>1159</v>
      </c>
      <c r="C63" s="129" t="s">
        <v>1160</v>
      </c>
      <c r="D63" s="292">
        <v>274</v>
      </c>
      <c r="E63" s="292">
        <v>0</v>
      </c>
      <c r="F63" s="139">
        <f t="shared" si="5"/>
        <v>274</v>
      </c>
      <c r="G63" s="292">
        <v>96</v>
      </c>
      <c r="H63" s="292">
        <v>0</v>
      </c>
      <c r="I63" s="139">
        <f t="shared" si="6"/>
        <v>96</v>
      </c>
      <c r="J63" s="266">
        <f t="shared" si="7"/>
        <v>0.35039999999999999</v>
      </c>
      <c r="K63" s="136">
        <f t="shared" si="2"/>
        <v>0</v>
      </c>
      <c r="L63" s="136">
        <f t="shared" si="3"/>
        <v>0</v>
      </c>
      <c r="M63" s="136">
        <f t="shared" si="4"/>
        <v>0</v>
      </c>
      <c r="O63" s="134"/>
      <c r="P63" s="259"/>
    </row>
    <row r="64" spans="1:16">
      <c r="A64" s="134">
        <v>205</v>
      </c>
      <c r="B64" s="259" t="s">
        <v>1161</v>
      </c>
      <c r="C64" s="129" t="s">
        <v>1162</v>
      </c>
      <c r="D64" s="292">
        <v>244</v>
      </c>
      <c r="E64" s="292">
        <v>0</v>
      </c>
      <c r="F64" s="139">
        <f t="shared" si="5"/>
        <v>244</v>
      </c>
      <c r="G64" s="292">
        <v>97</v>
      </c>
      <c r="H64" s="292">
        <v>0</v>
      </c>
      <c r="I64" s="139">
        <f t="shared" si="6"/>
        <v>97</v>
      </c>
      <c r="J64" s="266">
        <f t="shared" si="7"/>
        <v>0.39750000000000002</v>
      </c>
      <c r="K64" s="136">
        <f t="shared" si="2"/>
        <v>3.2</v>
      </c>
      <c r="L64" s="136">
        <f t="shared" si="3"/>
        <v>0</v>
      </c>
      <c r="M64" s="136">
        <f t="shared" si="4"/>
        <v>3.2</v>
      </c>
      <c r="O64" s="134"/>
      <c r="P64" s="259"/>
    </row>
    <row r="65" spans="1:16">
      <c r="A65" s="134">
        <v>206</v>
      </c>
      <c r="B65" s="259" t="s">
        <v>1163</v>
      </c>
      <c r="C65" s="129" t="s">
        <v>1164</v>
      </c>
      <c r="D65" s="292">
        <v>161</v>
      </c>
      <c r="E65" s="292">
        <v>0</v>
      </c>
      <c r="F65" s="139">
        <f t="shared" si="5"/>
        <v>161</v>
      </c>
      <c r="G65" s="292">
        <v>49</v>
      </c>
      <c r="H65" s="292">
        <v>0</v>
      </c>
      <c r="I65" s="139">
        <f t="shared" si="6"/>
        <v>49</v>
      </c>
      <c r="J65" s="266">
        <f t="shared" si="7"/>
        <v>0.30430000000000001</v>
      </c>
      <c r="K65" s="136">
        <f t="shared" si="2"/>
        <v>0</v>
      </c>
      <c r="L65" s="136">
        <f t="shared" si="3"/>
        <v>0</v>
      </c>
      <c r="M65" s="136">
        <f t="shared" si="4"/>
        <v>0</v>
      </c>
      <c r="O65" s="134"/>
      <c r="P65" s="259"/>
    </row>
    <row r="66" spans="1:16">
      <c r="A66" s="134">
        <v>206</v>
      </c>
      <c r="B66" s="259" t="s">
        <v>1165</v>
      </c>
      <c r="C66" s="129" t="s">
        <v>1166</v>
      </c>
      <c r="D66" s="292">
        <v>196</v>
      </c>
      <c r="E66" s="292">
        <v>0</v>
      </c>
      <c r="F66" s="139">
        <f t="shared" si="5"/>
        <v>196</v>
      </c>
      <c r="G66" s="292">
        <v>83</v>
      </c>
      <c r="H66" s="292">
        <v>0</v>
      </c>
      <c r="I66" s="139">
        <f t="shared" si="6"/>
        <v>83</v>
      </c>
      <c r="J66" s="266">
        <f t="shared" si="7"/>
        <v>0.42349999999999999</v>
      </c>
      <c r="K66" s="136">
        <f t="shared" si="2"/>
        <v>4.3</v>
      </c>
      <c r="L66" s="136">
        <f t="shared" si="3"/>
        <v>0</v>
      </c>
      <c r="M66" s="136">
        <f t="shared" si="4"/>
        <v>4.3</v>
      </c>
      <c r="O66" s="134"/>
      <c r="P66" s="259"/>
    </row>
    <row r="67" spans="1:16">
      <c r="A67" s="134">
        <v>206</v>
      </c>
      <c r="B67" s="259" t="s">
        <v>1167</v>
      </c>
      <c r="C67" s="129" t="s">
        <v>1168</v>
      </c>
      <c r="D67" s="292">
        <v>138</v>
      </c>
      <c r="E67" s="292">
        <v>0</v>
      </c>
      <c r="F67" s="139">
        <f t="shared" si="5"/>
        <v>138</v>
      </c>
      <c r="G67" s="292">
        <v>46</v>
      </c>
      <c r="H67" s="292">
        <v>0</v>
      </c>
      <c r="I67" s="139">
        <f t="shared" si="6"/>
        <v>46</v>
      </c>
      <c r="J67" s="266">
        <f t="shared" si="7"/>
        <v>0.33329999999999999</v>
      </c>
      <c r="K67" s="136">
        <f t="shared" si="2"/>
        <v>0</v>
      </c>
      <c r="L67" s="136">
        <f t="shared" si="3"/>
        <v>0</v>
      </c>
      <c r="M67" s="136">
        <f t="shared" si="4"/>
        <v>0</v>
      </c>
      <c r="O67" s="134"/>
      <c r="P67" s="259"/>
    </row>
    <row r="68" spans="1:16">
      <c r="A68" s="134">
        <v>207</v>
      </c>
      <c r="B68" s="259" t="s">
        <v>1169</v>
      </c>
      <c r="C68" s="129" t="s">
        <v>1170</v>
      </c>
      <c r="D68" s="292">
        <v>390</v>
      </c>
      <c r="E68" s="292">
        <v>0</v>
      </c>
      <c r="F68" s="139">
        <f t="shared" si="5"/>
        <v>390</v>
      </c>
      <c r="G68" s="292">
        <v>21</v>
      </c>
      <c r="H68" s="292">
        <v>0</v>
      </c>
      <c r="I68" s="139">
        <f t="shared" si="6"/>
        <v>21</v>
      </c>
      <c r="J68" s="266">
        <f t="shared" si="7"/>
        <v>5.3800000000000001E-2</v>
      </c>
      <c r="K68" s="136">
        <f t="shared" si="2"/>
        <v>0</v>
      </c>
      <c r="L68" s="136">
        <f t="shared" si="3"/>
        <v>0</v>
      </c>
      <c r="M68" s="136">
        <f t="shared" si="4"/>
        <v>0</v>
      </c>
      <c r="O68" s="134"/>
      <c r="P68" s="259"/>
    </row>
    <row r="69" spans="1:16">
      <c r="A69" s="134">
        <v>207</v>
      </c>
      <c r="B69" s="259" t="s">
        <v>1171</v>
      </c>
      <c r="C69" s="129" t="s">
        <v>1172</v>
      </c>
      <c r="D69" s="292">
        <v>290</v>
      </c>
      <c r="E69" s="292">
        <v>0</v>
      </c>
      <c r="F69" s="139">
        <f t="shared" si="5"/>
        <v>290</v>
      </c>
      <c r="G69" s="292">
        <v>18</v>
      </c>
      <c r="H69" s="292">
        <v>0</v>
      </c>
      <c r="I69" s="139">
        <f t="shared" si="6"/>
        <v>18</v>
      </c>
      <c r="J69" s="266">
        <f t="shared" si="7"/>
        <v>6.2100000000000002E-2</v>
      </c>
      <c r="K69" s="136">
        <f t="shared" ref="K69:K132" si="8">IF(AND((J69-35%)&gt;0,J69&lt;50%),I69*(J69-35%)*0.7,0)</f>
        <v>0</v>
      </c>
      <c r="L69" s="136">
        <f t="shared" ref="L69:L132" si="9">IF(J69&gt;=50%,I69*10.5%,0)</f>
        <v>0</v>
      </c>
      <c r="M69" s="136">
        <f t="shared" ref="M69:M132" si="10">MAX(K69,L69)</f>
        <v>0</v>
      </c>
      <c r="O69" s="134"/>
      <c r="P69" s="259"/>
    </row>
    <row r="70" spans="1:16">
      <c r="A70" s="134">
        <v>207</v>
      </c>
      <c r="B70" s="259" t="s">
        <v>1173</v>
      </c>
      <c r="C70" s="129" t="s">
        <v>1174</v>
      </c>
      <c r="D70" s="292">
        <v>355</v>
      </c>
      <c r="E70" s="292">
        <v>0</v>
      </c>
      <c r="F70" s="139">
        <f t="shared" ref="F70:F133" si="11">D70+E70</f>
        <v>355</v>
      </c>
      <c r="G70" s="292">
        <v>5</v>
      </c>
      <c r="H70" s="292">
        <v>0</v>
      </c>
      <c r="I70" s="139">
        <f t="shared" ref="I70:I133" si="12">G70+H70</f>
        <v>5</v>
      </c>
      <c r="J70" s="266">
        <f t="shared" ref="J70:J133" si="13">IF(ISERROR(I70/F70),0,I70/F70)</f>
        <v>1.41E-2</v>
      </c>
      <c r="K70" s="136">
        <f t="shared" si="8"/>
        <v>0</v>
      </c>
      <c r="L70" s="136">
        <f t="shared" si="9"/>
        <v>0</v>
      </c>
      <c r="M70" s="136">
        <f t="shared" si="10"/>
        <v>0</v>
      </c>
      <c r="O70" s="134"/>
      <c r="P70" s="259"/>
    </row>
    <row r="71" spans="1:16">
      <c r="A71" s="134">
        <v>207</v>
      </c>
      <c r="B71" s="259" t="s">
        <v>1175</v>
      </c>
      <c r="C71" s="129" t="s">
        <v>1176</v>
      </c>
      <c r="D71" s="292">
        <v>431</v>
      </c>
      <c r="E71" s="292">
        <v>0</v>
      </c>
      <c r="F71" s="139">
        <f t="shared" si="11"/>
        <v>431</v>
      </c>
      <c r="G71" s="292">
        <v>18</v>
      </c>
      <c r="H71" s="292">
        <v>0</v>
      </c>
      <c r="I71" s="139">
        <f t="shared" si="12"/>
        <v>18</v>
      </c>
      <c r="J71" s="266">
        <f t="shared" si="13"/>
        <v>4.1799999999999997E-2</v>
      </c>
      <c r="K71" s="136">
        <f t="shared" si="8"/>
        <v>0</v>
      </c>
      <c r="L71" s="136">
        <f t="shared" si="9"/>
        <v>0</v>
      </c>
      <c r="M71" s="136">
        <f t="shared" si="10"/>
        <v>0</v>
      </c>
      <c r="O71" s="134"/>
      <c r="P71" s="259"/>
    </row>
    <row r="72" spans="1:16">
      <c r="A72" s="134">
        <v>208</v>
      </c>
      <c r="B72" s="259" t="s">
        <v>1177</v>
      </c>
      <c r="C72" s="129" t="s">
        <v>1178</v>
      </c>
      <c r="D72" s="292">
        <v>257</v>
      </c>
      <c r="E72" s="292">
        <v>0</v>
      </c>
      <c r="F72" s="139">
        <f t="shared" si="11"/>
        <v>257</v>
      </c>
      <c r="G72" s="292">
        <v>88</v>
      </c>
      <c r="H72" s="292">
        <v>0</v>
      </c>
      <c r="I72" s="139">
        <f t="shared" si="12"/>
        <v>88</v>
      </c>
      <c r="J72" s="266">
        <f t="shared" si="13"/>
        <v>0.34239999999999998</v>
      </c>
      <c r="K72" s="136">
        <f t="shared" si="8"/>
        <v>0</v>
      </c>
      <c r="L72" s="136">
        <f t="shared" si="9"/>
        <v>0</v>
      </c>
      <c r="M72" s="136">
        <f t="shared" si="10"/>
        <v>0</v>
      </c>
      <c r="O72" s="134"/>
      <c r="P72" s="259"/>
    </row>
    <row r="73" spans="1:16">
      <c r="A73" s="134">
        <v>208</v>
      </c>
      <c r="B73" s="259" t="s">
        <v>1179</v>
      </c>
      <c r="C73" s="129" t="s">
        <v>1180</v>
      </c>
      <c r="D73" s="292">
        <v>121</v>
      </c>
      <c r="E73" s="292">
        <v>0</v>
      </c>
      <c r="F73" s="139">
        <f t="shared" si="11"/>
        <v>121</v>
      </c>
      <c r="G73" s="292">
        <v>46</v>
      </c>
      <c r="H73" s="292">
        <v>0</v>
      </c>
      <c r="I73" s="139">
        <f t="shared" si="12"/>
        <v>46</v>
      </c>
      <c r="J73" s="266">
        <f t="shared" si="13"/>
        <v>0.38019999999999998</v>
      </c>
      <c r="K73" s="136">
        <f t="shared" si="8"/>
        <v>1</v>
      </c>
      <c r="L73" s="136">
        <f t="shared" si="9"/>
        <v>0</v>
      </c>
      <c r="M73" s="136">
        <f t="shared" si="10"/>
        <v>1</v>
      </c>
      <c r="O73" s="134"/>
      <c r="P73" s="259"/>
    </row>
    <row r="74" spans="1:16">
      <c r="A74" s="134">
        <v>209</v>
      </c>
      <c r="B74" s="259" t="s">
        <v>1181</v>
      </c>
      <c r="C74" s="129" t="s">
        <v>1182</v>
      </c>
      <c r="D74" s="292">
        <v>68</v>
      </c>
      <c r="E74" s="292">
        <v>0</v>
      </c>
      <c r="F74" s="139">
        <f t="shared" si="11"/>
        <v>68</v>
      </c>
      <c r="G74" s="292">
        <v>37</v>
      </c>
      <c r="H74" s="292">
        <v>0</v>
      </c>
      <c r="I74" s="139">
        <f t="shared" si="12"/>
        <v>37</v>
      </c>
      <c r="J74" s="266">
        <f t="shared" si="13"/>
        <v>0.54410000000000003</v>
      </c>
      <c r="K74" s="136">
        <f t="shared" si="8"/>
        <v>0</v>
      </c>
      <c r="L74" s="136">
        <f t="shared" si="9"/>
        <v>3.9</v>
      </c>
      <c r="M74" s="136">
        <f t="shared" si="10"/>
        <v>3.9</v>
      </c>
      <c r="O74" s="134"/>
      <c r="P74" s="259"/>
    </row>
    <row r="75" spans="1:16">
      <c r="A75" s="134">
        <v>209</v>
      </c>
      <c r="B75" s="259" t="s">
        <v>1183</v>
      </c>
      <c r="C75" s="129" t="s">
        <v>1184</v>
      </c>
      <c r="D75" s="292">
        <v>73</v>
      </c>
      <c r="E75" s="292">
        <v>0</v>
      </c>
      <c r="F75" s="139">
        <f t="shared" si="11"/>
        <v>73</v>
      </c>
      <c r="G75" s="292">
        <v>29</v>
      </c>
      <c r="H75" s="292">
        <v>0</v>
      </c>
      <c r="I75" s="139">
        <f t="shared" si="12"/>
        <v>29</v>
      </c>
      <c r="J75" s="266">
        <f t="shared" si="13"/>
        <v>0.39729999999999999</v>
      </c>
      <c r="K75" s="136">
        <f t="shared" si="8"/>
        <v>1</v>
      </c>
      <c r="L75" s="136">
        <f t="shared" si="9"/>
        <v>0</v>
      </c>
      <c r="M75" s="136">
        <f t="shared" si="10"/>
        <v>1</v>
      </c>
      <c r="O75" s="134"/>
      <c r="P75" s="259"/>
    </row>
    <row r="76" spans="1:16">
      <c r="A76" s="134">
        <v>210</v>
      </c>
      <c r="B76" s="259" t="s">
        <v>1185</v>
      </c>
      <c r="C76" s="129" t="s">
        <v>1186</v>
      </c>
      <c r="D76" s="292">
        <v>493</v>
      </c>
      <c r="E76" s="292">
        <v>0</v>
      </c>
      <c r="F76" s="139">
        <f t="shared" si="11"/>
        <v>493</v>
      </c>
      <c r="G76" s="292">
        <v>256</v>
      </c>
      <c r="H76" s="292">
        <v>0</v>
      </c>
      <c r="I76" s="139">
        <f t="shared" si="12"/>
        <v>256</v>
      </c>
      <c r="J76" s="266">
        <f t="shared" si="13"/>
        <v>0.51929999999999998</v>
      </c>
      <c r="K76" s="136">
        <f t="shared" si="8"/>
        <v>0</v>
      </c>
      <c r="L76" s="136">
        <f t="shared" si="9"/>
        <v>26.9</v>
      </c>
      <c r="M76" s="136">
        <f t="shared" si="10"/>
        <v>26.9</v>
      </c>
      <c r="O76" s="134"/>
      <c r="P76" s="259"/>
    </row>
    <row r="77" spans="1:16">
      <c r="A77" s="134">
        <v>210</v>
      </c>
      <c r="B77" s="259" t="s">
        <v>1187</v>
      </c>
      <c r="C77" s="129" t="s">
        <v>1188</v>
      </c>
      <c r="D77" s="292">
        <v>150</v>
      </c>
      <c r="E77" s="292">
        <v>0</v>
      </c>
      <c r="F77" s="139">
        <f t="shared" si="11"/>
        <v>150</v>
      </c>
      <c r="G77" s="292">
        <v>73</v>
      </c>
      <c r="H77" s="292">
        <v>0</v>
      </c>
      <c r="I77" s="139">
        <f t="shared" si="12"/>
        <v>73</v>
      </c>
      <c r="J77" s="266">
        <f t="shared" si="13"/>
        <v>0.48670000000000002</v>
      </c>
      <c r="K77" s="136">
        <f t="shared" si="8"/>
        <v>7</v>
      </c>
      <c r="L77" s="136">
        <f t="shared" si="9"/>
        <v>0</v>
      </c>
      <c r="M77" s="136">
        <f t="shared" si="10"/>
        <v>7</v>
      </c>
      <c r="O77" s="134"/>
      <c r="P77" s="259"/>
    </row>
    <row r="78" spans="1:16">
      <c r="A78" s="134">
        <v>210</v>
      </c>
      <c r="B78" s="259" t="s">
        <v>1189</v>
      </c>
      <c r="C78" s="129" t="s">
        <v>1190</v>
      </c>
      <c r="D78" s="292">
        <v>330</v>
      </c>
      <c r="E78" s="292">
        <v>0</v>
      </c>
      <c r="F78" s="139">
        <f t="shared" si="11"/>
        <v>330</v>
      </c>
      <c r="G78" s="292">
        <v>125</v>
      </c>
      <c r="H78" s="292">
        <v>0</v>
      </c>
      <c r="I78" s="139">
        <f t="shared" si="12"/>
        <v>125</v>
      </c>
      <c r="J78" s="266">
        <f t="shared" si="13"/>
        <v>0.37880000000000003</v>
      </c>
      <c r="K78" s="136">
        <f t="shared" si="8"/>
        <v>2.5</v>
      </c>
      <c r="L78" s="136">
        <f t="shared" si="9"/>
        <v>0</v>
      </c>
      <c r="M78" s="136">
        <f t="shared" si="10"/>
        <v>2.5</v>
      </c>
      <c r="O78" s="134"/>
      <c r="P78" s="259"/>
    </row>
    <row r="79" spans="1:16">
      <c r="A79" s="134">
        <v>210</v>
      </c>
      <c r="B79" s="259" t="s">
        <v>1191</v>
      </c>
      <c r="C79" s="129" t="s">
        <v>1192</v>
      </c>
      <c r="D79" s="292">
        <v>6</v>
      </c>
      <c r="E79" s="292">
        <v>0</v>
      </c>
      <c r="F79" s="139">
        <f t="shared" si="11"/>
        <v>6</v>
      </c>
      <c r="G79" s="292">
        <v>4</v>
      </c>
      <c r="H79" s="292">
        <v>0</v>
      </c>
      <c r="I79" s="139">
        <f t="shared" si="12"/>
        <v>4</v>
      </c>
      <c r="J79" s="266">
        <f t="shared" si="13"/>
        <v>0.66669999999999996</v>
      </c>
      <c r="K79" s="136">
        <f t="shared" si="8"/>
        <v>0</v>
      </c>
      <c r="L79" s="136">
        <f t="shared" si="9"/>
        <v>0.4</v>
      </c>
      <c r="M79" s="136">
        <f t="shared" si="10"/>
        <v>0.4</v>
      </c>
      <c r="O79" s="134"/>
      <c r="P79" s="259"/>
    </row>
    <row r="80" spans="1:16">
      <c r="A80" s="134">
        <v>211</v>
      </c>
      <c r="B80" s="259" t="s">
        <v>1193</v>
      </c>
      <c r="C80" s="129" t="s">
        <v>1172</v>
      </c>
      <c r="D80" s="292">
        <v>387</v>
      </c>
      <c r="E80" s="292">
        <v>0</v>
      </c>
      <c r="F80" s="139">
        <f t="shared" si="11"/>
        <v>387</v>
      </c>
      <c r="G80" s="292">
        <v>192</v>
      </c>
      <c r="H80" s="292">
        <v>0</v>
      </c>
      <c r="I80" s="139">
        <f t="shared" si="12"/>
        <v>192</v>
      </c>
      <c r="J80" s="266">
        <f t="shared" si="13"/>
        <v>0.49609999999999999</v>
      </c>
      <c r="K80" s="136">
        <f t="shared" si="8"/>
        <v>19.600000000000001</v>
      </c>
      <c r="L80" s="136">
        <f t="shared" si="9"/>
        <v>0</v>
      </c>
      <c r="M80" s="136">
        <f t="shared" si="10"/>
        <v>19.600000000000001</v>
      </c>
      <c r="O80" s="134"/>
      <c r="P80" s="259"/>
    </row>
    <row r="81" spans="1:16">
      <c r="A81" s="134">
        <v>211</v>
      </c>
      <c r="B81" s="259" t="s">
        <v>1194</v>
      </c>
      <c r="C81" s="129" t="s">
        <v>1195</v>
      </c>
      <c r="D81" s="292">
        <v>107</v>
      </c>
      <c r="E81" s="292">
        <v>0</v>
      </c>
      <c r="F81" s="139">
        <f t="shared" si="11"/>
        <v>107</v>
      </c>
      <c r="G81" s="292">
        <v>46</v>
      </c>
      <c r="H81" s="292">
        <v>0</v>
      </c>
      <c r="I81" s="139">
        <f t="shared" si="12"/>
        <v>46</v>
      </c>
      <c r="J81" s="266">
        <f t="shared" si="13"/>
        <v>0.4299</v>
      </c>
      <c r="K81" s="136">
        <f t="shared" si="8"/>
        <v>2.6</v>
      </c>
      <c r="L81" s="136">
        <f t="shared" si="9"/>
        <v>0</v>
      </c>
      <c r="M81" s="136">
        <f t="shared" si="10"/>
        <v>2.6</v>
      </c>
      <c r="O81" s="134"/>
      <c r="P81" s="259"/>
    </row>
    <row r="82" spans="1:16">
      <c r="A82" s="134">
        <v>211</v>
      </c>
      <c r="B82" s="259" t="s">
        <v>1196</v>
      </c>
      <c r="C82" s="129" t="s">
        <v>1197</v>
      </c>
      <c r="D82" s="292">
        <v>188</v>
      </c>
      <c r="E82" s="292">
        <v>0</v>
      </c>
      <c r="F82" s="139">
        <f t="shared" si="11"/>
        <v>188</v>
      </c>
      <c r="G82" s="292">
        <v>66</v>
      </c>
      <c r="H82" s="292">
        <v>0</v>
      </c>
      <c r="I82" s="139">
        <f t="shared" si="12"/>
        <v>66</v>
      </c>
      <c r="J82" s="266">
        <f t="shared" si="13"/>
        <v>0.35110000000000002</v>
      </c>
      <c r="K82" s="136">
        <f t="shared" si="8"/>
        <v>0.1</v>
      </c>
      <c r="L82" s="136">
        <f t="shared" si="9"/>
        <v>0</v>
      </c>
      <c r="M82" s="136">
        <f t="shared" si="10"/>
        <v>0.1</v>
      </c>
      <c r="O82" s="134"/>
      <c r="P82" s="259"/>
    </row>
    <row r="83" spans="1:16">
      <c r="A83" s="134">
        <v>212</v>
      </c>
      <c r="B83" s="259" t="s">
        <v>1198</v>
      </c>
      <c r="C83" s="129" t="s">
        <v>1199</v>
      </c>
      <c r="D83" s="292">
        <v>74</v>
      </c>
      <c r="E83" s="292">
        <v>0</v>
      </c>
      <c r="F83" s="139">
        <f t="shared" si="11"/>
        <v>74</v>
      </c>
      <c r="G83" s="292">
        <v>47</v>
      </c>
      <c r="H83" s="292">
        <v>0</v>
      </c>
      <c r="I83" s="139">
        <f t="shared" si="12"/>
        <v>47</v>
      </c>
      <c r="J83" s="266">
        <f t="shared" si="13"/>
        <v>0.6351</v>
      </c>
      <c r="K83" s="136">
        <f t="shared" si="8"/>
        <v>0</v>
      </c>
      <c r="L83" s="136">
        <f t="shared" si="9"/>
        <v>4.9000000000000004</v>
      </c>
      <c r="M83" s="136">
        <f t="shared" si="10"/>
        <v>4.9000000000000004</v>
      </c>
      <c r="O83" s="134"/>
      <c r="P83" s="259"/>
    </row>
    <row r="84" spans="1:16">
      <c r="A84" s="134">
        <v>212</v>
      </c>
      <c r="B84" s="259" t="s">
        <v>1200</v>
      </c>
      <c r="C84" s="129" t="s">
        <v>1201</v>
      </c>
      <c r="D84" s="292">
        <v>43</v>
      </c>
      <c r="E84" s="292">
        <v>0</v>
      </c>
      <c r="F84" s="139">
        <f t="shared" si="11"/>
        <v>43</v>
      </c>
      <c r="G84" s="292">
        <v>12</v>
      </c>
      <c r="H84" s="292">
        <v>0</v>
      </c>
      <c r="I84" s="139">
        <f t="shared" si="12"/>
        <v>12</v>
      </c>
      <c r="J84" s="266">
        <f t="shared" si="13"/>
        <v>0.27910000000000001</v>
      </c>
      <c r="K84" s="136">
        <f t="shared" si="8"/>
        <v>0</v>
      </c>
      <c r="L84" s="136">
        <f t="shared" si="9"/>
        <v>0</v>
      </c>
      <c r="M84" s="136">
        <f t="shared" si="10"/>
        <v>0</v>
      </c>
      <c r="O84" s="134"/>
      <c r="P84" s="259"/>
    </row>
    <row r="85" spans="1:16">
      <c r="A85" s="134">
        <v>212</v>
      </c>
      <c r="B85" s="259" t="s">
        <v>1202</v>
      </c>
      <c r="C85" s="129" t="s">
        <v>1203</v>
      </c>
      <c r="D85" s="292">
        <v>38</v>
      </c>
      <c r="E85" s="292">
        <v>0</v>
      </c>
      <c r="F85" s="139">
        <f t="shared" si="11"/>
        <v>38</v>
      </c>
      <c r="G85" s="292">
        <v>22</v>
      </c>
      <c r="H85" s="292">
        <v>0</v>
      </c>
      <c r="I85" s="139">
        <f t="shared" si="12"/>
        <v>22</v>
      </c>
      <c r="J85" s="266">
        <f t="shared" si="13"/>
        <v>0.57889999999999997</v>
      </c>
      <c r="K85" s="136">
        <f t="shared" si="8"/>
        <v>0</v>
      </c>
      <c r="L85" s="136">
        <f t="shared" si="9"/>
        <v>2.2999999999999998</v>
      </c>
      <c r="M85" s="136">
        <f t="shared" si="10"/>
        <v>2.2999999999999998</v>
      </c>
      <c r="O85" s="134"/>
      <c r="P85" s="259"/>
    </row>
    <row r="86" spans="1:16">
      <c r="A86" s="134">
        <v>214</v>
      </c>
      <c r="B86" s="259" t="s">
        <v>1204</v>
      </c>
      <c r="C86" s="129" t="s">
        <v>1205</v>
      </c>
      <c r="D86" s="292">
        <v>316</v>
      </c>
      <c r="E86" s="292">
        <v>0</v>
      </c>
      <c r="F86" s="139">
        <f t="shared" si="11"/>
        <v>316</v>
      </c>
      <c r="G86" s="292">
        <v>210</v>
      </c>
      <c r="H86" s="292">
        <v>0</v>
      </c>
      <c r="I86" s="139">
        <f t="shared" si="12"/>
        <v>210</v>
      </c>
      <c r="J86" s="266">
        <f t="shared" si="13"/>
        <v>0.66459999999999997</v>
      </c>
      <c r="K86" s="136">
        <f t="shared" si="8"/>
        <v>0</v>
      </c>
      <c r="L86" s="136">
        <f t="shared" si="9"/>
        <v>22.1</v>
      </c>
      <c r="M86" s="136">
        <f t="shared" si="10"/>
        <v>22.1</v>
      </c>
      <c r="O86" s="134"/>
      <c r="P86" s="259"/>
    </row>
    <row r="87" spans="1:16">
      <c r="A87" s="134">
        <v>214</v>
      </c>
      <c r="B87" s="259" t="s">
        <v>1206</v>
      </c>
      <c r="C87" s="129" t="s">
        <v>1207</v>
      </c>
      <c r="D87" s="292">
        <v>318</v>
      </c>
      <c r="E87" s="292">
        <v>0</v>
      </c>
      <c r="F87" s="139">
        <f t="shared" si="11"/>
        <v>318</v>
      </c>
      <c r="G87" s="292">
        <v>209</v>
      </c>
      <c r="H87" s="292">
        <v>0</v>
      </c>
      <c r="I87" s="139">
        <f t="shared" si="12"/>
        <v>209</v>
      </c>
      <c r="J87" s="266">
        <f t="shared" si="13"/>
        <v>0.65720000000000001</v>
      </c>
      <c r="K87" s="136">
        <f t="shared" si="8"/>
        <v>0</v>
      </c>
      <c r="L87" s="136">
        <f t="shared" si="9"/>
        <v>21.9</v>
      </c>
      <c r="M87" s="136">
        <f t="shared" si="10"/>
        <v>21.9</v>
      </c>
      <c r="O87" s="134"/>
      <c r="P87" s="259"/>
    </row>
    <row r="88" spans="1:16">
      <c r="A88" s="134">
        <v>214</v>
      </c>
      <c r="B88" s="259" t="s">
        <v>1208</v>
      </c>
      <c r="C88" s="129" t="s">
        <v>1209</v>
      </c>
      <c r="D88" s="292">
        <v>445</v>
      </c>
      <c r="E88" s="292">
        <v>0</v>
      </c>
      <c r="F88" s="139">
        <f t="shared" si="11"/>
        <v>445</v>
      </c>
      <c r="G88" s="292">
        <v>263</v>
      </c>
      <c r="H88" s="292">
        <v>0</v>
      </c>
      <c r="I88" s="139">
        <f t="shared" si="12"/>
        <v>263</v>
      </c>
      <c r="J88" s="266">
        <f t="shared" si="13"/>
        <v>0.59099999999999997</v>
      </c>
      <c r="K88" s="136">
        <f t="shared" si="8"/>
        <v>0</v>
      </c>
      <c r="L88" s="136">
        <f t="shared" si="9"/>
        <v>27.6</v>
      </c>
      <c r="M88" s="136">
        <f t="shared" si="10"/>
        <v>27.6</v>
      </c>
      <c r="O88" s="134"/>
      <c r="P88" s="259"/>
    </row>
    <row r="89" spans="1:16">
      <c r="A89" s="134">
        <v>214</v>
      </c>
      <c r="B89" s="259" t="s">
        <v>1210</v>
      </c>
      <c r="C89" s="129" t="s">
        <v>1211</v>
      </c>
      <c r="D89" s="292">
        <v>361</v>
      </c>
      <c r="E89" s="292">
        <v>0</v>
      </c>
      <c r="F89" s="139">
        <f t="shared" si="11"/>
        <v>361</v>
      </c>
      <c r="G89" s="292">
        <v>169</v>
      </c>
      <c r="H89" s="292">
        <v>0</v>
      </c>
      <c r="I89" s="139">
        <f t="shared" si="12"/>
        <v>169</v>
      </c>
      <c r="J89" s="266">
        <f t="shared" si="13"/>
        <v>0.46810000000000002</v>
      </c>
      <c r="K89" s="136">
        <f t="shared" si="8"/>
        <v>14</v>
      </c>
      <c r="L89" s="136">
        <f t="shared" si="9"/>
        <v>0</v>
      </c>
      <c r="M89" s="136">
        <f t="shared" si="10"/>
        <v>14</v>
      </c>
      <c r="O89" s="134"/>
      <c r="P89" s="259"/>
    </row>
    <row r="90" spans="1:16">
      <c r="A90" s="134">
        <v>214</v>
      </c>
      <c r="B90" s="259" t="s">
        <v>3971</v>
      </c>
      <c r="C90" s="129" t="s">
        <v>3972</v>
      </c>
      <c r="D90" s="292">
        <v>16</v>
      </c>
      <c r="E90" s="292">
        <v>0</v>
      </c>
      <c r="F90" s="139">
        <f t="shared" si="11"/>
        <v>16</v>
      </c>
      <c r="G90" s="292">
        <v>0</v>
      </c>
      <c r="H90" s="292">
        <v>0</v>
      </c>
      <c r="I90" s="139">
        <f t="shared" si="12"/>
        <v>0</v>
      </c>
      <c r="J90" s="266">
        <f t="shared" si="13"/>
        <v>0</v>
      </c>
      <c r="K90" s="136">
        <f t="shared" si="8"/>
        <v>0</v>
      </c>
      <c r="L90" s="136">
        <f t="shared" si="9"/>
        <v>0</v>
      </c>
      <c r="M90" s="136">
        <f t="shared" si="10"/>
        <v>0</v>
      </c>
      <c r="O90" s="134"/>
      <c r="P90" s="259"/>
    </row>
    <row r="91" spans="1:16">
      <c r="A91" s="134">
        <v>215</v>
      </c>
      <c r="B91" s="259" t="s">
        <v>1212</v>
      </c>
      <c r="C91" s="129" t="s">
        <v>1213</v>
      </c>
      <c r="D91" s="292">
        <v>249</v>
      </c>
      <c r="E91" s="292">
        <v>0</v>
      </c>
      <c r="F91" s="139">
        <f t="shared" si="11"/>
        <v>249</v>
      </c>
      <c r="G91" s="292">
        <v>117</v>
      </c>
      <c r="H91" s="292">
        <v>0</v>
      </c>
      <c r="I91" s="139">
        <f t="shared" si="12"/>
        <v>117</v>
      </c>
      <c r="J91" s="266">
        <f t="shared" si="13"/>
        <v>0.46989999999999998</v>
      </c>
      <c r="K91" s="136">
        <f t="shared" si="8"/>
        <v>9.8000000000000007</v>
      </c>
      <c r="L91" s="136">
        <f t="shared" si="9"/>
        <v>0</v>
      </c>
      <c r="M91" s="136">
        <f t="shared" si="10"/>
        <v>9.8000000000000007</v>
      </c>
      <c r="O91" s="134"/>
      <c r="P91" s="259"/>
    </row>
    <row r="92" spans="1:16">
      <c r="A92" s="134">
        <v>215</v>
      </c>
      <c r="B92" s="259" t="s">
        <v>1214</v>
      </c>
      <c r="C92" s="129" t="s">
        <v>1215</v>
      </c>
      <c r="D92" s="292">
        <v>186</v>
      </c>
      <c r="E92" s="292">
        <v>0</v>
      </c>
      <c r="F92" s="139">
        <f t="shared" si="11"/>
        <v>186</v>
      </c>
      <c r="G92" s="292">
        <v>91</v>
      </c>
      <c r="H92" s="292">
        <v>0</v>
      </c>
      <c r="I92" s="139">
        <f t="shared" si="12"/>
        <v>91</v>
      </c>
      <c r="J92" s="266">
        <f t="shared" si="13"/>
        <v>0.48920000000000002</v>
      </c>
      <c r="K92" s="136">
        <f t="shared" si="8"/>
        <v>8.9</v>
      </c>
      <c r="L92" s="136">
        <f t="shared" si="9"/>
        <v>0</v>
      </c>
      <c r="M92" s="136">
        <f t="shared" si="10"/>
        <v>8.9</v>
      </c>
      <c r="O92" s="134"/>
      <c r="P92" s="259"/>
    </row>
    <row r="93" spans="1:16">
      <c r="A93" s="134">
        <v>215</v>
      </c>
      <c r="B93" s="259" t="s">
        <v>1216</v>
      </c>
      <c r="C93" s="129" t="s">
        <v>1217</v>
      </c>
      <c r="D93" s="292">
        <v>198</v>
      </c>
      <c r="E93" s="292">
        <v>0</v>
      </c>
      <c r="F93" s="139">
        <f t="shared" si="11"/>
        <v>198</v>
      </c>
      <c r="G93" s="292">
        <v>105</v>
      </c>
      <c r="H93" s="292">
        <v>0</v>
      </c>
      <c r="I93" s="139">
        <f t="shared" si="12"/>
        <v>105</v>
      </c>
      <c r="J93" s="266">
        <f t="shared" si="13"/>
        <v>0.53029999999999999</v>
      </c>
      <c r="K93" s="136">
        <f t="shared" si="8"/>
        <v>0</v>
      </c>
      <c r="L93" s="136">
        <f t="shared" si="9"/>
        <v>11</v>
      </c>
      <c r="M93" s="136">
        <f t="shared" si="10"/>
        <v>11</v>
      </c>
      <c r="O93" s="134"/>
      <c r="P93" s="259"/>
    </row>
    <row r="94" spans="1:16">
      <c r="A94" s="134">
        <v>216</v>
      </c>
      <c r="B94" s="259" t="s">
        <v>1218</v>
      </c>
      <c r="C94" s="129" t="s">
        <v>1219</v>
      </c>
      <c r="D94" s="292">
        <v>132</v>
      </c>
      <c r="E94" s="292">
        <v>0</v>
      </c>
      <c r="F94" s="139">
        <f t="shared" si="11"/>
        <v>132</v>
      </c>
      <c r="G94" s="292">
        <v>83</v>
      </c>
      <c r="H94" s="292">
        <v>0</v>
      </c>
      <c r="I94" s="139">
        <f t="shared" si="12"/>
        <v>83</v>
      </c>
      <c r="J94" s="266">
        <f t="shared" si="13"/>
        <v>0.62880000000000003</v>
      </c>
      <c r="K94" s="136">
        <f t="shared" si="8"/>
        <v>0</v>
      </c>
      <c r="L94" s="136">
        <f t="shared" si="9"/>
        <v>8.6999999999999993</v>
      </c>
      <c r="M94" s="136">
        <f t="shared" si="10"/>
        <v>8.6999999999999993</v>
      </c>
      <c r="O94" s="134"/>
      <c r="P94" s="259"/>
    </row>
    <row r="95" spans="1:16">
      <c r="A95" s="134">
        <v>216</v>
      </c>
      <c r="B95" s="259" t="s">
        <v>1220</v>
      </c>
      <c r="C95" s="129" t="s">
        <v>1221</v>
      </c>
      <c r="D95" s="292">
        <v>49</v>
      </c>
      <c r="E95" s="292">
        <v>0</v>
      </c>
      <c r="F95" s="139">
        <f t="shared" si="11"/>
        <v>49</v>
      </c>
      <c r="G95" s="292">
        <v>32</v>
      </c>
      <c r="H95" s="292">
        <v>0</v>
      </c>
      <c r="I95" s="139">
        <f t="shared" si="12"/>
        <v>32</v>
      </c>
      <c r="J95" s="266">
        <f t="shared" si="13"/>
        <v>0.65310000000000001</v>
      </c>
      <c r="K95" s="136">
        <f t="shared" si="8"/>
        <v>0</v>
      </c>
      <c r="L95" s="136">
        <f t="shared" si="9"/>
        <v>3.4</v>
      </c>
      <c r="M95" s="136">
        <f t="shared" si="10"/>
        <v>3.4</v>
      </c>
      <c r="O95" s="134"/>
      <c r="P95" s="259"/>
    </row>
    <row r="96" spans="1:16">
      <c r="A96" s="134">
        <v>216</v>
      </c>
      <c r="B96" s="259" t="s">
        <v>1222</v>
      </c>
      <c r="C96" s="129" t="s">
        <v>1223</v>
      </c>
      <c r="D96" s="292">
        <v>65</v>
      </c>
      <c r="E96" s="292">
        <v>0</v>
      </c>
      <c r="F96" s="139">
        <f t="shared" si="11"/>
        <v>65</v>
      </c>
      <c r="G96" s="292">
        <v>37</v>
      </c>
      <c r="H96" s="292">
        <v>0</v>
      </c>
      <c r="I96" s="139">
        <f t="shared" si="12"/>
        <v>37</v>
      </c>
      <c r="J96" s="266">
        <f t="shared" si="13"/>
        <v>0.56920000000000004</v>
      </c>
      <c r="K96" s="136">
        <f t="shared" si="8"/>
        <v>0</v>
      </c>
      <c r="L96" s="136">
        <f t="shared" si="9"/>
        <v>3.9</v>
      </c>
      <c r="M96" s="136">
        <f t="shared" si="10"/>
        <v>3.9</v>
      </c>
      <c r="O96" s="134"/>
      <c r="P96" s="259"/>
    </row>
    <row r="97" spans="1:16">
      <c r="A97" s="134">
        <v>217</v>
      </c>
      <c r="B97" s="259" t="s">
        <v>1224</v>
      </c>
      <c r="C97" s="129" t="s">
        <v>1225</v>
      </c>
      <c r="D97" s="292">
        <v>48</v>
      </c>
      <c r="E97" s="292">
        <v>0</v>
      </c>
      <c r="F97" s="139">
        <f t="shared" si="11"/>
        <v>48</v>
      </c>
      <c r="G97" s="292">
        <v>34</v>
      </c>
      <c r="H97" s="292">
        <v>0</v>
      </c>
      <c r="I97" s="139">
        <f t="shared" si="12"/>
        <v>34</v>
      </c>
      <c r="J97" s="266">
        <f t="shared" si="13"/>
        <v>0.70830000000000004</v>
      </c>
      <c r="K97" s="136">
        <f t="shared" si="8"/>
        <v>0</v>
      </c>
      <c r="L97" s="136">
        <f t="shared" si="9"/>
        <v>3.6</v>
      </c>
      <c r="M97" s="136">
        <f t="shared" si="10"/>
        <v>3.6</v>
      </c>
      <c r="O97" s="134"/>
      <c r="P97" s="259"/>
    </row>
    <row r="98" spans="1:16">
      <c r="A98" s="134">
        <v>217</v>
      </c>
      <c r="B98" s="259" t="s">
        <v>1226</v>
      </c>
      <c r="C98" s="129" t="s">
        <v>1227</v>
      </c>
      <c r="D98" s="292">
        <v>42</v>
      </c>
      <c r="E98" s="292">
        <v>0</v>
      </c>
      <c r="F98" s="139">
        <f t="shared" si="11"/>
        <v>42</v>
      </c>
      <c r="G98" s="292">
        <v>23</v>
      </c>
      <c r="H98" s="292">
        <v>0</v>
      </c>
      <c r="I98" s="139">
        <f t="shared" si="12"/>
        <v>23</v>
      </c>
      <c r="J98" s="266">
        <f t="shared" si="13"/>
        <v>0.54759999999999998</v>
      </c>
      <c r="K98" s="136">
        <f t="shared" si="8"/>
        <v>0</v>
      </c>
      <c r="L98" s="136">
        <f t="shared" si="9"/>
        <v>2.4</v>
      </c>
      <c r="M98" s="136">
        <f t="shared" si="10"/>
        <v>2.4</v>
      </c>
      <c r="O98" s="134"/>
      <c r="P98" s="259"/>
    </row>
    <row r="99" spans="1:16">
      <c r="A99" s="134">
        <v>218</v>
      </c>
      <c r="B99" s="259" t="s">
        <v>1228</v>
      </c>
      <c r="C99" s="129" t="s">
        <v>1229</v>
      </c>
      <c r="D99" s="292">
        <v>87</v>
      </c>
      <c r="E99" s="292">
        <v>0</v>
      </c>
      <c r="F99" s="139">
        <f t="shared" si="11"/>
        <v>87</v>
      </c>
      <c r="G99" s="292">
        <v>43</v>
      </c>
      <c r="H99" s="292">
        <v>0</v>
      </c>
      <c r="I99" s="139">
        <f t="shared" si="12"/>
        <v>43</v>
      </c>
      <c r="J99" s="266">
        <f t="shared" si="13"/>
        <v>0.49430000000000002</v>
      </c>
      <c r="K99" s="136">
        <f t="shared" si="8"/>
        <v>4.3</v>
      </c>
      <c r="L99" s="136">
        <f t="shared" si="9"/>
        <v>0</v>
      </c>
      <c r="M99" s="136">
        <f t="shared" si="10"/>
        <v>4.3</v>
      </c>
      <c r="O99" s="134"/>
      <c r="P99" s="259"/>
    </row>
    <row r="100" spans="1:16">
      <c r="A100" s="134">
        <v>218</v>
      </c>
      <c r="B100" s="259" t="s">
        <v>1230</v>
      </c>
      <c r="C100" s="129" t="s">
        <v>1231</v>
      </c>
      <c r="D100" s="292">
        <v>179</v>
      </c>
      <c r="E100" s="292">
        <v>0</v>
      </c>
      <c r="F100" s="139">
        <f t="shared" si="11"/>
        <v>179</v>
      </c>
      <c r="G100" s="292">
        <v>106</v>
      </c>
      <c r="H100" s="292">
        <v>0</v>
      </c>
      <c r="I100" s="139">
        <f t="shared" si="12"/>
        <v>106</v>
      </c>
      <c r="J100" s="266">
        <f t="shared" si="13"/>
        <v>0.59219999999999995</v>
      </c>
      <c r="K100" s="136">
        <f t="shared" si="8"/>
        <v>0</v>
      </c>
      <c r="L100" s="136">
        <f t="shared" si="9"/>
        <v>11.1</v>
      </c>
      <c r="M100" s="136">
        <f t="shared" si="10"/>
        <v>11.1</v>
      </c>
      <c r="O100" s="134"/>
      <c r="P100" s="259"/>
    </row>
    <row r="101" spans="1:16">
      <c r="A101" s="134">
        <v>218</v>
      </c>
      <c r="B101" s="259" t="s">
        <v>1232</v>
      </c>
      <c r="C101" s="129" t="s">
        <v>1233</v>
      </c>
      <c r="D101" s="292">
        <v>107</v>
      </c>
      <c r="E101" s="292">
        <v>0</v>
      </c>
      <c r="F101" s="139">
        <f t="shared" si="11"/>
        <v>107</v>
      </c>
      <c r="G101" s="292">
        <v>43</v>
      </c>
      <c r="H101" s="292">
        <v>0</v>
      </c>
      <c r="I101" s="139">
        <f t="shared" si="12"/>
        <v>43</v>
      </c>
      <c r="J101" s="266">
        <f t="shared" si="13"/>
        <v>0.40189999999999998</v>
      </c>
      <c r="K101" s="136">
        <f t="shared" si="8"/>
        <v>1.6</v>
      </c>
      <c r="L101" s="136">
        <f t="shared" si="9"/>
        <v>0</v>
      </c>
      <c r="M101" s="136">
        <f t="shared" si="10"/>
        <v>1.6</v>
      </c>
      <c r="O101" s="134"/>
      <c r="P101" s="259"/>
    </row>
    <row r="102" spans="1:16">
      <c r="A102" s="134">
        <v>218</v>
      </c>
      <c r="B102" s="259" t="s">
        <v>3973</v>
      </c>
      <c r="C102" s="129" t="s">
        <v>3974</v>
      </c>
      <c r="D102" s="292">
        <v>0</v>
      </c>
      <c r="E102" s="292">
        <v>0</v>
      </c>
      <c r="F102" s="139">
        <f t="shared" si="11"/>
        <v>0</v>
      </c>
      <c r="G102" s="292">
        <v>0</v>
      </c>
      <c r="H102" s="292">
        <v>0</v>
      </c>
      <c r="I102" s="139">
        <f t="shared" si="12"/>
        <v>0</v>
      </c>
      <c r="J102" s="266">
        <f t="shared" si="13"/>
        <v>0</v>
      </c>
      <c r="K102" s="136">
        <f t="shared" si="8"/>
        <v>0</v>
      </c>
      <c r="L102" s="136">
        <f t="shared" si="9"/>
        <v>0</v>
      </c>
      <c r="M102" s="136">
        <f t="shared" si="10"/>
        <v>0</v>
      </c>
      <c r="O102" s="134"/>
      <c r="P102" s="259"/>
    </row>
    <row r="103" spans="1:16">
      <c r="A103" s="134">
        <v>218</v>
      </c>
      <c r="B103" s="259" t="s">
        <v>1234</v>
      </c>
      <c r="C103" s="129" t="s">
        <v>1235</v>
      </c>
      <c r="D103" s="292">
        <v>23</v>
      </c>
      <c r="E103" s="292">
        <v>0</v>
      </c>
      <c r="F103" s="139">
        <f t="shared" si="11"/>
        <v>23</v>
      </c>
      <c r="G103" s="292">
        <v>2</v>
      </c>
      <c r="H103" s="292">
        <v>0</v>
      </c>
      <c r="I103" s="139">
        <f t="shared" si="12"/>
        <v>2</v>
      </c>
      <c r="J103" s="266">
        <f t="shared" si="13"/>
        <v>8.6999999999999994E-2</v>
      </c>
      <c r="K103" s="136">
        <f t="shared" si="8"/>
        <v>0</v>
      </c>
      <c r="L103" s="136">
        <f t="shared" si="9"/>
        <v>0</v>
      </c>
      <c r="M103" s="136">
        <f t="shared" si="10"/>
        <v>0</v>
      </c>
      <c r="O103" s="134"/>
      <c r="P103" s="259"/>
    </row>
    <row r="104" spans="1:16">
      <c r="A104" s="134">
        <v>219</v>
      </c>
      <c r="B104" s="259" t="s">
        <v>1236</v>
      </c>
      <c r="C104" s="129" t="s">
        <v>1237</v>
      </c>
      <c r="D104" s="292">
        <v>166</v>
      </c>
      <c r="E104" s="292">
        <v>0</v>
      </c>
      <c r="F104" s="139">
        <f t="shared" si="11"/>
        <v>166</v>
      </c>
      <c r="G104" s="292">
        <v>72</v>
      </c>
      <c r="H104" s="292">
        <v>0</v>
      </c>
      <c r="I104" s="139">
        <f t="shared" si="12"/>
        <v>72</v>
      </c>
      <c r="J104" s="266">
        <f t="shared" si="13"/>
        <v>0.43369999999999997</v>
      </c>
      <c r="K104" s="136">
        <f t="shared" si="8"/>
        <v>4.2</v>
      </c>
      <c r="L104" s="136">
        <f t="shared" si="9"/>
        <v>0</v>
      </c>
      <c r="M104" s="136">
        <f t="shared" si="10"/>
        <v>4.2</v>
      </c>
      <c r="O104" s="134"/>
      <c r="P104" s="259"/>
    </row>
    <row r="105" spans="1:16">
      <c r="A105" s="134">
        <v>219</v>
      </c>
      <c r="B105" s="259" t="s">
        <v>1238</v>
      </c>
      <c r="C105" s="129" t="s">
        <v>1239</v>
      </c>
      <c r="D105" s="292">
        <v>73</v>
      </c>
      <c r="E105" s="292">
        <v>0</v>
      </c>
      <c r="F105" s="139">
        <f t="shared" si="11"/>
        <v>73</v>
      </c>
      <c r="G105" s="292">
        <v>36</v>
      </c>
      <c r="H105" s="292">
        <v>0</v>
      </c>
      <c r="I105" s="139">
        <f t="shared" si="12"/>
        <v>36</v>
      </c>
      <c r="J105" s="266">
        <f t="shared" si="13"/>
        <v>0.49320000000000003</v>
      </c>
      <c r="K105" s="136">
        <f t="shared" si="8"/>
        <v>3.6</v>
      </c>
      <c r="L105" s="136">
        <f t="shared" si="9"/>
        <v>0</v>
      </c>
      <c r="M105" s="136">
        <f t="shared" si="10"/>
        <v>3.6</v>
      </c>
      <c r="O105" s="134"/>
      <c r="P105" s="259"/>
    </row>
    <row r="106" spans="1:16">
      <c r="A106" s="134">
        <v>220</v>
      </c>
      <c r="B106" s="259" t="s">
        <v>1240</v>
      </c>
      <c r="C106" s="129" t="s">
        <v>1241</v>
      </c>
      <c r="D106" s="292">
        <v>75</v>
      </c>
      <c r="E106" s="292">
        <v>0</v>
      </c>
      <c r="F106" s="139">
        <f t="shared" si="11"/>
        <v>75</v>
      </c>
      <c r="G106" s="292">
        <v>18</v>
      </c>
      <c r="H106" s="292">
        <v>0</v>
      </c>
      <c r="I106" s="139">
        <f t="shared" si="12"/>
        <v>18</v>
      </c>
      <c r="J106" s="266">
        <f t="shared" si="13"/>
        <v>0.24</v>
      </c>
      <c r="K106" s="136">
        <f t="shared" si="8"/>
        <v>0</v>
      </c>
      <c r="L106" s="136">
        <f t="shared" si="9"/>
        <v>0</v>
      </c>
      <c r="M106" s="136">
        <f t="shared" si="10"/>
        <v>0</v>
      </c>
      <c r="O106" s="134"/>
      <c r="P106" s="259"/>
    </row>
    <row r="107" spans="1:16">
      <c r="A107" s="134">
        <v>220</v>
      </c>
      <c r="B107" s="259" t="s">
        <v>1242</v>
      </c>
      <c r="C107" s="129" t="s">
        <v>1243</v>
      </c>
      <c r="D107" s="292">
        <v>43</v>
      </c>
      <c r="E107" s="292">
        <v>0</v>
      </c>
      <c r="F107" s="139">
        <f t="shared" si="11"/>
        <v>43</v>
      </c>
      <c r="G107" s="292">
        <v>6</v>
      </c>
      <c r="H107" s="292">
        <v>0</v>
      </c>
      <c r="I107" s="139">
        <f t="shared" si="12"/>
        <v>6</v>
      </c>
      <c r="J107" s="266">
        <f t="shared" si="13"/>
        <v>0.13950000000000001</v>
      </c>
      <c r="K107" s="136">
        <f t="shared" si="8"/>
        <v>0</v>
      </c>
      <c r="L107" s="136">
        <f t="shared" si="9"/>
        <v>0</v>
      </c>
      <c r="M107" s="136">
        <f t="shared" si="10"/>
        <v>0</v>
      </c>
      <c r="O107" s="134"/>
      <c r="P107" s="259"/>
    </row>
    <row r="108" spans="1:16">
      <c r="A108" s="134">
        <v>220</v>
      </c>
      <c r="B108" s="259" t="s">
        <v>1244</v>
      </c>
      <c r="C108" s="129" t="s">
        <v>1245</v>
      </c>
      <c r="D108" s="292">
        <v>74</v>
      </c>
      <c r="E108" s="292">
        <v>0</v>
      </c>
      <c r="F108" s="139">
        <f t="shared" si="11"/>
        <v>74</v>
      </c>
      <c r="G108" s="292">
        <v>13</v>
      </c>
      <c r="H108" s="292">
        <v>0</v>
      </c>
      <c r="I108" s="139">
        <f t="shared" si="12"/>
        <v>13</v>
      </c>
      <c r="J108" s="266">
        <f t="shared" si="13"/>
        <v>0.1757</v>
      </c>
      <c r="K108" s="136">
        <f t="shared" si="8"/>
        <v>0</v>
      </c>
      <c r="L108" s="136">
        <f t="shared" si="9"/>
        <v>0</v>
      </c>
      <c r="M108" s="136">
        <f t="shared" si="10"/>
        <v>0</v>
      </c>
      <c r="O108" s="134"/>
      <c r="P108" s="259"/>
    </row>
    <row r="109" spans="1:16">
      <c r="A109" s="134">
        <v>223</v>
      </c>
      <c r="B109" s="259" t="s">
        <v>1246</v>
      </c>
      <c r="C109" s="129" t="s">
        <v>1247</v>
      </c>
      <c r="D109" s="292">
        <v>217</v>
      </c>
      <c r="E109" s="292">
        <v>0</v>
      </c>
      <c r="F109" s="139">
        <f t="shared" si="11"/>
        <v>217</v>
      </c>
      <c r="G109" s="292">
        <v>26</v>
      </c>
      <c r="H109" s="292">
        <v>0</v>
      </c>
      <c r="I109" s="139">
        <f t="shared" si="12"/>
        <v>26</v>
      </c>
      <c r="J109" s="266">
        <f t="shared" si="13"/>
        <v>0.1198</v>
      </c>
      <c r="K109" s="136">
        <f t="shared" si="8"/>
        <v>0</v>
      </c>
      <c r="L109" s="136">
        <f t="shared" si="9"/>
        <v>0</v>
      </c>
      <c r="M109" s="136">
        <f t="shared" si="10"/>
        <v>0</v>
      </c>
      <c r="O109" s="134"/>
      <c r="P109" s="259"/>
    </row>
    <row r="110" spans="1:16">
      <c r="A110" s="134">
        <v>223</v>
      </c>
      <c r="B110" s="259" t="s">
        <v>1248</v>
      </c>
      <c r="C110" s="129" t="s">
        <v>1249</v>
      </c>
      <c r="D110" s="292">
        <v>55</v>
      </c>
      <c r="E110" s="292">
        <v>0</v>
      </c>
      <c r="F110" s="139">
        <f t="shared" si="11"/>
        <v>55</v>
      </c>
      <c r="G110" s="292">
        <v>9</v>
      </c>
      <c r="H110" s="292">
        <v>0</v>
      </c>
      <c r="I110" s="139">
        <f t="shared" si="12"/>
        <v>9</v>
      </c>
      <c r="J110" s="266">
        <f t="shared" si="13"/>
        <v>0.1636</v>
      </c>
      <c r="K110" s="136">
        <f t="shared" si="8"/>
        <v>0</v>
      </c>
      <c r="L110" s="136">
        <f t="shared" si="9"/>
        <v>0</v>
      </c>
      <c r="M110" s="136">
        <f t="shared" si="10"/>
        <v>0</v>
      </c>
      <c r="O110" s="134"/>
      <c r="P110" s="259"/>
    </row>
    <row r="111" spans="1:16">
      <c r="A111" s="134">
        <v>223</v>
      </c>
      <c r="B111" s="259" t="s">
        <v>1250</v>
      </c>
      <c r="C111" s="129" t="s">
        <v>1251</v>
      </c>
      <c r="D111" s="292">
        <v>173</v>
      </c>
      <c r="E111" s="292">
        <v>0</v>
      </c>
      <c r="F111" s="139">
        <f t="shared" si="11"/>
        <v>173</v>
      </c>
      <c r="G111" s="292">
        <v>57</v>
      </c>
      <c r="H111" s="292">
        <v>0</v>
      </c>
      <c r="I111" s="139">
        <f t="shared" si="12"/>
        <v>57</v>
      </c>
      <c r="J111" s="266">
        <f t="shared" si="13"/>
        <v>0.32950000000000002</v>
      </c>
      <c r="K111" s="136">
        <f t="shared" si="8"/>
        <v>0</v>
      </c>
      <c r="L111" s="136">
        <f t="shared" si="9"/>
        <v>0</v>
      </c>
      <c r="M111" s="136">
        <f t="shared" si="10"/>
        <v>0</v>
      </c>
      <c r="O111" s="134"/>
      <c r="P111" s="259"/>
    </row>
    <row r="112" spans="1:16">
      <c r="A112" s="134">
        <v>223</v>
      </c>
      <c r="B112" s="259" t="s">
        <v>1252</v>
      </c>
      <c r="C112" s="129" t="s">
        <v>1253</v>
      </c>
      <c r="D112" s="292">
        <v>58</v>
      </c>
      <c r="E112" s="292">
        <v>0</v>
      </c>
      <c r="F112" s="139">
        <f t="shared" si="11"/>
        <v>58</v>
      </c>
      <c r="G112" s="292">
        <v>17</v>
      </c>
      <c r="H112" s="292">
        <v>0</v>
      </c>
      <c r="I112" s="139">
        <f t="shared" si="12"/>
        <v>17</v>
      </c>
      <c r="J112" s="266">
        <f t="shared" si="13"/>
        <v>0.29310000000000003</v>
      </c>
      <c r="K112" s="136">
        <f t="shared" si="8"/>
        <v>0</v>
      </c>
      <c r="L112" s="136">
        <f t="shared" si="9"/>
        <v>0</v>
      </c>
      <c r="M112" s="136">
        <f t="shared" si="10"/>
        <v>0</v>
      </c>
      <c r="O112" s="134"/>
      <c r="P112" s="259"/>
    </row>
    <row r="113" spans="1:16">
      <c r="A113" s="134">
        <v>224</v>
      </c>
      <c r="B113" s="259" t="s">
        <v>1254</v>
      </c>
      <c r="C113" s="129" t="s">
        <v>1255</v>
      </c>
      <c r="D113" s="292">
        <v>83</v>
      </c>
      <c r="E113" s="292">
        <v>0</v>
      </c>
      <c r="F113" s="139">
        <f t="shared" si="11"/>
        <v>83</v>
      </c>
      <c r="G113" s="292">
        <v>23</v>
      </c>
      <c r="H113" s="292">
        <v>0</v>
      </c>
      <c r="I113" s="139">
        <f t="shared" si="12"/>
        <v>23</v>
      </c>
      <c r="J113" s="266">
        <f t="shared" si="13"/>
        <v>0.27710000000000001</v>
      </c>
      <c r="K113" s="136">
        <f t="shared" si="8"/>
        <v>0</v>
      </c>
      <c r="L113" s="136">
        <f t="shared" si="9"/>
        <v>0</v>
      </c>
      <c r="M113" s="136">
        <f t="shared" si="10"/>
        <v>0</v>
      </c>
      <c r="O113" s="134"/>
      <c r="P113" s="259"/>
    </row>
    <row r="114" spans="1:16">
      <c r="A114" s="134">
        <v>224</v>
      </c>
      <c r="B114" s="259" t="s">
        <v>1256</v>
      </c>
      <c r="C114" s="129" t="s">
        <v>1257</v>
      </c>
      <c r="D114" s="292">
        <v>115</v>
      </c>
      <c r="E114" s="292">
        <v>0</v>
      </c>
      <c r="F114" s="139">
        <f t="shared" si="11"/>
        <v>115</v>
      </c>
      <c r="G114" s="292">
        <v>32</v>
      </c>
      <c r="H114" s="292">
        <v>0</v>
      </c>
      <c r="I114" s="139">
        <f t="shared" si="12"/>
        <v>32</v>
      </c>
      <c r="J114" s="266">
        <f t="shared" si="13"/>
        <v>0.27829999999999999</v>
      </c>
      <c r="K114" s="136">
        <f t="shared" si="8"/>
        <v>0</v>
      </c>
      <c r="L114" s="136">
        <f t="shared" si="9"/>
        <v>0</v>
      </c>
      <c r="M114" s="136">
        <f t="shared" si="10"/>
        <v>0</v>
      </c>
      <c r="O114" s="134"/>
      <c r="P114" s="259"/>
    </row>
    <row r="115" spans="1:16">
      <c r="A115" s="134">
        <v>224</v>
      </c>
      <c r="B115" s="259" t="s">
        <v>1258</v>
      </c>
      <c r="C115" s="129" t="s">
        <v>1259</v>
      </c>
      <c r="D115" s="292">
        <v>104</v>
      </c>
      <c r="E115" s="292">
        <v>0</v>
      </c>
      <c r="F115" s="139">
        <f t="shared" si="11"/>
        <v>104</v>
      </c>
      <c r="G115" s="292">
        <v>31</v>
      </c>
      <c r="H115" s="292">
        <v>0</v>
      </c>
      <c r="I115" s="139">
        <f t="shared" si="12"/>
        <v>31</v>
      </c>
      <c r="J115" s="266">
        <f t="shared" si="13"/>
        <v>0.29809999999999998</v>
      </c>
      <c r="K115" s="136">
        <f t="shared" si="8"/>
        <v>0</v>
      </c>
      <c r="L115" s="136">
        <f t="shared" si="9"/>
        <v>0</v>
      </c>
      <c r="M115" s="136">
        <f t="shared" si="10"/>
        <v>0</v>
      </c>
      <c r="O115" s="134"/>
      <c r="P115" s="259"/>
    </row>
    <row r="116" spans="1:16">
      <c r="A116" s="134">
        <v>225</v>
      </c>
      <c r="B116" s="259" t="s">
        <v>1260</v>
      </c>
      <c r="C116" s="129" t="s">
        <v>1261</v>
      </c>
      <c r="D116" s="292">
        <v>48</v>
      </c>
      <c r="E116" s="292">
        <v>0</v>
      </c>
      <c r="F116" s="139">
        <f t="shared" si="11"/>
        <v>48</v>
      </c>
      <c r="G116" s="292">
        <v>27</v>
      </c>
      <c r="H116" s="292">
        <v>0</v>
      </c>
      <c r="I116" s="139">
        <f t="shared" si="12"/>
        <v>27</v>
      </c>
      <c r="J116" s="266">
        <f t="shared" si="13"/>
        <v>0.5625</v>
      </c>
      <c r="K116" s="136">
        <f t="shared" si="8"/>
        <v>0</v>
      </c>
      <c r="L116" s="136">
        <f t="shared" si="9"/>
        <v>2.8</v>
      </c>
      <c r="M116" s="136">
        <f t="shared" si="10"/>
        <v>2.8</v>
      </c>
      <c r="O116" s="134"/>
      <c r="P116" s="259"/>
    </row>
    <row r="117" spans="1:16">
      <c r="A117" s="134">
        <v>225</v>
      </c>
      <c r="B117" s="259" t="s">
        <v>1262</v>
      </c>
      <c r="C117" s="129" t="s">
        <v>1263</v>
      </c>
      <c r="D117" s="292">
        <v>24</v>
      </c>
      <c r="E117" s="292">
        <v>0</v>
      </c>
      <c r="F117" s="139">
        <f t="shared" si="11"/>
        <v>24</v>
      </c>
      <c r="G117" s="292">
        <v>9</v>
      </c>
      <c r="H117" s="292">
        <v>0</v>
      </c>
      <c r="I117" s="139">
        <f t="shared" si="12"/>
        <v>9</v>
      </c>
      <c r="J117" s="266">
        <f t="shared" si="13"/>
        <v>0.375</v>
      </c>
      <c r="K117" s="136">
        <f t="shared" si="8"/>
        <v>0.2</v>
      </c>
      <c r="L117" s="136">
        <f t="shared" si="9"/>
        <v>0</v>
      </c>
      <c r="M117" s="136">
        <f t="shared" si="10"/>
        <v>0.2</v>
      </c>
      <c r="P117" s="259"/>
    </row>
    <row r="118" spans="1:16">
      <c r="A118" s="134">
        <v>226</v>
      </c>
      <c r="B118" s="259" t="s">
        <v>1264</v>
      </c>
      <c r="C118" s="129" t="s">
        <v>1265</v>
      </c>
      <c r="D118" s="292">
        <v>248</v>
      </c>
      <c r="E118" s="292">
        <v>0</v>
      </c>
      <c r="F118" s="139">
        <f t="shared" si="11"/>
        <v>248</v>
      </c>
      <c r="G118" s="292">
        <v>95</v>
      </c>
      <c r="H118" s="292">
        <v>0</v>
      </c>
      <c r="I118" s="139">
        <f t="shared" si="12"/>
        <v>95</v>
      </c>
      <c r="J118" s="266">
        <f t="shared" si="13"/>
        <v>0.3831</v>
      </c>
      <c r="K118" s="136">
        <f t="shared" si="8"/>
        <v>2.2000000000000002</v>
      </c>
      <c r="L118" s="136">
        <f t="shared" si="9"/>
        <v>0</v>
      </c>
      <c r="M118" s="136">
        <f t="shared" si="10"/>
        <v>2.2000000000000002</v>
      </c>
      <c r="O118" s="134"/>
      <c r="P118" s="259"/>
    </row>
    <row r="119" spans="1:16">
      <c r="A119" s="134">
        <v>226</v>
      </c>
      <c r="B119" s="259" t="s">
        <v>1266</v>
      </c>
      <c r="C119" s="129" t="s">
        <v>1267</v>
      </c>
      <c r="D119" s="292">
        <v>107</v>
      </c>
      <c r="E119" s="292">
        <v>0</v>
      </c>
      <c r="F119" s="139">
        <f t="shared" si="11"/>
        <v>107</v>
      </c>
      <c r="G119" s="292">
        <v>30</v>
      </c>
      <c r="H119" s="292">
        <v>0</v>
      </c>
      <c r="I119" s="139">
        <f t="shared" si="12"/>
        <v>30</v>
      </c>
      <c r="J119" s="266">
        <f t="shared" si="13"/>
        <v>0.28039999999999998</v>
      </c>
      <c r="K119" s="136">
        <f t="shared" si="8"/>
        <v>0</v>
      </c>
      <c r="L119" s="136">
        <f t="shared" si="9"/>
        <v>0</v>
      </c>
      <c r="M119" s="136">
        <f t="shared" si="10"/>
        <v>0</v>
      </c>
      <c r="O119" s="134"/>
      <c r="P119" s="259"/>
    </row>
    <row r="120" spans="1:16">
      <c r="A120" s="134">
        <v>227</v>
      </c>
      <c r="B120" s="259" t="s">
        <v>1268</v>
      </c>
      <c r="C120" s="129" t="s">
        <v>1269</v>
      </c>
      <c r="D120" s="292">
        <v>165</v>
      </c>
      <c r="E120" s="292">
        <v>0</v>
      </c>
      <c r="F120" s="139">
        <f t="shared" si="11"/>
        <v>165</v>
      </c>
      <c r="G120" s="292">
        <v>56</v>
      </c>
      <c r="H120" s="292">
        <v>0</v>
      </c>
      <c r="I120" s="139">
        <f t="shared" si="12"/>
        <v>56</v>
      </c>
      <c r="J120" s="266">
        <f t="shared" si="13"/>
        <v>0.33939999999999998</v>
      </c>
      <c r="K120" s="136">
        <f t="shared" si="8"/>
        <v>0</v>
      </c>
      <c r="L120" s="136">
        <f t="shared" si="9"/>
        <v>0</v>
      </c>
      <c r="M120" s="136">
        <f t="shared" si="10"/>
        <v>0</v>
      </c>
      <c r="O120" s="134"/>
      <c r="P120" s="259"/>
    </row>
    <row r="121" spans="1:16">
      <c r="A121" s="134">
        <v>227</v>
      </c>
      <c r="B121" s="259" t="s">
        <v>1270</v>
      </c>
      <c r="C121" s="129" t="s">
        <v>1271</v>
      </c>
      <c r="D121" s="292">
        <v>108</v>
      </c>
      <c r="E121" s="292">
        <v>0</v>
      </c>
      <c r="F121" s="139">
        <f t="shared" si="11"/>
        <v>108</v>
      </c>
      <c r="G121" s="292">
        <v>18</v>
      </c>
      <c r="H121" s="292">
        <v>0</v>
      </c>
      <c r="I121" s="139">
        <f t="shared" si="12"/>
        <v>18</v>
      </c>
      <c r="J121" s="266">
        <f t="shared" si="13"/>
        <v>0.16669999999999999</v>
      </c>
      <c r="K121" s="136">
        <f t="shared" si="8"/>
        <v>0</v>
      </c>
      <c r="L121" s="136">
        <f t="shared" si="9"/>
        <v>0</v>
      </c>
      <c r="M121" s="136">
        <f t="shared" si="10"/>
        <v>0</v>
      </c>
      <c r="O121" s="134"/>
      <c r="P121" s="259"/>
    </row>
    <row r="122" spans="1:16">
      <c r="A122" s="134">
        <v>229</v>
      </c>
      <c r="B122" s="259" t="s">
        <v>1272</v>
      </c>
      <c r="C122" s="129" t="s">
        <v>1273</v>
      </c>
      <c r="D122" s="292">
        <v>493</v>
      </c>
      <c r="E122" s="292">
        <v>0</v>
      </c>
      <c r="F122" s="139">
        <f t="shared" si="11"/>
        <v>493</v>
      </c>
      <c r="G122" s="292">
        <v>50</v>
      </c>
      <c r="H122" s="292">
        <v>0</v>
      </c>
      <c r="I122" s="139">
        <f t="shared" si="12"/>
        <v>50</v>
      </c>
      <c r="J122" s="266">
        <f t="shared" si="13"/>
        <v>0.1014</v>
      </c>
      <c r="K122" s="136">
        <f t="shared" si="8"/>
        <v>0</v>
      </c>
      <c r="L122" s="136">
        <f t="shared" si="9"/>
        <v>0</v>
      </c>
      <c r="M122" s="136">
        <f t="shared" si="10"/>
        <v>0</v>
      </c>
      <c r="O122" s="134"/>
      <c r="P122" s="259"/>
    </row>
    <row r="123" spans="1:16">
      <c r="A123" s="134">
        <v>229</v>
      </c>
      <c r="B123" s="259" t="s">
        <v>1274</v>
      </c>
      <c r="C123" s="129" t="s">
        <v>1275</v>
      </c>
      <c r="D123" s="292">
        <v>550</v>
      </c>
      <c r="E123" s="292">
        <v>0</v>
      </c>
      <c r="F123" s="139">
        <f t="shared" si="11"/>
        <v>550</v>
      </c>
      <c r="G123" s="292">
        <v>52</v>
      </c>
      <c r="H123" s="292">
        <v>0</v>
      </c>
      <c r="I123" s="139">
        <f t="shared" si="12"/>
        <v>52</v>
      </c>
      <c r="J123" s="266">
        <f t="shared" si="13"/>
        <v>9.4500000000000001E-2</v>
      </c>
      <c r="K123" s="136">
        <f t="shared" si="8"/>
        <v>0</v>
      </c>
      <c r="L123" s="136">
        <f t="shared" si="9"/>
        <v>0</v>
      </c>
      <c r="M123" s="136">
        <f t="shared" si="10"/>
        <v>0</v>
      </c>
      <c r="O123" s="134"/>
      <c r="P123" s="259"/>
    </row>
    <row r="124" spans="1:16">
      <c r="A124" s="134">
        <v>229</v>
      </c>
      <c r="B124" s="259" t="s">
        <v>1276</v>
      </c>
      <c r="C124" s="129" t="s">
        <v>1277</v>
      </c>
      <c r="D124" s="292">
        <v>612</v>
      </c>
      <c r="E124" s="292">
        <v>0</v>
      </c>
      <c r="F124" s="139">
        <f t="shared" si="11"/>
        <v>612</v>
      </c>
      <c r="G124" s="292">
        <v>43</v>
      </c>
      <c r="H124" s="292">
        <v>0</v>
      </c>
      <c r="I124" s="139">
        <f t="shared" si="12"/>
        <v>43</v>
      </c>
      <c r="J124" s="266">
        <f t="shared" si="13"/>
        <v>7.0300000000000001E-2</v>
      </c>
      <c r="K124" s="136">
        <f t="shared" si="8"/>
        <v>0</v>
      </c>
      <c r="L124" s="136">
        <f t="shared" si="9"/>
        <v>0</v>
      </c>
      <c r="M124" s="136">
        <f t="shared" si="10"/>
        <v>0</v>
      </c>
      <c r="O124" s="134"/>
      <c r="P124" s="259"/>
    </row>
    <row r="125" spans="1:16">
      <c r="A125" s="134">
        <v>229</v>
      </c>
      <c r="B125" s="259" t="s">
        <v>1278</v>
      </c>
      <c r="C125" s="129" t="s">
        <v>1279</v>
      </c>
      <c r="D125" s="292">
        <v>565</v>
      </c>
      <c r="E125" s="292">
        <v>0</v>
      </c>
      <c r="F125" s="139">
        <f t="shared" si="11"/>
        <v>565</v>
      </c>
      <c r="G125" s="292">
        <v>9</v>
      </c>
      <c r="H125" s="292">
        <v>0</v>
      </c>
      <c r="I125" s="139">
        <f t="shared" si="12"/>
        <v>9</v>
      </c>
      <c r="J125" s="266">
        <f t="shared" si="13"/>
        <v>1.5900000000000001E-2</v>
      </c>
      <c r="K125" s="136">
        <f t="shared" si="8"/>
        <v>0</v>
      </c>
      <c r="L125" s="136">
        <f t="shared" si="9"/>
        <v>0</v>
      </c>
      <c r="M125" s="136">
        <f t="shared" si="10"/>
        <v>0</v>
      </c>
      <c r="O125" s="134"/>
      <c r="P125" s="259"/>
    </row>
    <row r="126" spans="1:16">
      <c r="A126" s="134">
        <v>229</v>
      </c>
      <c r="B126" s="259" t="s">
        <v>1280</v>
      </c>
      <c r="C126" s="129" t="s">
        <v>1281</v>
      </c>
      <c r="D126" s="292">
        <v>434</v>
      </c>
      <c r="E126" s="292">
        <v>0</v>
      </c>
      <c r="F126" s="139">
        <f t="shared" si="11"/>
        <v>434</v>
      </c>
      <c r="G126" s="292">
        <v>47</v>
      </c>
      <c r="H126" s="292">
        <v>0</v>
      </c>
      <c r="I126" s="139">
        <f t="shared" si="12"/>
        <v>47</v>
      </c>
      <c r="J126" s="266">
        <f t="shared" si="13"/>
        <v>0.10829999999999999</v>
      </c>
      <c r="K126" s="136">
        <f t="shared" si="8"/>
        <v>0</v>
      </c>
      <c r="L126" s="136">
        <f t="shared" si="9"/>
        <v>0</v>
      </c>
      <c r="M126" s="136">
        <f t="shared" si="10"/>
        <v>0</v>
      </c>
      <c r="O126" s="134"/>
      <c r="P126" s="259"/>
    </row>
    <row r="127" spans="1:16">
      <c r="A127" s="134">
        <v>229</v>
      </c>
      <c r="B127" s="259" t="s">
        <v>1282</v>
      </c>
      <c r="C127" s="129" t="s">
        <v>1283</v>
      </c>
      <c r="D127" s="292">
        <v>612</v>
      </c>
      <c r="E127" s="292">
        <v>0</v>
      </c>
      <c r="F127" s="139">
        <f t="shared" si="11"/>
        <v>612</v>
      </c>
      <c r="G127" s="292">
        <v>66</v>
      </c>
      <c r="H127" s="292">
        <v>0</v>
      </c>
      <c r="I127" s="139">
        <f t="shared" si="12"/>
        <v>66</v>
      </c>
      <c r="J127" s="266">
        <f t="shared" si="13"/>
        <v>0.10780000000000001</v>
      </c>
      <c r="K127" s="136">
        <f t="shared" si="8"/>
        <v>0</v>
      </c>
      <c r="L127" s="136">
        <f t="shared" si="9"/>
        <v>0</v>
      </c>
      <c r="M127" s="136">
        <f t="shared" si="10"/>
        <v>0</v>
      </c>
      <c r="O127" s="134"/>
      <c r="P127" s="259"/>
    </row>
    <row r="128" spans="1:16">
      <c r="A128" s="134">
        <v>229</v>
      </c>
      <c r="B128" s="259" t="s">
        <v>1284</v>
      </c>
      <c r="C128" s="129" t="s">
        <v>1285</v>
      </c>
      <c r="D128" s="292">
        <v>525</v>
      </c>
      <c r="E128" s="292">
        <v>0</v>
      </c>
      <c r="F128" s="139">
        <f t="shared" si="11"/>
        <v>525</v>
      </c>
      <c r="G128" s="292">
        <v>83</v>
      </c>
      <c r="H128" s="292">
        <v>0</v>
      </c>
      <c r="I128" s="139">
        <f t="shared" si="12"/>
        <v>83</v>
      </c>
      <c r="J128" s="266">
        <f t="shared" si="13"/>
        <v>0.15809999999999999</v>
      </c>
      <c r="K128" s="136">
        <f t="shared" si="8"/>
        <v>0</v>
      </c>
      <c r="L128" s="136">
        <f t="shared" si="9"/>
        <v>0</v>
      </c>
      <c r="M128" s="136">
        <f t="shared" si="10"/>
        <v>0</v>
      </c>
      <c r="O128" s="134"/>
      <c r="P128" s="259"/>
    </row>
    <row r="129" spans="1:16">
      <c r="A129" s="134">
        <v>229</v>
      </c>
      <c r="B129" s="259" t="s">
        <v>1286</v>
      </c>
      <c r="C129" s="129" t="s">
        <v>1287</v>
      </c>
      <c r="D129" s="292">
        <v>1452</v>
      </c>
      <c r="E129" s="292">
        <v>0</v>
      </c>
      <c r="F129" s="139">
        <f t="shared" si="11"/>
        <v>1452</v>
      </c>
      <c r="G129" s="292">
        <v>135</v>
      </c>
      <c r="H129" s="292">
        <v>0</v>
      </c>
      <c r="I129" s="139">
        <f t="shared" si="12"/>
        <v>135</v>
      </c>
      <c r="J129" s="266">
        <f t="shared" si="13"/>
        <v>9.2999999999999999E-2</v>
      </c>
      <c r="K129" s="136">
        <f t="shared" si="8"/>
        <v>0</v>
      </c>
      <c r="L129" s="136">
        <f t="shared" si="9"/>
        <v>0</v>
      </c>
      <c r="M129" s="136">
        <f t="shared" si="10"/>
        <v>0</v>
      </c>
      <c r="O129" s="134"/>
      <c r="P129" s="259"/>
    </row>
    <row r="130" spans="1:16">
      <c r="A130" s="134">
        <v>229</v>
      </c>
      <c r="B130" s="259" t="s">
        <v>1288</v>
      </c>
      <c r="C130" s="129" t="s">
        <v>1289</v>
      </c>
      <c r="D130" s="292">
        <v>1450</v>
      </c>
      <c r="E130" s="292">
        <v>0</v>
      </c>
      <c r="F130" s="139">
        <f t="shared" si="11"/>
        <v>1450</v>
      </c>
      <c r="G130" s="292">
        <v>140</v>
      </c>
      <c r="H130" s="292">
        <v>0</v>
      </c>
      <c r="I130" s="139">
        <f t="shared" si="12"/>
        <v>140</v>
      </c>
      <c r="J130" s="266">
        <f t="shared" si="13"/>
        <v>9.6600000000000005E-2</v>
      </c>
      <c r="K130" s="136">
        <f t="shared" si="8"/>
        <v>0</v>
      </c>
      <c r="L130" s="136">
        <f t="shared" si="9"/>
        <v>0</v>
      </c>
      <c r="M130" s="136">
        <f t="shared" si="10"/>
        <v>0</v>
      </c>
      <c r="O130" s="134"/>
      <c r="P130" s="259"/>
    </row>
    <row r="131" spans="1:16">
      <c r="A131" s="134">
        <v>229</v>
      </c>
      <c r="B131" s="259" t="s">
        <v>1290</v>
      </c>
      <c r="C131" s="129" t="s">
        <v>1291</v>
      </c>
      <c r="D131" s="292">
        <v>356</v>
      </c>
      <c r="E131" s="292">
        <v>0</v>
      </c>
      <c r="F131" s="139">
        <f t="shared" si="11"/>
        <v>356</v>
      </c>
      <c r="G131" s="292">
        <v>35</v>
      </c>
      <c r="H131" s="292">
        <v>0</v>
      </c>
      <c r="I131" s="139">
        <f t="shared" si="12"/>
        <v>35</v>
      </c>
      <c r="J131" s="266">
        <f t="shared" si="13"/>
        <v>9.8299999999999998E-2</v>
      </c>
      <c r="K131" s="136">
        <f t="shared" si="8"/>
        <v>0</v>
      </c>
      <c r="L131" s="136">
        <f t="shared" si="9"/>
        <v>0</v>
      </c>
      <c r="M131" s="136">
        <f t="shared" si="10"/>
        <v>0</v>
      </c>
      <c r="O131" s="134"/>
      <c r="P131" s="259"/>
    </row>
    <row r="132" spans="1:16">
      <c r="A132" s="134">
        <v>229</v>
      </c>
      <c r="B132" s="259" t="s">
        <v>1292</v>
      </c>
      <c r="C132" s="129" t="s">
        <v>1293</v>
      </c>
      <c r="D132" s="292">
        <v>635</v>
      </c>
      <c r="E132" s="292">
        <v>0</v>
      </c>
      <c r="F132" s="139">
        <f t="shared" si="11"/>
        <v>635</v>
      </c>
      <c r="G132" s="292">
        <v>94</v>
      </c>
      <c r="H132" s="292">
        <v>0</v>
      </c>
      <c r="I132" s="139">
        <f t="shared" si="12"/>
        <v>94</v>
      </c>
      <c r="J132" s="266">
        <f t="shared" si="13"/>
        <v>0.14799999999999999</v>
      </c>
      <c r="K132" s="136">
        <f t="shared" si="8"/>
        <v>0</v>
      </c>
      <c r="L132" s="136">
        <f t="shared" si="9"/>
        <v>0</v>
      </c>
      <c r="M132" s="136">
        <f t="shared" si="10"/>
        <v>0</v>
      </c>
      <c r="O132" s="134"/>
      <c r="P132" s="259"/>
    </row>
    <row r="133" spans="1:16">
      <c r="A133" s="134">
        <v>229</v>
      </c>
      <c r="B133" s="259" t="s">
        <v>1294</v>
      </c>
      <c r="C133" s="129" t="s">
        <v>1295</v>
      </c>
      <c r="D133" s="292">
        <v>556</v>
      </c>
      <c r="E133" s="292">
        <v>0</v>
      </c>
      <c r="F133" s="139">
        <f t="shared" si="11"/>
        <v>556</v>
      </c>
      <c r="G133" s="292">
        <v>31</v>
      </c>
      <c r="H133" s="292">
        <v>0</v>
      </c>
      <c r="I133" s="139">
        <f t="shared" si="12"/>
        <v>31</v>
      </c>
      <c r="J133" s="266">
        <f t="shared" si="13"/>
        <v>5.5800000000000002E-2</v>
      </c>
      <c r="K133" s="136">
        <f t="shared" ref="K133:K196" si="14">IF(AND((J133-35%)&gt;0,J133&lt;50%),I133*(J133-35%)*0.7,0)</f>
        <v>0</v>
      </c>
      <c r="L133" s="136">
        <f t="shared" ref="L133:L196" si="15">IF(J133&gt;=50%,I133*10.5%,0)</f>
        <v>0</v>
      </c>
      <c r="M133" s="136">
        <f t="shared" ref="M133:M196" si="16">MAX(K133,L133)</f>
        <v>0</v>
      </c>
      <c r="O133" s="134"/>
      <c r="P133" s="259"/>
    </row>
    <row r="134" spans="1:16">
      <c r="A134" s="134">
        <v>229</v>
      </c>
      <c r="B134" s="259" t="s">
        <v>1296</v>
      </c>
      <c r="C134" s="129" t="s">
        <v>1297</v>
      </c>
      <c r="D134" s="292">
        <v>253</v>
      </c>
      <c r="E134" s="292">
        <v>0</v>
      </c>
      <c r="F134" s="139">
        <f t="shared" ref="F134:F197" si="17">D134+E134</f>
        <v>253</v>
      </c>
      <c r="G134" s="292">
        <v>28</v>
      </c>
      <c r="H134" s="292">
        <v>0</v>
      </c>
      <c r="I134" s="139">
        <f t="shared" ref="I134:I197" si="18">G134+H134</f>
        <v>28</v>
      </c>
      <c r="J134" s="266">
        <f t="shared" ref="J134:J197" si="19">IF(ISERROR(I134/F134),0,I134/F134)</f>
        <v>0.11070000000000001</v>
      </c>
      <c r="K134" s="136">
        <f t="shared" si="14"/>
        <v>0</v>
      </c>
      <c r="L134" s="136">
        <f t="shared" si="15"/>
        <v>0</v>
      </c>
      <c r="M134" s="136">
        <f t="shared" si="16"/>
        <v>0</v>
      </c>
      <c r="O134" s="134"/>
      <c r="P134" s="259"/>
    </row>
    <row r="135" spans="1:16">
      <c r="A135" s="134">
        <v>229</v>
      </c>
      <c r="B135" s="259" t="s">
        <v>1298</v>
      </c>
      <c r="C135" s="129" t="s">
        <v>1299</v>
      </c>
      <c r="D135" s="292">
        <v>569</v>
      </c>
      <c r="E135" s="292">
        <v>0</v>
      </c>
      <c r="F135" s="139">
        <f t="shared" si="17"/>
        <v>569</v>
      </c>
      <c r="G135" s="292">
        <v>68</v>
      </c>
      <c r="H135" s="292">
        <v>0</v>
      </c>
      <c r="I135" s="139">
        <f t="shared" si="18"/>
        <v>68</v>
      </c>
      <c r="J135" s="266">
        <f t="shared" si="19"/>
        <v>0.1195</v>
      </c>
      <c r="K135" s="136">
        <f t="shared" si="14"/>
        <v>0</v>
      </c>
      <c r="L135" s="136">
        <f t="shared" si="15"/>
        <v>0</v>
      </c>
      <c r="M135" s="136">
        <f t="shared" si="16"/>
        <v>0</v>
      </c>
      <c r="O135" s="134"/>
      <c r="P135" s="259"/>
    </row>
    <row r="136" spans="1:16">
      <c r="A136" s="134">
        <v>229</v>
      </c>
      <c r="B136" s="259" t="s">
        <v>1300</v>
      </c>
      <c r="C136" s="129" t="s">
        <v>1301</v>
      </c>
      <c r="D136" s="292">
        <v>369</v>
      </c>
      <c r="E136" s="292">
        <v>0</v>
      </c>
      <c r="F136" s="139">
        <f t="shared" si="17"/>
        <v>369</v>
      </c>
      <c r="G136" s="292">
        <v>33</v>
      </c>
      <c r="H136" s="292">
        <v>0</v>
      </c>
      <c r="I136" s="139">
        <f t="shared" si="18"/>
        <v>33</v>
      </c>
      <c r="J136" s="266">
        <f t="shared" si="19"/>
        <v>8.9399999999999993E-2</v>
      </c>
      <c r="K136" s="136">
        <f t="shared" si="14"/>
        <v>0</v>
      </c>
      <c r="L136" s="136">
        <f t="shared" si="15"/>
        <v>0</v>
      </c>
      <c r="M136" s="136">
        <f t="shared" si="16"/>
        <v>0</v>
      </c>
      <c r="O136" s="134"/>
      <c r="P136" s="259"/>
    </row>
    <row r="137" spans="1:16">
      <c r="A137" s="134">
        <v>229</v>
      </c>
      <c r="B137" s="259" t="s">
        <v>1302</v>
      </c>
      <c r="C137" s="129" t="s">
        <v>1303</v>
      </c>
      <c r="D137" s="292">
        <v>490</v>
      </c>
      <c r="E137" s="292">
        <v>0</v>
      </c>
      <c r="F137" s="139">
        <f t="shared" si="17"/>
        <v>490</v>
      </c>
      <c r="G137" s="292">
        <v>33</v>
      </c>
      <c r="H137" s="292">
        <v>0</v>
      </c>
      <c r="I137" s="139">
        <f t="shared" si="18"/>
        <v>33</v>
      </c>
      <c r="J137" s="266">
        <f t="shared" si="19"/>
        <v>6.7299999999999999E-2</v>
      </c>
      <c r="K137" s="136">
        <f t="shared" si="14"/>
        <v>0</v>
      </c>
      <c r="L137" s="136">
        <f t="shared" si="15"/>
        <v>0</v>
      </c>
      <c r="M137" s="136">
        <f t="shared" si="16"/>
        <v>0</v>
      </c>
      <c r="O137" s="134"/>
      <c r="P137" s="259"/>
    </row>
    <row r="138" spans="1:16">
      <c r="A138" s="134">
        <v>229</v>
      </c>
      <c r="B138" s="259" t="s">
        <v>1304</v>
      </c>
      <c r="C138" s="129" t="s">
        <v>1305</v>
      </c>
      <c r="D138" s="292">
        <v>589</v>
      </c>
      <c r="E138" s="292">
        <v>0</v>
      </c>
      <c r="F138" s="139">
        <f t="shared" si="17"/>
        <v>589</v>
      </c>
      <c r="G138" s="292">
        <v>78</v>
      </c>
      <c r="H138" s="292">
        <v>0</v>
      </c>
      <c r="I138" s="139">
        <f t="shared" si="18"/>
        <v>78</v>
      </c>
      <c r="J138" s="266">
        <f t="shared" si="19"/>
        <v>0.13239999999999999</v>
      </c>
      <c r="K138" s="136">
        <f t="shared" si="14"/>
        <v>0</v>
      </c>
      <c r="L138" s="136">
        <f t="shared" si="15"/>
        <v>0</v>
      </c>
      <c r="M138" s="136">
        <f t="shared" si="16"/>
        <v>0</v>
      </c>
      <c r="O138" s="134"/>
      <c r="P138" s="259"/>
    </row>
    <row r="139" spans="1:16">
      <c r="A139" s="134">
        <v>229</v>
      </c>
      <c r="B139" s="259" t="s">
        <v>1306</v>
      </c>
      <c r="C139" s="129" t="s">
        <v>1307</v>
      </c>
      <c r="D139" s="292">
        <v>375</v>
      </c>
      <c r="E139" s="292">
        <v>0</v>
      </c>
      <c r="F139" s="139">
        <f t="shared" si="17"/>
        <v>375</v>
      </c>
      <c r="G139" s="292">
        <v>81</v>
      </c>
      <c r="H139" s="292">
        <v>0</v>
      </c>
      <c r="I139" s="139">
        <f t="shared" si="18"/>
        <v>81</v>
      </c>
      <c r="J139" s="266">
        <f t="shared" si="19"/>
        <v>0.216</v>
      </c>
      <c r="K139" s="136">
        <f t="shared" si="14"/>
        <v>0</v>
      </c>
      <c r="L139" s="136">
        <f t="shared" si="15"/>
        <v>0</v>
      </c>
      <c r="M139" s="136">
        <f t="shared" si="16"/>
        <v>0</v>
      </c>
      <c r="O139" s="134"/>
      <c r="P139" s="259"/>
    </row>
    <row r="140" spans="1:16">
      <c r="A140" s="134">
        <v>229</v>
      </c>
      <c r="B140" s="259" t="s">
        <v>1308</v>
      </c>
      <c r="C140" s="129" t="s">
        <v>1309</v>
      </c>
      <c r="D140" s="292">
        <v>561</v>
      </c>
      <c r="E140" s="292">
        <v>0</v>
      </c>
      <c r="F140" s="139">
        <f t="shared" si="17"/>
        <v>561</v>
      </c>
      <c r="G140" s="292">
        <v>88</v>
      </c>
      <c r="H140" s="292">
        <v>0</v>
      </c>
      <c r="I140" s="139">
        <f t="shared" si="18"/>
        <v>88</v>
      </c>
      <c r="J140" s="266">
        <f t="shared" si="19"/>
        <v>0.15690000000000001</v>
      </c>
      <c r="K140" s="136">
        <f t="shared" si="14"/>
        <v>0</v>
      </c>
      <c r="L140" s="136">
        <f t="shared" si="15"/>
        <v>0</v>
      </c>
      <c r="M140" s="136">
        <f t="shared" si="16"/>
        <v>0</v>
      </c>
      <c r="O140" s="134"/>
      <c r="P140" s="259"/>
    </row>
    <row r="141" spans="1:16">
      <c r="A141" s="134">
        <v>229</v>
      </c>
      <c r="B141" s="259" t="s">
        <v>1310</v>
      </c>
      <c r="C141" s="129" t="s">
        <v>1311</v>
      </c>
      <c r="D141" s="292">
        <v>498</v>
      </c>
      <c r="E141" s="292">
        <v>0</v>
      </c>
      <c r="F141" s="139">
        <f t="shared" si="17"/>
        <v>498</v>
      </c>
      <c r="G141" s="292">
        <v>59</v>
      </c>
      <c r="H141" s="292">
        <v>0</v>
      </c>
      <c r="I141" s="139">
        <f t="shared" si="18"/>
        <v>59</v>
      </c>
      <c r="J141" s="266">
        <f t="shared" si="19"/>
        <v>0.11849999999999999</v>
      </c>
      <c r="K141" s="136">
        <f t="shared" si="14"/>
        <v>0</v>
      </c>
      <c r="L141" s="136">
        <f t="shared" si="15"/>
        <v>0</v>
      </c>
      <c r="M141" s="136">
        <f t="shared" si="16"/>
        <v>0</v>
      </c>
      <c r="O141" s="134"/>
      <c r="P141" s="259"/>
    </row>
    <row r="142" spans="1:16">
      <c r="A142" s="134">
        <v>229</v>
      </c>
      <c r="B142" s="259" t="s">
        <v>1312</v>
      </c>
      <c r="C142" s="129" t="s">
        <v>1313</v>
      </c>
      <c r="D142" s="292">
        <v>370</v>
      </c>
      <c r="E142" s="292">
        <v>0</v>
      </c>
      <c r="F142" s="139">
        <f t="shared" si="17"/>
        <v>370</v>
      </c>
      <c r="G142" s="292">
        <v>26</v>
      </c>
      <c r="H142" s="292">
        <v>0</v>
      </c>
      <c r="I142" s="139">
        <f t="shared" si="18"/>
        <v>26</v>
      </c>
      <c r="J142" s="266">
        <f t="shared" si="19"/>
        <v>7.0300000000000001E-2</v>
      </c>
      <c r="K142" s="136">
        <f t="shared" si="14"/>
        <v>0</v>
      </c>
      <c r="L142" s="136">
        <f t="shared" si="15"/>
        <v>0</v>
      </c>
      <c r="M142" s="136">
        <f t="shared" si="16"/>
        <v>0</v>
      </c>
      <c r="O142" s="134"/>
      <c r="P142" s="259"/>
    </row>
    <row r="143" spans="1:16">
      <c r="A143" s="134">
        <v>229</v>
      </c>
      <c r="B143" s="259" t="s">
        <v>1314</v>
      </c>
      <c r="C143" s="129" t="s">
        <v>1315</v>
      </c>
      <c r="D143" s="292">
        <v>510</v>
      </c>
      <c r="E143" s="292">
        <v>0</v>
      </c>
      <c r="F143" s="139">
        <f t="shared" si="17"/>
        <v>510</v>
      </c>
      <c r="G143" s="292">
        <v>41</v>
      </c>
      <c r="H143" s="292">
        <v>0</v>
      </c>
      <c r="I143" s="139">
        <f t="shared" si="18"/>
        <v>41</v>
      </c>
      <c r="J143" s="266">
        <f t="shared" si="19"/>
        <v>8.0399999999999999E-2</v>
      </c>
      <c r="K143" s="136">
        <f t="shared" si="14"/>
        <v>0</v>
      </c>
      <c r="L143" s="136">
        <f t="shared" si="15"/>
        <v>0</v>
      </c>
      <c r="M143" s="136">
        <f t="shared" si="16"/>
        <v>0</v>
      </c>
      <c r="O143" s="134"/>
      <c r="P143" s="259"/>
    </row>
    <row r="144" spans="1:16">
      <c r="A144" s="134">
        <v>229</v>
      </c>
      <c r="B144" s="259" t="s">
        <v>1316</v>
      </c>
      <c r="C144" s="129" t="s">
        <v>1317</v>
      </c>
      <c r="D144" s="292">
        <v>519</v>
      </c>
      <c r="E144" s="292">
        <v>0</v>
      </c>
      <c r="F144" s="139">
        <f t="shared" si="17"/>
        <v>519</v>
      </c>
      <c r="G144" s="292">
        <v>37</v>
      </c>
      <c r="H144" s="292">
        <v>0</v>
      </c>
      <c r="I144" s="139">
        <f t="shared" si="18"/>
        <v>37</v>
      </c>
      <c r="J144" s="266">
        <f t="shared" si="19"/>
        <v>7.1300000000000002E-2</v>
      </c>
      <c r="K144" s="136">
        <f t="shared" si="14"/>
        <v>0</v>
      </c>
      <c r="L144" s="136">
        <f t="shared" si="15"/>
        <v>0</v>
      </c>
      <c r="M144" s="136">
        <f t="shared" si="16"/>
        <v>0</v>
      </c>
      <c r="O144" s="134"/>
      <c r="P144" s="259"/>
    </row>
    <row r="145" spans="1:20">
      <c r="A145" s="134">
        <v>229</v>
      </c>
      <c r="B145" s="259" t="s">
        <v>1318</v>
      </c>
      <c r="C145" s="129" t="s">
        <v>1319</v>
      </c>
      <c r="D145" s="292">
        <v>1035</v>
      </c>
      <c r="E145" s="292">
        <v>0</v>
      </c>
      <c r="F145" s="139">
        <f t="shared" si="17"/>
        <v>1035</v>
      </c>
      <c r="G145" s="292">
        <v>69</v>
      </c>
      <c r="H145" s="292">
        <v>0</v>
      </c>
      <c r="I145" s="139">
        <f t="shared" si="18"/>
        <v>69</v>
      </c>
      <c r="J145" s="266">
        <f t="shared" si="19"/>
        <v>6.6699999999999995E-2</v>
      </c>
      <c r="K145" s="136">
        <f t="shared" si="14"/>
        <v>0</v>
      </c>
      <c r="L145" s="136">
        <f t="shared" si="15"/>
        <v>0</v>
      </c>
      <c r="M145" s="136">
        <f t="shared" si="16"/>
        <v>0</v>
      </c>
      <c r="O145" s="134"/>
      <c r="P145" s="259"/>
    </row>
    <row r="146" spans="1:20">
      <c r="A146" s="134">
        <v>229</v>
      </c>
      <c r="B146" s="259" t="s">
        <v>1320</v>
      </c>
      <c r="C146" s="129" t="s">
        <v>1321</v>
      </c>
      <c r="D146" s="292">
        <v>809</v>
      </c>
      <c r="E146" s="292">
        <v>0</v>
      </c>
      <c r="F146" s="139">
        <f t="shared" si="17"/>
        <v>809</v>
      </c>
      <c r="G146" s="292">
        <v>42</v>
      </c>
      <c r="H146" s="292">
        <v>0</v>
      </c>
      <c r="I146" s="139">
        <f t="shared" si="18"/>
        <v>42</v>
      </c>
      <c r="J146" s="266">
        <f t="shared" si="19"/>
        <v>5.1900000000000002E-2</v>
      </c>
      <c r="K146" s="136">
        <f t="shared" si="14"/>
        <v>0</v>
      </c>
      <c r="L146" s="136">
        <f t="shared" si="15"/>
        <v>0</v>
      </c>
      <c r="M146" s="136">
        <f t="shared" si="16"/>
        <v>0</v>
      </c>
      <c r="O146" s="134"/>
      <c r="P146" s="259"/>
    </row>
    <row r="147" spans="1:20">
      <c r="A147" s="134">
        <v>229</v>
      </c>
      <c r="B147" s="259" t="s">
        <v>1322</v>
      </c>
      <c r="C147" s="129" t="s">
        <v>1323</v>
      </c>
      <c r="D147" s="292">
        <v>537</v>
      </c>
      <c r="E147" s="292">
        <v>0</v>
      </c>
      <c r="F147" s="139">
        <f t="shared" si="17"/>
        <v>537</v>
      </c>
      <c r="G147" s="292">
        <v>33</v>
      </c>
      <c r="H147" s="292">
        <v>0</v>
      </c>
      <c r="I147" s="139">
        <f t="shared" si="18"/>
        <v>33</v>
      </c>
      <c r="J147" s="266">
        <f t="shared" si="19"/>
        <v>6.1499999999999999E-2</v>
      </c>
      <c r="K147" s="136">
        <f t="shared" si="14"/>
        <v>0</v>
      </c>
      <c r="L147" s="136">
        <f t="shared" si="15"/>
        <v>0</v>
      </c>
      <c r="M147" s="136">
        <f t="shared" si="16"/>
        <v>0</v>
      </c>
      <c r="O147" s="134"/>
      <c r="P147" s="259"/>
    </row>
    <row r="148" spans="1:20">
      <c r="A148" s="134">
        <v>229</v>
      </c>
      <c r="B148" s="259" t="s">
        <v>3975</v>
      </c>
      <c r="C148" s="129" t="s">
        <v>3976</v>
      </c>
      <c r="D148" s="292">
        <v>0</v>
      </c>
      <c r="E148" s="292">
        <v>0</v>
      </c>
      <c r="F148" s="139">
        <f t="shared" si="17"/>
        <v>0</v>
      </c>
      <c r="G148" s="292">
        <v>0</v>
      </c>
      <c r="H148" s="292">
        <v>0</v>
      </c>
      <c r="I148" s="139">
        <f t="shared" si="18"/>
        <v>0</v>
      </c>
      <c r="J148" s="266">
        <f t="shared" si="19"/>
        <v>0</v>
      </c>
      <c r="K148" s="136">
        <f t="shared" si="14"/>
        <v>0</v>
      </c>
      <c r="L148" s="136">
        <f t="shared" si="15"/>
        <v>0</v>
      </c>
      <c r="M148" s="136">
        <f t="shared" si="16"/>
        <v>0</v>
      </c>
      <c r="O148" s="134"/>
      <c r="P148" s="259"/>
    </row>
    <row r="149" spans="1:20">
      <c r="A149" s="134">
        <v>229</v>
      </c>
      <c r="B149" s="259" t="s">
        <v>1324</v>
      </c>
      <c r="C149" s="129" t="s">
        <v>1325</v>
      </c>
      <c r="D149" s="292">
        <v>114</v>
      </c>
      <c r="E149" s="292">
        <v>0</v>
      </c>
      <c r="F149" s="139">
        <f t="shared" si="17"/>
        <v>114</v>
      </c>
      <c r="G149" s="292">
        <v>2</v>
      </c>
      <c r="H149" s="292">
        <v>0</v>
      </c>
      <c r="I149" s="139">
        <f t="shared" si="18"/>
        <v>2</v>
      </c>
      <c r="J149" s="266">
        <f t="shared" si="19"/>
        <v>1.7500000000000002E-2</v>
      </c>
      <c r="K149" s="136">
        <f t="shared" si="14"/>
        <v>0</v>
      </c>
      <c r="L149" s="136">
        <f t="shared" si="15"/>
        <v>0</v>
      </c>
      <c r="M149" s="136">
        <f t="shared" si="16"/>
        <v>0</v>
      </c>
      <c r="O149" s="134"/>
      <c r="P149" s="259"/>
    </row>
    <row r="150" spans="1:20">
      <c r="A150" s="134">
        <v>229</v>
      </c>
      <c r="B150" s="259" t="s">
        <v>1326</v>
      </c>
      <c r="C150" s="129" t="s">
        <v>1327</v>
      </c>
      <c r="D150" s="292">
        <v>406</v>
      </c>
      <c r="E150" s="292">
        <v>0</v>
      </c>
      <c r="F150" s="139">
        <f t="shared" si="17"/>
        <v>406</v>
      </c>
      <c r="G150" s="292">
        <v>23</v>
      </c>
      <c r="H150" s="292">
        <v>0</v>
      </c>
      <c r="I150" s="139">
        <f t="shared" si="18"/>
        <v>23</v>
      </c>
      <c r="J150" s="266">
        <f t="shared" si="19"/>
        <v>5.67E-2</v>
      </c>
      <c r="K150" s="136">
        <f t="shared" si="14"/>
        <v>0</v>
      </c>
      <c r="L150" s="136">
        <f t="shared" si="15"/>
        <v>0</v>
      </c>
      <c r="M150" s="136">
        <f t="shared" si="16"/>
        <v>0</v>
      </c>
      <c r="O150" s="134"/>
      <c r="P150" s="259"/>
    </row>
    <row r="151" spans="1:20">
      <c r="A151" s="134">
        <v>229</v>
      </c>
      <c r="B151" s="259" t="s">
        <v>1328</v>
      </c>
      <c r="C151" s="129" t="s">
        <v>1329</v>
      </c>
      <c r="D151" s="292">
        <v>1519</v>
      </c>
      <c r="E151" s="292">
        <v>0</v>
      </c>
      <c r="F151" s="139">
        <f t="shared" si="17"/>
        <v>1519</v>
      </c>
      <c r="G151" s="292">
        <v>149</v>
      </c>
      <c r="H151" s="292">
        <v>0</v>
      </c>
      <c r="I151" s="139">
        <f t="shared" si="18"/>
        <v>149</v>
      </c>
      <c r="J151" s="266">
        <f t="shared" si="19"/>
        <v>9.8100000000000007E-2</v>
      </c>
      <c r="K151" s="136">
        <f t="shared" si="14"/>
        <v>0</v>
      </c>
      <c r="L151" s="136">
        <f t="shared" si="15"/>
        <v>0</v>
      </c>
      <c r="M151" s="136">
        <f t="shared" si="16"/>
        <v>0</v>
      </c>
      <c r="O151" s="134"/>
      <c r="P151" s="259"/>
    </row>
    <row r="152" spans="1:20">
      <c r="A152" s="134">
        <v>229</v>
      </c>
      <c r="B152" s="259" t="s">
        <v>1330</v>
      </c>
      <c r="C152" s="129" t="s">
        <v>1331</v>
      </c>
      <c r="D152" s="292">
        <v>378</v>
      </c>
      <c r="E152" s="292">
        <v>0</v>
      </c>
      <c r="F152" s="139">
        <f t="shared" si="17"/>
        <v>378</v>
      </c>
      <c r="G152" s="292">
        <v>40</v>
      </c>
      <c r="H152" s="292">
        <v>0</v>
      </c>
      <c r="I152" s="139">
        <f t="shared" si="18"/>
        <v>40</v>
      </c>
      <c r="J152" s="266">
        <f t="shared" si="19"/>
        <v>0.10580000000000001</v>
      </c>
      <c r="K152" s="136">
        <f t="shared" si="14"/>
        <v>0</v>
      </c>
      <c r="L152" s="136">
        <f t="shared" si="15"/>
        <v>0</v>
      </c>
      <c r="M152" s="136">
        <f t="shared" si="16"/>
        <v>0</v>
      </c>
      <c r="O152" s="134"/>
      <c r="P152" s="259"/>
    </row>
    <row r="153" spans="1:20">
      <c r="A153" s="134">
        <v>229</v>
      </c>
      <c r="B153" s="259" t="s">
        <v>1332</v>
      </c>
      <c r="C153" s="129" t="s">
        <v>1333</v>
      </c>
      <c r="D153" s="292">
        <v>439</v>
      </c>
      <c r="E153" s="292">
        <v>0</v>
      </c>
      <c r="F153" s="139">
        <f t="shared" si="17"/>
        <v>439</v>
      </c>
      <c r="G153" s="292">
        <v>19</v>
      </c>
      <c r="H153" s="292">
        <v>0</v>
      </c>
      <c r="I153" s="139">
        <f t="shared" si="18"/>
        <v>19</v>
      </c>
      <c r="J153" s="266">
        <f t="shared" si="19"/>
        <v>4.3299999999999998E-2</v>
      </c>
      <c r="K153" s="136">
        <f t="shared" si="14"/>
        <v>0</v>
      </c>
      <c r="L153" s="136">
        <f t="shared" si="15"/>
        <v>0</v>
      </c>
      <c r="M153" s="136">
        <f t="shared" si="16"/>
        <v>0</v>
      </c>
      <c r="P153" s="259"/>
      <c r="T153" s="134"/>
    </row>
    <row r="154" spans="1:20">
      <c r="A154" s="134">
        <v>229</v>
      </c>
      <c r="B154" s="259" t="s">
        <v>1334</v>
      </c>
      <c r="C154" s="129" t="s">
        <v>1335</v>
      </c>
      <c r="D154" s="292">
        <v>1654</v>
      </c>
      <c r="E154" s="292">
        <v>0</v>
      </c>
      <c r="F154" s="139">
        <f t="shared" si="17"/>
        <v>1654</v>
      </c>
      <c r="G154" s="292">
        <v>126</v>
      </c>
      <c r="H154" s="292">
        <v>0</v>
      </c>
      <c r="I154" s="139">
        <f t="shared" si="18"/>
        <v>126</v>
      </c>
      <c r="J154" s="266">
        <f t="shared" si="19"/>
        <v>7.6200000000000004E-2</v>
      </c>
      <c r="K154" s="136">
        <f t="shared" si="14"/>
        <v>0</v>
      </c>
      <c r="L154" s="136">
        <f t="shared" si="15"/>
        <v>0</v>
      </c>
      <c r="M154" s="136">
        <f t="shared" si="16"/>
        <v>0</v>
      </c>
      <c r="O154" s="134"/>
      <c r="P154" s="259"/>
    </row>
    <row r="155" spans="1:20">
      <c r="A155" s="134">
        <v>229</v>
      </c>
      <c r="B155" s="259" t="s">
        <v>1336</v>
      </c>
      <c r="C155" s="129" t="s">
        <v>1337</v>
      </c>
      <c r="D155" s="292">
        <v>454</v>
      </c>
      <c r="E155" s="292">
        <v>0</v>
      </c>
      <c r="F155" s="139">
        <f t="shared" si="17"/>
        <v>454</v>
      </c>
      <c r="G155" s="292">
        <v>48</v>
      </c>
      <c r="H155" s="292">
        <v>0</v>
      </c>
      <c r="I155" s="139">
        <f t="shared" si="18"/>
        <v>48</v>
      </c>
      <c r="J155" s="266">
        <f t="shared" si="19"/>
        <v>0.1057</v>
      </c>
      <c r="K155" s="136">
        <f t="shared" si="14"/>
        <v>0</v>
      </c>
      <c r="L155" s="136">
        <f t="shared" si="15"/>
        <v>0</v>
      </c>
      <c r="M155" s="136">
        <f t="shared" si="16"/>
        <v>0</v>
      </c>
      <c r="O155" s="134"/>
      <c r="P155" s="259"/>
    </row>
    <row r="156" spans="1:20">
      <c r="A156" s="134">
        <v>229</v>
      </c>
      <c r="B156" s="259" t="s">
        <v>1338</v>
      </c>
      <c r="C156" s="129" t="s">
        <v>1339</v>
      </c>
      <c r="D156" s="292">
        <v>592</v>
      </c>
      <c r="E156" s="292">
        <v>0</v>
      </c>
      <c r="F156" s="139">
        <f t="shared" si="17"/>
        <v>592</v>
      </c>
      <c r="G156" s="292">
        <v>38</v>
      </c>
      <c r="H156" s="292">
        <v>0</v>
      </c>
      <c r="I156" s="139">
        <f t="shared" si="18"/>
        <v>38</v>
      </c>
      <c r="J156" s="266">
        <f t="shared" si="19"/>
        <v>6.4199999999999993E-2</v>
      </c>
      <c r="K156" s="136">
        <f t="shared" si="14"/>
        <v>0</v>
      </c>
      <c r="L156" s="136">
        <f t="shared" si="15"/>
        <v>0</v>
      </c>
      <c r="M156" s="136">
        <f t="shared" si="16"/>
        <v>0</v>
      </c>
      <c r="O156" s="134"/>
      <c r="P156" s="259"/>
    </row>
    <row r="157" spans="1:20">
      <c r="A157" s="134">
        <v>229</v>
      </c>
      <c r="B157" s="259" t="s">
        <v>1340</v>
      </c>
      <c r="C157" s="129" t="s">
        <v>1341</v>
      </c>
      <c r="D157" s="292">
        <v>406</v>
      </c>
      <c r="E157" s="292">
        <v>0</v>
      </c>
      <c r="F157" s="139">
        <f t="shared" si="17"/>
        <v>406</v>
      </c>
      <c r="G157" s="292">
        <v>21</v>
      </c>
      <c r="H157" s="292">
        <v>0</v>
      </c>
      <c r="I157" s="139">
        <f t="shared" si="18"/>
        <v>21</v>
      </c>
      <c r="J157" s="266">
        <f t="shared" si="19"/>
        <v>5.1700000000000003E-2</v>
      </c>
      <c r="K157" s="136">
        <f t="shared" si="14"/>
        <v>0</v>
      </c>
      <c r="L157" s="136">
        <f t="shared" si="15"/>
        <v>0</v>
      </c>
      <c r="M157" s="136">
        <f t="shared" si="16"/>
        <v>0</v>
      </c>
      <c r="O157" s="134"/>
      <c r="P157" s="259"/>
    </row>
    <row r="158" spans="1:20">
      <c r="A158" s="134">
        <v>229</v>
      </c>
      <c r="B158" s="259" t="s">
        <v>1342</v>
      </c>
      <c r="C158" s="129" t="s">
        <v>1343</v>
      </c>
      <c r="D158" s="292">
        <v>478</v>
      </c>
      <c r="E158" s="292">
        <v>0</v>
      </c>
      <c r="F158" s="139">
        <f t="shared" si="17"/>
        <v>478</v>
      </c>
      <c r="G158" s="292">
        <v>27</v>
      </c>
      <c r="H158" s="292">
        <v>0</v>
      </c>
      <c r="I158" s="139">
        <f t="shared" si="18"/>
        <v>27</v>
      </c>
      <c r="J158" s="266">
        <f t="shared" si="19"/>
        <v>5.6500000000000002E-2</v>
      </c>
      <c r="K158" s="136">
        <f t="shared" si="14"/>
        <v>0</v>
      </c>
      <c r="L158" s="136">
        <f t="shared" si="15"/>
        <v>0</v>
      </c>
      <c r="M158" s="136">
        <f t="shared" si="16"/>
        <v>0</v>
      </c>
      <c r="O158" s="134"/>
      <c r="P158" s="259"/>
    </row>
    <row r="159" spans="1:20">
      <c r="A159" s="134">
        <v>230</v>
      </c>
      <c r="B159" s="259" t="s">
        <v>1344</v>
      </c>
      <c r="C159" s="129" t="s">
        <v>1345</v>
      </c>
      <c r="D159" s="292">
        <v>567</v>
      </c>
      <c r="E159" s="292">
        <v>0</v>
      </c>
      <c r="F159" s="139">
        <f t="shared" si="17"/>
        <v>567</v>
      </c>
      <c r="G159" s="292">
        <v>131</v>
      </c>
      <c r="H159" s="292">
        <v>0</v>
      </c>
      <c r="I159" s="139">
        <f t="shared" si="18"/>
        <v>131</v>
      </c>
      <c r="J159" s="266">
        <f t="shared" si="19"/>
        <v>0.23100000000000001</v>
      </c>
      <c r="K159" s="136">
        <f t="shared" si="14"/>
        <v>0</v>
      </c>
      <c r="L159" s="136">
        <f t="shared" si="15"/>
        <v>0</v>
      </c>
      <c r="M159" s="136">
        <f t="shared" si="16"/>
        <v>0</v>
      </c>
      <c r="O159" s="134"/>
      <c r="P159" s="259"/>
    </row>
    <row r="160" spans="1:20">
      <c r="A160" s="134">
        <v>230</v>
      </c>
      <c r="B160" s="259" t="s">
        <v>1346</v>
      </c>
      <c r="C160" s="129" t="s">
        <v>1347</v>
      </c>
      <c r="D160" s="292">
        <v>1038</v>
      </c>
      <c r="E160" s="292">
        <v>0</v>
      </c>
      <c r="F160" s="139">
        <f t="shared" si="17"/>
        <v>1038</v>
      </c>
      <c r="G160" s="292">
        <v>159</v>
      </c>
      <c r="H160" s="292">
        <v>0</v>
      </c>
      <c r="I160" s="139">
        <f t="shared" si="18"/>
        <v>159</v>
      </c>
      <c r="J160" s="266">
        <f t="shared" si="19"/>
        <v>0.1532</v>
      </c>
      <c r="K160" s="136">
        <f t="shared" si="14"/>
        <v>0</v>
      </c>
      <c r="L160" s="136">
        <f t="shared" si="15"/>
        <v>0</v>
      </c>
      <c r="M160" s="136">
        <f t="shared" si="16"/>
        <v>0</v>
      </c>
      <c r="O160" s="134"/>
      <c r="P160" s="259"/>
    </row>
    <row r="161" spans="1:16">
      <c r="A161" s="134">
        <v>230</v>
      </c>
      <c r="B161" s="259" t="s">
        <v>1348</v>
      </c>
      <c r="C161" s="129" t="s">
        <v>1349</v>
      </c>
      <c r="D161" s="292">
        <v>283</v>
      </c>
      <c r="E161" s="292">
        <v>0</v>
      </c>
      <c r="F161" s="139">
        <f t="shared" si="17"/>
        <v>283</v>
      </c>
      <c r="G161" s="292">
        <v>79</v>
      </c>
      <c r="H161" s="292">
        <v>0</v>
      </c>
      <c r="I161" s="139">
        <f t="shared" si="18"/>
        <v>79</v>
      </c>
      <c r="J161" s="266">
        <f t="shared" si="19"/>
        <v>0.2792</v>
      </c>
      <c r="K161" s="136">
        <f t="shared" si="14"/>
        <v>0</v>
      </c>
      <c r="L161" s="136">
        <f t="shared" si="15"/>
        <v>0</v>
      </c>
      <c r="M161" s="136">
        <f t="shared" si="16"/>
        <v>0</v>
      </c>
      <c r="O161" s="134"/>
      <c r="P161" s="259"/>
    </row>
    <row r="162" spans="1:16">
      <c r="A162" s="134">
        <v>230</v>
      </c>
      <c r="B162" s="259" t="s">
        <v>1350</v>
      </c>
      <c r="C162" s="129" t="s">
        <v>1351</v>
      </c>
      <c r="D162" s="292">
        <v>435</v>
      </c>
      <c r="E162" s="292">
        <v>0</v>
      </c>
      <c r="F162" s="139">
        <f t="shared" si="17"/>
        <v>435</v>
      </c>
      <c r="G162" s="292">
        <v>21</v>
      </c>
      <c r="H162" s="292">
        <v>0</v>
      </c>
      <c r="I162" s="139">
        <f t="shared" si="18"/>
        <v>21</v>
      </c>
      <c r="J162" s="266">
        <f t="shared" si="19"/>
        <v>4.8300000000000003E-2</v>
      </c>
      <c r="K162" s="136">
        <f t="shared" si="14"/>
        <v>0</v>
      </c>
      <c r="L162" s="136">
        <f t="shared" si="15"/>
        <v>0</v>
      </c>
      <c r="M162" s="136">
        <f t="shared" si="16"/>
        <v>0</v>
      </c>
      <c r="O162" s="134"/>
      <c r="P162" s="259"/>
    </row>
    <row r="163" spans="1:16">
      <c r="A163" s="134">
        <v>230</v>
      </c>
      <c r="B163" s="259" t="s">
        <v>3977</v>
      </c>
      <c r="C163" s="129" t="s">
        <v>3978</v>
      </c>
      <c r="D163" s="292">
        <v>0</v>
      </c>
      <c r="E163" s="292">
        <v>0</v>
      </c>
      <c r="F163" s="139">
        <f t="shared" si="17"/>
        <v>0</v>
      </c>
      <c r="G163" s="292">
        <v>0</v>
      </c>
      <c r="H163" s="292">
        <v>0</v>
      </c>
      <c r="I163" s="139">
        <f t="shared" si="18"/>
        <v>0</v>
      </c>
      <c r="J163" s="266">
        <f t="shared" si="19"/>
        <v>0</v>
      </c>
      <c r="K163" s="136">
        <f t="shared" si="14"/>
        <v>0</v>
      </c>
      <c r="L163" s="136">
        <f t="shared" si="15"/>
        <v>0</v>
      </c>
      <c r="M163" s="136">
        <f t="shared" si="16"/>
        <v>0</v>
      </c>
      <c r="O163" s="134"/>
      <c r="P163" s="259"/>
    </row>
    <row r="164" spans="1:16">
      <c r="A164" s="134">
        <v>230</v>
      </c>
      <c r="B164" s="259" t="s">
        <v>1352</v>
      </c>
      <c r="C164" s="129" t="s">
        <v>1353</v>
      </c>
      <c r="D164" s="292">
        <v>312</v>
      </c>
      <c r="E164" s="292">
        <v>0</v>
      </c>
      <c r="F164" s="139">
        <f t="shared" si="17"/>
        <v>312</v>
      </c>
      <c r="G164" s="292">
        <v>32</v>
      </c>
      <c r="H164" s="292">
        <v>0</v>
      </c>
      <c r="I164" s="139">
        <f t="shared" si="18"/>
        <v>32</v>
      </c>
      <c r="J164" s="266">
        <f t="shared" si="19"/>
        <v>0.1026</v>
      </c>
      <c r="K164" s="136">
        <f t="shared" si="14"/>
        <v>0</v>
      </c>
      <c r="L164" s="136">
        <f t="shared" si="15"/>
        <v>0</v>
      </c>
      <c r="M164" s="136">
        <f t="shared" si="16"/>
        <v>0</v>
      </c>
      <c r="O164" s="134"/>
      <c r="P164" s="259"/>
    </row>
    <row r="165" spans="1:16">
      <c r="A165" s="134">
        <v>230</v>
      </c>
      <c r="B165" s="259" t="s">
        <v>3979</v>
      </c>
      <c r="C165" s="129" t="s">
        <v>3980</v>
      </c>
      <c r="D165" s="292">
        <v>0</v>
      </c>
      <c r="E165" s="292">
        <v>0</v>
      </c>
      <c r="F165" s="139">
        <f t="shared" si="17"/>
        <v>0</v>
      </c>
      <c r="G165" s="292">
        <v>0</v>
      </c>
      <c r="H165" s="292">
        <v>0</v>
      </c>
      <c r="I165" s="139">
        <f t="shared" si="18"/>
        <v>0</v>
      </c>
      <c r="J165" s="266">
        <f t="shared" si="19"/>
        <v>0</v>
      </c>
      <c r="K165" s="136">
        <f t="shared" si="14"/>
        <v>0</v>
      </c>
      <c r="L165" s="136">
        <f t="shared" si="15"/>
        <v>0</v>
      </c>
      <c r="M165" s="136">
        <f t="shared" si="16"/>
        <v>0</v>
      </c>
      <c r="O165" s="134"/>
      <c r="P165" s="259"/>
    </row>
    <row r="166" spans="1:16">
      <c r="A166" s="134">
        <v>230</v>
      </c>
      <c r="B166" s="259" t="s">
        <v>1354</v>
      </c>
      <c r="C166" s="129" t="s">
        <v>1355</v>
      </c>
      <c r="D166" s="292">
        <v>374</v>
      </c>
      <c r="E166" s="292">
        <v>0</v>
      </c>
      <c r="F166" s="139">
        <f t="shared" si="17"/>
        <v>374</v>
      </c>
      <c r="G166" s="292">
        <v>30</v>
      </c>
      <c r="H166" s="292">
        <v>0</v>
      </c>
      <c r="I166" s="139">
        <f t="shared" si="18"/>
        <v>30</v>
      </c>
      <c r="J166" s="266">
        <f t="shared" si="19"/>
        <v>8.0199999999999994E-2</v>
      </c>
      <c r="K166" s="136">
        <f t="shared" si="14"/>
        <v>0</v>
      </c>
      <c r="L166" s="136">
        <f t="shared" si="15"/>
        <v>0</v>
      </c>
      <c r="M166" s="136">
        <f t="shared" si="16"/>
        <v>0</v>
      </c>
      <c r="O166" s="134"/>
      <c r="P166" s="259"/>
    </row>
    <row r="167" spans="1:16">
      <c r="A167" s="134">
        <v>230</v>
      </c>
      <c r="B167" s="259" t="s">
        <v>1356</v>
      </c>
      <c r="C167" s="129" t="s">
        <v>1357</v>
      </c>
      <c r="D167" s="292">
        <v>335</v>
      </c>
      <c r="E167" s="292">
        <v>0</v>
      </c>
      <c r="F167" s="139">
        <f t="shared" si="17"/>
        <v>335</v>
      </c>
      <c r="G167" s="292">
        <v>18</v>
      </c>
      <c r="H167" s="292">
        <v>0</v>
      </c>
      <c r="I167" s="139">
        <f t="shared" si="18"/>
        <v>18</v>
      </c>
      <c r="J167" s="266">
        <f t="shared" si="19"/>
        <v>5.3699999999999998E-2</v>
      </c>
      <c r="K167" s="136">
        <f t="shared" si="14"/>
        <v>0</v>
      </c>
      <c r="L167" s="136">
        <f t="shared" si="15"/>
        <v>0</v>
      </c>
      <c r="M167" s="136">
        <f t="shared" si="16"/>
        <v>0</v>
      </c>
      <c r="O167" s="134"/>
      <c r="P167" s="259"/>
    </row>
    <row r="168" spans="1:16">
      <c r="A168" s="134">
        <v>230</v>
      </c>
      <c r="B168" s="259" t="s">
        <v>1358</v>
      </c>
      <c r="C168" s="129" t="s">
        <v>1359</v>
      </c>
      <c r="D168" s="292">
        <v>277</v>
      </c>
      <c r="E168" s="292">
        <v>0</v>
      </c>
      <c r="F168" s="139">
        <f t="shared" si="17"/>
        <v>277</v>
      </c>
      <c r="G168" s="292">
        <v>35</v>
      </c>
      <c r="H168" s="292">
        <v>0</v>
      </c>
      <c r="I168" s="139">
        <f t="shared" si="18"/>
        <v>35</v>
      </c>
      <c r="J168" s="266">
        <f t="shared" si="19"/>
        <v>0.12640000000000001</v>
      </c>
      <c r="K168" s="136">
        <f t="shared" si="14"/>
        <v>0</v>
      </c>
      <c r="L168" s="136">
        <f t="shared" si="15"/>
        <v>0</v>
      </c>
      <c r="M168" s="136">
        <f t="shared" si="16"/>
        <v>0</v>
      </c>
      <c r="O168" s="134"/>
      <c r="P168" s="259"/>
    </row>
    <row r="169" spans="1:16">
      <c r="A169" s="134">
        <v>230</v>
      </c>
      <c r="B169" s="259" t="s">
        <v>1360</v>
      </c>
      <c r="C169" s="129" t="s">
        <v>1361</v>
      </c>
      <c r="D169" s="292">
        <v>283</v>
      </c>
      <c r="E169" s="292">
        <v>0</v>
      </c>
      <c r="F169" s="139">
        <f t="shared" si="17"/>
        <v>283</v>
      </c>
      <c r="G169" s="292">
        <v>37</v>
      </c>
      <c r="H169" s="292">
        <v>0</v>
      </c>
      <c r="I169" s="139">
        <f t="shared" si="18"/>
        <v>37</v>
      </c>
      <c r="J169" s="266">
        <f t="shared" si="19"/>
        <v>0.13070000000000001</v>
      </c>
      <c r="K169" s="136">
        <f t="shared" si="14"/>
        <v>0</v>
      </c>
      <c r="L169" s="136">
        <f t="shared" si="15"/>
        <v>0</v>
      </c>
      <c r="M169" s="136">
        <f t="shared" si="16"/>
        <v>0</v>
      </c>
      <c r="O169" s="134"/>
      <c r="P169" s="259"/>
    </row>
    <row r="170" spans="1:16">
      <c r="A170" s="134">
        <v>231</v>
      </c>
      <c r="B170" s="259" t="s">
        <v>1362</v>
      </c>
      <c r="C170" s="129" t="s">
        <v>1363</v>
      </c>
      <c r="D170" s="292">
        <v>309</v>
      </c>
      <c r="E170" s="292">
        <v>0</v>
      </c>
      <c r="F170" s="139">
        <f t="shared" si="17"/>
        <v>309</v>
      </c>
      <c r="G170" s="292">
        <v>134</v>
      </c>
      <c r="H170" s="292">
        <v>0</v>
      </c>
      <c r="I170" s="139">
        <f t="shared" si="18"/>
        <v>134</v>
      </c>
      <c r="J170" s="266">
        <f t="shared" si="19"/>
        <v>0.43369999999999997</v>
      </c>
      <c r="K170" s="136">
        <f t="shared" si="14"/>
        <v>7.9</v>
      </c>
      <c r="L170" s="136">
        <f t="shared" si="15"/>
        <v>0</v>
      </c>
      <c r="M170" s="136">
        <f t="shared" si="16"/>
        <v>7.9</v>
      </c>
      <c r="O170" s="134"/>
      <c r="P170" s="259"/>
    </row>
    <row r="171" spans="1:16">
      <c r="A171" s="134">
        <v>231</v>
      </c>
      <c r="B171" s="259" t="s">
        <v>1364</v>
      </c>
      <c r="C171" s="129" t="s">
        <v>1365</v>
      </c>
      <c r="D171" s="292">
        <v>1766</v>
      </c>
      <c r="E171" s="292">
        <v>0</v>
      </c>
      <c r="F171" s="139">
        <f t="shared" si="17"/>
        <v>1766</v>
      </c>
      <c r="G171" s="292">
        <v>527</v>
      </c>
      <c r="H171" s="292">
        <v>0</v>
      </c>
      <c r="I171" s="139">
        <f t="shared" si="18"/>
        <v>527</v>
      </c>
      <c r="J171" s="266">
        <f t="shared" si="19"/>
        <v>0.2984</v>
      </c>
      <c r="K171" s="136">
        <f t="shared" si="14"/>
        <v>0</v>
      </c>
      <c r="L171" s="136">
        <f t="shared" si="15"/>
        <v>0</v>
      </c>
      <c r="M171" s="136">
        <f t="shared" si="16"/>
        <v>0</v>
      </c>
      <c r="O171" s="134"/>
      <c r="P171" s="259"/>
    </row>
    <row r="172" spans="1:16">
      <c r="A172" s="134">
        <v>231</v>
      </c>
      <c r="B172" s="259" t="s">
        <v>1366</v>
      </c>
      <c r="C172" s="129" t="s">
        <v>1367</v>
      </c>
      <c r="D172" s="292">
        <v>132</v>
      </c>
      <c r="E172" s="292">
        <v>0</v>
      </c>
      <c r="F172" s="139">
        <f t="shared" si="17"/>
        <v>132</v>
      </c>
      <c r="G172" s="292">
        <v>41</v>
      </c>
      <c r="H172" s="292">
        <v>0</v>
      </c>
      <c r="I172" s="139">
        <f t="shared" si="18"/>
        <v>41</v>
      </c>
      <c r="J172" s="266">
        <f t="shared" si="19"/>
        <v>0.31059999999999999</v>
      </c>
      <c r="K172" s="136">
        <f t="shared" si="14"/>
        <v>0</v>
      </c>
      <c r="L172" s="136">
        <f t="shared" si="15"/>
        <v>0</v>
      </c>
      <c r="M172" s="136">
        <f t="shared" si="16"/>
        <v>0</v>
      </c>
      <c r="O172" s="134"/>
      <c r="P172" s="259"/>
    </row>
    <row r="173" spans="1:16">
      <c r="A173" s="134">
        <v>231</v>
      </c>
      <c r="B173" s="259" t="s">
        <v>1368</v>
      </c>
      <c r="C173" s="129" t="s">
        <v>1369</v>
      </c>
      <c r="D173" s="292">
        <v>290</v>
      </c>
      <c r="E173" s="292">
        <v>0</v>
      </c>
      <c r="F173" s="139">
        <f t="shared" si="17"/>
        <v>290</v>
      </c>
      <c r="G173" s="292">
        <v>77</v>
      </c>
      <c r="H173" s="292">
        <v>0</v>
      </c>
      <c r="I173" s="139">
        <f t="shared" si="18"/>
        <v>77</v>
      </c>
      <c r="J173" s="266">
        <f t="shared" si="19"/>
        <v>0.26550000000000001</v>
      </c>
      <c r="K173" s="136">
        <f t="shared" si="14"/>
        <v>0</v>
      </c>
      <c r="L173" s="136">
        <f t="shared" si="15"/>
        <v>0</v>
      </c>
      <c r="M173" s="136">
        <f t="shared" si="16"/>
        <v>0</v>
      </c>
      <c r="O173" s="134"/>
      <c r="P173" s="259"/>
    </row>
    <row r="174" spans="1:16">
      <c r="A174" s="134">
        <v>231</v>
      </c>
      <c r="B174" s="259" t="s">
        <v>1370</v>
      </c>
      <c r="C174" s="129" t="s">
        <v>1371</v>
      </c>
      <c r="D174" s="292">
        <v>320</v>
      </c>
      <c r="E174" s="292">
        <v>0</v>
      </c>
      <c r="F174" s="139">
        <f t="shared" si="17"/>
        <v>320</v>
      </c>
      <c r="G174" s="292">
        <v>150</v>
      </c>
      <c r="H174" s="292">
        <v>0</v>
      </c>
      <c r="I174" s="139">
        <f t="shared" si="18"/>
        <v>150</v>
      </c>
      <c r="J174" s="266">
        <f t="shared" si="19"/>
        <v>0.46879999999999999</v>
      </c>
      <c r="K174" s="136">
        <f t="shared" si="14"/>
        <v>12.5</v>
      </c>
      <c r="L174" s="136">
        <f t="shared" si="15"/>
        <v>0</v>
      </c>
      <c r="M174" s="136">
        <f t="shared" si="16"/>
        <v>12.5</v>
      </c>
      <c r="O174" s="134"/>
      <c r="P174" s="259"/>
    </row>
    <row r="175" spans="1:16">
      <c r="A175" s="134">
        <v>231</v>
      </c>
      <c r="B175" s="259" t="s">
        <v>1372</v>
      </c>
      <c r="C175" s="129" t="s">
        <v>1373</v>
      </c>
      <c r="D175" s="292">
        <v>494</v>
      </c>
      <c r="E175" s="292">
        <v>0</v>
      </c>
      <c r="F175" s="139">
        <f t="shared" si="17"/>
        <v>494</v>
      </c>
      <c r="G175" s="292">
        <v>136</v>
      </c>
      <c r="H175" s="292">
        <v>0</v>
      </c>
      <c r="I175" s="139">
        <f t="shared" si="18"/>
        <v>136</v>
      </c>
      <c r="J175" s="266">
        <f t="shared" si="19"/>
        <v>0.27529999999999999</v>
      </c>
      <c r="K175" s="136">
        <f t="shared" si="14"/>
        <v>0</v>
      </c>
      <c r="L175" s="136">
        <f t="shared" si="15"/>
        <v>0</v>
      </c>
      <c r="M175" s="136">
        <f t="shared" si="16"/>
        <v>0</v>
      </c>
      <c r="O175" s="134"/>
      <c r="P175" s="259"/>
    </row>
    <row r="176" spans="1:16">
      <c r="A176" s="134">
        <v>231</v>
      </c>
      <c r="B176" s="259" t="s">
        <v>1374</v>
      </c>
      <c r="C176" s="129" t="s">
        <v>1375</v>
      </c>
      <c r="D176" s="292">
        <v>570</v>
      </c>
      <c r="E176" s="292">
        <v>0</v>
      </c>
      <c r="F176" s="139">
        <f t="shared" si="17"/>
        <v>570</v>
      </c>
      <c r="G176" s="292">
        <v>156</v>
      </c>
      <c r="H176" s="292">
        <v>0</v>
      </c>
      <c r="I176" s="139">
        <f t="shared" si="18"/>
        <v>156</v>
      </c>
      <c r="J176" s="266">
        <f t="shared" si="19"/>
        <v>0.2737</v>
      </c>
      <c r="K176" s="136">
        <f t="shared" si="14"/>
        <v>0</v>
      </c>
      <c r="L176" s="136">
        <f t="shared" si="15"/>
        <v>0</v>
      </c>
      <c r="M176" s="136">
        <f t="shared" si="16"/>
        <v>0</v>
      </c>
      <c r="O176" s="134"/>
      <c r="P176" s="259"/>
    </row>
    <row r="177" spans="1:16">
      <c r="A177" s="134">
        <v>231</v>
      </c>
      <c r="B177" s="259" t="s">
        <v>1376</v>
      </c>
      <c r="C177" s="129" t="s">
        <v>1377</v>
      </c>
      <c r="D177" s="292">
        <v>354</v>
      </c>
      <c r="E177" s="292">
        <v>0</v>
      </c>
      <c r="F177" s="139">
        <f t="shared" si="17"/>
        <v>354</v>
      </c>
      <c r="G177" s="292">
        <v>109</v>
      </c>
      <c r="H177" s="292">
        <v>0</v>
      </c>
      <c r="I177" s="139">
        <f t="shared" si="18"/>
        <v>109</v>
      </c>
      <c r="J177" s="266">
        <f t="shared" si="19"/>
        <v>0.30790000000000001</v>
      </c>
      <c r="K177" s="136">
        <f t="shared" si="14"/>
        <v>0</v>
      </c>
      <c r="L177" s="136">
        <f t="shared" si="15"/>
        <v>0</v>
      </c>
      <c r="M177" s="136">
        <f t="shared" si="16"/>
        <v>0</v>
      </c>
      <c r="O177" s="134"/>
      <c r="P177" s="259"/>
    </row>
    <row r="178" spans="1:16">
      <c r="A178" s="134">
        <v>231</v>
      </c>
      <c r="B178" s="259" t="s">
        <v>1378</v>
      </c>
      <c r="C178" s="129" t="s">
        <v>1379</v>
      </c>
      <c r="D178" s="292">
        <v>525</v>
      </c>
      <c r="E178" s="292">
        <v>0</v>
      </c>
      <c r="F178" s="139">
        <f t="shared" si="17"/>
        <v>525</v>
      </c>
      <c r="G178" s="292">
        <v>190</v>
      </c>
      <c r="H178" s="292">
        <v>0</v>
      </c>
      <c r="I178" s="139">
        <f t="shared" si="18"/>
        <v>190</v>
      </c>
      <c r="J178" s="266">
        <f t="shared" si="19"/>
        <v>0.3619</v>
      </c>
      <c r="K178" s="136">
        <f t="shared" si="14"/>
        <v>1.6</v>
      </c>
      <c r="L178" s="136">
        <f t="shared" si="15"/>
        <v>0</v>
      </c>
      <c r="M178" s="136">
        <f t="shared" si="16"/>
        <v>1.6</v>
      </c>
      <c r="O178" s="134"/>
      <c r="P178" s="259"/>
    </row>
    <row r="179" spans="1:16">
      <c r="A179" s="134">
        <v>231</v>
      </c>
      <c r="B179" s="259" t="s">
        <v>1380</v>
      </c>
      <c r="C179" s="129" t="s">
        <v>1381</v>
      </c>
      <c r="D179" s="292">
        <v>338</v>
      </c>
      <c r="E179" s="292">
        <v>0</v>
      </c>
      <c r="F179" s="139">
        <f t="shared" si="17"/>
        <v>338</v>
      </c>
      <c r="G179" s="292">
        <v>165</v>
      </c>
      <c r="H179" s="292">
        <v>0</v>
      </c>
      <c r="I179" s="139">
        <f t="shared" si="18"/>
        <v>165</v>
      </c>
      <c r="J179" s="266">
        <f t="shared" si="19"/>
        <v>0.48820000000000002</v>
      </c>
      <c r="K179" s="136">
        <f t="shared" si="14"/>
        <v>16</v>
      </c>
      <c r="L179" s="136">
        <f t="shared" si="15"/>
        <v>0</v>
      </c>
      <c r="M179" s="136">
        <f t="shared" si="16"/>
        <v>16</v>
      </c>
      <c r="O179" s="134"/>
      <c r="P179" s="259"/>
    </row>
    <row r="180" spans="1:16">
      <c r="A180" s="134">
        <v>231</v>
      </c>
      <c r="B180" s="259" t="s">
        <v>1382</v>
      </c>
      <c r="C180" s="129" t="s">
        <v>1383</v>
      </c>
      <c r="D180" s="292">
        <v>684</v>
      </c>
      <c r="E180" s="292">
        <v>0</v>
      </c>
      <c r="F180" s="139">
        <f t="shared" si="17"/>
        <v>684</v>
      </c>
      <c r="G180" s="292">
        <v>216</v>
      </c>
      <c r="H180" s="292">
        <v>0</v>
      </c>
      <c r="I180" s="139">
        <f t="shared" si="18"/>
        <v>216</v>
      </c>
      <c r="J180" s="266">
        <f t="shared" si="19"/>
        <v>0.31580000000000003</v>
      </c>
      <c r="K180" s="136">
        <f t="shared" si="14"/>
        <v>0</v>
      </c>
      <c r="L180" s="136">
        <f t="shared" si="15"/>
        <v>0</v>
      </c>
      <c r="M180" s="136">
        <f t="shared" si="16"/>
        <v>0</v>
      </c>
      <c r="O180" s="134"/>
      <c r="P180" s="259"/>
    </row>
    <row r="181" spans="1:16">
      <c r="A181" s="134">
        <v>232</v>
      </c>
      <c r="B181" s="259" t="s">
        <v>1384</v>
      </c>
      <c r="C181" s="129" t="s">
        <v>1385</v>
      </c>
      <c r="D181" s="292">
        <v>503</v>
      </c>
      <c r="E181" s="292">
        <v>0</v>
      </c>
      <c r="F181" s="139">
        <f t="shared" si="17"/>
        <v>503</v>
      </c>
      <c r="G181" s="292">
        <v>43</v>
      </c>
      <c r="H181" s="292">
        <v>0</v>
      </c>
      <c r="I181" s="139">
        <f t="shared" si="18"/>
        <v>43</v>
      </c>
      <c r="J181" s="266">
        <f t="shared" si="19"/>
        <v>8.5500000000000007E-2</v>
      </c>
      <c r="K181" s="136">
        <f t="shared" si="14"/>
        <v>0</v>
      </c>
      <c r="L181" s="136">
        <f t="shared" si="15"/>
        <v>0</v>
      </c>
      <c r="M181" s="136">
        <f t="shared" si="16"/>
        <v>0</v>
      </c>
      <c r="O181" s="134"/>
      <c r="P181" s="259"/>
    </row>
    <row r="182" spans="1:16">
      <c r="A182" s="134">
        <v>232</v>
      </c>
      <c r="B182" s="259" t="s">
        <v>1386</v>
      </c>
      <c r="C182" s="129" t="s">
        <v>1387</v>
      </c>
      <c r="D182" s="292">
        <v>347</v>
      </c>
      <c r="E182" s="292">
        <v>0</v>
      </c>
      <c r="F182" s="139">
        <f t="shared" si="17"/>
        <v>347</v>
      </c>
      <c r="G182" s="292">
        <v>51</v>
      </c>
      <c r="H182" s="292">
        <v>0</v>
      </c>
      <c r="I182" s="139">
        <f t="shared" si="18"/>
        <v>51</v>
      </c>
      <c r="J182" s="266">
        <f t="shared" si="19"/>
        <v>0.14699999999999999</v>
      </c>
      <c r="K182" s="136">
        <f t="shared" si="14"/>
        <v>0</v>
      </c>
      <c r="L182" s="136">
        <f t="shared" si="15"/>
        <v>0</v>
      </c>
      <c r="M182" s="136">
        <f t="shared" si="16"/>
        <v>0</v>
      </c>
      <c r="O182" s="134"/>
      <c r="P182" s="259"/>
    </row>
    <row r="183" spans="1:16">
      <c r="A183" s="134">
        <v>232</v>
      </c>
      <c r="B183" s="259" t="s">
        <v>1388</v>
      </c>
      <c r="C183" s="129" t="s">
        <v>1389</v>
      </c>
      <c r="D183" s="292">
        <v>980</v>
      </c>
      <c r="E183" s="292">
        <v>0</v>
      </c>
      <c r="F183" s="139">
        <f t="shared" si="17"/>
        <v>980</v>
      </c>
      <c r="G183" s="292">
        <v>147</v>
      </c>
      <c r="H183" s="292">
        <v>0</v>
      </c>
      <c r="I183" s="139">
        <f t="shared" si="18"/>
        <v>147</v>
      </c>
      <c r="J183" s="266">
        <f t="shared" si="19"/>
        <v>0.15</v>
      </c>
      <c r="K183" s="136">
        <f t="shared" si="14"/>
        <v>0</v>
      </c>
      <c r="L183" s="136">
        <f t="shared" si="15"/>
        <v>0</v>
      </c>
      <c r="M183" s="136">
        <f t="shared" si="16"/>
        <v>0</v>
      </c>
      <c r="O183" s="134"/>
      <c r="P183" s="259"/>
    </row>
    <row r="184" spans="1:16">
      <c r="A184" s="134">
        <v>232</v>
      </c>
      <c r="B184" s="259" t="s">
        <v>1390</v>
      </c>
      <c r="C184" s="129" t="s">
        <v>1391</v>
      </c>
      <c r="D184" s="292">
        <v>1388</v>
      </c>
      <c r="E184" s="292">
        <v>0</v>
      </c>
      <c r="F184" s="139">
        <f t="shared" si="17"/>
        <v>1388</v>
      </c>
      <c r="G184" s="292">
        <v>91</v>
      </c>
      <c r="H184" s="292">
        <v>0</v>
      </c>
      <c r="I184" s="139">
        <f t="shared" si="18"/>
        <v>91</v>
      </c>
      <c r="J184" s="266">
        <f t="shared" si="19"/>
        <v>6.5600000000000006E-2</v>
      </c>
      <c r="K184" s="136">
        <f t="shared" si="14"/>
        <v>0</v>
      </c>
      <c r="L184" s="136">
        <f t="shared" si="15"/>
        <v>0</v>
      </c>
      <c r="M184" s="136">
        <f t="shared" si="16"/>
        <v>0</v>
      </c>
      <c r="O184" s="134"/>
      <c r="P184" s="259"/>
    </row>
    <row r="185" spans="1:16">
      <c r="A185" s="134">
        <v>232</v>
      </c>
      <c r="B185" s="259" t="s">
        <v>1392</v>
      </c>
      <c r="C185" s="129" t="s">
        <v>1393</v>
      </c>
      <c r="D185" s="292">
        <v>684</v>
      </c>
      <c r="E185" s="292">
        <v>0</v>
      </c>
      <c r="F185" s="139">
        <f t="shared" si="17"/>
        <v>684</v>
      </c>
      <c r="G185" s="292">
        <v>68</v>
      </c>
      <c r="H185" s="292">
        <v>0</v>
      </c>
      <c r="I185" s="139">
        <f t="shared" si="18"/>
        <v>68</v>
      </c>
      <c r="J185" s="266">
        <f t="shared" si="19"/>
        <v>9.9400000000000002E-2</v>
      </c>
      <c r="K185" s="136">
        <f t="shared" si="14"/>
        <v>0</v>
      </c>
      <c r="L185" s="136">
        <f t="shared" si="15"/>
        <v>0</v>
      </c>
      <c r="M185" s="136">
        <f t="shared" si="16"/>
        <v>0</v>
      </c>
      <c r="O185" s="134"/>
      <c r="P185" s="259"/>
    </row>
    <row r="186" spans="1:16">
      <c r="A186" s="134">
        <v>232</v>
      </c>
      <c r="B186" s="259" t="s">
        <v>1394</v>
      </c>
      <c r="C186" s="129" t="s">
        <v>1395</v>
      </c>
      <c r="D186" s="292">
        <v>385</v>
      </c>
      <c r="E186" s="292">
        <v>0</v>
      </c>
      <c r="F186" s="139">
        <f t="shared" si="17"/>
        <v>385</v>
      </c>
      <c r="G186" s="292">
        <v>100</v>
      </c>
      <c r="H186" s="292">
        <v>0</v>
      </c>
      <c r="I186" s="139">
        <f t="shared" si="18"/>
        <v>100</v>
      </c>
      <c r="J186" s="266">
        <f t="shared" si="19"/>
        <v>0.25969999999999999</v>
      </c>
      <c r="K186" s="136">
        <f t="shared" si="14"/>
        <v>0</v>
      </c>
      <c r="L186" s="136">
        <f t="shared" si="15"/>
        <v>0</v>
      </c>
      <c r="M186" s="136">
        <f t="shared" si="16"/>
        <v>0</v>
      </c>
      <c r="O186" s="134"/>
      <c r="P186" s="259"/>
    </row>
    <row r="187" spans="1:16">
      <c r="A187" s="134">
        <v>232</v>
      </c>
      <c r="B187" s="259" t="s">
        <v>1396</v>
      </c>
      <c r="C187" s="129" t="s">
        <v>1397</v>
      </c>
      <c r="D187" s="292">
        <v>439</v>
      </c>
      <c r="E187" s="292">
        <v>0</v>
      </c>
      <c r="F187" s="139">
        <f t="shared" si="17"/>
        <v>439</v>
      </c>
      <c r="G187" s="292">
        <v>175</v>
      </c>
      <c r="H187" s="292">
        <v>0</v>
      </c>
      <c r="I187" s="139">
        <f t="shared" si="18"/>
        <v>175</v>
      </c>
      <c r="J187" s="266">
        <f t="shared" si="19"/>
        <v>0.39860000000000001</v>
      </c>
      <c r="K187" s="136">
        <f t="shared" si="14"/>
        <v>6</v>
      </c>
      <c r="L187" s="136">
        <f t="shared" si="15"/>
        <v>0</v>
      </c>
      <c r="M187" s="136">
        <f t="shared" si="16"/>
        <v>6</v>
      </c>
      <c r="O187" s="134"/>
      <c r="P187" s="259"/>
    </row>
    <row r="188" spans="1:16">
      <c r="A188" s="134">
        <v>232</v>
      </c>
      <c r="B188" s="259" t="s">
        <v>1398</v>
      </c>
      <c r="C188" s="129" t="s">
        <v>1399</v>
      </c>
      <c r="D188" s="292">
        <v>455</v>
      </c>
      <c r="E188" s="292">
        <v>0</v>
      </c>
      <c r="F188" s="139">
        <f t="shared" si="17"/>
        <v>455</v>
      </c>
      <c r="G188" s="292">
        <v>27</v>
      </c>
      <c r="H188" s="292">
        <v>0</v>
      </c>
      <c r="I188" s="139">
        <f t="shared" si="18"/>
        <v>27</v>
      </c>
      <c r="J188" s="266">
        <f t="shared" si="19"/>
        <v>5.9299999999999999E-2</v>
      </c>
      <c r="K188" s="136">
        <f t="shared" si="14"/>
        <v>0</v>
      </c>
      <c r="L188" s="136">
        <f t="shared" si="15"/>
        <v>0</v>
      </c>
      <c r="M188" s="136">
        <f t="shared" si="16"/>
        <v>0</v>
      </c>
      <c r="O188" s="134"/>
      <c r="P188" s="259"/>
    </row>
    <row r="189" spans="1:16">
      <c r="A189" s="134">
        <v>232</v>
      </c>
      <c r="B189" s="259" t="s">
        <v>1400</v>
      </c>
      <c r="C189" s="129" t="s">
        <v>1401</v>
      </c>
      <c r="D189" s="292">
        <v>454</v>
      </c>
      <c r="E189" s="292">
        <v>0</v>
      </c>
      <c r="F189" s="139">
        <f t="shared" si="17"/>
        <v>454</v>
      </c>
      <c r="G189" s="292">
        <v>33</v>
      </c>
      <c r="H189" s="292">
        <v>0</v>
      </c>
      <c r="I189" s="139">
        <f t="shared" si="18"/>
        <v>33</v>
      </c>
      <c r="J189" s="266">
        <f t="shared" si="19"/>
        <v>7.2700000000000001E-2</v>
      </c>
      <c r="K189" s="136">
        <f t="shared" si="14"/>
        <v>0</v>
      </c>
      <c r="L189" s="136">
        <f t="shared" si="15"/>
        <v>0</v>
      </c>
      <c r="M189" s="136">
        <f t="shared" si="16"/>
        <v>0</v>
      </c>
      <c r="O189" s="134"/>
      <c r="P189" s="259"/>
    </row>
    <row r="190" spans="1:16">
      <c r="A190" s="134">
        <v>232</v>
      </c>
      <c r="B190" s="259" t="s">
        <v>1402</v>
      </c>
      <c r="C190" s="129" t="s">
        <v>1403</v>
      </c>
      <c r="D190" s="292">
        <v>457</v>
      </c>
      <c r="E190" s="292">
        <v>0</v>
      </c>
      <c r="F190" s="139">
        <f t="shared" si="17"/>
        <v>457</v>
      </c>
      <c r="G190" s="292">
        <v>36</v>
      </c>
      <c r="H190" s="292">
        <v>0</v>
      </c>
      <c r="I190" s="139">
        <f t="shared" si="18"/>
        <v>36</v>
      </c>
      <c r="J190" s="266">
        <f t="shared" si="19"/>
        <v>7.8799999999999995E-2</v>
      </c>
      <c r="K190" s="136">
        <f t="shared" si="14"/>
        <v>0</v>
      </c>
      <c r="L190" s="136">
        <f t="shared" si="15"/>
        <v>0</v>
      </c>
      <c r="M190" s="136">
        <f t="shared" si="16"/>
        <v>0</v>
      </c>
      <c r="O190" s="134"/>
      <c r="P190" s="259"/>
    </row>
    <row r="191" spans="1:16">
      <c r="A191" s="134">
        <v>232</v>
      </c>
      <c r="B191" s="259" t="s">
        <v>1404</v>
      </c>
      <c r="C191" s="129" t="s">
        <v>1405</v>
      </c>
      <c r="D191" s="292">
        <v>665</v>
      </c>
      <c r="E191" s="292">
        <v>0</v>
      </c>
      <c r="F191" s="139">
        <f t="shared" si="17"/>
        <v>665</v>
      </c>
      <c r="G191" s="292">
        <v>52</v>
      </c>
      <c r="H191" s="292">
        <v>0</v>
      </c>
      <c r="I191" s="139">
        <f t="shared" si="18"/>
        <v>52</v>
      </c>
      <c r="J191" s="266">
        <f t="shared" si="19"/>
        <v>7.8200000000000006E-2</v>
      </c>
      <c r="K191" s="136">
        <f t="shared" si="14"/>
        <v>0</v>
      </c>
      <c r="L191" s="136">
        <f t="shared" si="15"/>
        <v>0</v>
      </c>
      <c r="M191" s="136">
        <f t="shared" si="16"/>
        <v>0</v>
      </c>
      <c r="O191" s="134"/>
      <c r="P191" s="259"/>
    </row>
    <row r="192" spans="1:16">
      <c r="A192" s="134">
        <v>232</v>
      </c>
      <c r="B192" s="259" t="s">
        <v>1406</v>
      </c>
      <c r="C192" s="129" t="s">
        <v>1407</v>
      </c>
      <c r="D192" s="292">
        <v>369</v>
      </c>
      <c r="E192" s="292">
        <v>0</v>
      </c>
      <c r="F192" s="139">
        <f t="shared" si="17"/>
        <v>369</v>
      </c>
      <c r="G192" s="292">
        <v>52</v>
      </c>
      <c r="H192" s="292">
        <v>0</v>
      </c>
      <c r="I192" s="139">
        <f t="shared" si="18"/>
        <v>52</v>
      </c>
      <c r="J192" s="266">
        <f t="shared" si="19"/>
        <v>0.1409</v>
      </c>
      <c r="K192" s="136">
        <f t="shared" si="14"/>
        <v>0</v>
      </c>
      <c r="L192" s="136">
        <f t="shared" si="15"/>
        <v>0</v>
      </c>
      <c r="M192" s="136">
        <f t="shared" si="16"/>
        <v>0</v>
      </c>
      <c r="O192" s="134"/>
      <c r="P192" s="259"/>
    </row>
    <row r="193" spans="1:16">
      <c r="A193" s="134">
        <v>232</v>
      </c>
      <c r="B193" s="259" t="s">
        <v>3981</v>
      </c>
      <c r="C193" s="129" t="s">
        <v>3982</v>
      </c>
      <c r="D193" s="292">
        <v>0</v>
      </c>
      <c r="E193" s="292">
        <v>0</v>
      </c>
      <c r="F193" s="139">
        <f t="shared" si="17"/>
        <v>0</v>
      </c>
      <c r="G193" s="292">
        <v>0</v>
      </c>
      <c r="H193" s="292">
        <v>0</v>
      </c>
      <c r="I193" s="139">
        <f t="shared" si="18"/>
        <v>0</v>
      </c>
      <c r="J193" s="266">
        <f t="shared" si="19"/>
        <v>0</v>
      </c>
      <c r="K193" s="136">
        <f t="shared" si="14"/>
        <v>0</v>
      </c>
      <c r="L193" s="136">
        <f t="shared" si="15"/>
        <v>0</v>
      </c>
      <c r="M193" s="136">
        <f t="shared" si="16"/>
        <v>0</v>
      </c>
      <c r="O193" s="134"/>
      <c r="P193" s="259"/>
    </row>
    <row r="194" spans="1:16">
      <c r="A194" s="134">
        <v>233</v>
      </c>
      <c r="B194" s="259" t="s">
        <v>1408</v>
      </c>
      <c r="C194" s="129" t="s">
        <v>1409</v>
      </c>
      <c r="D194" s="292">
        <v>1965</v>
      </c>
      <c r="E194" s="292">
        <v>0</v>
      </c>
      <c r="F194" s="139">
        <f t="shared" si="17"/>
        <v>1965</v>
      </c>
      <c r="G194" s="292">
        <v>267</v>
      </c>
      <c r="H194" s="292">
        <v>0</v>
      </c>
      <c r="I194" s="139">
        <f t="shared" si="18"/>
        <v>267</v>
      </c>
      <c r="J194" s="266">
        <f t="shared" si="19"/>
        <v>0.13589999999999999</v>
      </c>
      <c r="K194" s="136">
        <f t="shared" si="14"/>
        <v>0</v>
      </c>
      <c r="L194" s="136">
        <f t="shared" si="15"/>
        <v>0</v>
      </c>
      <c r="M194" s="136">
        <f t="shared" si="16"/>
        <v>0</v>
      </c>
      <c r="O194" s="134"/>
      <c r="P194" s="259"/>
    </row>
    <row r="195" spans="1:16">
      <c r="A195" s="134">
        <v>233</v>
      </c>
      <c r="B195" s="259" t="s">
        <v>1410</v>
      </c>
      <c r="C195" s="129" t="s">
        <v>1411</v>
      </c>
      <c r="D195" s="292">
        <v>439</v>
      </c>
      <c r="E195" s="292">
        <v>0</v>
      </c>
      <c r="F195" s="139">
        <f t="shared" si="17"/>
        <v>439</v>
      </c>
      <c r="G195" s="292">
        <v>62</v>
      </c>
      <c r="H195" s="292">
        <v>0</v>
      </c>
      <c r="I195" s="139">
        <f t="shared" si="18"/>
        <v>62</v>
      </c>
      <c r="J195" s="266">
        <f t="shared" si="19"/>
        <v>0.14119999999999999</v>
      </c>
      <c r="K195" s="136">
        <f t="shared" si="14"/>
        <v>0</v>
      </c>
      <c r="L195" s="136">
        <f t="shared" si="15"/>
        <v>0</v>
      </c>
      <c r="M195" s="136">
        <f t="shared" si="16"/>
        <v>0</v>
      </c>
      <c r="O195" s="134"/>
      <c r="P195" s="259"/>
    </row>
    <row r="196" spans="1:16">
      <c r="A196" s="134">
        <v>233</v>
      </c>
      <c r="B196" s="259" t="s">
        <v>1412</v>
      </c>
      <c r="C196" s="129" t="s">
        <v>1413</v>
      </c>
      <c r="D196" s="292">
        <v>666</v>
      </c>
      <c r="E196" s="292">
        <v>0</v>
      </c>
      <c r="F196" s="139">
        <f t="shared" si="17"/>
        <v>666</v>
      </c>
      <c r="G196" s="292">
        <v>128</v>
      </c>
      <c r="H196" s="292">
        <v>0</v>
      </c>
      <c r="I196" s="139">
        <f t="shared" si="18"/>
        <v>128</v>
      </c>
      <c r="J196" s="266">
        <f t="shared" si="19"/>
        <v>0.19220000000000001</v>
      </c>
      <c r="K196" s="136">
        <f t="shared" si="14"/>
        <v>0</v>
      </c>
      <c r="L196" s="136">
        <f t="shared" si="15"/>
        <v>0</v>
      </c>
      <c r="M196" s="136">
        <f t="shared" si="16"/>
        <v>0</v>
      </c>
      <c r="O196" s="134"/>
      <c r="P196" s="259"/>
    </row>
    <row r="197" spans="1:16">
      <c r="A197" s="134">
        <v>233</v>
      </c>
      <c r="B197" s="259" t="s">
        <v>1414</v>
      </c>
      <c r="C197" s="129" t="s">
        <v>1415</v>
      </c>
      <c r="D197" s="292">
        <v>307</v>
      </c>
      <c r="E197" s="292">
        <v>0</v>
      </c>
      <c r="F197" s="139">
        <f t="shared" si="17"/>
        <v>307</v>
      </c>
      <c r="G197" s="292">
        <v>34</v>
      </c>
      <c r="H197" s="292">
        <v>0</v>
      </c>
      <c r="I197" s="139">
        <f t="shared" si="18"/>
        <v>34</v>
      </c>
      <c r="J197" s="266">
        <f t="shared" si="19"/>
        <v>0.11070000000000001</v>
      </c>
      <c r="K197" s="136">
        <f t="shared" ref="K197:K260" si="20">IF(AND((J197-35%)&gt;0,J197&lt;50%),I197*(J197-35%)*0.7,0)</f>
        <v>0</v>
      </c>
      <c r="L197" s="136">
        <f t="shared" ref="L197:L260" si="21">IF(J197&gt;=50%,I197*10.5%,0)</f>
        <v>0</v>
      </c>
      <c r="M197" s="136">
        <f t="shared" ref="M197:M260" si="22">MAX(K197,L197)</f>
        <v>0</v>
      </c>
      <c r="O197" s="134"/>
      <c r="P197" s="259"/>
    </row>
    <row r="198" spans="1:16">
      <c r="A198" s="134">
        <v>233</v>
      </c>
      <c r="B198" s="259" t="s">
        <v>1416</v>
      </c>
      <c r="C198" s="129" t="s">
        <v>1417</v>
      </c>
      <c r="D198" s="292">
        <v>260</v>
      </c>
      <c r="E198" s="292">
        <v>0</v>
      </c>
      <c r="F198" s="139">
        <f t="shared" ref="F198:F261" si="23">D198+E198</f>
        <v>260</v>
      </c>
      <c r="G198" s="292">
        <v>163</v>
      </c>
      <c r="H198" s="292">
        <v>0</v>
      </c>
      <c r="I198" s="139">
        <f t="shared" ref="I198:I261" si="24">G198+H198</f>
        <v>163</v>
      </c>
      <c r="J198" s="266">
        <f t="shared" ref="J198:J261" si="25">IF(ISERROR(I198/F198),0,I198/F198)</f>
        <v>0.62690000000000001</v>
      </c>
      <c r="K198" s="136">
        <f t="shared" si="20"/>
        <v>0</v>
      </c>
      <c r="L198" s="136">
        <f t="shared" si="21"/>
        <v>17.100000000000001</v>
      </c>
      <c r="M198" s="136">
        <f t="shared" si="22"/>
        <v>17.100000000000001</v>
      </c>
      <c r="O198" s="134"/>
      <c r="P198" s="259"/>
    </row>
    <row r="199" spans="1:16">
      <c r="A199" s="134">
        <v>233</v>
      </c>
      <c r="B199" s="259" t="s">
        <v>1418</v>
      </c>
      <c r="C199" s="129" t="s">
        <v>1419</v>
      </c>
      <c r="D199" s="292">
        <v>350</v>
      </c>
      <c r="E199" s="292">
        <v>0</v>
      </c>
      <c r="F199" s="139">
        <f t="shared" si="23"/>
        <v>350</v>
      </c>
      <c r="G199" s="292">
        <v>173</v>
      </c>
      <c r="H199" s="292">
        <v>0</v>
      </c>
      <c r="I199" s="139">
        <f t="shared" si="24"/>
        <v>173</v>
      </c>
      <c r="J199" s="266">
        <f t="shared" si="25"/>
        <v>0.49430000000000002</v>
      </c>
      <c r="K199" s="136">
        <f t="shared" si="20"/>
        <v>17.5</v>
      </c>
      <c r="L199" s="136">
        <f t="shared" si="21"/>
        <v>0</v>
      </c>
      <c r="M199" s="136">
        <f t="shared" si="22"/>
        <v>17.5</v>
      </c>
      <c r="O199" s="134"/>
      <c r="P199" s="259"/>
    </row>
    <row r="200" spans="1:16">
      <c r="A200" s="134">
        <v>233</v>
      </c>
      <c r="B200" s="259" t="s">
        <v>1420</v>
      </c>
      <c r="C200" s="129" t="s">
        <v>1421</v>
      </c>
      <c r="D200" s="292">
        <v>248</v>
      </c>
      <c r="E200" s="292">
        <v>0</v>
      </c>
      <c r="F200" s="139">
        <f t="shared" si="23"/>
        <v>248</v>
      </c>
      <c r="G200" s="292">
        <v>142</v>
      </c>
      <c r="H200" s="292">
        <v>0</v>
      </c>
      <c r="I200" s="139">
        <f t="shared" si="24"/>
        <v>142</v>
      </c>
      <c r="J200" s="266">
        <f t="shared" si="25"/>
        <v>0.5726</v>
      </c>
      <c r="K200" s="136">
        <f t="shared" si="20"/>
        <v>0</v>
      </c>
      <c r="L200" s="136">
        <f t="shared" si="21"/>
        <v>14.9</v>
      </c>
      <c r="M200" s="136">
        <f t="shared" si="22"/>
        <v>14.9</v>
      </c>
      <c r="O200" s="134"/>
      <c r="P200" s="259"/>
    </row>
    <row r="201" spans="1:16">
      <c r="A201" s="134">
        <v>233</v>
      </c>
      <c r="B201" s="259" t="s">
        <v>1422</v>
      </c>
      <c r="C201" s="129" t="s">
        <v>1423</v>
      </c>
      <c r="D201" s="292">
        <v>329</v>
      </c>
      <c r="E201" s="292">
        <v>0</v>
      </c>
      <c r="F201" s="139">
        <f t="shared" si="23"/>
        <v>329</v>
      </c>
      <c r="G201" s="292">
        <v>77</v>
      </c>
      <c r="H201" s="292">
        <v>0</v>
      </c>
      <c r="I201" s="139">
        <f t="shared" si="24"/>
        <v>77</v>
      </c>
      <c r="J201" s="266">
        <f t="shared" si="25"/>
        <v>0.23400000000000001</v>
      </c>
      <c r="K201" s="136">
        <f t="shared" si="20"/>
        <v>0</v>
      </c>
      <c r="L201" s="136">
        <f t="shared" si="21"/>
        <v>0</v>
      </c>
      <c r="M201" s="136">
        <f t="shared" si="22"/>
        <v>0</v>
      </c>
      <c r="O201" s="134"/>
      <c r="P201" s="259"/>
    </row>
    <row r="202" spans="1:16">
      <c r="A202" s="134">
        <v>233</v>
      </c>
      <c r="B202" s="259" t="s">
        <v>1424</v>
      </c>
      <c r="C202" s="129" t="s">
        <v>1425</v>
      </c>
      <c r="D202" s="292">
        <v>241</v>
      </c>
      <c r="E202" s="292">
        <v>0</v>
      </c>
      <c r="F202" s="139">
        <f t="shared" si="23"/>
        <v>241</v>
      </c>
      <c r="G202" s="292">
        <v>141</v>
      </c>
      <c r="H202" s="292">
        <v>0</v>
      </c>
      <c r="I202" s="139">
        <f t="shared" si="24"/>
        <v>141</v>
      </c>
      <c r="J202" s="266">
        <f t="shared" si="25"/>
        <v>0.58509999999999995</v>
      </c>
      <c r="K202" s="136">
        <f t="shared" si="20"/>
        <v>0</v>
      </c>
      <c r="L202" s="136">
        <f t="shared" si="21"/>
        <v>14.8</v>
      </c>
      <c r="M202" s="136">
        <f t="shared" si="22"/>
        <v>14.8</v>
      </c>
      <c r="O202" s="134"/>
      <c r="P202" s="259"/>
    </row>
    <row r="203" spans="1:16">
      <c r="A203" s="134">
        <v>233</v>
      </c>
      <c r="B203" s="259" t="s">
        <v>1426</v>
      </c>
      <c r="C203" s="129" t="s">
        <v>1427</v>
      </c>
      <c r="D203" s="292">
        <v>399</v>
      </c>
      <c r="E203" s="292">
        <v>0</v>
      </c>
      <c r="F203" s="139">
        <f t="shared" si="23"/>
        <v>399</v>
      </c>
      <c r="G203" s="292">
        <v>98</v>
      </c>
      <c r="H203" s="292">
        <v>0</v>
      </c>
      <c r="I203" s="139">
        <f t="shared" si="24"/>
        <v>98</v>
      </c>
      <c r="J203" s="266">
        <f t="shared" si="25"/>
        <v>0.24560000000000001</v>
      </c>
      <c r="K203" s="136">
        <f t="shared" si="20"/>
        <v>0</v>
      </c>
      <c r="L203" s="136">
        <f t="shared" si="21"/>
        <v>0</v>
      </c>
      <c r="M203" s="136">
        <f t="shared" si="22"/>
        <v>0</v>
      </c>
      <c r="O203" s="134"/>
      <c r="P203" s="259"/>
    </row>
    <row r="204" spans="1:16">
      <c r="A204" s="134">
        <v>233</v>
      </c>
      <c r="B204" s="259" t="s">
        <v>1428</v>
      </c>
      <c r="C204" s="129" t="s">
        <v>1429</v>
      </c>
      <c r="D204" s="292">
        <v>364</v>
      </c>
      <c r="E204" s="292">
        <v>0</v>
      </c>
      <c r="F204" s="139">
        <f t="shared" si="23"/>
        <v>364</v>
      </c>
      <c r="G204" s="292">
        <v>50</v>
      </c>
      <c r="H204" s="292">
        <v>0</v>
      </c>
      <c r="I204" s="139">
        <f t="shared" si="24"/>
        <v>50</v>
      </c>
      <c r="J204" s="266">
        <f t="shared" si="25"/>
        <v>0.13739999999999999</v>
      </c>
      <c r="K204" s="136">
        <f t="shared" si="20"/>
        <v>0</v>
      </c>
      <c r="L204" s="136">
        <f t="shared" si="21"/>
        <v>0</v>
      </c>
      <c r="M204" s="136">
        <f t="shared" si="22"/>
        <v>0</v>
      </c>
      <c r="O204" s="134"/>
      <c r="P204" s="259"/>
    </row>
    <row r="205" spans="1:16">
      <c r="A205" s="134">
        <v>233</v>
      </c>
      <c r="B205" s="259" t="s">
        <v>1430</v>
      </c>
      <c r="C205" s="129" t="s">
        <v>1431</v>
      </c>
      <c r="D205" s="292">
        <v>582</v>
      </c>
      <c r="E205" s="292">
        <v>0</v>
      </c>
      <c r="F205" s="139">
        <f t="shared" si="23"/>
        <v>582</v>
      </c>
      <c r="G205" s="292">
        <v>265</v>
      </c>
      <c r="H205" s="292">
        <v>0</v>
      </c>
      <c r="I205" s="139">
        <f t="shared" si="24"/>
        <v>265</v>
      </c>
      <c r="J205" s="266">
        <f t="shared" si="25"/>
        <v>0.45529999999999998</v>
      </c>
      <c r="K205" s="136">
        <f t="shared" si="20"/>
        <v>19.5</v>
      </c>
      <c r="L205" s="136">
        <f t="shared" si="21"/>
        <v>0</v>
      </c>
      <c r="M205" s="136">
        <f t="shared" si="22"/>
        <v>19.5</v>
      </c>
      <c r="O205" s="134"/>
      <c r="P205" s="259"/>
    </row>
    <row r="206" spans="1:16">
      <c r="A206" s="134">
        <v>233</v>
      </c>
      <c r="B206" s="259" t="s">
        <v>1432</v>
      </c>
      <c r="C206" s="129" t="s">
        <v>1433</v>
      </c>
      <c r="D206" s="292">
        <v>358</v>
      </c>
      <c r="E206" s="292">
        <v>0</v>
      </c>
      <c r="F206" s="139">
        <f t="shared" si="23"/>
        <v>358</v>
      </c>
      <c r="G206" s="292">
        <v>267</v>
      </c>
      <c r="H206" s="292">
        <v>0</v>
      </c>
      <c r="I206" s="139">
        <f t="shared" si="24"/>
        <v>267</v>
      </c>
      <c r="J206" s="266">
        <f t="shared" si="25"/>
        <v>0.74580000000000002</v>
      </c>
      <c r="K206" s="136">
        <f t="shared" si="20"/>
        <v>0</v>
      </c>
      <c r="L206" s="136">
        <f t="shared" si="21"/>
        <v>28</v>
      </c>
      <c r="M206" s="136">
        <f t="shared" si="22"/>
        <v>28</v>
      </c>
      <c r="O206" s="134"/>
      <c r="P206" s="259"/>
    </row>
    <row r="207" spans="1:16">
      <c r="A207" s="134">
        <v>233</v>
      </c>
      <c r="B207" s="259" t="s">
        <v>1434</v>
      </c>
      <c r="C207" s="129" t="s">
        <v>1435</v>
      </c>
      <c r="D207" s="292">
        <v>333</v>
      </c>
      <c r="E207" s="292">
        <v>0</v>
      </c>
      <c r="F207" s="139">
        <f t="shared" si="23"/>
        <v>333</v>
      </c>
      <c r="G207" s="292">
        <v>163</v>
      </c>
      <c r="H207" s="292">
        <v>0</v>
      </c>
      <c r="I207" s="139">
        <f t="shared" si="24"/>
        <v>163</v>
      </c>
      <c r="J207" s="266">
        <f t="shared" si="25"/>
        <v>0.48949999999999999</v>
      </c>
      <c r="K207" s="136">
        <f t="shared" si="20"/>
        <v>15.9</v>
      </c>
      <c r="L207" s="136">
        <f t="shared" si="21"/>
        <v>0</v>
      </c>
      <c r="M207" s="136">
        <f t="shared" si="22"/>
        <v>15.9</v>
      </c>
      <c r="O207" s="134"/>
      <c r="P207" s="259"/>
    </row>
    <row r="208" spans="1:16">
      <c r="A208" s="134">
        <v>233</v>
      </c>
      <c r="B208" s="259" t="s">
        <v>1436</v>
      </c>
      <c r="C208" s="129" t="s">
        <v>1437</v>
      </c>
      <c r="D208" s="292">
        <v>159</v>
      </c>
      <c r="E208" s="292">
        <v>0</v>
      </c>
      <c r="F208" s="139">
        <f t="shared" si="23"/>
        <v>159</v>
      </c>
      <c r="G208" s="292">
        <v>110</v>
      </c>
      <c r="H208" s="292">
        <v>0</v>
      </c>
      <c r="I208" s="139">
        <f t="shared" si="24"/>
        <v>110</v>
      </c>
      <c r="J208" s="266">
        <f t="shared" si="25"/>
        <v>0.69179999999999997</v>
      </c>
      <c r="K208" s="136">
        <f t="shared" si="20"/>
        <v>0</v>
      </c>
      <c r="L208" s="136">
        <f t="shared" si="21"/>
        <v>11.6</v>
      </c>
      <c r="M208" s="136">
        <f t="shared" si="22"/>
        <v>11.6</v>
      </c>
      <c r="O208" s="134"/>
      <c r="P208" s="259"/>
    </row>
    <row r="209" spans="1:16">
      <c r="A209" s="134">
        <v>233</v>
      </c>
      <c r="B209" s="259" t="s">
        <v>1438</v>
      </c>
      <c r="C209" s="129" t="s">
        <v>1439</v>
      </c>
      <c r="D209" s="292">
        <v>618</v>
      </c>
      <c r="E209" s="292">
        <v>0</v>
      </c>
      <c r="F209" s="139">
        <f t="shared" si="23"/>
        <v>618</v>
      </c>
      <c r="G209" s="292">
        <v>308</v>
      </c>
      <c r="H209" s="292">
        <v>0</v>
      </c>
      <c r="I209" s="139">
        <f t="shared" si="24"/>
        <v>308</v>
      </c>
      <c r="J209" s="266">
        <f t="shared" si="25"/>
        <v>0.49840000000000001</v>
      </c>
      <c r="K209" s="136">
        <f t="shared" si="20"/>
        <v>32</v>
      </c>
      <c r="L209" s="136">
        <f t="shared" si="21"/>
        <v>0</v>
      </c>
      <c r="M209" s="136">
        <f t="shared" si="22"/>
        <v>32</v>
      </c>
      <c r="O209" s="134"/>
      <c r="P209" s="259"/>
    </row>
    <row r="210" spans="1:16">
      <c r="A210" s="134">
        <v>233</v>
      </c>
      <c r="B210" s="259" t="s">
        <v>1440</v>
      </c>
      <c r="C210" s="129" t="s">
        <v>1441</v>
      </c>
      <c r="D210" s="292">
        <v>638</v>
      </c>
      <c r="E210" s="292">
        <v>0</v>
      </c>
      <c r="F210" s="139">
        <f t="shared" si="23"/>
        <v>638</v>
      </c>
      <c r="G210" s="292">
        <v>251</v>
      </c>
      <c r="H210" s="292">
        <v>0</v>
      </c>
      <c r="I210" s="139">
        <f t="shared" si="24"/>
        <v>251</v>
      </c>
      <c r="J210" s="266">
        <f t="shared" si="25"/>
        <v>0.39340000000000003</v>
      </c>
      <c r="K210" s="136">
        <f t="shared" si="20"/>
        <v>7.6</v>
      </c>
      <c r="L210" s="136">
        <f t="shared" si="21"/>
        <v>0</v>
      </c>
      <c r="M210" s="136">
        <f t="shared" si="22"/>
        <v>7.6</v>
      </c>
      <c r="O210" s="134"/>
      <c r="P210" s="259"/>
    </row>
    <row r="211" spans="1:16">
      <c r="A211" s="134">
        <v>233</v>
      </c>
      <c r="B211" s="259" t="s">
        <v>1442</v>
      </c>
      <c r="C211" s="129" t="s">
        <v>1443</v>
      </c>
      <c r="D211" s="292">
        <v>562</v>
      </c>
      <c r="E211" s="292">
        <v>0</v>
      </c>
      <c r="F211" s="139">
        <f t="shared" si="23"/>
        <v>562</v>
      </c>
      <c r="G211" s="292">
        <v>242</v>
      </c>
      <c r="H211" s="292">
        <v>0</v>
      </c>
      <c r="I211" s="139">
        <f t="shared" si="24"/>
        <v>242</v>
      </c>
      <c r="J211" s="266">
        <f t="shared" si="25"/>
        <v>0.43059999999999998</v>
      </c>
      <c r="K211" s="136">
        <f t="shared" si="20"/>
        <v>13.7</v>
      </c>
      <c r="L211" s="136">
        <f t="shared" si="21"/>
        <v>0</v>
      </c>
      <c r="M211" s="136">
        <f t="shared" si="22"/>
        <v>13.7</v>
      </c>
      <c r="O211" s="134"/>
      <c r="P211" s="259"/>
    </row>
    <row r="212" spans="1:16">
      <c r="A212" s="134">
        <v>233</v>
      </c>
      <c r="B212" s="259" t="s">
        <v>1444</v>
      </c>
      <c r="C212" s="129" t="s">
        <v>1445</v>
      </c>
      <c r="D212" s="292">
        <v>2036</v>
      </c>
      <c r="E212" s="292">
        <v>0</v>
      </c>
      <c r="F212" s="139">
        <f t="shared" si="23"/>
        <v>2036</v>
      </c>
      <c r="G212" s="292">
        <v>782</v>
      </c>
      <c r="H212" s="292">
        <v>0</v>
      </c>
      <c r="I212" s="139">
        <f t="shared" si="24"/>
        <v>782</v>
      </c>
      <c r="J212" s="266">
        <f t="shared" si="25"/>
        <v>0.3841</v>
      </c>
      <c r="K212" s="136">
        <f t="shared" si="20"/>
        <v>18.7</v>
      </c>
      <c r="L212" s="136">
        <f t="shared" si="21"/>
        <v>0</v>
      </c>
      <c r="M212" s="136">
        <f t="shared" si="22"/>
        <v>18.7</v>
      </c>
      <c r="O212" s="134"/>
      <c r="P212" s="259"/>
    </row>
    <row r="213" spans="1:16">
      <c r="A213" s="134">
        <v>233</v>
      </c>
      <c r="B213" s="259" t="s">
        <v>1446</v>
      </c>
      <c r="C213" s="129" t="s">
        <v>1447</v>
      </c>
      <c r="D213" s="292">
        <v>1843</v>
      </c>
      <c r="E213" s="292">
        <v>0</v>
      </c>
      <c r="F213" s="139">
        <f t="shared" si="23"/>
        <v>1843</v>
      </c>
      <c r="G213" s="292">
        <v>349</v>
      </c>
      <c r="H213" s="292">
        <v>0</v>
      </c>
      <c r="I213" s="139">
        <f t="shared" si="24"/>
        <v>349</v>
      </c>
      <c r="J213" s="266">
        <f t="shared" si="25"/>
        <v>0.18940000000000001</v>
      </c>
      <c r="K213" s="136">
        <f t="shared" si="20"/>
        <v>0</v>
      </c>
      <c r="L213" s="136">
        <f t="shared" si="21"/>
        <v>0</v>
      </c>
      <c r="M213" s="136">
        <f t="shared" si="22"/>
        <v>0</v>
      </c>
      <c r="O213" s="134"/>
      <c r="P213" s="259"/>
    </row>
    <row r="214" spans="1:16">
      <c r="A214" s="134">
        <v>233</v>
      </c>
      <c r="B214" s="259" t="s">
        <v>1448</v>
      </c>
      <c r="C214" s="129" t="s">
        <v>1449</v>
      </c>
      <c r="D214" s="292">
        <v>362</v>
      </c>
      <c r="E214" s="292">
        <v>0</v>
      </c>
      <c r="F214" s="139">
        <f t="shared" si="23"/>
        <v>362</v>
      </c>
      <c r="G214" s="292">
        <v>25</v>
      </c>
      <c r="H214" s="292">
        <v>0</v>
      </c>
      <c r="I214" s="139">
        <f t="shared" si="24"/>
        <v>25</v>
      </c>
      <c r="J214" s="266">
        <f t="shared" si="25"/>
        <v>6.9099999999999995E-2</v>
      </c>
      <c r="K214" s="136">
        <f t="shared" si="20"/>
        <v>0</v>
      </c>
      <c r="L214" s="136">
        <f t="shared" si="21"/>
        <v>0</v>
      </c>
      <c r="M214" s="136">
        <f t="shared" si="22"/>
        <v>0</v>
      </c>
      <c r="O214" s="134"/>
      <c r="P214" s="259"/>
    </row>
    <row r="215" spans="1:16">
      <c r="A215" s="134">
        <v>233</v>
      </c>
      <c r="B215" s="259" t="s">
        <v>1450</v>
      </c>
      <c r="C215" s="129" t="s">
        <v>1451</v>
      </c>
      <c r="D215" s="292">
        <v>369</v>
      </c>
      <c r="E215" s="292">
        <v>0</v>
      </c>
      <c r="F215" s="139">
        <f t="shared" si="23"/>
        <v>369</v>
      </c>
      <c r="G215" s="292">
        <v>212</v>
      </c>
      <c r="H215" s="292">
        <v>0</v>
      </c>
      <c r="I215" s="139">
        <f t="shared" si="24"/>
        <v>212</v>
      </c>
      <c r="J215" s="266">
        <f t="shared" si="25"/>
        <v>0.57450000000000001</v>
      </c>
      <c r="K215" s="136">
        <f t="shared" si="20"/>
        <v>0</v>
      </c>
      <c r="L215" s="136">
        <f t="shared" si="21"/>
        <v>22.3</v>
      </c>
      <c r="M215" s="136">
        <f t="shared" si="22"/>
        <v>22.3</v>
      </c>
      <c r="O215" s="134"/>
      <c r="P215" s="259"/>
    </row>
    <row r="216" spans="1:16">
      <c r="A216" s="134">
        <v>233</v>
      </c>
      <c r="B216" s="259" t="s">
        <v>1452</v>
      </c>
      <c r="C216" s="129" t="s">
        <v>1453</v>
      </c>
      <c r="D216" s="292">
        <v>222</v>
      </c>
      <c r="E216" s="292">
        <v>0</v>
      </c>
      <c r="F216" s="139">
        <f t="shared" si="23"/>
        <v>222</v>
      </c>
      <c r="G216" s="292">
        <v>122</v>
      </c>
      <c r="H216" s="292">
        <v>0</v>
      </c>
      <c r="I216" s="139">
        <f t="shared" si="24"/>
        <v>122</v>
      </c>
      <c r="J216" s="266">
        <f t="shared" si="25"/>
        <v>0.54949999999999999</v>
      </c>
      <c r="K216" s="136">
        <f t="shared" si="20"/>
        <v>0</v>
      </c>
      <c r="L216" s="136">
        <f t="shared" si="21"/>
        <v>12.8</v>
      </c>
      <c r="M216" s="136">
        <f t="shared" si="22"/>
        <v>12.8</v>
      </c>
      <c r="O216" s="134"/>
      <c r="P216" s="259"/>
    </row>
    <row r="217" spans="1:16">
      <c r="A217" s="134">
        <v>233</v>
      </c>
      <c r="B217" s="259" t="s">
        <v>1454</v>
      </c>
      <c r="C217" s="129" t="s">
        <v>1455</v>
      </c>
      <c r="D217" s="292">
        <v>270</v>
      </c>
      <c r="E217" s="292">
        <v>0</v>
      </c>
      <c r="F217" s="139">
        <f t="shared" si="23"/>
        <v>270</v>
      </c>
      <c r="G217" s="292">
        <v>143</v>
      </c>
      <c r="H217" s="292">
        <v>0</v>
      </c>
      <c r="I217" s="139">
        <f t="shared" si="24"/>
        <v>143</v>
      </c>
      <c r="J217" s="266">
        <f t="shared" si="25"/>
        <v>0.52959999999999996</v>
      </c>
      <c r="K217" s="136">
        <f t="shared" si="20"/>
        <v>0</v>
      </c>
      <c r="L217" s="136">
        <f t="shared" si="21"/>
        <v>15</v>
      </c>
      <c r="M217" s="136">
        <f t="shared" si="22"/>
        <v>15</v>
      </c>
      <c r="O217" s="134"/>
      <c r="P217" s="259"/>
    </row>
    <row r="218" spans="1:16">
      <c r="A218" s="134">
        <v>233</v>
      </c>
      <c r="B218" s="259" t="s">
        <v>1456</v>
      </c>
      <c r="C218" s="129" t="s">
        <v>1457</v>
      </c>
      <c r="D218" s="292">
        <v>286</v>
      </c>
      <c r="E218" s="292">
        <v>0</v>
      </c>
      <c r="F218" s="139">
        <f t="shared" si="23"/>
        <v>286</v>
      </c>
      <c r="G218" s="292">
        <v>77</v>
      </c>
      <c r="H218" s="292">
        <v>0</v>
      </c>
      <c r="I218" s="139">
        <f t="shared" si="24"/>
        <v>77</v>
      </c>
      <c r="J218" s="266">
        <f t="shared" si="25"/>
        <v>0.26919999999999999</v>
      </c>
      <c r="K218" s="136">
        <f t="shared" si="20"/>
        <v>0</v>
      </c>
      <c r="L218" s="136">
        <f t="shared" si="21"/>
        <v>0</v>
      </c>
      <c r="M218" s="136">
        <f t="shared" si="22"/>
        <v>0</v>
      </c>
      <c r="O218" s="134"/>
      <c r="P218" s="259"/>
    </row>
    <row r="219" spans="1:16">
      <c r="A219" s="134">
        <v>233</v>
      </c>
      <c r="B219" s="259" t="s">
        <v>1458</v>
      </c>
      <c r="C219" s="129" t="s">
        <v>1459</v>
      </c>
      <c r="D219" s="292">
        <v>329</v>
      </c>
      <c r="E219" s="292">
        <v>0</v>
      </c>
      <c r="F219" s="139">
        <f t="shared" si="23"/>
        <v>329</v>
      </c>
      <c r="G219" s="292">
        <v>120</v>
      </c>
      <c r="H219" s="292">
        <v>0</v>
      </c>
      <c r="I219" s="139">
        <f t="shared" si="24"/>
        <v>120</v>
      </c>
      <c r="J219" s="266">
        <f t="shared" si="25"/>
        <v>0.36470000000000002</v>
      </c>
      <c r="K219" s="136">
        <f t="shared" si="20"/>
        <v>1.2</v>
      </c>
      <c r="L219" s="136">
        <f t="shared" si="21"/>
        <v>0</v>
      </c>
      <c r="M219" s="136">
        <f t="shared" si="22"/>
        <v>1.2</v>
      </c>
      <c r="O219" s="134"/>
      <c r="P219" s="259"/>
    </row>
    <row r="220" spans="1:16">
      <c r="A220" s="134">
        <v>233</v>
      </c>
      <c r="B220" s="259" t="s">
        <v>1460</v>
      </c>
      <c r="C220" s="129" t="s">
        <v>1461</v>
      </c>
      <c r="D220" s="292">
        <v>349</v>
      </c>
      <c r="E220" s="292">
        <v>0</v>
      </c>
      <c r="F220" s="139">
        <f t="shared" si="23"/>
        <v>349</v>
      </c>
      <c r="G220" s="292">
        <v>48</v>
      </c>
      <c r="H220" s="292">
        <v>0</v>
      </c>
      <c r="I220" s="139">
        <f t="shared" si="24"/>
        <v>48</v>
      </c>
      <c r="J220" s="266">
        <f t="shared" si="25"/>
        <v>0.13750000000000001</v>
      </c>
      <c r="K220" s="136">
        <f t="shared" si="20"/>
        <v>0</v>
      </c>
      <c r="L220" s="136">
        <f t="shared" si="21"/>
        <v>0</v>
      </c>
      <c r="M220" s="136">
        <f t="shared" si="22"/>
        <v>0</v>
      </c>
      <c r="O220" s="134"/>
      <c r="P220" s="259"/>
    </row>
    <row r="221" spans="1:16">
      <c r="A221" s="134">
        <v>233</v>
      </c>
      <c r="B221" s="259" t="s">
        <v>1462</v>
      </c>
      <c r="C221" s="129" t="s">
        <v>1463</v>
      </c>
      <c r="D221" s="292">
        <v>341</v>
      </c>
      <c r="E221" s="292">
        <v>0</v>
      </c>
      <c r="F221" s="139">
        <f t="shared" si="23"/>
        <v>341</v>
      </c>
      <c r="G221" s="292">
        <v>143</v>
      </c>
      <c r="H221" s="292">
        <v>0</v>
      </c>
      <c r="I221" s="139">
        <f t="shared" si="24"/>
        <v>143</v>
      </c>
      <c r="J221" s="266">
        <f t="shared" si="25"/>
        <v>0.4194</v>
      </c>
      <c r="K221" s="136">
        <f t="shared" si="20"/>
        <v>6.9</v>
      </c>
      <c r="L221" s="136">
        <f t="shared" si="21"/>
        <v>0</v>
      </c>
      <c r="M221" s="136">
        <f t="shared" si="22"/>
        <v>6.9</v>
      </c>
      <c r="O221" s="134"/>
      <c r="P221" s="259"/>
    </row>
    <row r="222" spans="1:16">
      <c r="A222" s="134">
        <v>233</v>
      </c>
      <c r="B222" s="259" t="s">
        <v>1464</v>
      </c>
      <c r="C222" s="129" t="s">
        <v>1465</v>
      </c>
      <c r="D222" s="292">
        <v>1826</v>
      </c>
      <c r="E222" s="292">
        <v>0</v>
      </c>
      <c r="F222" s="139">
        <f t="shared" si="23"/>
        <v>1826</v>
      </c>
      <c r="G222" s="292">
        <v>481</v>
      </c>
      <c r="H222" s="292">
        <v>0</v>
      </c>
      <c r="I222" s="139">
        <f t="shared" si="24"/>
        <v>481</v>
      </c>
      <c r="J222" s="266">
        <f t="shared" si="25"/>
        <v>0.26340000000000002</v>
      </c>
      <c r="K222" s="136">
        <f t="shared" si="20"/>
        <v>0</v>
      </c>
      <c r="L222" s="136">
        <f t="shared" si="21"/>
        <v>0</v>
      </c>
      <c r="M222" s="136">
        <f t="shared" si="22"/>
        <v>0</v>
      </c>
      <c r="O222" s="134"/>
      <c r="P222" s="259"/>
    </row>
    <row r="223" spans="1:16">
      <c r="A223" s="134">
        <v>233</v>
      </c>
      <c r="B223" s="259" t="s">
        <v>1466</v>
      </c>
      <c r="C223" s="129" t="s">
        <v>1467</v>
      </c>
      <c r="D223" s="292">
        <v>699</v>
      </c>
      <c r="E223" s="292">
        <v>0</v>
      </c>
      <c r="F223" s="139">
        <f t="shared" si="23"/>
        <v>699</v>
      </c>
      <c r="G223" s="292">
        <v>73</v>
      </c>
      <c r="H223" s="292">
        <v>0</v>
      </c>
      <c r="I223" s="139">
        <f t="shared" si="24"/>
        <v>73</v>
      </c>
      <c r="J223" s="266">
        <f t="shared" si="25"/>
        <v>0.10440000000000001</v>
      </c>
      <c r="K223" s="136">
        <f t="shared" si="20"/>
        <v>0</v>
      </c>
      <c r="L223" s="136">
        <f t="shared" si="21"/>
        <v>0</v>
      </c>
      <c r="M223" s="136">
        <f t="shared" si="22"/>
        <v>0</v>
      </c>
      <c r="O223" s="134"/>
      <c r="P223" s="259"/>
    </row>
    <row r="224" spans="1:16">
      <c r="A224" s="134">
        <v>233</v>
      </c>
      <c r="B224" s="259" t="s">
        <v>1468</v>
      </c>
      <c r="C224" s="129" t="s">
        <v>1469</v>
      </c>
      <c r="D224" s="292">
        <v>408</v>
      </c>
      <c r="E224" s="292">
        <v>0</v>
      </c>
      <c r="F224" s="139">
        <f t="shared" si="23"/>
        <v>408</v>
      </c>
      <c r="G224" s="292">
        <v>65</v>
      </c>
      <c r="H224" s="292">
        <v>0</v>
      </c>
      <c r="I224" s="139">
        <f t="shared" si="24"/>
        <v>65</v>
      </c>
      <c r="J224" s="266">
        <f t="shared" si="25"/>
        <v>0.1593</v>
      </c>
      <c r="K224" s="136">
        <f t="shared" si="20"/>
        <v>0</v>
      </c>
      <c r="L224" s="136">
        <f t="shared" si="21"/>
        <v>0</v>
      </c>
      <c r="M224" s="136">
        <f t="shared" si="22"/>
        <v>0</v>
      </c>
      <c r="O224" s="134"/>
      <c r="P224" s="259"/>
    </row>
    <row r="225" spans="1:16">
      <c r="A225" s="134">
        <v>233</v>
      </c>
      <c r="B225" s="259" t="s">
        <v>1470</v>
      </c>
      <c r="C225" s="129" t="s">
        <v>1471</v>
      </c>
      <c r="D225" s="292">
        <v>1602</v>
      </c>
      <c r="E225" s="292">
        <v>0</v>
      </c>
      <c r="F225" s="139">
        <f t="shared" si="23"/>
        <v>1602</v>
      </c>
      <c r="G225" s="292">
        <v>348</v>
      </c>
      <c r="H225" s="292">
        <v>0</v>
      </c>
      <c r="I225" s="139">
        <f t="shared" si="24"/>
        <v>348</v>
      </c>
      <c r="J225" s="266">
        <f t="shared" si="25"/>
        <v>0.2172</v>
      </c>
      <c r="K225" s="136">
        <f t="shared" si="20"/>
        <v>0</v>
      </c>
      <c r="L225" s="136">
        <f t="shared" si="21"/>
        <v>0</v>
      </c>
      <c r="M225" s="136">
        <f t="shared" si="22"/>
        <v>0</v>
      </c>
      <c r="O225" s="134"/>
      <c r="P225" s="259"/>
    </row>
    <row r="226" spans="1:16">
      <c r="A226" s="134">
        <v>233</v>
      </c>
      <c r="B226" s="259" t="s">
        <v>1472</v>
      </c>
      <c r="C226" s="129" t="s">
        <v>1473</v>
      </c>
      <c r="D226" s="292">
        <v>564</v>
      </c>
      <c r="E226" s="292">
        <v>0</v>
      </c>
      <c r="F226" s="139">
        <f t="shared" si="23"/>
        <v>564</v>
      </c>
      <c r="G226" s="292">
        <v>151</v>
      </c>
      <c r="H226" s="292">
        <v>0</v>
      </c>
      <c r="I226" s="139">
        <f t="shared" si="24"/>
        <v>151</v>
      </c>
      <c r="J226" s="266">
        <f t="shared" si="25"/>
        <v>0.26769999999999999</v>
      </c>
      <c r="K226" s="136">
        <f t="shared" si="20"/>
        <v>0</v>
      </c>
      <c r="L226" s="136">
        <f t="shared" si="21"/>
        <v>0</v>
      </c>
      <c r="M226" s="136">
        <f t="shared" si="22"/>
        <v>0</v>
      </c>
      <c r="O226" s="134"/>
      <c r="P226" s="259"/>
    </row>
    <row r="227" spans="1:16">
      <c r="A227" s="134">
        <v>233</v>
      </c>
      <c r="B227" s="259" t="s">
        <v>1474</v>
      </c>
      <c r="C227" s="129" t="s">
        <v>1475</v>
      </c>
      <c r="D227" s="292">
        <v>434</v>
      </c>
      <c r="E227" s="292">
        <v>0</v>
      </c>
      <c r="F227" s="139">
        <f t="shared" si="23"/>
        <v>434</v>
      </c>
      <c r="G227" s="292">
        <v>15</v>
      </c>
      <c r="H227" s="292">
        <v>0</v>
      </c>
      <c r="I227" s="139">
        <f t="shared" si="24"/>
        <v>15</v>
      </c>
      <c r="J227" s="266">
        <f t="shared" si="25"/>
        <v>3.4599999999999999E-2</v>
      </c>
      <c r="K227" s="136">
        <f t="shared" si="20"/>
        <v>0</v>
      </c>
      <c r="L227" s="136">
        <f t="shared" si="21"/>
        <v>0</v>
      </c>
      <c r="M227" s="136">
        <f t="shared" si="22"/>
        <v>0</v>
      </c>
      <c r="O227" s="134"/>
      <c r="P227" s="259"/>
    </row>
    <row r="228" spans="1:16">
      <c r="A228" s="134">
        <v>233</v>
      </c>
      <c r="B228" s="259" t="s">
        <v>3983</v>
      </c>
      <c r="C228" s="129" t="s">
        <v>3984</v>
      </c>
      <c r="D228" s="292">
        <v>0</v>
      </c>
      <c r="E228" s="292">
        <v>0</v>
      </c>
      <c r="F228" s="139">
        <f t="shared" si="23"/>
        <v>0</v>
      </c>
      <c r="G228" s="292">
        <v>0</v>
      </c>
      <c r="H228" s="292">
        <v>0</v>
      </c>
      <c r="I228" s="139">
        <f t="shared" si="24"/>
        <v>0</v>
      </c>
      <c r="J228" s="266">
        <f t="shared" si="25"/>
        <v>0</v>
      </c>
      <c r="K228" s="136">
        <f t="shared" si="20"/>
        <v>0</v>
      </c>
      <c r="L228" s="136">
        <f t="shared" si="21"/>
        <v>0</v>
      </c>
      <c r="M228" s="136">
        <f t="shared" si="22"/>
        <v>0</v>
      </c>
      <c r="O228" s="134"/>
      <c r="P228" s="259"/>
    </row>
    <row r="229" spans="1:16">
      <c r="A229" s="134">
        <v>233</v>
      </c>
      <c r="B229" s="259" t="s">
        <v>1476</v>
      </c>
      <c r="C229" s="129" t="s">
        <v>1477</v>
      </c>
      <c r="D229" s="292">
        <v>245</v>
      </c>
      <c r="E229" s="292">
        <v>0</v>
      </c>
      <c r="F229" s="139">
        <f t="shared" si="23"/>
        <v>245</v>
      </c>
      <c r="G229" s="292">
        <v>28</v>
      </c>
      <c r="H229" s="292">
        <v>0</v>
      </c>
      <c r="I229" s="139">
        <f t="shared" si="24"/>
        <v>28</v>
      </c>
      <c r="J229" s="266">
        <f t="shared" si="25"/>
        <v>0.1143</v>
      </c>
      <c r="K229" s="136">
        <f t="shared" si="20"/>
        <v>0</v>
      </c>
      <c r="L229" s="136">
        <f t="shared" si="21"/>
        <v>0</v>
      </c>
      <c r="M229" s="136">
        <f t="shared" si="22"/>
        <v>0</v>
      </c>
      <c r="O229" s="134"/>
      <c r="P229" s="259"/>
    </row>
    <row r="230" spans="1:16">
      <c r="A230" s="134">
        <v>233</v>
      </c>
      <c r="B230" s="259" t="s">
        <v>1478</v>
      </c>
      <c r="C230" s="129" t="s">
        <v>1479</v>
      </c>
      <c r="D230" s="292">
        <v>430</v>
      </c>
      <c r="E230" s="292">
        <v>0</v>
      </c>
      <c r="F230" s="139">
        <f t="shared" si="23"/>
        <v>430</v>
      </c>
      <c r="G230" s="292">
        <v>157</v>
      </c>
      <c r="H230" s="292">
        <v>0</v>
      </c>
      <c r="I230" s="139">
        <f t="shared" si="24"/>
        <v>157</v>
      </c>
      <c r="J230" s="266">
        <f t="shared" si="25"/>
        <v>0.36509999999999998</v>
      </c>
      <c r="K230" s="136">
        <f t="shared" si="20"/>
        <v>1.7</v>
      </c>
      <c r="L230" s="136">
        <f t="shared" si="21"/>
        <v>0</v>
      </c>
      <c r="M230" s="136">
        <f t="shared" si="22"/>
        <v>1.7</v>
      </c>
      <c r="O230" s="134"/>
      <c r="P230" s="259"/>
    </row>
    <row r="231" spans="1:16">
      <c r="A231" s="134">
        <v>233</v>
      </c>
      <c r="B231" s="259" t="s">
        <v>1480</v>
      </c>
      <c r="C231" s="129" t="s">
        <v>1481</v>
      </c>
      <c r="D231" s="292">
        <v>301</v>
      </c>
      <c r="E231" s="292">
        <v>0</v>
      </c>
      <c r="F231" s="139">
        <f t="shared" si="23"/>
        <v>301</v>
      </c>
      <c r="G231" s="292">
        <v>51</v>
      </c>
      <c r="H231" s="292">
        <v>0</v>
      </c>
      <c r="I231" s="139">
        <f t="shared" si="24"/>
        <v>51</v>
      </c>
      <c r="J231" s="266">
        <f t="shared" si="25"/>
        <v>0.1694</v>
      </c>
      <c r="K231" s="136">
        <f t="shared" si="20"/>
        <v>0</v>
      </c>
      <c r="L231" s="136">
        <f t="shared" si="21"/>
        <v>0</v>
      </c>
      <c r="M231" s="136">
        <f t="shared" si="22"/>
        <v>0</v>
      </c>
      <c r="O231" s="134"/>
      <c r="P231" s="259"/>
    </row>
    <row r="232" spans="1:16">
      <c r="A232" s="134">
        <v>233</v>
      </c>
      <c r="B232" s="259" t="s">
        <v>1482</v>
      </c>
      <c r="C232" s="129" t="s">
        <v>1483</v>
      </c>
      <c r="D232" s="292">
        <v>403</v>
      </c>
      <c r="E232" s="292">
        <v>0</v>
      </c>
      <c r="F232" s="139">
        <f t="shared" si="23"/>
        <v>403</v>
      </c>
      <c r="G232" s="292">
        <v>104</v>
      </c>
      <c r="H232" s="292">
        <v>0</v>
      </c>
      <c r="I232" s="139">
        <f t="shared" si="24"/>
        <v>104</v>
      </c>
      <c r="J232" s="266">
        <f t="shared" si="25"/>
        <v>0.2581</v>
      </c>
      <c r="K232" s="136">
        <f t="shared" si="20"/>
        <v>0</v>
      </c>
      <c r="L232" s="136">
        <f t="shared" si="21"/>
        <v>0</v>
      </c>
      <c r="M232" s="136">
        <f t="shared" si="22"/>
        <v>0</v>
      </c>
      <c r="O232" s="134"/>
      <c r="P232" s="259"/>
    </row>
    <row r="233" spans="1:16">
      <c r="A233" s="134">
        <v>233</v>
      </c>
      <c r="B233" s="259" t="s">
        <v>1484</v>
      </c>
      <c r="C233" s="129" t="s">
        <v>1485</v>
      </c>
      <c r="D233" s="292">
        <v>333</v>
      </c>
      <c r="E233" s="292">
        <v>0</v>
      </c>
      <c r="F233" s="139">
        <f t="shared" si="23"/>
        <v>333</v>
      </c>
      <c r="G233" s="292">
        <v>39</v>
      </c>
      <c r="H233" s="292">
        <v>0</v>
      </c>
      <c r="I233" s="139">
        <f t="shared" si="24"/>
        <v>39</v>
      </c>
      <c r="J233" s="266">
        <f t="shared" si="25"/>
        <v>0.1171</v>
      </c>
      <c r="K233" s="136">
        <f t="shared" si="20"/>
        <v>0</v>
      </c>
      <c r="L233" s="136">
        <f t="shared" si="21"/>
        <v>0</v>
      </c>
      <c r="M233" s="136">
        <f t="shared" si="22"/>
        <v>0</v>
      </c>
      <c r="O233" s="134"/>
      <c r="P233" s="259"/>
    </row>
    <row r="234" spans="1:16">
      <c r="A234" s="134">
        <v>233</v>
      </c>
      <c r="B234" s="259" t="s">
        <v>1486</v>
      </c>
      <c r="C234" s="129" t="s">
        <v>1487</v>
      </c>
      <c r="D234" s="292">
        <v>584</v>
      </c>
      <c r="E234" s="292">
        <v>0</v>
      </c>
      <c r="F234" s="139">
        <f t="shared" si="23"/>
        <v>584</v>
      </c>
      <c r="G234" s="292">
        <v>67</v>
      </c>
      <c r="H234" s="292">
        <v>0</v>
      </c>
      <c r="I234" s="139">
        <f t="shared" si="24"/>
        <v>67</v>
      </c>
      <c r="J234" s="266">
        <f t="shared" si="25"/>
        <v>0.1147</v>
      </c>
      <c r="K234" s="136">
        <f t="shared" si="20"/>
        <v>0</v>
      </c>
      <c r="L234" s="136">
        <f t="shared" si="21"/>
        <v>0</v>
      </c>
      <c r="M234" s="136">
        <f t="shared" si="22"/>
        <v>0</v>
      </c>
      <c r="O234" s="134"/>
      <c r="P234" s="259"/>
    </row>
    <row r="235" spans="1:16">
      <c r="A235" s="134">
        <v>233</v>
      </c>
      <c r="B235" s="259" t="s">
        <v>1488</v>
      </c>
      <c r="C235" s="129" t="s">
        <v>1489</v>
      </c>
      <c r="D235" s="292">
        <v>403</v>
      </c>
      <c r="E235" s="292">
        <v>0</v>
      </c>
      <c r="F235" s="139">
        <f t="shared" si="23"/>
        <v>403</v>
      </c>
      <c r="G235" s="292">
        <v>19</v>
      </c>
      <c r="H235" s="292">
        <v>0</v>
      </c>
      <c r="I235" s="139">
        <f t="shared" si="24"/>
        <v>19</v>
      </c>
      <c r="J235" s="266">
        <f t="shared" si="25"/>
        <v>4.7100000000000003E-2</v>
      </c>
      <c r="K235" s="136">
        <f t="shared" si="20"/>
        <v>0</v>
      </c>
      <c r="L235" s="136">
        <f t="shared" si="21"/>
        <v>0</v>
      </c>
      <c r="M235" s="136">
        <f t="shared" si="22"/>
        <v>0</v>
      </c>
      <c r="O235" s="134"/>
      <c r="P235" s="259"/>
    </row>
    <row r="236" spans="1:16">
      <c r="A236" s="134">
        <v>233</v>
      </c>
      <c r="B236" s="259" t="s">
        <v>1490</v>
      </c>
      <c r="C236" s="129" t="s">
        <v>1491</v>
      </c>
      <c r="D236" s="292">
        <v>382</v>
      </c>
      <c r="E236" s="292">
        <v>0</v>
      </c>
      <c r="F236" s="139">
        <f t="shared" si="23"/>
        <v>382</v>
      </c>
      <c r="G236" s="292">
        <v>72</v>
      </c>
      <c r="H236" s="292">
        <v>0</v>
      </c>
      <c r="I236" s="139">
        <f t="shared" si="24"/>
        <v>72</v>
      </c>
      <c r="J236" s="266">
        <f t="shared" si="25"/>
        <v>0.1885</v>
      </c>
      <c r="K236" s="136">
        <f t="shared" si="20"/>
        <v>0</v>
      </c>
      <c r="L236" s="136">
        <f t="shared" si="21"/>
        <v>0</v>
      </c>
      <c r="M236" s="136">
        <f t="shared" si="22"/>
        <v>0</v>
      </c>
      <c r="O236" s="134"/>
      <c r="P236" s="259"/>
    </row>
    <row r="237" spans="1:16">
      <c r="A237" s="134">
        <v>233</v>
      </c>
      <c r="B237" s="259" t="s">
        <v>1492</v>
      </c>
      <c r="C237" s="129" t="s">
        <v>1493</v>
      </c>
      <c r="D237" s="292">
        <v>299</v>
      </c>
      <c r="E237" s="292">
        <v>0</v>
      </c>
      <c r="F237" s="139">
        <f t="shared" si="23"/>
        <v>299</v>
      </c>
      <c r="G237" s="292">
        <v>65</v>
      </c>
      <c r="H237" s="292">
        <v>0</v>
      </c>
      <c r="I237" s="139">
        <f t="shared" si="24"/>
        <v>65</v>
      </c>
      <c r="J237" s="266">
        <f t="shared" si="25"/>
        <v>0.21740000000000001</v>
      </c>
      <c r="K237" s="136">
        <f t="shared" si="20"/>
        <v>0</v>
      </c>
      <c r="L237" s="136">
        <f t="shared" si="21"/>
        <v>0</v>
      </c>
      <c r="M237" s="136">
        <f t="shared" si="22"/>
        <v>0</v>
      </c>
      <c r="O237" s="134"/>
      <c r="P237" s="259"/>
    </row>
    <row r="238" spans="1:16">
      <c r="A238" s="134">
        <v>233</v>
      </c>
      <c r="B238" s="259" t="s">
        <v>1494</v>
      </c>
      <c r="C238" s="129" t="s">
        <v>1495</v>
      </c>
      <c r="D238" s="292">
        <v>327</v>
      </c>
      <c r="E238" s="292">
        <v>0</v>
      </c>
      <c r="F238" s="139">
        <f t="shared" si="23"/>
        <v>327</v>
      </c>
      <c r="G238" s="292">
        <v>38</v>
      </c>
      <c r="H238" s="292">
        <v>0</v>
      </c>
      <c r="I238" s="139">
        <f t="shared" si="24"/>
        <v>38</v>
      </c>
      <c r="J238" s="266">
        <f t="shared" si="25"/>
        <v>0.1162</v>
      </c>
      <c r="K238" s="136">
        <f t="shared" si="20"/>
        <v>0</v>
      </c>
      <c r="L238" s="136">
        <f t="shared" si="21"/>
        <v>0</v>
      </c>
      <c r="M238" s="136">
        <f t="shared" si="22"/>
        <v>0</v>
      </c>
      <c r="O238" s="134"/>
      <c r="P238" s="259"/>
    </row>
    <row r="239" spans="1:16">
      <c r="A239" s="134">
        <v>233</v>
      </c>
      <c r="B239" s="259" t="s">
        <v>1496</v>
      </c>
      <c r="C239" s="129" t="s">
        <v>1497</v>
      </c>
      <c r="D239" s="292">
        <v>575</v>
      </c>
      <c r="E239" s="292">
        <v>0</v>
      </c>
      <c r="F239" s="139">
        <f t="shared" si="23"/>
        <v>575</v>
      </c>
      <c r="G239" s="292">
        <v>70</v>
      </c>
      <c r="H239" s="292">
        <v>0</v>
      </c>
      <c r="I239" s="139">
        <f t="shared" si="24"/>
        <v>70</v>
      </c>
      <c r="J239" s="266">
        <f t="shared" si="25"/>
        <v>0.1217</v>
      </c>
      <c r="K239" s="136">
        <f t="shared" si="20"/>
        <v>0</v>
      </c>
      <c r="L239" s="136">
        <f t="shared" si="21"/>
        <v>0</v>
      </c>
      <c r="M239" s="136">
        <f t="shared" si="22"/>
        <v>0</v>
      </c>
      <c r="O239" s="134"/>
      <c r="P239" s="259"/>
    </row>
    <row r="240" spans="1:16">
      <c r="A240" s="134">
        <v>233</v>
      </c>
      <c r="B240" s="259" t="s">
        <v>1498</v>
      </c>
      <c r="C240" s="129" t="s">
        <v>1499</v>
      </c>
      <c r="D240" s="292">
        <v>362</v>
      </c>
      <c r="E240" s="292">
        <v>0</v>
      </c>
      <c r="F240" s="139">
        <f t="shared" si="23"/>
        <v>362</v>
      </c>
      <c r="G240" s="292">
        <v>37</v>
      </c>
      <c r="H240" s="292">
        <v>0</v>
      </c>
      <c r="I240" s="139">
        <f t="shared" si="24"/>
        <v>37</v>
      </c>
      <c r="J240" s="266">
        <f t="shared" si="25"/>
        <v>0.1022</v>
      </c>
      <c r="K240" s="136">
        <f t="shared" si="20"/>
        <v>0</v>
      </c>
      <c r="L240" s="136">
        <f t="shared" si="21"/>
        <v>0</v>
      </c>
      <c r="M240" s="136">
        <f t="shared" si="22"/>
        <v>0</v>
      </c>
      <c r="O240" s="134"/>
      <c r="P240" s="259"/>
    </row>
    <row r="241" spans="1:16">
      <c r="A241" s="134">
        <v>233</v>
      </c>
      <c r="B241" s="259" t="s">
        <v>1500</v>
      </c>
      <c r="C241" s="129" t="s">
        <v>1501</v>
      </c>
      <c r="D241" s="292">
        <v>613</v>
      </c>
      <c r="E241" s="292">
        <v>0</v>
      </c>
      <c r="F241" s="139">
        <f t="shared" si="23"/>
        <v>613</v>
      </c>
      <c r="G241" s="292">
        <v>35</v>
      </c>
      <c r="H241" s="292">
        <v>0</v>
      </c>
      <c r="I241" s="139">
        <f t="shared" si="24"/>
        <v>35</v>
      </c>
      <c r="J241" s="266">
        <f t="shared" si="25"/>
        <v>5.7099999999999998E-2</v>
      </c>
      <c r="K241" s="136">
        <f t="shared" si="20"/>
        <v>0</v>
      </c>
      <c r="L241" s="136">
        <f t="shared" si="21"/>
        <v>0</v>
      </c>
      <c r="M241" s="136">
        <f t="shared" si="22"/>
        <v>0</v>
      </c>
      <c r="O241" s="134"/>
      <c r="P241" s="259"/>
    </row>
    <row r="242" spans="1:16">
      <c r="A242" s="134">
        <v>233</v>
      </c>
      <c r="B242" s="259" t="s">
        <v>1502</v>
      </c>
      <c r="C242" s="129" t="s">
        <v>1503</v>
      </c>
      <c r="D242" s="292">
        <v>563</v>
      </c>
      <c r="E242" s="292">
        <v>0</v>
      </c>
      <c r="F242" s="139">
        <f t="shared" si="23"/>
        <v>563</v>
      </c>
      <c r="G242" s="292">
        <v>68</v>
      </c>
      <c r="H242" s="292">
        <v>0</v>
      </c>
      <c r="I242" s="139">
        <f t="shared" si="24"/>
        <v>68</v>
      </c>
      <c r="J242" s="266">
        <f t="shared" si="25"/>
        <v>0.1208</v>
      </c>
      <c r="K242" s="136">
        <f t="shared" si="20"/>
        <v>0</v>
      </c>
      <c r="L242" s="136">
        <f t="shared" si="21"/>
        <v>0</v>
      </c>
      <c r="M242" s="136">
        <f t="shared" si="22"/>
        <v>0</v>
      </c>
      <c r="O242" s="134"/>
      <c r="P242" s="259"/>
    </row>
    <row r="243" spans="1:16">
      <c r="A243" s="134">
        <v>233</v>
      </c>
      <c r="B243" s="259" t="s">
        <v>1504</v>
      </c>
      <c r="C243" s="129" t="s">
        <v>1505</v>
      </c>
      <c r="D243" s="292">
        <v>737</v>
      </c>
      <c r="E243" s="292">
        <v>0</v>
      </c>
      <c r="F243" s="139">
        <f t="shared" si="23"/>
        <v>737</v>
      </c>
      <c r="G243" s="292">
        <v>47</v>
      </c>
      <c r="H243" s="292">
        <v>0</v>
      </c>
      <c r="I243" s="139">
        <f t="shared" si="24"/>
        <v>47</v>
      </c>
      <c r="J243" s="266">
        <f t="shared" si="25"/>
        <v>6.3799999999999996E-2</v>
      </c>
      <c r="K243" s="136">
        <f t="shared" si="20"/>
        <v>0</v>
      </c>
      <c r="L243" s="136">
        <f t="shared" si="21"/>
        <v>0</v>
      </c>
      <c r="M243" s="136">
        <f t="shared" si="22"/>
        <v>0</v>
      </c>
      <c r="O243" s="134"/>
      <c r="P243" s="259"/>
    </row>
    <row r="244" spans="1:16">
      <c r="A244" s="134">
        <v>233</v>
      </c>
      <c r="B244" s="259" t="s">
        <v>1506</v>
      </c>
      <c r="C244" s="129" t="s">
        <v>1507</v>
      </c>
      <c r="D244" s="292">
        <v>424</v>
      </c>
      <c r="E244" s="292">
        <v>0</v>
      </c>
      <c r="F244" s="139">
        <f t="shared" si="23"/>
        <v>424</v>
      </c>
      <c r="G244" s="292">
        <v>116</v>
      </c>
      <c r="H244" s="292">
        <v>0</v>
      </c>
      <c r="I244" s="139">
        <f t="shared" si="24"/>
        <v>116</v>
      </c>
      <c r="J244" s="266">
        <f t="shared" si="25"/>
        <v>0.27360000000000001</v>
      </c>
      <c r="K244" s="136">
        <f t="shared" si="20"/>
        <v>0</v>
      </c>
      <c r="L244" s="136">
        <f t="shared" si="21"/>
        <v>0</v>
      </c>
      <c r="M244" s="136">
        <f t="shared" si="22"/>
        <v>0</v>
      </c>
      <c r="O244" s="134"/>
      <c r="P244" s="259"/>
    </row>
    <row r="245" spans="1:16">
      <c r="A245" s="134">
        <v>233</v>
      </c>
      <c r="B245" s="259" t="s">
        <v>1508</v>
      </c>
      <c r="C245" s="129" t="s">
        <v>1509</v>
      </c>
      <c r="D245" s="292">
        <v>435</v>
      </c>
      <c r="E245" s="292">
        <v>0</v>
      </c>
      <c r="F245" s="139">
        <f t="shared" si="23"/>
        <v>435</v>
      </c>
      <c r="G245" s="292">
        <v>52</v>
      </c>
      <c r="H245" s="292">
        <v>0</v>
      </c>
      <c r="I245" s="139">
        <f t="shared" si="24"/>
        <v>52</v>
      </c>
      <c r="J245" s="266">
        <f t="shared" si="25"/>
        <v>0.1195</v>
      </c>
      <c r="K245" s="136">
        <f t="shared" si="20"/>
        <v>0</v>
      </c>
      <c r="L245" s="136">
        <f t="shared" si="21"/>
        <v>0</v>
      </c>
      <c r="M245" s="136">
        <f t="shared" si="22"/>
        <v>0</v>
      </c>
      <c r="O245" s="134"/>
      <c r="P245" s="259"/>
    </row>
    <row r="246" spans="1:16">
      <c r="A246" s="134">
        <v>234</v>
      </c>
      <c r="B246" s="259" t="s">
        <v>1510</v>
      </c>
      <c r="C246" s="129" t="s">
        <v>1511</v>
      </c>
      <c r="D246" s="292">
        <v>362</v>
      </c>
      <c r="E246" s="292">
        <v>0</v>
      </c>
      <c r="F246" s="139">
        <f t="shared" si="23"/>
        <v>362</v>
      </c>
      <c r="G246" s="292">
        <v>201</v>
      </c>
      <c r="H246" s="292">
        <v>0</v>
      </c>
      <c r="I246" s="139">
        <f t="shared" si="24"/>
        <v>201</v>
      </c>
      <c r="J246" s="266">
        <f t="shared" si="25"/>
        <v>0.55520000000000003</v>
      </c>
      <c r="K246" s="136">
        <f t="shared" si="20"/>
        <v>0</v>
      </c>
      <c r="L246" s="136">
        <f t="shared" si="21"/>
        <v>21.1</v>
      </c>
      <c r="M246" s="136">
        <f t="shared" si="22"/>
        <v>21.1</v>
      </c>
      <c r="O246" s="134"/>
      <c r="P246" s="259"/>
    </row>
    <row r="247" spans="1:16">
      <c r="A247" s="134">
        <v>234</v>
      </c>
      <c r="B247" s="259" t="s">
        <v>1512</v>
      </c>
      <c r="C247" s="129" t="s">
        <v>1513</v>
      </c>
      <c r="D247" s="292">
        <v>427</v>
      </c>
      <c r="E247" s="292">
        <v>0</v>
      </c>
      <c r="F247" s="139">
        <f t="shared" si="23"/>
        <v>427</v>
      </c>
      <c r="G247" s="292">
        <v>281</v>
      </c>
      <c r="H247" s="292">
        <v>0</v>
      </c>
      <c r="I247" s="139">
        <f t="shared" si="24"/>
        <v>281</v>
      </c>
      <c r="J247" s="266">
        <f t="shared" si="25"/>
        <v>0.65810000000000002</v>
      </c>
      <c r="K247" s="136">
        <f t="shared" si="20"/>
        <v>0</v>
      </c>
      <c r="L247" s="136">
        <f t="shared" si="21"/>
        <v>29.5</v>
      </c>
      <c r="M247" s="136">
        <f t="shared" si="22"/>
        <v>29.5</v>
      </c>
      <c r="O247" s="134"/>
      <c r="P247" s="259"/>
    </row>
    <row r="248" spans="1:16">
      <c r="A248" s="134">
        <v>234</v>
      </c>
      <c r="B248" s="259" t="s">
        <v>1514</v>
      </c>
      <c r="C248" s="129" t="s">
        <v>1515</v>
      </c>
      <c r="D248" s="292">
        <v>393</v>
      </c>
      <c r="E248" s="292">
        <v>0</v>
      </c>
      <c r="F248" s="139">
        <f t="shared" si="23"/>
        <v>393</v>
      </c>
      <c r="G248" s="292">
        <v>206</v>
      </c>
      <c r="H248" s="292">
        <v>0</v>
      </c>
      <c r="I248" s="139">
        <f t="shared" si="24"/>
        <v>206</v>
      </c>
      <c r="J248" s="266">
        <f t="shared" si="25"/>
        <v>0.5242</v>
      </c>
      <c r="K248" s="136">
        <f t="shared" si="20"/>
        <v>0</v>
      </c>
      <c r="L248" s="136">
        <f t="shared" si="21"/>
        <v>21.6</v>
      </c>
      <c r="M248" s="136">
        <f t="shared" si="22"/>
        <v>21.6</v>
      </c>
      <c r="O248" s="134"/>
      <c r="P248" s="259"/>
    </row>
    <row r="249" spans="1:16">
      <c r="A249" s="134">
        <v>234</v>
      </c>
      <c r="B249" s="259" t="s">
        <v>1516</v>
      </c>
      <c r="C249" s="129" t="s">
        <v>1517</v>
      </c>
      <c r="D249" s="292">
        <v>553</v>
      </c>
      <c r="E249" s="292">
        <v>0</v>
      </c>
      <c r="F249" s="139">
        <f t="shared" si="23"/>
        <v>553</v>
      </c>
      <c r="G249" s="292">
        <v>285</v>
      </c>
      <c r="H249" s="292">
        <v>0</v>
      </c>
      <c r="I249" s="139">
        <f t="shared" si="24"/>
        <v>285</v>
      </c>
      <c r="J249" s="266">
        <f t="shared" si="25"/>
        <v>0.51539999999999997</v>
      </c>
      <c r="K249" s="136">
        <f t="shared" si="20"/>
        <v>0</v>
      </c>
      <c r="L249" s="136">
        <f t="shared" si="21"/>
        <v>29.9</v>
      </c>
      <c r="M249" s="136">
        <f t="shared" si="22"/>
        <v>29.9</v>
      </c>
      <c r="O249" s="134"/>
      <c r="P249" s="259"/>
    </row>
    <row r="250" spans="1:16">
      <c r="A250" s="134">
        <v>235</v>
      </c>
      <c r="B250" s="259" t="s">
        <v>1518</v>
      </c>
      <c r="C250" s="129" t="s">
        <v>1519</v>
      </c>
      <c r="D250" s="292">
        <v>189</v>
      </c>
      <c r="E250" s="292">
        <v>0</v>
      </c>
      <c r="F250" s="139">
        <f t="shared" si="23"/>
        <v>189</v>
      </c>
      <c r="G250" s="292">
        <v>102</v>
      </c>
      <c r="H250" s="292">
        <v>0</v>
      </c>
      <c r="I250" s="139">
        <f t="shared" si="24"/>
        <v>102</v>
      </c>
      <c r="J250" s="266">
        <f t="shared" si="25"/>
        <v>0.53969999999999996</v>
      </c>
      <c r="K250" s="136">
        <f t="shared" si="20"/>
        <v>0</v>
      </c>
      <c r="L250" s="136">
        <f t="shared" si="21"/>
        <v>10.7</v>
      </c>
      <c r="M250" s="136">
        <f t="shared" si="22"/>
        <v>10.7</v>
      </c>
      <c r="O250" s="134"/>
      <c r="P250" s="259"/>
    </row>
    <row r="251" spans="1:16">
      <c r="A251" s="134">
        <v>235</v>
      </c>
      <c r="B251" s="259" t="s">
        <v>1520</v>
      </c>
      <c r="C251" s="129" t="s">
        <v>1521</v>
      </c>
      <c r="D251" s="292">
        <v>261</v>
      </c>
      <c r="E251" s="292">
        <v>0</v>
      </c>
      <c r="F251" s="139">
        <f t="shared" si="23"/>
        <v>261</v>
      </c>
      <c r="G251" s="292">
        <v>166</v>
      </c>
      <c r="H251" s="292">
        <v>0</v>
      </c>
      <c r="I251" s="139">
        <f t="shared" si="24"/>
        <v>166</v>
      </c>
      <c r="J251" s="266">
        <f t="shared" si="25"/>
        <v>0.63600000000000001</v>
      </c>
      <c r="K251" s="136">
        <f t="shared" si="20"/>
        <v>0</v>
      </c>
      <c r="L251" s="136">
        <f t="shared" si="21"/>
        <v>17.399999999999999</v>
      </c>
      <c r="M251" s="136">
        <f t="shared" si="22"/>
        <v>17.399999999999999</v>
      </c>
      <c r="O251" s="134"/>
      <c r="P251" s="259"/>
    </row>
    <row r="252" spans="1:16">
      <c r="A252" s="134">
        <v>237</v>
      </c>
      <c r="B252" s="259" t="s">
        <v>1522</v>
      </c>
      <c r="C252" s="129" t="s">
        <v>1523</v>
      </c>
      <c r="D252" s="292">
        <v>250</v>
      </c>
      <c r="E252" s="292">
        <v>0</v>
      </c>
      <c r="F252" s="139">
        <f t="shared" si="23"/>
        <v>250</v>
      </c>
      <c r="G252" s="292">
        <v>95</v>
      </c>
      <c r="H252" s="292">
        <v>0</v>
      </c>
      <c r="I252" s="139">
        <f t="shared" si="24"/>
        <v>95</v>
      </c>
      <c r="J252" s="266">
        <f t="shared" si="25"/>
        <v>0.38</v>
      </c>
      <c r="K252" s="136">
        <f t="shared" si="20"/>
        <v>2</v>
      </c>
      <c r="L252" s="136">
        <f t="shared" si="21"/>
        <v>0</v>
      </c>
      <c r="M252" s="136">
        <f t="shared" si="22"/>
        <v>2</v>
      </c>
      <c r="O252" s="134"/>
      <c r="P252" s="259"/>
    </row>
    <row r="253" spans="1:16">
      <c r="A253" s="134">
        <v>237</v>
      </c>
      <c r="B253" s="259" t="s">
        <v>1524</v>
      </c>
      <c r="C253" s="129" t="s">
        <v>1525</v>
      </c>
      <c r="D253" s="292">
        <v>200</v>
      </c>
      <c r="E253" s="292">
        <v>0</v>
      </c>
      <c r="F253" s="139">
        <f t="shared" si="23"/>
        <v>200</v>
      </c>
      <c r="G253" s="292">
        <v>81</v>
      </c>
      <c r="H253" s="292">
        <v>0</v>
      </c>
      <c r="I253" s="139">
        <f t="shared" si="24"/>
        <v>81</v>
      </c>
      <c r="J253" s="266">
        <f t="shared" si="25"/>
        <v>0.40500000000000003</v>
      </c>
      <c r="K253" s="136">
        <f t="shared" si="20"/>
        <v>3.1</v>
      </c>
      <c r="L253" s="136">
        <f t="shared" si="21"/>
        <v>0</v>
      </c>
      <c r="M253" s="136">
        <f t="shared" si="22"/>
        <v>3.1</v>
      </c>
      <c r="O253" s="134"/>
      <c r="P253" s="259"/>
    </row>
    <row r="254" spans="1:16">
      <c r="A254" s="134">
        <v>239</v>
      </c>
      <c r="B254" s="259" t="s">
        <v>1526</v>
      </c>
      <c r="C254" s="129" t="s">
        <v>1527</v>
      </c>
      <c r="D254" s="292">
        <v>314</v>
      </c>
      <c r="E254" s="292">
        <v>0</v>
      </c>
      <c r="F254" s="139">
        <f t="shared" si="23"/>
        <v>314</v>
      </c>
      <c r="G254" s="292">
        <v>144</v>
      </c>
      <c r="H254" s="292">
        <v>0</v>
      </c>
      <c r="I254" s="139">
        <f t="shared" si="24"/>
        <v>144</v>
      </c>
      <c r="J254" s="266">
        <f t="shared" si="25"/>
        <v>0.45860000000000001</v>
      </c>
      <c r="K254" s="136">
        <f t="shared" si="20"/>
        <v>10.9</v>
      </c>
      <c r="L254" s="136">
        <f t="shared" si="21"/>
        <v>0</v>
      </c>
      <c r="M254" s="136">
        <f t="shared" si="22"/>
        <v>10.9</v>
      </c>
      <c r="O254" s="134"/>
      <c r="P254" s="259"/>
    </row>
    <row r="255" spans="1:16">
      <c r="A255" s="134">
        <v>239</v>
      </c>
      <c r="B255" s="259" t="s">
        <v>1528</v>
      </c>
      <c r="C255" s="129" t="s">
        <v>1529</v>
      </c>
      <c r="D255" s="292">
        <v>307</v>
      </c>
      <c r="E255" s="292">
        <v>0</v>
      </c>
      <c r="F255" s="139">
        <f t="shared" si="23"/>
        <v>307</v>
      </c>
      <c r="G255" s="292">
        <v>122</v>
      </c>
      <c r="H255" s="292">
        <v>0</v>
      </c>
      <c r="I255" s="139">
        <f t="shared" si="24"/>
        <v>122</v>
      </c>
      <c r="J255" s="266">
        <f t="shared" si="25"/>
        <v>0.39739999999999998</v>
      </c>
      <c r="K255" s="136">
        <f t="shared" si="20"/>
        <v>4</v>
      </c>
      <c r="L255" s="136">
        <f t="shared" si="21"/>
        <v>0</v>
      </c>
      <c r="M255" s="136">
        <f t="shared" si="22"/>
        <v>4</v>
      </c>
      <c r="O255" s="134"/>
      <c r="P255" s="259"/>
    </row>
    <row r="256" spans="1:16">
      <c r="A256" s="134">
        <v>240</v>
      </c>
      <c r="B256" s="259" t="s">
        <v>1530</v>
      </c>
      <c r="C256" s="129" t="s">
        <v>1531</v>
      </c>
      <c r="D256" s="292">
        <v>253</v>
      </c>
      <c r="E256" s="292">
        <v>0</v>
      </c>
      <c r="F256" s="139">
        <f t="shared" si="23"/>
        <v>253</v>
      </c>
      <c r="G256" s="292">
        <v>98</v>
      </c>
      <c r="H256" s="292">
        <v>0</v>
      </c>
      <c r="I256" s="139">
        <f t="shared" si="24"/>
        <v>98</v>
      </c>
      <c r="J256" s="266">
        <f t="shared" si="25"/>
        <v>0.38740000000000002</v>
      </c>
      <c r="K256" s="136">
        <f t="shared" si="20"/>
        <v>2.6</v>
      </c>
      <c r="L256" s="136">
        <f t="shared" si="21"/>
        <v>0</v>
      </c>
      <c r="M256" s="136">
        <f t="shared" si="22"/>
        <v>2.6</v>
      </c>
      <c r="O256" s="134"/>
      <c r="P256" s="259"/>
    </row>
    <row r="257" spans="1:16">
      <c r="A257" s="134">
        <v>240</v>
      </c>
      <c r="B257" s="259" t="s">
        <v>1532</v>
      </c>
      <c r="C257" s="129" t="s">
        <v>1533</v>
      </c>
      <c r="D257" s="292">
        <v>214</v>
      </c>
      <c r="E257" s="292">
        <v>0</v>
      </c>
      <c r="F257" s="139">
        <f t="shared" si="23"/>
        <v>214</v>
      </c>
      <c r="G257" s="292">
        <v>84</v>
      </c>
      <c r="H257" s="292">
        <v>0</v>
      </c>
      <c r="I257" s="139">
        <f t="shared" si="24"/>
        <v>84</v>
      </c>
      <c r="J257" s="266">
        <f t="shared" si="25"/>
        <v>0.39250000000000002</v>
      </c>
      <c r="K257" s="136">
        <f t="shared" si="20"/>
        <v>2.5</v>
      </c>
      <c r="L257" s="136">
        <f t="shared" si="21"/>
        <v>0</v>
      </c>
      <c r="M257" s="136">
        <f t="shared" si="22"/>
        <v>2.5</v>
      </c>
      <c r="O257" s="134"/>
      <c r="P257" s="259"/>
    </row>
    <row r="258" spans="1:16">
      <c r="A258" s="134">
        <v>240</v>
      </c>
      <c r="B258" s="259" t="s">
        <v>1534</v>
      </c>
      <c r="C258" s="129" t="s">
        <v>1535</v>
      </c>
      <c r="D258" s="292">
        <v>79</v>
      </c>
      <c r="E258" s="292">
        <v>0</v>
      </c>
      <c r="F258" s="139">
        <f t="shared" si="23"/>
        <v>79</v>
      </c>
      <c r="G258" s="292">
        <v>51</v>
      </c>
      <c r="H258" s="292">
        <v>0</v>
      </c>
      <c r="I258" s="139">
        <f t="shared" si="24"/>
        <v>51</v>
      </c>
      <c r="J258" s="266">
        <f t="shared" si="25"/>
        <v>0.64559999999999995</v>
      </c>
      <c r="K258" s="136">
        <f t="shared" si="20"/>
        <v>0</v>
      </c>
      <c r="L258" s="136">
        <f t="shared" si="21"/>
        <v>5.4</v>
      </c>
      <c r="M258" s="136">
        <f t="shared" si="22"/>
        <v>5.4</v>
      </c>
      <c r="O258" s="134"/>
      <c r="P258" s="259"/>
    </row>
    <row r="259" spans="1:16">
      <c r="A259" s="134">
        <v>240</v>
      </c>
      <c r="B259" s="259" t="s">
        <v>1536</v>
      </c>
      <c r="C259" s="129" t="s">
        <v>1537</v>
      </c>
      <c r="D259" s="292">
        <v>67</v>
      </c>
      <c r="E259" s="292">
        <v>0</v>
      </c>
      <c r="F259" s="139">
        <f t="shared" si="23"/>
        <v>67</v>
      </c>
      <c r="G259" s="292">
        <v>28</v>
      </c>
      <c r="H259" s="292">
        <v>0</v>
      </c>
      <c r="I259" s="139">
        <f t="shared" si="24"/>
        <v>28</v>
      </c>
      <c r="J259" s="266">
        <f t="shared" si="25"/>
        <v>0.41789999999999999</v>
      </c>
      <c r="K259" s="136">
        <f t="shared" si="20"/>
        <v>1.3</v>
      </c>
      <c r="L259" s="136">
        <f t="shared" si="21"/>
        <v>0</v>
      </c>
      <c r="M259" s="136">
        <f t="shared" si="22"/>
        <v>1.3</v>
      </c>
      <c r="O259" s="134"/>
      <c r="P259" s="259"/>
    </row>
    <row r="260" spans="1:16">
      <c r="A260" s="134">
        <v>241</v>
      </c>
      <c r="B260" s="259" t="s">
        <v>1538</v>
      </c>
      <c r="C260" s="129" t="s">
        <v>1539</v>
      </c>
      <c r="D260" s="292">
        <v>113</v>
      </c>
      <c r="E260" s="292">
        <v>0</v>
      </c>
      <c r="F260" s="139">
        <f t="shared" si="23"/>
        <v>113</v>
      </c>
      <c r="G260" s="292">
        <v>42</v>
      </c>
      <c r="H260" s="292">
        <v>0</v>
      </c>
      <c r="I260" s="139">
        <f t="shared" si="24"/>
        <v>42</v>
      </c>
      <c r="J260" s="266">
        <f t="shared" si="25"/>
        <v>0.37169999999999997</v>
      </c>
      <c r="K260" s="136">
        <f t="shared" si="20"/>
        <v>0.6</v>
      </c>
      <c r="L260" s="136">
        <f t="shared" si="21"/>
        <v>0</v>
      </c>
      <c r="M260" s="136">
        <f t="shared" si="22"/>
        <v>0.6</v>
      </c>
      <c r="O260" s="134"/>
      <c r="P260" s="259"/>
    </row>
    <row r="261" spans="1:16">
      <c r="A261" s="134">
        <v>241</v>
      </c>
      <c r="B261" s="259" t="s">
        <v>1540</v>
      </c>
      <c r="C261" s="129" t="s">
        <v>1541</v>
      </c>
      <c r="D261" s="292">
        <v>59</v>
      </c>
      <c r="E261" s="292">
        <v>0</v>
      </c>
      <c r="F261" s="139">
        <f t="shared" si="23"/>
        <v>59</v>
      </c>
      <c r="G261" s="292">
        <v>13</v>
      </c>
      <c r="H261" s="292">
        <v>0</v>
      </c>
      <c r="I261" s="139">
        <f t="shared" si="24"/>
        <v>13</v>
      </c>
      <c r="J261" s="266">
        <f t="shared" si="25"/>
        <v>0.2203</v>
      </c>
      <c r="K261" s="136">
        <f t="shared" ref="K261:K324" si="26">IF(AND((J261-35%)&gt;0,J261&lt;50%),I261*(J261-35%)*0.7,0)</f>
        <v>0</v>
      </c>
      <c r="L261" s="136">
        <f t="shared" ref="L261:L324" si="27">IF(J261&gt;=50%,I261*10.5%,0)</f>
        <v>0</v>
      </c>
      <c r="M261" s="136">
        <f t="shared" ref="M261:M324" si="28">MAX(K261,L261)</f>
        <v>0</v>
      </c>
      <c r="O261" s="134"/>
      <c r="P261" s="259"/>
    </row>
    <row r="262" spans="1:16">
      <c r="A262" s="134">
        <v>242</v>
      </c>
      <c r="B262" s="259" t="s">
        <v>1542</v>
      </c>
      <c r="C262" s="129" t="s">
        <v>1543</v>
      </c>
      <c r="D262" s="292">
        <v>77</v>
      </c>
      <c r="E262" s="292">
        <v>0</v>
      </c>
      <c r="F262" s="139">
        <f t="shared" ref="F262:F325" si="29">D262+E262</f>
        <v>77</v>
      </c>
      <c r="G262" s="292">
        <v>17</v>
      </c>
      <c r="H262" s="292">
        <v>0</v>
      </c>
      <c r="I262" s="139">
        <f t="shared" ref="I262:I325" si="30">G262+H262</f>
        <v>17</v>
      </c>
      <c r="J262" s="266">
        <f t="shared" ref="J262:J325" si="31">IF(ISERROR(I262/F262),0,I262/F262)</f>
        <v>0.2208</v>
      </c>
      <c r="K262" s="136">
        <f t="shared" si="26"/>
        <v>0</v>
      </c>
      <c r="L262" s="136">
        <f t="shared" si="27"/>
        <v>0</v>
      </c>
      <c r="M262" s="136">
        <f t="shared" si="28"/>
        <v>0</v>
      </c>
      <c r="O262" s="134"/>
      <c r="P262" s="259"/>
    </row>
    <row r="263" spans="1:16">
      <c r="A263" s="134">
        <v>242</v>
      </c>
      <c r="B263" s="259" t="s">
        <v>1544</v>
      </c>
      <c r="C263" s="129" t="s">
        <v>1545</v>
      </c>
      <c r="D263" s="292">
        <v>48</v>
      </c>
      <c r="E263" s="292">
        <v>0</v>
      </c>
      <c r="F263" s="139">
        <f t="shared" si="29"/>
        <v>48</v>
      </c>
      <c r="G263" s="292">
        <v>14</v>
      </c>
      <c r="H263" s="292">
        <v>0</v>
      </c>
      <c r="I263" s="139">
        <f t="shared" si="30"/>
        <v>14</v>
      </c>
      <c r="J263" s="266">
        <f t="shared" si="31"/>
        <v>0.29170000000000001</v>
      </c>
      <c r="K263" s="136">
        <f t="shared" si="26"/>
        <v>0</v>
      </c>
      <c r="L263" s="136">
        <f t="shared" si="27"/>
        <v>0</v>
      </c>
      <c r="M263" s="136">
        <f t="shared" si="28"/>
        <v>0</v>
      </c>
      <c r="O263" s="134"/>
      <c r="P263" s="259"/>
    </row>
    <row r="264" spans="1:16">
      <c r="A264" s="134">
        <v>243</v>
      </c>
      <c r="B264" s="259" t="s">
        <v>1546</v>
      </c>
      <c r="C264" s="129" t="s">
        <v>1547</v>
      </c>
      <c r="D264" s="292">
        <v>146</v>
      </c>
      <c r="E264" s="292">
        <v>0</v>
      </c>
      <c r="F264" s="139">
        <f t="shared" si="29"/>
        <v>146</v>
      </c>
      <c r="G264" s="292">
        <v>57</v>
      </c>
      <c r="H264" s="292">
        <v>0</v>
      </c>
      <c r="I264" s="139">
        <f t="shared" si="30"/>
        <v>57</v>
      </c>
      <c r="J264" s="266">
        <f t="shared" si="31"/>
        <v>0.39040000000000002</v>
      </c>
      <c r="K264" s="136">
        <f t="shared" si="26"/>
        <v>1.6</v>
      </c>
      <c r="L264" s="136">
        <f t="shared" si="27"/>
        <v>0</v>
      </c>
      <c r="M264" s="136">
        <f t="shared" si="28"/>
        <v>1.6</v>
      </c>
      <c r="O264" s="134"/>
      <c r="P264" s="259"/>
    </row>
    <row r="265" spans="1:16">
      <c r="A265" s="134">
        <v>243</v>
      </c>
      <c r="B265" s="259" t="s">
        <v>1548</v>
      </c>
      <c r="C265" s="129" t="s">
        <v>1549</v>
      </c>
      <c r="D265" s="292">
        <v>107</v>
      </c>
      <c r="E265" s="292">
        <v>0</v>
      </c>
      <c r="F265" s="139">
        <f t="shared" si="29"/>
        <v>107</v>
      </c>
      <c r="G265" s="292">
        <v>33</v>
      </c>
      <c r="H265" s="292">
        <v>0</v>
      </c>
      <c r="I265" s="139">
        <f t="shared" si="30"/>
        <v>33</v>
      </c>
      <c r="J265" s="266">
        <f t="shared" si="31"/>
        <v>0.30840000000000001</v>
      </c>
      <c r="K265" s="136">
        <f t="shared" si="26"/>
        <v>0</v>
      </c>
      <c r="L265" s="136">
        <f t="shared" si="27"/>
        <v>0</v>
      </c>
      <c r="M265" s="136">
        <f t="shared" si="28"/>
        <v>0</v>
      </c>
      <c r="O265" s="134"/>
      <c r="P265" s="259"/>
    </row>
    <row r="266" spans="1:16">
      <c r="A266" s="134">
        <v>243</v>
      </c>
      <c r="B266" s="259" t="s">
        <v>1550</v>
      </c>
      <c r="C266" s="129" t="s">
        <v>1551</v>
      </c>
      <c r="D266" s="292">
        <v>127</v>
      </c>
      <c r="E266" s="292">
        <v>0</v>
      </c>
      <c r="F266" s="139">
        <f t="shared" si="29"/>
        <v>127</v>
      </c>
      <c r="G266" s="292">
        <v>56</v>
      </c>
      <c r="H266" s="292">
        <v>0</v>
      </c>
      <c r="I266" s="139">
        <f t="shared" si="30"/>
        <v>56</v>
      </c>
      <c r="J266" s="266">
        <f t="shared" si="31"/>
        <v>0.44090000000000001</v>
      </c>
      <c r="K266" s="136">
        <f t="shared" si="26"/>
        <v>3.6</v>
      </c>
      <c r="L266" s="136">
        <f t="shared" si="27"/>
        <v>0</v>
      </c>
      <c r="M266" s="136">
        <f t="shared" si="28"/>
        <v>3.6</v>
      </c>
      <c r="O266" s="134"/>
      <c r="P266" s="259"/>
    </row>
    <row r="267" spans="1:16">
      <c r="A267" s="134">
        <v>243</v>
      </c>
      <c r="B267" s="259" t="s">
        <v>1552</v>
      </c>
      <c r="C267" s="129" t="s">
        <v>1553</v>
      </c>
      <c r="D267" s="292">
        <v>94</v>
      </c>
      <c r="E267" s="292">
        <v>0</v>
      </c>
      <c r="F267" s="139">
        <f t="shared" si="29"/>
        <v>94</v>
      </c>
      <c r="G267" s="292">
        <v>33</v>
      </c>
      <c r="H267" s="292">
        <v>0</v>
      </c>
      <c r="I267" s="139">
        <f t="shared" si="30"/>
        <v>33</v>
      </c>
      <c r="J267" s="266">
        <f t="shared" si="31"/>
        <v>0.35110000000000002</v>
      </c>
      <c r="K267" s="136">
        <f t="shared" si="26"/>
        <v>0</v>
      </c>
      <c r="L267" s="136">
        <f t="shared" si="27"/>
        <v>0</v>
      </c>
      <c r="M267" s="136">
        <f t="shared" si="28"/>
        <v>0</v>
      </c>
      <c r="O267" s="134"/>
      <c r="P267" s="259"/>
    </row>
    <row r="268" spans="1:16">
      <c r="A268" s="134">
        <v>244</v>
      </c>
      <c r="B268" s="259" t="s">
        <v>1554</v>
      </c>
      <c r="C268" s="129" t="s">
        <v>1555</v>
      </c>
      <c r="D268" s="292">
        <v>256</v>
      </c>
      <c r="E268" s="292">
        <v>0</v>
      </c>
      <c r="F268" s="139">
        <f t="shared" si="29"/>
        <v>256</v>
      </c>
      <c r="G268" s="292">
        <v>79</v>
      </c>
      <c r="H268" s="292">
        <v>0</v>
      </c>
      <c r="I268" s="139">
        <f t="shared" si="30"/>
        <v>79</v>
      </c>
      <c r="J268" s="266">
        <f t="shared" si="31"/>
        <v>0.30859999999999999</v>
      </c>
      <c r="K268" s="136">
        <f t="shared" si="26"/>
        <v>0</v>
      </c>
      <c r="L268" s="136">
        <f t="shared" si="27"/>
        <v>0</v>
      </c>
      <c r="M268" s="136">
        <f t="shared" si="28"/>
        <v>0</v>
      </c>
      <c r="O268" s="134"/>
      <c r="P268" s="259"/>
    </row>
    <row r="269" spans="1:16">
      <c r="A269" s="134">
        <v>244</v>
      </c>
      <c r="B269" s="259" t="s">
        <v>1556</v>
      </c>
      <c r="C269" s="129" t="s">
        <v>1557</v>
      </c>
      <c r="D269" s="292">
        <v>299</v>
      </c>
      <c r="E269" s="292">
        <v>0</v>
      </c>
      <c r="F269" s="139">
        <f t="shared" si="29"/>
        <v>299</v>
      </c>
      <c r="G269" s="292">
        <v>118</v>
      </c>
      <c r="H269" s="292">
        <v>0</v>
      </c>
      <c r="I269" s="139">
        <f t="shared" si="30"/>
        <v>118</v>
      </c>
      <c r="J269" s="266">
        <f t="shared" si="31"/>
        <v>0.39460000000000001</v>
      </c>
      <c r="K269" s="136">
        <f t="shared" si="26"/>
        <v>3.7</v>
      </c>
      <c r="L269" s="136">
        <f t="shared" si="27"/>
        <v>0</v>
      </c>
      <c r="M269" s="136">
        <f t="shared" si="28"/>
        <v>3.7</v>
      </c>
      <c r="O269" s="134"/>
      <c r="P269" s="259"/>
    </row>
    <row r="270" spans="1:16">
      <c r="A270" s="134">
        <v>244</v>
      </c>
      <c r="B270" s="259" t="s">
        <v>1558</v>
      </c>
      <c r="C270" s="129" t="s">
        <v>1559</v>
      </c>
      <c r="D270" s="292">
        <v>247</v>
      </c>
      <c r="E270" s="292">
        <v>0</v>
      </c>
      <c r="F270" s="139">
        <f t="shared" si="29"/>
        <v>247</v>
      </c>
      <c r="G270" s="292">
        <v>97</v>
      </c>
      <c r="H270" s="292">
        <v>0</v>
      </c>
      <c r="I270" s="139">
        <f t="shared" si="30"/>
        <v>97</v>
      </c>
      <c r="J270" s="266">
        <f t="shared" si="31"/>
        <v>0.39269999999999999</v>
      </c>
      <c r="K270" s="136">
        <f t="shared" si="26"/>
        <v>2.9</v>
      </c>
      <c r="L270" s="136">
        <f t="shared" si="27"/>
        <v>0</v>
      </c>
      <c r="M270" s="136">
        <f t="shared" si="28"/>
        <v>2.9</v>
      </c>
      <c r="O270" s="134"/>
      <c r="P270" s="259"/>
    </row>
    <row r="271" spans="1:16">
      <c r="A271" s="134">
        <v>245</v>
      </c>
      <c r="B271" s="259" t="s">
        <v>1560</v>
      </c>
      <c r="C271" s="129" t="s">
        <v>1561</v>
      </c>
      <c r="D271" s="292">
        <v>38</v>
      </c>
      <c r="E271" s="292">
        <v>0</v>
      </c>
      <c r="F271" s="139">
        <f t="shared" si="29"/>
        <v>38</v>
      </c>
      <c r="G271" s="292">
        <v>13</v>
      </c>
      <c r="H271" s="292">
        <v>0</v>
      </c>
      <c r="I271" s="139">
        <f t="shared" si="30"/>
        <v>13</v>
      </c>
      <c r="J271" s="266">
        <f t="shared" si="31"/>
        <v>0.34210000000000002</v>
      </c>
      <c r="K271" s="136">
        <f t="shared" si="26"/>
        <v>0</v>
      </c>
      <c r="L271" s="136">
        <f t="shared" si="27"/>
        <v>0</v>
      </c>
      <c r="M271" s="136">
        <f t="shared" si="28"/>
        <v>0</v>
      </c>
      <c r="O271" s="134"/>
      <c r="P271" s="259"/>
    </row>
    <row r="272" spans="1:16">
      <c r="A272" s="134">
        <v>245</v>
      </c>
      <c r="B272" s="259" t="s">
        <v>1562</v>
      </c>
      <c r="C272" s="129" t="s">
        <v>1563</v>
      </c>
      <c r="D272" s="292">
        <v>81</v>
      </c>
      <c r="E272" s="292">
        <v>0</v>
      </c>
      <c r="F272" s="139">
        <f t="shared" si="29"/>
        <v>81</v>
      </c>
      <c r="G272" s="292">
        <v>38</v>
      </c>
      <c r="H272" s="292">
        <v>0</v>
      </c>
      <c r="I272" s="139">
        <f t="shared" si="30"/>
        <v>38</v>
      </c>
      <c r="J272" s="266">
        <f t="shared" si="31"/>
        <v>0.46910000000000002</v>
      </c>
      <c r="K272" s="136">
        <f t="shared" si="26"/>
        <v>3.2</v>
      </c>
      <c r="L272" s="136">
        <f t="shared" si="27"/>
        <v>0</v>
      </c>
      <c r="M272" s="136">
        <f t="shared" si="28"/>
        <v>3.2</v>
      </c>
      <c r="O272" s="134"/>
      <c r="P272" s="259"/>
    </row>
    <row r="273" spans="1:16">
      <c r="A273" s="134">
        <v>245</v>
      </c>
      <c r="B273" s="259" t="s">
        <v>1564</v>
      </c>
      <c r="C273" s="129" t="s">
        <v>1565</v>
      </c>
      <c r="D273" s="292">
        <v>51</v>
      </c>
      <c r="E273" s="292">
        <v>0</v>
      </c>
      <c r="F273" s="139">
        <f t="shared" si="29"/>
        <v>51</v>
      </c>
      <c r="G273" s="292">
        <v>34</v>
      </c>
      <c r="H273" s="292">
        <v>0</v>
      </c>
      <c r="I273" s="139">
        <f t="shared" si="30"/>
        <v>34</v>
      </c>
      <c r="J273" s="266">
        <f t="shared" si="31"/>
        <v>0.66669999999999996</v>
      </c>
      <c r="K273" s="136">
        <f t="shared" si="26"/>
        <v>0</v>
      </c>
      <c r="L273" s="136">
        <f t="shared" si="27"/>
        <v>3.6</v>
      </c>
      <c r="M273" s="136">
        <f t="shared" si="28"/>
        <v>3.6</v>
      </c>
      <c r="O273" s="134"/>
      <c r="P273" s="259"/>
    </row>
    <row r="274" spans="1:16">
      <c r="A274" s="134">
        <v>246</v>
      </c>
      <c r="B274" s="259" t="s">
        <v>1566</v>
      </c>
      <c r="C274" s="129" t="s">
        <v>1567</v>
      </c>
      <c r="D274" s="292">
        <v>325</v>
      </c>
      <c r="E274" s="292">
        <v>0</v>
      </c>
      <c r="F274" s="139">
        <f t="shared" si="29"/>
        <v>325</v>
      </c>
      <c r="G274" s="292">
        <v>228</v>
      </c>
      <c r="H274" s="292">
        <v>0</v>
      </c>
      <c r="I274" s="139">
        <f t="shared" si="30"/>
        <v>228</v>
      </c>
      <c r="J274" s="266">
        <f t="shared" si="31"/>
        <v>0.70150000000000001</v>
      </c>
      <c r="K274" s="136">
        <f t="shared" si="26"/>
        <v>0</v>
      </c>
      <c r="L274" s="136">
        <f t="shared" si="27"/>
        <v>23.9</v>
      </c>
      <c r="M274" s="136">
        <f t="shared" si="28"/>
        <v>23.9</v>
      </c>
      <c r="O274" s="134"/>
      <c r="P274" s="259"/>
    </row>
    <row r="275" spans="1:16">
      <c r="A275" s="134">
        <v>246</v>
      </c>
      <c r="B275" s="259" t="s">
        <v>3985</v>
      </c>
      <c r="C275" s="129" t="s">
        <v>3986</v>
      </c>
      <c r="D275" s="292">
        <v>2</v>
      </c>
      <c r="E275" s="292">
        <v>0</v>
      </c>
      <c r="F275" s="139">
        <f t="shared" si="29"/>
        <v>2</v>
      </c>
      <c r="G275" s="292">
        <v>1</v>
      </c>
      <c r="H275" s="292">
        <v>0</v>
      </c>
      <c r="I275" s="139">
        <f t="shared" si="30"/>
        <v>1</v>
      </c>
      <c r="J275" s="266">
        <f t="shared" si="31"/>
        <v>0.5</v>
      </c>
      <c r="K275" s="136">
        <f t="shared" si="26"/>
        <v>0</v>
      </c>
      <c r="L275" s="136">
        <f t="shared" si="27"/>
        <v>0.1</v>
      </c>
      <c r="M275" s="136">
        <f t="shared" si="28"/>
        <v>0.1</v>
      </c>
      <c r="O275" s="134"/>
      <c r="P275" s="259"/>
    </row>
    <row r="276" spans="1:16">
      <c r="A276" s="134">
        <v>246</v>
      </c>
      <c r="B276" s="259" t="s">
        <v>1568</v>
      </c>
      <c r="C276" s="129" t="s">
        <v>1569</v>
      </c>
      <c r="D276" s="292">
        <v>127</v>
      </c>
      <c r="E276" s="292">
        <v>0</v>
      </c>
      <c r="F276" s="139">
        <f t="shared" si="29"/>
        <v>127</v>
      </c>
      <c r="G276" s="292">
        <v>76</v>
      </c>
      <c r="H276" s="292">
        <v>0</v>
      </c>
      <c r="I276" s="139">
        <f t="shared" si="30"/>
        <v>76</v>
      </c>
      <c r="J276" s="266">
        <f t="shared" si="31"/>
        <v>0.59840000000000004</v>
      </c>
      <c r="K276" s="136">
        <f t="shared" si="26"/>
        <v>0</v>
      </c>
      <c r="L276" s="136">
        <f t="shared" si="27"/>
        <v>8</v>
      </c>
      <c r="M276" s="136">
        <f t="shared" si="28"/>
        <v>8</v>
      </c>
      <c r="O276" s="134"/>
      <c r="P276" s="259"/>
    </row>
    <row r="277" spans="1:16">
      <c r="A277" s="134">
        <v>247</v>
      </c>
      <c r="B277" s="259" t="s">
        <v>1570</v>
      </c>
      <c r="C277" s="129" t="s">
        <v>1571</v>
      </c>
      <c r="D277" s="292">
        <v>129</v>
      </c>
      <c r="E277" s="292">
        <v>0</v>
      </c>
      <c r="F277" s="139">
        <f t="shared" si="29"/>
        <v>129</v>
      </c>
      <c r="G277" s="292">
        <v>86</v>
      </c>
      <c r="H277" s="292">
        <v>0</v>
      </c>
      <c r="I277" s="139">
        <f t="shared" si="30"/>
        <v>86</v>
      </c>
      <c r="J277" s="266">
        <f t="shared" si="31"/>
        <v>0.66669999999999996</v>
      </c>
      <c r="K277" s="136">
        <f t="shared" si="26"/>
        <v>0</v>
      </c>
      <c r="L277" s="136">
        <f t="shared" si="27"/>
        <v>9</v>
      </c>
      <c r="M277" s="136">
        <f t="shared" si="28"/>
        <v>9</v>
      </c>
      <c r="O277" s="134"/>
      <c r="P277" s="259"/>
    </row>
    <row r="278" spans="1:16">
      <c r="A278" s="134">
        <v>247</v>
      </c>
      <c r="B278" s="259" t="s">
        <v>1572</v>
      </c>
      <c r="C278" s="129" t="s">
        <v>1573</v>
      </c>
      <c r="D278" s="292">
        <v>157</v>
      </c>
      <c r="E278" s="292">
        <v>0</v>
      </c>
      <c r="F278" s="139">
        <f t="shared" si="29"/>
        <v>157</v>
      </c>
      <c r="G278" s="292">
        <v>93</v>
      </c>
      <c r="H278" s="292">
        <v>0</v>
      </c>
      <c r="I278" s="139">
        <f t="shared" si="30"/>
        <v>93</v>
      </c>
      <c r="J278" s="266">
        <f t="shared" si="31"/>
        <v>0.59240000000000004</v>
      </c>
      <c r="K278" s="136">
        <f t="shared" si="26"/>
        <v>0</v>
      </c>
      <c r="L278" s="136">
        <f t="shared" si="27"/>
        <v>9.8000000000000007</v>
      </c>
      <c r="M278" s="136">
        <f t="shared" si="28"/>
        <v>9.8000000000000007</v>
      </c>
      <c r="O278" s="134"/>
      <c r="P278" s="259"/>
    </row>
    <row r="279" spans="1:16">
      <c r="A279" s="134">
        <v>247</v>
      </c>
      <c r="B279" s="259" t="s">
        <v>1574</v>
      </c>
      <c r="C279" s="129" t="s">
        <v>1575</v>
      </c>
      <c r="D279" s="292">
        <v>167</v>
      </c>
      <c r="E279" s="292">
        <v>0</v>
      </c>
      <c r="F279" s="139">
        <f t="shared" si="29"/>
        <v>167</v>
      </c>
      <c r="G279" s="292">
        <v>122</v>
      </c>
      <c r="H279" s="292">
        <v>0</v>
      </c>
      <c r="I279" s="139">
        <f t="shared" si="30"/>
        <v>122</v>
      </c>
      <c r="J279" s="266">
        <f t="shared" si="31"/>
        <v>0.73050000000000004</v>
      </c>
      <c r="K279" s="136">
        <f t="shared" si="26"/>
        <v>0</v>
      </c>
      <c r="L279" s="136">
        <f t="shared" si="27"/>
        <v>12.8</v>
      </c>
      <c r="M279" s="136">
        <f t="shared" si="28"/>
        <v>12.8</v>
      </c>
      <c r="O279" s="134"/>
      <c r="P279" s="259"/>
    </row>
    <row r="280" spans="1:16">
      <c r="A280" s="134">
        <v>248</v>
      </c>
      <c r="B280" s="259" t="s">
        <v>1576</v>
      </c>
      <c r="C280" s="129" t="s">
        <v>1577</v>
      </c>
      <c r="D280" s="292">
        <v>489</v>
      </c>
      <c r="E280" s="292">
        <v>0</v>
      </c>
      <c r="F280" s="139">
        <f t="shared" si="29"/>
        <v>489</v>
      </c>
      <c r="G280" s="292">
        <v>221</v>
      </c>
      <c r="H280" s="292">
        <v>0</v>
      </c>
      <c r="I280" s="139">
        <f t="shared" si="30"/>
        <v>221</v>
      </c>
      <c r="J280" s="266">
        <f t="shared" si="31"/>
        <v>0.45190000000000002</v>
      </c>
      <c r="K280" s="136">
        <f t="shared" si="26"/>
        <v>15.8</v>
      </c>
      <c r="L280" s="136">
        <f t="shared" si="27"/>
        <v>0</v>
      </c>
      <c r="M280" s="136">
        <f t="shared" si="28"/>
        <v>15.8</v>
      </c>
      <c r="O280" s="134"/>
      <c r="P280" s="259"/>
    </row>
    <row r="281" spans="1:16">
      <c r="A281" s="134">
        <v>248</v>
      </c>
      <c r="B281" s="259" t="s">
        <v>1578</v>
      </c>
      <c r="C281" s="129" t="s">
        <v>1579</v>
      </c>
      <c r="D281" s="292">
        <v>212</v>
      </c>
      <c r="E281" s="292">
        <v>0</v>
      </c>
      <c r="F281" s="139">
        <f t="shared" si="29"/>
        <v>212</v>
      </c>
      <c r="G281" s="292">
        <v>88</v>
      </c>
      <c r="H281" s="292">
        <v>0</v>
      </c>
      <c r="I281" s="139">
        <f t="shared" si="30"/>
        <v>88</v>
      </c>
      <c r="J281" s="266">
        <f t="shared" si="31"/>
        <v>0.41510000000000002</v>
      </c>
      <c r="K281" s="136">
        <f t="shared" si="26"/>
        <v>4</v>
      </c>
      <c r="L281" s="136">
        <f t="shared" si="27"/>
        <v>0</v>
      </c>
      <c r="M281" s="136">
        <f t="shared" si="28"/>
        <v>4</v>
      </c>
      <c r="O281" s="134"/>
      <c r="P281" s="259"/>
    </row>
    <row r="282" spans="1:16">
      <c r="A282" s="134">
        <v>248</v>
      </c>
      <c r="B282" s="259" t="s">
        <v>1580</v>
      </c>
      <c r="C282" s="129" t="s">
        <v>1581</v>
      </c>
      <c r="D282" s="292">
        <v>273</v>
      </c>
      <c r="E282" s="292">
        <v>0</v>
      </c>
      <c r="F282" s="139">
        <f t="shared" si="29"/>
        <v>273</v>
      </c>
      <c r="G282" s="292">
        <v>105</v>
      </c>
      <c r="H282" s="292">
        <v>0</v>
      </c>
      <c r="I282" s="139">
        <f t="shared" si="30"/>
        <v>105</v>
      </c>
      <c r="J282" s="266">
        <f t="shared" si="31"/>
        <v>0.3846</v>
      </c>
      <c r="K282" s="136">
        <f t="shared" si="26"/>
        <v>2.5</v>
      </c>
      <c r="L282" s="136">
        <f t="shared" si="27"/>
        <v>0</v>
      </c>
      <c r="M282" s="136">
        <f t="shared" si="28"/>
        <v>2.5</v>
      </c>
      <c r="O282" s="134"/>
      <c r="P282" s="259"/>
    </row>
    <row r="283" spans="1:16">
      <c r="A283" s="134">
        <v>249</v>
      </c>
      <c r="B283" s="259" t="s">
        <v>1582</v>
      </c>
      <c r="C283" s="129" t="s">
        <v>1583</v>
      </c>
      <c r="D283" s="292">
        <v>429</v>
      </c>
      <c r="E283" s="292">
        <v>0</v>
      </c>
      <c r="F283" s="139">
        <f t="shared" si="29"/>
        <v>429</v>
      </c>
      <c r="G283" s="292">
        <v>187</v>
      </c>
      <c r="H283" s="292">
        <v>0</v>
      </c>
      <c r="I283" s="139">
        <f t="shared" si="30"/>
        <v>187</v>
      </c>
      <c r="J283" s="266">
        <f t="shared" si="31"/>
        <v>0.43590000000000001</v>
      </c>
      <c r="K283" s="136">
        <f t="shared" si="26"/>
        <v>11.2</v>
      </c>
      <c r="L283" s="136">
        <f t="shared" si="27"/>
        <v>0</v>
      </c>
      <c r="M283" s="136">
        <f t="shared" si="28"/>
        <v>11.2</v>
      </c>
      <c r="O283" s="134"/>
      <c r="P283" s="259"/>
    </row>
    <row r="284" spans="1:16">
      <c r="A284" s="134">
        <v>249</v>
      </c>
      <c r="B284" s="259" t="s">
        <v>1584</v>
      </c>
      <c r="C284" s="129" t="s">
        <v>1585</v>
      </c>
      <c r="D284" s="292">
        <v>222</v>
      </c>
      <c r="E284" s="292">
        <v>0</v>
      </c>
      <c r="F284" s="139">
        <f t="shared" si="29"/>
        <v>222</v>
      </c>
      <c r="G284" s="292">
        <v>69</v>
      </c>
      <c r="H284" s="292">
        <v>0</v>
      </c>
      <c r="I284" s="139">
        <f t="shared" si="30"/>
        <v>69</v>
      </c>
      <c r="J284" s="266">
        <f t="shared" si="31"/>
        <v>0.31080000000000002</v>
      </c>
      <c r="K284" s="136">
        <f t="shared" si="26"/>
        <v>0</v>
      </c>
      <c r="L284" s="136">
        <f t="shared" si="27"/>
        <v>0</v>
      </c>
      <c r="M284" s="136">
        <f t="shared" si="28"/>
        <v>0</v>
      </c>
      <c r="O284" s="134"/>
      <c r="P284" s="259"/>
    </row>
    <row r="285" spans="1:16">
      <c r="A285" s="134">
        <v>249</v>
      </c>
      <c r="B285" s="259" t="s">
        <v>1586</v>
      </c>
      <c r="C285" s="129" t="s">
        <v>1587</v>
      </c>
      <c r="D285" s="292">
        <v>284</v>
      </c>
      <c r="E285" s="292">
        <v>0</v>
      </c>
      <c r="F285" s="139">
        <f t="shared" si="29"/>
        <v>284</v>
      </c>
      <c r="G285" s="292">
        <v>76</v>
      </c>
      <c r="H285" s="292">
        <v>0</v>
      </c>
      <c r="I285" s="139">
        <f t="shared" si="30"/>
        <v>76</v>
      </c>
      <c r="J285" s="266">
        <f t="shared" si="31"/>
        <v>0.2676</v>
      </c>
      <c r="K285" s="136">
        <f t="shared" si="26"/>
        <v>0</v>
      </c>
      <c r="L285" s="136">
        <f t="shared" si="27"/>
        <v>0</v>
      </c>
      <c r="M285" s="136">
        <f t="shared" si="28"/>
        <v>0</v>
      </c>
      <c r="O285" s="134"/>
      <c r="P285" s="259"/>
    </row>
    <row r="286" spans="1:16">
      <c r="A286" s="134">
        <v>250</v>
      </c>
      <c r="B286" s="259" t="s">
        <v>1588</v>
      </c>
      <c r="C286" s="129" t="s">
        <v>1589</v>
      </c>
      <c r="D286" s="292">
        <v>318</v>
      </c>
      <c r="E286" s="292">
        <v>0</v>
      </c>
      <c r="F286" s="139">
        <f t="shared" si="29"/>
        <v>318</v>
      </c>
      <c r="G286" s="292">
        <v>174</v>
      </c>
      <c r="H286" s="292">
        <v>0</v>
      </c>
      <c r="I286" s="139">
        <f t="shared" si="30"/>
        <v>174</v>
      </c>
      <c r="J286" s="266">
        <f t="shared" si="31"/>
        <v>0.54720000000000002</v>
      </c>
      <c r="K286" s="136">
        <f t="shared" si="26"/>
        <v>0</v>
      </c>
      <c r="L286" s="136">
        <f t="shared" si="27"/>
        <v>18.3</v>
      </c>
      <c r="M286" s="136">
        <f t="shared" si="28"/>
        <v>18.3</v>
      </c>
      <c r="O286" s="134"/>
      <c r="P286" s="259"/>
    </row>
    <row r="287" spans="1:16">
      <c r="A287" s="134">
        <v>250</v>
      </c>
      <c r="B287" s="259" t="s">
        <v>1590</v>
      </c>
      <c r="C287" s="129" t="s">
        <v>1591</v>
      </c>
      <c r="D287" s="292">
        <v>391</v>
      </c>
      <c r="E287" s="292">
        <v>0</v>
      </c>
      <c r="F287" s="139">
        <f t="shared" si="29"/>
        <v>391</v>
      </c>
      <c r="G287" s="292">
        <v>240</v>
      </c>
      <c r="H287" s="292">
        <v>0</v>
      </c>
      <c r="I287" s="139">
        <f t="shared" si="30"/>
        <v>240</v>
      </c>
      <c r="J287" s="266">
        <f t="shared" si="31"/>
        <v>0.61380000000000001</v>
      </c>
      <c r="K287" s="136">
        <f t="shared" si="26"/>
        <v>0</v>
      </c>
      <c r="L287" s="136">
        <f t="shared" si="27"/>
        <v>25.2</v>
      </c>
      <c r="M287" s="136">
        <f t="shared" si="28"/>
        <v>25.2</v>
      </c>
      <c r="O287" s="134"/>
      <c r="P287" s="259"/>
    </row>
    <row r="288" spans="1:16">
      <c r="A288" s="134">
        <v>250</v>
      </c>
      <c r="B288" s="259" t="s">
        <v>1592</v>
      </c>
      <c r="C288" s="129" t="s">
        <v>1593</v>
      </c>
      <c r="D288" s="292">
        <v>414</v>
      </c>
      <c r="E288" s="292">
        <v>0</v>
      </c>
      <c r="F288" s="139">
        <f t="shared" si="29"/>
        <v>414</v>
      </c>
      <c r="G288" s="292">
        <v>318</v>
      </c>
      <c r="H288" s="292">
        <v>0</v>
      </c>
      <c r="I288" s="139">
        <f t="shared" si="30"/>
        <v>318</v>
      </c>
      <c r="J288" s="266">
        <f t="shared" si="31"/>
        <v>0.7681</v>
      </c>
      <c r="K288" s="136">
        <f t="shared" si="26"/>
        <v>0</v>
      </c>
      <c r="L288" s="136">
        <f t="shared" si="27"/>
        <v>33.4</v>
      </c>
      <c r="M288" s="136">
        <f t="shared" si="28"/>
        <v>33.4</v>
      </c>
      <c r="O288" s="134"/>
      <c r="P288" s="259"/>
    </row>
    <row r="289" spans="1:16">
      <c r="A289" s="134">
        <v>250</v>
      </c>
      <c r="B289" s="259" t="s">
        <v>1594</v>
      </c>
      <c r="C289" s="129" t="s">
        <v>1595</v>
      </c>
      <c r="D289" s="292">
        <v>501</v>
      </c>
      <c r="E289" s="292">
        <v>0</v>
      </c>
      <c r="F289" s="139">
        <f t="shared" si="29"/>
        <v>501</v>
      </c>
      <c r="G289" s="292">
        <v>333</v>
      </c>
      <c r="H289" s="292">
        <v>0</v>
      </c>
      <c r="I289" s="139">
        <f t="shared" si="30"/>
        <v>333</v>
      </c>
      <c r="J289" s="266">
        <f t="shared" si="31"/>
        <v>0.66469999999999996</v>
      </c>
      <c r="K289" s="136">
        <f t="shared" si="26"/>
        <v>0</v>
      </c>
      <c r="L289" s="136">
        <f t="shared" si="27"/>
        <v>35</v>
      </c>
      <c r="M289" s="136">
        <f t="shared" si="28"/>
        <v>35</v>
      </c>
      <c r="O289" s="134"/>
      <c r="P289" s="259"/>
    </row>
    <row r="290" spans="1:16">
      <c r="A290" s="134">
        <v>250</v>
      </c>
      <c r="B290" s="259" t="s">
        <v>1596</v>
      </c>
      <c r="C290" s="129" t="s">
        <v>1597</v>
      </c>
      <c r="D290" s="292">
        <v>705</v>
      </c>
      <c r="E290" s="292">
        <v>0</v>
      </c>
      <c r="F290" s="139">
        <f t="shared" si="29"/>
        <v>705</v>
      </c>
      <c r="G290" s="292">
        <v>444</v>
      </c>
      <c r="H290" s="292">
        <v>0</v>
      </c>
      <c r="I290" s="139">
        <f t="shared" si="30"/>
        <v>444</v>
      </c>
      <c r="J290" s="266">
        <f t="shared" si="31"/>
        <v>0.62980000000000003</v>
      </c>
      <c r="K290" s="136">
        <f t="shared" si="26"/>
        <v>0</v>
      </c>
      <c r="L290" s="136">
        <f t="shared" si="27"/>
        <v>46.6</v>
      </c>
      <c r="M290" s="136">
        <f t="shared" si="28"/>
        <v>46.6</v>
      </c>
      <c r="O290" s="134"/>
      <c r="P290" s="259"/>
    </row>
    <row r="291" spans="1:16">
      <c r="A291" s="134">
        <v>250</v>
      </c>
      <c r="B291" s="259" t="s">
        <v>1598</v>
      </c>
      <c r="C291" s="129" t="s">
        <v>1599</v>
      </c>
      <c r="D291" s="292">
        <v>1003</v>
      </c>
      <c r="E291" s="292">
        <v>0</v>
      </c>
      <c r="F291" s="139">
        <f t="shared" si="29"/>
        <v>1003</v>
      </c>
      <c r="G291" s="292">
        <v>573</v>
      </c>
      <c r="H291" s="292">
        <v>0</v>
      </c>
      <c r="I291" s="139">
        <f t="shared" si="30"/>
        <v>573</v>
      </c>
      <c r="J291" s="266">
        <f t="shared" si="31"/>
        <v>0.57130000000000003</v>
      </c>
      <c r="K291" s="136">
        <f t="shared" si="26"/>
        <v>0</v>
      </c>
      <c r="L291" s="136">
        <f t="shared" si="27"/>
        <v>60.2</v>
      </c>
      <c r="M291" s="136">
        <f t="shared" si="28"/>
        <v>60.2</v>
      </c>
      <c r="O291" s="134"/>
      <c r="P291" s="259"/>
    </row>
    <row r="292" spans="1:16">
      <c r="A292" s="134">
        <v>251</v>
      </c>
      <c r="B292" s="259" t="s">
        <v>1600</v>
      </c>
      <c r="C292" s="129" t="s">
        <v>1601</v>
      </c>
      <c r="D292" s="292">
        <v>224</v>
      </c>
      <c r="E292" s="292">
        <v>0</v>
      </c>
      <c r="F292" s="139">
        <f t="shared" si="29"/>
        <v>224</v>
      </c>
      <c r="G292" s="292">
        <v>71</v>
      </c>
      <c r="H292" s="292">
        <v>0</v>
      </c>
      <c r="I292" s="139">
        <f t="shared" si="30"/>
        <v>71</v>
      </c>
      <c r="J292" s="266">
        <f t="shared" si="31"/>
        <v>0.317</v>
      </c>
      <c r="K292" s="136">
        <f t="shared" si="26"/>
        <v>0</v>
      </c>
      <c r="L292" s="136">
        <f t="shared" si="27"/>
        <v>0</v>
      </c>
      <c r="M292" s="136">
        <f t="shared" si="28"/>
        <v>0</v>
      </c>
      <c r="O292" s="134"/>
      <c r="P292" s="259"/>
    </row>
    <row r="293" spans="1:16">
      <c r="A293" s="134">
        <v>251</v>
      </c>
      <c r="B293" s="259" t="s">
        <v>1602</v>
      </c>
      <c r="C293" s="129" t="s">
        <v>1603</v>
      </c>
      <c r="D293" s="292">
        <v>104</v>
      </c>
      <c r="E293" s="292">
        <v>0</v>
      </c>
      <c r="F293" s="139">
        <f t="shared" si="29"/>
        <v>104</v>
      </c>
      <c r="G293" s="292">
        <v>34</v>
      </c>
      <c r="H293" s="292">
        <v>0</v>
      </c>
      <c r="I293" s="139">
        <f t="shared" si="30"/>
        <v>34</v>
      </c>
      <c r="J293" s="266">
        <f t="shared" si="31"/>
        <v>0.32690000000000002</v>
      </c>
      <c r="K293" s="136">
        <f t="shared" si="26"/>
        <v>0</v>
      </c>
      <c r="L293" s="136">
        <f t="shared" si="27"/>
        <v>0</v>
      </c>
      <c r="M293" s="136">
        <f t="shared" si="28"/>
        <v>0</v>
      </c>
      <c r="O293" s="134"/>
      <c r="P293" s="259"/>
    </row>
    <row r="294" spans="1:16">
      <c r="A294" s="134">
        <v>252</v>
      </c>
      <c r="B294" s="259" t="s">
        <v>1604</v>
      </c>
      <c r="C294" s="129" t="s">
        <v>1605</v>
      </c>
      <c r="D294" s="292">
        <v>99</v>
      </c>
      <c r="E294" s="292">
        <v>0</v>
      </c>
      <c r="F294" s="139">
        <f t="shared" si="29"/>
        <v>99</v>
      </c>
      <c r="G294" s="292">
        <v>53</v>
      </c>
      <c r="H294" s="292">
        <v>0</v>
      </c>
      <c r="I294" s="139">
        <f t="shared" si="30"/>
        <v>53</v>
      </c>
      <c r="J294" s="266">
        <f t="shared" si="31"/>
        <v>0.53539999999999999</v>
      </c>
      <c r="K294" s="136">
        <f t="shared" si="26"/>
        <v>0</v>
      </c>
      <c r="L294" s="136">
        <f t="shared" si="27"/>
        <v>5.6</v>
      </c>
      <c r="M294" s="136">
        <f t="shared" si="28"/>
        <v>5.6</v>
      </c>
      <c r="O294" s="134"/>
      <c r="P294" s="259"/>
    </row>
    <row r="295" spans="1:16">
      <c r="A295" s="134">
        <v>252</v>
      </c>
      <c r="B295" s="259" t="s">
        <v>1606</v>
      </c>
      <c r="C295" s="129" t="s">
        <v>1607</v>
      </c>
      <c r="D295" s="292">
        <v>123</v>
      </c>
      <c r="E295" s="292">
        <v>0</v>
      </c>
      <c r="F295" s="139">
        <f t="shared" si="29"/>
        <v>123</v>
      </c>
      <c r="G295" s="292">
        <v>50</v>
      </c>
      <c r="H295" s="292">
        <v>0</v>
      </c>
      <c r="I295" s="139">
        <f t="shared" si="30"/>
        <v>50</v>
      </c>
      <c r="J295" s="266">
        <f t="shared" si="31"/>
        <v>0.40649999999999997</v>
      </c>
      <c r="K295" s="136">
        <f t="shared" si="26"/>
        <v>2</v>
      </c>
      <c r="L295" s="136">
        <f t="shared" si="27"/>
        <v>0</v>
      </c>
      <c r="M295" s="136">
        <f t="shared" si="28"/>
        <v>2</v>
      </c>
      <c r="O295" s="134"/>
      <c r="P295" s="259"/>
    </row>
    <row r="296" spans="1:16">
      <c r="A296" s="134">
        <v>252</v>
      </c>
      <c r="B296" s="259" t="s">
        <v>1608</v>
      </c>
      <c r="C296" s="129" t="s">
        <v>1609</v>
      </c>
      <c r="D296" s="292">
        <v>164</v>
      </c>
      <c r="E296" s="292">
        <v>0</v>
      </c>
      <c r="F296" s="139">
        <f t="shared" si="29"/>
        <v>164</v>
      </c>
      <c r="G296" s="292">
        <v>33</v>
      </c>
      <c r="H296" s="292">
        <v>0</v>
      </c>
      <c r="I296" s="139">
        <f t="shared" si="30"/>
        <v>33</v>
      </c>
      <c r="J296" s="266">
        <f t="shared" si="31"/>
        <v>0.20119999999999999</v>
      </c>
      <c r="K296" s="136">
        <f t="shared" si="26"/>
        <v>0</v>
      </c>
      <c r="L296" s="136">
        <f t="shared" si="27"/>
        <v>0</v>
      </c>
      <c r="M296" s="136">
        <f t="shared" si="28"/>
        <v>0</v>
      </c>
      <c r="O296" s="134"/>
      <c r="P296" s="259"/>
    </row>
    <row r="297" spans="1:16">
      <c r="A297" s="134">
        <v>252</v>
      </c>
      <c r="B297" s="259" t="s">
        <v>1610</v>
      </c>
      <c r="C297" s="129" t="s">
        <v>1611</v>
      </c>
      <c r="D297" s="292">
        <v>156</v>
      </c>
      <c r="E297" s="292">
        <v>0</v>
      </c>
      <c r="F297" s="139">
        <f t="shared" si="29"/>
        <v>156</v>
      </c>
      <c r="G297" s="292">
        <v>30</v>
      </c>
      <c r="H297" s="292">
        <v>0</v>
      </c>
      <c r="I297" s="139">
        <f t="shared" si="30"/>
        <v>30</v>
      </c>
      <c r="J297" s="266">
        <f t="shared" si="31"/>
        <v>0.1923</v>
      </c>
      <c r="K297" s="136">
        <f t="shared" si="26"/>
        <v>0</v>
      </c>
      <c r="L297" s="136">
        <f t="shared" si="27"/>
        <v>0</v>
      </c>
      <c r="M297" s="136">
        <f t="shared" si="28"/>
        <v>0</v>
      </c>
      <c r="O297" s="134"/>
      <c r="P297" s="259"/>
    </row>
    <row r="298" spans="1:16">
      <c r="A298" s="134">
        <v>253</v>
      </c>
      <c r="B298" s="259" t="s">
        <v>1612</v>
      </c>
      <c r="C298" s="129" t="s">
        <v>1613</v>
      </c>
      <c r="D298" s="292">
        <v>386</v>
      </c>
      <c r="E298" s="292">
        <v>0</v>
      </c>
      <c r="F298" s="139">
        <f t="shared" si="29"/>
        <v>386</v>
      </c>
      <c r="G298" s="292">
        <v>175</v>
      </c>
      <c r="H298" s="292">
        <v>0</v>
      </c>
      <c r="I298" s="139">
        <f t="shared" si="30"/>
        <v>175</v>
      </c>
      <c r="J298" s="266">
        <f t="shared" si="31"/>
        <v>0.45340000000000003</v>
      </c>
      <c r="K298" s="136">
        <f t="shared" si="26"/>
        <v>12.7</v>
      </c>
      <c r="L298" s="136">
        <f t="shared" si="27"/>
        <v>0</v>
      </c>
      <c r="M298" s="136">
        <f t="shared" si="28"/>
        <v>12.7</v>
      </c>
      <c r="O298" s="134"/>
      <c r="P298" s="259"/>
    </row>
    <row r="299" spans="1:16">
      <c r="A299" s="134">
        <v>253</v>
      </c>
      <c r="B299" s="259" t="s">
        <v>1614</v>
      </c>
      <c r="C299" s="129" t="s">
        <v>1615</v>
      </c>
      <c r="D299" s="292">
        <v>285</v>
      </c>
      <c r="E299" s="292">
        <v>0</v>
      </c>
      <c r="F299" s="139">
        <f t="shared" si="29"/>
        <v>285</v>
      </c>
      <c r="G299" s="292">
        <v>144</v>
      </c>
      <c r="H299" s="292">
        <v>0</v>
      </c>
      <c r="I299" s="139">
        <f t="shared" si="30"/>
        <v>144</v>
      </c>
      <c r="J299" s="266">
        <f t="shared" si="31"/>
        <v>0.50529999999999997</v>
      </c>
      <c r="K299" s="136">
        <f t="shared" si="26"/>
        <v>0</v>
      </c>
      <c r="L299" s="136">
        <f t="shared" si="27"/>
        <v>15.1</v>
      </c>
      <c r="M299" s="136">
        <f t="shared" si="28"/>
        <v>15.1</v>
      </c>
      <c r="O299" s="134"/>
      <c r="P299" s="259"/>
    </row>
    <row r="300" spans="1:16">
      <c r="A300" s="134">
        <v>253</v>
      </c>
      <c r="B300" s="259" t="s">
        <v>1616</v>
      </c>
      <c r="C300" s="129" t="s">
        <v>1617</v>
      </c>
      <c r="D300" s="292">
        <v>244</v>
      </c>
      <c r="E300" s="292">
        <v>0</v>
      </c>
      <c r="F300" s="139">
        <f t="shared" si="29"/>
        <v>244</v>
      </c>
      <c r="G300" s="292">
        <v>179</v>
      </c>
      <c r="H300" s="292">
        <v>0</v>
      </c>
      <c r="I300" s="139">
        <f t="shared" si="30"/>
        <v>179</v>
      </c>
      <c r="J300" s="266">
        <f t="shared" si="31"/>
        <v>0.73360000000000003</v>
      </c>
      <c r="K300" s="136">
        <f t="shared" si="26"/>
        <v>0</v>
      </c>
      <c r="L300" s="136">
        <f t="shared" si="27"/>
        <v>18.8</v>
      </c>
      <c r="M300" s="136">
        <f t="shared" si="28"/>
        <v>18.8</v>
      </c>
      <c r="O300" s="134"/>
      <c r="P300" s="259"/>
    </row>
    <row r="301" spans="1:16">
      <c r="A301" s="134">
        <v>253</v>
      </c>
      <c r="B301" s="259" t="s">
        <v>1618</v>
      </c>
      <c r="C301" s="129" t="s">
        <v>1619</v>
      </c>
      <c r="D301" s="292">
        <v>852</v>
      </c>
      <c r="E301" s="292">
        <v>0</v>
      </c>
      <c r="F301" s="139">
        <f t="shared" si="29"/>
        <v>852</v>
      </c>
      <c r="G301" s="292">
        <v>445</v>
      </c>
      <c r="H301" s="292">
        <v>0</v>
      </c>
      <c r="I301" s="139">
        <f t="shared" si="30"/>
        <v>445</v>
      </c>
      <c r="J301" s="266">
        <f t="shared" si="31"/>
        <v>0.52229999999999999</v>
      </c>
      <c r="K301" s="136">
        <f t="shared" si="26"/>
        <v>0</v>
      </c>
      <c r="L301" s="136">
        <f t="shared" si="27"/>
        <v>46.7</v>
      </c>
      <c r="M301" s="136">
        <f t="shared" si="28"/>
        <v>46.7</v>
      </c>
      <c r="O301" s="134"/>
      <c r="P301" s="259"/>
    </row>
    <row r="302" spans="1:16">
      <c r="A302" s="134">
        <v>253</v>
      </c>
      <c r="B302" s="259" t="s">
        <v>1620</v>
      </c>
      <c r="C302" s="129" t="s">
        <v>1621</v>
      </c>
      <c r="D302" s="292">
        <v>1629</v>
      </c>
      <c r="E302" s="292">
        <v>0</v>
      </c>
      <c r="F302" s="139">
        <f t="shared" si="29"/>
        <v>1629</v>
      </c>
      <c r="G302" s="292">
        <v>670</v>
      </c>
      <c r="H302" s="292">
        <v>0</v>
      </c>
      <c r="I302" s="139">
        <f t="shared" si="30"/>
        <v>670</v>
      </c>
      <c r="J302" s="266">
        <f t="shared" si="31"/>
        <v>0.4113</v>
      </c>
      <c r="K302" s="136">
        <f t="shared" si="26"/>
        <v>28.7</v>
      </c>
      <c r="L302" s="136">
        <f t="shared" si="27"/>
        <v>0</v>
      </c>
      <c r="M302" s="136">
        <f t="shared" si="28"/>
        <v>28.7</v>
      </c>
      <c r="O302" s="134"/>
      <c r="P302" s="259"/>
    </row>
    <row r="303" spans="1:16">
      <c r="A303" s="134">
        <v>253</v>
      </c>
      <c r="B303" s="259" t="s">
        <v>1622</v>
      </c>
      <c r="C303" s="129" t="s">
        <v>1623</v>
      </c>
      <c r="D303" s="292">
        <v>216</v>
      </c>
      <c r="E303" s="292">
        <v>0</v>
      </c>
      <c r="F303" s="139">
        <f t="shared" si="29"/>
        <v>216</v>
      </c>
      <c r="G303" s="292">
        <v>132</v>
      </c>
      <c r="H303" s="292">
        <v>0</v>
      </c>
      <c r="I303" s="139">
        <f t="shared" si="30"/>
        <v>132</v>
      </c>
      <c r="J303" s="266">
        <f t="shared" si="31"/>
        <v>0.61109999999999998</v>
      </c>
      <c r="K303" s="136">
        <f t="shared" si="26"/>
        <v>0</v>
      </c>
      <c r="L303" s="136">
        <f t="shared" si="27"/>
        <v>13.9</v>
      </c>
      <c r="M303" s="136">
        <f t="shared" si="28"/>
        <v>13.9</v>
      </c>
      <c r="O303" s="134"/>
      <c r="P303" s="259"/>
    </row>
    <row r="304" spans="1:16">
      <c r="A304" s="134">
        <v>253</v>
      </c>
      <c r="B304" s="259" t="s">
        <v>1624</v>
      </c>
      <c r="C304" s="129" t="s">
        <v>1625</v>
      </c>
      <c r="D304" s="292">
        <v>421</v>
      </c>
      <c r="E304" s="292">
        <v>0</v>
      </c>
      <c r="F304" s="139">
        <f t="shared" si="29"/>
        <v>421</v>
      </c>
      <c r="G304" s="292">
        <v>291</v>
      </c>
      <c r="H304" s="292">
        <v>0</v>
      </c>
      <c r="I304" s="139">
        <f t="shared" si="30"/>
        <v>291</v>
      </c>
      <c r="J304" s="266">
        <f t="shared" si="31"/>
        <v>0.69120000000000004</v>
      </c>
      <c r="K304" s="136">
        <f t="shared" si="26"/>
        <v>0</v>
      </c>
      <c r="L304" s="136">
        <f t="shared" si="27"/>
        <v>30.6</v>
      </c>
      <c r="M304" s="136">
        <f t="shared" si="28"/>
        <v>30.6</v>
      </c>
      <c r="O304" s="134"/>
      <c r="P304" s="259"/>
    </row>
    <row r="305" spans="1:16">
      <c r="A305" s="134">
        <v>253</v>
      </c>
      <c r="B305" s="259" t="s">
        <v>1626</v>
      </c>
      <c r="C305" s="129" t="s">
        <v>1627</v>
      </c>
      <c r="D305" s="292">
        <v>367</v>
      </c>
      <c r="E305" s="292">
        <v>0</v>
      </c>
      <c r="F305" s="139">
        <f t="shared" si="29"/>
        <v>367</v>
      </c>
      <c r="G305" s="292">
        <v>132</v>
      </c>
      <c r="H305" s="292">
        <v>0</v>
      </c>
      <c r="I305" s="139">
        <f t="shared" si="30"/>
        <v>132</v>
      </c>
      <c r="J305" s="266">
        <f t="shared" si="31"/>
        <v>0.35970000000000002</v>
      </c>
      <c r="K305" s="136">
        <f t="shared" si="26"/>
        <v>0.9</v>
      </c>
      <c r="L305" s="136">
        <f t="shared" si="27"/>
        <v>0</v>
      </c>
      <c r="M305" s="136">
        <f t="shared" si="28"/>
        <v>0.9</v>
      </c>
      <c r="O305" s="134"/>
      <c r="P305" s="259"/>
    </row>
    <row r="306" spans="1:16">
      <c r="A306" s="134">
        <v>254</v>
      </c>
      <c r="B306" s="259" t="s">
        <v>1628</v>
      </c>
      <c r="C306" s="129" t="s">
        <v>1629</v>
      </c>
      <c r="D306" s="292">
        <v>231</v>
      </c>
      <c r="E306" s="292">
        <v>0</v>
      </c>
      <c r="F306" s="139">
        <f t="shared" si="29"/>
        <v>231</v>
      </c>
      <c r="G306" s="292">
        <v>109</v>
      </c>
      <c r="H306" s="292">
        <v>0</v>
      </c>
      <c r="I306" s="139">
        <f t="shared" si="30"/>
        <v>109</v>
      </c>
      <c r="J306" s="266">
        <f t="shared" si="31"/>
        <v>0.47189999999999999</v>
      </c>
      <c r="K306" s="136">
        <f t="shared" si="26"/>
        <v>9.3000000000000007</v>
      </c>
      <c r="L306" s="136">
        <f t="shared" si="27"/>
        <v>0</v>
      </c>
      <c r="M306" s="136">
        <f t="shared" si="28"/>
        <v>9.3000000000000007</v>
      </c>
      <c r="O306" s="134"/>
      <c r="P306" s="259"/>
    </row>
    <row r="307" spans="1:16">
      <c r="A307" s="134">
        <v>254</v>
      </c>
      <c r="B307" s="259" t="s">
        <v>1630</v>
      </c>
      <c r="C307" s="129" t="s">
        <v>1631</v>
      </c>
      <c r="D307" s="292">
        <v>227</v>
      </c>
      <c r="E307" s="292">
        <v>0</v>
      </c>
      <c r="F307" s="139">
        <f t="shared" si="29"/>
        <v>227</v>
      </c>
      <c r="G307" s="292">
        <v>92</v>
      </c>
      <c r="H307" s="292">
        <v>0</v>
      </c>
      <c r="I307" s="139">
        <f t="shared" si="30"/>
        <v>92</v>
      </c>
      <c r="J307" s="266">
        <f t="shared" si="31"/>
        <v>0.40529999999999999</v>
      </c>
      <c r="K307" s="136">
        <f t="shared" si="26"/>
        <v>3.6</v>
      </c>
      <c r="L307" s="136">
        <f t="shared" si="27"/>
        <v>0</v>
      </c>
      <c r="M307" s="136">
        <f t="shared" si="28"/>
        <v>3.6</v>
      </c>
      <c r="O307" s="134"/>
      <c r="P307" s="259"/>
    </row>
    <row r="308" spans="1:16">
      <c r="A308" s="134">
        <v>255</v>
      </c>
      <c r="B308" s="259" t="s">
        <v>1632</v>
      </c>
      <c r="C308" s="129" t="s">
        <v>1633</v>
      </c>
      <c r="D308" s="292">
        <v>117</v>
      </c>
      <c r="E308" s="292">
        <v>0</v>
      </c>
      <c r="F308" s="139">
        <f t="shared" si="29"/>
        <v>117</v>
      </c>
      <c r="G308" s="292">
        <v>54</v>
      </c>
      <c r="H308" s="292">
        <v>0</v>
      </c>
      <c r="I308" s="139">
        <f t="shared" si="30"/>
        <v>54</v>
      </c>
      <c r="J308" s="266">
        <f t="shared" si="31"/>
        <v>0.46150000000000002</v>
      </c>
      <c r="K308" s="136">
        <f t="shared" si="26"/>
        <v>4.2</v>
      </c>
      <c r="L308" s="136">
        <f t="shared" si="27"/>
        <v>0</v>
      </c>
      <c r="M308" s="136">
        <f t="shared" si="28"/>
        <v>4.2</v>
      </c>
      <c r="O308" s="134"/>
      <c r="P308" s="259"/>
    </row>
    <row r="309" spans="1:16">
      <c r="A309" s="134">
        <v>255</v>
      </c>
      <c r="B309" s="259" t="s">
        <v>1634</v>
      </c>
      <c r="C309" s="129" t="s">
        <v>1635</v>
      </c>
      <c r="D309" s="292">
        <v>95</v>
      </c>
      <c r="E309" s="292">
        <v>0</v>
      </c>
      <c r="F309" s="139">
        <f t="shared" si="29"/>
        <v>95</v>
      </c>
      <c r="G309" s="292">
        <v>56</v>
      </c>
      <c r="H309" s="292">
        <v>0</v>
      </c>
      <c r="I309" s="139">
        <f t="shared" si="30"/>
        <v>56</v>
      </c>
      <c r="J309" s="266">
        <f t="shared" si="31"/>
        <v>0.58950000000000002</v>
      </c>
      <c r="K309" s="136">
        <f t="shared" si="26"/>
        <v>0</v>
      </c>
      <c r="L309" s="136">
        <f t="shared" si="27"/>
        <v>5.9</v>
      </c>
      <c r="M309" s="136">
        <f t="shared" si="28"/>
        <v>5.9</v>
      </c>
      <c r="O309" s="134"/>
      <c r="P309" s="259"/>
    </row>
    <row r="310" spans="1:16">
      <c r="A310" s="134">
        <v>256</v>
      </c>
      <c r="B310" s="259" t="s">
        <v>3987</v>
      </c>
      <c r="C310" s="129" t="s">
        <v>3988</v>
      </c>
      <c r="D310" s="292">
        <v>0</v>
      </c>
      <c r="E310" s="292">
        <v>0</v>
      </c>
      <c r="F310" s="139">
        <f t="shared" si="29"/>
        <v>0</v>
      </c>
      <c r="G310" s="292">
        <v>0</v>
      </c>
      <c r="H310" s="292">
        <v>0</v>
      </c>
      <c r="I310" s="139">
        <f t="shared" si="30"/>
        <v>0</v>
      </c>
      <c r="J310" s="266">
        <f t="shared" si="31"/>
        <v>0</v>
      </c>
      <c r="K310" s="136">
        <f t="shared" si="26"/>
        <v>0</v>
      </c>
      <c r="L310" s="136">
        <f t="shared" si="27"/>
        <v>0</v>
      </c>
      <c r="M310" s="136">
        <f t="shared" si="28"/>
        <v>0</v>
      </c>
      <c r="O310" s="134"/>
      <c r="P310" s="259"/>
    </row>
    <row r="311" spans="1:16">
      <c r="A311" s="134">
        <v>256</v>
      </c>
      <c r="B311" s="259" t="s">
        <v>1636</v>
      </c>
      <c r="C311" s="129" t="s">
        <v>1637</v>
      </c>
      <c r="D311" s="292">
        <v>140</v>
      </c>
      <c r="E311" s="292">
        <v>0</v>
      </c>
      <c r="F311" s="139">
        <f t="shared" si="29"/>
        <v>140</v>
      </c>
      <c r="G311" s="292">
        <v>69</v>
      </c>
      <c r="H311" s="292">
        <v>0</v>
      </c>
      <c r="I311" s="139">
        <f t="shared" si="30"/>
        <v>69</v>
      </c>
      <c r="J311" s="266">
        <f t="shared" si="31"/>
        <v>0.4929</v>
      </c>
      <c r="K311" s="136">
        <f t="shared" si="26"/>
        <v>6.9</v>
      </c>
      <c r="L311" s="136">
        <f t="shared" si="27"/>
        <v>0</v>
      </c>
      <c r="M311" s="136">
        <f t="shared" si="28"/>
        <v>6.9</v>
      </c>
      <c r="O311" s="134"/>
      <c r="P311" s="259"/>
    </row>
    <row r="312" spans="1:16">
      <c r="A312" s="134">
        <v>256</v>
      </c>
      <c r="B312" s="259" t="s">
        <v>1638</v>
      </c>
      <c r="C312" s="129" t="s">
        <v>1639</v>
      </c>
      <c r="D312" s="292">
        <v>121</v>
      </c>
      <c r="E312" s="292">
        <v>0</v>
      </c>
      <c r="F312" s="139">
        <f t="shared" si="29"/>
        <v>121</v>
      </c>
      <c r="G312" s="292">
        <v>55</v>
      </c>
      <c r="H312" s="292">
        <v>0</v>
      </c>
      <c r="I312" s="139">
        <f t="shared" si="30"/>
        <v>55</v>
      </c>
      <c r="J312" s="266">
        <f t="shared" si="31"/>
        <v>0.45450000000000002</v>
      </c>
      <c r="K312" s="136">
        <f t="shared" si="26"/>
        <v>4</v>
      </c>
      <c r="L312" s="136">
        <f t="shared" si="27"/>
        <v>0</v>
      </c>
      <c r="M312" s="136">
        <f t="shared" si="28"/>
        <v>4</v>
      </c>
      <c r="O312" s="134"/>
      <c r="P312" s="259"/>
    </row>
    <row r="313" spans="1:16">
      <c r="A313" s="134">
        <v>257</v>
      </c>
      <c r="B313" s="259" t="s">
        <v>3989</v>
      </c>
      <c r="C313" s="129" t="s">
        <v>3990</v>
      </c>
      <c r="D313" s="292">
        <v>0</v>
      </c>
      <c r="E313" s="292">
        <v>0</v>
      </c>
      <c r="F313" s="139">
        <f t="shared" si="29"/>
        <v>0</v>
      </c>
      <c r="G313" s="292">
        <v>0</v>
      </c>
      <c r="H313" s="292">
        <v>0</v>
      </c>
      <c r="I313" s="139">
        <f t="shared" si="30"/>
        <v>0</v>
      </c>
      <c r="J313" s="266">
        <f t="shared" si="31"/>
        <v>0</v>
      </c>
      <c r="K313" s="136">
        <f t="shared" si="26"/>
        <v>0</v>
      </c>
      <c r="L313" s="136">
        <f t="shared" si="27"/>
        <v>0</v>
      </c>
      <c r="M313" s="136">
        <f t="shared" si="28"/>
        <v>0</v>
      </c>
      <c r="O313" s="134"/>
      <c r="P313" s="259"/>
    </row>
    <row r="314" spans="1:16">
      <c r="A314" s="134">
        <v>257</v>
      </c>
      <c r="B314" s="259" t="s">
        <v>1640</v>
      </c>
      <c r="C314" s="129" t="s">
        <v>1641</v>
      </c>
      <c r="D314" s="292">
        <v>218</v>
      </c>
      <c r="E314" s="292">
        <v>0</v>
      </c>
      <c r="F314" s="139">
        <f t="shared" si="29"/>
        <v>218</v>
      </c>
      <c r="G314" s="292">
        <v>135</v>
      </c>
      <c r="H314" s="292">
        <v>0</v>
      </c>
      <c r="I314" s="139">
        <f t="shared" si="30"/>
        <v>135</v>
      </c>
      <c r="J314" s="266">
        <f t="shared" si="31"/>
        <v>0.61929999999999996</v>
      </c>
      <c r="K314" s="136">
        <f t="shared" si="26"/>
        <v>0</v>
      </c>
      <c r="L314" s="136">
        <f t="shared" si="27"/>
        <v>14.2</v>
      </c>
      <c r="M314" s="136">
        <f t="shared" si="28"/>
        <v>14.2</v>
      </c>
      <c r="O314" s="134"/>
      <c r="P314" s="259"/>
    </row>
    <row r="315" spans="1:16">
      <c r="A315" s="134">
        <v>257</v>
      </c>
      <c r="B315" s="259" t="s">
        <v>1642</v>
      </c>
      <c r="C315" s="129" t="s">
        <v>1643</v>
      </c>
      <c r="D315" s="292">
        <v>590</v>
      </c>
      <c r="E315" s="292">
        <v>0</v>
      </c>
      <c r="F315" s="139">
        <f t="shared" si="29"/>
        <v>590</v>
      </c>
      <c r="G315" s="292">
        <v>325</v>
      </c>
      <c r="H315" s="292">
        <v>0</v>
      </c>
      <c r="I315" s="139">
        <f t="shared" si="30"/>
        <v>325</v>
      </c>
      <c r="J315" s="266">
        <f t="shared" si="31"/>
        <v>0.55079999999999996</v>
      </c>
      <c r="K315" s="136">
        <f t="shared" si="26"/>
        <v>0</v>
      </c>
      <c r="L315" s="136">
        <f t="shared" si="27"/>
        <v>34.1</v>
      </c>
      <c r="M315" s="136">
        <f t="shared" si="28"/>
        <v>34.1</v>
      </c>
      <c r="O315" s="134"/>
      <c r="P315" s="259"/>
    </row>
    <row r="316" spans="1:16">
      <c r="A316" s="134">
        <v>257</v>
      </c>
      <c r="B316" s="259" t="s">
        <v>1644</v>
      </c>
      <c r="C316" s="129" t="s">
        <v>1645</v>
      </c>
      <c r="D316" s="292">
        <v>323</v>
      </c>
      <c r="E316" s="292">
        <v>0</v>
      </c>
      <c r="F316" s="139">
        <f t="shared" si="29"/>
        <v>323</v>
      </c>
      <c r="G316" s="292">
        <v>160</v>
      </c>
      <c r="H316" s="292">
        <v>0</v>
      </c>
      <c r="I316" s="139">
        <f t="shared" si="30"/>
        <v>160</v>
      </c>
      <c r="J316" s="266">
        <f t="shared" si="31"/>
        <v>0.49540000000000001</v>
      </c>
      <c r="K316" s="136">
        <f t="shared" si="26"/>
        <v>16.3</v>
      </c>
      <c r="L316" s="136">
        <f t="shared" si="27"/>
        <v>0</v>
      </c>
      <c r="M316" s="136">
        <f t="shared" si="28"/>
        <v>16.3</v>
      </c>
      <c r="O316" s="134"/>
      <c r="P316" s="259"/>
    </row>
    <row r="317" spans="1:16">
      <c r="A317" s="134">
        <v>258</v>
      </c>
      <c r="B317" s="259" t="s">
        <v>1646</v>
      </c>
      <c r="C317" s="129" t="s">
        <v>1647</v>
      </c>
      <c r="D317" s="292">
        <v>184</v>
      </c>
      <c r="E317" s="292">
        <v>0</v>
      </c>
      <c r="F317" s="139">
        <f t="shared" si="29"/>
        <v>184</v>
      </c>
      <c r="G317" s="292">
        <v>82</v>
      </c>
      <c r="H317" s="292">
        <v>0</v>
      </c>
      <c r="I317" s="139">
        <f t="shared" si="30"/>
        <v>82</v>
      </c>
      <c r="J317" s="266">
        <f t="shared" si="31"/>
        <v>0.44569999999999999</v>
      </c>
      <c r="K317" s="136">
        <f t="shared" si="26"/>
        <v>5.5</v>
      </c>
      <c r="L317" s="136">
        <f t="shared" si="27"/>
        <v>0</v>
      </c>
      <c r="M317" s="136">
        <f t="shared" si="28"/>
        <v>5.5</v>
      </c>
      <c r="O317" s="134"/>
      <c r="P317" s="259"/>
    </row>
    <row r="318" spans="1:16">
      <c r="A318" s="134">
        <v>258</v>
      </c>
      <c r="B318" s="259" t="s">
        <v>1648</v>
      </c>
      <c r="C318" s="129" t="s">
        <v>1649</v>
      </c>
      <c r="D318" s="292">
        <v>282</v>
      </c>
      <c r="E318" s="292">
        <v>0</v>
      </c>
      <c r="F318" s="139">
        <f t="shared" si="29"/>
        <v>282</v>
      </c>
      <c r="G318" s="292">
        <v>130</v>
      </c>
      <c r="H318" s="292">
        <v>0</v>
      </c>
      <c r="I318" s="139">
        <f t="shared" si="30"/>
        <v>130</v>
      </c>
      <c r="J318" s="266">
        <f t="shared" si="31"/>
        <v>0.46100000000000002</v>
      </c>
      <c r="K318" s="136">
        <f t="shared" si="26"/>
        <v>10.1</v>
      </c>
      <c r="L318" s="136">
        <f t="shared" si="27"/>
        <v>0</v>
      </c>
      <c r="M318" s="136">
        <f t="shared" si="28"/>
        <v>10.1</v>
      </c>
      <c r="O318" s="134"/>
      <c r="P318" s="259"/>
    </row>
    <row r="319" spans="1:16">
      <c r="A319" s="134">
        <v>258</v>
      </c>
      <c r="B319" s="259" t="s">
        <v>3991</v>
      </c>
      <c r="C319" s="129" t="s">
        <v>3992</v>
      </c>
      <c r="D319" s="292">
        <v>0</v>
      </c>
      <c r="E319" s="292">
        <v>0</v>
      </c>
      <c r="F319" s="139">
        <f t="shared" si="29"/>
        <v>0</v>
      </c>
      <c r="G319" s="292">
        <v>0</v>
      </c>
      <c r="H319" s="292">
        <v>0</v>
      </c>
      <c r="I319" s="139">
        <f t="shared" si="30"/>
        <v>0</v>
      </c>
      <c r="J319" s="266">
        <f t="shared" si="31"/>
        <v>0</v>
      </c>
      <c r="K319" s="136">
        <f t="shared" si="26"/>
        <v>0</v>
      </c>
      <c r="L319" s="136">
        <f t="shared" si="27"/>
        <v>0</v>
      </c>
      <c r="M319" s="136">
        <f t="shared" si="28"/>
        <v>0</v>
      </c>
      <c r="O319" s="134"/>
      <c r="P319" s="259"/>
    </row>
    <row r="320" spans="1:16">
      <c r="A320" s="134">
        <v>258</v>
      </c>
      <c r="B320" s="259" t="s">
        <v>1650</v>
      </c>
      <c r="C320" s="129" t="s">
        <v>1651</v>
      </c>
      <c r="D320" s="292">
        <v>135</v>
      </c>
      <c r="E320" s="292">
        <v>0</v>
      </c>
      <c r="F320" s="139">
        <f t="shared" si="29"/>
        <v>135</v>
      </c>
      <c r="G320" s="292">
        <v>63</v>
      </c>
      <c r="H320" s="292">
        <v>0</v>
      </c>
      <c r="I320" s="139">
        <f t="shared" si="30"/>
        <v>63</v>
      </c>
      <c r="J320" s="266">
        <f t="shared" si="31"/>
        <v>0.4667</v>
      </c>
      <c r="K320" s="136">
        <f t="shared" si="26"/>
        <v>5.0999999999999996</v>
      </c>
      <c r="L320" s="136">
        <f t="shared" si="27"/>
        <v>0</v>
      </c>
      <c r="M320" s="136">
        <f t="shared" si="28"/>
        <v>5.0999999999999996</v>
      </c>
      <c r="O320" s="134"/>
      <c r="P320" s="259"/>
    </row>
    <row r="321" spans="1:16">
      <c r="A321" s="134">
        <v>259</v>
      </c>
      <c r="B321" s="259" t="s">
        <v>3993</v>
      </c>
      <c r="C321" s="129" t="s">
        <v>3994</v>
      </c>
      <c r="D321" s="292">
        <v>0</v>
      </c>
      <c r="E321" s="292">
        <v>0</v>
      </c>
      <c r="F321" s="139">
        <f t="shared" si="29"/>
        <v>0</v>
      </c>
      <c r="G321" s="292">
        <v>0</v>
      </c>
      <c r="H321" s="292">
        <v>0</v>
      </c>
      <c r="I321" s="139">
        <f t="shared" si="30"/>
        <v>0</v>
      </c>
      <c r="J321" s="266">
        <f t="shared" si="31"/>
        <v>0</v>
      </c>
      <c r="K321" s="136">
        <f t="shared" si="26"/>
        <v>0</v>
      </c>
      <c r="L321" s="136">
        <f t="shared" si="27"/>
        <v>0</v>
      </c>
      <c r="M321" s="136">
        <f t="shared" si="28"/>
        <v>0</v>
      </c>
      <c r="O321" s="134"/>
      <c r="P321" s="259"/>
    </row>
    <row r="322" spans="1:16">
      <c r="A322" s="134">
        <v>259</v>
      </c>
      <c r="B322" s="259" t="s">
        <v>1652</v>
      </c>
      <c r="C322" s="129" t="s">
        <v>1653</v>
      </c>
      <c r="D322" s="292">
        <v>376</v>
      </c>
      <c r="E322" s="292">
        <v>0</v>
      </c>
      <c r="F322" s="139">
        <f t="shared" si="29"/>
        <v>376</v>
      </c>
      <c r="G322" s="292">
        <v>348</v>
      </c>
      <c r="H322" s="292">
        <v>0</v>
      </c>
      <c r="I322" s="139">
        <f t="shared" si="30"/>
        <v>348</v>
      </c>
      <c r="J322" s="266">
        <f t="shared" si="31"/>
        <v>0.92549999999999999</v>
      </c>
      <c r="K322" s="136">
        <f t="shared" si="26"/>
        <v>0</v>
      </c>
      <c r="L322" s="136">
        <f t="shared" si="27"/>
        <v>36.5</v>
      </c>
      <c r="M322" s="136">
        <f t="shared" si="28"/>
        <v>36.5</v>
      </c>
      <c r="O322" s="134"/>
      <c r="P322" s="259"/>
    </row>
    <row r="323" spans="1:16">
      <c r="A323" s="134">
        <v>259</v>
      </c>
      <c r="B323" s="259" t="s">
        <v>1654</v>
      </c>
      <c r="C323" s="129" t="s">
        <v>1655</v>
      </c>
      <c r="D323" s="292">
        <v>505</v>
      </c>
      <c r="E323" s="292">
        <v>0</v>
      </c>
      <c r="F323" s="139">
        <f t="shared" si="29"/>
        <v>505</v>
      </c>
      <c r="G323" s="292">
        <v>415</v>
      </c>
      <c r="H323" s="292">
        <v>0</v>
      </c>
      <c r="I323" s="139">
        <f t="shared" si="30"/>
        <v>415</v>
      </c>
      <c r="J323" s="266">
        <f t="shared" si="31"/>
        <v>0.82179999999999997</v>
      </c>
      <c r="K323" s="136">
        <f t="shared" si="26"/>
        <v>0</v>
      </c>
      <c r="L323" s="136">
        <f t="shared" si="27"/>
        <v>43.6</v>
      </c>
      <c r="M323" s="136">
        <f t="shared" si="28"/>
        <v>43.6</v>
      </c>
      <c r="O323" s="134"/>
      <c r="P323" s="259"/>
    </row>
    <row r="324" spans="1:16">
      <c r="A324" s="134">
        <v>259</v>
      </c>
      <c r="B324" s="259" t="s">
        <v>1656</v>
      </c>
      <c r="C324" s="129" t="s">
        <v>1657</v>
      </c>
      <c r="D324" s="292">
        <v>451</v>
      </c>
      <c r="E324" s="292">
        <v>0</v>
      </c>
      <c r="F324" s="139">
        <f t="shared" si="29"/>
        <v>451</v>
      </c>
      <c r="G324" s="292">
        <v>380</v>
      </c>
      <c r="H324" s="292">
        <v>0</v>
      </c>
      <c r="I324" s="139">
        <f t="shared" si="30"/>
        <v>380</v>
      </c>
      <c r="J324" s="266">
        <f t="shared" si="31"/>
        <v>0.84260000000000002</v>
      </c>
      <c r="K324" s="136">
        <f t="shared" si="26"/>
        <v>0</v>
      </c>
      <c r="L324" s="136">
        <f t="shared" si="27"/>
        <v>39.9</v>
      </c>
      <c r="M324" s="136">
        <f t="shared" si="28"/>
        <v>39.9</v>
      </c>
      <c r="O324" s="134"/>
      <c r="P324" s="259"/>
    </row>
    <row r="325" spans="1:16">
      <c r="A325" s="134">
        <v>259</v>
      </c>
      <c r="B325" s="259" t="s">
        <v>1658</v>
      </c>
      <c r="C325" s="129" t="s">
        <v>1659</v>
      </c>
      <c r="D325" s="292">
        <v>292</v>
      </c>
      <c r="E325" s="292">
        <v>0</v>
      </c>
      <c r="F325" s="139">
        <f t="shared" si="29"/>
        <v>292</v>
      </c>
      <c r="G325" s="292">
        <v>190</v>
      </c>
      <c r="H325" s="292">
        <v>0</v>
      </c>
      <c r="I325" s="139">
        <f t="shared" si="30"/>
        <v>190</v>
      </c>
      <c r="J325" s="266">
        <f t="shared" si="31"/>
        <v>0.65069999999999995</v>
      </c>
      <c r="K325" s="136">
        <f t="shared" ref="K325:K388" si="32">IF(AND((J325-35%)&gt;0,J325&lt;50%),I325*(J325-35%)*0.7,0)</f>
        <v>0</v>
      </c>
      <c r="L325" s="136">
        <f t="shared" ref="L325:L388" si="33">IF(J325&gt;=50%,I325*10.5%,0)</f>
        <v>20</v>
      </c>
      <c r="M325" s="136">
        <f t="shared" ref="M325:M388" si="34">MAX(K325,L325)</f>
        <v>20</v>
      </c>
      <c r="O325" s="134"/>
      <c r="P325" s="259"/>
    </row>
    <row r="326" spans="1:16">
      <c r="A326" s="134">
        <v>259</v>
      </c>
      <c r="B326" s="259" t="s">
        <v>1660</v>
      </c>
      <c r="C326" s="129" t="s">
        <v>1661</v>
      </c>
      <c r="D326" s="292">
        <v>471</v>
      </c>
      <c r="E326" s="292">
        <v>0</v>
      </c>
      <c r="F326" s="139">
        <f t="shared" ref="F326:F389" si="35">D326+E326</f>
        <v>471</v>
      </c>
      <c r="G326" s="292">
        <v>363</v>
      </c>
      <c r="H326" s="292">
        <v>0</v>
      </c>
      <c r="I326" s="139">
        <f t="shared" ref="I326:I389" si="36">G326+H326</f>
        <v>363</v>
      </c>
      <c r="J326" s="266">
        <f t="shared" ref="J326:J389" si="37">IF(ISERROR(I326/F326),0,I326/F326)</f>
        <v>0.77070000000000005</v>
      </c>
      <c r="K326" s="136">
        <f t="shared" si="32"/>
        <v>0</v>
      </c>
      <c r="L326" s="136">
        <f t="shared" si="33"/>
        <v>38.1</v>
      </c>
      <c r="M326" s="136">
        <f t="shared" si="34"/>
        <v>38.1</v>
      </c>
      <c r="O326" s="134"/>
      <c r="P326" s="259"/>
    </row>
    <row r="327" spans="1:16">
      <c r="A327" s="134">
        <v>259</v>
      </c>
      <c r="B327" s="259" t="s">
        <v>1662</v>
      </c>
      <c r="C327" s="129" t="s">
        <v>1663</v>
      </c>
      <c r="D327" s="292">
        <v>280</v>
      </c>
      <c r="E327" s="292">
        <v>0</v>
      </c>
      <c r="F327" s="139">
        <f t="shared" si="35"/>
        <v>280</v>
      </c>
      <c r="G327" s="292">
        <v>228</v>
      </c>
      <c r="H327" s="292">
        <v>0</v>
      </c>
      <c r="I327" s="139">
        <f t="shared" si="36"/>
        <v>228</v>
      </c>
      <c r="J327" s="266">
        <f t="shared" si="37"/>
        <v>0.81430000000000002</v>
      </c>
      <c r="K327" s="136">
        <f t="shared" si="32"/>
        <v>0</v>
      </c>
      <c r="L327" s="136">
        <f t="shared" si="33"/>
        <v>23.9</v>
      </c>
      <c r="M327" s="136">
        <f t="shared" si="34"/>
        <v>23.9</v>
      </c>
      <c r="O327" s="134"/>
      <c r="P327" s="259"/>
    </row>
    <row r="328" spans="1:16">
      <c r="A328" s="134">
        <v>259</v>
      </c>
      <c r="B328" s="259" t="s">
        <v>1664</v>
      </c>
      <c r="C328" s="129" t="s">
        <v>1665</v>
      </c>
      <c r="D328" s="292">
        <v>452</v>
      </c>
      <c r="E328" s="292">
        <v>0</v>
      </c>
      <c r="F328" s="139">
        <f t="shared" si="35"/>
        <v>452</v>
      </c>
      <c r="G328" s="292">
        <v>377</v>
      </c>
      <c r="H328" s="292">
        <v>0</v>
      </c>
      <c r="I328" s="139">
        <f t="shared" si="36"/>
        <v>377</v>
      </c>
      <c r="J328" s="266">
        <f t="shared" si="37"/>
        <v>0.83409999999999995</v>
      </c>
      <c r="K328" s="136">
        <f t="shared" si="32"/>
        <v>0</v>
      </c>
      <c r="L328" s="136">
        <f t="shared" si="33"/>
        <v>39.6</v>
      </c>
      <c r="M328" s="136">
        <f t="shared" si="34"/>
        <v>39.6</v>
      </c>
      <c r="O328" s="134"/>
      <c r="P328" s="259"/>
    </row>
    <row r="329" spans="1:16">
      <c r="A329" s="134">
        <v>259</v>
      </c>
      <c r="B329" s="259" t="s">
        <v>1666</v>
      </c>
      <c r="C329" s="129" t="s">
        <v>1667</v>
      </c>
      <c r="D329" s="292">
        <v>502</v>
      </c>
      <c r="E329" s="292">
        <v>0</v>
      </c>
      <c r="F329" s="139">
        <f t="shared" si="35"/>
        <v>502</v>
      </c>
      <c r="G329" s="292">
        <v>438</v>
      </c>
      <c r="H329" s="292">
        <v>0</v>
      </c>
      <c r="I329" s="139">
        <f t="shared" si="36"/>
        <v>438</v>
      </c>
      <c r="J329" s="266">
        <f t="shared" si="37"/>
        <v>0.87250000000000005</v>
      </c>
      <c r="K329" s="136">
        <f t="shared" si="32"/>
        <v>0</v>
      </c>
      <c r="L329" s="136">
        <f t="shared" si="33"/>
        <v>46</v>
      </c>
      <c r="M329" s="136">
        <f t="shared" si="34"/>
        <v>46</v>
      </c>
      <c r="O329" s="134"/>
      <c r="P329" s="259"/>
    </row>
    <row r="330" spans="1:16">
      <c r="A330" s="134">
        <v>259</v>
      </c>
      <c r="B330" s="259" t="s">
        <v>1668</v>
      </c>
      <c r="C330" s="129" t="s">
        <v>1669</v>
      </c>
      <c r="D330" s="292">
        <v>290</v>
      </c>
      <c r="E330" s="292">
        <v>0</v>
      </c>
      <c r="F330" s="139">
        <f t="shared" si="35"/>
        <v>290</v>
      </c>
      <c r="G330" s="292">
        <v>211</v>
      </c>
      <c r="H330" s="292">
        <v>0</v>
      </c>
      <c r="I330" s="139">
        <f t="shared" si="36"/>
        <v>211</v>
      </c>
      <c r="J330" s="266">
        <f t="shared" si="37"/>
        <v>0.72760000000000002</v>
      </c>
      <c r="K330" s="136">
        <f t="shared" si="32"/>
        <v>0</v>
      </c>
      <c r="L330" s="136">
        <f t="shared" si="33"/>
        <v>22.2</v>
      </c>
      <c r="M330" s="136">
        <f t="shared" si="34"/>
        <v>22.2</v>
      </c>
      <c r="O330" s="134"/>
      <c r="P330" s="259"/>
    </row>
    <row r="331" spans="1:16">
      <c r="A331" s="134">
        <v>259</v>
      </c>
      <c r="B331" s="259" t="s">
        <v>1670</v>
      </c>
      <c r="C331" s="129" t="s">
        <v>1671</v>
      </c>
      <c r="D331" s="292">
        <v>325</v>
      </c>
      <c r="E331" s="292">
        <v>0</v>
      </c>
      <c r="F331" s="139">
        <f t="shared" si="35"/>
        <v>325</v>
      </c>
      <c r="G331" s="292">
        <v>245</v>
      </c>
      <c r="H331" s="292">
        <v>0</v>
      </c>
      <c r="I331" s="139">
        <f t="shared" si="36"/>
        <v>245</v>
      </c>
      <c r="J331" s="266">
        <f t="shared" si="37"/>
        <v>0.75380000000000003</v>
      </c>
      <c r="K331" s="136">
        <f t="shared" si="32"/>
        <v>0</v>
      </c>
      <c r="L331" s="136">
        <f t="shared" si="33"/>
        <v>25.7</v>
      </c>
      <c r="M331" s="136">
        <f t="shared" si="34"/>
        <v>25.7</v>
      </c>
      <c r="O331" s="134"/>
      <c r="P331" s="259"/>
    </row>
    <row r="332" spans="1:16">
      <c r="A332" s="134">
        <v>259</v>
      </c>
      <c r="B332" s="259" t="s">
        <v>1672</v>
      </c>
      <c r="C332" s="129" t="s">
        <v>1673</v>
      </c>
      <c r="D332" s="292">
        <v>383</v>
      </c>
      <c r="E332" s="292">
        <v>0</v>
      </c>
      <c r="F332" s="139">
        <f t="shared" si="35"/>
        <v>383</v>
      </c>
      <c r="G332" s="292">
        <v>322</v>
      </c>
      <c r="H332" s="292">
        <v>0</v>
      </c>
      <c r="I332" s="139">
        <f t="shared" si="36"/>
        <v>322</v>
      </c>
      <c r="J332" s="266">
        <f t="shared" si="37"/>
        <v>0.8407</v>
      </c>
      <c r="K332" s="136">
        <f t="shared" si="32"/>
        <v>0</v>
      </c>
      <c r="L332" s="136">
        <f t="shared" si="33"/>
        <v>33.799999999999997</v>
      </c>
      <c r="M332" s="136">
        <f t="shared" si="34"/>
        <v>33.799999999999997</v>
      </c>
      <c r="O332" s="134"/>
      <c r="P332" s="259"/>
    </row>
    <row r="333" spans="1:16">
      <c r="A333" s="134">
        <v>259</v>
      </c>
      <c r="B333" s="259" t="s">
        <v>1674</v>
      </c>
      <c r="C333" s="129" t="s">
        <v>1675</v>
      </c>
      <c r="D333" s="292">
        <v>365</v>
      </c>
      <c r="E333" s="292">
        <v>0</v>
      </c>
      <c r="F333" s="139">
        <f t="shared" si="35"/>
        <v>365</v>
      </c>
      <c r="G333" s="292">
        <v>314</v>
      </c>
      <c r="H333" s="292">
        <v>0</v>
      </c>
      <c r="I333" s="139">
        <f t="shared" si="36"/>
        <v>314</v>
      </c>
      <c r="J333" s="266">
        <f t="shared" si="37"/>
        <v>0.86029999999999995</v>
      </c>
      <c r="K333" s="136">
        <f t="shared" si="32"/>
        <v>0</v>
      </c>
      <c r="L333" s="136">
        <f t="shared" si="33"/>
        <v>33</v>
      </c>
      <c r="M333" s="136">
        <f t="shared" si="34"/>
        <v>33</v>
      </c>
      <c r="O333" s="134"/>
      <c r="P333" s="259"/>
    </row>
    <row r="334" spans="1:16">
      <c r="A334" s="134">
        <v>259</v>
      </c>
      <c r="B334" s="259" t="s">
        <v>1676</v>
      </c>
      <c r="C334" s="129" t="s">
        <v>1677</v>
      </c>
      <c r="D334" s="292">
        <v>401</v>
      </c>
      <c r="E334" s="292">
        <v>0</v>
      </c>
      <c r="F334" s="139">
        <f t="shared" si="35"/>
        <v>401</v>
      </c>
      <c r="G334" s="292">
        <v>239</v>
      </c>
      <c r="H334" s="292">
        <v>0</v>
      </c>
      <c r="I334" s="139">
        <f t="shared" si="36"/>
        <v>239</v>
      </c>
      <c r="J334" s="266">
        <f t="shared" si="37"/>
        <v>0.59599999999999997</v>
      </c>
      <c r="K334" s="136">
        <f t="shared" si="32"/>
        <v>0</v>
      </c>
      <c r="L334" s="136">
        <f t="shared" si="33"/>
        <v>25.1</v>
      </c>
      <c r="M334" s="136">
        <f t="shared" si="34"/>
        <v>25.1</v>
      </c>
      <c r="O334" s="134"/>
      <c r="P334" s="259"/>
    </row>
    <row r="335" spans="1:16">
      <c r="A335" s="134">
        <v>259</v>
      </c>
      <c r="B335" s="259" t="s">
        <v>1678</v>
      </c>
      <c r="C335" s="129" t="s">
        <v>1679</v>
      </c>
      <c r="D335" s="292">
        <v>240</v>
      </c>
      <c r="E335" s="292">
        <v>0</v>
      </c>
      <c r="F335" s="139">
        <f t="shared" si="35"/>
        <v>240</v>
      </c>
      <c r="G335" s="292">
        <v>203</v>
      </c>
      <c r="H335" s="292">
        <v>0</v>
      </c>
      <c r="I335" s="139">
        <f t="shared" si="36"/>
        <v>203</v>
      </c>
      <c r="J335" s="266">
        <f t="shared" si="37"/>
        <v>0.8458</v>
      </c>
      <c r="K335" s="136">
        <f t="shared" si="32"/>
        <v>0</v>
      </c>
      <c r="L335" s="136">
        <f t="shared" si="33"/>
        <v>21.3</v>
      </c>
      <c r="M335" s="136">
        <f t="shared" si="34"/>
        <v>21.3</v>
      </c>
      <c r="O335" s="134"/>
      <c r="P335" s="259"/>
    </row>
    <row r="336" spans="1:16">
      <c r="A336" s="134">
        <v>259</v>
      </c>
      <c r="B336" s="259" t="s">
        <v>1680</v>
      </c>
      <c r="C336" s="129" t="s">
        <v>1681</v>
      </c>
      <c r="D336" s="292">
        <v>296</v>
      </c>
      <c r="E336" s="292">
        <v>0</v>
      </c>
      <c r="F336" s="139">
        <f t="shared" si="35"/>
        <v>296</v>
      </c>
      <c r="G336" s="292">
        <v>222</v>
      </c>
      <c r="H336" s="292">
        <v>0</v>
      </c>
      <c r="I336" s="139">
        <f t="shared" si="36"/>
        <v>222</v>
      </c>
      <c r="J336" s="266">
        <f t="shared" si="37"/>
        <v>0.75</v>
      </c>
      <c r="K336" s="136">
        <f t="shared" si="32"/>
        <v>0</v>
      </c>
      <c r="L336" s="136">
        <f t="shared" si="33"/>
        <v>23.3</v>
      </c>
      <c r="M336" s="136">
        <f t="shared" si="34"/>
        <v>23.3</v>
      </c>
      <c r="O336" s="134"/>
      <c r="P336" s="259"/>
    </row>
    <row r="337" spans="1:16">
      <c r="A337" s="134">
        <v>259</v>
      </c>
      <c r="B337" s="259" t="s">
        <v>1682</v>
      </c>
      <c r="C337" s="129" t="s">
        <v>1683</v>
      </c>
      <c r="D337" s="292">
        <v>492</v>
      </c>
      <c r="E337" s="292">
        <v>0</v>
      </c>
      <c r="F337" s="139">
        <f t="shared" si="35"/>
        <v>492</v>
      </c>
      <c r="G337" s="292">
        <v>429</v>
      </c>
      <c r="H337" s="292">
        <v>0</v>
      </c>
      <c r="I337" s="139">
        <f t="shared" si="36"/>
        <v>429</v>
      </c>
      <c r="J337" s="266">
        <f t="shared" si="37"/>
        <v>0.872</v>
      </c>
      <c r="K337" s="136">
        <f t="shared" si="32"/>
        <v>0</v>
      </c>
      <c r="L337" s="136">
        <f t="shared" si="33"/>
        <v>45</v>
      </c>
      <c r="M337" s="136">
        <f t="shared" si="34"/>
        <v>45</v>
      </c>
      <c r="O337" s="134"/>
      <c r="P337" s="259"/>
    </row>
    <row r="338" spans="1:16">
      <c r="A338" s="134">
        <v>259</v>
      </c>
      <c r="B338" s="259" t="s">
        <v>1684</v>
      </c>
      <c r="C338" s="129" t="s">
        <v>1685</v>
      </c>
      <c r="D338" s="292">
        <v>385</v>
      </c>
      <c r="E338" s="292">
        <v>0</v>
      </c>
      <c r="F338" s="139">
        <f t="shared" si="35"/>
        <v>385</v>
      </c>
      <c r="G338" s="292">
        <v>243</v>
      </c>
      <c r="H338" s="292">
        <v>0</v>
      </c>
      <c r="I338" s="139">
        <f t="shared" si="36"/>
        <v>243</v>
      </c>
      <c r="J338" s="266">
        <f t="shared" si="37"/>
        <v>0.63119999999999998</v>
      </c>
      <c r="K338" s="136">
        <f t="shared" si="32"/>
        <v>0</v>
      </c>
      <c r="L338" s="136">
        <f t="shared" si="33"/>
        <v>25.5</v>
      </c>
      <c r="M338" s="136">
        <f t="shared" si="34"/>
        <v>25.5</v>
      </c>
      <c r="O338" s="134"/>
      <c r="P338" s="259"/>
    </row>
    <row r="339" spans="1:16">
      <c r="A339" s="134">
        <v>259</v>
      </c>
      <c r="B339" s="259" t="s">
        <v>1686</v>
      </c>
      <c r="C339" s="129" t="s">
        <v>1687</v>
      </c>
      <c r="D339" s="292">
        <v>574</v>
      </c>
      <c r="E339" s="292">
        <v>0</v>
      </c>
      <c r="F339" s="139">
        <f t="shared" si="35"/>
        <v>574</v>
      </c>
      <c r="G339" s="292">
        <v>523</v>
      </c>
      <c r="H339" s="292">
        <v>0</v>
      </c>
      <c r="I339" s="139">
        <f t="shared" si="36"/>
        <v>523</v>
      </c>
      <c r="J339" s="266">
        <f t="shared" si="37"/>
        <v>0.91110000000000002</v>
      </c>
      <c r="K339" s="136">
        <f t="shared" si="32"/>
        <v>0</v>
      </c>
      <c r="L339" s="136">
        <f t="shared" si="33"/>
        <v>54.9</v>
      </c>
      <c r="M339" s="136">
        <f t="shared" si="34"/>
        <v>54.9</v>
      </c>
      <c r="O339" s="134"/>
      <c r="P339" s="259"/>
    </row>
    <row r="340" spans="1:16">
      <c r="A340" s="134">
        <v>259</v>
      </c>
      <c r="B340" s="259" t="s">
        <v>1688</v>
      </c>
      <c r="C340" s="129" t="s">
        <v>1689</v>
      </c>
      <c r="D340" s="292">
        <v>434</v>
      </c>
      <c r="E340" s="292">
        <v>0</v>
      </c>
      <c r="F340" s="139">
        <f t="shared" si="35"/>
        <v>434</v>
      </c>
      <c r="G340" s="292">
        <v>229</v>
      </c>
      <c r="H340" s="292">
        <v>0</v>
      </c>
      <c r="I340" s="139">
        <f t="shared" si="36"/>
        <v>229</v>
      </c>
      <c r="J340" s="266">
        <f t="shared" si="37"/>
        <v>0.52759999999999996</v>
      </c>
      <c r="K340" s="136">
        <f t="shared" si="32"/>
        <v>0</v>
      </c>
      <c r="L340" s="136">
        <f t="shared" si="33"/>
        <v>24</v>
      </c>
      <c r="M340" s="136">
        <f t="shared" si="34"/>
        <v>24</v>
      </c>
      <c r="O340" s="134"/>
      <c r="P340" s="259"/>
    </row>
    <row r="341" spans="1:16">
      <c r="A341" s="134">
        <v>259</v>
      </c>
      <c r="B341" s="259" t="s">
        <v>1690</v>
      </c>
      <c r="C341" s="129" t="s">
        <v>1691</v>
      </c>
      <c r="D341" s="292">
        <v>411</v>
      </c>
      <c r="E341" s="292">
        <v>0</v>
      </c>
      <c r="F341" s="139">
        <f t="shared" si="35"/>
        <v>411</v>
      </c>
      <c r="G341" s="292">
        <v>352</v>
      </c>
      <c r="H341" s="292">
        <v>0</v>
      </c>
      <c r="I341" s="139">
        <f t="shared" si="36"/>
        <v>352</v>
      </c>
      <c r="J341" s="266">
        <f t="shared" si="37"/>
        <v>0.85640000000000005</v>
      </c>
      <c r="K341" s="136">
        <f t="shared" si="32"/>
        <v>0</v>
      </c>
      <c r="L341" s="136">
        <f t="shared" si="33"/>
        <v>37</v>
      </c>
      <c r="M341" s="136">
        <f t="shared" si="34"/>
        <v>37</v>
      </c>
      <c r="O341" s="134"/>
      <c r="P341" s="259"/>
    </row>
    <row r="342" spans="1:16">
      <c r="A342" s="134">
        <v>259</v>
      </c>
      <c r="B342" s="259" t="s">
        <v>1692</v>
      </c>
      <c r="C342" s="129" t="s">
        <v>1693</v>
      </c>
      <c r="D342" s="292">
        <v>531</v>
      </c>
      <c r="E342" s="292">
        <v>0</v>
      </c>
      <c r="F342" s="139">
        <f t="shared" si="35"/>
        <v>531</v>
      </c>
      <c r="G342" s="292">
        <v>407</v>
      </c>
      <c r="H342" s="292">
        <v>0</v>
      </c>
      <c r="I342" s="139">
        <f t="shared" si="36"/>
        <v>407</v>
      </c>
      <c r="J342" s="266">
        <f t="shared" si="37"/>
        <v>0.76649999999999996</v>
      </c>
      <c r="K342" s="136">
        <f t="shared" si="32"/>
        <v>0</v>
      </c>
      <c r="L342" s="136">
        <f t="shared" si="33"/>
        <v>42.7</v>
      </c>
      <c r="M342" s="136">
        <f t="shared" si="34"/>
        <v>42.7</v>
      </c>
      <c r="O342" s="134"/>
      <c r="P342" s="259"/>
    </row>
    <row r="343" spans="1:16">
      <c r="A343" s="134">
        <v>259</v>
      </c>
      <c r="B343" s="259" t="s">
        <v>1694</v>
      </c>
      <c r="C343" s="129" t="s">
        <v>1695</v>
      </c>
      <c r="D343" s="292">
        <v>332</v>
      </c>
      <c r="E343" s="292">
        <v>0</v>
      </c>
      <c r="F343" s="139">
        <f t="shared" si="35"/>
        <v>332</v>
      </c>
      <c r="G343" s="292">
        <v>274</v>
      </c>
      <c r="H343" s="292">
        <v>0</v>
      </c>
      <c r="I343" s="139">
        <f t="shared" si="36"/>
        <v>274</v>
      </c>
      <c r="J343" s="266">
        <f t="shared" si="37"/>
        <v>0.82530000000000003</v>
      </c>
      <c r="K343" s="136">
        <f t="shared" si="32"/>
        <v>0</v>
      </c>
      <c r="L343" s="136">
        <f t="shared" si="33"/>
        <v>28.8</v>
      </c>
      <c r="M343" s="136">
        <f t="shared" si="34"/>
        <v>28.8</v>
      </c>
      <c r="O343" s="134"/>
      <c r="P343" s="259"/>
    </row>
    <row r="344" spans="1:16">
      <c r="A344" s="134">
        <v>259</v>
      </c>
      <c r="B344" s="259" t="s">
        <v>1696</v>
      </c>
      <c r="C344" s="129" t="s">
        <v>1697</v>
      </c>
      <c r="D344" s="292">
        <v>847</v>
      </c>
      <c r="E344" s="292">
        <v>0</v>
      </c>
      <c r="F344" s="139">
        <f t="shared" si="35"/>
        <v>847</v>
      </c>
      <c r="G344" s="292">
        <v>361</v>
      </c>
      <c r="H344" s="292">
        <v>0</v>
      </c>
      <c r="I344" s="139">
        <f t="shared" si="36"/>
        <v>361</v>
      </c>
      <c r="J344" s="266">
        <f t="shared" si="37"/>
        <v>0.42620000000000002</v>
      </c>
      <c r="K344" s="136">
        <f t="shared" si="32"/>
        <v>19.3</v>
      </c>
      <c r="L344" s="136">
        <f t="shared" si="33"/>
        <v>0</v>
      </c>
      <c r="M344" s="136">
        <f t="shared" si="34"/>
        <v>19.3</v>
      </c>
      <c r="O344" s="134"/>
      <c r="P344" s="259"/>
    </row>
    <row r="345" spans="1:16">
      <c r="A345" s="134">
        <v>259</v>
      </c>
      <c r="B345" s="259" t="s">
        <v>1698</v>
      </c>
      <c r="C345" s="129" t="s">
        <v>1699</v>
      </c>
      <c r="D345" s="292">
        <v>29</v>
      </c>
      <c r="E345" s="292">
        <v>0</v>
      </c>
      <c r="F345" s="139">
        <f t="shared" si="35"/>
        <v>29</v>
      </c>
      <c r="G345" s="292">
        <v>28</v>
      </c>
      <c r="H345" s="292">
        <v>0</v>
      </c>
      <c r="I345" s="139">
        <f t="shared" si="36"/>
        <v>28</v>
      </c>
      <c r="J345" s="266">
        <f t="shared" si="37"/>
        <v>0.96550000000000002</v>
      </c>
      <c r="K345" s="136">
        <f t="shared" si="32"/>
        <v>0</v>
      </c>
      <c r="L345" s="136">
        <f t="shared" si="33"/>
        <v>2.9</v>
      </c>
      <c r="M345" s="136">
        <f t="shared" si="34"/>
        <v>2.9</v>
      </c>
      <c r="O345" s="134"/>
      <c r="P345" s="259"/>
    </row>
    <row r="346" spans="1:16">
      <c r="A346" s="134">
        <v>259</v>
      </c>
      <c r="B346" s="259" t="s">
        <v>1700</v>
      </c>
      <c r="C346" s="129" t="s">
        <v>1701</v>
      </c>
      <c r="D346" s="292">
        <v>309</v>
      </c>
      <c r="E346" s="292">
        <v>0</v>
      </c>
      <c r="F346" s="139">
        <f t="shared" si="35"/>
        <v>309</v>
      </c>
      <c r="G346" s="292">
        <v>248</v>
      </c>
      <c r="H346" s="292">
        <v>0</v>
      </c>
      <c r="I346" s="139">
        <f t="shared" si="36"/>
        <v>248</v>
      </c>
      <c r="J346" s="266">
        <f t="shared" si="37"/>
        <v>0.80259999999999998</v>
      </c>
      <c r="K346" s="136">
        <f t="shared" si="32"/>
        <v>0</v>
      </c>
      <c r="L346" s="136">
        <f t="shared" si="33"/>
        <v>26</v>
      </c>
      <c r="M346" s="136">
        <f t="shared" si="34"/>
        <v>26</v>
      </c>
      <c r="O346" s="134"/>
      <c r="P346" s="259"/>
    </row>
    <row r="347" spans="1:16">
      <c r="A347" s="134">
        <v>259</v>
      </c>
      <c r="B347" s="259" t="s">
        <v>1702</v>
      </c>
      <c r="C347" s="129" t="s">
        <v>1703</v>
      </c>
      <c r="D347" s="292">
        <v>419</v>
      </c>
      <c r="E347" s="292">
        <v>0</v>
      </c>
      <c r="F347" s="139">
        <f t="shared" si="35"/>
        <v>419</v>
      </c>
      <c r="G347" s="292">
        <v>333</v>
      </c>
      <c r="H347" s="292">
        <v>0</v>
      </c>
      <c r="I347" s="139">
        <f t="shared" si="36"/>
        <v>333</v>
      </c>
      <c r="J347" s="266">
        <f t="shared" si="37"/>
        <v>0.79469999999999996</v>
      </c>
      <c r="K347" s="136">
        <f t="shared" si="32"/>
        <v>0</v>
      </c>
      <c r="L347" s="136">
        <f t="shared" si="33"/>
        <v>35</v>
      </c>
      <c r="M347" s="136">
        <f t="shared" si="34"/>
        <v>35</v>
      </c>
      <c r="O347" s="134"/>
      <c r="P347" s="259"/>
    </row>
    <row r="348" spans="1:16">
      <c r="A348" s="134">
        <v>259</v>
      </c>
      <c r="B348" s="259" t="s">
        <v>1704</v>
      </c>
      <c r="C348" s="129" t="s">
        <v>1705</v>
      </c>
      <c r="D348" s="292">
        <v>416</v>
      </c>
      <c r="E348" s="292">
        <v>0</v>
      </c>
      <c r="F348" s="139">
        <f t="shared" si="35"/>
        <v>416</v>
      </c>
      <c r="G348" s="292">
        <v>381</v>
      </c>
      <c r="H348" s="292">
        <v>0</v>
      </c>
      <c r="I348" s="139">
        <f t="shared" si="36"/>
        <v>381</v>
      </c>
      <c r="J348" s="266">
        <f t="shared" si="37"/>
        <v>0.91590000000000005</v>
      </c>
      <c r="K348" s="136">
        <f t="shared" si="32"/>
        <v>0</v>
      </c>
      <c r="L348" s="136">
        <f t="shared" si="33"/>
        <v>40</v>
      </c>
      <c r="M348" s="136">
        <f t="shared" si="34"/>
        <v>40</v>
      </c>
      <c r="O348" s="134"/>
      <c r="P348" s="259"/>
    </row>
    <row r="349" spans="1:16">
      <c r="A349" s="134">
        <v>259</v>
      </c>
      <c r="B349" s="259" t="s">
        <v>1706</v>
      </c>
      <c r="C349" s="129" t="s">
        <v>1707</v>
      </c>
      <c r="D349" s="292">
        <v>427</v>
      </c>
      <c r="E349" s="292">
        <v>0</v>
      </c>
      <c r="F349" s="139">
        <f t="shared" si="35"/>
        <v>427</v>
      </c>
      <c r="G349" s="292">
        <v>358</v>
      </c>
      <c r="H349" s="292">
        <v>0</v>
      </c>
      <c r="I349" s="139">
        <f t="shared" si="36"/>
        <v>358</v>
      </c>
      <c r="J349" s="266">
        <f t="shared" si="37"/>
        <v>0.83840000000000003</v>
      </c>
      <c r="K349" s="136">
        <f t="shared" si="32"/>
        <v>0</v>
      </c>
      <c r="L349" s="136">
        <f t="shared" si="33"/>
        <v>37.6</v>
      </c>
      <c r="M349" s="136">
        <f t="shared" si="34"/>
        <v>37.6</v>
      </c>
      <c r="O349" s="134"/>
      <c r="P349" s="259"/>
    </row>
    <row r="350" spans="1:16">
      <c r="A350" s="134">
        <v>259</v>
      </c>
      <c r="B350" s="259" t="s">
        <v>1708</v>
      </c>
      <c r="C350" s="129" t="s">
        <v>1709</v>
      </c>
      <c r="D350" s="292">
        <v>421</v>
      </c>
      <c r="E350" s="292">
        <v>0</v>
      </c>
      <c r="F350" s="139">
        <f t="shared" si="35"/>
        <v>421</v>
      </c>
      <c r="G350" s="292">
        <v>232</v>
      </c>
      <c r="H350" s="292">
        <v>0</v>
      </c>
      <c r="I350" s="139">
        <f t="shared" si="36"/>
        <v>232</v>
      </c>
      <c r="J350" s="266">
        <f t="shared" si="37"/>
        <v>0.55110000000000003</v>
      </c>
      <c r="K350" s="136">
        <f t="shared" si="32"/>
        <v>0</v>
      </c>
      <c r="L350" s="136">
        <f t="shared" si="33"/>
        <v>24.4</v>
      </c>
      <c r="M350" s="136">
        <f t="shared" si="34"/>
        <v>24.4</v>
      </c>
      <c r="O350" s="134"/>
      <c r="P350" s="259"/>
    </row>
    <row r="351" spans="1:16">
      <c r="A351" s="134">
        <v>259</v>
      </c>
      <c r="B351" s="259" t="s">
        <v>1710</v>
      </c>
      <c r="C351" s="129" t="s">
        <v>1711</v>
      </c>
      <c r="D351" s="292">
        <v>318</v>
      </c>
      <c r="E351" s="292">
        <v>0</v>
      </c>
      <c r="F351" s="139">
        <f t="shared" si="35"/>
        <v>318</v>
      </c>
      <c r="G351" s="292">
        <v>279</v>
      </c>
      <c r="H351" s="292">
        <v>0</v>
      </c>
      <c r="I351" s="139">
        <f t="shared" si="36"/>
        <v>279</v>
      </c>
      <c r="J351" s="266">
        <f t="shared" si="37"/>
        <v>0.87739999999999996</v>
      </c>
      <c r="K351" s="136">
        <f t="shared" si="32"/>
        <v>0</v>
      </c>
      <c r="L351" s="136">
        <f t="shared" si="33"/>
        <v>29.3</v>
      </c>
      <c r="M351" s="136">
        <f t="shared" si="34"/>
        <v>29.3</v>
      </c>
      <c r="O351" s="134"/>
      <c r="P351" s="259"/>
    </row>
    <row r="352" spans="1:16">
      <c r="A352" s="134">
        <v>259</v>
      </c>
      <c r="B352" s="259" t="s">
        <v>1712</v>
      </c>
      <c r="C352" s="129" t="s">
        <v>1713</v>
      </c>
      <c r="D352" s="292">
        <v>258</v>
      </c>
      <c r="E352" s="292">
        <v>0</v>
      </c>
      <c r="F352" s="139">
        <f t="shared" si="35"/>
        <v>258</v>
      </c>
      <c r="G352" s="292">
        <v>96</v>
      </c>
      <c r="H352" s="292">
        <v>0</v>
      </c>
      <c r="I352" s="139">
        <f t="shared" si="36"/>
        <v>96</v>
      </c>
      <c r="J352" s="266">
        <f t="shared" si="37"/>
        <v>0.37209999999999999</v>
      </c>
      <c r="K352" s="136">
        <f t="shared" si="32"/>
        <v>1.5</v>
      </c>
      <c r="L352" s="136">
        <f t="shared" si="33"/>
        <v>0</v>
      </c>
      <c r="M352" s="136">
        <f t="shared" si="34"/>
        <v>1.5</v>
      </c>
      <c r="O352" s="134"/>
      <c r="P352" s="259"/>
    </row>
    <row r="353" spans="1:16">
      <c r="A353" s="134">
        <v>259</v>
      </c>
      <c r="B353" s="259" t="s">
        <v>1714</v>
      </c>
      <c r="C353" s="129" t="s">
        <v>1715</v>
      </c>
      <c r="D353" s="292">
        <v>438</v>
      </c>
      <c r="E353" s="292">
        <v>0</v>
      </c>
      <c r="F353" s="139">
        <f t="shared" si="35"/>
        <v>438</v>
      </c>
      <c r="G353" s="292">
        <v>409</v>
      </c>
      <c r="H353" s="292">
        <v>0</v>
      </c>
      <c r="I353" s="139">
        <f t="shared" si="36"/>
        <v>409</v>
      </c>
      <c r="J353" s="266">
        <f t="shared" si="37"/>
        <v>0.93379999999999996</v>
      </c>
      <c r="K353" s="136">
        <f t="shared" si="32"/>
        <v>0</v>
      </c>
      <c r="L353" s="136">
        <f t="shared" si="33"/>
        <v>42.9</v>
      </c>
      <c r="M353" s="136">
        <f t="shared" si="34"/>
        <v>42.9</v>
      </c>
      <c r="O353" s="134"/>
      <c r="P353" s="259"/>
    </row>
    <row r="354" spans="1:16">
      <c r="A354" s="134">
        <v>259</v>
      </c>
      <c r="B354" s="259" t="s">
        <v>1716</v>
      </c>
      <c r="C354" s="129" t="s">
        <v>1717</v>
      </c>
      <c r="D354" s="292">
        <v>321</v>
      </c>
      <c r="E354" s="292">
        <v>0</v>
      </c>
      <c r="F354" s="139">
        <f t="shared" si="35"/>
        <v>321</v>
      </c>
      <c r="G354" s="292">
        <v>293</v>
      </c>
      <c r="H354" s="292">
        <v>0</v>
      </c>
      <c r="I354" s="139">
        <f t="shared" si="36"/>
        <v>293</v>
      </c>
      <c r="J354" s="266">
        <f t="shared" si="37"/>
        <v>0.91279999999999994</v>
      </c>
      <c r="K354" s="136">
        <f t="shared" si="32"/>
        <v>0</v>
      </c>
      <c r="L354" s="136">
        <f t="shared" si="33"/>
        <v>30.8</v>
      </c>
      <c r="M354" s="136">
        <f t="shared" si="34"/>
        <v>30.8</v>
      </c>
      <c r="O354" s="134"/>
      <c r="P354" s="259"/>
    </row>
    <row r="355" spans="1:16">
      <c r="A355" s="134">
        <v>259</v>
      </c>
      <c r="B355" s="259" t="s">
        <v>1718</v>
      </c>
      <c r="C355" s="129" t="s">
        <v>1719</v>
      </c>
      <c r="D355" s="292">
        <v>625</v>
      </c>
      <c r="E355" s="292">
        <v>0</v>
      </c>
      <c r="F355" s="139">
        <f t="shared" si="35"/>
        <v>625</v>
      </c>
      <c r="G355" s="292">
        <v>271</v>
      </c>
      <c r="H355" s="292">
        <v>0</v>
      </c>
      <c r="I355" s="139">
        <f t="shared" si="36"/>
        <v>271</v>
      </c>
      <c r="J355" s="266">
        <f t="shared" si="37"/>
        <v>0.43359999999999999</v>
      </c>
      <c r="K355" s="136">
        <f t="shared" si="32"/>
        <v>15.9</v>
      </c>
      <c r="L355" s="136">
        <f t="shared" si="33"/>
        <v>0</v>
      </c>
      <c r="M355" s="136">
        <f t="shared" si="34"/>
        <v>15.9</v>
      </c>
      <c r="O355" s="134"/>
      <c r="P355" s="259"/>
    </row>
    <row r="356" spans="1:16">
      <c r="A356" s="134">
        <v>259</v>
      </c>
      <c r="B356" s="259" t="s">
        <v>1720</v>
      </c>
      <c r="C356" s="129" t="s">
        <v>1721</v>
      </c>
      <c r="D356" s="292">
        <v>383</v>
      </c>
      <c r="E356" s="292">
        <v>0</v>
      </c>
      <c r="F356" s="139">
        <f t="shared" si="35"/>
        <v>383</v>
      </c>
      <c r="G356" s="292">
        <v>336</v>
      </c>
      <c r="H356" s="292">
        <v>0</v>
      </c>
      <c r="I356" s="139">
        <f t="shared" si="36"/>
        <v>336</v>
      </c>
      <c r="J356" s="266">
        <f t="shared" si="37"/>
        <v>0.87729999999999997</v>
      </c>
      <c r="K356" s="136">
        <f t="shared" si="32"/>
        <v>0</v>
      </c>
      <c r="L356" s="136">
        <f t="shared" si="33"/>
        <v>35.299999999999997</v>
      </c>
      <c r="M356" s="136">
        <f t="shared" si="34"/>
        <v>35.299999999999997</v>
      </c>
      <c r="O356" s="134"/>
      <c r="P356" s="259"/>
    </row>
    <row r="357" spans="1:16">
      <c r="A357" s="134">
        <v>259</v>
      </c>
      <c r="B357" s="259" t="s">
        <v>1722</v>
      </c>
      <c r="C357" s="129" t="s">
        <v>1723</v>
      </c>
      <c r="D357" s="292">
        <v>351</v>
      </c>
      <c r="E357" s="292">
        <v>0</v>
      </c>
      <c r="F357" s="139">
        <f t="shared" si="35"/>
        <v>351</v>
      </c>
      <c r="G357" s="292">
        <v>284</v>
      </c>
      <c r="H357" s="292">
        <v>0</v>
      </c>
      <c r="I357" s="139">
        <f t="shared" si="36"/>
        <v>284</v>
      </c>
      <c r="J357" s="266">
        <f t="shared" si="37"/>
        <v>0.80910000000000004</v>
      </c>
      <c r="K357" s="136">
        <f t="shared" si="32"/>
        <v>0</v>
      </c>
      <c r="L357" s="136">
        <f t="shared" si="33"/>
        <v>29.8</v>
      </c>
      <c r="M357" s="136">
        <f t="shared" si="34"/>
        <v>29.8</v>
      </c>
      <c r="O357" s="134"/>
      <c r="P357" s="259"/>
    </row>
    <row r="358" spans="1:16">
      <c r="A358" s="134">
        <v>259</v>
      </c>
      <c r="B358" s="259" t="s">
        <v>1724</v>
      </c>
      <c r="C358" s="129" t="s">
        <v>1725</v>
      </c>
      <c r="D358" s="292">
        <v>512</v>
      </c>
      <c r="E358" s="292">
        <v>0</v>
      </c>
      <c r="F358" s="139">
        <f t="shared" si="35"/>
        <v>512</v>
      </c>
      <c r="G358" s="292">
        <v>333</v>
      </c>
      <c r="H358" s="292">
        <v>0</v>
      </c>
      <c r="I358" s="139">
        <f t="shared" si="36"/>
        <v>333</v>
      </c>
      <c r="J358" s="266">
        <f t="shared" si="37"/>
        <v>0.65039999999999998</v>
      </c>
      <c r="K358" s="136">
        <f t="shared" si="32"/>
        <v>0</v>
      </c>
      <c r="L358" s="136">
        <f t="shared" si="33"/>
        <v>35</v>
      </c>
      <c r="M358" s="136">
        <f t="shared" si="34"/>
        <v>35</v>
      </c>
      <c r="O358" s="134"/>
      <c r="P358" s="259"/>
    </row>
    <row r="359" spans="1:16">
      <c r="A359" s="134">
        <v>259</v>
      </c>
      <c r="B359" s="259" t="s">
        <v>1726</v>
      </c>
      <c r="C359" s="129" t="s">
        <v>1727</v>
      </c>
      <c r="D359" s="292">
        <v>305</v>
      </c>
      <c r="E359" s="292">
        <v>0</v>
      </c>
      <c r="F359" s="139">
        <f t="shared" si="35"/>
        <v>305</v>
      </c>
      <c r="G359" s="292">
        <v>118</v>
      </c>
      <c r="H359" s="292">
        <v>0</v>
      </c>
      <c r="I359" s="139">
        <f t="shared" si="36"/>
        <v>118</v>
      </c>
      <c r="J359" s="266">
        <f t="shared" si="37"/>
        <v>0.38690000000000002</v>
      </c>
      <c r="K359" s="136">
        <f t="shared" si="32"/>
        <v>3</v>
      </c>
      <c r="L359" s="136">
        <f t="shared" si="33"/>
        <v>0</v>
      </c>
      <c r="M359" s="136">
        <f t="shared" si="34"/>
        <v>3</v>
      </c>
      <c r="O359" s="134"/>
      <c r="P359" s="259"/>
    </row>
    <row r="360" spans="1:16">
      <c r="A360" s="134">
        <v>259</v>
      </c>
      <c r="B360" s="259" t="s">
        <v>1728</v>
      </c>
      <c r="C360" s="129" t="s">
        <v>1729</v>
      </c>
      <c r="D360" s="292">
        <v>426</v>
      </c>
      <c r="E360" s="292">
        <v>0</v>
      </c>
      <c r="F360" s="139">
        <f t="shared" si="35"/>
        <v>426</v>
      </c>
      <c r="G360" s="292">
        <v>331</v>
      </c>
      <c r="H360" s="292">
        <v>0</v>
      </c>
      <c r="I360" s="139">
        <f t="shared" si="36"/>
        <v>331</v>
      </c>
      <c r="J360" s="266">
        <f t="shared" si="37"/>
        <v>0.77700000000000002</v>
      </c>
      <c r="K360" s="136">
        <f t="shared" si="32"/>
        <v>0</v>
      </c>
      <c r="L360" s="136">
        <f t="shared" si="33"/>
        <v>34.799999999999997</v>
      </c>
      <c r="M360" s="136">
        <f t="shared" si="34"/>
        <v>34.799999999999997</v>
      </c>
      <c r="O360" s="134"/>
      <c r="P360" s="259"/>
    </row>
    <row r="361" spans="1:16">
      <c r="A361" s="134">
        <v>259</v>
      </c>
      <c r="B361" s="259" t="s">
        <v>1730</v>
      </c>
      <c r="C361" s="129" t="s">
        <v>1731</v>
      </c>
      <c r="D361" s="292">
        <v>342</v>
      </c>
      <c r="E361" s="292">
        <v>0</v>
      </c>
      <c r="F361" s="139">
        <f t="shared" si="35"/>
        <v>342</v>
      </c>
      <c r="G361" s="292">
        <v>266</v>
      </c>
      <c r="H361" s="292">
        <v>0</v>
      </c>
      <c r="I361" s="139">
        <f t="shared" si="36"/>
        <v>266</v>
      </c>
      <c r="J361" s="266">
        <f t="shared" si="37"/>
        <v>0.77780000000000005</v>
      </c>
      <c r="K361" s="136">
        <f t="shared" si="32"/>
        <v>0</v>
      </c>
      <c r="L361" s="136">
        <f t="shared" si="33"/>
        <v>27.9</v>
      </c>
      <c r="M361" s="136">
        <f t="shared" si="34"/>
        <v>27.9</v>
      </c>
      <c r="O361" s="134"/>
      <c r="P361" s="259"/>
    </row>
    <row r="362" spans="1:16">
      <c r="A362" s="134">
        <v>259</v>
      </c>
      <c r="B362" s="259" t="s">
        <v>1732</v>
      </c>
      <c r="C362" s="129" t="s">
        <v>1733</v>
      </c>
      <c r="D362" s="292">
        <v>77</v>
      </c>
      <c r="E362" s="292">
        <v>0</v>
      </c>
      <c r="F362" s="139">
        <f t="shared" si="35"/>
        <v>77</v>
      </c>
      <c r="G362" s="292">
        <v>61</v>
      </c>
      <c r="H362" s="292">
        <v>0</v>
      </c>
      <c r="I362" s="139">
        <f t="shared" si="36"/>
        <v>61</v>
      </c>
      <c r="J362" s="266">
        <f t="shared" si="37"/>
        <v>0.79220000000000002</v>
      </c>
      <c r="K362" s="136">
        <f t="shared" si="32"/>
        <v>0</v>
      </c>
      <c r="L362" s="136">
        <f t="shared" si="33"/>
        <v>6.4</v>
      </c>
      <c r="M362" s="136">
        <f t="shared" si="34"/>
        <v>6.4</v>
      </c>
      <c r="O362" s="134"/>
      <c r="P362" s="259"/>
    </row>
    <row r="363" spans="1:16">
      <c r="A363" s="134">
        <v>259</v>
      </c>
      <c r="B363" s="259" t="s">
        <v>1734</v>
      </c>
      <c r="C363" s="129" t="s">
        <v>1735</v>
      </c>
      <c r="D363" s="292">
        <v>438</v>
      </c>
      <c r="E363" s="292">
        <v>0</v>
      </c>
      <c r="F363" s="139">
        <f t="shared" si="35"/>
        <v>438</v>
      </c>
      <c r="G363" s="292">
        <v>361</v>
      </c>
      <c r="H363" s="292">
        <v>0</v>
      </c>
      <c r="I363" s="139">
        <f t="shared" si="36"/>
        <v>361</v>
      </c>
      <c r="J363" s="266">
        <f t="shared" si="37"/>
        <v>0.82420000000000004</v>
      </c>
      <c r="K363" s="136">
        <f t="shared" si="32"/>
        <v>0</v>
      </c>
      <c r="L363" s="136">
        <f t="shared" si="33"/>
        <v>37.9</v>
      </c>
      <c r="M363" s="136">
        <f t="shared" si="34"/>
        <v>37.9</v>
      </c>
      <c r="O363" s="134"/>
      <c r="P363" s="259"/>
    </row>
    <row r="364" spans="1:16">
      <c r="A364" s="134">
        <v>259</v>
      </c>
      <c r="B364" s="259" t="s">
        <v>1736</v>
      </c>
      <c r="C364" s="129" t="s">
        <v>1737</v>
      </c>
      <c r="D364" s="292">
        <v>234</v>
      </c>
      <c r="E364" s="292">
        <v>0</v>
      </c>
      <c r="F364" s="139">
        <f t="shared" si="35"/>
        <v>234</v>
      </c>
      <c r="G364" s="292">
        <v>210</v>
      </c>
      <c r="H364" s="292">
        <v>0</v>
      </c>
      <c r="I364" s="139">
        <f t="shared" si="36"/>
        <v>210</v>
      </c>
      <c r="J364" s="266">
        <f t="shared" si="37"/>
        <v>0.89739999999999998</v>
      </c>
      <c r="K364" s="136">
        <f t="shared" si="32"/>
        <v>0</v>
      </c>
      <c r="L364" s="136">
        <f t="shared" si="33"/>
        <v>22.1</v>
      </c>
      <c r="M364" s="136">
        <f t="shared" si="34"/>
        <v>22.1</v>
      </c>
      <c r="O364" s="134"/>
      <c r="P364" s="259"/>
    </row>
    <row r="365" spans="1:16">
      <c r="A365" s="134">
        <v>259</v>
      </c>
      <c r="B365" s="259" t="s">
        <v>1738</v>
      </c>
      <c r="C365" s="129" t="s">
        <v>1739</v>
      </c>
      <c r="D365" s="292">
        <v>311</v>
      </c>
      <c r="E365" s="292">
        <v>0</v>
      </c>
      <c r="F365" s="139">
        <f t="shared" si="35"/>
        <v>311</v>
      </c>
      <c r="G365" s="292">
        <v>166</v>
      </c>
      <c r="H365" s="292">
        <v>0</v>
      </c>
      <c r="I365" s="139">
        <f t="shared" si="36"/>
        <v>166</v>
      </c>
      <c r="J365" s="266">
        <f t="shared" si="37"/>
        <v>0.53380000000000005</v>
      </c>
      <c r="K365" s="136">
        <f t="shared" si="32"/>
        <v>0</v>
      </c>
      <c r="L365" s="136">
        <f t="shared" si="33"/>
        <v>17.399999999999999</v>
      </c>
      <c r="M365" s="136">
        <f t="shared" si="34"/>
        <v>17.399999999999999</v>
      </c>
      <c r="O365" s="134"/>
      <c r="P365" s="259"/>
    </row>
    <row r="366" spans="1:16">
      <c r="A366" s="134">
        <v>259</v>
      </c>
      <c r="B366" s="259" t="s">
        <v>1740</v>
      </c>
      <c r="C366" s="129" t="s">
        <v>1741</v>
      </c>
      <c r="D366" s="292">
        <v>263</v>
      </c>
      <c r="E366" s="292">
        <v>0</v>
      </c>
      <c r="F366" s="139">
        <f t="shared" si="35"/>
        <v>263</v>
      </c>
      <c r="G366" s="292">
        <v>147</v>
      </c>
      <c r="H366" s="292">
        <v>0</v>
      </c>
      <c r="I366" s="139">
        <f t="shared" si="36"/>
        <v>147</v>
      </c>
      <c r="J366" s="266">
        <f t="shared" si="37"/>
        <v>0.55889999999999995</v>
      </c>
      <c r="K366" s="136">
        <f t="shared" si="32"/>
        <v>0</v>
      </c>
      <c r="L366" s="136">
        <f t="shared" si="33"/>
        <v>15.4</v>
      </c>
      <c r="M366" s="136">
        <f t="shared" si="34"/>
        <v>15.4</v>
      </c>
      <c r="O366" s="134"/>
      <c r="P366" s="259"/>
    </row>
    <row r="367" spans="1:16">
      <c r="A367" s="134">
        <v>259</v>
      </c>
      <c r="B367" s="259" t="s">
        <v>1742</v>
      </c>
      <c r="C367" s="129" t="s">
        <v>1743</v>
      </c>
      <c r="D367" s="292">
        <v>620</v>
      </c>
      <c r="E367" s="292">
        <v>0</v>
      </c>
      <c r="F367" s="139">
        <f t="shared" si="35"/>
        <v>620</v>
      </c>
      <c r="G367" s="292">
        <v>407</v>
      </c>
      <c r="H367" s="292">
        <v>0</v>
      </c>
      <c r="I367" s="139">
        <f t="shared" si="36"/>
        <v>407</v>
      </c>
      <c r="J367" s="266">
        <f t="shared" si="37"/>
        <v>0.65649999999999997</v>
      </c>
      <c r="K367" s="136">
        <f t="shared" si="32"/>
        <v>0</v>
      </c>
      <c r="L367" s="136">
        <f t="shared" si="33"/>
        <v>42.7</v>
      </c>
      <c r="M367" s="136">
        <f t="shared" si="34"/>
        <v>42.7</v>
      </c>
      <c r="O367" s="134"/>
      <c r="P367" s="259"/>
    </row>
    <row r="368" spans="1:16">
      <c r="A368" s="134">
        <v>259</v>
      </c>
      <c r="B368" s="259" t="s">
        <v>1744</v>
      </c>
      <c r="C368" s="129" t="s">
        <v>1745</v>
      </c>
      <c r="D368" s="292">
        <v>310</v>
      </c>
      <c r="E368" s="292">
        <v>0</v>
      </c>
      <c r="F368" s="139">
        <f t="shared" si="35"/>
        <v>310</v>
      </c>
      <c r="G368" s="292">
        <v>280</v>
      </c>
      <c r="H368" s="292">
        <v>0</v>
      </c>
      <c r="I368" s="139">
        <f t="shared" si="36"/>
        <v>280</v>
      </c>
      <c r="J368" s="266">
        <f t="shared" si="37"/>
        <v>0.9032</v>
      </c>
      <c r="K368" s="136">
        <f t="shared" si="32"/>
        <v>0</v>
      </c>
      <c r="L368" s="136">
        <f t="shared" si="33"/>
        <v>29.4</v>
      </c>
      <c r="M368" s="136">
        <f t="shared" si="34"/>
        <v>29.4</v>
      </c>
      <c r="O368" s="134"/>
      <c r="P368" s="259"/>
    </row>
    <row r="369" spans="1:16">
      <c r="A369" s="134">
        <v>259</v>
      </c>
      <c r="B369" s="259" t="s">
        <v>1746</v>
      </c>
      <c r="C369" s="129" t="s">
        <v>1747</v>
      </c>
      <c r="D369" s="292">
        <v>276</v>
      </c>
      <c r="E369" s="292">
        <v>0</v>
      </c>
      <c r="F369" s="139">
        <f t="shared" si="35"/>
        <v>276</v>
      </c>
      <c r="G369" s="292">
        <v>178</v>
      </c>
      <c r="H369" s="292">
        <v>0</v>
      </c>
      <c r="I369" s="139">
        <f t="shared" si="36"/>
        <v>178</v>
      </c>
      <c r="J369" s="266">
        <f t="shared" si="37"/>
        <v>0.64490000000000003</v>
      </c>
      <c r="K369" s="136">
        <f t="shared" si="32"/>
        <v>0</v>
      </c>
      <c r="L369" s="136">
        <f t="shared" si="33"/>
        <v>18.7</v>
      </c>
      <c r="M369" s="136">
        <f t="shared" si="34"/>
        <v>18.7</v>
      </c>
      <c r="O369" s="134"/>
      <c r="P369" s="259"/>
    </row>
    <row r="370" spans="1:16">
      <c r="A370" s="134">
        <v>259</v>
      </c>
      <c r="B370" s="259" t="s">
        <v>1748</v>
      </c>
      <c r="C370" s="129" t="s">
        <v>1749</v>
      </c>
      <c r="D370" s="292">
        <v>337</v>
      </c>
      <c r="E370" s="292">
        <v>0</v>
      </c>
      <c r="F370" s="139">
        <f t="shared" si="35"/>
        <v>337</v>
      </c>
      <c r="G370" s="292">
        <v>297</v>
      </c>
      <c r="H370" s="292">
        <v>0</v>
      </c>
      <c r="I370" s="139">
        <f t="shared" si="36"/>
        <v>297</v>
      </c>
      <c r="J370" s="266">
        <f t="shared" si="37"/>
        <v>0.88129999999999997</v>
      </c>
      <c r="K370" s="136">
        <f t="shared" si="32"/>
        <v>0</v>
      </c>
      <c r="L370" s="136">
        <f t="shared" si="33"/>
        <v>31.2</v>
      </c>
      <c r="M370" s="136">
        <f t="shared" si="34"/>
        <v>31.2</v>
      </c>
      <c r="O370" s="134"/>
      <c r="P370" s="259"/>
    </row>
    <row r="371" spans="1:16">
      <c r="A371" s="134">
        <v>259</v>
      </c>
      <c r="B371" s="259" t="s">
        <v>1750</v>
      </c>
      <c r="C371" s="129" t="s">
        <v>1751</v>
      </c>
      <c r="D371" s="292">
        <v>231</v>
      </c>
      <c r="E371" s="292">
        <v>0</v>
      </c>
      <c r="F371" s="139">
        <f t="shared" si="35"/>
        <v>231</v>
      </c>
      <c r="G371" s="292">
        <v>196</v>
      </c>
      <c r="H371" s="292">
        <v>0</v>
      </c>
      <c r="I371" s="139">
        <f t="shared" si="36"/>
        <v>196</v>
      </c>
      <c r="J371" s="266">
        <f t="shared" si="37"/>
        <v>0.84850000000000003</v>
      </c>
      <c r="K371" s="136">
        <f t="shared" si="32"/>
        <v>0</v>
      </c>
      <c r="L371" s="136">
        <f t="shared" si="33"/>
        <v>20.6</v>
      </c>
      <c r="M371" s="136">
        <f t="shared" si="34"/>
        <v>20.6</v>
      </c>
      <c r="O371" s="134"/>
      <c r="P371" s="259"/>
    </row>
    <row r="372" spans="1:16">
      <c r="A372" s="134">
        <v>259</v>
      </c>
      <c r="B372" s="259" t="s">
        <v>1752</v>
      </c>
      <c r="C372" s="129" t="s">
        <v>1753</v>
      </c>
      <c r="D372" s="292">
        <v>327</v>
      </c>
      <c r="E372" s="292">
        <v>0</v>
      </c>
      <c r="F372" s="139">
        <f t="shared" si="35"/>
        <v>327</v>
      </c>
      <c r="G372" s="292">
        <v>164</v>
      </c>
      <c r="H372" s="292">
        <v>0</v>
      </c>
      <c r="I372" s="139">
        <f t="shared" si="36"/>
        <v>164</v>
      </c>
      <c r="J372" s="266">
        <f t="shared" si="37"/>
        <v>0.50149999999999995</v>
      </c>
      <c r="K372" s="136">
        <f t="shared" si="32"/>
        <v>0</v>
      </c>
      <c r="L372" s="136">
        <f t="shared" si="33"/>
        <v>17.2</v>
      </c>
      <c r="M372" s="136">
        <f t="shared" si="34"/>
        <v>17.2</v>
      </c>
      <c r="O372" s="134"/>
      <c r="P372" s="259"/>
    </row>
    <row r="373" spans="1:16">
      <c r="A373" s="134">
        <v>259</v>
      </c>
      <c r="B373" s="259" t="s">
        <v>1754</v>
      </c>
      <c r="C373" s="129" t="s">
        <v>1755</v>
      </c>
      <c r="D373" s="292">
        <v>233</v>
      </c>
      <c r="E373" s="292">
        <v>0</v>
      </c>
      <c r="F373" s="139">
        <f t="shared" si="35"/>
        <v>233</v>
      </c>
      <c r="G373" s="292">
        <v>125</v>
      </c>
      <c r="H373" s="292">
        <v>0</v>
      </c>
      <c r="I373" s="139">
        <f t="shared" si="36"/>
        <v>125</v>
      </c>
      <c r="J373" s="266">
        <f t="shared" si="37"/>
        <v>0.53649999999999998</v>
      </c>
      <c r="K373" s="136">
        <f t="shared" si="32"/>
        <v>0</v>
      </c>
      <c r="L373" s="136">
        <f t="shared" si="33"/>
        <v>13.1</v>
      </c>
      <c r="M373" s="136">
        <f t="shared" si="34"/>
        <v>13.1</v>
      </c>
      <c r="O373" s="134"/>
      <c r="P373" s="259"/>
    </row>
    <row r="374" spans="1:16">
      <c r="A374" s="134">
        <v>259</v>
      </c>
      <c r="B374" s="259" t="s">
        <v>1756</v>
      </c>
      <c r="C374" s="129" t="s">
        <v>1757</v>
      </c>
      <c r="D374" s="292">
        <v>482</v>
      </c>
      <c r="E374" s="292">
        <v>0</v>
      </c>
      <c r="F374" s="139">
        <f t="shared" si="35"/>
        <v>482</v>
      </c>
      <c r="G374" s="292">
        <v>259</v>
      </c>
      <c r="H374" s="292">
        <v>0</v>
      </c>
      <c r="I374" s="139">
        <f t="shared" si="36"/>
        <v>259</v>
      </c>
      <c r="J374" s="266">
        <f t="shared" si="37"/>
        <v>0.5373</v>
      </c>
      <c r="K374" s="136">
        <f t="shared" si="32"/>
        <v>0</v>
      </c>
      <c r="L374" s="136">
        <f t="shared" si="33"/>
        <v>27.2</v>
      </c>
      <c r="M374" s="136">
        <f t="shared" si="34"/>
        <v>27.2</v>
      </c>
      <c r="O374" s="134"/>
      <c r="P374" s="259"/>
    </row>
    <row r="375" spans="1:16">
      <c r="A375" s="134">
        <v>259</v>
      </c>
      <c r="B375" s="259" t="s">
        <v>1758</v>
      </c>
      <c r="C375" s="129" t="s">
        <v>1759</v>
      </c>
      <c r="D375" s="292">
        <v>275</v>
      </c>
      <c r="E375" s="292">
        <v>0</v>
      </c>
      <c r="F375" s="139">
        <f t="shared" si="35"/>
        <v>275</v>
      </c>
      <c r="G375" s="292">
        <v>231</v>
      </c>
      <c r="H375" s="292">
        <v>0</v>
      </c>
      <c r="I375" s="139">
        <f t="shared" si="36"/>
        <v>231</v>
      </c>
      <c r="J375" s="266">
        <f t="shared" si="37"/>
        <v>0.84</v>
      </c>
      <c r="K375" s="136">
        <f t="shared" si="32"/>
        <v>0</v>
      </c>
      <c r="L375" s="136">
        <f t="shared" si="33"/>
        <v>24.3</v>
      </c>
      <c r="M375" s="136">
        <f t="shared" si="34"/>
        <v>24.3</v>
      </c>
      <c r="O375" s="134"/>
      <c r="P375" s="259"/>
    </row>
    <row r="376" spans="1:16">
      <c r="A376" s="134">
        <v>259</v>
      </c>
      <c r="B376" s="259" t="s">
        <v>1760</v>
      </c>
      <c r="C376" s="129" t="s">
        <v>1761</v>
      </c>
      <c r="D376" s="292">
        <v>75</v>
      </c>
      <c r="E376" s="292">
        <v>0</v>
      </c>
      <c r="F376" s="139">
        <f t="shared" si="35"/>
        <v>75</v>
      </c>
      <c r="G376" s="292">
        <v>69</v>
      </c>
      <c r="H376" s="292">
        <v>0</v>
      </c>
      <c r="I376" s="139">
        <f t="shared" si="36"/>
        <v>69</v>
      </c>
      <c r="J376" s="266">
        <f t="shared" si="37"/>
        <v>0.92</v>
      </c>
      <c r="K376" s="136">
        <f t="shared" si="32"/>
        <v>0</v>
      </c>
      <c r="L376" s="136">
        <f t="shared" si="33"/>
        <v>7.2</v>
      </c>
      <c r="M376" s="136">
        <f t="shared" si="34"/>
        <v>7.2</v>
      </c>
      <c r="O376" s="134"/>
      <c r="P376" s="259"/>
    </row>
    <row r="377" spans="1:16">
      <c r="A377" s="134">
        <v>259</v>
      </c>
      <c r="B377" s="259" t="s">
        <v>1762</v>
      </c>
      <c r="C377" s="129" t="s">
        <v>1763</v>
      </c>
      <c r="D377" s="292">
        <v>360</v>
      </c>
      <c r="E377" s="292">
        <v>0</v>
      </c>
      <c r="F377" s="139">
        <f t="shared" si="35"/>
        <v>360</v>
      </c>
      <c r="G377" s="292">
        <v>297</v>
      </c>
      <c r="H377" s="292">
        <v>0</v>
      </c>
      <c r="I377" s="139">
        <f t="shared" si="36"/>
        <v>297</v>
      </c>
      <c r="J377" s="266">
        <f t="shared" si="37"/>
        <v>0.82499999999999996</v>
      </c>
      <c r="K377" s="136">
        <f t="shared" si="32"/>
        <v>0</v>
      </c>
      <c r="L377" s="136">
        <f t="shared" si="33"/>
        <v>31.2</v>
      </c>
      <c r="M377" s="136">
        <f t="shared" si="34"/>
        <v>31.2</v>
      </c>
      <c r="O377" s="134"/>
      <c r="P377" s="259"/>
    </row>
    <row r="378" spans="1:16">
      <c r="A378" s="134">
        <v>259</v>
      </c>
      <c r="B378" s="259" t="s">
        <v>1764</v>
      </c>
      <c r="C378" s="129" t="s">
        <v>1765</v>
      </c>
      <c r="D378" s="292">
        <v>545</v>
      </c>
      <c r="E378" s="292">
        <v>0</v>
      </c>
      <c r="F378" s="139">
        <f t="shared" si="35"/>
        <v>545</v>
      </c>
      <c r="G378" s="292">
        <v>346</v>
      </c>
      <c r="H378" s="292">
        <v>0</v>
      </c>
      <c r="I378" s="139">
        <f t="shared" si="36"/>
        <v>346</v>
      </c>
      <c r="J378" s="266">
        <f t="shared" si="37"/>
        <v>0.63490000000000002</v>
      </c>
      <c r="K378" s="136">
        <f t="shared" si="32"/>
        <v>0</v>
      </c>
      <c r="L378" s="136">
        <f t="shared" si="33"/>
        <v>36.299999999999997</v>
      </c>
      <c r="M378" s="136">
        <f t="shared" si="34"/>
        <v>36.299999999999997</v>
      </c>
      <c r="O378" s="134"/>
      <c r="P378" s="259"/>
    </row>
    <row r="379" spans="1:16">
      <c r="A379" s="134">
        <v>259</v>
      </c>
      <c r="B379" s="259" t="s">
        <v>1766</v>
      </c>
      <c r="C379" s="129" t="s">
        <v>1767</v>
      </c>
      <c r="D379" s="292">
        <v>442</v>
      </c>
      <c r="E379" s="292">
        <v>0</v>
      </c>
      <c r="F379" s="139">
        <f t="shared" si="35"/>
        <v>442</v>
      </c>
      <c r="G379" s="292">
        <v>401</v>
      </c>
      <c r="H379" s="292">
        <v>0</v>
      </c>
      <c r="I379" s="139">
        <f t="shared" si="36"/>
        <v>401</v>
      </c>
      <c r="J379" s="266">
        <f t="shared" si="37"/>
        <v>0.90720000000000001</v>
      </c>
      <c r="K379" s="136">
        <f t="shared" si="32"/>
        <v>0</v>
      </c>
      <c r="L379" s="136">
        <f t="shared" si="33"/>
        <v>42.1</v>
      </c>
      <c r="M379" s="136">
        <f t="shared" si="34"/>
        <v>42.1</v>
      </c>
      <c r="O379" s="134"/>
      <c r="P379" s="259"/>
    </row>
    <row r="380" spans="1:16">
      <c r="A380" s="134">
        <v>259</v>
      </c>
      <c r="B380" s="259" t="s">
        <v>1768</v>
      </c>
      <c r="C380" s="129" t="s">
        <v>1769</v>
      </c>
      <c r="D380" s="292">
        <v>40</v>
      </c>
      <c r="E380" s="292">
        <v>0</v>
      </c>
      <c r="F380" s="139">
        <f t="shared" si="35"/>
        <v>40</v>
      </c>
      <c r="G380" s="292">
        <v>38</v>
      </c>
      <c r="H380" s="292">
        <v>0</v>
      </c>
      <c r="I380" s="139">
        <f t="shared" si="36"/>
        <v>38</v>
      </c>
      <c r="J380" s="266">
        <f t="shared" si="37"/>
        <v>0.95</v>
      </c>
      <c r="K380" s="136">
        <f t="shared" si="32"/>
        <v>0</v>
      </c>
      <c r="L380" s="136">
        <f t="shared" si="33"/>
        <v>4</v>
      </c>
      <c r="M380" s="136">
        <f t="shared" si="34"/>
        <v>4</v>
      </c>
      <c r="O380" s="134"/>
      <c r="P380" s="259"/>
    </row>
    <row r="381" spans="1:16">
      <c r="A381" s="134">
        <v>259</v>
      </c>
      <c r="B381" s="259" t="s">
        <v>1770</v>
      </c>
      <c r="C381" s="129" t="s">
        <v>1771</v>
      </c>
      <c r="D381" s="292">
        <v>413</v>
      </c>
      <c r="E381" s="292">
        <v>0</v>
      </c>
      <c r="F381" s="139">
        <f t="shared" si="35"/>
        <v>413</v>
      </c>
      <c r="G381" s="292">
        <v>332</v>
      </c>
      <c r="H381" s="292">
        <v>0</v>
      </c>
      <c r="I381" s="139">
        <f t="shared" si="36"/>
        <v>332</v>
      </c>
      <c r="J381" s="266">
        <f t="shared" si="37"/>
        <v>0.80389999999999995</v>
      </c>
      <c r="K381" s="136">
        <f t="shared" si="32"/>
        <v>0</v>
      </c>
      <c r="L381" s="136">
        <f t="shared" si="33"/>
        <v>34.9</v>
      </c>
      <c r="M381" s="136">
        <f t="shared" si="34"/>
        <v>34.9</v>
      </c>
      <c r="O381" s="134"/>
      <c r="P381" s="259"/>
    </row>
    <row r="382" spans="1:16">
      <c r="A382" s="134">
        <v>259</v>
      </c>
      <c r="B382" s="259" t="s">
        <v>1772</v>
      </c>
      <c r="C382" s="129" t="s">
        <v>1773</v>
      </c>
      <c r="D382" s="292">
        <v>458</v>
      </c>
      <c r="E382" s="292">
        <v>0</v>
      </c>
      <c r="F382" s="139">
        <f t="shared" si="35"/>
        <v>458</v>
      </c>
      <c r="G382" s="292">
        <v>402</v>
      </c>
      <c r="H382" s="292">
        <v>0</v>
      </c>
      <c r="I382" s="139">
        <f t="shared" si="36"/>
        <v>402</v>
      </c>
      <c r="J382" s="266">
        <f t="shared" si="37"/>
        <v>0.87770000000000004</v>
      </c>
      <c r="K382" s="136">
        <f t="shared" si="32"/>
        <v>0</v>
      </c>
      <c r="L382" s="136">
        <f t="shared" si="33"/>
        <v>42.2</v>
      </c>
      <c r="M382" s="136">
        <f t="shared" si="34"/>
        <v>42.2</v>
      </c>
      <c r="O382" s="134"/>
      <c r="P382" s="259"/>
    </row>
    <row r="383" spans="1:16">
      <c r="A383" s="134">
        <v>259</v>
      </c>
      <c r="B383" s="259" t="s">
        <v>1774</v>
      </c>
      <c r="C383" s="129" t="s">
        <v>1775</v>
      </c>
      <c r="D383" s="292">
        <v>327</v>
      </c>
      <c r="E383" s="292">
        <v>0</v>
      </c>
      <c r="F383" s="139">
        <f t="shared" si="35"/>
        <v>327</v>
      </c>
      <c r="G383" s="292">
        <v>260</v>
      </c>
      <c r="H383" s="292">
        <v>0</v>
      </c>
      <c r="I383" s="139">
        <f t="shared" si="36"/>
        <v>260</v>
      </c>
      <c r="J383" s="266">
        <f t="shared" si="37"/>
        <v>0.79510000000000003</v>
      </c>
      <c r="K383" s="136">
        <f t="shared" si="32"/>
        <v>0</v>
      </c>
      <c r="L383" s="136">
        <f t="shared" si="33"/>
        <v>27.3</v>
      </c>
      <c r="M383" s="136">
        <f t="shared" si="34"/>
        <v>27.3</v>
      </c>
      <c r="O383" s="134"/>
      <c r="P383" s="259"/>
    </row>
    <row r="384" spans="1:16">
      <c r="A384" s="134">
        <v>259</v>
      </c>
      <c r="B384" s="259" t="s">
        <v>1776</v>
      </c>
      <c r="C384" s="129" t="s">
        <v>1777</v>
      </c>
      <c r="D384" s="292">
        <v>562</v>
      </c>
      <c r="E384" s="292">
        <v>0</v>
      </c>
      <c r="F384" s="139">
        <f t="shared" si="35"/>
        <v>562</v>
      </c>
      <c r="G384" s="292">
        <v>440</v>
      </c>
      <c r="H384" s="292">
        <v>0</v>
      </c>
      <c r="I384" s="139">
        <f t="shared" si="36"/>
        <v>440</v>
      </c>
      <c r="J384" s="266">
        <f t="shared" si="37"/>
        <v>0.78290000000000004</v>
      </c>
      <c r="K384" s="136">
        <f t="shared" si="32"/>
        <v>0</v>
      </c>
      <c r="L384" s="136">
        <f t="shared" si="33"/>
        <v>46.2</v>
      </c>
      <c r="M384" s="136">
        <f t="shared" si="34"/>
        <v>46.2</v>
      </c>
      <c r="O384" s="134"/>
      <c r="P384" s="259"/>
    </row>
    <row r="385" spans="1:16">
      <c r="A385" s="134">
        <v>259</v>
      </c>
      <c r="B385" s="259" t="s">
        <v>1778</v>
      </c>
      <c r="C385" s="129" t="s">
        <v>1779</v>
      </c>
      <c r="D385" s="292">
        <v>535</v>
      </c>
      <c r="E385" s="292">
        <v>0</v>
      </c>
      <c r="F385" s="139">
        <f t="shared" si="35"/>
        <v>535</v>
      </c>
      <c r="G385" s="292">
        <v>335</v>
      </c>
      <c r="H385" s="292">
        <v>0</v>
      </c>
      <c r="I385" s="139">
        <f t="shared" si="36"/>
        <v>335</v>
      </c>
      <c r="J385" s="266">
        <f t="shared" si="37"/>
        <v>0.62619999999999998</v>
      </c>
      <c r="K385" s="136">
        <f t="shared" si="32"/>
        <v>0</v>
      </c>
      <c r="L385" s="136">
        <f t="shared" si="33"/>
        <v>35.200000000000003</v>
      </c>
      <c r="M385" s="136">
        <f t="shared" si="34"/>
        <v>35.200000000000003</v>
      </c>
      <c r="O385" s="134"/>
      <c r="P385" s="259"/>
    </row>
    <row r="386" spans="1:16">
      <c r="A386" s="134">
        <v>259</v>
      </c>
      <c r="B386" s="259" t="s">
        <v>1780</v>
      </c>
      <c r="C386" s="129" t="s">
        <v>1781</v>
      </c>
      <c r="D386" s="292">
        <v>529</v>
      </c>
      <c r="E386" s="292">
        <v>0</v>
      </c>
      <c r="F386" s="139">
        <f t="shared" si="35"/>
        <v>529</v>
      </c>
      <c r="G386" s="292">
        <v>395</v>
      </c>
      <c r="H386" s="292">
        <v>0</v>
      </c>
      <c r="I386" s="139">
        <f t="shared" si="36"/>
        <v>395</v>
      </c>
      <c r="J386" s="266">
        <f t="shared" si="37"/>
        <v>0.74670000000000003</v>
      </c>
      <c r="K386" s="136">
        <f t="shared" si="32"/>
        <v>0</v>
      </c>
      <c r="L386" s="136">
        <f t="shared" si="33"/>
        <v>41.5</v>
      </c>
      <c r="M386" s="136">
        <f t="shared" si="34"/>
        <v>41.5</v>
      </c>
      <c r="O386" s="134"/>
      <c r="P386" s="259"/>
    </row>
    <row r="387" spans="1:16">
      <c r="A387" s="134">
        <v>259</v>
      </c>
      <c r="B387" s="259" t="s">
        <v>1782</v>
      </c>
      <c r="C387" s="129" t="s">
        <v>1783</v>
      </c>
      <c r="D387" s="292">
        <v>774</v>
      </c>
      <c r="E387" s="292">
        <v>0</v>
      </c>
      <c r="F387" s="139">
        <f t="shared" si="35"/>
        <v>774</v>
      </c>
      <c r="G387" s="292">
        <v>671</v>
      </c>
      <c r="H387" s="292">
        <v>0</v>
      </c>
      <c r="I387" s="139">
        <f t="shared" si="36"/>
        <v>671</v>
      </c>
      <c r="J387" s="266">
        <f t="shared" si="37"/>
        <v>0.8669</v>
      </c>
      <c r="K387" s="136">
        <f t="shared" si="32"/>
        <v>0</v>
      </c>
      <c r="L387" s="136">
        <f t="shared" si="33"/>
        <v>70.5</v>
      </c>
      <c r="M387" s="136">
        <f t="shared" si="34"/>
        <v>70.5</v>
      </c>
      <c r="O387" s="134"/>
      <c r="P387" s="259"/>
    </row>
    <row r="388" spans="1:16">
      <c r="A388" s="134">
        <v>259</v>
      </c>
      <c r="B388" s="259" t="s">
        <v>1784</v>
      </c>
      <c r="C388" s="129" t="s">
        <v>1785</v>
      </c>
      <c r="D388" s="292">
        <v>544</v>
      </c>
      <c r="E388" s="292">
        <v>0</v>
      </c>
      <c r="F388" s="139">
        <f t="shared" si="35"/>
        <v>544</v>
      </c>
      <c r="G388" s="292">
        <v>420</v>
      </c>
      <c r="H388" s="292">
        <v>0</v>
      </c>
      <c r="I388" s="139">
        <f t="shared" si="36"/>
        <v>420</v>
      </c>
      <c r="J388" s="266">
        <f t="shared" si="37"/>
        <v>0.77210000000000001</v>
      </c>
      <c r="K388" s="136">
        <f t="shared" si="32"/>
        <v>0</v>
      </c>
      <c r="L388" s="136">
        <f t="shared" si="33"/>
        <v>44.1</v>
      </c>
      <c r="M388" s="136">
        <f t="shared" si="34"/>
        <v>44.1</v>
      </c>
      <c r="O388" s="134"/>
      <c r="P388" s="259"/>
    </row>
    <row r="389" spans="1:16">
      <c r="A389" s="134">
        <v>259</v>
      </c>
      <c r="B389" s="259" t="s">
        <v>1786</v>
      </c>
      <c r="C389" s="129" t="s">
        <v>1787</v>
      </c>
      <c r="D389" s="292">
        <v>507</v>
      </c>
      <c r="E389" s="292">
        <v>0</v>
      </c>
      <c r="F389" s="139">
        <f t="shared" si="35"/>
        <v>507</v>
      </c>
      <c r="G389" s="292">
        <v>412</v>
      </c>
      <c r="H389" s="292">
        <v>0</v>
      </c>
      <c r="I389" s="139">
        <f t="shared" si="36"/>
        <v>412</v>
      </c>
      <c r="J389" s="266">
        <f t="shared" si="37"/>
        <v>0.81259999999999999</v>
      </c>
      <c r="K389" s="136">
        <f t="shared" ref="K389:K452" si="38">IF(AND((J389-35%)&gt;0,J389&lt;50%),I389*(J389-35%)*0.7,0)</f>
        <v>0</v>
      </c>
      <c r="L389" s="136">
        <f t="shared" ref="L389:L452" si="39">IF(J389&gt;=50%,I389*10.5%,0)</f>
        <v>43.3</v>
      </c>
      <c r="M389" s="136">
        <f t="shared" ref="M389:M452" si="40">MAX(K389,L389)</f>
        <v>43.3</v>
      </c>
      <c r="O389" s="134"/>
      <c r="P389" s="259"/>
    </row>
    <row r="390" spans="1:16">
      <c r="A390" s="134">
        <v>259</v>
      </c>
      <c r="B390" s="259" t="s">
        <v>1788</v>
      </c>
      <c r="C390" s="129" t="s">
        <v>1789</v>
      </c>
      <c r="D390" s="292">
        <v>552</v>
      </c>
      <c r="E390" s="292">
        <v>0</v>
      </c>
      <c r="F390" s="139">
        <f t="shared" ref="F390:F453" si="41">D390+E390</f>
        <v>552</v>
      </c>
      <c r="G390" s="292">
        <v>492</v>
      </c>
      <c r="H390" s="292">
        <v>0</v>
      </c>
      <c r="I390" s="139">
        <f t="shared" ref="I390:I453" si="42">G390+H390</f>
        <v>492</v>
      </c>
      <c r="J390" s="266">
        <f t="shared" ref="J390:J453" si="43">IF(ISERROR(I390/F390),0,I390/F390)</f>
        <v>0.89129999999999998</v>
      </c>
      <c r="K390" s="136">
        <f t="shared" si="38"/>
        <v>0</v>
      </c>
      <c r="L390" s="136">
        <f t="shared" si="39"/>
        <v>51.7</v>
      </c>
      <c r="M390" s="136">
        <f t="shared" si="40"/>
        <v>51.7</v>
      </c>
      <c r="O390" s="134"/>
      <c r="P390" s="259"/>
    </row>
    <row r="391" spans="1:16">
      <c r="A391" s="134">
        <v>259</v>
      </c>
      <c r="B391" s="259" t="s">
        <v>1790</v>
      </c>
      <c r="C391" s="129" t="s">
        <v>1791</v>
      </c>
      <c r="D391" s="292">
        <v>500</v>
      </c>
      <c r="E391" s="292">
        <v>0</v>
      </c>
      <c r="F391" s="139">
        <f t="shared" si="41"/>
        <v>500</v>
      </c>
      <c r="G391" s="292">
        <v>427</v>
      </c>
      <c r="H391" s="292">
        <v>0</v>
      </c>
      <c r="I391" s="139">
        <f t="shared" si="42"/>
        <v>427</v>
      </c>
      <c r="J391" s="266">
        <f t="shared" si="43"/>
        <v>0.85399999999999998</v>
      </c>
      <c r="K391" s="136">
        <f t="shared" si="38"/>
        <v>0</v>
      </c>
      <c r="L391" s="136">
        <f t="shared" si="39"/>
        <v>44.8</v>
      </c>
      <c r="M391" s="136">
        <f t="shared" si="40"/>
        <v>44.8</v>
      </c>
      <c r="O391" s="134"/>
      <c r="P391" s="259"/>
    </row>
    <row r="392" spans="1:16">
      <c r="A392" s="134">
        <v>259</v>
      </c>
      <c r="B392" s="259" t="s">
        <v>1792</v>
      </c>
      <c r="C392" s="129" t="s">
        <v>1793</v>
      </c>
      <c r="D392" s="292">
        <v>596</v>
      </c>
      <c r="E392" s="292">
        <v>0</v>
      </c>
      <c r="F392" s="139">
        <f t="shared" si="41"/>
        <v>596</v>
      </c>
      <c r="G392" s="292">
        <v>431</v>
      </c>
      <c r="H392" s="292">
        <v>0</v>
      </c>
      <c r="I392" s="139">
        <f t="shared" si="42"/>
        <v>431</v>
      </c>
      <c r="J392" s="266">
        <f t="shared" si="43"/>
        <v>0.72319999999999995</v>
      </c>
      <c r="K392" s="136">
        <f t="shared" si="38"/>
        <v>0</v>
      </c>
      <c r="L392" s="136">
        <f t="shared" si="39"/>
        <v>45.3</v>
      </c>
      <c r="M392" s="136">
        <f t="shared" si="40"/>
        <v>45.3</v>
      </c>
      <c r="O392" s="134"/>
      <c r="P392" s="259"/>
    </row>
    <row r="393" spans="1:16">
      <c r="A393" s="134">
        <v>259</v>
      </c>
      <c r="B393" s="259" t="s">
        <v>1794</v>
      </c>
      <c r="C393" s="129" t="s">
        <v>1795</v>
      </c>
      <c r="D393" s="292">
        <v>681</v>
      </c>
      <c r="E393" s="292">
        <v>0</v>
      </c>
      <c r="F393" s="139">
        <f t="shared" si="41"/>
        <v>681</v>
      </c>
      <c r="G393" s="292">
        <v>340</v>
      </c>
      <c r="H393" s="292">
        <v>0</v>
      </c>
      <c r="I393" s="139">
        <f t="shared" si="42"/>
        <v>340</v>
      </c>
      <c r="J393" s="266">
        <f t="shared" si="43"/>
        <v>0.49930000000000002</v>
      </c>
      <c r="K393" s="136">
        <f t="shared" si="38"/>
        <v>35.5</v>
      </c>
      <c r="L393" s="136">
        <f t="shared" si="39"/>
        <v>0</v>
      </c>
      <c r="M393" s="136">
        <f t="shared" si="40"/>
        <v>35.5</v>
      </c>
      <c r="O393" s="134"/>
      <c r="P393" s="259"/>
    </row>
    <row r="394" spans="1:16">
      <c r="A394" s="134">
        <v>259</v>
      </c>
      <c r="B394" s="259" t="s">
        <v>1796</v>
      </c>
      <c r="C394" s="129" t="s">
        <v>1797</v>
      </c>
      <c r="D394" s="292">
        <v>596</v>
      </c>
      <c r="E394" s="292">
        <v>0</v>
      </c>
      <c r="F394" s="139">
        <f t="shared" si="41"/>
        <v>596</v>
      </c>
      <c r="G394" s="292">
        <v>391</v>
      </c>
      <c r="H394" s="292">
        <v>0</v>
      </c>
      <c r="I394" s="139">
        <f t="shared" si="42"/>
        <v>391</v>
      </c>
      <c r="J394" s="266">
        <f t="shared" si="43"/>
        <v>0.65600000000000003</v>
      </c>
      <c r="K394" s="136">
        <f t="shared" si="38"/>
        <v>0</v>
      </c>
      <c r="L394" s="136">
        <f t="shared" si="39"/>
        <v>41.1</v>
      </c>
      <c r="M394" s="136">
        <f t="shared" si="40"/>
        <v>41.1</v>
      </c>
      <c r="O394" s="134"/>
      <c r="P394" s="259"/>
    </row>
    <row r="395" spans="1:16">
      <c r="A395" s="134">
        <v>259</v>
      </c>
      <c r="B395" s="259" t="s">
        <v>1798</v>
      </c>
      <c r="C395" s="129" t="s">
        <v>1799</v>
      </c>
      <c r="D395" s="292">
        <v>594</v>
      </c>
      <c r="E395" s="292">
        <v>0</v>
      </c>
      <c r="F395" s="139">
        <f t="shared" si="41"/>
        <v>594</v>
      </c>
      <c r="G395" s="292">
        <v>511</v>
      </c>
      <c r="H395" s="292">
        <v>0</v>
      </c>
      <c r="I395" s="139">
        <f t="shared" si="42"/>
        <v>511</v>
      </c>
      <c r="J395" s="266">
        <f t="shared" si="43"/>
        <v>0.86029999999999995</v>
      </c>
      <c r="K395" s="136">
        <f t="shared" si="38"/>
        <v>0</v>
      </c>
      <c r="L395" s="136">
        <f t="shared" si="39"/>
        <v>53.7</v>
      </c>
      <c r="M395" s="136">
        <f t="shared" si="40"/>
        <v>53.7</v>
      </c>
      <c r="O395" s="134"/>
      <c r="P395" s="259"/>
    </row>
    <row r="396" spans="1:16">
      <c r="A396" s="134">
        <v>259</v>
      </c>
      <c r="B396" s="259" t="s">
        <v>1800</v>
      </c>
      <c r="C396" s="129" t="s">
        <v>1801</v>
      </c>
      <c r="D396" s="292">
        <v>693</v>
      </c>
      <c r="E396" s="292">
        <v>0</v>
      </c>
      <c r="F396" s="139">
        <f t="shared" si="41"/>
        <v>693</v>
      </c>
      <c r="G396" s="292">
        <v>380</v>
      </c>
      <c r="H396" s="292">
        <v>0</v>
      </c>
      <c r="I396" s="139">
        <f t="shared" si="42"/>
        <v>380</v>
      </c>
      <c r="J396" s="266">
        <f t="shared" si="43"/>
        <v>0.54830000000000001</v>
      </c>
      <c r="K396" s="136">
        <f t="shared" si="38"/>
        <v>0</v>
      </c>
      <c r="L396" s="136">
        <f t="shared" si="39"/>
        <v>39.9</v>
      </c>
      <c r="M396" s="136">
        <f t="shared" si="40"/>
        <v>39.9</v>
      </c>
      <c r="O396" s="134"/>
      <c r="P396" s="259"/>
    </row>
    <row r="397" spans="1:16">
      <c r="A397" s="134">
        <v>259</v>
      </c>
      <c r="B397" s="259" t="s">
        <v>1802</v>
      </c>
      <c r="C397" s="129" t="s">
        <v>1803</v>
      </c>
      <c r="D397" s="292">
        <v>774</v>
      </c>
      <c r="E397" s="292">
        <v>0</v>
      </c>
      <c r="F397" s="139">
        <f t="shared" si="41"/>
        <v>774</v>
      </c>
      <c r="G397" s="292">
        <v>459</v>
      </c>
      <c r="H397" s="292">
        <v>0</v>
      </c>
      <c r="I397" s="139">
        <f t="shared" si="42"/>
        <v>459</v>
      </c>
      <c r="J397" s="266">
        <f t="shared" si="43"/>
        <v>0.59299999999999997</v>
      </c>
      <c r="K397" s="136">
        <f t="shared" si="38"/>
        <v>0</v>
      </c>
      <c r="L397" s="136">
        <f t="shared" si="39"/>
        <v>48.2</v>
      </c>
      <c r="M397" s="136">
        <f t="shared" si="40"/>
        <v>48.2</v>
      </c>
      <c r="O397" s="134"/>
      <c r="P397" s="259"/>
    </row>
    <row r="398" spans="1:16">
      <c r="A398" s="134">
        <v>259</v>
      </c>
      <c r="B398" s="259" t="s">
        <v>1804</v>
      </c>
      <c r="C398" s="129" t="s">
        <v>1805</v>
      </c>
      <c r="D398" s="292">
        <v>913</v>
      </c>
      <c r="E398" s="292">
        <v>0</v>
      </c>
      <c r="F398" s="139">
        <f t="shared" si="41"/>
        <v>913</v>
      </c>
      <c r="G398" s="292">
        <v>790</v>
      </c>
      <c r="H398" s="292">
        <v>0</v>
      </c>
      <c r="I398" s="139">
        <f t="shared" si="42"/>
        <v>790</v>
      </c>
      <c r="J398" s="266">
        <f t="shared" si="43"/>
        <v>0.86529999999999996</v>
      </c>
      <c r="K398" s="136">
        <f t="shared" si="38"/>
        <v>0</v>
      </c>
      <c r="L398" s="136">
        <f t="shared" si="39"/>
        <v>83</v>
      </c>
      <c r="M398" s="136">
        <f t="shared" si="40"/>
        <v>83</v>
      </c>
      <c r="O398" s="134"/>
      <c r="P398" s="259"/>
    </row>
    <row r="399" spans="1:16">
      <c r="A399" s="134">
        <v>259</v>
      </c>
      <c r="B399" s="259" t="s">
        <v>1806</v>
      </c>
      <c r="C399" s="129" t="s">
        <v>1807</v>
      </c>
      <c r="D399" s="292">
        <v>2339</v>
      </c>
      <c r="E399" s="292">
        <v>0</v>
      </c>
      <c r="F399" s="139">
        <f t="shared" si="41"/>
        <v>2339</v>
      </c>
      <c r="G399" s="292">
        <v>1627</v>
      </c>
      <c r="H399" s="292">
        <v>0</v>
      </c>
      <c r="I399" s="139">
        <f t="shared" si="42"/>
        <v>1627</v>
      </c>
      <c r="J399" s="266">
        <f t="shared" si="43"/>
        <v>0.6956</v>
      </c>
      <c r="K399" s="136">
        <f t="shared" si="38"/>
        <v>0</v>
      </c>
      <c r="L399" s="136">
        <f t="shared" si="39"/>
        <v>170.8</v>
      </c>
      <c r="M399" s="136">
        <f t="shared" si="40"/>
        <v>170.8</v>
      </c>
      <c r="O399" s="134"/>
      <c r="P399" s="259"/>
    </row>
    <row r="400" spans="1:16">
      <c r="A400" s="134">
        <v>259</v>
      </c>
      <c r="B400" s="259" t="s">
        <v>1808</v>
      </c>
      <c r="C400" s="129" t="s">
        <v>1809</v>
      </c>
      <c r="D400" s="292">
        <v>266</v>
      </c>
      <c r="E400" s="292">
        <v>0</v>
      </c>
      <c r="F400" s="139">
        <f t="shared" si="41"/>
        <v>266</v>
      </c>
      <c r="G400" s="292">
        <v>147</v>
      </c>
      <c r="H400" s="292">
        <v>0</v>
      </c>
      <c r="I400" s="139">
        <f t="shared" si="42"/>
        <v>147</v>
      </c>
      <c r="J400" s="266">
        <f t="shared" si="43"/>
        <v>0.55259999999999998</v>
      </c>
      <c r="K400" s="136">
        <f t="shared" si="38"/>
        <v>0</v>
      </c>
      <c r="L400" s="136">
        <f t="shared" si="39"/>
        <v>15.4</v>
      </c>
      <c r="M400" s="136">
        <f t="shared" si="40"/>
        <v>15.4</v>
      </c>
      <c r="O400" s="134"/>
      <c r="P400" s="259"/>
    </row>
    <row r="401" spans="1:16">
      <c r="A401" s="134">
        <v>259</v>
      </c>
      <c r="B401" s="259" t="s">
        <v>1810</v>
      </c>
      <c r="C401" s="129" t="s">
        <v>1811</v>
      </c>
      <c r="D401" s="292">
        <v>2079</v>
      </c>
      <c r="E401" s="292">
        <v>0</v>
      </c>
      <c r="F401" s="139">
        <f t="shared" si="41"/>
        <v>2079</v>
      </c>
      <c r="G401" s="292">
        <v>1621</v>
      </c>
      <c r="H401" s="292">
        <v>0</v>
      </c>
      <c r="I401" s="139">
        <f t="shared" si="42"/>
        <v>1621</v>
      </c>
      <c r="J401" s="266">
        <f t="shared" si="43"/>
        <v>0.77969999999999995</v>
      </c>
      <c r="K401" s="136">
        <f t="shared" si="38"/>
        <v>0</v>
      </c>
      <c r="L401" s="136">
        <f t="shared" si="39"/>
        <v>170.2</v>
      </c>
      <c r="M401" s="136">
        <f t="shared" si="40"/>
        <v>170.2</v>
      </c>
      <c r="O401" s="134"/>
      <c r="P401" s="259"/>
    </row>
    <row r="402" spans="1:16">
      <c r="A402" s="134">
        <v>259</v>
      </c>
      <c r="B402" s="259" t="s">
        <v>1812</v>
      </c>
      <c r="C402" s="129" t="s">
        <v>1813</v>
      </c>
      <c r="D402" s="292">
        <v>1661</v>
      </c>
      <c r="E402" s="292">
        <v>0</v>
      </c>
      <c r="F402" s="139">
        <f t="shared" si="41"/>
        <v>1661</v>
      </c>
      <c r="G402" s="292">
        <v>1324</v>
      </c>
      <c r="H402" s="292">
        <v>0</v>
      </c>
      <c r="I402" s="139">
        <f t="shared" si="42"/>
        <v>1324</v>
      </c>
      <c r="J402" s="266">
        <f t="shared" si="43"/>
        <v>0.79710000000000003</v>
      </c>
      <c r="K402" s="136">
        <f t="shared" si="38"/>
        <v>0</v>
      </c>
      <c r="L402" s="136">
        <f t="shared" si="39"/>
        <v>139</v>
      </c>
      <c r="M402" s="136">
        <f t="shared" si="40"/>
        <v>139</v>
      </c>
      <c r="O402" s="134"/>
      <c r="P402" s="259"/>
    </row>
    <row r="403" spans="1:16">
      <c r="A403" s="134">
        <v>259</v>
      </c>
      <c r="B403" s="259" t="s">
        <v>1814</v>
      </c>
      <c r="C403" s="129" t="s">
        <v>1573</v>
      </c>
      <c r="D403" s="292">
        <v>1973</v>
      </c>
      <c r="E403" s="292">
        <v>0</v>
      </c>
      <c r="F403" s="139">
        <f t="shared" si="41"/>
        <v>1973</v>
      </c>
      <c r="G403" s="292">
        <v>1346</v>
      </c>
      <c r="H403" s="292">
        <v>0</v>
      </c>
      <c r="I403" s="139">
        <f t="shared" si="42"/>
        <v>1346</v>
      </c>
      <c r="J403" s="266">
        <f t="shared" si="43"/>
        <v>0.68220000000000003</v>
      </c>
      <c r="K403" s="136">
        <f t="shared" si="38"/>
        <v>0</v>
      </c>
      <c r="L403" s="136">
        <f t="shared" si="39"/>
        <v>141.30000000000001</v>
      </c>
      <c r="M403" s="136">
        <f t="shared" si="40"/>
        <v>141.30000000000001</v>
      </c>
      <c r="O403" s="134"/>
      <c r="P403" s="259"/>
    </row>
    <row r="404" spans="1:16">
      <c r="A404" s="134">
        <v>259</v>
      </c>
      <c r="B404" s="259" t="s">
        <v>1815</v>
      </c>
      <c r="C404" s="129" t="s">
        <v>1816</v>
      </c>
      <c r="D404" s="292">
        <v>1396</v>
      </c>
      <c r="E404" s="292">
        <v>0</v>
      </c>
      <c r="F404" s="139">
        <f t="shared" si="41"/>
        <v>1396</v>
      </c>
      <c r="G404" s="292">
        <v>1162</v>
      </c>
      <c r="H404" s="292">
        <v>0</v>
      </c>
      <c r="I404" s="139">
        <f t="shared" si="42"/>
        <v>1162</v>
      </c>
      <c r="J404" s="266">
        <f t="shared" si="43"/>
        <v>0.83240000000000003</v>
      </c>
      <c r="K404" s="136">
        <f t="shared" si="38"/>
        <v>0</v>
      </c>
      <c r="L404" s="136">
        <f t="shared" si="39"/>
        <v>122</v>
      </c>
      <c r="M404" s="136">
        <f t="shared" si="40"/>
        <v>122</v>
      </c>
      <c r="O404" s="134"/>
      <c r="P404" s="259"/>
    </row>
    <row r="405" spans="1:16">
      <c r="A405" s="134">
        <v>259</v>
      </c>
      <c r="B405" s="259" t="s">
        <v>1817</v>
      </c>
      <c r="C405" s="129" t="s">
        <v>1818</v>
      </c>
      <c r="D405" s="292">
        <v>1454</v>
      </c>
      <c r="E405" s="292">
        <v>0</v>
      </c>
      <c r="F405" s="139">
        <f t="shared" si="41"/>
        <v>1454</v>
      </c>
      <c r="G405" s="292">
        <v>947</v>
      </c>
      <c r="H405" s="292">
        <v>0</v>
      </c>
      <c r="I405" s="139">
        <f t="shared" si="42"/>
        <v>947</v>
      </c>
      <c r="J405" s="266">
        <f t="shared" si="43"/>
        <v>0.65129999999999999</v>
      </c>
      <c r="K405" s="136">
        <f t="shared" si="38"/>
        <v>0</v>
      </c>
      <c r="L405" s="136">
        <f t="shared" si="39"/>
        <v>99.4</v>
      </c>
      <c r="M405" s="136">
        <f t="shared" si="40"/>
        <v>99.4</v>
      </c>
      <c r="O405" s="134"/>
      <c r="P405" s="259"/>
    </row>
    <row r="406" spans="1:16">
      <c r="A406" s="134">
        <v>259</v>
      </c>
      <c r="B406" s="259" t="s">
        <v>1819</v>
      </c>
      <c r="C406" s="129" t="s">
        <v>1820</v>
      </c>
      <c r="D406" s="297">
        <v>1435</v>
      </c>
      <c r="E406" s="292">
        <v>0</v>
      </c>
      <c r="F406" s="139">
        <f t="shared" si="41"/>
        <v>1435</v>
      </c>
      <c r="G406" s="292">
        <v>690</v>
      </c>
      <c r="H406" s="292">
        <v>0</v>
      </c>
      <c r="I406" s="139">
        <f t="shared" si="42"/>
        <v>690</v>
      </c>
      <c r="J406" s="266">
        <f t="shared" si="43"/>
        <v>0.48080000000000001</v>
      </c>
      <c r="K406" s="136">
        <f t="shared" si="38"/>
        <v>63.2</v>
      </c>
      <c r="L406" s="136">
        <f t="shared" si="39"/>
        <v>0</v>
      </c>
      <c r="M406" s="136">
        <f t="shared" si="40"/>
        <v>63.2</v>
      </c>
      <c r="O406" s="134"/>
      <c r="P406" s="259"/>
    </row>
    <row r="407" spans="1:16">
      <c r="A407" s="134">
        <v>259</v>
      </c>
      <c r="B407" s="259" t="s">
        <v>1821</v>
      </c>
      <c r="C407" s="129" t="s">
        <v>1822</v>
      </c>
      <c r="D407" s="292">
        <v>90</v>
      </c>
      <c r="E407" s="292">
        <v>0</v>
      </c>
      <c r="F407" s="139">
        <f t="shared" si="41"/>
        <v>90</v>
      </c>
      <c r="G407" s="292">
        <v>76</v>
      </c>
      <c r="H407" s="292">
        <v>0</v>
      </c>
      <c r="I407" s="139">
        <f t="shared" si="42"/>
        <v>76</v>
      </c>
      <c r="J407" s="266">
        <f t="shared" si="43"/>
        <v>0.84440000000000004</v>
      </c>
      <c r="K407" s="136">
        <f t="shared" si="38"/>
        <v>0</v>
      </c>
      <c r="L407" s="136">
        <f t="shared" si="39"/>
        <v>8</v>
      </c>
      <c r="M407" s="136">
        <f t="shared" si="40"/>
        <v>8</v>
      </c>
      <c r="O407" s="134"/>
      <c r="P407" s="259"/>
    </row>
    <row r="408" spans="1:16">
      <c r="A408" s="134">
        <v>260</v>
      </c>
      <c r="B408" s="259" t="s">
        <v>1823</v>
      </c>
      <c r="C408" s="129" t="s">
        <v>1824</v>
      </c>
      <c r="D408" s="292">
        <v>898</v>
      </c>
      <c r="E408" s="292">
        <v>0</v>
      </c>
      <c r="F408" s="139">
        <f t="shared" si="41"/>
        <v>898</v>
      </c>
      <c r="G408" s="292">
        <v>366</v>
      </c>
      <c r="H408" s="292">
        <v>0</v>
      </c>
      <c r="I408" s="139">
        <f t="shared" si="42"/>
        <v>366</v>
      </c>
      <c r="J408" s="266">
        <f t="shared" si="43"/>
        <v>0.40760000000000002</v>
      </c>
      <c r="K408" s="136">
        <f t="shared" si="38"/>
        <v>14.8</v>
      </c>
      <c r="L408" s="136">
        <f t="shared" si="39"/>
        <v>0</v>
      </c>
      <c r="M408" s="136">
        <f t="shared" si="40"/>
        <v>14.8</v>
      </c>
      <c r="O408" s="134"/>
      <c r="P408" s="259"/>
    </row>
    <row r="409" spans="1:16">
      <c r="A409" s="134">
        <v>260</v>
      </c>
      <c r="B409" s="259" t="s">
        <v>1825</v>
      </c>
      <c r="C409" s="129" t="s">
        <v>1826</v>
      </c>
      <c r="D409" s="292">
        <v>278</v>
      </c>
      <c r="E409" s="292">
        <v>0</v>
      </c>
      <c r="F409" s="139">
        <f t="shared" si="41"/>
        <v>278</v>
      </c>
      <c r="G409" s="292">
        <v>108</v>
      </c>
      <c r="H409" s="292">
        <v>0</v>
      </c>
      <c r="I409" s="139">
        <f t="shared" si="42"/>
        <v>108</v>
      </c>
      <c r="J409" s="266">
        <f t="shared" si="43"/>
        <v>0.38850000000000001</v>
      </c>
      <c r="K409" s="136">
        <f t="shared" si="38"/>
        <v>2.9</v>
      </c>
      <c r="L409" s="136">
        <f t="shared" si="39"/>
        <v>0</v>
      </c>
      <c r="M409" s="136">
        <f t="shared" si="40"/>
        <v>2.9</v>
      </c>
      <c r="O409" s="134"/>
      <c r="P409" s="259"/>
    </row>
    <row r="410" spans="1:16">
      <c r="A410" s="134">
        <v>260</v>
      </c>
      <c r="B410" s="259" t="s">
        <v>1827</v>
      </c>
      <c r="C410" s="129" t="s">
        <v>1828</v>
      </c>
      <c r="D410" s="292">
        <v>251</v>
      </c>
      <c r="E410" s="292">
        <v>0</v>
      </c>
      <c r="F410" s="139">
        <f t="shared" si="41"/>
        <v>251</v>
      </c>
      <c r="G410" s="292">
        <v>193</v>
      </c>
      <c r="H410" s="292">
        <v>0</v>
      </c>
      <c r="I410" s="139">
        <f t="shared" si="42"/>
        <v>193</v>
      </c>
      <c r="J410" s="266">
        <f t="shared" si="43"/>
        <v>0.76890000000000003</v>
      </c>
      <c r="K410" s="136">
        <f t="shared" si="38"/>
        <v>0</v>
      </c>
      <c r="L410" s="136">
        <f t="shared" si="39"/>
        <v>20.3</v>
      </c>
      <c r="M410" s="136">
        <f t="shared" si="40"/>
        <v>20.3</v>
      </c>
      <c r="O410" s="134"/>
      <c r="P410" s="259"/>
    </row>
    <row r="411" spans="1:16">
      <c r="A411" s="134">
        <v>260</v>
      </c>
      <c r="B411" s="259" t="s">
        <v>1829</v>
      </c>
      <c r="C411" s="129" t="s">
        <v>1830</v>
      </c>
      <c r="D411" s="292">
        <v>285</v>
      </c>
      <c r="E411" s="292">
        <v>0</v>
      </c>
      <c r="F411" s="139">
        <f t="shared" si="41"/>
        <v>285</v>
      </c>
      <c r="G411" s="292">
        <v>204</v>
      </c>
      <c r="H411" s="292">
        <v>0</v>
      </c>
      <c r="I411" s="139">
        <f t="shared" si="42"/>
        <v>204</v>
      </c>
      <c r="J411" s="266">
        <f t="shared" si="43"/>
        <v>0.71579999999999999</v>
      </c>
      <c r="K411" s="136">
        <f t="shared" si="38"/>
        <v>0</v>
      </c>
      <c r="L411" s="136">
        <f t="shared" si="39"/>
        <v>21.4</v>
      </c>
      <c r="M411" s="136">
        <f t="shared" si="40"/>
        <v>21.4</v>
      </c>
      <c r="O411" s="134"/>
      <c r="P411" s="259"/>
    </row>
    <row r="412" spans="1:16">
      <c r="A412" s="134">
        <v>260</v>
      </c>
      <c r="B412" s="259" t="s">
        <v>1831</v>
      </c>
      <c r="C412" s="129" t="s">
        <v>1832</v>
      </c>
      <c r="D412" s="292">
        <v>361</v>
      </c>
      <c r="E412" s="292">
        <v>0</v>
      </c>
      <c r="F412" s="139">
        <f t="shared" si="41"/>
        <v>361</v>
      </c>
      <c r="G412" s="292">
        <v>196</v>
      </c>
      <c r="H412" s="292">
        <v>0</v>
      </c>
      <c r="I412" s="139">
        <f t="shared" si="42"/>
        <v>196</v>
      </c>
      <c r="J412" s="266">
        <f t="shared" si="43"/>
        <v>0.54290000000000005</v>
      </c>
      <c r="K412" s="136">
        <f t="shared" si="38"/>
        <v>0</v>
      </c>
      <c r="L412" s="136">
        <f t="shared" si="39"/>
        <v>20.6</v>
      </c>
      <c r="M412" s="136">
        <f t="shared" si="40"/>
        <v>20.6</v>
      </c>
      <c r="O412" s="134"/>
      <c r="P412" s="259"/>
    </row>
    <row r="413" spans="1:16">
      <c r="A413" s="134">
        <v>260</v>
      </c>
      <c r="B413" s="259" t="s">
        <v>1833</v>
      </c>
      <c r="C413" s="129" t="s">
        <v>1834</v>
      </c>
      <c r="D413" s="292">
        <v>370</v>
      </c>
      <c r="E413" s="292">
        <v>0</v>
      </c>
      <c r="F413" s="139">
        <f t="shared" si="41"/>
        <v>370</v>
      </c>
      <c r="G413" s="292">
        <v>146</v>
      </c>
      <c r="H413" s="292">
        <v>0</v>
      </c>
      <c r="I413" s="139">
        <f t="shared" si="42"/>
        <v>146</v>
      </c>
      <c r="J413" s="266">
        <f t="shared" si="43"/>
        <v>0.39460000000000001</v>
      </c>
      <c r="K413" s="136">
        <f t="shared" si="38"/>
        <v>4.5999999999999996</v>
      </c>
      <c r="L413" s="136">
        <f t="shared" si="39"/>
        <v>0</v>
      </c>
      <c r="M413" s="136">
        <f t="shared" si="40"/>
        <v>4.5999999999999996</v>
      </c>
      <c r="O413" s="134"/>
      <c r="P413" s="259"/>
    </row>
    <row r="414" spans="1:16">
      <c r="A414" s="134">
        <v>260</v>
      </c>
      <c r="B414" s="259" t="s">
        <v>1835</v>
      </c>
      <c r="C414" s="129" t="s">
        <v>1836</v>
      </c>
      <c r="D414" s="292">
        <v>370</v>
      </c>
      <c r="E414" s="292">
        <v>0</v>
      </c>
      <c r="F414" s="139">
        <f t="shared" si="41"/>
        <v>370</v>
      </c>
      <c r="G414" s="292">
        <v>144</v>
      </c>
      <c r="H414" s="292">
        <v>0</v>
      </c>
      <c r="I414" s="139">
        <f t="shared" si="42"/>
        <v>144</v>
      </c>
      <c r="J414" s="266">
        <f t="shared" si="43"/>
        <v>0.38919999999999999</v>
      </c>
      <c r="K414" s="136">
        <f t="shared" si="38"/>
        <v>4</v>
      </c>
      <c r="L414" s="136">
        <f t="shared" si="39"/>
        <v>0</v>
      </c>
      <c r="M414" s="136">
        <f t="shared" si="40"/>
        <v>4</v>
      </c>
      <c r="O414" s="134"/>
      <c r="P414" s="259"/>
    </row>
    <row r="415" spans="1:16">
      <c r="A415" s="134">
        <v>260</v>
      </c>
      <c r="B415" s="259" t="s">
        <v>1837</v>
      </c>
      <c r="C415" s="129" t="s">
        <v>1838</v>
      </c>
      <c r="D415" s="292">
        <v>2156</v>
      </c>
      <c r="E415" s="292">
        <v>0</v>
      </c>
      <c r="F415" s="139">
        <f t="shared" si="41"/>
        <v>2156</v>
      </c>
      <c r="G415" s="292">
        <v>820</v>
      </c>
      <c r="H415" s="292">
        <v>0</v>
      </c>
      <c r="I415" s="139">
        <f t="shared" si="42"/>
        <v>820</v>
      </c>
      <c r="J415" s="266">
        <f t="shared" si="43"/>
        <v>0.38030000000000003</v>
      </c>
      <c r="K415" s="136">
        <f t="shared" si="38"/>
        <v>17.399999999999999</v>
      </c>
      <c r="L415" s="136">
        <f t="shared" si="39"/>
        <v>0</v>
      </c>
      <c r="M415" s="136">
        <f t="shared" si="40"/>
        <v>17.399999999999999</v>
      </c>
      <c r="O415" s="134"/>
      <c r="P415" s="259"/>
    </row>
    <row r="416" spans="1:16">
      <c r="A416" s="134">
        <v>260</v>
      </c>
      <c r="B416" s="259" t="s">
        <v>1839</v>
      </c>
      <c r="C416" s="129" t="s">
        <v>1840</v>
      </c>
      <c r="D416" s="292">
        <v>595</v>
      </c>
      <c r="E416" s="292">
        <v>0</v>
      </c>
      <c r="F416" s="139">
        <f t="shared" si="41"/>
        <v>595</v>
      </c>
      <c r="G416" s="292">
        <v>103</v>
      </c>
      <c r="H416" s="292">
        <v>0</v>
      </c>
      <c r="I416" s="139">
        <f t="shared" si="42"/>
        <v>103</v>
      </c>
      <c r="J416" s="266">
        <f t="shared" si="43"/>
        <v>0.1731</v>
      </c>
      <c r="K416" s="136">
        <f t="shared" si="38"/>
        <v>0</v>
      </c>
      <c r="L416" s="136">
        <f t="shared" si="39"/>
        <v>0</v>
      </c>
      <c r="M416" s="136">
        <f t="shared" si="40"/>
        <v>0</v>
      </c>
      <c r="O416" s="134"/>
      <c r="P416" s="259"/>
    </row>
    <row r="417" spans="1:16">
      <c r="A417" s="134">
        <v>260</v>
      </c>
      <c r="B417" s="259" t="s">
        <v>1841</v>
      </c>
      <c r="C417" s="129" t="s">
        <v>1842</v>
      </c>
      <c r="D417" s="292">
        <v>400</v>
      </c>
      <c r="E417" s="292">
        <v>0</v>
      </c>
      <c r="F417" s="139">
        <f t="shared" si="41"/>
        <v>400</v>
      </c>
      <c r="G417" s="292">
        <v>107</v>
      </c>
      <c r="H417" s="292">
        <v>0</v>
      </c>
      <c r="I417" s="139">
        <f t="shared" si="42"/>
        <v>107</v>
      </c>
      <c r="J417" s="266">
        <f t="shared" si="43"/>
        <v>0.26750000000000002</v>
      </c>
      <c r="K417" s="136">
        <f t="shared" si="38"/>
        <v>0</v>
      </c>
      <c r="L417" s="136">
        <f t="shared" si="39"/>
        <v>0</v>
      </c>
      <c r="M417" s="136">
        <f t="shared" si="40"/>
        <v>0</v>
      </c>
      <c r="O417" s="134"/>
      <c r="P417" s="259"/>
    </row>
    <row r="418" spans="1:16">
      <c r="A418" s="134">
        <v>260</v>
      </c>
      <c r="B418" s="259" t="s">
        <v>1843</v>
      </c>
      <c r="C418" s="129" t="s">
        <v>1844</v>
      </c>
      <c r="D418" s="292">
        <v>857</v>
      </c>
      <c r="E418" s="292">
        <v>0</v>
      </c>
      <c r="F418" s="139">
        <f t="shared" si="41"/>
        <v>857</v>
      </c>
      <c r="G418" s="292">
        <v>349</v>
      </c>
      <c r="H418" s="292">
        <v>0</v>
      </c>
      <c r="I418" s="139">
        <f t="shared" si="42"/>
        <v>349</v>
      </c>
      <c r="J418" s="266">
        <f t="shared" si="43"/>
        <v>0.40720000000000001</v>
      </c>
      <c r="K418" s="136">
        <f t="shared" si="38"/>
        <v>14</v>
      </c>
      <c r="L418" s="136">
        <f t="shared" si="39"/>
        <v>0</v>
      </c>
      <c r="M418" s="136">
        <f t="shared" si="40"/>
        <v>14</v>
      </c>
      <c r="O418" s="134"/>
      <c r="P418" s="259"/>
    </row>
    <row r="419" spans="1:16">
      <c r="A419" s="134">
        <v>260</v>
      </c>
      <c r="B419" s="259" t="s">
        <v>1845</v>
      </c>
      <c r="C419" s="129" t="s">
        <v>1846</v>
      </c>
      <c r="D419" s="292">
        <v>428</v>
      </c>
      <c r="E419" s="292">
        <v>0</v>
      </c>
      <c r="F419" s="139">
        <f t="shared" si="41"/>
        <v>428</v>
      </c>
      <c r="G419" s="292">
        <v>113</v>
      </c>
      <c r="H419" s="292">
        <v>0</v>
      </c>
      <c r="I419" s="139">
        <f t="shared" si="42"/>
        <v>113</v>
      </c>
      <c r="J419" s="266">
        <f t="shared" si="43"/>
        <v>0.26400000000000001</v>
      </c>
      <c r="K419" s="136">
        <f t="shared" si="38"/>
        <v>0</v>
      </c>
      <c r="L419" s="136">
        <f t="shared" si="39"/>
        <v>0</v>
      </c>
      <c r="M419" s="136">
        <f t="shared" si="40"/>
        <v>0</v>
      </c>
      <c r="O419" s="134"/>
      <c r="P419" s="259"/>
    </row>
    <row r="420" spans="1:16">
      <c r="A420" s="134">
        <v>260</v>
      </c>
      <c r="B420" s="259" t="s">
        <v>3995</v>
      </c>
      <c r="C420" s="129" t="s">
        <v>3996</v>
      </c>
      <c r="D420" s="292">
        <v>0</v>
      </c>
      <c r="E420" s="292">
        <v>0</v>
      </c>
      <c r="F420" s="139">
        <f t="shared" si="41"/>
        <v>0</v>
      </c>
      <c r="G420" s="292">
        <v>0</v>
      </c>
      <c r="H420" s="292">
        <v>0</v>
      </c>
      <c r="I420" s="139">
        <f t="shared" si="42"/>
        <v>0</v>
      </c>
      <c r="J420" s="266">
        <f t="shared" si="43"/>
        <v>0</v>
      </c>
      <c r="K420" s="136">
        <f t="shared" si="38"/>
        <v>0</v>
      </c>
      <c r="L420" s="136">
        <f t="shared" si="39"/>
        <v>0</v>
      </c>
      <c r="M420" s="136">
        <f t="shared" si="40"/>
        <v>0</v>
      </c>
      <c r="O420" s="134"/>
      <c r="P420" s="259"/>
    </row>
    <row r="421" spans="1:16">
      <c r="A421" s="134">
        <v>261</v>
      </c>
      <c r="B421" s="259" t="s">
        <v>1847</v>
      </c>
      <c r="C421" s="129" t="s">
        <v>1848</v>
      </c>
      <c r="D421" s="292">
        <v>530</v>
      </c>
      <c r="E421" s="292">
        <v>0</v>
      </c>
      <c r="F421" s="139">
        <f t="shared" si="41"/>
        <v>530</v>
      </c>
      <c r="G421" s="292">
        <v>279</v>
      </c>
      <c r="H421" s="292">
        <v>0</v>
      </c>
      <c r="I421" s="139">
        <f t="shared" si="42"/>
        <v>279</v>
      </c>
      <c r="J421" s="266">
        <f t="shared" si="43"/>
        <v>0.52639999999999998</v>
      </c>
      <c r="K421" s="136">
        <f t="shared" si="38"/>
        <v>0</v>
      </c>
      <c r="L421" s="136">
        <f t="shared" si="39"/>
        <v>29.3</v>
      </c>
      <c r="M421" s="136">
        <f t="shared" si="40"/>
        <v>29.3</v>
      </c>
      <c r="O421" s="134"/>
      <c r="P421" s="259"/>
    </row>
    <row r="422" spans="1:16">
      <c r="A422" s="134">
        <v>261</v>
      </c>
      <c r="B422" s="259" t="s">
        <v>1849</v>
      </c>
      <c r="C422" s="129" t="s">
        <v>1850</v>
      </c>
      <c r="D422" s="292">
        <v>1758</v>
      </c>
      <c r="E422" s="292">
        <v>0</v>
      </c>
      <c r="F422" s="139">
        <f t="shared" si="41"/>
        <v>1758</v>
      </c>
      <c r="G422" s="292">
        <v>791</v>
      </c>
      <c r="H422" s="292">
        <v>0</v>
      </c>
      <c r="I422" s="139">
        <f t="shared" si="42"/>
        <v>791</v>
      </c>
      <c r="J422" s="266">
        <f t="shared" si="43"/>
        <v>0.44990000000000002</v>
      </c>
      <c r="K422" s="136">
        <f t="shared" si="38"/>
        <v>55.3</v>
      </c>
      <c r="L422" s="136">
        <f t="shared" si="39"/>
        <v>0</v>
      </c>
      <c r="M422" s="136">
        <f t="shared" si="40"/>
        <v>55.3</v>
      </c>
      <c r="O422" s="134"/>
      <c r="P422" s="259"/>
    </row>
    <row r="423" spans="1:16">
      <c r="A423" s="134">
        <v>261</v>
      </c>
      <c r="B423" s="259" t="s">
        <v>1851</v>
      </c>
      <c r="C423" s="129" t="s">
        <v>1852</v>
      </c>
      <c r="D423" s="292">
        <v>726</v>
      </c>
      <c r="E423" s="292">
        <v>0</v>
      </c>
      <c r="F423" s="139">
        <f t="shared" si="41"/>
        <v>726</v>
      </c>
      <c r="G423" s="292">
        <v>405</v>
      </c>
      <c r="H423" s="292">
        <v>0</v>
      </c>
      <c r="I423" s="139">
        <f t="shared" si="42"/>
        <v>405</v>
      </c>
      <c r="J423" s="266">
        <f t="shared" si="43"/>
        <v>0.55789999999999995</v>
      </c>
      <c r="K423" s="136">
        <f t="shared" si="38"/>
        <v>0</v>
      </c>
      <c r="L423" s="136">
        <f t="shared" si="39"/>
        <v>42.5</v>
      </c>
      <c r="M423" s="136">
        <f t="shared" si="40"/>
        <v>42.5</v>
      </c>
      <c r="O423" s="134"/>
      <c r="P423" s="259"/>
    </row>
    <row r="424" spans="1:16">
      <c r="A424" s="134">
        <v>261</v>
      </c>
      <c r="B424" s="259" t="s">
        <v>1853</v>
      </c>
      <c r="C424" s="129" t="s">
        <v>1854</v>
      </c>
      <c r="D424" s="292">
        <v>429</v>
      </c>
      <c r="E424" s="292">
        <v>0</v>
      </c>
      <c r="F424" s="139">
        <f t="shared" si="41"/>
        <v>429</v>
      </c>
      <c r="G424" s="292">
        <v>205</v>
      </c>
      <c r="H424" s="292">
        <v>0</v>
      </c>
      <c r="I424" s="139">
        <f t="shared" si="42"/>
        <v>205</v>
      </c>
      <c r="J424" s="266">
        <f t="shared" si="43"/>
        <v>0.47789999999999999</v>
      </c>
      <c r="K424" s="136">
        <f t="shared" si="38"/>
        <v>18.399999999999999</v>
      </c>
      <c r="L424" s="136">
        <f t="shared" si="39"/>
        <v>0</v>
      </c>
      <c r="M424" s="136">
        <f t="shared" si="40"/>
        <v>18.399999999999999</v>
      </c>
      <c r="O424" s="134"/>
      <c r="P424" s="259"/>
    </row>
    <row r="425" spans="1:16">
      <c r="A425" s="134">
        <v>261</v>
      </c>
      <c r="B425" s="259" t="s">
        <v>1855</v>
      </c>
      <c r="C425" s="129" t="s">
        <v>1856</v>
      </c>
      <c r="D425" s="292">
        <v>431</v>
      </c>
      <c r="E425" s="292">
        <v>0</v>
      </c>
      <c r="F425" s="139">
        <f t="shared" si="41"/>
        <v>431</v>
      </c>
      <c r="G425" s="292">
        <v>296</v>
      </c>
      <c r="H425" s="292">
        <v>0</v>
      </c>
      <c r="I425" s="139">
        <f t="shared" si="42"/>
        <v>296</v>
      </c>
      <c r="J425" s="266">
        <f t="shared" si="43"/>
        <v>0.68679999999999997</v>
      </c>
      <c r="K425" s="136">
        <f t="shared" si="38"/>
        <v>0</v>
      </c>
      <c r="L425" s="136">
        <f t="shared" si="39"/>
        <v>31.1</v>
      </c>
      <c r="M425" s="136">
        <f t="shared" si="40"/>
        <v>31.1</v>
      </c>
      <c r="O425" s="134"/>
      <c r="P425" s="259"/>
    </row>
    <row r="426" spans="1:16">
      <c r="A426" s="134">
        <v>261</v>
      </c>
      <c r="B426" s="259" t="s">
        <v>1857</v>
      </c>
      <c r="C426" s="129" t="s">
        <v>1858</v>
      </c>
      <c r="D426" s="292">
        <v>437</v>
      </c>
      <c r="E426" s="292">
        <v>0</v>
      </c>
      <c r="F426" s="139">
        <f t="shared" si="41"/>
        <v>437</v>
      </c>
      <c r="G426" s="292">
        <v>231</v>
      </c>
      <c r="H426" s="292">
        <v>0</v>
      </c>
      <c r="I426" s="139">
        <f t="shared" si="42"/>
        <v>231</v>
      </c>
      <c r="J426" s="266">
        <f t="shared" si="43"/>
        <v>0.52859999999999996</v>
      </c>
      <c r="K426" s="136">
        <f t="shared" si="38"/>
        <v>0</v>
      </c>
      <c r="L426" s="136">
        <f t="shared" si="39"/>
        <v>24.3</v>
      </c>
      <c r="M426" s="136">
        <f t="shared" si="40"/>
        <v>24.3</v>
      </c>
      <c r="O426" s="134"/>
      <c r="P426" s="259"/>
    </row>
    <row r="427" spans="1:16">
      <c r="A427" s="134">
        <v>261</v>
      </c>
      <c r="B427" s="259" t="s">
        <v>1859</v>
      </c>
      <c r="C427" s="129" t="s">
        <v>1860</v>
      </c>
      <c r="D427" s="292">
        <v>319</v>
      </c>
      <c r="E427" s="292">
        <v>0</v>
      </c>
      <c r="F427" s="139">
        <f t="shared" si="41"/>
        <v>319</v>
      </c>
      <c r="G427" s="292">
        <v>181</v>
      </c>
      <c r="H427" s="292">
        <v>0</v>
      </c>
      <c r="I427" s="139">
        <f t="shared" si="42"/>
        <v>181</v>
      </c>
      <c r="J427" s="266">
        <f t="shared" si="43"/>
        <v>0.56740000000000002</v>
      </c>
      <c r="K427" s="136">
        <f t="shared" si="38"/>
        <v>0</v>
      </c>
      <c r="L427" s="136">
        <f t="shared" si="39"/>
        <v>19</v>
      </c>
      <c r="M427" s="136">
        <f t="shared" si="40"/>
        <v>19</v>
      </c>
      <c r="O427" s="134"/>
      <c r="P427" s="259"/>
    </row>
    <row r="428" spans="1:16">
      <c r="A428" s="134">
        <v>261</v>
      </c>
      <c r="B428" s="259" t="s">
        <v>1861</v>
      </c>
      <c r="C428" s="129" t="s">
        <v>1862</v>
      </c>
      <c r="D428" s="292">
        <v>360</v>
      </c>
      <c r="E428" s="292">
        <v>0</v>
      </c>
      <c r="F428" s="139">
        <f t="shared" si="41"/>
        <v>360</v>
      </c>
      <c r="G428" s="292">
        <v>164</v>
      </c>
      <c r="H428" s="292">
        <v>0</v>
      </c>
      <c r="I428" s="139">
        <f t="shared" si="42"/>
        <v>164</v>
      </c>
      <c r="J428" s="266">
        <f t="shared" si="43"/>
        <v>0.4556</v>
      </c>
      <c r="K428" s="136">
        <f t="shared" si="38"/>
        <v>12.1</v>
      </c>
      <c r="L428" s="136">
        <f t="shared" si="39"/>
        <v>0</v>
      </c>
      <c r="M428" s="136">
        <f t="shared" si="40"/>
        <v>12.1</v>
      </c>
      <c r="O428" s="134"/>
      <c r="P428" s="259"/>
    </row>
    <row r="429" spans="1:16">
      <c r="A429" s="134">
        <v>261</v>
      </c>
      <c r="B429" s="259" t="s">
        <v>1863</v>
      </c>
      <c r="C429" s="129" t="s">
        <v>1864</v>
      </c>
      <c r="D429" s="292">
        <v>441</v>
      </c>
      <c r="E429" s="292">
        <v>0</v>
      </c>
      <c r="F429" s="139">
        <f t="shared" si="41"/>
        <v>441</v>
      </c>
      <c r="G429" s="292">
        <v>253</v>
      </c>
      <c r="H429" s="292">
        <v>0</v>
      </c>
      <c r="I429" s="139">
        <f t="shared" si="42"/>
        <v>253</v>
      </c>
      <c r="J429" s="266">
        <f t="shared" si="43"/>
        <v>0.57369999999999999</v>
      </c>
      <c r="K429" s="136">
        <f t="shared" si="38"/>
        <v>0</v>
      </c>
      <c r="L429" s="136">
        <f t="shared" si="39"/>
        <v>26.6</v>
      </c>
      <c r="M429" s="136">
        <f t="shared" si="40"/>
        <v>26.6</v>
      </c>
      <c r="O429" s="134"/>
      <c r="P429" s="259"/>
    </row>
    <row r="430" spans="1:16">
      <c r="A430" s="134">
        <v>262</v>
      </c>
      <c r="B430" s="259" t="s">
        <v>1865</v>
      </c>
      <c r="C430" s="129" t="s">
        <v>1866</v>
      </c>
      <c r="D430" s="292">
        <v>455</v>
      </c>
      <c r="E430" s="292">
        <v>0</v>
      </c>
      <c r="F430" s="139">
        <f t="shared" si="41"/>
        <v>455</v>
      </c>
      <c r="G430" s="292">
        <v>162</v>
      </c>
      <c r="H430" s="292">
        <v>0</v>
      </c>
      <c r="I430" s="139">
        <f t="shared" si="42"/>
        <v>162</v>
      </c>
      <c r="J430" s="266">
        <f t="shared" si="43"/>
        <v>0.35599999999999998</v>
      </c>
      <c r="K430" s="136">
        <f t="shared" si="38"/>
        <v>0.7</v>
      </c>
      <c r="L430" s="136">
        <f t="shared" si="39"/>
        <v>0</v>
      </c>
      <c r="M430" s="136">
        <f t="shared" si="40"/>
        <v>0.7</v>
      </c>
      <c r="O430" s="134"/>
      <c r="P430" s="259"/>
    </row>
    <row r="431" spans="1:16">
      <c r="A431" s="134">
        <v>262</v>
      </c>
      <c r="B431" s="259" t="s">
        <v>1867</v>
      </c>
      <c r="C431" s="129" t="s">
        <v>1868</v>
      </c>
      <c r="D431" s="292">
        <v>250</v>
      </c>
      <c r="E431" s="292">
        <v>0</v>
      </c>
      <c r="F431" s="139">
        <f t="shared" si="41"/>
        <v>250</v>
      </c>
      <c r="G431" s="292">
        <v>110</v>
      </c>
      <c r="H431" s="292">
        <v>0</v>
      </c>
      <c r="I431" s="139">
        <f t="shared" si="42"/>
        <v>110</v>
      </c>
      <c r="J431" s="266">
        <f t="shared" si="43"/>
        <v>0.44</v>
      </c>
      <c r="K431" s="136">
        <f t="shared" si="38"/>
        <v>6.9</v>
      </c>
      <c r="L431" s="136">
        <f t="shared" si="39"/>
        <v>0</v>
      </c>
      <c r="M431" s="136">
        <f t="shared" si="40"/>
        <v>6.9</v>
      </c>
      <c r="O431" s="134"/>
      <c r="P431" s="259"/>
    </row>
    <row r="432" spans="1:16">
      <c r="A432" s="134">
        <v>262</v>
      </c>
      <c r="B432" s="259" t="s">
        <v>1869</v>
      </c>
      <c r="C432" s="129" t="s">
        <v>1870</v>
      </c>
      <c r="D432" s="292">
        <v>335</v>
      </c>
      <c r="E432" s="292">
        <v>0</v>
      </c>
      <c r="F432" s="139">
        <f t="shared" si="41"/>
        <v>335</v>
      </c>
      <c r="G432" s="292">
        <v>121</v>
      </c>
      <c r="H432" s="292">
        <v>0</v>
      </c>
      <c r="I432" s="139">
        <f t="shared" si="42"/>
        <v>121</v>
      </c>
      <c r="J432" s="266">
        <f t="shared" si="43"/>
        <v>0.36120000000000002</v>
      </c>
      <c r="K432" s="136">
        <f t="shared" si="38"/>
        <v>0.9</v>
      </c>
      <c r="L432" s="136">
        <f t="shared" si="39"/>
        <v>0</v>
      </c>
      <c r="M432" s="136">
        <f t="shared" si="40"/>
        <v>0.9</v>
      </c>
      <c r="O432" s="134"/>
      <c r="P432" s="259"/>
    </row>
    <row r="433" spans="1:16">
      <c r="A433" s="134">
        <v>262</v>
      </c>
      <c r="B433" s="259" t="s">
        <v>1871</v>
      </c>
      <c r="C433" s="129" t="s">
        <v>1872</v>
      </c>
      <c r="D433" s="292">
        <v>280</v>
      </c>
      <c r="E433" s="292">
        <v>0</v>
      </c>
      <c r="F433" s="139">
        <f t="shared" si="41"/>
        <v>280</v>
      </c>
      <c r="G433" s="292">
        <v>117</v>
      </c>
      <c r="H433" s="292">
        <v>0</v>
      </c>
      <c r="I433" s="139">
        <f t="shared" si="42"/>
        <v>117</v>
      </c>
      <c r="J433" s="266">
        <f t="shared" si="43"/>
        <v>0.41789999999999999</v>
      </c>
      <c r="K433" s="136">
        <f t="shared" si="38"/>
        <v>5.6</v>
      </c>
      <c r="L433" s="136">
        <f t="shared" si="39"/>
        <v>0</v>
      </c>
      <c r="M433" s="136">
        <f t="shared" si="40"/>
        <v>5.6</v>
      </c>
      <c r="O433" s="134"/>
      <c r="P433" s="259"/>
    </row>
    <row r="434" spans="1:16">
      <c r="A434" s="134">
        <v>262</v>
      </c>
      <c r="B434" s="259" t="s">
        <v>1873</v>
      </c>
      <c r="C434" s="129" t="s">
        <v>1874</v>
      </c>
      <c r="D434" s="292">
        <v>762</v>
      </c>
      <c r="E434" s="292">
        <v>0</v>
      </c>
      <c r="F434" s="139">
        <f t="shared" si="41"/>
        <v>762</v>
      </c>
      <c r="G434" s="292">
        <v>282</v>
      </c>
      <c r="H434" s="292">
        <v>0</v>
      </c>
      <c r="I434" s="139">
        <f t="shared" si="42"/>
        <v>282</v>
      </c>
      <c r="J434" s="266">
        <f t="shared" si="43"/>
        <v>0.37009999999999998</v>
      </c>
      <c r="K434" s="136">
        <f t="shared" si="38"/>
        <v>4</v>
      </c>
      <c r="L434" s="136">
        <f t="shared" si="39"/>
        <v>0</v>
      </c>
      <c r="M434" s="136">
        <f t="shared" si="40"/>
        <v>4</v>
      </c>
      <c r="O434" s="134"/>
      <c r="P434" s="259"/>
    </row>
    <row r="435" spans="1:16">
      <c r="A435" s="134">
        <v>262</v>
      </c>
      <c r="B435" s="259" t="s">
        <v>1875</v>
      </c>
      <c r="C435" s="129" t="s">
        <v>1876</v>
      </c>
      <c r="D435" s="292">
        <v>1029</v>
      </c>
      <c r="E435" s="292">
        <v>0</v>
      </c>
      <c r="F435" s="139">
        <f t="shared" si="41"/>
        <v>1029</v>
      </c>
      <c r="G435" s="292">
        <v>328</v>
      </c>
      <c r="H435" s="292">
        <v>0</v>
      </c>
      <c r="I435" s="139">
        <f t="shared" si="42"/>
        <v>328</v>
      </c>
      <c r="J435" s="266">
        <f t="shared" si="43"/>
        <v>0.31879999999999997</v>
      </c>
      <c r="K435" s="136">
        <f t="shared" si="38"/>
        <v>0</v>
      </c>
      <c r="L435" s="136">
        <f t="shared" si="39"/>
        <v>0</v>
      </c>
      <c r="M435" s="136">
        <f t="shared" si="40"/>
        <v>0</v>
      </c>
      <c r="O435" s="134"/>
      <c r="P435" s="259"/>
    </row>
    <row r="436" spans="1:16">
      <c r="A436" s="134">
        <v>262</v>
      </c>
      <c r="B436" s="259" t="s">
        <v>3640</v>
      </c>
      <c r="C436" s="129" t="s">
        <v>3641</v>
      </c>
      <c r="D436" s="292">
        <v>1</v>
      </c>
      <c r="E436" s="292">
        <v>0</v>
      </c>
      <c r="F436" s="139">
        <f t="shared" si="41"/>
        <v>1</v>
      </c>
      <c r="G436" s="292">
        <v>1</v>
      </c>
      <c r="H436" s="292">
        <v>0</v>
      </c>
      <c r="I436" s="139">
        <f t="shared" si="42"/>
        <v>1</v>
      </c>
      <c r="J436" s="266">
        <f t="shared" si="43"/>
        <v>1</v>
      </c>
      <c r="K436" s="136">
        <f t="shared" si="38"/>
        <v>0</v>
      </c>
      <c r="L436" s="136">
        <f t="shared" si="39"/>
        <v>0.1</v>
      </c>
      <c r="M436" s="136">
        <f t="shared" si="40"/>
        <v>0.1</v>
      </c>
      <c r="O436" s="134"/>
      <c r="P436" s="259"/>
    </row>
    <row r="437" spans="1:16">
      <c r="A437" s="134">
        <v>263</v>
      </c>
      <c r="B437" s="259" t="s">
        <v>1877</v>
      </c>
      <c r="C437" s="129" t="s">
        <v>1878</v>
      </c>
      <c r="D437" s="292">
        <v>424</v>
      </c>
      <c r="E437" s="292">
        <v>0</v>
      </c>
      <c r="F437" s="139">
        <f t="shared" si="41"/>
        <v>424</v>
      </c>
      <c r="G437" s="292">
        <v>157</v>
      </c>
      <c r="H437" s="292">
        <v>0</v>
      </c>
      <c r="I437" s="139">
        <f t="shared" si="42"/>
        <v>157</v>
      </c>
      <c r="J437" s="266">
        <f t="shared" si="43"/>
        <v>0.37030000000000002</v>
      </c>
      <c r="K437" s="136">
        <f t="shared" si="38"/>
        <v>2.2000000000000002</v>
      </c>
      <c r="L437" s="136">
        <f t="shared" si="39"/>
        <v>0</v>
      </c>
      <c r="M437" s="136">
        <f t="shared" si="40"/>
        <v>2.2000000000000002</v>
      </c>
      <c r="O437" s="134"/>
      <c r="P437" s="259"/>
    </row>
    <row r="438" spans="1:16">
      <c r="A438" s="134">
        <v>263</v>
      </c>
      <c r="B438" s="259" t="s">
        <v>1879</v>
      </c>
      <c r="C438" s="129" t="s">
        <v>1880</v>
      </c>
      <c r="D438" s="292">
        <v>562</v>
      </c>
      <c r="E438" s="292">
        <v>0</v>
      </c>
      <c r="F438" s="139">
        <f t="shared" si="41"/>
        <v>562</v>
      </c>
      <c r="G438" s="292">
        <v>181</v>
      </c>
      <c r="H438" s="292">
        <v>0</v>
      </c>
      <c r="I438" s="139">
        <f t="shared" si="42"/>
        <v>181</v>
      </c>
      <c r="J438" s="266">
        <f t="shared" si="43"/>
        <v>0.3221</v>
      </c>
      <c r="K438" s="136">
        <f t="shared" si="38"/>
        <v>0</v>
      </c>
      <c r="L438" s="136">
        <f t="shared" si="39"/>
        <v>0</v>
      </c>
      <c r="M438" s="136">
        <f t="shared" si="40"/>
        <v>0</v>
      </c>
      <c r="O438" s="134"/>
      <c r="P438" s="259"/>
    </row>
    <row r="439" spans="1:16">
      <c r="A439" s="134">
        <v>263</v>
      </c>
      <c r="B439" s="259" t="s">
        <v>1881</v>
      </c>
      <c r="C439" s="129" t="s">
        <v>1882</v>
      </c>
      <c r="D439" s="292">
        <v>428</v>
      </c>
      <c r="E439" s="292">
        <v>0</v>
      </c>
      <c r="F439" s="139">
        <f t="shared" si="41"/>
        <v>428</v>
      </c>
      <c r="G439" s="292">
        <v>142</v>
      </c>
      <c r="H439" s="292">
        <v>0</v>
      </c>
      <c r="I439" s="139">
        <f t="shared" si="42"/>
        <v>142</v>
      </c>
      <c r="J439" s="266">
        <f t="shared" si="43"/>
        <v>0.33179999999999998</v>
      </c>
      <c r="K439" s="136">
        <f t="shared" si="38"/>
        <v>0</v>
      </c>
      <c r="L439" s="136">
        <f t="shared" si="39"/>
        <v>0</v>
      </c>
      <c r="M439" s="136">
        <f t="shared" si="40"/>
        <v>0</v>
      </c>
      <c r="O439" s="134"/>
      <c r="P439" s="259"/>
    </row>
    <row r="440" spans="1:16">
      <c r="A440" s="134">
        <v>263</v>
      </c>
      <c r="B440" s="259" t="s">
        <v>1883</v>
      </c>
      <c r="C440" s="129" t="s">
        <v>1884</v>
      </c>
      <c r="D440" s="292">
        <v>386</v>
      </c>
      <c r="E440" s="292">
        <v>0</v>
      </c>
      <c r="F440" s="139">
        <f t="shared" si="41"/>
        <v>386</v>
      </c>
      <c r="G440" s="292">
        <v>150</v>
      </c>
      <c r="H440" s="292">
        <v>0</v>
      </c>
      <c r="I440" s="139">
        <f t="shared" si="42"/>
        <v>150</v>
      </c>
      <c r="J440" s="266">
        <f t="shared" si="43"/>
        <v>0.3886</v>
      </c>
      <c r="K440" s="136">
        <f t="shared" si="38"/>
        <v>4.0999999999999996</v>
      </c>
      <c r="L440" s="136">
        <f t="shared" si="39"/>
        <v>0</v>
      </c>
      <c r="M440" s="136">
        <f t="shared" si="40"/>
        <v>4.0999999999999996</v>
      </c>
      <c r="O440" s="134"/>
      <c r="P440" s="259"/>
    </row>
    <row r="441" spans="1:16">
      <c r="A441" s="134">
        <v>264</v>
      </c>
      <c r="B441" s="259" t="s">
        <v>1885</v>
      </c>
      <c r="C441" s="129" t="s">
        <v>1886</v>
      </c>
      <c r="D441" s="292">
        <v>304</v>
      </c>
      <c r="E441" s="292">
        <v>0</v>
      </c>
      <c r="F441" s="139">
        <f t="shared" si="41"/>
        <v>304</v>
      </c>
      <c r="G441" s="292">
        <v>97</v>
      </c>
      <c r="H441" s="292">
        <v>0</v>
      </c>
      <c r="I441" s="139">
        <f t="shared" si="42"/>
        <v>97</v>
      </c>
      <c r="J441" s="266">
        <f t="shared" si="43"/>
        <v>0.31909999999999999</v>
      </c>
      <c r="K441" s="136">
        <f t="shared" si="38"/>
        <v>0</v>
      </c>
      <c r="L441" s="136">
        <f t="shared" si="39"/>
        <v>0</v>
      </c>
      <c r="M441" s="136">
        <f t="shared" si="40"/>
        <v>0</v>
      </c>
      <c r="O441" s="134"/>
      <c r="P441" s="259"/>
    </row>
    <row r="442" spans="1:16">
      <c r="A442" s="134">
        <v>264</v>
      </c>
      <c r="B442" s="259" t="s">
        <v>1887</v>
      </c>
      <c r="C442" s="129" t="s">
        <v>1888</v>
      </c>
      <c r="D442" s="292">
        <v>408</v>
      </c>
      <c r="E442" s="292">
        <v>0</v>
      </c>
      <c r="F442" s="139">
        <f t="shared" si="41"/>
        <v>408</v>
      </c>
      <c r="G442" s="292">
        <v>121</v>
      </c>
      <c r="H442" s="292">
        <v>0</v>
      </c>
      <c r="I442" s="139">
        <f t="shared" si="42"/>
        <v>121</v>
      </c>
      <c r="J442" s="266">
        <f t="shared" si="43"/>
        <v>0.29659999999999997</v>
      </c>
      <c r="K442" s="136">
        <f t="shared" si="38"/>
        <v>0</v>
      </c>
      <c r="L442" s="136">
        <f t="shared" si="39"/>
        <v>0</v>
      </c>
      <c r="M442" s="136">
        <f t="shared" si="40"/>
        <v>0</v>
      </c>
      <c r="O442" s="134"/>
      <c r="P442" s="259"/>
    </row>
    <row r="443" spans="1:16">
      <c r="A443" s="134">
        <v>264</v>
      </c>
      <c r="B443" s="259" t="s">
        <v>1889</v>
      </c>
      <c r="C443" s="129" t="s">
        <v>1890</v>
      </c>
      <c r="D443" s="292">
        <v>360</v>
      </c>
      <c r="E443" s="292">
        <v>0</v>
      </c>
      <c r="F443" s="139">
        <f t="shared" si="41"/>
        <v>360</v>
      </c>
      <c r="G443" s="292">
        <v>91</v>
      </c>
      <c r="H443" s="292">
        <v>0</v>
      </c>
      <c r="I443" s="139">
        <f t="shared" si="42"/>
        <v>91</v>
      </c>
      <c r="J443" s="266">
        <f t="shared" si="43"/>
        <v>0.25280000000000002</v>
      </c>
      <c r="K443" s="136">
        <f t="shared" si="38"/>
        <v>0</v>
      </c>
      <c r="L443" s="136">
        <f t="shared" si="39"/>
        <v>0</v>
      </c>
      <c r="M443" s="136">
        <f t="shared" si="40"/>
        <v>0</v>
      </c>
      <c r="O443" s="134"/>
      <c r="P443" s="259"/>
    </row>
    <row r="444" spans="1:16">
      <c r="A444" s="134">
        <v>265</v>
      </c>
      <c r="B444" s="259" t="s">
        <v>1891</v>
      </c>
      <c r="C444" s="129" t="s">
        <v>1892</v>
      </c>
      <c r="D444" s="292">
        <v>430</v>
      </c>
      <c r="E444" s="292">
        <v>0</v>
      </c>
      <c r="F444" s="139">
        <f t="shared" si="41"/>
        <v>430</v>
      </c>
      <c r="G444" s="292">
        <v>142</v>
      </c>
      <c r="H444" s="292">
        <v>0</v>
      </c>
      <c r="I444" s="139">
        <f t="shared" si="42"/>
        <v>142</v>
      </c>
      <c r="J444" s="266">
        <f t="shared" si="43"/>
        <v>0.33019999999999999</v>
      </c>
      <c r="K444" s="136">
        <f t="shared" si="38"/>
        <v>0</v>
      </c>
      <c r="L444" s="136">
        <f t="shared" si="39"/>
        <v>0</v>
      </c>
      <c r="M444" s="136">
        <f t="shared" si="40"/>
        <v>0</v>
      </c>
      <c r="O444" s="134"/>
      <c r="P444" s="259"/>
    </row>
    <row r="445" spans="1:16">
      <c r="A445" s="134">
        <v>265</v>
      </c>
      <c r="B445" s="259" t="s">
        <v>1893</v>
      </c>
      <c r="C445" s="129" t="s">
        <v>1894</v>
      </c>
      <c r="D445" s="292">
        <v>364</v>
      </c>
      <c r="E445" s="292">
        <v>0</v>
      </c>
      <c r="F445" s="139">
        <f t="shared" si="41"/>
        <v>364</v>
      </c>
      <c r="G445" s="292">
        <v>101</v>
      </c>
      <c r="H445" s="292">
        <v>0</v>
      </c>
      <c r="I445" s="139">
        <f t="shared" si="42"/>
        <v>101</v>
      </c>
      <c r="J445" s="266">
        <f t="shared" si="43"/>
        <v>0.27750000000000002</v>
      </c>
      <c r="K445" s="136">
        <f t="shared" si="38"/>
        <v>0</v>
      </c>
      <c r="L445" s="136">
        <f t="shared" si="39"/>
        <v>0</v>
      </c>
      <c r="M445" s="136">
        <f t="shared" si="40"/>
        <v>0</v>
      </c>
      <c r="O445" s="134"/>
      <c r="P445" s="259"/>
    </row>
    <row r="446" spans="1:16">
      <c r="A446" s="134">
        <v>265</v>
      </c>
      <c r="B446" s="259" t="s">
        <v>1895</v>
      </c>
      <c r="C446" s="129" t="s">
        <v>1896</v>
      </c>
      <c r="D446" s="292">
        <v>476</v>
      </c>
      <c r="E446" s="292">
        <v>0</v>
      </c>
      <c r="F446" s="139">
        <f t="shared" si="41"/>
        <v>476</v>
      </c>
      <c r="G446" s="292">
        <v>129</v>
      </c>
      <c r="H446" s="292">
        <v>0</v>
      </c>
      <c r="I446" s="139">
        <f t="shared" si="42"/>
        <v>129</v>
      </c>
      <c r="J446" s="266">
        <f t="shared" si="43"/>
        <v>0.27100000000000002</v>
      </c>
      <c r="K446" s="136">
        <f t="shared" si="38"/>
        <v>0</v>
      </c>
      <c r="L446" s="136">
        <f t="shared" si="39"/>
        <v>0</v>
      </c>
      <c r="M446" s="136">
        <f t="shared" si="40"/>
        <v>0</v>
      </c>
      <c r="O446" s="134"/>
      <c r="P446" s="259"/>
    </row>
    <row r="447" spans="1:16">
      <c r="A447" s="134">
        <v>265</v>
      </c>
      <c r="B447" s="259" t="s">
        <v>1897</v>
      </c>
      <c r="C447" s="129" t="s">
        <v>1898</v>
      </c>
      <c r="D447" s="292">
        <v>405</v>
      </c>
      <c r="E447" s="292">
        <v>0</v>
      </c>
      <c r="F447" s="139">
        <f t="shared" si="41"/>
        <v>405</v>
      </c>
      <c r="G447" s="292">
        <v>128</v>
      </c>
      <c r="H447" s="292">
        <v>0</v>
      </c>
      <c r="I447" s="139">
        <f t="shared" si="42"/>
        <v>128</v>
      </c>
      <c r="J447" s="266">
        <f t="shared" si="43"/>
        <v>0.316</v>
      </c>
      <c r="K447" s="136">
        <f t="shared" si="38"/>
        <v>0</v>
      </c>
      <c r="L447" s="136">
        <f t="shared" si="39"/>
        <v>0</v>
      </c>
      <c r="M447" s="136">
        <f t="shared" si="40"/>
        <v>0</v>
      </c>
      <c r="O447" s="134"/>
      <c r="P447" s="259"/>
    </row>
    <row r="448" spans="1:16">
      <c r="A448" s="134">
        <v>265</v>
      </c>
      <c r="B448" s="259" t="s">
        <v>1899</v>
      </c>
      <c r="C448" s="129" t="s">
        <v>1900</v>
      </c>
      <c r="D448" s="292">
        <v>584</v>
      </c>
      <c r="E448" s="292">
        <v>0</v>
      </c>
      <c r="F448" s="139">
        <f t="shared" si="41"/>
        <v>584</v>
      </c>
      <c r="G448" s="292">
        <v>100</v>
      </c>
      <c r="H448" s="292">
        <v>0</v>
      </c>
      <c r="I448" s="139">
        <f t="shared" si="42"/>
        <v>100</v>
      </c>
      <c r="J448" s="266">
        <f t="shared" si="43"/>
        <v>0.17119999999999999</v>
      </c>
      <c r="K448" s="136">
        <f t="shared" si="38"/>
        <v>0</v>
      </c>
      <c r="L448" s="136">
        <f t="shared" si="39"/>
        <v>0</v>
      </c>
      <c r="M448" s="136">
        <f t="shared" si="40"/>
        <v>0</v>
      </c>
      <c r="O448" s="134"/>
      <c r="P448" s="259"/>
    </row>
    <row r="449" spans="1:16">
      <c r="A449" s="134">
        <v>265</v>
      </c>
      <c r="B449" s="259" t="s">
        <v>1901</v>
      </c>
      <c r="C449" s="129" t="s">
        <v>1902</v>
      </c>
      <c r="D449" s="292">
        <v>1001</v>
      </c>
      <c r="E449" s="292">
        <v>0</v>
      </c>
      <c r="F449" s="139">
        <f t="shared" si="41"/>
        <v>1001</v>
      </c>
      <c r="G449" s="292">
        <v>272</v>
      </c>
      <c r="H449" s="292">
        <v>0</v>
      </c>
      <c r="I449" s="139">
        <f t="shared" si="42"/>
        <v>272</v>
      </c>
      <c r="J449" s="266">
        <f t="shared" si="43"/>
        <v>0.2717</v>
      </c>
      <c r="K449" s="136">
        <f t="shared" si="38"/>
        <v>0</v>
      </c>
      <c r="L449" s="136">
        <f t="shared" si="39"/>
        <v>0</v>
      </c>
      <c r="M449" s="136">
        <f t="shared" si="40"/>
        <v>0</v>
      </c>
      <c r="O449" s="134"/>
      <c r="P449" s="259"/>
    </row>
    <row r="450" spans="1:16">
      <c r="A450" s="134">
        <v>265</v>
      </c>
      <c r="B450" s="259" t="s">
        <v>1903</v>
      </c>
      <c r="C450" s="129" t="s">
        <v>1904</v>
      </c>
      <c r="D450" s="292">
        <v>498</v>
      </c>
      <c r="E450" s="292">
        <v>0</v>
      </c>
      <c r="F450" s="139">
        <f t="shared" si="41"/>
        <v>498</v>
      </c>
      <c r="G450" s="292">
        <v>118</v>
      </c>
      <c r="H450" s="292">
        <v>0</v>
      </c>
      <c r="I450" s="139">
        <f t="shared" si="42"/>
        <v>118</v>
      </c>
      <c r="J450" s="266">
        <f t="shared" si="43"/>
        <v>0.2369</v>
      </c>
      <c r="K450" s="136">
        <f t="shared" si="38"/>
        <v>0</v>
      </c>
      <c r="L450" s="136">
        <f t="shared" si="39"/>
        <v>0</v>
      </c>
      <c r="M450" s="136">
        <f t="shared" si="40"/>
        <v>0</v>
      </c>
      <c r="O450" s="134"/>
      <c r="P450" s="259"/>
    </row>
    <row r="451" spans="1:16">
      <c r="A451" s="134">
        <v>265</v>
      </c>
      <c r="B451" s="259" t="s">
        <v>1905</v>
      </c>
      <c r="C451" s="129" t="s">
        <v>1906</v>
      </c>
      <c r="D451" s="292">
        <v>535</v>
      </c>
      <c r="E451" s="292">
        <v>0</v>
      </c>
      <c r="F451" s="139">
        <f t="shared" si="41"/>
        <v>535</v>
      </c>
      <c r="G451" s="292">
        <v>108</v>
      </c>
      <c r="H451" s="292">
        <v>0</v>
      </c>
      <c r="I451" s="139">
        <f t="shared" si="42"/>
        <v>108</v>
      </c>
      <c r="J451" s="266">
        <f t="shared" si="43"/>
        <v>0.2019</v>
      </c>
      <c r="K451" s="136">
        <f t="shared" si="38"/>
        <v>0</v>
      </c>
      <c r="L451" s="136">
        <f t="shared" si="39"/>
        <v>0</v>
      </c>
      <c r="M451" s="136">
        <f t="shared" si="40"/>
        <v>0</v>
      </c>
      <c r="O451" s="134"/>
      <c r="P451" s="259"/>
    </row>
    <row r="452" spans="1:16">
      <c r="A452" s="134">
        <v>265</v>
      </c>
      <c r="B452" s="259" t="s">
        <v>1907</v>
      </c>
      <c r="C452" s="129" t="s">
        <v>1908</v>
      </c>
      <c r="D452" s="292">
        <v>419</v>
      </c>
      <c r="E452" s="292">
        <v>0</v>
      </c>
      <c r="F452" s="139">
        <f t="shared" si="41"/>
        <v>419</v>
      </c>
      <c r="G452" s="292">
        <v>99</v>
      </c>
      <c r="H452" s="292">
        <v>0</v>
      </c>
      <c r="I452" s="139">
        <f t="shared" si="42"/>
        <v>99</v>
      </c>
      <c r="J452" s="266">
        <f t="shared" si="43"/>
        <v>0.23630000000000001</v>
      </c>
      <c r="K452" s="136">
        <f t="shared" si="38"/>
        <v>0</v>
      </c>
      <c r="L452" s="136">
        <f t="shared" si="39"/>
        <v>0</v>
      </c>
      <c r="M452" s="136">
        <f t="shared" si="40"/>
        <v>0</v>
      </c>
      <c r="O452" s="134"/>
      <c r="P452" s="259"/>
    </row>
    <row r="453" spans="1:16">
      <c r="A453" s="134">
        <v>265</v>
      </c>
      <c r="B453" s="259" t="s">
        <v>1909</v>
      </c>
      <c r="C453" s="129" t="s">
        <v>1910</v>
      </c>
      <c r="D453" s="292">
        <v>519</v>
      </c>
      <c r="E453" s="292">
        <v>0</v>
      </c>
      <c r="F453" s="139">
        <f t="shared" si="41"/>
        <v>519</v>
      </c>
      <c r="G453" s="292">
        <v>115</v>
      </c>
      <c r="H453" s="292">
        <v>0</v>
      </c>
      <c r="I453" s="139">
        <f t="shared" si="42"/>
        <v>115</v>
      </c>
      <c r="J453" s="266">
        <f t="shared" si="43"/>
        <v>0.22159999999999999</v>
      </c>
      <c r="K453" s="136">
        <f t="shared" ref="K453:K516" si="44">IF(AND((J453-35%)&gt;0,J453&lt;50%),I453*(J453-35%)*0.7,0)</f>
        <v>0</v>
      </c>
      <c r="L453" s="136">
        <f t="shared" ref="L453:L516" si="45">IF(J453&gt;=50%,I453*10.5%,0)</f>
        <v>0</v>
      </c>
      <c r="M453" s="136">
        <f t="shared" ref="M453:M516" si="46">MAX(K453,L453)</f>
        <v>0</v>
      </c>
      <c r="O453" s="134"/>
      <c r="P453" s="259"/>
    </row>
    <row r="454" spans="1:16">
      <c r="A454" s="134">
        <v>265</v>
      </c>
      <c r="B454" s="259" t="s">
        <v>1911</v>
      </c>
      <c r="C454" s="129" t="s">
        <v>1912</v>
      </c>
      <c r="D454" s="292">
        <v>990</v>
      </c>
      <c r="E454" s="292">
        <v>0</v>
      </c>
      <c r="F454" s="139">
        <f t="shared" ref="F454:F517" si="47">D454+E454</f>
        <v>990</v>
      </c>
      <c r="G454" s="292">
        <v>185</v>
      </c>
      <c r="H454" s="292">
        <v>0</v>
      </c>
      <c r="I454" s="139">
        <f t="shared" ref="I454:I517" si="48">G454+H454</f>
        <v>185</v>
      </c>
      <c r="J454" s="266">
        <f t="shared" ref="J454:J517" si="49">IF(ISERROR(I454/F454),0,I454/F454)</f>
        <v>0.18690000000000001</v>
      </c>
      <c r="K454" s="136">
        <f t="shared" si="44"/>
        <v>0</v>
      </c>
      <c r="L454" s="136">
        <f t="shared" si="45"/>
        <v>0</v>
      </c>
      <c r="M454" s="136">
        <f t="shared" si="46"/>
        <v>0</v>
      </c>
      <c r="O454" s="134"/>
      <c r="P454" s="259"/>
    </row>
    <row r="455" spans="1:16">
      <c r="A455" s="134">
        <v>265</v>
      </c>
      <c r="B455" s="259" t="s">
        <v>3997</v>
      </c>
      <c r="C455" s="129" t="s">
        <v>3998</v>
      </c>
      <c r="D455" s="292">
        <v>0</v>
      </c>
      <c r="E455" s="292">
        <v>0</v>
      </c>
      <c r="F455" s="139">
        <f t="shared" si="47"/>
        <v>0</v>
      </c>
      <c r="G455" s="292">
        <v>0</v>
      </c>
      <c r="H455" s="292">
        <v>0</v>
      </c>
      <c r="I455" s="139">
        <f t="shared" si="48"/>
        <v>0</v>
      </c>
      <c r="J455" s="266">
        <f t="shared" si="49"/>
        <v>0</v>
      </c>
      <c r="K455" s="136">
        <f t="shared" si="44"/>
        <v>0</v>
      </c>
      <c r="L455" s="136">
        <f t="shared" si="45"/>
        <v>0</v>
      </c>
      <c r="M455" s="136">
        <f t="shared" si="46"/>
        <v>0</v>
      </c>
      <c r="O455" s="134"/>
      <c r="P455" s="259"/>
    </row>
    <row r="456" spans="1:16">
      <c r="A456" s="134">
        <v>266</v>
      </c>
      <c r="B456" s="259" t="s">
        <v>1913</v>
      </c>
      <c r="C456" s="129" t="s">
        <v>1914</v>
      </c>
      <c r="D456" s="292">
        <v>493</v>
      </c>
      <c r="E456" s="292">
        <v>0</v>
      </c>
      <c r="F456" s="139">
        <f t="shared" si="47"/>
        <v>493</v>
      </c>
      <c r="G456" s="292">
        <v>131</v>
      </c>
      <c r="H456" s="292">
        <v>0</v>
      </c>
      <c r="I456" s="139">
        <f t="shared" si="48"/>
        <v>131</v>
      </c>
      <c r="J456" s="266">
        <f t="shared" si="49"/>
        <v>0.26569999999999999</v>
      </c>
      <c r="K456" s="136">
        <f t="shared" si="44"/>
        <v>0</v>
      </c>
      <c r="L456" s="136">
        <f t="shared" si="45"/>
        <v>0</v>
      </c>
      <c r="M456" s="136">
        <f t="shared" si="46"/>
        <v>0</v>
      </c>
      <c r="O456" s="134"/>
      <c r="P456" s="259"/>
    </row>
    <row r="457" spans="1:16">
      <c r="A457" s="134">
        <v>266</v>
      </c>
      <c r="B457" s="259" t="s">
        <v>1915</v>
      </c>
      <c r="C457" s="129" t="s">
        <v>1916</v>
      </c>
      <c r="D457" s="292">
        <v>671</v>
      </c>
      <c r="E457" s="292">
        <v>0</v>
      </c>
      <c r="F457" s="139">
        <f t="shared" si="47"/>
        <v>671</v>
      </c>
      <c r="G457" s="292">
        <v>191</v>
      </c>
      <c r="H457" s="292">
        <v>0</v>
      </c>
      <c r="I457" s="139">
        <f t="shared" si="48"/>
        <v>191</v>
      </c>
      <c r="J457" s="266">
        <f t="shared" si="49"/>
        <v>0.28460000000000002</v>
      </c>
      <c r="K457" s="136">
        <f t="shared" si="44"/>
        <v>0</v>
      </c>
      <c r="L457" s="136">
        <f t="shared" si="45"/>
        <v>0</v>
      </c>
      <c r="M457" s="136">
        <f t="shared" si="46"/>
        <v>0</v>
      </c>
      <c r="O457" s="134"/>
      <c r="P457" s="259"/>
    </row>
    <row r="458" spans="1:16">
      <c r="A458" s="134">
        <v>266</v>
      </c>
      <c r="B458" s="259" t="s">
        <v>1917</v>
      </c>
      <c r="C458" s="129" t="s">
        <v>1918</v>
      </c>
      <c r="D458" s="292">
        <v>520</v>
      </c>
      <c r="E458" s="292">
        <v>0</v>
      </c>
      <c r="F458" s="139">
        <f t="shared" si="47"/>
        <v>520</v>
      </c>
      <c r="G458" s="292">
        <v>127</v>
      </c>
      <c r="H458" s="292">
        <v>0</v>
      </c>
      <c r="I458" s="139">
        <f t="shared" si="48"/>
        <v>127</v>
      </c>
      <c r="J458" s="266">
        <f t="shared" si="49"/>
        <v>0.2442</v>
      </c>
      <c r="K458" s="136">
        <f t="shared" si="44"/>
        <v>0</v>
      </c>
      <c r="L458" s="136">
        <f t="shared" si="45"/>
        <v>0</v>
      </c>
      <c r="M458" s="136">
        <f t="shared" si="46"/>
        <v>0</v>
      </c>
      <c r="O458" s="134"/>
      <c r="P458" s="259"/>
    </row>
    <row r="459" spans="1:16">
      <c r="A459" s="134">
        <v>266</v>
      </c>
      <c r="B459" s="259" t="s">
        <v>1919</v>
      </c>
      <c r="C459" s="129" t="s">
        <v>1920</v>
      </c>
      <c r="D459" s="292">
        <v>420</v>
      </c>
      <c r="E459" s="292">
        <v>0</v>
      </c>
      <c r="F459" s="139">
        <f t="shared" si="47"/>
        <v>420</v>
      </c>
      <c r="G459" s="292">
        <v>119</v>
      </c>
      <c r="H459" s="292">
        <v>0</v>
      </c>
      <c r="I459" s="139">
        <f t="shared" si="48"/>
        <v>119</v>
      </c>
      <c r="J459" s="266">
        <f t="shared" si="49"/>
        <v>0.2833</v>
      </c>
      <c r="K459" s="136">
        <f t="shared" si="44"/>
        <v>0</v>
      </c>
      <c r="L459" s="136">
        <f t="shared" si="45"/>
        <v>0</v>
      </c>
      <c r="M459" s="136">
        <f t="shared" si="46"/>
        <v>0</v>
      </c>
      <c r="O459" s="134"/>
      <c r="P459" s="259"/>
    </row>
    <row r="460" spans="1:16">
      <c r="A460" s="134">
        <v>266</v>
      </c>
      <c r="B460" s="259" t="s">
        <v>1921</v>
      </c>
      <c r="C460" s="129" t="s">
        <v>1922</v>
      </c>
      <c r="D460" s="292">
        <v>523</v>
      </c>
      <c r="E460" s="292">
        <v>0</v>
      </c>
      <c r="F460" s="139">
        <f t="shared" si="47"/>
        <v>523</v>
      </c>
      <c r="G460" s="292">
        <v>128</v>
      </c>
      <c r="H460" s="292">
        <v>0</v>
      </c>
      <c r="I460" s="139">
        <f t="shared" si="48"/>
        <v>128</v>
      </c>
      <c r="J460" s="266">
        <f t="shared" si="49"/>
        <v>0.2447</v>
      </c>
      <c r="K460" s="136">
        <f t="shared" si="44"/>
        <v>0</v>
      </c>
      <c r="L460" s="136">
        <f t="shared" si="45"/>
        <v>0</v>
      </c>
      <c r="M460" s="136">
        <f t="shared" si="46"/>
        <v>0</v>
      </c>
      <c r="O460" s="134"/>
      <c r="P460" s="259"/>
    </row>
    <row r="461" spans="1:16">
      <c r="A461" s="134">
        <v>266</v>
      </c>
      <c r="B461" s="259" t="s">
        <v>1923</v>
      </c>
      <c r="C461" s="129" t="s">
        <v>1924</v>
      </c>
      <c r="D461" s="292">
        <v>1391</v>
      </c>
      <c r="E461" s="292">
        <v>0</v>
      </c>
      <c r="F461" s="139">
        <f t="shared" si="47"/>
        <v>1391</v>
      </c>
      <c r="G461" s="292">
        <v>301</v>
      </c>
      <c r="H461" s="292">
        <v>0</v>
      </c>
      <c r="I461" s="139">
        <f t="shared" si="48"/>
        <v>301</v>
      </c>
      <c r="J461" s="266">
        <f t="shared" si="49"/>
        <v>0.21640000000000001</v>
      </c>
      <c r="K461" s="136">
        <f t="shared" si="44"/>
        <v>0</v>
      </c>
      <c r="L461" s="136">
        <f t="shared" si="45"/>
        <v>0</v>
      </c>
      <c r="M461" s="136">
        <f t="shared" si="46"/>
        <v>0</v>
      </c>
      <c r="O461" s="134"/>
      <c r="P461" s="259"/>
    </row>
    <row r="462" spans="1:16">
      <c r="A462" s="134">
        <v>266</v>
      </c>
      <c r="B462" s="259" t="s">
        <v>1925</v>
      </c>
      <c r="C462" s="129" t="s">
        <v>1926</v>
      </c>
      <c r="D462" s="292">
        <v>545</v>
      </c>
      <c r="E462" s="292">
        <v>0</v>
      </c>
      <c r="F462" s="139">
        <f t="shared" si="47"/>
        <v>545</v>
      </c>
      <c r="G462" s="292">
        <v>131</v>
      </c>
      <c r="H462" s="292">
        <v>0</v>
      </c>
      <c r="I462" s="139">
        <f t="shared" si="48"/>
        <v>131</v>
      </c>
      <c r="J462" s="266">
        <f t="shared" si="49"/>
        <v>0.2404</v>
      </c>
      <c r="K462" s="136">
        <f t="shared" si="44"/>
        <v>0</v>
      </c>
      <c r="L462" s="136">
        <f t="shared" si="45"/>
        <v>0</v>
      </c>
      <c r="M462" s="136">
        <f t="shared" si="46"/>
        <v>0</v>
      </c>
      <c r="O462" s="134"/>
      <c r="P462" s="259"/>
    </row>
    <row r="463" spans="1:16">
      <c r="A463" s="134">
        <v>266</v>
      </c>
      <c r="B463" s="259" t="s">
        <v>1927</v>
      </c>
      <c r="C463" s="129" t="s">
        <v>1928</v>
      </c>
      <c r="D463" s="292">
        <v>1122</v>
      </c>
      <c r="E463" s="292">
        <v>0</v>
      </c>
      <c r="F463" s="139">
        <f t="shared" si="47"/>
        <v>1122</v>
      </c>
      <c r="G463" s="292">
        <v>231</v>
      </c>
      <c r="H463" s="292">
        <v>0</v>
      </c>
      <c r="I463" s="139">
        <f t="shared" si="48"/>
        <v>231</v>
      </c>
      <c r="J463" s="266">
        <f t="shared" si="49"/>
        <v>0.2059</v>
      </c>
      <c r="K463" s="136">
        <f t="shared" si="44"/>
        <v>0</v>
      </c>
      <c r="L463" s="136">
        <f t="shared" si="45"/>
        <v>0</v>
      </c>
      <c r="M463" s="136">
        <f t="shared" si="46"/>
        <v>0</v>
      </c>
      <c r="O463" s="134"/>
      <c r="P463" s="259"/>
    </row>
    <row r="464" spans="1:16">
      <c r="A464" s="134">
        <v>266</v>
      </c>
      <c r="B464" s="259" t="s">
        <v>1929</v>
      </c>
      <c r="C464" s="129" t="s">
        <v>1930</v>
      </c>
      <c r="D464" s="292">
        <v>692</v>
      </c>
      <c r="E464" s="292">
        <v>0</v>
      </c>
      <c r="F464" s="139">
        <f t="shared" si="47"/>
        <v>692</v>
      </c>
      <c r="G464" s="292">
        <v>187</v>
      </c>
      <c r="H464" s="292">
        <v>0</v>
      </c>
      <c r="I464" s="139">
        <f t="shared" si="48"/>
        <v>187</v>
      </c>
      <c r="J464" s="266">
        <f t="shared" si="49"/>
        <v>0.2702</v>
      </c>
      <c r="K464" s="136">
        <f t="shared" si="44"/>
        <v>0</v>
      </c>
      <c r="L464" s="136">
        <f t="shared" si="45"/>
        <v>0</v>
      </c>
      <c r="M464" s="136">
        <f t="shared" si="46"/>
        <v>0</v>
      </c>
      <c r="O464" s="134"/>
      <c r="P464" s="259"/>
    </row>
    <row r="465" spans="1:16">
      <c r="A465" s="134">
        <v>266</v>
      </c>
      <c r="B465" s="259" t="s">
        <v>3999</v>
      </c>
      <c r="C465" s="129" t="s">
        <v>4000</v>
      </c>
      <c r="D465" s="292">
        <v>0</v>
      </c>
      <c r="E465" s="292">
        <v>0</v>
      </c>
      <c r="F465" s="139">
        <f t="shared" si="47"/>
        <v>0</v>
      </c>
      <c r="G465" s="292">
        <v>0</v>
      </c>
      <c r="H465" s="292">
        <v>0</v>
      </c>
      <c r="I465" s="139">
        <f t="shared" si="48"/>
        <v>0</v>
      </c>
      <c r="J465" s="266">
        <f t="shared" si="49"/>
        <v>0</v>
      </c>
      <c r="K465" s="136">
        <f t="shared" si="44"/>
        <v>0</v>
      </c>
      <c r="L465" s="136">
        <f t="shared" si="45"/>
        <v>0</v>
      </c>
      <c r="M465" s="136">
        <f t="shared" si="46"/>
        <v>0</v>
      </c>
      <c r="O465" s="134"/>
      <c r="P465" s="259"/>
    </row>
    <row r="466" spans="1:16">
      <c r="A466" s="134">
        <v>266</v>
      </c>
      <c r="B466" s="259" t="s">
        <v>1931</v>
      </c>
      <c r="C466" s="129" t="s">
        <v>1932</v>
      </c>
      <c r="D466" s="292">
        <v>644</v>
      </c>
      <c r="E466" s="292">
        <v>0</v>
      </c>
      <c r="F466" s="139">
        <f t="shared" si="47"/>
        <v>644</v>
      </c>
      <c r="G466" s="292">
        <v>176</v>
      </c>
      <c r="H466" s="292">
        <v>0</v>
      </c>
      <c r="I466" s="139">
        <f t="shared" si="48"/>
        <v>176</v>
      </c>
      <c r="J466" s="266">
        <f t="shared" si="49"/>
        <v>0.27329999999999999</v>
      </c>
      <c r="K466" s="136">
        <f t="shared" si="44"/>
        <v>0</v>
      </c>
      <c r="L466" s="136">
        <f t="shared" si="45"/>
        <v>0</v>
      </c>
      <c r="M466" s="136">
        <f t="shared" si="46"/>
        <v>0</v>
      </c>
      <c r="O466" s="134"/>
      <c r="P466" s="259"/>
    </row>
    <row r="467" spans="1:16">
      <c r="A467" s="134">
        <v>266</v>
      </c>
      <c r="B467" s="259" t="s">
        <v>1933</v>
      </c>
      <c r="C467" s="129" t="s">
        <v>1934</v>
      </c>
      <c r="D467" s="292">
        <v>454</v>
      </c>
      <c r="E467" s="292">
        <v>0</v>
      </c>
      <c r="F467" s="139">
        <f t="shared" si="47"/>
        <v>454</v>
      </c>
      <c r="G467" s="292">
        <v>90</v>
      </c>
      <c r="H467" s="292">
        <v>0</v>
      </c>
      <c r="I467" s="139">
        <f t="shared" si="48"/>
        <v>90</v>
      </c>
      <c r="J467" s="266">
        <f t="shared" si="49"/>
        <v>0.19819999999999999</v>
      </c>
      <c r="K467" s="136">
        <f t="shared" si="44"/>
        <v>0</v>
      </c>
      <c r="L467" s="136">
        <f t="shared" si="45"/>
        <v>0</v>
      </c>
      <c r="M467" s="136">
        <f t="shared" si="46"/>
        <v>0</v>
      </c>
      <c r="O467" s="134"/>
      <c r="P467" s="259"/>
    </row>
    <row r="468" spans="1:16">
      <c r="A468" s="134">
        <v>267</v>
      </c>
      <c r="B468" s="259" t="s">
        <v>1935</v>
      </c>
      <c r="C468" s="129" t="s">
        <v>1936</v>
      </c>
      <c r="D468" s="292">
        <v>433</v>
      </c>
      <c r="E468" s="292">
        <v>0</v>
      </c>
      <c r="F468" s="139">
        <f t="shared" si="47"/>
        <v>433</v>
      </c>
      <c r="G468" s="292">
        <v>39</v>
      </c>
      <c r="H468" s="292">
        <v>0</v>
      </c>
      <c r="I468" s="139">
        <f t="shared" si="48"/>
        <v>39</v>
      </c>
      <c r="J468" s="266">
        <f t="shared" si="49"/>
        <v>9.01E-2</v>
      </c>
      <c r="K468" s="136">
        <f t="shared" si="44"/>
        <v>0</v>
      </c>
      <c r="L468" s="136">
        <f t="shared" si="45"/>
        <v>0</v>
      </c>
      <c r="M468" s="136">
        <f t="shared" si="46"/>
        <v>0</v>
      </c>
      <c r="O468" s="134"/>
      <c r="P468" s="259"/>
    </row>
    <row r="469" spans="1:16">
      <c r="A469" s="134">
        <v>267</v>
      </c>
      <c r="B469" s="259" t="s">
        <v>1937</v>
      </c>
      <c r="C469" s="129" t="s">
        <v>1938</v>
      </c>
      <c r="D469" s="292">
        <v>383</v>
      </c>
      <c r="E469" s="292">
        <v>0</v>
      </c>
      <c r="F469" s="139">
        <f t="shared" si="47"/>
        <v>383</v>
      </c>
      <c r="G469" s="292">
        <v>35</v>
      </c>
      <c r="H469" s="292">
        <v>0</v>
      </c>
      <c r="I469" s="139">
        <f t="shared" si="48"/>
        <v>35</v>
      </c>
      <c r="J469" s="266">
        <f t="shared" si="49"/>
        <v>9.1399999999999995E-2</v>
      </c>
      <c r="K469" s="136">
        <f t="shared" si="44"/>
        <v>0</v>
      </c>
      <c r="L469" s="136">
        <f t="shared" si="45"/>
        <v>0</v>
      </c>
      <c r="M469" s="136">
        <f t="shared" si="46"/>
        <v>0</v>
      </c>
      <c r="O469" s="134"/>
      <c r="P469" s="259"/>
    </row>
    <row r="470" spans="1:16">
      <c r="A470" s="134">
        <v>267</v>
      </c>
      <c r="B470" s="259" t="s">
        <v>1939</v>
      </c>
      <c r="C470" s="129" t="s">
        <v>1940</v>
      </c>
      <c r="D470" s="292">
        <v>213</v>
      </c>
      <c r="E470" s="292">
        <v>0</v>
      </c>
      <c r="F470" s="139">
        <f t="shared" si="47"/>
        <v>213</v>
      </c>
      <c r="G470" s="292">
        <v>62</v>
      </c>
      <c r="H470" s="292">
        <v>0</v>
      </c>
      <c r="I470" s="139">
        <f t="shared" si="48"/>
        <v>62</v>
      </c>
      <c r="J470" s="266">
        <f t="shared" si="49"/>
        <v>0.29110000000000003</v>
      </c>
      <c r="K470" s="136">
        <f t="shared" si="44"/>
        <v>0</v>
      </c>
      <c r="L470" s="136">
        <f t="shared" si="45"/>
        <v>0</v>
      </c>
      <c r="M470" s="136">
        <f t="shared" si="46"/>
        <v>0</v>
      </c>
      <c r="O470" s="134"/>
      <c r="P470" s="259"/>
    </row>
    <row r="471" spans="1:16">
      <c r="A471" s="134">
        <v>267</v>
      </c>
      <c r="B471" s="259" t="s">
        <v>1941</v>
      </c>
      <c r="C471" s="129" t="s">
        <v>1942</v>
      </c>
      <c r="D471" s="292">
        <v>447</v>
      </c>
      <c r="E471" s="292">
        <v>0</v>
      </c>
      <c r="F471" s="139">
        <f t="shared" si="47"/>
        <v>447</v>
      </c>
      <c r="G471" s="292">
        <v>50</v>
      </c>
      <c r="H471" s="292">
        <v>0</v>
      </c>
      <c r="I471" s="139">
        <f t="shared" si="48"/>
        <v>50</v>
      </c>
      <c r="J471" s="266">
        <f t="shared" si="49"/>
        <v>0.1119</v>
      </c>
      <c r="K471" s="136">
        <f t="shared" si="44"/>
        <v>0</v>
      </c>
      <c r="L471" s="136">
        <f t="shared" si="45"/>
        <v>0</v>
      </c>
      <c r="M471" s="136">
        <f t="shared" si="46"/>
        <v>0</v>
      </c>
      <c r="O471" s="134"/>
      <c r="P471" s="259"/>
    </row>
    <row r="472" spans="1:16">
      <c r="A472" s="134">
        <v>267</v>
      </c>
      <c r="B472" s="259" t="s">
        <v>1943</v>
      </c>
      <c r="C472" s="129" t="s">
        <v>1944</v>
      </c>
      <c r="D472" s="292">
        <v>167</v>
      </c>
      <c r="E472" s="292">
        <v>0</v>
      </c>
      <c r="F472" s="139">
        <f t="shared" si="47"/>
        <v>167</v>
      </c>
      <c r="G472" s="292">
        <v>21</v>
      </c>
      <c r="H472" s="292">
        <v>0</v>
      </c>
      <c r="I472" s="139">
        <f t="shared" si="48"/>
        <v>21</v>
      </c>
      <c r="J472" s="266">
        <f t="shared" si="49"/>
        <v>0.12570000000000001</v>
      </c>
      <c r="K472" s="136">
        <f t="shared" si="44"/>
        <v>0</v>
      </c>
      <c r="L472" s="136">
        <f t="shared" si="45"/>
        <v>0</v>
      </c>
      <c r="M472" s="136">
        <f t="shared" si="46"/>
        <v>0</v>
      </c>
      <c r="O472" s="134"/>
      <c r="P472" s="259"/>
    </row>
    <row r="473" spans="1:16">
      <c r="A473" s="134">
        <v>267</v>
      </c>
      <c r="B473" s="259" t="s">
        <v>1945</v>
      </c>
      <c r="C473" s="129" t="s">
        <v>1946</v>
      </c>
      <c r="D473" s="292">
        <v>323</v>
      </c>
      <c r="E473" s="292">
        <v>0</v>
      </c>
      <c r="F473" s="139">
        <f t="shared" si="47"/>
        <v>323</v>
      </c>
      <c r="G473" s="292">
        <v>35</v>
      </c>
      <c r="H473" s="292">
        <v>0</v>
      </c>
      <c r="I473" s="139">
        <f t="shared" si="48"/>
        <v>35</v>
      </c>
      <c r="J473" s="266">
        <f t="shared" si="49"/>
        <v>0.1084</v>
      </c>
      <c r="K473" s="136">
        <f t="shared" si="44"/>
        <v>0</v>
      </c>
      <c r="L473" s="136">
        <f t="shared" si="45"/>
        <v>0</v>
      </c>
      <c r="M473" s="136">
        <f t="shared" si="46"/>
        <v>0</v>
      </c>
      <c r="O473" s="134"/>
      <c r="P473" s="259"/>
    </row>
    <row r="474" spans="1:16">
      <c r="A474" s="134">
        <v>268</v>
      </c>
      <c r="B474" s="259" t="s">
        <v>1947</v>
      </c>
      <c r="C474" s="129" t="s">
        <v>1948</v>
      </c>
      <c r="D474" s="292">
        <v>361</v>
      </c>
      <c r="E474" s="292">
        <v>0</v>
      </c>
      <c r="F474" s="139">
        <f t="shared" si="47"/>
        <v>361</v>
      </c>
      <c r="G474" s="292">
        <v>116</v>
      </c>
      <c r="H474" s="292">
        <v>0</v>
      </c>
      <c r="I474" s="139">
        <f t="shared" si="48"/>
        <v>116</v>
      </c>
      <c r="J474" s="266">
        <f t="shared" si="49"/>
        <v>0.32129999999999997</v>
      </c>
      <c r="K474" s="136">
        <f t="shared" si="44"/>
        <v>0</v>
      </c>
      <c r="L474" s="136">
        <f t="shared" si="45"/>
        <v>0</v>
      </c>
      <c r="M474" s="136">
        <f t="shared" si="46"/>
        <v>0</v>
      </c>
      <c r="O474" s="134"/>
      <c r="P474" s="259"/>
    </row>
    <row r="475" spans="1:16">
      <c r="A475" s="134">
        <v>268</v>
      </c>
      <c r="B475" s="259" t="s">
        <v>1949</v>
      </c>
      <c r="C475" s="129" t="s">
        <v>1950</v>
      </c>
      <c r="D475" s="292">
        <v>178</v>
      </c>
      <c r="E475" s="292">
        <v>0</v>
      </c>
      <c r="F475" s="139">
        <f t="shared" si="47"/>
        <v>178</v>
      </c>
      <c r="G475" s="292">
        <v>43</v>
      </c>
      <c r="H475" s="292">
        <v>0</v>
      </c>
      <c r="I475" s="139">
        <f t="shared" si="48"/>
        <v>43</v>
      </c>
      <c r="J475" s="266">
        <f t="shared" si="49"/>
        <v>0.24160000000000001</v>
      </c>
      <c r="K475" s="136">
        <f t="shared" si="44"/>
        <v>0</v>
      </c>
      <c r="L475" s="136">
        <f t="shared" si="45"/>
        <v>0</v>
      </c>
      <c r="M475" s="136">
        <f t="shared" si="46"/>
        <v>0</v>
      </c>
      <c r="O475" s="134"/>
      <c r="P475" s="259"/>
    </row>
    <row r="476" spans="1:16">
      <c r="A476" s="134">
        <v>268</v>
      </c>
      <c r="B476" s="259" t="s">
        <v>1951</v>
      </c>
      <c r="C476" s="129" t="s">
        <v>1952</v>
      </c>
      <c r="D476" s="292">
        <v>236</v>
      </c>
      <c r="E476" s="292">
        <v>0</v>
      </c>
      <c r="F476" s="139">
        <f t="shared" si="47"/>
        <v>236</v>
      </c>
      <c r="G476" s="292">
        <v>43</v>
      </c>
      <c r="H476" s="292">
        <v>0</v>
      </c>
      <c r="I476" s="139">
        <f t="shared" si="48"/>
        <v>43</v>
      </c>
      <c r="J476" s="266">
        <f t="shared" si="49"/>
        <v>0.1822</v>
      </c>
      <c r="K476" s="136">
        <f t="shared" si="44"/>
        <v>0</v>
      </c>
      <c r="L476" s="136">
        <f t="shared" si="45"/>
        <v>0</v>
      </c>
      <c r="M476" s="136">
        <f t="shared" si="46"/>
        <v>0</v>
      </c>
      <c r="O476" s="134"/>
      <c r="P476" s="259"/>
    </row>
    <row r="477" spans="1:16">
      <c r="A477" s="134">
        <v>269</v>
      </c>
      <c r="B477" s="259" t="s">
        <v>1953</v>
      </c>
      <c r="C477" s="129" t="s">
        <v>1954</v>
      </c>
      <c r="D477" s="292">
        <v>15</v>
      </c>
      <c r="E477" s="292">
        <v>0</v>
      </c>
      <c r="F477" s="139">
        <f t="shared" si="47"/>
        <v>15</v>
      </c>
      <c r="G477" s="292">
        <v>4</v>
      </c>
      <c r="H477" s="292">
        <v>0</v>
      </c>
      <c r="I477" s="139">
        <f t="shared" si="48"/>
        <v>4</v>
      </c>
      <c r="J477" s="266">
        <f t="shared" si="49"/>
        <v>0.26669999999999999</v>
      </c>
      <c r="K477" s="136">
        <f t="shared" si="44"/>
        <v>0</v>
      </c>
      <c r="L477" s="136">
        <f t="shared" si="45"/>
        <v>0</v>
      </c>
      <c r="M477" s="136">
        <f t="shared" si="46"/>
        <v>0</v>
      </c>
      <c r="O477" s="134"/>
      <c r="P477" s="259"/>
    </row>
    <row r="478" spans="1:16">
      <c r="A478" s="134">
        <v>269</v>
      </c>
      <c r="B478" s="259" t="s">
        <v>1955</v>
      </c>
      <c r="C478" s="129" t="s">
        <v>1956</v>
      </c>
      <c r="D478" s="292">
        <v>44</v>
      </c>
      <c r="E478" s="292">
        <v>0</v>
      </c>
      <c r="F478" s="139">
        <f t="shared" si="47"/>
        <v>44</v>
      </c>
      <c r="G478" s="292">
        <v>22</v>
      </c>
      <c r="H478" s="292">
        <v>0</v>
      </c>
      <c r="I478" s="139">
        <f t="shared" si="48"/>
        <v>22</v>
      </c>
      <c r="J478" s="266">
        <f t="shared" si="49"/>
        <v>0.5</v>
      </c>
      <c r="K478" s="136">
        <f t="shared" si="44"/>
        <v>0</v>
      </c>
      <c r="L478" s="136">
        <f t="shared" si="45"/>
        <v>2.2999999999999998</v>
      </c>
      <c r="M478" s="136">
        <f t="shared" si="46"/>
        <v>2.2999999999999998</v>
      </c>
      <c r="O478" s="134"/>
      <c r="P478" s="259"/>
    </row>
    <row r="479" spans="1:16">
      <c r="A479" s="134">
        <v>269</v>
      </c>
      <c r="B479" s="259" t="s">
        <v>1957</v>
      </c>
      <c r="C479" s="129" t="s">
        <v>1958</v>
      </c>
      <c r="D479" s="292">
        <v>20</v>
      </c>
      <c r="E479" s="292">
        <v>0</v>
      </c>
      <c r="F479" s="139">
        <f t="shared" si="47"/>
        <v>20</v>
      </c>
      <c r="G479" s="292">
        <v>4</v>
      </c>
      <c r="H479" s="292">
        <v>0</v>
      </c>
      <c r="I479" s="139">
        <f t="shared" si="48"/>
        <v>4</v>
      </c>
      <c r="J479" s="266">
        <f t="shared" si="49"/>
        <v>0.2</v>
      </c>
      <c r="K479" s="136">
        <f t="shared" si="44"/>
        <v>0</v>
      </c>
      <c r="L479" s="136">
        <f t="shared" si="45"/>
        <v>0</v>
      </c>
      <c r="M479" s="136">
        <f t="shared" si="46"/>
        <v>0</v>
      </c>
      <c r="O479" s="134"/>
      <c r="P479" s="259"/>
    </row>
    <row r="480" spans="1:16">
      <c r="A480" s="134">
        <v>270</v>
      </c>
      <c r="B480" s="259" t="s">
        <v>1959</v>
      </c>
      <c r="C480" s="129" t="s">
        <v>1960</v>
      </c>
      <c r="D480" s="292">
        <v>238</v>
      </c>
      <c r="E480" s="292">
        <v>0</v>
      </c>
      <c r="F480" s="139">
        <f t="shared" si="47"/>
        <v>238</v>
      </c>
      <c r="G480" s="292">
        <v>95</v>
      </c>
      <c r="H480" s="292">
        <v>0</v>
      </c>
      <c r="I480" s="139">
        <f t="shared" si="48"/>
        <v>95</v>
      </c>
      <c r="J480" s="266">
        <f t="shared" si="49"/>
        <v>0.3992</v>
      </c>
      <c r="K480" s="136">
        <f t="shared" si="44"/>
        <v>3.3</v>
      </c>
      <c r="L480" s="136">
        <f t="shared" si="45"/>
        <v>0</v>
      </c>
      <c r="M480" s="136">
        <f t="shared" si="46"/>
        <v>3.3</v>
      </c>
      <c r="O480" s="134"/>
      <c r="P480" s="259"/>
    </row>
    <row r="481" spans="1:16">
      <c r="A481" s="134">
        <v>270</v>
      </c>
      <c r="B481" s="259" t="s">
        <v>1961</v>
      </c>
      <c r="C481" s="129" t="s">
        <v>1962</v>
      </c>
      <c r="D481" s="292">
        <v>172</v>
      </c>
      <c r="E481" s="292">
        <v>0</v>
      </c>
      <c r="F481" s="139">
        <f t="shared" si="47"/>
        <v>172</v>
      </c>
      <c r="G481" s="292">
        <v>57</v>
      </c>
      <c r="H481" s="292">
        <v>0</v>
      </c>
      <c r="I481" s="139">
        <f t="shared" si="48"/>
        <v>57</v>
      </c>
      <c r="J481" s="266">
        <f t="shared" si="49"/>
        <v>0.33139999999999997</v>
      </c>
      <c r="K481" s="136">
        <f t="shared" si="44"/>
        <v>0</v>
      </c>
      <c r="L481" s="136">
        <f t="shared" si="45"/>
        <v>0</v>
      </c>
      <c r="M481" s="136">
        <f t="shared" si="46"/>
        <v>0</v>
      </c>
      <c r="O481" s="134"/>
      <c r="P481" s="259"/>
    </row>
    <row r="482" spans="1:16">
      <c r="A482" s="134">
        <v>271</v>
      </c>
      <c r="B482" s="259" t="s">
        <v>1963</v>
      </c>
      <c r="C482" s="129" t="s">
        <v>1964</v>
      </c>
      <c r="D482" s="292">
        <v>210</v>
      </c>
      <c r="E482" s="292">
        <v>0</v>
      </c>
      <c r="F482" s="139">
        <f t="shared" si="47"/>
        <v>210</v>
      </c>
      <c r="G482" s="292">
        <v>110</v>
      </c>
      <c r="H482" s="292">
        <v>0</v>
      </c>
      <c r="I482" s="139">
        <f t="shared" si="48"/>
        <v>110</v>
      </c>
      <c r="J482" s="266">
        <f t="shared" si="49"/>
        <v>0.52380000000000004</v>
      </c>
      <c r="K482" s="136">
        <f t="shared" si="44"/>
        <v>0</v>
      </c>
      <c r="L482" s="136">
        <f t="shared" si="45"/>
        <v>11.6</v>
      </c>
      <c r="M482" s="136">
        <f t="shared" si="46"/>
        <v>11.6</v>
      </c>
      <c r="O482" s="134"/>
      <c r="P482" s="259"/>
    </row>
    <row r="483" spans="1:16">
      <c r="A483" s="134">
        <v>271</v>
      </c>
      <c r="B483" s="259" t="s">
        <v>1965</v>
      </c>
      <c r="C483" s="129" t="s">
        <v>1966</v>
      </c>
      <c r="D483" s="292">
        <v>78</v>
      </c>
      <c r="E483" s="292">
        <v>0</v>
      </c>
      <c r="F483" s="139">
        <f t="shared" si="47"/>
        <v>78</v>
      </c>
      <c r="G483" s="292">
        <v>32</v>
      </c>
      <c r="H483" s="292">
        <v>0</v>
      </c>
      <c r="I483" s="139">
        <f t="shared" si="48"/>
        <v>32</v>
      </c>
      <c r="J483" s="266">
        <f t="shared" si="49"/>
        <v>0.4103</v>
      </c>
      <c r="K483" s="136">
        <f t="shared" si="44"/>
        <v>1.4</v>
      </c>
      <c r="L483" s="136">
        <f t="shared" si="45"/>
        <v>0</v>
      </c>
      <c r="M483" s="136">
        <f t="shared" si="46"/>
        <v>1.4</v>
      </c>
      <c r="O483" s="134"/>
      <c r="P483" s="259"/>
    </row>
    <row r="484" spans="1:16">
      <c r="A484" s="134">
        <v>272</v>
      </c>
      <c r="B484" s="259" t="s">
        <v>1967</v>
      </c>
      <c r="C484" s="129" t="s">
        <v>1968</v>
      </c>
      <c r="D484" s="292">
        <v>134</v>
      </c>
      <c r="E484" s="292">
        <v>0</v>
      </c>
      <c r="F484" s="139">
        <f t="shared" si="47"/>
        <v>134</v>
      </c>
      <c r="G484" s="292">
        <v>64</v>
      </c>
      <c r="H484" s="292">
        <v>0</v>
      </c>
      <c r="I484" s="139">
        <f t="shared" si="48"/>
        <v>64</v>
      </c>
      <c r="J484" s="266">
        <f t="shared" si="49"/>
        <v>0.47760000000000002</v>
      </c>
      <c r="K484" s="136">
        <f t="shared" si="44"/>
        <v>5.7</v>
      </c>
      <c r="L484" s="136">
        <f t="shared" si="45"/>
        <v>0</v>
      </c>
      <c r="M484" s="136">
        <f t="shared" si="46"/>
        <v>5.7</v>
      </c>
      <c r="O484" s="134"/>
      <c r="P484" s="259"/>
    </row>
    <row r="485" spans="1:16">
      <c r="A485" s="134">
        <v>272</v>
      </c>
      <c r="B485" s="259" t="s">
        <v>1969</v>
      </c>
      <c r="C485" s="129" t="s">
        <v>1970</v>
      </c>
      <c r="D485" s="292">
        <v>135</v>
      </c>
      <c r="E485" s="292">
        <v>0</v>
      </c>
      <c r="F485" s="139">
        <f t="shared" si="47"/>
        <v>135</v>
      </c>
      <c r="G485" s="292">
        <v>66</v>
      </c>
      <c r="H485" s="292">
        <v>0</v>
      </c>
      <c r="I485" s="139">
        <f t="shared" si="48"/>
        <v>66</v>
      </c>
      <c r="J485" s="266">
        <f t="shared" si="49"/>
        <v>0.4889</v>
      </c>
      <c r="K485" s="136">
        <f t="shared" si="44"/>
        <v>6.4</v>
      </c>
      <c r="L485" s="136">
        <f t="shared" si="45"/>
        <v>0</v>
      </c>
      <c r="M485" s="136">
        <f t="shared" si="46"/>
        <v>6.4</v>
      </c>
      <c r="O485" s="134"/>
      <c r="P485" s="259"/>
    </row>
    <row r="486" spans="1:16">
      <c r="A486" s="134">
        <v>272</v>
      </c>
      <c r="B486" s="259" t="s">
        <v>1971</v>
      </c>
      <c r="C486" s="129" t="s">
        <v>1972</v>
      </c>
      <c r="D486" s="292">
        <v>50</v>
      </c>
      <c r="E486" s="292">
        <v>0</v>
      </c>
      <c r="F486" s="139">
        <f t="shared" si="47"/>
        <v>50</v>
      </c>
      <c r="G486" s="292">
        <v>7</v>
      </c>
      <c r="H486" s="292">
        <v>0</v>
      </c>
      <c r="I486" s="139">
        <f t="shared" si="48"/>
        <v>7</v>
      </c>
      <c r="J486" s="266">
        <f t="shared" si="49"/>
        <v>0.14000000000000001</v>
      </c>
      <c r="K486" s="136">
        <f t="shared" si="44"/>
        <v>0</v>
      </c>
      <c r="L486" s="136">
        <f t="shared" si="45"/>
        <v>0</v>
      </c>
      <c r="M486" s="136">
        <f t="shared" si="46"/>
        <v>0</v>
      </c>
      <c r="O486" s="134"/>
      <c r="P486" s="259"/>
    </row>
    <row r="487" spans="1:16">
      <c r="A487" s="134">
        <v>273</v>
      </c>
      <c r="B487" s="259" t="s">
        <v>1973</v>
      </c>
      <c r="C487" s="129" t="s">
        <v>1974</v>
      </c>
      <c r="D487" s="292">
        <v>515</v>
      </c>
      <c r="E487" s="292">
        <v>0</v>
      </c>
      <c r="F487" s="139">
        <f t="shared" si="47"/>
        <v>515</v>
      </c>
      <c r="G487" s="292">
        <v>171</v>
      </c>
      <c r="H487" s="292">
        <v>0</v>
      </c>
      <c r="I487" s="139">
        <f t="shared" si="48"/>
        <v>171</v>
      </c>
      <c r="J487" s="266">
        <f t="shared" si="49"/>
        <v>0.33200000000000002</v>
      </c>
      <c r="K487" s="136">
        <f t="shared" si="44"/>
        <v>0</v>
      </c>
      <c r="L487" s="136">
        <f t="shared" si="45"/>
        <v>0</v>
      </c>
      <c r="M487" s="136">
        <f t="shared" si="46"/>
        <v>0</v>
      </c>
      <c r="O487" s="134"/>
      <c r="P487" s="259"/>
    </row>
    <row r="488" spans="1:16">
      <c r="A488" s="134">
        <v>273</v>
      </c>
      <c r="B488" s="259" t="s">
        <v>1975</v>
      </c>
      <c r="C488" s="129" t="s">
        <v>1976</v>
      </c>
      <c r="D488" s="292">
        <v>363</v>
      </c>
      <c r="E488" s="292">
        <v>0</v>
      </c>
      <c r="F488" s="139">
        <f t="shared" si="47"/>
        <v>363</v>
      </c>
      <c r="G488" s="292">
        <v>131</v>
      </c>
      <c r="H488" s="292">
        <v>0</v>
      </c>
      <c r="I488" s="139">
        <f t="shared" si="48"/>
        <v>131</v>
      </c>
      <c r="J488" s="266">
        <f t="shared" si="49"/>
        <v>0.3609</v>
      </c>
      <c r="K488" s="136">
        <f t="shared" si="44"/>
        <v>1</v>
      </c>
      <c r="L488" s="136">
        <f t="shared" si="45"/>
        <v>0</v>
      </c>
      <c r="M488" s="136">
        <f t="shared" si="46"/>
        <v>1</v>
      </c>
      <c r="O488" s="134"/>
      <c r="P488" s="259"/>
    </row>
    <row r="489" spans="1:16">
      <c r="A489" s="134">
        <v>274</v>
      </c>
      <c r="B489" s="259" t="s">
        <v>1977</v>
      </c>
      <c r="C489" s="129" t="s">
        <v>1978</v>
      </c>
      <c r="D489" s="292">
        <v>160</v>
      </c>
      <c r="E489" s="292">
        <v>0</v>
      </c>
      <c r="F489" s="139">
        <f t="shared" si="47"/>
        <v>160</v>
      </c>
      <c r="G489" s="292">
        <v>57</v>
      </c>
      <c r="H489" s="292">
        <v>0</v>
      </c>
      <c r="I489" s="139">
        <f t="shared" si="48"/>
        <v>57</v>
      </c>
      <c r="J489" s="266">
        <f t="shared" si="49"/>
        <v>0.35630000000000001</v>
      </c>
      <c r="K489" s="136">
        <f t="shared" si="44"/>
        <v>0.3</v>
      </c>
      <c r="L489" s="136">
        <f t="shared" si="45"/>
        <v>0</v>
      </c>
      <c r="M489" s="136">
        <f t="shared" si="46"/>
        <v>0.3</v>
      </c>
      <c r="O489" s="134"/>
      <c r="P489" s="259"/>
    </row>
    <row r="490" spans="1:16">
      <c r="A490" s="134">
        <v>274</v>
      </c>
      <c r="B490" s="259" t="s">
        <v>1979</v>
      </c>
      <c r="C490" s="129" t="s">
        <v>1980</v>
      </c>
      <c r="D490" s="292">
        <v>123</v>
      </c>
      <c r="E490" s="292">
        <v>0</v>
      </c>
      <c r="F490" s="139">
        <f t="shared" si="47"/>
        <v>123</v>
      </c>
      <c r="G490" s="292">
        <v>39</v>
      </c>
      <c r="H490" s="292">
        <v>0</v>
      </c>
      <c r="I490" s="139">
        <f t="shared" si="48"/>
        <v>39</v>
      </c>
      <c r="J490" s="266">
        <f t="shared" si="49"/>
        <v>0.31709999999999999</v>
      </c>
      <c r="K490" s="136">
        <f t="shared" si="44"/>
        <v>0</v>
      </c>
      <c r="L490" s="136">
        <f t="shared" si="45"/>
        <v>0</v>
      </c>
      <c r="M490" s="136">
        <f t="shared" si="46"/>
        <v>0</v>
      </c>
      <c r="O490" s="134"/>
      <c r="P490" s="259"/>
    </row>
    <row r="491" spans="1:16">
      <c r="A491" s="134">
        <v>274</v>
      </c>
      <c r="B491" s="259" t="s">
        <v>1981</v>
      </c>
      <c r="C491" s="129" t="s">
        <v>1982</v>
      </c>
      <c r="D491" s="292">
        <v>126</v>
      </c>
      <c r="E491" s="292">
        <v>0</v>
      </c>
      <c r="F491" s="139">
        <f t="shared" si="47"/>
        <v>126</v>
      </c>
      <c r="G491" s="292">
        <v>43</v>
      </c>
      <c r="H491" s="292">
        <v>0</v>
      </c>
      <c r="I491" s="139">
        <f t="shared" si="48"/>
        <v>43</v>
      </c>
      <c r="J491" s="266">
        <f t="shared" si="49"/>
        <v>0.34129999999999999</v>
      </c>
      <c r="K491" s="136">
        <f t="shared" si="44"/>
        <v>0</v>
      </c>
      <c r="L491" s="136">
        <f t="shared" si="45"/>
        <v>0</v>
      </c>
      <c r="M491" s="136">
        <f t="shared" si="46"/>
        <v>0</v>
      </c>
      <c r="O491" s="134"/>
      <c r="P491" s="259"/>
    </row>
    <row r="492" spans="1:16">
      <c r="A492" s="134">
        <v>275</v>
      </c>
      <c r="B492" s="259" t="s">
        <v>1983</v>
      </c>
      <c r="C492" s="129" t="s">
        <v>1984</v>
      </c>
      <c r="D492" s="292">
        <v>50</v>
      </c>
      <c r="E492" s="292">
        <v>0</v>
      </c>
      <c r="F492" s="139">
        <f t="shared" si="47"/>
        <v>50</v>
      </c>
      <c r="G492" s="292">
        <v>22</v>
      </c>
      <c r="H492" s="292">
        <v>0</v>
      </c>
      <c r="I492" s="139">
        <f t="shared" si="48"/>
        <v>22</v>
      </c>
      <c r="J492" s="266">
        <f t="shared" si="49"/>
        <v>0.44</v>
      </c>
      <c r="K492" s="136">
        <f t="shared" si="44"/>
        <v>1.4</v>
      </c>
      <c r="L492" s="136">
        <f t="shared" si="45"/>
        <v>0</v>
      </c>
      <c r="M492" s="136">
        <f t="shared" si="46"/>
        <v>1.4</v>
      </c>
      <c r="O492" s="134"/>
      <c r="P492" s="259"/>
    </row>
    <row r="493" spans="1:16">
      <c r="A493" s="134">
        <v>275</v>
      </c>
      <c r="B493" s="259" t="s">
        <v>1985</v>
      </c>
      <c r="C493" s="129" t="s">
        <v>1986</v>
      </c>
      <c r="D493" s="292">
        <v>23</v>
      </c>
      <c r="E493" s="292">
        <v>0</v>
      </c>
      <c r="F493" s="139">
        <f t="shared" si="47"/>
        <v>23</v>
      </c>
      <c r="G493" s="292">
        <v>8</v>
      </c>
      <c r="H493" s="292">
        <v>0</v>
      </c>
      <c r="I493" s="139">
        <f t="shared" si="48"/>
        <v>8</v>
      </c>
      <c r="J493" s="266">
        <f t="shared" si="49"/>
        <v>0.3478</v>
      </c>
      <c r="K493" s="136">
        <f t="shared" si="44"/>
        <v>0</v>
      </c>
      <c r="L493" s="136">
        <f t="shared" si="45"/>
        <v>0</v>
      </c>
      <c r="M493" s="136">
        <f t="shared" si="46"/>
        <v>0</v>
      </c>
      <c r="O493" s="134"/>
      <c r="P493" s="259"/>
    </row>
    <row r="494" spans="1:16">
      <c r="A494" s="134">
        <v>281</v>
      </c>
      <c r="B494" s="259" t="s">
        <v>1987</v>
      </c>
      <c r="C494" s="129" t="s">
        <v>1988</v>
      </c>
      <c r="D494" s="292">
        <v>177</v>
      </c>
      <c r="E494" s="292">
        <v>0</v>
      </c>
      <c r="F494" s="139">
        <f t="shared" si="47"/>
        <v>177</v>
      </c>
      <c r="G494" s="292">
        <v>60</v>
      </c>
      <c r="H494" s="292">
        <v>0</v>
      </c>
      <c r="I494" s="139">
        <f t="shared" si="48"/>
        <v>60</v>
      </c>
      <c r="J494" s="266">
        <f t="shared" si="49"/>
        <v>0.33900000000000002</v>
      </c>
      <c r="K494" s="136">
        <f t="shared" si="44"/>
        <v>0</v>
      </c>
      <c r="L494" s="136">
        <f t="shared" si="45"/>
        <v>0</v>
      </c>
      <c r="M494" s="136">
        <f t="shared" si="46"/>
        <v>0</v>
      </c>
      <c r="O494" s="134"/>
      <c r="P494" s="259"/>
    </row>
    <row r="495" spans="1:16">
      <c r="A495" s="134">
        <v>281</v>
      </c>
      <c r="B495" s="259" t="s">
        <v>1989</v>
      </c>
      <c r="C495" s="129" t="s">
        <v>1990</v>
      </c>
      <c r="D495" s="292">
        <v>204</v>
      </c>
      <c r="E495" s="292">
        <v>0</v>
      </c>
      <c r="F495" s="139">
        <f t="shared" si="47"/>
        <v>204</v>
      </c>
      <c r="G495" s="292">
        <v>109</v>
      </c>
      <c r="H495" s="292">
        <v>0</v>
      </c>
      <c r="I495" s="139">
        <f t="shared" si="48"/>
        <v>109</v>
      </c>
      <c r="J495" s="266">
        <f t="shared" si="49"/>
        <v>0.5343</v>
      </c>
      <c r="K495" s="136">
        <f t="shared" si="44"/>
        <v>0</v>
      </c>
      <c r="L495" s="136">
        <f t="shared" si="45"/>
        <v>11.4</v>
      </c>
      <c r="M495" s="136">
        <f t="shared" si="46"/>
        <v>11.4</v>
      </c>
      <c r="O495" s="134"/>
      <c r="P495" s="259"/>
    </row>
    <row r="496" spans="1:16">
      <c r="A496" s="134">
        <v>282</v>
      </c>
      <c r="B496" s="259" t="s">
        <v>1991</v>
      </c>
      <c r="C496" s="129" t="s">
        <v>1992</v>
      </c>
      <c r="D496" s="292">
        <v>366</v>
      </c>
      <c r="E496" s="292">
        <v>0</v>
      </c>
      <c r="F496" s="139">
        <f t="shared" si="47"/>
        <v>366</v>
      </c>
      <c r="G496" s="292">
        <v>179</v>
      </c>
      <c r="H496" s="292">
        <v>0</v>
      </c>
      <c r="I496" s="139">
        <f t="shared" si="48"/>
        <v>179</v>
      </c>
      <c r="J496" s="266">
        <f t="shared" si="49"/>
        <v>0.48909999999999998</v>
      </c>
      <c r="K496" s="136">
        <f t="shared" si="44"/>
        <v>17.399999999999999</v>
      </c>
      <c r="L496" s="136">
        <f t="shared" si="45"/>
        <v>0</v>
      </c>
      <c r="M496" s="136">
        <f t="shared" si="46"/>
        <v>17.399999999999999</v>
      </c>
      <c r="O496" s="134"/>
      <c r="P496" s="259"/>
    </row>
    <row r="497" spans="1:16">
      <c r="A497" s="134">
        <v>282</v>
      </c>
      <c r="B497" s="259" t="s">
        <v>4001</v>
      </c>
      <c r="C497" s="129" t="s">
        <v>4002</v>
      </c>
      <c r="D497" s="292">
        <v>0</v>
      </c>
      <c r="E497" s="292">
        <v>0</v>
      </c>
      <c r="F497" s="139">
        <f t="shared" si="47"/>
        <v>0</v>
      </c>
      <c r="G497" s="292">
        <v>0</v>
      </c>
      <c r="H497" s="292">
        <v>0</v>
      </c>
      <c r="I497" s="139">
        <f t="shared" si="48"/>
        <v>0</v>
      </c>
      <c r="J497" s="266">
        <f t="shared" si="49"/>
        <v>0</v>
      </c>
      <c r="K497" s="136">
        <f t="shared" si="44"/>
        <v>0</v>
      </c>
      <c r="L497" s="136">
        <f t="shared" si="45"/>
        <v>0</v>
      </c>
      <c r="M497" s="136">
        <f t="shared" si="46"/>
        <v>0</v>
      </c>
      <c r="O497" s="134"/>
      <c r="P497" s="259"/>
    </row>
    <row r="498" spans="1:16">
      <c r="A498" s="134">
        <v>283</v>
      </c>
      <c r="B498" s="259" t="s">
        <v>1993</v>
      </c>
      <c r="C498" s="129" t="s">
        <v>1994</v>
      </c>
      <c r="D498" s="292">
        <v>65</v>
      </c>
      <c r="E498" s="292">
        <v>0</v>
      </c>
      <c r="F498" s="139">
        <f t="shared" si="47"/>
        <v>65</v>
      </c>
      <c r="G498" s="292">
        <v>51</v>
      </c>
      <c r="H498" s="292">
        <v>0</v>
      </c>
      <c r="I498" s="139">
        <f t="shared" si="48"/>
        <v>51</v>
      </c>
      <c r="J498" s="266">
        <f t="shared" si="49"/>
        <v>0.78459999999999996</v>
      </c>
      <c r="K498" s="136">
        <f t="shared" si="44"/>
        <v>0</v>
      </c>
      <c r="L498" s="136">
        <f t="shared" si="45"/>
        <v>5.4</v>
      </c>
      <c r="M498" s="136">
        <f t="shared" si="46"/>
        <v>5.4</v>
      </c>
      <c r="O498" s="134"/>
      <c r="P498" s="259"/>
    </row>
    <row r="499" spans="1:16">
      <c r="A499" s="134">
        <v>283</v>
      </c>
      <c r="B499" s="259" t="s">
        <v>1995</v>
      </c>
      <c r="C499" s="129" t="s">
        <v>1996</v>
      </c>
      <c r="D499" s="292">
        <v>57</v>
      </c>
      <c r="E499" s="292">
        <v>0</v>
      </c>
      <c r="F499" s="139">
        <f t="shared" si="47"/>
        <v>57</v>
      </c>
      <c r="G499" s="292">
        <v>44</v>
      </c>
      <c r="H499" s="292">
        <v>0</v>
      </c>
      <c r="I499" s="139">
        <f t="shared" si="48"/>
        <v>44</v>
      </c>
      <c r="J499" s="266">
        <f t="shared" si="49"/>
        <v>0.77190000000000003</v>
      </c>
      <c r="K499" s="136">
        <f t="shared" si="44"/>
        <v>0</v>
      </c>
      <c r="L499" s="136">
        <f t="shared" si="45"/>
        <v>4.5999999999999996</v>
      </c>
      <c r="M499" s="136">
        <f t="shared" si="46"/>
        <v>4.5999999999999996</v>
      </c>
      <c r="O499" s="134"/>
      <c r="P499" s="259"/>
    </row>
    <row r="500" spans="1:16">
      <c r="A500" s="134">
        <v>284</v>
      </c>
      <c r="B500" s="259" t="s">
        <v>1997</v>
      </c>
      <c r="C500" s="129" t="s">
        <v>1998</v>
      </c>
      <c r="D500" s="292">
        <v>162</v>
      </c>
      <c r="E500" s="292">
        <v>0</v>
      </c>
      <c r="F500" s="139">
        <f t="shared" si="47"/>
        <v>162</v>
      </c>
      <c r="G500" s="292">
        <v>50</v>
      </c>
      <c r="H500" s="292">
        <v>0</v>
      </c>
      <c r="I500" s="139">
        <f t="shared" si="48"/>
        <v>50</v>
      </c>
      <c r="J500" s="266">
        <f t="shared" si="49"/>
        <v>0.30859999999999999</v>
      </c>
      <c r="K500" s="136">
        <f t="shared" si="44"/>
        <v>0</v>
      </c>
      <c r="L500" s="136">
        <f t="shared" si="45"/>
        <v>0</v>
      </c>
      <c r="M500" s="136">
        <f t="shared" si="46"/>
        <v>0</v>
      </c>
      <c r="O500" s="134"/>
      <c r="P500" s="259"/>
    </row>
    <row r="501" spans="1:16">
      <c r="A501" s="134">
        <v>284</v>
      </c>
      <c r="B501" s="259" t="s">
        <v>1999</v>
      </c>
      <c r="C501" s="129" t="s">
        <v>2000</v>
      </c>
      <c r="D501" s="292">
        <v>205</v>
      </c>
      <c r="E501" s="292">
        <v>0</v>
      </c>
      <c r="F501" s="139">
        <f t="shared" si="47"/>
        <v>205</v>
      </c>
      <c r="G501" s="292">
        <v>72</v>
      </c>
      <c r="H501" s="292">
        <v>0</v>
      </c>
      <c r="I501" s="139">
        <f t="shared" si="48"/>
        <v>72</v>
      </c>
      <c r="J501" s="266">
        <f t="shared" si="49"/>
        <v>0.35120000000000001</v>
      </c>
      <c r="K501" s="136">
        <f t="shared" si="44"/>
        <v>0.1</v>
      </c>
      <c r="L501" s="136">
        <f t="shared" si="45"/>
        <v>0</v>
      </c>
      <c r="M501" s="136">
        <f t="shared" si="46"/>
        <v>0.1</v>
      </c>
      <c r="O501" s="134"/>
      <c r="P501" s="259"/>
    </row>
    <row r="502" spans="1:16">
      <c r="A502" s="134">
        <v>285</v>
      </c>
      <c r="B502" s="259" t="s">
        <v>2001</v>
      </c>
      <c r="C502" s="129" t="s">
        <v>2002</v>
      </c>
      <c r="D502" s="292">
        <v>58</v>
      </c>
      <c r="E502" s="292">
        <v>0</v>
      </c>
      <c r="F502" s="139">
        <f t="shared" si="47"/>
        <v>58</v>
      </c>
      <c r="G502" s="292">
        <v>26</v>
      </c>
      <c r="H502" s="292">
        <v>0</v>
      </c>
      <c r="I502" s="139">
        <f t="shared" si="48"/>
        <v>26</v>
      </c>
      <c r="J502" s="266">
        <f t="shared" si="49"/>
        <v>0.44829999999999998</v>
      </c>
      <c r="K502" s="136">
        <f t="shared" si="44"/>
        <v>1.8</v>
      </c>
      <c r="L502" s="136">
        <f t="shared" si="45"/>
        <v>0</v>
      </c>
      <c r="M502" s="136">
        <f t="shared" si="46"/>
        <v>1.8</v>
      </c>
      <c r="O502" s="134"/>
      <c r="P502" s="259"/>
    </row>
    <row r="503" spans="1:16">
      <c r="A503" s="134">
        <v>285</v>
      </c>
      <c r="B503" s="259" t="s">
        <v>2003</v>
      </c>
      <c r="C503" s="129" t="s">
        <v>2004</v>
      </c>
      <c r="D503" s="292">
        <v>70</v>
      </c>
      <c r="E503" s="292">
        <v>0</v>
      </c>
      <c r="F503" s="139">
        <f t="shared" si="47"/>
        <v>70</v>
      </c>
      <c r="G503" s="292">
        <v>40</v>
      </c>
      <c r="H503" s="292">
        <v>0</v>
      </c>
      <c r="I503" s="139">
        <f t="shared" si="48"/>
        <v>40</v>
      </c>
      <c r="J503" s="266">
        <f t="shared" si="49"/>
        <v>0.57140000000000002</v>
      </c>
      <c r="K503" s="136">
        <f t="shared" si="44"/>
        <v>0</v>
      </c>
      <c r="L503" s="136">
        <f t="shared" si="45"/>
        <v>4.2</v>
      </c>
      <c r="M503" s="136">
        <f t="shared" si="46"/>
        <v>4.2</v>
      </c>
      <c r="O503" s="134"/>
      <c r="P503" s="259"/>
    </row>
    <row r="504" spans="1:16">
      <c r="A504" s="134">
        <v>286</v>
      </c>
      <c r="B504" s="259" t="s">
        <v>2005</v>
      </c>
      <c r="C504" s="129" t="s">
        <v>2006</v>
      </c>
      <c r="D504" s="292">
        <v>174</v>
      </c>
      <c r="E504" s="292">
        <v>0</v>
      </c>
      <c r="F504" s="139">
        <f t="shared" si="47"/>
        <v>174</v>
      </c>
      <c r="G504" s="292">
        <v>115</v>
      </c>
      <c r="H504" s="292">
        <v>0</v>
      </c>
      <c r="I504" s="139">
        <f t="shared" si="48"/>
        <v>115</v>
      </c>
      <c r="J504" s="266">
        <f t="shared" si="49"/>
        <v>0.66090000000000004</v>
      </c>
      <c r="K504" s="136">
        <f t="shared" si="44"/>
        <v>0</v>
      </c>
      <c r="L504" s="136">
        <f t="shared" si="45"/>
        <v>12.1</v>
      </c>
      <c r="M504" s="136">
        <f t="shared" si="46"/>
        <v>12.1</v>
      </c>
      <c r="O504" s="134"/>
      <c r="P504" s="259"/>
    </row>
    <row r="505" spans="1:16">
      <c r="A505" s="134">
        <v>286</v>
      </c>
      <c r="B505" s="259" t="s">
        <v>2007</v>
      </c>
      <c r="C505" s="129" t="s">
        <v>2008</v>
      </c>
      <c r="D505" s="292">
        <v>188</v>
      </c>
      <c r="E505" s="292">
        <v>0</v>
      </c>
      <c r="F505" s="139">
        <f t="shared" si="47"/>
        <v>188</v>
      </c>
      <c r="G505" s="292">
        <v>115</v>
      </c>
      <c r="H505" s="292">
        <v>0</v>
      </c>
      <c r="I505" s="139">
        <f t="shared" si="48"/>
        <v>115</v>
      </c>
      <c r="J505" s="266">
        <f t="shared" si="49"/>
        <v>0.61170000000000002</v>
      </c>
      <c r="K505" s="136">
        <f t="shared" si="44"/>
        <v>0</v>
      </c>
      <c r="L505" s="136">
        <f t="shared" si="45"/>
        <v>12.1</v>
      </c>
      <c r="M505" s="136">
        <f t="shared" si="46"/>
        <v>12.1</v>
      </c>
      <c r="O505" s="134"/>
      <c r="P505" s="259"/>
    </row>
    <row r="506" spans="1:16">
      <c r="A506" s="134">
        <v>287</v>
      </c>
      <c r="B506" s="259" t="s">
        <v>2009</v>
      </c>
      <c r="C506" s="129" t="s">
        <v>2010</v>
      </c>
      <c r="D506" s="292">
        <v>174</v>
      </c>
      <c r="E506" s="292">
        <v>0</v>
      </c>
      <c r="F506" s="139">
        <f t="shared" si="47"/>
        <v>174</v>
      </c>
      <c r="G506" s="292">
        <v>58</v>
      </c>
      <c r="H506" s="292">
        <v>0</v>
      </c>
      <c r="I506" s="139">
        <f t="shared" si="48"/>
        <v>58</v>
      </c>
      <c r="J506" s="266">
        <f t="shared" si="49"/>
        <v>0.33329999999999999</v>
      </c>
      <c r="K506" s="136">
        <f t="shared" si="44"/>
        <v>0</v>
      </c>
      <c r="L506" s="136">
        <f t="shared" si="45"/>
        <v>0</v>
      </c>
      <c r="M506" s="136">
        <f t="shared" si="46"/>
        <v>0</v>
      </c>
      <c r="O506" s="134"/>
      <c r="P506" s="259"/>
    </row>
    <row r="507" spans="1:16">
      <c r="A507" s="134">
        <v>287</v>
      </c>
      <c r="B507" s="259" t="s">
        <v>2011</v>
      </c>
      <c r="C507" s="129" t="s">
        <v>2012</v>
      </c>
      <c r="D507" s="292">
        <v>134</v>
      </c>
      <c r="E507" s="292">
        <v>0</v>
      </c>
      <c r="F507" s="139">
        <f t="shared" si="47"/>
        <v>134</v>
      </c>
      <c r="G507" s="292">
        <v>54</v>
      </c>
      <c r="H507" s="292">
        <v>0</v>
      </c>
      <c r="I507" s="139">
        <f t="shared" si="48"/>
        <v>54</v>
      </c>
      <c r="J507" s="266">
        <f t="shared" si="49"/>
        <v>0.40300000000000002</v>
      </c>
      <c r="K507" s="136">
        <f t="shared" si="44"/>
        <v>2</v>
      </c>
      <c r="L507" s="136">
        <f t="shared" si="45"/>
        <v>0</v>
      </c>
      <c r="M507" s="136">
        <f t="shared" si="46"/>
        <v>2</v>
      </c>
      <c r="O507" s="134"/>
      <c r="P507" s="259"/>
    </row>
    <row r="508" spans="1:16">
      <c r="A508" s="134">
        <v>287</v>
      </c>
      <c r="B508" s="259" t="s">
        <v>2013</v>
      </c>
      <c r="C508" s="129" t="s">
        <v>2014</v>
      </c>
      <c r="D508" s="292">
        <v>100</v>
      </c>
      <c r="E508" s="292">
        <v>0</v>
      </c>
      <c r="F508" s="139">
        <f t="shared" si="47"/>
        <v>100</v>
      </c>
      <c r="G508" s="292">
        <v>45</v>
      </c>
      <c r="H508" s="292">
        <v>0</v>
      </c>
      <c r="I508" s="139">
        <f t="shared" si="48"/>
        <v>45</v>
      </c>
      <c r="J508" s="266">
        <f t="shared" si="49"/>
        <v>0.45</v>
      </c>
      <c r="K508" s="136">
        <f t="shared" si="44"/>
        <v>3.2</v>
      </c>
      <c r="L508" s="136">
        <f t="shared" si="45"/>
        <v>0</v>
      </c>
      <c r="M508" s="136">
        <f t="shared" si="46"/>
        <v>3.2</v>
      </c>
      <c r="O508" s="134"/>
      <c r="P508" s="259"/>
    </row>
    <row r="509" spans="1:16">
      <c r="A509" s="134">
        <v>287</v>
      </c>
      <c r="B509" s="259" t="s">
        <v>2015</v>
      </c>
      <c r="C509" s="129" t="s">
        <v>2016</v>
      </c>
      <c r="D509" s="292">
        <v>193</v>
      </c>
      <c r="E509" s="292">
        <v>0</v>
      </c>
      <c r="F509" s="139">
        <f t="shared" si="47"/>
        <v>193</v>
      </c>
      <c r="G509" s="292">
        <v>83</v>
      </c>
      <c r="H509" s="292">
        <v>0</v>
      </c>
      <c r="I509" s="139">
        <f t="shared" si="48"/>
        <v>83</v>
      </c>
      <c r="J509" s="266">
        <f t="shared" si="49"/>
        <v>0.43009999999999998</v>
      </c>
      <c r="K509" s="136">
        <f t="shared" si="44"/>
        <v>4.7</v>
      </c>
      <c r="L509" s="136">
        <f t="shared" si="45"/>
        <v>0</v>
      </c>
      <c r="M509" s="136">
        <f t="shared" si="46"/>
        <v>4.7</v>
      </c>
      <c r="O509" s="134"/>
      <c r="P509" s="259"/>
    </row>
    <row r="510" spans="1:16">
      <c r="A510" s="134">
        <v>288</v>
      </c>
      <c r="B510" s="259" t="s">
        <v>2017</v>
      </c>
      <c r="C510" s="129" t="s">
        <v>2018</v>
      </c>
      <c r="D510" s="292">
        <v>324</v>
      </c>
      <c r="E510" s="292">
        <v>0</v>
      </c>
      <c r="F510" s="139">
        <f t="shared" si="47"/>
        <v>324</v>
      </c>
      <c r="G510" s="292">
        <v>143</v>
      </c>
      <c r="H510" s="292">
        <v>0</v>
      </c>
      <c r="I510" s="139">
        <f t="shared" si="48"/>
        <v>143</v>
      </c>
      <c r="J510" s="266">
        <f t="shared" si="49"/>
        <v>0.44140000000000001</v>
      </c>
      <c r="K510" s="136">
        <f t="shared" si="44"/>
        <v>9.1</v>
      </c>
      <c r="L510" s="136">
        <f t="shared" si="45"/>
        <v>0</v>
      </c>
      <c r="M510" s="136">
        <f t="shared" si="46"/>
        <v>9.1</v>
      </c>
      <c r="O510" s="134"/>
      <c r="P510" s="259"/>
    </row>
    <row r="511" spans="1:16">
      <c r="A511" s="134">
        <v>288</v>
      </c>
      <c r="B511" s="259" t="s">
        <v>2019</v>
      </c>
      <c r="C511" s="129" t="s">
        <v>2020</v>
      </c>
      <c r="D511" s="292">
        <v>228</v>
      </c>
      <c r="E511" s="292">
        <v>0</v>
      </c>
      <c r="F511" s="139">
        <f t="shared" si="47"/>
        <v>228</v>
      </c>
      <c r="G511" s="292">
        <v>111</v>
      </c>
      <c r="H511" s="292">
        <v>0</v>
      </c>
      <c r="I511" s="139">
        <f t="shared" si="48"/>
        <v>111</v>
      </c>
      <c r="J511" s="266">
        <f t="shared" si="49"/>
        <v>0.48680000000000001</v>
      </c>
      <c r="K511" s="136">
        <f t="shared" si="44"/>
        <v>10.6</v>
      </c>
      <c r="L511" s="136">
        <f t="shared" si="45"/>
        <v>0</v>
      </c>
      <c r="M511" s="136">
        <f t="shared" si="46"/>
        <v>10.6</v>
      </c>
      <c r="O511" s="134"/>
      <c r="P511" s="259"/>
    </row>
    <row r="512" spans="1:16">
      <c r="A512" s="134">
        <v>289</v>
      </c>
      <c r="B512" s="259" t="s">
        <v>2021</v>
      </c>
      <c r="C512" s="129" t="s">
        <v>2022</v>
      </c>
      <c r="D512" s="292">
        <v>358</v>
      </c>
      <c r="E512" s="292">
        <v>0</v>
      </c>
      <c r="F512" s="139">
        <f t="shared" si="47"/>
        <v>358</v>
      </c>
      <c r="G512" s="292">
        <v>101</v>
      </c>
      <c r="H512" s="292">
        <v>0</v>
      </c>
      <c r="I512" s="139">
        <f t="shared" si="48"/>
        <v>101</v>
      </c>
      <c r="J512" s="266">
        <f t="shared" si="49"/>
        <v>0.28210000000000002</v>
      </c>
      <c r="K512" s="136">
        <f t="shared" si="44"/>
        <v>0</v>
      </c>
      <c r="L512" s="136">
        <f t="shared" si="45"/>
        <v>0</v>
      </c>
      <c r="M512" s="136">
        <f t="shared" si="46"/>
        <v>0</v>
      </c>
      <c r="O512" s="134"/>
      <c r="P512" s="259"/>
    </row>
    <row r="513" spans="1:16">
      <c r="A513" s="134">
        <v>289</v>
      </c>
      <c r="B513" s="259" t="s">
        <v>2023</v>
      </c>
      <c r="C513" s="129" t="s">
        <v>2024</v>
      </c>
      <c r="D513" s="292">
        <v>178</v>
      </c>
      <c r="E513" s="292">
        <v>0</v>
      </c>
      <c r="F513" s="139">
        <f t="shared" si="47"/>
        <v>178</v>
      </c>
      <c r="G513" s="292">
        <v>47</v>
      </c>
      <c r="H513" s="292">
        <v>0</v>
      </c>
      <c r="I513" s="139">
        <f t="shared" si="48"/>
        <v>47</v>
      </c>
      <c r="J513" s="266">
        <f t="shared" si="49"/>
        <v>0.26400000000000001</v>
      </c>
      <c r="K513" s="136">
        <f t="shared" si="44"/>
        <v>0</v>
      </c>
      <c r="L513" s="136">
        <f t="shared" si="45"/>
        <v>0</v>
      </c>
      <c r="M513" s="136">
        <f t="shared" si="46"/>
        <v>0</v>
      </c>
      <c r="O513" s="134"/>
      <c r="P513" s="259"/>
    </row>
    <row r="514" spans="1:16">
      <c r="A514" s="134">
        <v>289</v>
      </c>
      <c r="B514" s="259" t="s">
        <v>2025</v>
      </c>
      <c r="C514" s="129" t="s">
        <v>2026</v>
      </c>
      <c r="D514" s="292">
        <v>243</v>
      </c>
      <c r="E514" s="292">
        <v>0</v>
      </c>
      <c r="F514" s="139">
        <f t="shared" si="47"/>
        <v>243</v>
      </c>
      <c r="G514" s="292">
        <v>55</v>
      </c>
      <c r="H514" s="292">
        <v>0</v>
      </c>
      <c r="I514" s="139">
        <f t="shared" si="48"/>
        <v>55</v>
      </c>
      <c r="J514" s="266">
        <f t="shared" si="49"/>
        <v>0.2263</v>
      </c>
      <c r="K514" s="136">
        <f t="shared" si="44"/>
        <v>0</v>
      </c>
      <c r="L514" s="136">
        <f t="shared" si="45"/>
        <v>0</v>
      </c>
      <c r="M514" s="136">
        <f t="shared" si="46"/>
        <v>0</v>
      </c>
      <c r="O514" s="134"/>
      <c r="P514" s="259"/>
    </row>
    <row r="515" spans="1:16">
      <c r="A515" s="134">
        <v>290</v>
      </c>
      <c r="B515" s="259" t="s">
        <v>2027</v>
      </c>
      <c r="C515" s="129" t="s">
        <v>2028</v>
      </c>
      <c r="D515" s="292">
        <v>336</v>
      </c>
      <c r="E515" s="292">
        <v>0</v>
      </c>
      <c r="F515" s="139">
        <f t="shared" si="47"/>
        <v>336</v>
      </c>
      <c r="G515" s="292">
        <v>176</v>
      </c>
      <c r="H515" s="292">
        <v>0</v>
      </c>
      <c r="I515" s="139">
        <f t="shared" si="48"/>
        <v>176</v>
      </c>
      <c r="J515" s="266">
        <f t="shared" si="49"/>
        <v>0.52380000000000004</v>
      </c>
      <c r="K515" s="136">
        <f t="shared" si="44"/>
        <v>0</v>
      </c>
      <c r="L515" s="136">
        <f t="shared" si="45"/>
        <v>18.5</v>
      </c>
      <c r="M515" s="136">
        <f t="shared" si="46"/>
        <v>18.5</v>
      </c>
      <c r="O515" s="134"/>
      <c r="P515" s="259"/>
    </row>
    <row r="516" spans="1:16">
      <c r="A516" s="134">
        <v>290</v>
      </c>
      <c r="B516" s="259" t="s">
        <v>2029</v>
      </c>
      <c r="C516" s="129" t="s">
        <v>2030</v>
      </c>
      <c r="D516" s="292">
        <v>358</v>
      </c>
      <c r="E516" s="292">
        <v>0</v>
      </c>
      <c r="F516" s="139">
        <f t="shared" si="47"/>
        <v>358</v>
      </c>
      <c r="G516" s="292">
        <v>243</v>
      </c>
      <c r="H516" s="292">
        <v>0</v>
      </c>
      <c r="I516" s="139">
        <f t="shared" si="48"/>
        <v>243</v>
      </c>
      <c r="J516" s="266">
        <f t="shared" si="49"/>
        <v>0.67879999999999996</v>
      </c>
      <c r="K516" s="136">
        <f t="shared" si="44"/>
        <v>0</v>
      </c>
      <c r="L516" s="136">
        <f t="shared" si="45"/>
        <v>25.5</v>
      </c>
      <c r="M516" s="136">
        <f t="shared" si="46"/>
        <v>25.5</v>
      </c>
      <c r="O516" s="134"/>
      <c r="P516" s="259"/>
    </row>
    <row r="517" spans="1:16">
      <c r="A517" s="134">
        <v>290</v>
      </c>
      <c r="B517" s="259" t="s">
        <v>2031</v>
      </c>
      <c r="C517" s="129" t="s">
        <v>2032</v>
      </c>
      <c r="D517" s="292">
        <v>485</v>
      </c>
      <c r="E517" s="292">
        <v>0</v>
      </c>
      <c r="F517" s="139">
        <f t="shared" si="47"/>
        <v>485</v>
      </c>
      <c r="G517" s="292">
        <v>223</v>
      </c>
      <c r="H517" s="292">
        <v>0</v>
      </c>
      <c r="I517" s="139">
        <f t="shared" si="48"/>
        <v>223</v>
      </c>
      <c r="J517" s="266">
        <f t="shared" si="49"/>
        <v>0.45979999999999999</v>
      </c>
      <c r="K517" s="136">
        <f t="shared" ref="K517:K580" si="50">IF(AND((J517-35%)&gt;0,J517&lt;50%),I517*(J517-35%)*0.7,0)</f>
        <v>17.100000000000001</v>
      </c>
      <c r="L517" s="136">
        <f t="shared" ref="L517:L580" si="51">IF(J517&gt;=50%,I517*10.5%,0)</f>
        <v>0</v>
      </c>
      <c r="M517" s="136">
        <f t="shared" ref="M517:M580" si="52">MAX(K517,L517)</f>
        <v>17.100000000000001</v>
      </c>
      <c r="O517" s="134"/>
      <c r="P517" s="259"/>
    </row>
    <row r="518" spans="1:16">
      <c r="A518" s="134">
        <v>290</v>
      </c>
      <c r="B518" s="259" t="s">
        <v>2033</v>
      </c>
      <c r="C518" s="129" t="s">
        <v>2034</v>
      </c>
      <c r="D518" s="292">
        <v>713</v>
      </c>
      <c r="E518" s="292">
        <v>0</v>
      </c>
      <c r="F518" s="139">
        <f t="shared" ref="F518:F581" si="53">D518+E518</f>
        <v>713</v>
      </c>
      <c r="G518" s="292">
        <v>291</v>
      </c>
      <c r="H518" s="292">
        <v>0</v>
      </c>
      <c r="I518" s="139">
        <f t="shared" ref="I518:I581" si="54">G518+H518</f>
        <v>291</v>
      </c>
      <c r="J518" s="266">
        <f t="shared" ref="J518:J581" si="55">IF(ISERROR(I518/F518),0,I518/F518)</f>
        <v>0.40810000000000002</v>
      </c>
      <c r="K518" s="136">
        <f t="shared" si="50"/>
        <v>11.8</v>
      </c>
      <c r="L518" s="136">
        <f t="shared" si="51"/>
        <v>0</v>
      </c>
      <c r="M518" s="136">
        <f t="shared" si="52"/>
        <v>11.8</v>
      </c>
      <c r="O518" s="134"/>
      <c r="P518" s="259"/>
    </row>
    <row r="519" spans="1:16">
      <c r="A519" s="134">
        <v>290</v>
      </c>
      <c r="B519" s="259" t="s">
        <v>2035</v>
      </c>
      <c r="C519" s="129" t="s">
        <v>2036</v>
      </c>
      <c r="D519" s="292">
        <v>322</v>
      </c>
      <c r="E519" s="292">
        <v>0</v>
      </c>
      <c r="F519" s="139">
        <f t="shared" si="53"/>
        <v>322</v>
      </c>
      <c r="G519" s="292">
        <v>157</v>
      </c>
      <c r="H519" s="292">
        <v>0</v>
      </c>
      <c r="I519" s="139">
        <f t="shared" si="54"/>
        <v>157</v>
      </c>
      <c r="J519" s="266">
        <f t="shared" si="55"/>
        <v>0.48759999999999998</v>
      </c>
      <c r="K519" s="136">
        <f t="shared" si="50"/>
        <v>15.1</v>
      </c>
      <c r="L519" s="136">
        <f t="shared" si="51"/>
        <v>0</v>
      </c>
      <c r="M519" s="136">
        <f t="shared" si="52"/>
        <v>15.1</v>
      </c>
      <c r="O519" s="134"/>
      <c r="P519" s="259"/>
    </row>
    <row r="520" spans="1:16">
      <c r="A520" s="134">
        <v>290</v>
      </c>
      <c r="B520" s="259" t="s">
        <v>4003</v>
      </c>
      <c r="C520" s="129" t="s">
        <v>4004</v>
      </c>
      <c r="D520" s="292">
        <v>1</v>
      </c>
      <c r="E520" s="292">
        <v>0</v>
      </c>
      <c r="F520" s="139">
        <f t="shared" si="53"/>
        <v>1</v>
      </c>
      <c r="G520" s="292">
        <v>1</v>
      </c>
      <c r="H520" s="292">
        <v>0</v>
      </c>
      <c r="I520" s="139">
        <f t="shared" si="54"/>
        <v>1</v>
      </c>
      <c r="J520" s="266">
        <f t="shared" si="55"/>
        <v>1</v>
      </c>
      <c r="K520" s="136">
        <f t="shared" si="50"/>
        <v>0</v>
      </c>
      <c r="L520" s="136">
        <f t="shared" si="51"/>
        <v>0.1</v>
      </c>
      <c r="M520" s="136">
        <f t="shared" si="52"/>
        <v>0.1</v>
      </c>
      <c r="O520" s="134"/>
      <c r="P520" s="259"/>
    </row>
    <row r="521" spans="1:16">
      <c r="A521" s="134">
        <v>291</v>
      </c>
      <c r="B521" s="259" t="s">
        <v>2037</v>
      </c>
      <c r="C521" s="129" t="s">
        <v>2038</v>
      </c>
      <c r="D521" s="292">
        <v>31</v>
      </c>
      <c r="E521" s="292">
        <v>0</v>
      </c>
      <c r="F521" s="139">
        <f t="shared" si="53"/>
        <v>31</v>
      </c>
      <c r="G521" s="292">
        <v>11</v>
      </c>
      <c r="H521" s="292">
        <v>0</v>
      </c>
      <c r="I521" s="139">
        <f t="shared" si="54"/>
        <v>11</v>
      </c>
      <c r="J521" s="266">
        <f t="shared" si="55"/>
        <v>0.3548</v>
      </c>
      <c r="K521" s="136">
        <f t="shared" si="50"/>
        <v>0</v>
      </c>
      <c r="L521" s="136">
        <f t="shared" si="51"/>
        <v>0</v>
      </c>
      <c r="M521" s="136">
        <f t="shared" si="52"/>
        <v>0</v>
      </c>
      <c r="O521" s="134"/>
      <c r="P521" s="259"/>
    </row>
    <row r="522" spans="1:16">
      <c r="A522" s="134">
        <v>291</v>
      </c>
      <c r="B522" s="259" t="s">
        <v>2039</v>
      </c>
      <c r="C522" s="129" t="s">
        <v>2040</v>
      </c>
      <c r="D522" s="292">
        <v>22</v>
      </c>
      <c r="E522" s="292">
        <v>0</v>
      </c>
      <c r="F522" s="139">
        <f t="shared" si="53"/>
        <v>22</v>
      </c>
      <c r="G522" s="292">
        <v>8</v>
      </c>
      <c r="H522" s="292">
        <v>0</v>
      </c>
      <c r="I522" s="139">
        <f t="shared" si="54"/>
        <v>8</v>
      </c>
      <c r="J522" s="266">
        <f t="shared" si="55"/>
        <v>0.36359999999999998</v>
      </c>
      <c r="K522" s="136">
        <f t="shared" si="50"/>
        <v>0.1</v>
      </c>
      <c r="L522" s="136">
        <f t="shared" si="51"/>
        <v>0</v>
      </c>
      <c r="M522" s="136">
        <f t="shared" si="52"/>
        <v>0.1</v>
      </c>
      <c r="O522" s="134"/>
      <c r="P522" s="259"/>
    </row>
    <row r="523" spans="1:16">
      <c r="A523" s="134">
        <v>292</v>
      </c>
      <c r="B523" s="259" t="s">
        <v>2041</v>
      </c>
      <c r="C523" s="129" t="s">
        <v>2042</v>
      </c>
      <c r="D523" s="292">
        <v>48</v>
      </c>
      <c r="E523" s="292">
        <v>0</v>
      </c>
      <c r="F523" s="139">
        <f t="shared" si="53"/>
        <v>48</v>
      </c>
      <c r="G523" s="292">
        <v>21</v>
      </c>
      <c r="H523" s="292">
        <v>0</v>
      </c>
      <c r="I523" s="139">
        <f t="shared" si="54"/>
        <v>21</v>
      </c>
      <c r="J523" s="266">
        <f t="shared" si="55"/>
        <v>0.4375</v>
      </c>
      <c r="K523" s="136">
        <f t="shared" si="50"/>
        <v>1.3</v>
      </c>
      <c r="L523" s="136">
        <f t="shared" si="51"/>
        <v>0</v>
      </c>
      <c r="M523" s="136">
        <f t="shared" si="52"/>
        <v>1.3</v>
      </c>
      <c r="O523" s="134"/>
      <c r="P523" s="259"/>
    </row>
    <row r="524" spans="1:16">
      <c r="A524" s="134">
        <v>292</v>
      </c>
      <c r="B524" s="259" t="s">
        <v>2043</v>
      </c>
      <c r="C524" s="129" t="s">
        <v>2044</v>
      </c>
      <c r="D524" s="292">
        <v>40</v>
      </c>
      <c r="E524" s="292">
        <v>0</v>
      </c>
      <c r="F524" s="139">
        <f t="shared" si="53"/>
        <v>40</v>
      </c>
      <c r="G524" s="292">
        <v>17</v>
      </c>
      <c r="H524" s="292">
        <v>0</v>
      </c>
      <c r="I524" s="139">
        <f t="shared" si="54"/>
        <v>17</v>
      </c>
      <c r="J524" s="266">
        <f t="shared" si="55"/>
        <v>0.42499999999999999</v>
      </c>
      <c r="K524" s="136">
        <f t="shared" si="50"/>
        <v>0.9</v>
      </c>
      <c r="L524" s="136">
        <f t="shared" si="51"/>
        <v>0</v>
      </c>
      <c r="M524" s="136">
        <f t="shared" si="52"/>
        <v>0.9</v>
      </c>
      <c r="O524" s="134"/>
      <c r="P524" s="259"/>
    </row>
    <row r="525" spans="1:16">
      <c r="A525" s="134">
        <v>293</v>
      </c>
      <c r="B525" s="259" t="s">
        <v>2045</v>
      </c>
      <c r="C525" s="129" t="s">
        <v>2046</v>
      </c>
      <c r="D525" s="292">
        <v>172</v>
      </c>
      <c r="E525" s="292">
        <v>0</v>
      </c>
      <c r="F525" s="139">
        <f t="shared" si="53"/>
        <v>172</v>
      </c>
      <c r="G525" s="292">
        <v>50</v>
      </c>
      <c r="H525" s="292">
        <v>0</v>
      </c>
      <c r="I525" s="139">
        <f t="shared" si="54"/>
        <v>50</v>
      </c>
      <c r="J525" s="266">
        <f t="shared" si="55"/>
        <v>0.29070000000000001</v>
      </c>
      <c r="K525" s="136">
        <f t="shared" si="50"/>
        <v>0</v>
      </c>
      <c r="L525" s="136">
        <f t="shared" si="51"/>
        <v>0</v>
      </c>
      <c r="M525" s="136">
        <f t="shared" si="52"/>
        <v>0</v>
      </c>
      <c r="O525" s="134"/>
      <c r="P525" s="259"/>
    </row>
    <row r="526" spans="1:16">
      <c r="A526" s="134">
        <v>293</v>
      </c>
      <c r="B526" s="259" t="s">
        <v>2047</v>
      </c>
      <c r="C526" s="129" t="s">
        <v>2048</v>
      </c>
      <c r="D526" s="292">
        <v>135</v>
      </c>
      <c r="E526" s="292">
        <v>0</v>
      </c>
      <c r="F526" s="139">
        <f t="shared" si="53"/>
        <v>135</v>
      </c>
      <c r="G526" s="292">
        <v>26</v>
      </c>
      <c r="H526" s="292">
        <v>0</v>
      </c>
      <c r="I526" s="139">
        <f t="shared" si="54"/>
        <v>26</v>
      </c>
      <c r="J526" s="266">
        <f t="shared" si="55"/>
        <v>0.19259999999999999</v>
      </c>
      <c r="K526" s="136">
        <f t="shared" si="50"/>
        <v>0</v>
      </c>
      <c r="L526" s="136">
        <f t="shared" si="51"/>
        <v>0</v>
      </c>
      <c r="M526" s="136">
        <f t="shared" si="52"/>
        <v>0</v>
      </c>
      <c r="O526" s="134"/>
      <c r="P526" s="259"/>
    </row>
    <row r="527" spans="1:16">
      <c r="A527" s="134">
        <v>294</v>
      </c>
      <c r="B527" s="259" t="s">
        <v>2049</v>
      </c>
      <c r="C527" s="129" t="s">
        <v>2050</v>
      </c>
      <c r="D527" s="292">
        <v>241</v>
      </c>
      <c r="E527" s="292">
        <v>0</v>
      </c>
      <c r="F527" s="139">
        <f t="shared" si="53"/>
        <v>241</v>
      </c>
      <c r="G527" s="292">
        <v>126</v>
      </c>
      <c r="H527" s="292">
        <v>0</v>
      </c>
      <c r="I527" s="139">
        <f t="shared" si="54"/>
        <v>126</v>
      </c>
      <c r="J527" s="266">
        <f t="shared" si="55"/>
        <v>0.52280000000000004</v>
      </c>
      <c r="K527" s="136">
        <f t="shared" si="50"/>
        <v>0</v>
      </c>
      <c r="L527" s="136">
        <f t="shared" si="51"/>
        <v>13.2</v>
      </c>
      <c r="M527" s="136">
        <f t="shared" si="52"/>
        <v>13.2</v>
      </c>
      <c r="O527" s="134"/>
      <c r="P527" s="259"/>
    </row>
    <row r="528" spans="1:16">
      <c r="A528" s="134">
        <v>294</v>
      </c>
      <c r="B528" s="259" t="s">
        <v>2051</v>
      </c>
      <c r="C528" s="129" t="s">
        <v>2052</v>
      </c>
      <c r="D528" s="292">
        <v>151</v>
      </c>
      <c r="E528" s="292">
        <v>0</v>
      </c>
      <c r="F528" s="139">
        <f t="shared" si="53"/>
        <v>151</v>
      </c>
      <c r="G528" s="292">
        <v>69</v>
      </c>
      <c r="H528" s="292">
        <v>0</v>
      </c>
      <c r="I528" s="139">
        <f t="shared" si="54"/>
        <v>69</v>
      </c>
      <c r="J528" s="266">
        <f t="shared" si="55"/>
        <v>0.45700000000000002</v>
      </c>
      <c r="K528" s="136">
        <f t="shared" si="50"/>
        <v>5.2</v>
      </c>
      <c r="L528" s="136">
        <f t="shared" si="51"/>
        <v>0</v>
      </c>
      <c r="M528" s="136">
        <f t="shared" si="52"/>
        <v>5.2</v>
      </c>
      <c r="O528" s="134"/>
      <c r="P528" s="259"/>
    </row>
    <row r="529" spans="1:16">
      <c r="A529" s="134">
        <v>297</v>
      </c>
      <c r="B529" s="259" t="s">
        <v>2053</v>
      </c>
      <c r="C529" s="129" t="s">
        <v>2054</v>
      </c>
      <c r="D529" s="292">
        <v>139</v>
      </c>
      <c r="E529" s="292">
        <v>0</v>
      </c>
      <c r="F529" s="139">
        <f t="shared" si="53"/>
        <v>139</v>
      </c>
      <c r="G529" s="292">
        <v>46</v>
      </c>
      <c r="H529" s="292">
        <v>0</v>
      </c>
      <c r="I529" s="139">
        <f t="shared" si="54"/>
        <v>46</v>
      </c>
      <c r="J529" s="266">
        <f t="shared" si="55"/>
        <v>0.33090000000000003</v>
      </c>
      <c r="K529" s="136">
        <f t="shared" si="50"/>
        <v>0</v>
      </c>
      <c r="L529" s="136">
        <f t="shared" si="51"/>
        <v>0</v>
      </c>
      <c r="M529" s="136">
        <f t="shared" si="52"/>
        <v>0</v>
      </c>
      <c r="O529" s="134"/>
      <c r="P529" s="259"/>
    </row>
    <row r="530" spans="1:16">
      <c r="A530" s="134">
        <v>297</v>
      </c>
      <c r="B530" s="259" t="s">
        <v>2055</v>
      </c>
      <c r="C530" s="129" t="s">
        <v>2056</v>
      </c>
      <c r="D530" s="292">
        <v>165</v>
      </c>
      <c r="E530" s="292">
        <v>0</v>
      </c>
      <c r="F530" s="139">
        <f t="shared" si="53"/>
        <v>165</v>
      </c>
      <c r="G530" s="292">
        <v>66</v>
      </c>
      <c r="H530" s="292">
        <v>0</v>
      </c>
      <c r="I530" s="139">
        <f t="shared" si="54"/>
        <v>66</v>
      </c>
      <c r="J530" s="266">
        <f t="shared" si="55"/>
        <v>0.4</v>
      </c>
      <c r="K530" s="136">
        <f t="shared" si="50"/>
        <v>2.2999999999999998</v>
      </c>
      <c r="L530" s="136">
        <f t="shared" si="51"/>
        <v>0</v>
      </c>
      <c r="M530" s="136">
        <f t="shared" si="52"/>
        <v>2.2999999999999998</v>
      </c>
      <c r="O530" s="134"/>
      <c r="P530" s="259"/>
    </row>
    <row r="531" spans="1:16">
      <c r="A531" s="134">
        <v>298</v>
      </c>
      <c r="B531" s="259" t="s">
        <v>2057</v>
      </c>
      <c r="C531" s="129" t="s">
        <v>2030</v>
      </c>
      <c r="D531" s="292">
        <v>147</v>
      </c>
      <c r="E531" s="292">
        <v>0</v>
      </c>
      <c r="F531" s="139">
        <f t="shared" si="53"/>
        <v>147</v>
      </c>
      <c r="G531" s="292">
        <v>67</v>
      </c>
      <c r="H531" s="292">
        <v>0</v>
      </c>
      <c r="I531" s="139">
        <f t="shared" si="54"/>
        <v>67</v>
      </c>
      <c r="J531" s="266">
        <f t="shared" si="55"/>
        <v>0.45579999999999998</v>
      </c>
      <c r="K531" s="136">
        <f t="shared" si="50"/>
        <v>5</v>
      </c>
      <c r="L531" s="136">
        <f t="shared" si="51"/>
        <v>0</v>
      </c>
      <c r="M531" s="136">
        <f t="shared" si="52"/>
        <v>5</v>
      </c>
      <c r="O531" s="134"/>
      <c r="P531" s="259"/>
    </row>
    <row r="532" spans="1:16">
      <c r="A532" s="134">
        <v>298</v>
      </c>
      <c r="B532" s="259" t="s">
        <v>2058</v>
      </c>
      <c r="C532" s="129" t="s">
        <v>2059</v>
      </c>
      <c r="D532" s="292">
        <v>191</v>
      </c>
      <c r="E532" s="292">
        <v>0</v>
      </c>
      <c r="F532" s="139">
        <f t="shared" si="53"/>
        <v>191</v>
      </c>
      <c r="G532" s="292">
        <v>88</v>
      </c>
      <c r="H532" s="292">
        <v>0</v>
      </c>
      <c r="I532" s="139">
        <f t="shared" si="54"/>
        <v>88</v>
      </c>
      <c r="J532" s="266">
        <f t="shared" si="55"/>
        <v>0.4607</v>
      </c>
      <c r="K532" s="136">
        <f t="shared" si="50"/>
        <v>6.8</v>
      </c>
      <c r="L532" s="136">
        <f t="shared" si="51"/>
        <v>0</v>
      </c>
      <c r="M532" s="136">
        <f t="shared" si="52"/>
        <v>6.8</v>
      </c>
      <c r="O532" s="134"/>
      <c r="P532" s="259"/>
    </row>
    <row r="533" spans="1:16">
      <c r="A533" s="134">
        <v>299</v>
      </c>
      <c r="B533" s="259" t="s">
        <v>2060</v>
      </c>
      <c r="C533" s="129" t="s">
        <v>2061</v>
      </c>
      <c r="D533" s="292">
        <v>138</v>
      </c>
      <c r="E533" s="292">
        <v>0</v>
      </c>
      <c r="F533" s="139">
        <f t="shared" si="53"/>
        <v>138</v>
      </c>
      <c r="G533" s="292">
        <v>61</v>
      </c>
      <c r="H533" s="292">
        <v>0</v>
      </c>
      <c r="I533" s="139">
        <f t="shared" si="54"/>
        <v>61</v>
      </c>
      <c r="J533" s="266">
        <f t="shared" si="55"/>
        <v>0.442</v>
      </c>
      <c r="K533" s="136">
        <f t="shared" si="50"/>
        <v>3.9</v>
      </c>
      <c r="L533" s="136">
        <f t="shared" si="51"/>
        <v>0</v>
      </c>
      <c r="M533" s="136">
        <f t="shared" si="52"/>
        <v>3.9</v>
      </c>
      <c r="O533" s="134"/>
      <c r="P533" s="259"/>
    </row>
    <row r="534" spans="1:16">
      <c r="A534" s="134">
        <v>299</v>
      </c>
      <c r="B534" s="259" t="s">
        <v>2062</v>
      </c>
      <c r="C534" s="129" t="s">
        <v>2063</v>
      </c>
      <c r="D534" s="292">
        <v>153</v>
      </c>
      <c r="E534" s="292">
        <v>0</v>
      </c>
      <c r="F534" s="139">
        <f t="shared" si="53"/>
        <v>153</v>
      </c>
      <c r="G534" s="292">
        <v>54</v>
      </c>
      <c r="H534" s="292">
        <v>0</v>
      </c>
      <c r="I534" s="139">
        <f t="shared" si="54"/>
        <v>54</v>
      </c>
      <c r="J534" s="266">
        <f t="shared" si="55"/>
        <v>0.35289999999999999</v>
      </c>
      <c r="K534" s="136">
        <f t="shared" si="50"/>
        <v>0.1</v>
      </c>
      <c r="L534" s="136">
        <f t="shared" si="51"/>
        <v>0</v>
      </c>
      <c r="M534" s="136">
        <f t="shared" si="52"/>
        <v>0.1</v>
      </c>
      <c r="O534" s="134"/>
      <c r="P534" s="259"/>
    </row>
    <row r="535" spans="1:16">
      <c r="A535" s="134">
        <v>300</v>
      </c>
      <c r="B535" s="259" t="s">
        <v>2064</v>
      </c>
      <c r="C535" s="129" t="s">
        <v>2065</v>
      </c>
      <c r="D535" s="292">
        <v>85</v>
      </c>
      <c r="E535" s="292">
        <v>0</v>
      </c>
      <c r="F535" s="139">
        <f t="shared" si="53"/>
        <v>85</v>
      </c>
      <c r="G535" s="292">
        <v>27</v>
      </c>
      <c r="H535" s="292">
        <v>0</v>
      </c>
      <c r="I535" s="139">
        <f t="shared" si="54"/>
        <v>27</v>
      </c>
      <c r="J535" s="266">
        <f t="shared" si="55"/>
        <v>0.31759999999999999</v>
      </c>
      <c r="K535" s="136">
        <f t="shared" si="50"/>
        <v>0</v>
      </c>
      <c r="L535" s="136">
        <f t="shared" si="51"/>
        <v>0</v>
      </c>
      <c r="M535" s="136">
        <f t="shared" si="52"/>
        <v>0</v>
      </c>
      <c r="O535" s="134"/>
      <c r="P535" s="259"/>
    </row>
    <row r="536" spans="1:16">
      <c r="A536" s="134">
        <v>300</v>
      </c>
      <c r="B536" s="259" t="s">
        <v>2066</v>
      </c>
      <c r="C536" s="129" t="s">
        <v>2067</v>
      </c>
      <c r="D536" s="292">
        <v>124</v>
      </c>
      <c r="E536" s="292">
        <v>0</v>
      </c>
      <c r="F536" s="139">
        <f t="shared" si="53"/>
        <v>124</v>
      </c>
      <c r="G536" s="292">
        <v>54</v>
      </c>
      <c r="H536" s="292">
        <v>0</v>
      </c>
      <c r="I536" s="139">
        <f t="shared" si="54"/>
        <v>54</v>
      </c>
      <c r="J536" s="266">
        <f t="shared" si="55"/>
        <v>0.4355</v>
      </c>
      <c r="K536" s="136">
        <f t="shared" si="50"/>
        <v>3.2</v>
      </c>
      <c r="L536" s="136">
        <f t="shared" si="51"/>
        <v>0</v>
      </c>
      <c r="M536" s="136">
        <f t="shared" si="52"/>
        <v>3.2</v>
      </c>
      <c r="O536" s="134"/>
      <c r="P536" s="259"/>
    </row>
    <row r="537" spans="1:16">
      <c r="A537" s="134">
        <v>300</v>
      </c>
      <c r="B537" s="259" t="s">
        <v>2068</v>
      </c>
      <c r="C537" s="129" t="s">
        <v>2069</v>
      </c>
      <c r="D537" s="292">
        <v>98</v>
      </c>
      <c r="E537" s="292">
        <v>0</v>
      </c>
      <c r="F537" s="139">
        <f t="shared" si="53"/>
        <v>98</v>
      </c>
      <c r="G537" s="292">
        <v>47</v>
      </c>
      <c r="H537" s="292">
        <v>0</v>
      </c>
      <c r="I537" s="139">
        <f t="shared" si="54"/>
        <v>47</v>
      </c>
      <c r="J537" s="266">
        <f t="shared" si="55"/>
        <v>0.47960000000000003</v>
      </c>
      <c r="K537" s="136">
        <f t="shared" si="50"/>
        <v>4.3</v>
      </c>
      <c r="L537" s="136">
        <f t="shared" si="51"/>
        <v>0</v>
      </c>
      <c r="M537" s="136">
        <f t="shared" si="52"/>
        <v>4.3</v>
      </c>
      <c r="O537" s="134"/>
      <c r="P537" s="259"/>
    </row>
    <row r="538" spans="1:16">
      <c r="A538" s="134">
        <v>303</v>
      </c>
      <c r="B538" s="259" t="s">
        <v>2070</v>
      </c>
      <c r="C538" s="129" t="s">
        <v>2071</v>
      </c>
      <c r="D538" s="292">
        <v>160</v>
      </c>
      <c r="E538" s="292">
        <v>0</v>
      </c>
      <c r="F538" s="139">
        <f t="shared" si="53"/>
        <v>160</v>
      </c>
      <c r="G538" s="292">
        <v>40</v>
      </c>
      <c r="H538" s="292">
        <v>0</v>
      </c>
      <c r="I538" s="139">
        <f t="shared" si="54"/>
        <v>40</v>
      </c>
      <c r="J538" s="266">
        <f t="shared" si="55"/>
        <v>0.25</v>
      </c>
      <c r="K538" s="136">
        <f t="shared" si="50"/>
        <v>0</v>
      </c>
      <c r="L538" s="136">
        <f t="shared" si="51"/>
        <v>0</v>
      </c>
      <c r="M538" s="136">
        <f t="shared" si="52"/>
        <v>0</v>
      </c>
      <c r="O538" s="134"/>
      <c r="P538" s="259"/>
    </row>
    <row r="539" spans="1:16">
      <c r="A539" s="134">
        <v>303</v>
      </c>
      <c r="B539" s="259" t="s">
        <v>2072</v>
      </c>
      <c r="C539" s="129" t="s">
        <v>2073</v>
      </c>
      <c r="D539" s="292">
        <v>120</v>
      </c>
      <c r="E539" s="292">
        <v>0</v>
      </c>
      <c r="F539" s="139">
        <f t="shared" si="53"/>
        <v>120</v>
      </c>
      <c r="G539" s="292">
        <v>47</v>
      </c>
      <c r="H539" s="292">
        <v>0</v>
      </c>
      <c r="I539" s="139">
        <f t="shared" si="54"/>
        <v>47</v>
      </c>
      <c r="J539" s="266">
        <f t="shared" si="55"/>
        <v>0.39169999999999999</v>
      </c>
      <c r="K539" s="136">
        <f t="shared" si="50"/>
        <v>1.4</v>
      </c>
      <c r="L539" s="136">
        <f t="shared" si="51"/>
        <v>0</v>
      </c>
      <c r="M539" s="136">
        <f t="shared" si="52"/>
        <v>1.4</v>
      </c>
      <c r="O539" s="134"/>
      <c r="P539" s="259"/>
    </row>
    <row r="540" spans="1:16">
      <c r="A540" s="134">
        <v>305</v>
      </c>
      <c r="B540" s="259" t="s">
        <v>2074</v>
      </c>
      <c r="C540" s="129" t="s">
        <v>2075</v>
      </c>
      <c r="D540" s="292">
        <v>400</v>
      </c>
      <c r="E540" s="292">
        <v>0</v>
      </c>
      <c r="F540" s="139">
        <f t="shared" si="53"/>
        <v>400</v>
      </c>
      <c r="G540" s="292">
        <v>163</v>
      </c>
      <c r="H540" s="292">
        <v>0</v>
      </c>
      <c r="I540" s="139">
        <f t="shared" si="54"/>
        <v>163</v>
      </c>
      <c r="J540" s="266">
        <f t="shared" si="55"/>
        <v>0.40749999999999997</v>
      </c>
      <c r="K540" s="136">
        <f t="shared" si="50"/>
        <v>6.6</v>
      </c>
      <c r="L540" s="136">
        <f t="shared" si="51"/>
        <v>0</v>
      </c>
      <c r="M540" s="136">
        <f t="shared" si="52"/>
        <v>6.6</v>
      </c>
      <c r="O540" s="134"/>
      <c r="P540" s="259"/>
    </row>
    <row r="541" spans="1:16">
      <c r="A541" s="134">
        <v>305</v>
      </c>
      <c r="B541" s="259" t="s">
        <v>2076</v>
      </c>
      <c r="C541" s="129" t="s">
        <v>2077</v>
      </c>
      <c r="D541" s="292">
        <v>382</v>
      </c>
      <c r="E541" s="292">
        <v>0</v>
      </c>
      <c r="F541" s="139">
        <f t="shared" si="53"/>
        <v>382</v>
      </c>
      <c r="G541" s="292">
        <v>203</v>
      </c>
      <c r="H541" s="292">
        <v>0</v>
      </c>
      <c r="I541" s="139">
        <f t="shared" si="54"/>
        <v>203</v>
      </c>
      <c r="J541" s="266">
        <f t="shared" si="55"/>
        <v>0.53139999999999998</v>
      </c>
      <c r="K541" s="136">
        <f t="shared" si="50"/>
        <v>0</v>
      </c>
      <c r="L541" s="136">
        <f t="shared" si="51"/>
        <v>21.3</v>
      </c>
      <c r="M541" s="136">
        <f t="shared" si="52"/>
        <v>21.3</v>
      </c>
      <c r="O541" s="134"/>
      <c r="P541" s="259"/>
    </row>
    <row r="542" spans="1:16">
      <c r="A542" s="134">
        <v>305</v>
      </c>
      <c r="B542" s="259" t="s">
        <v>2078</v>
      </c>
      <c r="C542" s="129" t="s">
        <v>2079</v>
      </c>
      <c r="D542" s="292">
        <v>432</v>
      </c>
      <c r="E542" s="292">
        <v>0</v>
      </c>
      <c r="F542" s="139">
        <f t="shared" si="53"/>
        <v>432</v>
      </c>
      <c r="G542" s="292">
        <v>128</v>
      </c>
      <c r="H542" s="292">
        <v>0</v>
      </c>
      <c r="I542" s="139">
        <f t="shared" si="54"/>
        <v>128</v>
      </c>
      <c r="J542" s="266">
        <f t="shared" si="55"/>
        <v>0.29630000000000001</v>
      </c>
      <c r="K542" s="136">
        <f t="shared" si="50"/>
        <v>0</v>
      </c>
      <c r="L542" s="136">
        <f t="shared" si="51"/>
        <v>0</v>
      </c>
      <c r="M542" s="136">
        <f t="shared" si="52"/>
        <v>0</v>
      </c>
      <c r="O542" s="134"/>
      <c r="P542" s="259"/>
    </row>
    <row r="543" spans="1:16">
      <c r="A543" s="134">
        <v>305</v>
      </c>
      <c r="B543" s="259" t="s">
        <v>2080</v>
      </c>
      <c r="C543" s="129" t="s">
        <v>2081</v>
      </c>
      <c r="D543" s="292">
        <v>294</v>
      </c>
      <c r="E543" s="292">
        <v>0</v>
      </c>
      <c r="F543" s="139">
        <f t="shared" si="53"/>
        <v>294</v>
      </c>
      <c r="G543" s="292">
        <v>229</v>
      </c>
      <c r="H543" s="292">
        <v>0</v>
      </c>
      <c r="I543" s="139">
        <f t="shared" si="54"/>
        <v>229</v>
      </c>
      <c r="J543" s="266">
        <f t="shared" si="55"/>
        <v>0.77890000000000004</v>
      </c>
      <c r="K543" s="136">
        <f t="shared" si="50"/>
        <v>0</v>
      </c>
      <c r="L543" s="136">
        <f t="shared" si="51"/>
        <v>24</v>
      </c>
      <c r="M543" s="136">
        <f t="shared" si="52"/>
        <v>24</v>
      </c>
      <c r="O543" s="134"/>
      <c r="P543" s="259"/>
    </row>
    <row r="544" spans="1:16">
      <c r="A544" s="134">
        <v>305</v>
      </c>
      <c r="B544" s="259" t="s">
        <v>2082</v>
      </c>
      <c r="C544" s="129" t="s">
        <v>2083</v>
      </c>
      <c r="D544" s="292">
        <v>399</v>
      </c>
      <c r="E544" s="292">
        <v>0</v>
      </c>
      <c r="F544" s="139">
        <f t="shared" si="53"/>
        <v>399</v>
      </c>
      <c r="G544" s="292">
        <v>281</v>
      </c>
      <c r="H544" s="292">
        <v>0</v>
      </c>
      <c r="I544" s="139">
        <f t="shared" si="54"/>
        <v>281</v>
      </c>
      <c r="J544" s="266">
        <f t="shared" si="55"/>
        <v>0.70430000000000004</v>
      </c>
      <c r="K544" s="136">
        <f t="shared" si="50"/>
        <v>0</v>
      </c>
      <c r="L544" s="136">
        <f t="shared" si="51"/>
        <v>29.5</v>
      </c>
      <c r="M544" s="136">
        <f t="shared" si="52"/>
        <v>29.5</v>
      </c>
      <c r="O544" s="134"/>
      <c r="P544" s="259"/>
    </row>
    <row r="545" spans="1:16">
      <c r="A545" s="134">
        <v>305</v>
      </c>
      <c r="B545" s="259" t="s">
        <v>2084</v>
      </c>
      <c r="C545" s="129" t="s">
        <v>2085</v>
      </c>
      <c r="D545" s="292">
        <v>424</v>
      </c>
      <c r="E545" s="292">
        <v>0</v>
      </c>
      <c r="F545" s="139">
        <f t="shared" si="53"/>
        <v>424</v>
      </c>
      <c r="G545" s="292">
        <v>150</v>
      </c>
      <c r="H545" s="292">
        <v>0</v>
      </c>
      <c r="I545" s="139">
        <f t="shared" si="54"/>
        <v>150</v>
      </c>
      <c r="J545" s="266">
        <f t="shared" si="55"/>
        <v>0.3538</v>
      </c>
      <c r="K545" s="136">
        <f t="shared" si="50"/>
        <v>0.4</v>
      </c>
      <c r="L545" s="136">
        <f t="shared" si="51"/>
        <v>0</v>
      </c>
      <c r="M545" s="136">
        <f t="shared" si="52"/>
        <v>0.4</v>
      </c>
      <c r="O545" s="134"/>
      <c r="P545" s="259"/>
    </row>
    <row r="546" spans="1:16">
      <c r="A546" s="134">
        <v>305</v>
      </c>
      <c r="B546" s="259" t="s">
        <v>2086</v>
      </c>
      <c r="C546" s="129" t="s">
        <v>2087</v>
      </c>
      <c r="D546" s="292">
        <v>379</v>
      </c>
      <c r="E546" s="292">
        <v>0</v>
      </c>
      <c r="F546" s="139">
        <f t="shared" si="53"/>
        <v>379</v>
      </c>
      <c r="G546" s="292">
        <v>261</v>
      </c>
      <c r="H546" s="292">
        <v>0</v>
      </c>
      <c r="I546" s="139">
        <f t="shared" si="54"/>
        <v>261</v>
      </c>
      <c r="J546" s="266">
        <f t="shared" si="55"/>
        <v>0.68869999999999998</v>
      </c>
      <c r="K546" s="136">
        <f t="shared" si="50"/>
        <v>0</v>
      </c>
      <c r="L546" s="136">
        <f t="shared" si="51"/>
        <v>27.4</v>
      </c>
      <c r="M546" s="136">
        <f t="shared" si="52"/>
        <v>27.4</v>
      </c>
      <c r="O546" s="134"/>
      <c r="P546" s="259"/>
    </row>
    <row r="547" spans="1:16">
      <c r="A547" s="134">
        <v>305</v>
      </c>
      <c r="B547" s="259" t="s">
        <v>2088</v>
      </c>
      <c r="C547" s="129" t="s">
        <v>2089</v>
      </c>
      <c r="D547" s="292">
        <v>319</v>
      </c>
      <c r="E547" s="292">
        <v>0</v>
      </c>
      <c r="F547" s="139">
        <f t="shared" si="53"/>
        <v>319</v>
      </c>
      <c r="G547" s="292">
        <v>232</v>
      </c>
      <c r="H547" s="292">
        <v>0</v>
      </c>
      <c r="I547" s="139">
        <f t="shared" si="54"/>
        <v>232</v>
      </c>
      <c r="J547" s="266">
        <f t="shared" si="55"/>
        <v>0.72729999999999995</v>
      </c>
      <c r="K547" s="136">
        <f t="shared" si="50"/>
        <v>0</v>
      </c>
      <c r="L547" s="136">
        <f t="shared" si="51"/>
        <v>24.4</v>
      </c>
      <c r="M547" s="136">
        <f t="shared" si="52"/>
        <v>24.4</v>
      </c>
      <c r="O547" s="134"/>
      <c r="P547" s="259"/>
    </row>
    <row r="548" spans="1:16">
      <c r="A548" s="134">
        <v>305</v>
      </c>
      <c r="B548" s="259" t="s">
        <v>2090</v>
      </c>
      <c r="C548" s="129" t="s">
        <v>2091</v>
      </c>
      <c r="D548" s="292">
        <v>676</v>
      </c>
      <c r="E548" s="292">
        <v>0</v>
      </c>
      <c r="F548" s="139">
        <f t="shared" si="53"/>
        <v>676</v>
      </c>
      <c r="G548" s="292">
        <v>373</v>
      </c>
      <c r="H548" s="292">
        <v>0</v>
      </c>
      <c r="I548" s="139">
        <f t="shared" si="54"/>
        <v>373</v>
      </c>
      <c r="J548" s="266">
        <f t="shared" si="55"/>
        <v>0.55179999999999996</v>
      </c>
      <c r="K548" s="136">
        <f t="shared" si="50"/>
        <v>0</v>
      </c>
      <c r="L548" s="136">
        <f t="shared" si="51"/>
        <v>39.200000000000003</v>
      </c>
      <c r="M548" s="136">
        <f t="shared" si="52"/>
        <v>39.200000000000003</v>
      </c>
      <c r="O548" s="134"/>
      <c r="P548" s="259"/>
    </row>
    <row r="549" spans="1:16">
      <c r="A549" s="134">
        <v>305</v>
      </c>
      <c r="B549" s="259" t="s">
        <v>4005</v>
      </c>
      <c r="C549" s="129" t="s">
        <v>4006</v>
      </c>
      <c r="D549" s="292">
        <v>0</v>
      </c>
      <c r="E549" s="292">
        <v>0</v>
      </c>
      <c r="F549" s="139">
        <f t="shared" si="53"/>
        <v>0</v>
      </c>
      <c r="G549" s="292">
        <v>0</v>
      </c>
      <c r="H549" s="292">
        <v>0</v>
      </c>
      <c r="I549" s="139">
        <f t="shared" si="54"/>
        <v>0</v>
      </c>
      <c r="J549" s="266">
        <f t="shared" si="55"/>
        <v>0</v>
      </c>
      <c r="K549" s="136">
        <f t="shared" si="50"/>
        <v>0</v>
      </c>
      <c r="L549" s="136">
        <f t="shared" si="51"/>
        <v>0</v>
      </c>
      <c r="M549" s="136">
        <f t="shared" si="52"/>
        <v>0</v>
      </c>
      <c r="O549" s="134"/>
      <c r="P549" s="259"/>
    </row>
    <row r="550" spans="1:16">
      <c r="A550" s="134">
        <v>305</v>
      </c>
      <c r="B550" s="259" t="s">
        <v>2092</v>
      </c>
      <c r="C550" s="129" t="s">
        <v>2093</v>
      </c>
      <c r="D550" s="292">
        <v>782</v>
      </c>
      <c r="E550" s="292">
        <v>0</v>
      </c>
      <c r="F550" s="139">
        <f t="shared" si="53"/>
        <v>782</v>
      </c>
      <c r="G550" s="292">
        <v>397</v>
      </c>
      <c r="H550" s="292">
        <v>0</v>
      </c>
      <c r="I550" s="139">
        <f t="shared" si="54"/>
        <v>397</v>
      </c>
      <c r="J550" s="266">
        <f t="shared" si="55"/>
        <v>0.50770000000000004</v>
      </c>
      <c r="K550" s="136">
        <f t="shared" si="50"/>
        <v>0</v>
      </c>
      <c r="L550" s="136">
        <f t="shared" si="51"/>
        <v>41.7</v>
      </c>
      <c r="M550" s="136">
        <f t="shared" si="52"/>
        <v>41.7</v>
      </c>
      <c r="O550" s="134"/>
      <c r="P550" s="259"/>
    </row>
    <row r="551" spans="1:16">
      <c r="A551" s="134">
        <v>305</v>
      </c>
      <c r="B551" s="259" t="s">
        <v>2094</v>
      </c>
      <c r="C551" s="129" t="s">
        <v>2095</v>
      </c>
      <c r="D551" s="292">
        <v>950</v>
      </c>
      <c r="E551" s="292">
        <v>0</v>
      </c>
      <c r="F551" s="139">
        <f t="shared" si="53"/>
        <v>950</v>
      </c>
      <c r="G551" s="292">
        <v>482</v>
      </c>
      <c r="H551" s="292">
        <v>0</v>
      </c>
      <c r="I551" s="139">
        <f t="shared" si="54"/>
        <v>482</v>
      </c>
      <c r="J551" s="266">
        <f t="shared" si="55"/>
        <v>0.50739999999999996</v>
      </c>
      <c r="K551" s="136">
        <f t="shared" si="50"/>
        <v>0</v>
      </c>
      <c r="L551" s="136">
        <f t="shared" si="51"/>
        <v>50.6</v>
      </c>
      <c r="M551" s="136">
        <f t="shared" si="52"/>
        <v>50.6</v>
      </c>
      <c r="O551" s="134"/>
      <c r="P551" s="259"/>
    </row>
    <row r="552" spans="1:16">
      <c r="A552" s="134">
        <v>305</v>
      </c>
      <c r="B552" s="259" t="s">
        <v>2096</v>
      </c>
      <c r="C552" s="129" t="s">
        <v>2097</v>
      </c>
      <c r="D552" s="292">
        <v>1063</v>
      </c>
      <c r="E552" s="292">
        <v>0</v>
      </c>
      <c r="F552" s="139">
        <f t="shared" si="53"/>
        <v>1063</v>
      </c>
      <c r="G552" s="292">
        <v>466</v>
      </c>
      <c r="H552" s="292">
        <v>0</v>
      </c>
      <c r="I552" s="139">
        <f t="shared" si="54"/>
        <v>466</v>
      </c>
      <c r="J552" s="266">
        <f t="shared" si="55"/>
        <v>0.43840000000000001</v>
      </c>
      <c r="K552" s="136">
        <f t="shared" si="50"/>
        <v>28.8</v>
      </c>
      <c r="L552" s="136">
        <f t="shared" si="51"/>
        <v>0</v>
      </c>
      <c r="M552" s="136">
        <f t="shared" si="52"/>
        <v>28.8</v>
      </c>
      <c r="O552" s="134"/>
      <c r="P552" s="259"/>
    </row>
    <row r="553" spans="1:16">
      <c r="A553" s="134">
        <v>306</v>
      </c>
      <c r="B553" s="259" t="s">
        <v>2098</v>
      </c>
      <c r="C553" s="129" t="s">
        <v>2099</v>
      </c>
      <c r="D553" s="292">
        <v>329</v>
      </c>
      <c r="E553" s="292">
        <v>0</v>
      </c>
      <c r="F553" s="139">
        <f t="shared" si="53"/>
        <v>329</v>
      </c>
      <c r="G553" s="292">
        <v>75</v>
      </c>
      <c r="H553" s="292">
        <v>0</v>
      </c>
      <c r="I553" s="139">
        <f t="shared" si="54"/>
        <v>75</v>
      </c>
      <c r="J553" s="266">
        <f t="shared" si="55"/>
        <v>0.22800000000000001</v>
      </c>
      <c r="K553" s="136">
        <f t="shared" si="50"/>
        <v>0</v>
      </c>
      <c r="L553" s="136">
        <f t="shared" si="51"/>
        <v>0</v>
      </c>
      <c r="M553" s="136">
        <f t="shared" si="52"/>
        <v>0</v>
      </c>
      <c r="O553" s="134"/>
      <c r="P553" s="259"/>
    </row>
    <row r="554" spans="1:16">
      <c r="A554" s="134">
        <v>306</v>
      </c>
      <c r="B554" s="259" t="s">
        <v>2100</v>
      </c>
      <c r="C554" s="129" t="s">
        <v>2101</v>
      </c>
      <c r="D554" s="292">
        <v>343</v>
      </c>
      <c r="E554" s="292">
        <v>0</v>
      </c>
      <c r="F554" s="139">
        <f t="shared" si="53"/>
        <v>343</v>
      </c>
      <c r="G554" s="292">
        <v>82</v>
      </c>
      <c r="H554" s="292">
        <v>0</v>
      </c>
      <c r="I554" s="139">
        <f t="shared" si="54"/>
        <v>82</v>
      </c>
      <c r="J554" s="266">
        <f t="shared" si="55"/>
        <v>0.23910000000000001</v>
      </c>
      <c r="K554" s="136">
        <f t="shared" si="50"/>
        <v>0</v>
      </c>
      <c r="L554" s="136">
        <f t="shared" si="51"/>
        <v>0</v>
      </c>
      <c r="M554" s="136">
        <f t="shared" si="52"/>
        <v>0</v>
      </c>
      <c r="O554" s="134"/>
      <c r="P554" s="259"/>
    </row>
    <row r="555" spans="1:16">
      <c r="A555" s="134">
        <v>307</v>
      </c>
      <c r="B555" s="259" t="s">
        <v>2102</v>
      </c>
      <c r="C555" s="129" t="s">
        <v>2103</v>
      </c>
      <c r="D555" s="292">
        <v>197</v>
      </c>
      <c r="E555" s="292">
        <v>0</v>
      </c>
      <c r="F555" s="139">
        <f t="shared" si="53"/>
        <v>197</v>
      </c>
      <c r="G555" s="292">
        <v>55</v>
      </c>
      <c r="H555" s="292">
        <v>0</v>
      </c>
      <c r="I555" s="139">
        <f t="shared" si="54"/>
        <v>55</v>
      </c>
      <c r="J555" s="266">
        <f t="shared" si="55"/>
        <v>0.2792</v>
      </c>
      <c r="K555" s="136">
        <f t="shared" si="50"/>
        <v>0</v>
      </c>
      <c r="L555" s="136">
        <f t="shared" si="51"/>
        <v>0</v>
      </c>
      <c r="M555" s="136">
        <f t="shared" si="52"/>
        <v>0</v>
      </c>
      <c r="O555" s="134"/>
      <c r="P555" s="259"/>
    </row>
    <row r="556" spans="1:16">
      <c r="A556" s="134">
        <v>307</v>
      </c>
      <c r="B556" s="259" t="s">
        <v>2104</v>
      </c>
      <c r="C556" s="129" t="s">
        <v>2105</v>
      </c>
      <c r="D556" s="292">
        <v>212</v>
      </c>
      <c r="E556" s="292">
        <v>0</v>
      </c>
      <c r="F556" s="139">
        <f t="shared" si="53"/>
        <v>212</v>
      </c>
      <c r="G556" s="292">
        <v>76</v>
      </c>
      <c r="H556" s="292">
        <v>0</v>
      </c>
      <c r="I556" s="139">
        <f t="shared" si="54"/>
        <v>76</v>
      </c>
      <c r="J556" s="266">
        <f t="shared" si="55"/>
        <v>0.35849999999999999</v>
      </c>
      <c r="K556" s="136">
        <f t="shared" si="50"/>
        <v>0.5</v>
      </c>
      <c r="L556" s="136">
        <f t="shared" si="51"/>
        <v>0</v>
      </c>
      <c r="M556" s="136">
        <f t="shared" si="52"/>
        <v>0.5</v>
      </c>
      <c r="P556" s="259"/>
    </row>
    <row r="557" spans="1:16">
      <c r="A557" s="134">
        <v>308</v>
      </c>
      <c r="B557" s="259" t="s">
        <v>2106</v>
      </c>
      <c r="C557" s="129" t="s">
        <v>2107</v>
      </c>
      <c r="D557" s="292">
        <v>260</v>
      </c>
      <c r="E557" s="292">
        <v>0</v>
      </c>
      <c r="F557" s="139">
        <f t="shared" si="53"/>
        <v>260</v>
      </c>
      <c r="G557" s="292">
        <v>150</v>
      </c>
      <c r="H557" s="292">
        <v>0</v>
      </c>
      <c r="I557" s="139">
        <f t="shared" si="54"/>
        <v>150</v>
      </c>
      <c r="J557" s="266">
        <f t="shared" si="55"/>
        <v>0.57689999999999997</v>
      </c>
      <c r="K557" s="136">
        <f t="shared" si="50"/>
        <v>0</v>
      </c>
      <c r="L557" s="136">
        <f t="shared" si="51"/>
        <v>15.8</v>
      </c>
      <c r="M557" s="136">
        <f t="shared" si="52"/>
        <v>15.8</v>
      </c>
      <c r="O557" s="134"/>
      <c r="P557" s="259"/>
    </row>
    <row r="558" spans="1:16">
      <c r="A558" s="134">
        <v>308</v>
      </c>
      <c r="B558" s="259" t="s">
        <v>2108</v>
      </c>
      <c r="C558" s="129" t="s">
        <v>2109</v>
      </c>
      <c r="D558" s="292">
        <v>293</v>
      </c>
      <c r="E558" s="292">
        <v>0</v>
      </c>
      <c r="F558" s="139">
        <f t="shared" si="53"/>
        <v>293</v>
      </c>
      <c r="G558" s="292">
        <v>242</v>
      </c>
      <c r="H558" s="292">
        <v>0</v>
      </c>
      <c r="I558" s="139">
        <f t="shared" si="54"/>
        <v>242</v>
      </c>
      <c r="J558" s="266">
        <f t="shared" si="55"/>
        <v>0.82589999999999997</v>
      </c>
      <c r="K558" s="136">
        <f t="shared" si="50"/>
        <v>0</v>
      </c>
      <c r="L558" s="136">
        <f t="shared" si="51"/>
        <v>25.4</v>
      </c>
      <c r="M558" s="136">
        <f t="shared" si="52"/>
        <v>25.4</v>
      </c>
      <c r="O558" s="134"/>
      <c r="P558" s="259"/>
    </row>
    <row r="559" spans="1:16">
      <c r="A559" s="134">
        <v>308</v>
      </c>
      <c r="B559" s="259" t="s">
        <v>2110</v>
      </c>
      <c r="C559" s="129" t="s">
        <v>2111</v>
      </c>
      <c r="D559" s="292">
        <v>278</v>
      </c>
      <c r="E559" s="292">
        <v>0</v>
      </c>
      <c r="F559" s="139">
        <f t="shared" si="53"/>
        <v>278</v>
      </c>
      <c r="G559" s="292">
        <v>162</v>
      </c>
      <c r="H559" s="292">
        <v>0</v>
      </c>
      <c r="I559" s="139">
        <f t="shared" si="54"/>
        <v>162</v>
      </c>
      <c r="J559" s="266">
        <f t="shared" si="55"/>
        <v>0.5827</v>
      </c>
      <c r="K559" s="136">
        <f t="shared" si="50"/>
        <v>0</v>
      </c>
      <c r="L559" s="136">
        <f t="shared" si="51"/>
        <v>17</v>
      </c>
      <c r="M559" s="136">
        <f t="shared" si="52"/>
        <v>17</v>
      </c>
      <c r="O559" s="134"/>
      <c r="P559" s="259"/>
    </row>
    <row r="560" spans="1:16">
      <c r="A560" s="134">
        <v>308</v>
      </c>
      <c r="B560" s="259" t="s">
        <v>2112</v>
      </c>
      <c r="C560" s="129" t="s">
        <v>2113</v>
      </c>
      <c r="D560" s="292">
        <v>353</v>
      </c>
      <c r="E560" s="292">
        <v>0</v>
      </c>
      <c r="F560" s="139">
        <f t="shared" si="53"/>
        <v>353</v>
      </c>
      <c r="G560" s="292">
        <v>278</v>
      </c>
      <c r="H560" s="292">
        <v>0</v>
      </c>
      <c r="I560" s="139">
        <f t="shared" si="54"/>
        <v>278</v>
      </c>
      <c r="J560" s="266">
        <f t="shared" si="55"/>
        <v>0.78749999999999998</v>
      </c>
      <c r="K560" s="136">
        <f t="shared" si="50"/>
        <v>0</v>
      </c>
      <c r="L560" s="136">
        <f t="shared" si="51"/>
        <v>29.2</v>
      </c>
      <c r="M560" s="136">
        <f t="shared" si="52"/>
        <v>29.2</v>
      </c>
      <c r="O560" s="134"/>
      <c r="P560" s="259"/>
    </row>
    <row r="561" spans="1:16">
      <c r="A561" s="134">
        <v>308</v>
      </c>
      <c r="B561" s="259" t="s">
        <v>2114</v>
      </c>
      <c r="C561" s="129" t="s">
        <v>2115</v>
      </c>
      <c r="D561" s="292">
        <v>384</v>
      </c>
      <c r="E561" s="292">
        <v>0</v>
      </c>
      <c r="F561" s="139">
        <f t="shared" si="53"/>
        <v>384</v>
      </c>
      <c r="G561" s="292">
        <v>169</v>
      </c>
      <c r="H561" s="292">
        <v>0</v>
      </c>
      <c r="I561" s="139">
        <f t="shared" si="54"/>
        <v>169</v>
      </c>
      <c r="J561" s="266">
        <f t="shared" si="55"/>
        <v>0.44009999999999999</v>
      </c>
      <c r="K561" s="136">
        <f t="shared" si="50"/>
        <v>10.7</v>
      </c>
      <c r="L561" s="136">
        <f t="shared" si="51"/>
        <v>0</v>
      </c>
      <c r="M561" s="136">
        <f t="shared" si="52"/>
        <v>10.7</v>
      </c>
      <c r="O561" s="134"/>
      <c r="P561" s="259"/>
    </row>
    <row r="562" spans="1:16">
      <c r="A562" s="134">
        <v>308</v>
      </c>
      <c r="B562" s="259" t="s">
        <v>2116</v>
      </c>
      <c r="C562" s="129" t="s">
        <v>2117</v>
      </c>
      <c r="D562" s="292">
        <v>311</v>
      </c>
      <c r="E562" s="292">
        <v>0</v>
      </c>
      <c r="F562" s="139">
        <f t="shared" si="53"/>
        <v>311</v>
      </c>
      <c r="G562" s="292">
        <v>156</v>
      </c>
      <c r="H562" s="292">
        <v>0</v>
      </c>
      <c r="I562" s="139">
        <f t="shared" si="54"/>
        <v>156</v>
      </c>
      <c r="J562" s="266">
        <f t="shared" si="55"/>
        <v>0.50160000000000005</v>
      </c>
      <c r="K562" s="136">
        <f t="shared" si="50"/>
        <v>0</v>
      </c>
      <c r="L562" s="136">
        <f t="shared" si="51"/>
        <v>16.399999999999999</v>
      </c>
      <c r="M562" s="136">
        <f t="shared" si="52"/>
        <v>16.399999999999999</v>
      </c>
      <c r="O562" s="134"/>
      <c r="P562" s="259"/>
    </row>
    <row r="563" spans="1:16">
      <c r="A563" s="134">
        <v>308</v>
      </c>
      <c r="B563" s="259" t="s">
        <v>2118</v>
      </c>
      <c r="C563" s="129" t="s">
        <v>2119</v>
      </c>
      <c r="D563" s="292">
        <v>305</v>
      </c>
      <c r="E563" s="292">
        <v>0</v>
      </c>
      <c r="F563" s="139">
        <f t="shared" si="53"/>
        <v>305</v>
      </c>
      <c r="G563" s="292">
        <v>174</v>
      </c>
      <c r="H563" s="292">
        <v>0</v>
      </c>
      <c r="I563" s="139">
        <f t="shared" si="54"/>
        <v>174</v>
      </c>
      <c r="J563" s="266">
        <f t="shared" si="55"/>
        <v>0.57050000000000001</v>
      </c>
      <c r="K563" s="136">
        <f t="shared" si="50"/>
        <v>0</v>
      </c>
      <c r="L563" s="136">
        <f t="shared" si="51"/>
        <v>18.3</v>
      </c>
      <c r="M563" s="136">
        <f t="shared" si="52"/>
        <v>18.3</v>
      </c>
      <c r="O563" s="134"/>
      <c r="P563" s="259"/>
    </row>
    <row r="564" spans="1:16">
      <c r="A564" s="134">
        <v>308</v>
      </c>
      <c r="B564" s="259" t="s">
        <v>2120</v>
      </c>
      <c r="C564" s="129" t="s">
        <v>2121</v>
      </c>
      <c r="D564" s="292">
        <v>1284</v>
      </c>
      <c r="E564" s="292">
        <v>0</v>
      </c>
      <c r="F564" s="139">
        <f t="shared" si="53"/>
        <v>1284</v>
      </c>
      <c r="G564" s="292">
        <v>707</v>
      </c>
      <c r="H564" s="292">
        <v>0</v>
      </c>
      <c r="I564" s="139">
        <f t="shared" si="54"/>
        <v>707</v>
      </c>
      <c r="J564" s="266">
        <f t="shared" si="55"/>
        <v>0.55059999999999998</v>
      </c>
      <c r="K564" s="136">
        <f t="shared" si="50"/>
        <v>0</v>
      </c>
      <c r="L564" s="136">
        <f t="shared" si="51"/>
        <v>74.2</v>
      </c>
      <c r="M564" s="136">
        <f t="shared" si="52"/>
        <v>74.2</v>
      </c>
      <c r="O564" s="134"/>
      <c r="P564" s="259"/>
    </row>
    <row r="565" spans="1:16">
      <c r="A565" s="134">
        <v>308</v>
      </c>
      <c r="B565" s="259" t="s">
        <v>2122</v>
      </c>
      <c r="C565" s="129" t="s">
        <v>2123</v>
      </c>
      <c r="D565" s="292">
        <v>278</v>
      </c>
      <c r="E565" s="292">
        <v>0</v>
      </c>
      <c r="F565" s="139">
        <f t="shared" si="53"/>
        <v>278</v>
      </c>
      <c r="G565" s="292">
        <v>183</v>
      </c>
      <c r="H565" s="292">
        <v>0</v>
      </c>
      <c r="I565" s="139">
        <f t="shared" si="54"/>
        <v>183</v>
      </c>
      <c r="J565" s="266">
        <f t="shared" si="55"/>
        <v>0.6583</v>
      </c>
      <c r="K565" s="136">
        <f t="shared" si="50"/>
        <v>0</v>
      </c>
      <c r="L565" s="136">
        <f t="shared" si="51"/>
        <v>19.2</v>
      </c>
      <c r="M565" s="136">
        <f t="shared" si="52"/>
        <v>19.2</v>
      </c>
      <c r="O565" s="134"/>
      <c r="P565" s="259"/>
    </row>
    <row r="566" spans="1:16">
      <c r="A566" s="134">
        <v>308</v>
      </c>
      <c r="B566" s="259" t="s">
        <v>4007</v>
      </c>
      <c r="C566" s="129" t="s">
        <v>4008</v>
      </c>
      <c r="D566" s="292">
        <v>0</v>
      </c>
      <c r="E566" s="292">
        <v>0</v>
      </c>
      <c r="F566" s="139">
        <f t="shared" si="53"/>
        <v>0</v>
      </c>
      <c r="G566" s="292">
        <v>0</v>
      </c>
      <c r="H566" s="292">
        <v>0</v>
      </c>
      <c r="I566" s="139">
        <f t="shared" si="54"/>
        <v>0</v>
      </c>
      <c r="J566" s="266">
        <f t="shared" si="55"/>
        <v>0</v>
      </c>
      <c r="K566" s="136">
        <f t="shared" si="50"/>
        <v>0</v>
      </c>
      <c r="L566" s="136">
        <f t="shared" si="51"/>
        <v>0</v>
      </c>
      <c r="M566" s="136">
        <f t="shared" si="52"/>
        <v>0</v>
      </c>
      <c r="O566" s="134"/>
      <c r="P566" s="259"/>
    </row>
    <row r="567" spans="1:16">
      <c r="A567" s="134">
        <v>309</v>
      </c>
      <c r="B567" s="259" t="s">
        <v>2124</v>
      </c>
      <c r="C567" s="129" t="s">
        <v>2125</v>
      </c>
      <c r="D567" s="292">
        <v>182</v>
      </c>
      <c r="E567" s="292">
        <v>0</v>
      </c>
      <c r="F567" s="139">
        <f t="shared" si="53"/>
        <v>182</v>
      </c>
      <c r="G567" s="292">
        <v>96</v>
      </c>
      <c r="H567" s="292">
        <v>0</v>
      </c>
      <c r="I567" s="139">
        <f t="shared" si="54"/>
        <v>96</v>
      </c>
      <c r="J567" s="266">
        <f t="shared" si="55"/>
        <v>0.52749999999999997</v>
      </c>
      <c r="K567" s="136">
        <f t="shared" si="50"/>
        <v>0</v>
      </c>
      <c r="L567" s="136">
        <f t="shared" si="51"/>
        <v>10.1</v>
      </c>
      <c r="M567" s="136">
        <f t="shared" si="52"/>
        <v>10.1</v>
      </c>
      <c r="O567" s="134"/>
      <c r="P567" s="259"/>
    </row>
    <row r="568" spans="1:16">
      <c r="A568" s="134">
        <v>309</v>
      </c>
      <c r="B568" s="259" t="s">
        <v>2126</v>
      </c>
      <c r="C568" s="129" t="s">
        <v>2127</v>
      </c>
      <c r="D568" s="292">
        <v>293</v>
      </c>
      <c r="E568" s="292">
        <v>0</v>
      </c>
      <c r="F568" s="139">
        <f t="shared" si="53"/>
        <v>293</v>
      </c>
      <c r="G568" s="292">
        <v>121</v>
      </c>
      <c r="H568" s="292">
        <v>0</v>
      </c>
      <c r="I568" s="139">
        <f t="shared" si="54"/>
        <v>121</v>
      </c>
      <c r="J568" s="266">
        <f t="shared" si="55"/>
        <v>0.41299999999999998</v>
      </c>
      <c r="K568" s="136">
        <f t="shared" si="50"/>
        <v>5.3</v>
      </c>
      <c r="L568" s="136">
        <f t="shared" si="51"/>
        <v>0</v>
      </c>
      <c r="M568" s="136">
        <f t="shared" si="52"/>
        <v>5.3</v>
      </c>
      <c r="O568" s="134"/>
      <c r="P568" s="259"/>
    </row>
    <row r="569" spans="1:16">
      <c r="A569" s="134">
        <v>309</v>
      </c>
      <c r="B569" s="259" t="s">
        <v>2128</v>
      </c>
      <c r="C569" s="129" t="s">
        <v>2129</v>
      </c>
      <c r="D569" s="292">
        <v>129</v>
      </c>
      <c r="E569" s="292">
        <v>0</v>
      </c>
      <c r="F569" s="139">
        <f t="shared" si="53"/>
        <v>129</v>
      </c>
      <c r="G569" s="292">
        <v>65</v>
      </c>
      <c r="H569" s="292">
        <v>0</v>
      </c>
      <c r="I569" s="139">
        <f t="shared" si="54"/>
        <v>65</v>
      </c>
      <c r="J569" s="266">
        <f t="shared" si="55"/>
        <v>0.50390000000000001</v>
      </c>
      <c r="K569" s="136">
        <f t="shared" si="50"/>
        <v>0</v>
      </c>
      <c r="L569" s="136">
        <f t="shared" si="51"/>
        <v>6.8</v>
      </c>
      <c r="M569" s="136">
        <f t="shared" si="52"/>
        <v>6.8</v>
      </c>
      <c r="O569" s="134"/>
      <c r="P569" s="259"/>
    </row>
    <row r="570" spans="1:16">
      <c r="A570" s="134">
        <v>309</v>
      </c>
      <c r="B570" s="259" t="s">
        <v>2130</v>
      </c>
      <c r="C570" s="129" t="s">
        <v>2131</v>
      </c>
      <c r="D570" s="292">
        <v>311</v>
      </c>
      <c r="E570" s="292">
        <v>0</v>
      </c>
      <c r="F570" s="139">
        <f t="shared" si="53"/>
        <v>311</v>
      </c>
      <c r="G570" s="292">
        <v>138</v>
      </c>
      <c r="H570" s="292">
        <v>0</v>
      </c>
      <c r="I570" s="139">
        <f t="shared" si="54"/>
        <v>138</v>
      </c>
      <c r="J570" s="266">
        <f t="shared" si="55"/>
        <v>0.44369999999999998</v>
      </c>
      <c r="K570" s="136">
        <f t="shared" si="50"/>
        <v>9.1</v>
      </c>
      <c r="L570" s="136">
        <f t="shared" si="51"/>
        <v>0</v>
      </c>
      <c r="M570" s="136">
        <f t="shared" si="52"/>
        <v>9.1</v>
      </c>
      <c r="O570" s="134"/>
      <c r="P570" s="259"/>
    </row>
    <row r="571" spans="1:16">
      <c r="A571" s="134">
        <v>309</v>
      </c>
      <c r="B571" s="259" t="s">
        <v>4009</v>
      </c>
      <c r="C571" s="129" t="s">
        <v>4010</v>
      </c>
      <c r="D571" s="292">
        <v>0</v>
      </c>
      <c r="E571" s="292">
        <v>0</v>
      </c>
      <c r="F571" s="139">
        <f t="shared" si="53"/>
        <v>0</v>
      </c>
      <c r="G571" s="292">
        <v>0</v>
      </c>
      <c r="H571" s="292">
        <v>0</v>
      </c>
      <c r="I571" s="139">
        <f t="shared" si="54"/>
        <v>0</v>
      </c>
      <c r="J571" s="266">
        <f t="shared" si="55"/>
        <v>0</v>
      </c>
      <c r="K571" s="136">
        <f t="shared" si="50"/>
        <v>0</v>
      </c>
      <c r="L571" s="136">
        <f t="shared" si="51"/>
        <v>0</v>
      </c>
      <c r="M571" s="136">
        <f t="shared" si="52"/>
        <v>0</v>
      </c>
      <c r="O571" s="134"/>
      <c r="P571" s="259"/>
    </row>
    <row r="572" spans="1:16">
      <c r="A572" s="134">
        <v>310</v>
      </c>
      <c r="B572" s="259" t="s">
        <v>2132</v>
      </c>
      <c r="C572" s="129" t="s">
        <v>2133</v>
      </c>
      <c r="D572" s="292">
        <v>272</v>
      </c>
      <c r="E572" s="292">
        <v>0</v>
      </c>
      <c r="F572" s="139">
        <f t="shared" si="53"/>
        <v>272</v>
      </c>
      <c r="G572" s="292">
        <v>123</v>
      </c>
      <c r="H572" s="292">
        <v>0</v>
      </c>
      <c r="I572" s="139">
        <f t="shared" si="54"/>
        <v>123</v>
      </c>
      <c r="J572" s="266">
        <f t="shared" si="55"/>
        <v>0.45219999999999999</v>
      </c>
      <c r="K572" s="136">
        <f t="shared" si="50"/>
        <v>8.8000000000000007</v>
      </c>
      <c r="L572" s="136">
        <f t="shared" si="51"/>
        <v>0</v>
      </c>
      <c r="M572" s="136">
        <f t="shared" si="52"/>
        <v>8.8000000000000007</v>
      </c>
      <c r="O572" s="134"/>
      <c r="P572" s="259"/>
    </row>
    <row r="573" spans="1:16">
      <c r="A573" s="134">
        <v>311</v>
      </c>
      <c r="B573" s="259" t="s">
        <v>2134</v>
      </c>
      <c r="C573" s="129" t="s">
        <v>2135</v>
      </c>
      <c r="D573" s="292">
        <v>120</v>
      </c>
      <c r="E573" s="292">
        <v>0</v>
      </c>
      <c r="F573" s="139">
        <f t="shared" si="53"/>
        <v>120</v>
      </c>
      <c r="G573" s="292">
        <v>51</v>
      </c>
      <c r="H573" s="292">
        <v>0</v>
      </c>
      <c r="I573" s="139">
        <f t="shared" si="54"/>
        <v>51</v>
      </c>
      <c r="J573" s="266">
        <f t="shared" si="55"/>
        <v>0.42499999999999999</v>
      </c>
      <c r="K573" s="136">
        <f t="shared" si="50"/>
        <v>2.7</v>
      </c>
      <c r="L573" s="136">
        <f t="shared" si="51"/>
        <v>0</v>
      </c>
      <c r="M573" s="136">
        <f t="shared" si="52"/>
        <v>2.7</v>
      </c>
      <c r="O573" s="134"/>
      <c r="P573" s="259"/>
    </row>
    <row r="574" spans="1:16">
      <c r="A574" s="134">
        <v>311</v>
      </c>
      <c r="B574" s="259" t="s">
        <v>2136</v>
      </c>
      <c r="C574" s="129" t="s">
        <v>2137</v>
      </c>
      <c r="D574" s="292">
        <v>81</v>
      </c>
      <c r="E574" s="292">
        <v>0</v>
      </c>
      <c r="F574" s="139">
        <f t="shared" si="53"/>
        <v>81</v>
      </c>
      <c r="G574" s="292">
        <v>26</v>
      </c>
      <c r="H574" s="292">
        <v>0</v>
      </c>
      <c r="I574" s="139">
        <f t="shared" si="54"/>
        <v>26</v>
      </c>
      <c r="J574" s="266">
        <f t="shared" si="55"/>
        <v>0.32100000000000001</v>
      </c>
      <c r="K574" s="136">
        <f t="shared" si="50"/>
        <v>0</v>
      </c>
      <c r="L574" s="136">
        <f t="shared" si="51"/>
        <v>0</v>
      </c>
      <c r="M574" s="136">
        <f t="shared" si="52"/>
        <v>0</v>
      </c>
      <c r="O574" s="134"/>
      <c r="P574" s="259"/>
    </row>
    <row r="575" spans="1:16">
      <c r="A575" s="134">
        <v>311</v>
      </c>
      <c r="B575" s="259" t="s">
        <v>2138</v>
      </c>
      <c r="C575" s="129" t="s">
        <v>2139</v>
      </c>
      <c r="D575" s="292">
        <v>97</v>
      </c>
      <c r="E575" s="292">
        <v>0</v>
      </c>
      <c r="F575" s="139">
        <f t="shared" si="53"/>
        <v>97</v>
      </c>
      <c r="G575" s="292">
        <v>42</v>
      </c>
      <c r="H575" s="292">
        <v>0</v>
      </c>
      <c r="I575" s="139">
        <f t="shared" si="54"/>
        <v>42</v>
      </c>
      <c r="J575" s="266">
        <f t="shared" si="55"/>
        <v>0.433</v>
      </c>
      <c r="K575" s="136">
        <f t="shared" si="50"/>
        <v>2.4</v>
      </c>
      <c r="L575" s="136">
        <f t="shared" si="51"/>
        <v>0</v>
      </c>
      <c r="M575" s="136">
        <f t="shared" si="52"/>
        <v>2.4</v>
      </c>
      <c r="O575" s="134"/>
      <c r="P575" s="259"/>
    </row>
    <row r="576" spans="1:16">
      <c r="A576" s="134">
        <v>312</v>
      </c>
      <c r="B576" s="259" t="s">
        <v>2140</v>
      </c>
      <c r="C576" s="129" t="s">
        <v>2141</v>
      </c>
      <c r="D576" s="292">
        <v>340</v>
      </c>
      <c r="E576" s="292">
        <v>0</v>
      </c>
      <c r="F576" s="139">
        <f t="shared" si="53"/>
        <v>340</v>
      </c>
      <c r="G576" s="292">
        <v>146</v>
      </c>
      <c r="H576" s="292">
        <v>0</v>
      </c>
      <c r="I576" s="139">
        <f t="shared" si="54"/>
        <v>146</v>
      </c>
      <c r="J576" s="266">
        <f t="shared" si="55"/>
        <v>0.4294</v>
      </c>
      <c r="K576" s="136">
        <f t="shared" si="50"/>
        <v>8.1</v>
      </c>
      <c r="L576" s="136">
        <f t="shared" si="51"/>
        <v>0</v>
      </c>
      <c r="M576" s="136">
        <f t="shared" si="52"/>
        <v>8.1</v>
      </c>
      <c r="O576" s="134"/>
      <c r="P576" s="259"/>
    </row>
    <row r="577" spans="1:20">
      <c r="A577" s="134">
        <v>312</v>
      </c>
      <c r="B577" s="259" t="s">
        <v>2142</v>
      </c>
      <c r="C577" s="129" t="s">
        <v>2143</v>
      </c>
      <c r="D577" s="292">
        <v>125</v>
      </c>
      <c r="E577" s="292">
        <v>0</v>
      </c>
      <c r="F577" s="139">
        <f t="shared" si="53"/>
        <v>125</v>
      </c>
      <c r="G577" s="292">
        <v>53</v>
      </c>
      <c r="H577" s="292">
        <v>0</v>
      </c>
      <c r="I577" s="139">
        <f t="shared" si="54"/>
        <v>53</v>
      </c>
      <c r="J577" s="266">
        <f t="shared" si="55"/>
        <v>0.42399999999999999</v>
      </c>
      <c r="K577" s="136">
        <f t="shared" si="50"/>
        <v>2.7</v>
      </c>
      <c r="L577" s="136">
        <f t="shared" si="51"/>
        <v>0</v>
      </c>
      <c r="M577" s="136">
        <f t="shared" si="52"/>
        <v>2.7</v>
      </c>
      <c r="O577" s="134"/>
      <c r="P577" s="259"/>
    </row>
    <row r="578" spans="1:20">
      <c r="A578" s="134">
        <v>312</v>
      </c>
      <c r="B578" s="259" t="s">
        <v>2144</v>
      </c>
      <c r="C578" s="129" t="s">
        <v>2145</v>
      </c>
      <c r="D578" s="292">
        <v>209</v>
      </c>
      <c r="E578" s="292">
        <v>0</v>
      </c>
      <c r="F578" s="139">
        <f t="shared" si="53"/>
        <v>209</v>
      </c>
      <c r="G578" s="292">
        <v>64</v>
      </c>
      <c r="H578" s="292">
        <v>0</v>
      </c>
      <c r="I578" s="139">
        <f t="shared" si="54"/>
        <v>64</v>
      </c>
      <c r="J578" s="266">
        <f t="shared" si="55"/>
        <v>0.30620000000000003</v>
      </c>
      <c r="K578" s="136">
        <f t="shared" si="50"/>
        <v>0</v>
      </c>
      <c r="L578" s="136">
        <f t="shared" si="51"/>
        <v>0</v>
      </c>
      <c r="M578" s="136">
        <f t="shared" si="52"/>
        <v>0</v>
      </c>
      <c r="P578" s="259"/>
    </row>
    <row r="579" spans="1:20">
      <c r="A579" s="134">
        <v>312</v>
      </c>
      <c r="B579" s="259" t="s">
        <v>2146</v>
      </c>
      <c r="C579" s="129" t="s">
        <v>2147</v>
      </c>
      <c r="D579" s="292">
        <v>89</v>
      </c>
      <c r="E579" s="292">
        <v>0</v>
      </c>
      <c r="F579" s="139">
        <f t="shared" si="53"/>
        <v>89</v>
      </c>
      <c r="G579" s="292">
        <v>41</v>
      </c>
      <c r="H579" s="292">
        <v>0</v>
      </c>
      <c r="I579" s="139">
        <f t="shared" si="54"/>
        <v>41</v>
      </c>
      <c r="J579" s="266">
        <f t="shared" si="55"/>
        <v>0.4607</v>
      </c>
      <c r="K579" s="136">
        <f t="shared" si="50"/>
        <v>3.2</v>
      </c>
      <c r="L579" s="136">
        <f t="shared" si="51"/>
        <v>0</v>
      </c>
      <c r="M579" s="136">
        <f t="shared" si="52"/>
        <v>3.2</v>
      </c>
      <c r="O579" s="134"/>
      <c r="P579" s="259"/>
    </row>
    <row r="580" spans="1:20">
      <c r="A580" s="134">
        <v>312</v>
      </c>
      <c r="B580" s="259" t="s">
        <v>4011</v>
      </c>
      <c r="C580" s="129" t="s">
        <v>4012</v>
      </c>
      <c r="D580" s="292">
        <v>0</v>
      </c>
      <c r="E580" s="292">
        <v>0</v>
      </c>
      <c r="F580" s="139">
        <f t="shared" si="53"/>
        <v>0</v>
      </c>
      <c r="G580" s="292">
        <v>0</v>
      </c>
      <c r="H580" s="292">
        <v>0</v>
      </c>
      <c r="I580" s="139">
        <f t="shared" si="54"/>
        <v>0</v>
      </c>
      <c r="J580" s="266">
        <f t="shared" si="55"/>
        <v>0</v>
      </c>
      <c r="K580" s="136">
        <f t="shared" si="50"/>
        <v>0</v>
      </c>
      <c r="L580" s="136">
        <f t="shared" si="51"/>
        <v>0</v>
      </c>
      <c r="M580" s="136">
        <f t="shared" si="52"/>
        <v>0</v>
      </c>
      <c r="O580" s="134"/>
      <c r="P580" s="259"/>
    </row>
    <row r="581" spans="1:20">
      <c r="A581" s="134">
        <v>313</v>
      </c>
      <c r="B581" s="259" t="s">
        <v>2148</v>
      </c>
      <c r="C581" s="129" t="s">
        <v>2149</v>
      </c>
      <c r="D581" s="292">
        <v>220</v>
      </c>
      <c r="E581" s="292">
        <v>0</v>
      </c>
      <c r="F581" s="139">
        <f t="shared" si="53"/>
        <v>220</v>
      </c>
      <c r="G581" s="292">
        <v>82</v>
      </c>
      <c r="H581" s="292">
        <v>0</v>
      </c>
      <c r="I581" s="139">
        <f t="shared" si="54"/>
        <v>82</v>
      </c>
      <c r="J581" s="266">
        <f t="shared" si="55"/>
        <v>0.37269999999999998</v>
      </c>
      <c r="K581" s="136">
        <f t="shared" ref="K581:K644" si="56">IF(AND((J581-35%)&gt;0,J581&lt;50%),I581*(J581-35%)*0.7,0)</f>
        <v>1.3</v>
      </c>
      <c r="L581" s="136">
        <f t="shared" ref="L581:L644" si="57">IF(J581&gt;=50%,I581*10.5%,0)</f>
        <v>0</v>
      </c>
      <c r="M581" s="136">
        <f t="shared" ref="M581:M644" si="58">MAX(K581,L581)</f>
        <v>1.3</v>
      </c>
      <c r="O581" s="134"/>
      <c r="P581" s="259"/>
    </row>
    <row r="582" spans="1:20">
      <c r="A582" s="134">
        <v>313</v>
      </c>
      <c r="B582" s="259" t="s">
        <v>2150</v>
      </c>
      <c r="C582" s="129" t="s">
        <v>2151</v>
      </c>
      <c r="D582" s="292">
        <v>676</v>
      </c>
      <c r="E582" s="292">
        <v>0</v>
      </c>
      <c r="F582" s="139">
        <f t="shared" ref="F582:F645" si="59">D582+E582</f>
        <v>676</v>
      </c>
      <c r="G582" s="292">
        <v>163</v>
      </c>
      <c r="H582" s="292">
        <v>0</v>
      </c>
      <c r="I582" s="139">
        <f t="shared" ref="I582:I645" si="60">G582+H582</f>
        <v>163</v>
      </c>
      <c r="J582" s="266">
        <f t="shared" ref="J582:J645" si="61">IF(ISERROR(I582/F582),0,I582/F582)</f>
        <v>0.24110000000000001</v>
      </c>
      <c r="K582" s="136">
        <f t="shared" si="56"/>
        <v>0</v>
      </c>
      <c r="L582" s="136">
        <f t="shared" si="57"/>
        <v>0</v>
      </c>
      <c r="M582" s="136">
        <f t="shared" si="58"/>
        <v>0</v>
      </c>
      <c r="O582" s="134"/>
      <c r="P582" s="259"/>
    </row>
    <row r="583" spans="1:20">
      <c r="A583" s="134">
        <v>313</v>
      </c>
      <c r="B583" s="259" t="s">
        <v>2152</v>
      </c>
      <c r="C583" s="129" t="s">
        <v>2153</v>
      </c>
      <c r="D583" s="292">
        <v>427</v>
      </c>
      <c r="E583" s="292">
        <v>0</v>
      </c>
      <c r="F583" s="139">
        <f t="shared" si="59"/>
        <v>427</v>
      </c>
      <c r="G583" s="292">
        <v>137</v>
      </c>
      <c r="H583" s="292">
        <v>0</v>
      </c>
      <c r="I583" s="139">
        <f t="shared" si="60"/>
        <v>137</v>
      </c>
      <c r="J583" s="266">
        <f t="shared" si="61"/>
        <v>0.32079999999999997</v>
      </c>
      <c r="K583" s="136">
        <f t="shared" si="56"/>
        <v>0</v>
      </c>
      <c r="L583" s="136">
        <f t="shared" si="57"/>
        <v>0</v>
      </c>
      <c r="M583" s="136">
        <f t="shared" si="58"/>
        <v>0</v>
      </c>
      <c r="O583" s="134"/>
      <c r="P583" s="259"/>
    </row>
    <row r="584" spans="1:20">
      <c r="A584" s="134">
        <v>313</v>
      </c>
      <c r="B584" s="259" t="s">
        <v>2154</v>
      </c>
      <c r="C584" s="129" t="s">
        <v>2155</v>
      </c>
      <c r="D584" s="292">
        <v>518</v>
      </c>
      <c r="E584" s="292">
        <v>0</v>
      </c>
      <c r="F584" s="139">
        <f t="shared" si="59"/>
        <v>518</v>
      </c>
      <c r="G584" s="292">
        <v>153</v>
      </c>
      <c r="H584" s="292">
        <v>0</v>
      </c>
      <c r="I584" s="139">
        <f t="shared" si="60"/>
        <v>153</v>
      </c>
      <c r="J584" s="266">
        <f t="shared" si="61"/>
        <v>0.2954</v>
      </c>
      <c r="K584" s="136">
        <f t="shared" si="56"/>
        <v>0</v>
      </c>
      <c r="L584" s="136">
        <f t="shared" si="57"/>
        <v>0</v>
      </c>
      <c r="M584" s="136">
        <f t="shared" si="58"/>
        <v>0</v>
      </c>
      <c r="O584" s="134"/>
      <c r="P584" s="259"/>
      <c r="T584" s="134"/>
    </row>
    <row r="585" spans="1:20">
      <c r="A585" s="134">
        <v>313</v>
      </c>
      <c r="B585" s="259" t="s">
        <v>2156</v>
      </c>
      <c r="C585" s="129" t="s">
        <v>2157</v>
      </c>
      <c r="D585" s="292">
        <v>407</v>
      </c>
      <c r="E585" s="292">
        <v>0</v>
      </c>
      <c r="F585" s="139">
        <f t="shared" si="59"/>
        <v>407</v>
      </c>
      <c r="G585" s="292">
        <v>156</v>
      </c>
      <c r="H585" s="292">
        <v>0</v>
      </c>
      <c r="I585" s="139">
        <f t="shared" si="60"/>
        <v>156</v>
      </c>
      <c r="J585" s="266">
        <f t="shared" si="61"/>
        <v>0.38329999999999997</v>
      </c>
      <c r="K585" s="136">
        <f t="shared" si="56"/>
        <v>3.6</v>
      </c>
      <c r="L585" s="136">
        <f t="shared" si="57"/>
        <v>0</v>
      </c>
      <c r="M585" s="136">
        <f t="shared" si="58"/>
        <v>3.6</v>
      </c>
      <c r="O585" s="134"/>
      <c r="P585" s="259"/>
    </row>
    <row r="586" spans="1:20">
      <c r="A586" s="134">
        <v>313</v>
      </c>
      <c r="B586" s="259" t="s">
        <v>4013</v>
      </c>
      <c r="C586" s="129" t="s">
        <v>4014</v>
      </c>
      <c r="D586" s="292">
        <v>3</v>
      </c>
      <c r="E586" s="292">
        <v>0</v>
      </c>
      <c r="F586" s="139">
        <f t="shared" si="59"/>
        <v>3</v>
      </c>
      <c r="G586" s="292">
        <v>0</v>
      </c>
      <c r="H586" s="292">
        <v>0</v>
      </c>
      <c r="I586" s="139">
        <f t="shared" si="60"/>
        <v>0</v>
      </c>
      <c r="J586" s="266">
        <f t="shared" si="61"/>
        <v>0</v>
      </c>
      <c r="K586" s="136">
        <f t="shared" si="56"/>
        <v>0</v>
      </c>
      <c r="L586" s="136">
        <f t="shared" si="57"/>
        <v>0</v>
      </c>
      <c r="M586" s="136">
        <f t="shared" si="58"/>
        <v>0</v>
      </c>
      <c r="O586" s="134"/>
      <c r="P586" s="259"/>
    </row>
    <row r="587" spans="1:20">
      <c r="A587" s="134">
        <v>313</v>
      </c>
      <c r="B587" s="259" t="s">
        <v>4015</v>
      </c>
      <c r="C587" s="129" t="s">
        <v>4016</v>
      </c>
      <c r="D587" s="292">
        <v>8</v>
      </c>
      <c r="E587" s="292">
        <v>0</v>
      </c>
      <c r="F587" s="139">
        <f t="shared" si="59"/>
        <v>8</v>
      </c>
      <c r="G587" s="292">
        <v>2</v>
      </c>
      <c r="H587" s="292">
        <v>0</v>
      </c>
      <c r="I587" s="139">
        <f t="shared" si="60"/>
        <v>2</v>
      </c>
      <c r="J587" s="266">
        <f t="shared" si="61"/>
        <v>0.25</v>
      </c>
      <c r="K587" s="136">
        <f t="shared" si="56"/>
        <v>0</v>
      </c>
      <c r="L587" s="136">
        <f t="shared" si="57"/>
        <v>0</v>
      </c>
      <c r="M587" s="136">
        <f t="shared" si="58"/>
        <v>0</v>
      </c>
      <c r="O587" s="134"/>
      <c r="P587" s="259"/>
    </row>
    <row r="588" spans="1:20">
      <c r="A588" s="134">
        <v>314</v>
      </c>
      <c r="B588" s="259" t="s">
        <v>2158</v>
      </c>
      <c r="C588" s="129" t="s">
        <v>2159</v>
      </c>
      <c r="D588" s="292">
        <v>77</v>
      </c>
      <c r="E588" s="292">
        <v>0</v>
      </c>
      <c r="F588" s="139">
        <f t="shared" si="59"/>
        <v>77</v>
      </c>
      <c r="G588" s="292">
        <v>22</v>
      </c>
      <c r="H588" s="292">
        <v>0</v>
      </c>
      <c r="I588" s="139">
        <f t="shared" si="60"/>
        <v>22</v>
      </c>
      <c r="J588" s="266">
        <f t="shared" si="61"/>
        <v>0.28570000000000001</v>
      </c>
      <c r="K588" s="136">
        <f t="shared" si="56"/>
        <v>0</v>
      </c>
      <c r="L588" s="136">
        <f t="shared" si="57"/>
        <v>0</v>
      </c>
      <c r="M588" s="136">
        <f t="shared" si="58"/>
        <v>0</v>
      </c>
      <c r="O588" s="134"/>
      <c r="P588" s="259"/>
    </row>
    <row r="589" spans="1:20">
      <c r="A589" s="134">
        <v>314</v>
      </c>
      <c r="B589" s="259" t="s">
        <v>2160</v>
      </c>
      <c r="C589" s="129" t="s">
        <v>2161</v>
      </c>
      <c r="D589" s="292">
        <v>27</v>
      </c>
      <c r="E589" s="292">
        <v>0</v>
      </c>
      <c r="F589" s="139">
        <f t="shared" si="59"/>
        <v>27</v>
      </c>
      <c r="G589" s="292">
        <v>9</v>
      </c>
      <c r="H589" s="292">
        <v>0</v>
      </c>
      <c r="I589" s="139">
        <f t="shared" si="60"/>
        <v>9</v>
      </c>
      <c r="J589" s="266">
        <f t="shared" si="61"/>
        <v>0.33329999999999999</v>
      </c>
      <c r="K589" s="136">
        <f t="shared" si="56"/>
        <v>0</v>
      </c>
      <c r="L589" s="136">
        <f t="shared" si="57"/>
        <v>0</v>
      </c>
      <c r="M589" s="136">
        <f t="shared" si="58"/>
        <v>0</v>
      </c>
      <c r="O589" s="134"/>
      <c r="P589" s="259"/>
    </row>
    <row r="590" spans="1:20">
      <c r="A590" s="134">
        <v>315</v>
      </c>
      <c r="B590" s="259" t="s">
        <v>2162</v>
      </c>
      <c r="C590" s="129" t="s">
        <v>2163</v>
      </c>
      <c r="D590" s="292">
        <v>394</v>
      </c>
      <c r="E590" s="292">
        <v>0</v>
      </c>
      <c r="F590" s="139">
        <f t="shared" si="59"/>
        <v>394</v>
      </c>
      <c r="G590" s="292">
        <v>137</v>
      </c>
      <c r="H590" s="292">
        <v>0</v>
      </c>
      <c r="I590" s="139">
        <f t="shared" si="60"/>
        <v>137</v>
      </c>
      <c r="J590" s="266">
        <f t="shared" si="61"/>
        <v>0.34770000000000001</v>
      </c>
      <c r="K590" s="136">
        <f t="shared" si="56"/>
        <v>0</v>
      </c>
      <c r="L590" s="136">
        <f t="shared" si="57"/>
        <v>0</v>
      </c>
      <c r="M590" s="136">
        <f t="shared" si="58"/>
        <v>0</v>
      </c>
      <c r="O590" s="134"/>
      <c r="P590" s="259"/>
    </row>
    <row r="591" spans="1:20">
      <c r="A591" s="134">
        <v>315</v>
      </c>
      <c r="B591" s="259" t="s">
        <v>2164</v>
      </c>
      <c r="C591" s="129" t="s">
        <v>2165</v>
      </c>
      <c r="D591" s="292">
        <v>273</v>
      </c>
      <c r="E591" s="292">
        <v>0</v>
      </c>
      <c r="F591" s="139">
        <f t="shared" si="59"/>
        <v>273</v>
      </c>
      <c r="G591" s="292">
        <v>74</v>
      </c>
      <c r="H591" s="292">
        <v>0</v>
      </c>
      <c r="I591" s="139">
        <f t="shared" si="60"/>
        <v>74</v>
      </c>
      <c r="J591" s="266">
        <f t="shared" si="61"/>
        <v>0.27110000000000001</v>
      </c>
      <c r="K591" s="136">
        <f t="shared" si="56"/>
        <v>0</v>
      </c>
      <c r="L591" s="136">
        <f t="shared" si="57"/>
        <v>0</v>
      </c>
      <c r="M591" s="136">
        <f t="shared" si="58"/>
        <v>0</v>
      </c>
      <c r="O591" s="134"/>
      <c r="P591" s="259"/>
    </row>
    <row r="592" spans="1:20">
      <c r="A592" s="134">
        <v>315</v>
      </c>
      <c r="B592" s="259" t="s">
        <v>2166</v>
      </c>
      <c r="C592" s="129" t="s">
        <v>2167</v>
      </c>
      <c r="D592" s="292">
        <v>272</v>
      </c>
      <c r="E592" s="292">
        <v>0</v>
      </c>
      <c r="F592" s="139">
        <f t="shared" si="59"/>
        <v>272</v>
      </c>
      <c r="G592" s="292">
        <v>65</v>
      </c>
      <c r="H592" s="292">
        <v>0</v>
      </c>
      <c r="I592" s="139">
        <f t="shared" si="60"/>
        <v>65</v>
      </c>
      <c r="J592" s="266">
        <f t="shared" si="61"/>
        <v>0.23899999999999999</v>
      </c>
      <c r="K592" s="136">
        <f t="shared" si="56"/>
        <v>0</v>
      </c>
      <c r="L592" s="136">
        <f t="shared" si="57"/>
        <v>0</v>
      </c>
      <c r="M592" s="136">
        <f t="shared" si="58"/>
        <v>0</v>
      </c>
      <c r="O592" s="134"/>
      <c r="P592" s="259"/>
    </row>
    <row r="593" spans="1:16">
      <c r="A593" s="134">
        <v>316</v>
      </c>
      <c r="B593" s="259" t="s">
        <v>2168</v>
      </c>
      <c r="C593" s="129" t="s">
        <v>2169</v>
      </c>
      <c r="D593" s="292">
        <v>39</v>
      </c>
      <c r="E593" s="292">
        <v>0</v>
      </c>
      <c r="F593" s="139">
        <f t="shared" si="59"/>
        <v>39</v>
      </c>
      <c r="G593" s="292">
        <v>19</v>
      </c>
      <c r="H593" s="292">
        <v>0</v>
      </c>
      <c r="I593" s="139">
        <f t="shared" si="60"/>
        <v>19</v>
      </c>
      <c r="J593" s="266">
        <f t="shared" si="61"/>
        <v>0.48720000000000002</v>
      </c>
      <c r="K593" s="136">
        <f t="shared" si="56"/>
        <v>1.8</v>
      </c>
      <c r="L593" s="136">
        <f t="shared" si="57"/>
        <v>0</v>
      </c>
      <c r="M593" s="136">
        <f t="shared" si="58"/>
        <v>1.8</v>
      </c>
      <c r="O593" s="134"/>
      <c r="P593" s="259"/>
    </row>
    <row r="594" spans="1:16">
      <c r="A594" s="134">
        <v>316</v>
      </c>
      <c r="B594" s="259" t="s">
        <v>2170</v>
      </c>
      <c r="C594" s="129" t="s">
        <v>2171</v>
      </c>
      <c r="D594" s="292">
        <v>46</v>
      </c>
      <c r="E594" s="292">
        <v>0</v>
      </c>
      <c r="F594" s="139">
        <f t="shared" si="59"/>
        <v>46</v>
      </c>
      <c r="G594" s="292">
        <v>35</v>
      </c>
      <c r="H594" s="292">
        <v>0</v>
      </c>
      <c r="I594" s="139">
        <f t="shared" si="60"/>
        <v>35</v>
      </c>
      <c r="J594" s="266">
        <f t="shared" si="61"/>
        <v>0.76090000000000002</v>
      </c>
      <c r="K594" s="136">
        <f t="shared" si="56"/>
        <v>0</v>
      </c>
      <c r="L594" s="136">
        <f t="shared" si="57"/>
        <v>3.7</v>
      </c>
      <c r="M594" s="136">
        <f t="shared" si="58"/>
        <v>3.7</v>
      </c>
      <c r="O594" s="134"/>
      <c r="P594" s="259"/>
    </row>
    <row r="595" spans="1:16">
      <c r="A595" s="134">
        <v>316</v>
      </c>
      <c r="B595" s="259" t="s">
        <v>2172</v>
      </c>
      <c r="C595" s="129" t="s">
        <v>2173</v>
      </c>
      <c r="D595" s="292">
        <v>66</v>
      </c>
      <c r="E595" s="292">
        <v>0</v>
      </c>
      <c r="F595" s="139">
        <f t="shared" si="59"/>
        <v>66</v>
      </c>
      <c r="G595" s="292">
        <v>38</v>
      </c>
      <c r="H595" s="292">
        <v>0</v>
      </c>
      <c r="I595" s="139">
        <f t="shared" si="60"/>
        <v>38</v>
      </c>
      <c r="J595" s="266">
        <f t="shared" si="61"/>
        <v>0.57579999999999998</v>
      </c>
      <c r="K595" s="136">
        <f t="shared" si="56"/>
        <v>0</v>
      </c>
      <c r="L595" s="136">
        <f t="shared" si="57"/>
        <v>4</v>
      </c>
      <c r="M595" s="136">
        <f t="shared" si="58"/>
        <v>4</v>
      </c>
      <c r="O595" s="134"/>
      <c r="P595" s="259"/>
    </row>
    <row r="596" spans="1:16">
      <c r="A596" s="134">
        <v>320</v>
      </c>
      <c r="B596" s="259" t="s">
        <v>2174</v>
      </c>
      <c r="C596" s="129" t="s">
        <v>2175</v>
      </c>
      <c r="D596" s="292">
        <v>370</v>
      </c>
      <c r="E596" s="292">
        <v>0</v>
      </c>
      <c r="F596" s="139">
        <f t="shared" si="59"/>
        <v>370</v>
      </c>
      <c r="G596" s="292">
        <v>85</v>
      </c>
      <c r="H596" s="292">
        <v>0</v>
      </c>
      <c r="I596" s="139">
        <f t="shared" si="60"/>
        <v>85</v>
      </c>
      <c r="J596" s="266">
        <f t="shared" si="61"/>
        <v>0.22969999999999999</v>
      </c>
      <c r="K596" s="136">
        <f t="shared" si="56"/>
        <v>0</v>
      </c>
      <c r="L596" s="136">
        <f t="shared" si="57"/>
        <v>0</v>
      </c>
      <c r="M596" s="136">
        <f t="shared" si="58"/>
        <v>0</v>
      </c>
      <c r="O596" s="134"/>
      <c r="P596" s="259"/>
    </row>
    <row r="597" spans="1:16">
      <c r="A597" s="134">
        <v>320</v>
      </c>
      <c r="B597" s="259" t="s">
        <v>4017</v>
      </c>
      <c r="C597" s="129" t="s">
        <v>4018</v>
      </c>
      <c r="D597" s="292">
        <v>0</v>
      </c>
      <c r="E597" s="292">
        <v>0</v>
      </c>
      <c r="F597" s="139">
        <f t="shared" si="59"/>
        <v>0</v>
      </c>
      <c r="G597" s="292">
        <v>0</v>
      </c>
      <c r="H597" s="292">
        <v>0</v>
      </c>
      <c r="I597" s="139">
        <f t="shared" si="60"/>
        <v>0</v>
      </c>
      <c r="J597" s="266">
        <f t="shared" si="61"/>
        <v>0</v>
      </c>
      <c r="K597" s="136">
        <f t="shared" si="56"/>
        <v>0</v>
      </c>
      <c r="L597" s="136">
        <f t="shared" si="57"/>
        <v>0</v>
      </c>
      <c r="M597" s="136">
        <f t="shared" si="58"/>
        <v>0</v>
      </c>
      <c r="O597" s="134"/>
      <c r="P597" s="259"/>
    </row>
    <row r="598" spans="1:16">
      <c r="A598" s="134">
        <v>320</v>
      </c>
      <c r="B598" s="259" t="s">
        <v>2176</v>
      </c>
      <c r="C598" s="129" t="s">
        <v>1417</v>
      </c>
      <c r="D598" s="292">
        <v>373</v>
      </c>
      <c r="E598" s="292">
        <v>0</v>
      </c>
      <c r="F598" s="139">
        <f t="shared" si="59"/>
        <v>373</v>
      </c>
      <c r="G598" s="292">
        <v>117</v>
      </c>
      <c r="H598" s="292">
        <v>0</v>
      </c>
      <c r="I598" s="139">
        <f t="shared" si="60"/>
        <v>117</v>
      </c>
      <c r="J598" s="266">
        <f t="shared" si="61"/>
        <v>0.31369999999999998</v>
      </c>
      <c r="K598" s="136">
        <f t="shared" si="56"/>
        <v>0</v>
      </c>
      <c r="L598" s="136">
        <f t="shared" si="57"/>
        <v>0</v>
      </c>
      <c r="M598" s="136">
        <f t="shared" si="58"/>
        <v>0</v>
      </c>
      <c r="O598" s="134"/>
      <c r="P598" s="259"/>
    </row>
    <row r="599" spans="1:16">
      <c r="A599" s="134">
        <v>320</v>
      </c>
      <c r="B599" s="259" t="s">
        <v>2177</v>
      </c>
      <c r="C599" s="129" t="s">
        <v>2178</v>
      </c>
      <c r="D599" s="292">
        <v>514</v>
      </c>
      <c r="E599" s="292">
        <v>0</v>
      </c>
      <c r="F599" s="139">
        <f t="shared" si="59"/>
        <v>514</v>
      </c>
      <c r="G599" s="292">
        <v>122</v>
      </c>
      <c r="H599" s="292">
        <v>0</v>
      </c>
      <c r="I599" s="139">
        <f t="shared" si="60"/>
        <v>122</v>
      </c>
      <c r="J599" s="266">
        <f t="shared" si="61"/>
        <v>0.2374</v>
      </c>
      <c r="K599" s="136">
        <f t="shared" si="56"/>
        <v>0</v>
      </c>
      <c r="L599" s="136">
        <f t="shared" si="57"/>
        <v>0</v>
      </c>
      <c r="M599" s="136">
        <f t="shared" si="58"/>
        <v>0</v>
      </c>
      <c r="O599" s="134"/>
      <c r="P599" s="259"/>
    </row>
    <row r="600" spans="1:16">
      <c r="A600" s="134">
        <v>320</v>
      </c>
      <c r="B600" s="259" t="s">
        <v>2179</v>
      </c>
      <c r="C600" s="129" t="s">
        <v>1872</v>
      </c>
      <c r="D600" s="292">
        <v>355</v>
      </c>
      <c r="E600" s="292">
        <v>0</v>
      </c>
      <c r="F600" s="139">
        <f t="shared" si="59"/>
        <v>355</v>
      </c>
      <c r="G600" s="292">
        <v>89</v>
      </c>
      <c r="H600" s="292">
        <v>0</v>
      </c>
      <c r="I600" s="139">
        <f t="shared" si="60"/>
        <v>89</v>
      </c>
      <c r="J600" s="266">
        <f t="shared" si="61"/>
        <v>0.25069999999999998</v>
      </c>
      <c r="K600" s="136">
        <f t="shared" si="56"/>
        <v>0</v>
      </c>
      <c r="L600" s="136">
        <f t="shared" si="57"/>
        <v>0</v>
      </c>
      <c r="M600" s="136">
        <f t="shared" si="58"/>
        <v>0</v>
      </c>
      <c r="O600" s="134"/>
      <c r="P600" s="259"/>
    </row>
    <row r="601" spans="1:16">
      <c r="A601" s="134">
        <v>321</v>
      </c>
      <c r="B601" s="259" t="s">
        <v>2180</v>
      </c>
      <c r="C601" s="129" t="s">
        <v>2181</v>
      </c>
      <c r="D601" s="292">
        <v>298</v>
      </c>
      <c r="E601" s="292">
        <v>0</v>
      </c>
      <c r="F601" s="139">
        <f t="shared" si="59"/>
        <v>298</v>
      </c>
      <c r="G601" s="292">
        <v>81</v>
      </c>
      <c r="H601" s="292">
        <v>0</v>
      </c>
      <c r="I601" s="139">
        <f t="shared" si="60"/>
        <v>81</v>
      </c>
      <c r="J601" s="266">
        <f t="shared" si="61"/>
        <v>0.27179999999999999</v>
      </c>
      <c r="K601" s="136">
        <f t="shared" si="56"/>
        <v>0</v>
      </c>
      <c r="L601" s="136">
        <f t="shared" si="57"/>
        <v>0</v>
      </c>
      <c r="M601" s="136">
        <f t="shared" si="58"/>
        <v>0</v>
      </c>
      <c r="O601" s="134"/>
      <c r="P601" s="259"/>
    </row>
    <row r="602" spans="1:16">
      <c r="A602" s="134">
        <v>321</v>
      </c>
      <c r="B602" s="259" t="s">
        <v>2182</v>
      </c>
      <c r="C602" s="129" t="s">
        <v>2183</v>
      </c>
      <c r="D602" s="292">
        <v>261</v>
      </c>
      <c r="E602" s="292">
        <v>0</v>
      </c>
      <c r="F602" s="139">
        <f t="shared" si="59"/>
        <v>261</v>
      </c>
      <c r="G602" s="292">
        <v>74</v>
      </c>
      <c r="H602" s="292">
        <v>0</v>
      </c>
      <c r="I602" s="139">
        <f t="shared" si="60"/>
        <v>74</v>
      </c>
      <c r="J602" s="266">
        <f t="shared" si="61"/>
        <v>0.28349999999999997</v>
      </c>
      <c r="K602" s="136">
        <f t="shared" si="56"/>
        <v>0</v>
      </c>
      <c r="L602" s="136">
        <f t="shared" si="57"/>
        <v>0</v>
      </c>
      <c r="M602" s="136">
        <f t="shared" si="58"/>
        <v>0</v>
      </c>
      <c r="O602" s="134"/>
      <c r="P602" s="259"/>
    </row>
    <row r="603" spans="1:16">
      <c r="A603" s="134">
        <v>321</v>
      </c>
      <c r="B603" s="259" t="s">
        <v>2184</v>
      </c>
      <c r="C603" s="129" t="s">
        <v>2185</v>
      </c>
      <c r="D603" s="292">
        <v>251</v>
      </c>
      <c r="E603" s="292">
        <v>0</v>
      </c>
      <c r="F603" s="139">
        <f t="shared" si="59"/>
        <v>251</v>
      </c>
      <c r="G603" s="292">
        <v>95</v>
      </c>
      <c r="H603" s="292">
        <v>0</v>
      </c>
      <c r="I603" s="139">
        <f t="shared" si="60"/>
        <v>95</v>
      </c>
      <c r="J603" s="266">
        <f t="shared" si="61"/>
        <v>0.3785</v>
      </c>
      <c r="K603" s="136">
        <f t="shared" si="56"/>
        <v>1.9</v>
      </c>
      <c r="L603" s="136">
        <f t="shared" si="57"/>
        <v>0</v>
      </c>
      <c r="M603" s="136">
        <f t="shared" si="58"/>
        <v>1.9</v>
      </c>
      <c r="O603" s="134"/>
      <c r="P603" s="259"/>
    </row>
    <row r="604" spans="1:16">
      <c r="A604" s="134">
        <v>321</v>
      </c>
      <c r="B604" s="259" t="s">
        <v>2186</v>
      </c>
      <c r="C604" s="129" t="s">
        <v>2187</v>
      </c>
      <c r="D604" s="292">
        <v>254</v>
      </c>
      <c r="E604" s="292">
        <v>0</v>
      </c>
      <c r="F604" s="139">
        <f t="shared" si="59"/>
        <v>254</v>
      </c>
      <c r="G604" s="292">
        <v>83</v>
      </c>
      <c r="H604" s="292">
        <v>0</v>
      </c>
      <c r="I604" s="139">
        <f t="shared" si="60"/>
        <v>83</v>
      </c>
      <c r="J604" s="266">
        <f t="shared" si="61"/>
        <v>0.32679999999999998</v>
      </c>
      <c r="K604" s="136">
        <f t="shared" si="56"/>
        <v>0</v>
      </c>
      <c r="L604" s="136">
        <f t="shared" si="57"/>
        <v>0</v>
      </c>
      <c r="M604" s="136">
        <f t="shared" si="58"/>
        <v>0</v>
      </c>
      <c r="O604" s="134"/>
      <c r="P604" s="259"/>
    </row>
    <row r="605" spans="1:16">
      <c r="A605" s="134">
        <v>322</v>
      </c>
      <c r="B605" s="259" t="s">
        <v>2188</v>
      </c>
      <c r="C605" s="129" t="s">
        <v>2189</v>
      </c>
      <c r="D605" s="292">
        <v>85</v>
      </c>
      <c r="E605" s="292">
        <v>0</v>
      </c>
      <c r="F605" s="139">
        <f t="shared" si="59"/>
        <v>85</v>
      </c>
      <c r="G605" s="292">
        <v>27</v>
      </c>
      <c r="H605" s="292">
        <v>0</v>
      </c>
      <c r="I605" s="139">
        <f t="shared" si="60"/>
        <v>27</v>
      </c>
      <c r="J605" s="266">
        <f t="shared" si="61"/>
        <v>0.31759999999999999</v>
      </c>
      <c r="K605" s="136">
        <f t="shared" si="56"/>
        <v>0</v>
      </c>
      <c r="L605" s="136">
        <f t="shared" si="57"/>
        <v>0</v>
      </c>
      <c r="M605" s="136">
        <f t="shared" si="58"/>
        <v>0</v>
      </c>
      <c r="O605" s="134"/>
      <c r="P605" s="259"/>
    </row>
    <row r="606" spans="1:16">
      <c r="A606" s="134">
        <v>322</v>
      </c>
      <c r="B606" s="259" t="s">
        <v>2190</v>
      </c>
      <c r="C606" s="129" t="s">
        <v>2191</v>
      </c>
      <c r="D606" s="292">
        <v>150</v>
      </c>
      <c r="E606" s="292">
        <v>0</v>
      </c>
      <c r="F606" s="139">
        <f t="shared" si="59"/>
        <v>150</v>
      </c>
      <c r="G606" s="292">
        <v>63</v>
      </c>
      <c r="H606" s="292">
        <v>0</v>
      </c>
      <c r="I606" s="139">
        <f t="shared" si="60"/>
        <v>63</v>
      </c>
      <c r="J606" s="266">
        <f t="shared" si="61"/>
        <v>0.42</v>
      </c>
      <c r="K606" s="136">
        <f t="shared" si="56"/>
        <v>3.1</v>
      </c>
      <c r="L606" s="136">
        <f t="shared" si="57"/>
        <v>0</v>
      </c>
      <c r="M606" s="136">
        <f t="shared" si="58"/>
        <v>3.1</v>
      </c>
      <c r="O606" s="134"/>
      <c r="P606" s="259"/>
    </row>
    <row r="607" spans="1:16">
      <c r="A607" s="134">
        <v>322</v>
      </c>
      <c r="B607" s="259" t="s">
        <v>2192</v>
      </c>
      <c r="C607" s="129" t="s">
        <v>2193</v>
      </c>
      <c r="D607" s="292">
        <v>91</v>
      </c>
      <c r="E607" s="292">
        <v>0</v>
      </c>
      <c r="F607" s="139">
        <f t="shared" si="59"/>
        <v>91</v>
      </c>
      <c r="G607" s="292">
        <v>25</v>
      </c>
      <c r="H607" s="292">
        <v>0</v>
      </c>
      <c r="I607" s="139">
        <f t="shared" si="60"/>
        <v>25</v>
      </c>
      <c r="J607" s="266">
        <f t="shared" si="61"/>
        <v>0.2747</v>
      </c>
      <c r="K607" s="136">
        <f t="shared" si="56"/>
        <v>0</v>
      </c>
      <c r="L607" s="136">
        <f t="shared" si="57"/>
        <v>0</v>
      </c>
      <c r="M607" s="136">
        <f t="shared" si="58"/>
        <v>0</v>
      </c>
      <c r="O607" s="134"/>
      <c r="P607" s="259"/>
    </row>
    <row r="608" spans="1:16">
      <c r="A608" s="134">
        <v>323</v>
      </c>
      <c r="B608" s="259" t="s">
        <v>2194</v>
      </c>
      <c r="C608" s="129" t="s">
        <v>2195</v>
      </c>
      <c r="D608" s="292">
        <v>428</v>
      </c>
      <c r="E608" s="292">
        <v>0</v>
      </c>
      <c r="F608" s="139">
        <f t="shared" si="59"/>
        <v>428</v>
      </c>
      <c r="G608" s="292">
        <v>83</v>
      </c>
      <c r="H608" s="292">
        <v>0</v>
      </c>
      <c r="I608" s="139">
        <f t="shared" si="60"/>
        <v>83</v>
      </c>
      <c r="J608" s="266">
        <f t="shared" si="61"/>
        <v>0.19389999999999999</v>
      </c>
      <c r="K608" s="136">
        <f t="shared" si="56"/>
        <v>0</v>
      </c>
      <c r="L608" s="136">
        <f t="shared" si="57"/>
        <v>0</v>
      </c>
      <c r="M608" s="136">
        <f t="shared" si="58"/>
        <v>0</v>
      </c>
      <c r="O608" s="134"/>
      <c r="P608" s="259"/>
    </row>
    <row r="609" spans="1:16">
      <c r="A609" s="134">
        <v>323</v>
      </c>
      <c r="B609" s="259" t="s">
        <v>2196</v>
      </c>
      <c r="C609" s="129" t="s">
        <v>2197</v>
      </c>
      <c r="D609" s="292">
        <v>371</v>
      </c>
      <c r="E609" s="292">
        <v>0</v>
      </c>
      <c r="F609" s="139">
        <f t="shared" si="59"/>
        <v>371</v>
      </c>
      <c r="G609" s="292">
        <v>70</v>
      </c>
      <c r="H609" s="292">
        <v>0</v>
      </c>
      <c r="I609" s="139">
        <f t="shared" si="60"/>
        <v>70</v>
      </c>
      <c r="J609" s="266">
        <f t="shared" si="61"/>
        <v>0.18870000000000001</v>
      </c>
      <c r="K609" s="136">
        <f t="shared" si="56"/>
        <v>0</v>
      </c>
      <c r="L609" s="136">
        <f t="shared" si="57"/>
        <v>0</v>
      </c>
      <c r="M609" s="136">
        <f t="shared" si="58"/>
        <v>0</v>
      </c>
      <c r="O609" s="134"/>
      <c r="P609" s="259"/>
    </row>
    <row r="610" spans="1:16">
      <c r="A610" s="134">
        <v>323</v>
      </c>
      <c r="B610" s="259" t="s">
        <v>2198</v>
      </c>
      <c r="C610" s="129" t="s">
        <v>2199</v>
      </c>
      <c r="D610" s="292">
        <v>129</v>
      </c>
      <c r="E610" s="292">
        <v>0</v>
      </c>
      <c r="F610" s="139">
        <f t="shared" si="59"/>
        <v>129</v>
      </c>
      <c r="G610" s="292">
        <v>45</v>
      </c>
      <c r="H610" s="292">
        <v>0</v>
      </c>
      <c r="I610" s="139">
        <f t="shared" si="60"/>
        <v>45</v>
      </c>
      <c r="J610" s="266">
        <f t="shared" si="61"/>
        <v>0.3488</v>
      </c>
      <c r="K610" s="136">
        <f t="shared" si="56"/>
        <v>0</v>
      </c>
      <c r="L610" s="136">
        <f t="shared" si="57"/>
        <v>0</v>
      </c>
      <c r="M610" s="136">
        <f t="shared" si="58"/>
        <v>0</v>
      </c>
      <c r="O610" s="134"/>
      <c r="P610" s="259"/>
    </row>
    <row r="611" spans="1:16">
      <c r="A611" s="134">
        <v>323</v>
      </c>
      <c r="B611" s="259" t="s">
        <v>2200</v>
      </c>
      <c r="C611" s="129" t="s">
        <v>2201</v>
      </c>
      <c r="D611" s="292">
        <v>385</v>
      </c>
      <c r="E611" s="292">
        <v>0</v>
      </c>
      <c r="F611" s="139">
        <f t="shared" si="59"/>
        <v>385</v>
      </c>
      <c r="G611" s="292">
        <v>83</v>
      </c>
      <c r="H611" s="292">
        <v>0</v>
      </c>
      <c r="I611" s="139">
        <f t="shared" si="60"/>
        <v>83</v>
      </c>
      <c r="J611" s="266">
        <f t="shared" si="61"/>
        <v>0.21560000000000001</v>
      </c>
      <c r="K611" s="136">
        <f t="shared" si="56"/>
        <v>0</v>
      </c>
      <c r="L611" s="136">
        <f t="shared" si="57"/>
        <v>0</v>
      </c>
      <c r="M611" s="136">
        <f t="shared" si="58"/>
        <v>0</v>
      </c>
      <c r="O611" s="134"/>
      <c r="P611" s="259"/>
    </row>
    <row r="612" spans="1:16">
      <c r="A612" s="134">
        <v>325</v>
      </c>
      <c r="B612" s="259" t="s">
        <v>2202</v>
      </c>
      <c r="C612" s="129" t="s">
        <v>2203</v>
      </c>
      <c r="D612" s="292">
        <v>206</v>
      </c>
      <c r="E612" s="292">
        <v>0</v>
      </c>
      <c r="F612" s="139">
        <f t="shared" si="59"/>
        <v>206</v>
      </c>
      <c r="G612" s="292">
        <v>92</v>
      </c>
      <c r="H612" s="292">
        <v>0</v>
      </c>
      <c r="I612" s="139">
        <f t="shared" si="60"/>
        <v>92</v>
      </c>
      <c r="J612" s="266">
        <f t="shared" si="61"/>
        <v>0.4466</v>
      </c>
      <c r="K612" s="136">
        <f t="shared" si="56"/>
        <v>6.2</v>
      </c>
      <c r="L612" s="136">
        <f t="shared" si="57"/>
        <v>0</v>
      </c>
      <c r="M612" s="136">
        <f t="shared" si="58"/>
        <v>6.2</v>
      </c>
      <c r="O612" s="134"/>
      <c r="P612" s="259"/>
    </row>
    <row r="613" spans="1:16">
      <c r="A613" s="134">
        <v>325</v>
      </c>
      <c r="B613" s="259" t="s">
        <v>2204</v>
      </c>
      <c r="C613" s="129" t="s">
        <v>2205</v>
      </c>
      <c r="D613" s="292">
        <v>177</v>
      </c>
      <c r="E613" s="292">
        <v>0</v>
      </c>
      <c r="F613" s="139">
        <f t="shared" si="59"/>
        <v>177</v>
      </c>
      <c r="G613" s="292">
        <v>70</v>
      </c>
      <c r="H613" s="292">
        <v>0</v>
      </c>
      <c r="I613" s="139">
        <f t="shared" si="60"/>
        <v>70</v>
      </c>
      <c r="J613" s="266">
        <f t="shared" si="61"/>
        <v>0.39550000000000002</v>
      </c>
      <c r="K613" s="136">
        <f t="shared" si="56"/>
        <v>2.2000000000000002</v>
      </c>
      <c r="L613" s="136">
        <f t="shared" si="57"/>
        <v>0</v>
      </c>
      <c r="M613" s="136">
        <f t="shared" si="58"/>
        <v>2.2000000000000002</v>
      </c>
      <c r="O613" s="134"/>
      <c r="P613" s="259"/>
    </row>
    <row r="614" spans="1:16">
      <c r="A614" s="134">
        <v>325</v>
      </c>
      <c r="B614" s="259" t="s">
        <v>2206</v>
      </c>
      <c r="C614" s="129" t="s">
        <v>2207</v>
      </c>
      <c r="D614" s="292">
        <v>182</v>
      </c>
      <c r="E614" s="292">
        <v>0</v>
      </c>
      <c r="F614" s="139">
        <f t="shared" si="59"/>
        <v>182</v>
      </c>
      <c r="G614" s="292">
        <v>63</v>
      </c>
      <c r="H614" s="292">
        <v>0</v>
      </c>
      <c r="I614" s="139">
        <f t="shared" si="60"/>
        <v>63</v>
      </c>
      <c r="J614" s="266">
        <f t="shared" si="61"/>
        <v>0.34620000000000001</v>
      </c>
      <c r="K614" s="136">
        <f t="shared" si="56"/>
        <v>0</v>
      </c>
      <c r="L614" s="136">
        <f t="shared" si="57"/>
        <v>0</v>
      </c>
      <c r="M614" s="136">
        <f t="shared" si="58"/>
        <v>0</v>
      </c>
      <c r="O614" s="134"/>
      <c r="P614" s="259"/>
    </row>
    <row r="615" spans="1:16">
      <c r="A615" s="134">
        <v>326</v>
      </c>
      <c r="B615" s="259" t="s">
        <v>2208</v>
      </c>
      <c r="C615" s="129" t="s">
        <v>2209</v>
      </c>
      <c r="D615" s="292">
        <v>69</v>
      </c>
      <c r="E615" s="292">
        <v>0</v>
      </c>
      <c r="F615" s="139">
        <f t="shared" si="59"/>
        <v>69</v>
      </c>
      <c r="G615" s="292">
        <v>27</v>
      </c>
      <c r="H615" s="292">
        <v>0</v>
      </c>
      <c r="I615" s="139">
        <f t="shared" si="60"/>
        <v>27</v>
      </c>
      <c r="J615" s="266">
        <f t="shared" si="61"/>
        <v>0.39129999999999998</v>
      </c>
      <c r="K615" s="136">
        <f t="shared" si="56"/>
        <v>0.8</v>
      </c>
      <c r="L615" s="136">
        <f t="shared" si="57"/>
        <v>0</v>
      </c>
      <c r="M615" s="136">
        <f t="shared" si="58"/>
        <v>0.8</v>
      </c>
      <c r="O615" s="134"/>
      <c r="P615" s="259"/>
    </row>
    <row r="616" spans="1:16">
      <c r="A616" s="134">
        <v>326</v>
      </c>
      <c r="B616" s="259" t="s">
        <v>2210</v>
      </c>
      <c r="C616" s="129" t="s">
        <v>2211</v>
      </c>
      <c r="D616" s="292">
        <v>47</v>
      </c>
      <c r="E616" s="292">
        <v>0</v>
      </c>
      <c r="F616" s="139">
        <f t="shared" si="59"/>
        <v>47</v>
      </c>
      <c r="G616" s="292">
        <v>19</v>
      </c>
      <c r="H616" s="292">
        <v>0</v>
      </c>
      <c r="I616" s="139">
        <f t="shared" si="60"/>
        <v>19</v>
      </c>
      <c r="J616" s="266">
        <f t="shared" si="61"/>
        <v>0.40429999999999999</v>
      </c>
      <c r="K616" s="136">
        <f t="shared" si="56"/>
        <v>0.7</v>
      </c>
      <c r="L616" s="136">
        <f t="shared" si="57"/>
        <v>0</v>
      </c>
      <c r="M616" s="136">
        <f t="shared" si="58"/>
        <v>0.7</v>
      </c>
      <c r="O616" s="134"/>
      <c r="P616" s="259"/>
    </row>
    <row r="617" spans="1:16">
      <c r="A617" s="134">
        <v>327</v>
      </c>
      <c r="B617" s="259" t="s">
        <v>2212</v>
      </c>
      <c r="C617" s="129" t="s">
        <v>2213</v>
      </c>
      <c r="D617" s="292">
        <v>190</v>
      </c>
      <c r="E617" s="292">
        <v>0</v>
      </c>
      <c r="F617" s="139">
        <f t="shared" si="59"/>
        <v>190</v>
      </c>
      <c r="G617" s="292">
        <v>65</v>
      </c>
      <c r="H617" s="292">
        <v>0</v>
      </c>
      <c r="I617" s="139">
        <f t="shared" si="60"/>
        <v>65</v>
      </c>
      <c r="J617" s="266">
        <f t="shared" si="61"/>
        <v>0.34210000000000002</v>
      </c>
      <c r="K617" s="136">
        <f t="shared" si="56"/>
        <v>0</v>
      </c>
      <c r="L617" s="136">
        <f t="shared" si="57"/>
        <v>0</v>
      </c>
      <c r="M617" s="136">
        <f t="shared" si="58"/>
        <v>0</v>
      </c>
      <c r="O617" s="134"/>
      <c r="P617" s="259"/>
    </row>
    <row r="618" spans="1:16">
      <c r="A618" s="134">
        <v>327</v>
      </c>
      <c r="B618" s="259" t="s">
        <v>2214</v>
      </c>
      <c r="C618" s="129" t="s">
        <v>2215</v>
      </c>
      <c r="D618" s="292">
        <v>312</v>
      </c>
      <c r="E618" s="292">
        <v>0</v>
      </c>
      <c r="F618" s="139">
        <f t="shared" si="59"/>
        <v>312</v>
      </c>
      <c r="G618" s="292">
        <v>71</v>
      </c>
      <c r="H618" s="292">
        <v>0</v>
      </c>
      <c r="I618" s="139">
        <f t="shared" si="60"/>
        <v>71</v>
      </c>
      <c r="J618" s="266">
        <f t="shared" si="61"/>
        <v>0.2276</v>
      </c>
      <c r="K618" s="136">
        <f t="shared" si="56"/>
        <v>0</v>
      </c>
      <c r="L618" s="136">
        <f t="shared" si="57"/>
        <v>0</v>
      </c>
      <c r="M618" s="136">
        <f t="shared" si="58"/>
        <v>0</v>
      </c>
      <c r="O618" s="134"/>
      <c r="P618" s="259"/>
    </row>
    <row r="619" spans="1:16">
      <c r="A619" s="134">
        <v>327</v>
      </c>
      <c r="B619" s="259" t="s">
        <v>2216</v>
      </c>
      <c r="C619" s="129" t="s">
        <v>2217</v>
      </c>
      <c r="D619" s="292">
        <v>144</v>
      </c>
      <c r="E619" s="292">
        <v>0</v>
      </c>
      <c r="F619" s="139">
        <f t="shared" si="59"/>
        <v>144</v>
      </c>
      <c r="G619" s="292">
        <v>40</v>
      </c>
      <c r="H619" s="292">
        <v>0</v>
      </c>
      <c r="I619" s="139">
        <f t="shared" si="60"/>
        <v>40</v>
      </c>
      <c r="J619" s="266">
        <f t="shared" si="61"/>
        <v>0.27779999999999999</v>
      </c>
      <c r="K619" s="136">
        <f t="shared" si="56"/>
        <v>0</v>
      </c>
      <c r="L619" s="136">
        <f t="shared" si="57"/>
        <v>0</v>
      </c>
      <c r="M619" s="136">
        <f t="shared" si="58"/>
        <v>0</v>
      </c>
      <c r="O619" s="134"/>
      <c r="P619" s="259"/>
    </row>
    <row r="620" spans="1:16">
      <c r="A620" s="134">
        <v>329</v>
      </c>
      <c r="B620" s="259" t="s">
        <v>2218</v>
      </c>
      <c r="C620" s="129" t="s">
        <v>2219</v>
      </c>
      <c r="D620" s="292">
        <v>193</v>
      </c>
      <c r="E620" s="292">
        <v>0</v>
      </c>
      <c r="F620" s="139">
        <f t="shared" si="59"/>
        <v>193</v>
      </c>
      <c r="G620" s="292">
        <v>64</v>
      </c>
      <c r="H620" s="292">
        <v>0</v>
      </c>
      <c r="I620" s="139">
        <f t="shared" si="60"/>
        <v>64</v>
      </c>
      <c r="J620" s="266">
        <f t="shared" si="61"/>
        <v>0.33160000000000001</v>
      </c>
      <c r="K620" s="136">
        <f t="shared" si="56"/>
        <v>0</v>
      </c>
      <c r="L620" s="136">
        <f t="shared" si="57"/>
        <v>0</v>
      </c>
      <c r="M620" s="136">
        <f t="shared" si="58"/>
        <v>0</v>
      </c>
      <c r="O620" s="134"/>
      <c r="P620" s="259"/>
    </row>
    <row r="621" spans="1:16">
      <c r="A621" s="134">
        <v>329</v>
      </c>
      <c r="B621" s="259" t="s">
        <v>2220</v>
      </c>
      <c r="C621" s="129" t="s">
        <v>2221</v>
      </c>
      <c r="D621" s="292">
        <v>123</v>
      </c>
      <c r="E621" s="292">
        <v>0</v>
      </c>
      <c r="F621" s="139">
        <f t="shared" si="59"/>
        <v>123</v>
      </c>
      <c r="G621" s="292">
        <v>27</v>
      </c>
      <c r="H621" s="292">
        <v>0</v>
      </c>
      <c r="I621" s="139">
        <f t="shared" si="60"/>
        <v>27</v>
      </c>
      <c r="J621" s="266">
        <f t="shared" si="61"/>
        <v>0.2195</v>
      </c>
      <c r="K621" s="136">
        <f t="shared" si="56"/>
        <v>0</v>
      </c>
      <c r="L621" s="136">
        <f t="shared" si="57"/>
        <v>0</v>
      </c>
      <c r="M621" s="136">
        <f t="shared" si="58"/>
        <v>0</v>
      </c>
      <c r="O621" s="134"/>
      <c r="P621" s="259"/>
    </row>
    <row r="622" spans="1:16">
      <c r="A622" s="134">
        <v>329</v>
      </c>
      <c r="B622" s="259" t="s">
        <v>2222</v>
      </c>
      <c r="C622" s="129" t="s">
        <v>2223</v>
      </c>
      <c r="D622" s="292">
        <v>85</v>
      </c>
      <c r="E622" s="292">
        <v>0</v>
      </c>
      <c r="F622" s="139">
        <f t="shared" si="59"/>
        <v>85</v>
      </c>
      <c r="G622" s="292">
        <v>20</v>
      </c>
      <c r="H622" s="292">
        <v>0</v>
      </c>
      <c r="I622" s="139">
        <f t="shared" si="60"/>
        <v>20</v>
      </c>
      <c r="J622" s="266">
        <f t="shared" si="61"/>
        <v>0.23530000000000001</v>
      </c>
      <c r="K622" s="136">
        <f t="shared" si="56"/>
        <v>0</v>
      </c>
      <c r="L622" s="136">
        <f t="shared" si="57"/>
        <v>0</v>
      </c>
      <c r="M622" s="136">
        <f t="shared" si="58"/>
        <v>0</v>
      </c>
      <c r="O622" s="134"/>
      <c r="P622" s="259"/>
    </row>
    <row r="623" spans="1:16">
      <c r="A623" s="134">
        <v>330</v>
      </c>
      <c r="B623" s="259" t="s">
        <v>2224</v>
      </c>
      <c r="C623" s="129" t="s">
        <v>2225</v>
      </c>
      <c r="D623" s="292">
        <v>216</v>
      </c>
      <c r="E623" s="292">
        <v>0</v>
      </c>
      <c r="F623" s="139">
        <f t="shared" si="59"/>
        <v>216</v>
      </c>
      <c r="G623" s="292">
        <v>56</v>
      </c>
      <c r="H623" s="292">
        <v>0</v>
      </c>
      <c r="I623" s="139">
        <f t="shared" si="60"/>
        <v>56</v>
      </c>
      <c r="J623" s="266">
        <f t="shared" si="61"/>
        <v>0.25929999999999997</v>
      </c>
      <c r="K623" s="136">
        <f t="shared" si="56"/>
        <v>0</v>
      </c>
      <c r="L623" s="136">
        <f t="shared" si="57"/>
        <v>0</v>
      </c>
      <c r="M623" s="136">
        <f t="shared" si="58"/>
        <v>0</v>
      </c>
      <c r="O623" s="134"/>
      <c r="P623" s="259"/>
    </row>
    <row r="624" spans="1:16">
      <c r="A624" s="134">
        <v>330</v>
      </c>
      <c r="B624" s="259" t="s">
        <v>2226</v>
      </c>
      <c r="C624" s="129" t="s">
        <v>2227</v>
      </c>
      <c r="D624" s="292">
        <v>229</v>
      </c>
      <c r="E624" s="292">
        <v>0</v>
      </c>
      <c r="F624" s="139">
        <f t="shared" si="59"/>
        <v>229</v>
      </c>
      <c r="G624" s="292">
        <v>78</v>
      </c>
      <c r="H624" s="292">
        <v>0</v>
      </c>
      <c r="I624" s="139">
        <f t="shared" si="60"/>
        <v>78</v>
      </c>
      <c r="J624" s="266">
        <f t="shared" si="61"/>
        <v>0.34060000000000001</v>
      </c>
      <c r="K624" s="136">
        <f t="shared" si="56"/>
        <v>0</v>
      </c>
      <c r="L624" s="136">
        <f t="shared" si="57"/>
        <v>0</v>
      </c>
      <c r="M624" s="136">
        <f t="shared" si="58"/>
        <v>0</v>
      </c>
      <c r="O624" s="134"/>
      <c r="P624" s="259"/>
    </row>
    <row r="625" spans="1:16">
      <c r="A625" s="134">
        <v>331</v>
      </c>
      <c r="B625" s="259" t="s">
        <v>2228</v>
      </c>
      <c r="C625" s="129" t="s">
        <v>2229</v>
      </c>
      <c r="D625" s="292">
        <v>338</v>
      </c>
      <c r="E625" s="292">
        <v>0</v>
      </c>
      <c r="F625" s="139">
        <f t="shared" si="59"/>
        <v>338</v>
      </c>
      <c r="G625" s="292">
        <v>171</v>
      </c>
      <c r="H625" s="292">
        <v>0</v>
      </c>
      <c r="I625" s="139">
        <f t="shared" si="60"/>
        <v>171</v>
      </c>
      <c r="J625" s="266">
        <f t="shared" si="61"/>
        <v>0.50590000000000002</v>
      </c>
      <c r="K625" s="136">
        <f t="shared" si="56"/>
        <v>0</v>
      </c>
      <c r="L625" s="136">
        <f t="shared" si="57"/>
        <v>18</v>
      </c>
      <c r="M625" s="136">
        <f t="shared" si="58"/>
        <v>18</v>
      </c>
      <c r="O625" s="134"/>
      <c r="P625" s="259"/>
    </row>
    <row r="626" spans="1:16">
      <c r="A626" s="134">
        <v>331</v>
      </c>
      <c r="B626" s="259" t="s">
        <v>2230</v>
      </c>
      <c r="C626" s="129" t="s">
        <v>2231</v>
      </c>
      <c r="D626" s="292">
        <v>89</v>
      </c>
      <c r="E626" s="292">
        <v>0</v>
      </c>
      <c r="F626" s="139">
        <f t="shared" si="59"/>
        <v>89</v>
      </c>
      <c r="G626" s="292">
        <v>53</v>
      </c>
      <c r="H626" s="292">
        <v>0</v>
      </c>
      <c r="I626" s="139">
        <f t="shared" si="60"/>
        <v>53</v>
      </c>
      <c r="J626" s="266">
        <f t="shared" si="61"/>
        <v>0.59550000000000003</v>
      </c>
      <c r="K626" s="136">
        <f t="shared" si="56"/>
        <v>0</v>
      </c>
      <c r="L626" s="136">
        <f t="shared" si="57"/>
        <v>5.6</v>
      </c>
      <c r="M626" s="136">
        <f t="shared" si="58"/>
        <v>5.6</v>
      </c>
      <c r="O626" s="134"/>
      <c r="P626" s="259"/>
    </row>
    <row r="627" spans="1:16">
      <c r="A627" s="134">
        <v>331</v>
      </c>
      <c r="B627" s="259" t="s">
        <v>2232</v>
      </c>
      <c r="C627" s="129" t="s">
        <v>2233</v>
      </c>
      <c r="D627" s="292">
        <v>48</v>
      </c>
      <c r="E627" s="292">
        <v>0</v>
      </c>
      <c r="F627" s="139">
        <f t="shared" si="59"/>
        <v>48</v>
      </c>
      <c r="G627" s="292">
        <v>18</v>
      </c>
      <c r="H627" s="292">
        <v>0</v>
      </c>
      <c r="I627" s="139">
        <f t="shared" si="60"/>
        <v>18</v>
      </c>
      <c r="J627" s="266">
        <f t="shared" si="61"/>
        <v>0.375</v>
      </c>
      <c r="K627" s="136">
        <f t="shared" si="56"/>
        <v>0.3</v>
      </c>
      <c r="L627" s="136">
        <f t="shared" si="57"/>
        <v>0</v>
      </c>
      <c r="M627" s="136">
        <f t="shared" si="58"/>
        <v>0.3</v>
      </c>
      <c r="O627" s="134"/>
      <c r="P627" s="259"/>
    </row>
    <row r="628" spans="1:16">
      <c r="A628" s="134">
        <v>331</v>
      </c>
      <c r="B628" s="259" t="s">
        <v>2234</v>
      </c>
      <c r="C628" s="129" t="s">
        <v>2235</v>
      </c>
      <c r="D628" s="292">
        <v>118</v>
      </c>
      <c r="E628" s="292">
        <v>0</v>
      </c>
      <c r="F628" s="139">
        <f t="shared" si="59"/>
        <v>118</v>
      </c>
      <c r="G628" s="292">
        <v>44</v>
      </c>
      <c r="H628" s="292">
        <v>0</v>
      </c>
      <c r="I628" s="139">
        <f t="shared" si="60"/>
        <v>44</v>
      </c>
      <c r="J628" s="266">
        <f t="shared" si="61"/>
        <v>0.37290000000000001</v>
      </c>
      <c r="K628" s="136">
        <f t="shared" si="56"/>
        <v>0.7</v>
      </c>
      <c r="L628" s="136">
        <f t="shared" si="57"/>
        <v>0</v>
      </c>
      <c r="M628" s="136">
        <f t="shared" si="58"/>
        <v>0.7</v>
      </c>
      <c r="O628" s="134"/>
      <c r="P628" s="259"/>
    </row>
    <row r="629" spans="1:16">
      <c r="A629" s="134">
        <v>331</v>
      </c>
      <c r="B629" s="259" t="s">
        <v>4019</v>
      </c>
      <c r="C629" s="129" t="s">
        <v>4020</v>
      </c>
      <c r="D629" s="292">
        <v>1</v>
      </c>
      <c r="E629" s="292">
        <v>0</v>
      </c>
      <c r="F629" s="139">
        <f t="shared" si="59"/>
        <v>1</v>
      </c>
      <c r="G629" s="292">
        <v>0</v>
      </c>
      <c r="H629" s="292">
        <v>0</v>
      </c>
      <c r="I629" s="139">
        <f t="shared" si="60"/>
        <v>0</v>
      </c>
      <c r="J629" s="266">
        <f t="shared" si="61"/>
        <v>0</v>
      </c>
      <c r="K629" s="136">
        <f t="shared" si="56"/>
        <v>0</v>
      </c>
      <c r="L629" s="136">
        <f t="shared" si="57"/>
        <v>0</v>
      </c>
      <c r="M629" s="136">
        <f t="shared" si="58"/>
        <v>0</v>
      </c>
      <c r="O629" s="134"/>
      <c r="P629" s="259"/>
    </row>
    <row r="630" spans="1:16">
      <c r="A630" s="134">
        <v>331</v>
      </c>
      <c r="B630" s="259" t="s">
        <v>2236</v>
      </c>
      <c r="C630" s="129" t="s">
        <v>2237</v>
      </c>
      <c r="D630" s="292">
        <v>191</v>
      </c>
      <c r="E630" s="292">
        <v>0</v>
      </c>
      <c r="F630" s="139">
        <f t="shared" si="59"/>
        <v>191</v>
      </c>
      <c r="G630" s="292">
        <v>70</v>
      </c>
      <c r="H630" s="292">
        <v>0</v>
      </c>
      <c r="I630" s="139">
        <f t="shared" si="60"/>
        <v>70</v>
      </c>
      <c r="J630" s="266">
        <f t="shared" si="61"/>
        <v>0.36649999999999999</v>
      </c>
      <c r="K630" s="136">
        <f t="shared" si="56"/>
        <v>0.8</v>
      </c>
      <c r="L630" s="136">
        <f t="shared" si="57"/>
        <v>0</v>
      </c>
      <c r="M630" s="136">
        <f t="shared" si="58"/>
        <v>0.8</v>
      </c>
      <c r="O630" s="134"/>
      <c r="P630" s="259"/>
    </row>
    <row r="631" spans="1:16">
      <c r="A631" s="134">
        <v>331</v>
      </c>
      <c r="B631" s="259" t="s">
        <v>2238</v>
      </c>
      <c r="C631" s="129" t="s">
        <v>2239</v>
      </c>
      <c r="D631" s="292">
        <v>77</v>
      </c>
      <c r="E631" s="292">
        <v>0</v>
      </c>
      <c r="F631" s="139">
        <f t="shared" si="59"/>
        <v>77</v>
      </c>
      <c r="G631" s="292">
        <v>24</v>
      </c>
      <c r="H631" s="292">
        <v>0</v>
      </c>
      <c r="I631" s="139">
        <f t="shared" si="60"/>
        <v>24</v>
      </c>
      <c r="J631" s="266">
        <f t="shared" si="61"/>
        <v>0.31169999999999998</v>
      </c>
      <c r="K631" s="136">
        <f t="shared" si="56"/>
        <v>0</v>
      </c>
      <c r="L631" s="136">
        <f t="shared" si="57"/>
        <v>0</v>
      </c>
      <c r="M631" s="136">
        <f t="shared" si="58"/>
        <v>0</v>
      </c>
      <c r="O631" s="134"/>
      <c r="P631" s="259"/>
    </row>
    <row r="632" spans="1:16">
      <c r="A632" s="134">
        <v>332</v>
      </c>
      <c r="B632" s="259" t="s">
        <v>2240</v>
      </c>
      <c r="C632" s="129" t="s">
        <v>2241</v>
      </c>
      <c r="D632" s="292">
        <v>130</v>
      </c>
      <c r="E632" s="292">
        <v>0</v>
      </c>
      <c r="F632" s="139">
        <f t="shared" si="59"/>
        <v>130</v>
      </c>
      <c r="G632" s="292">
        <v>37</v>
      </c>
      <c r="H632" s="292">
        <v>0</v>
      </c>
      <c r="I632" s="139">
        <f t="shared" si="60"/>
        <v>37</v>
      </c>
      <c r="J632" s="266">
        <f t="shared" si="61"/>
        <v>0.28460000000000002</v>
      </c>
      <c r="K632" s="136">
        <f t="shared" si="56"/>
        <v>0</v>
      </c>
      <c r="L632" s="136">
        <f t="shared" si="57"/>
        <v>0</v>
      </c>
      <c r="M632" s="136">
        <f t="shared" si="58"/>
        <v>0</v>
      </c>
      <c r="O632" s="134"/>
      <c r="P632" s="259"/>
    </row>
    <row r="633" spans="1:16">
      <c r="A633" s="134">
        <v>332</v>
      </c>
      <c r="B633" s="259" t="s">
        <v>2242</v>
      </c>
      <c r="C633" s="129" t="s">
        <v>2243</v>
      </c>
      <c r="D633" s="292">
        <v>92</v>
      </c>
      <c r="E633" s="292">
        <v>0</v>
      </c>
      <c r="F633" s="139">
        <f t="shared" si="59"/>
        <v>92</v>
      </c>
      <c r="G633" s="292">
        <v>22</v>
      </c>
      <c r="H633" s="292">
        <v>0</v>
      </c>
      <c r="I633" s="139">
        <f t="shared" si="60"/>
        <v>22</v>
      </c>
      <c r="J633" s="266">
        <f t="shared" si="61"/>
        <v>0.23910000000000001</v>
      </c>
      <c r="K633" s="136">
        <f t="shared" si="56"/>
        <v>0</v>
      </c>
      <c r="L633" s="136">
        <f t="shared" si="57"/>
        <v>0</v>
      </c>
      <c r="M633" s="136">
        <f t="shared" si="58"/>
        <v>0</v>
      </c>
      <c r="O633" s="134"/>
      <c r="P633" s="259"/>
    </row>
    <row r="634" spans="1:16">
      <c r="A634" s="134">
        <v>333</v>
      </c>
      <c r="B634" s="259" t="s">
        <v>2244</v>
      </c>
      <c r="C634" s="129" t="s">
        <v>2245</v>
      </c>
      <c r="D634" s="292">
        <v>439</v>
      </c>
      <c r="E634" s="292">
        <v>0</v>
      </c>
      <c r="F634" s="139">
        <f t="shared" si="59"/>
        <v>439</v>
      </c>
      <c r="G634" s="292">
        <v>202</v>
      </c>
      <c r="H634" s="292">
        <v>0</v>
      </c>
      <c r="I634" s="139">
        <f t="shared" si="60"/>
        <v>202</v>
      </c>
      <c r="J634" s="266">
        <f t="shared" si="61"/>
        <v>0.46010000000000001</v>
      </c>
      <c r="K634" s="136">
        <f t="shared" si="56"/>
        <v>15.6</v>
      </c>
      <c r="L634" s="136">
        <f t="shared" si="57"/>
        <v>0</v>
      </c>
      <c r="M634" s="136">
        <f t="shared" si="58"/>
        <v>15.6</v>
      </c>
      <c r="O634" s="134"/>
      <c r="P634" s="259"/>
    </row>
    <row r="635" spans="1:16">
      <c r="A635" s="134">
        <v>333</v>
      </c>
      <c r="B635" s="259" t="s">
        <v>2246</v>
      </c>
      <c r="C635" s="129" t="s">
        <v>2247</v>
      </c>
      <c r="D635" s="292">
        <v>184</v>
      </c>
      <c r="E635" s="292">
        <v>0</v>
      </c>
      <c r="F635" s="139">
        <f t="shared" si="59"/>
        <v>184</v>
      </c>
      <c r="G635" s="292">
        <v>93</v>
      </c>
      <c r="H635" s="292">
        <v>0</v>
      </c>
      <c r="I635" s="139">
        <f t="shared" si="60"/>
        <v>93</v>
      </c>
      <c r="J635" s="266">
        <f t="shared" si="61"/>
        <v>0.50539999999999996</v>
      </c>
      <c r="K635" s="136">
        <f t="shared" si="56"/>
        <v>0</v>
      </c>
      <c r="L635" s="136">
        <f t="shared" si="57"/>
        <v>9.8000000000000007</v>
      </c>
      <c r="M635" s="136">
        <f t="shared" si="58"/>
        <v>9.8000000000000007</v>
      </c>
      <c r="O635" s="134"/>
      <c r="P635" s="259"/>
    </row>
    <row r="636" spans="1:16">
      <c r="A636" s="134">
        <v>333</v>
      </c>
      <c r="B636" s="259" t="s">
        <v>2248</v>
      </c>
      <c r="C636" s="129" t="s">
        <v>2249</v>
      </c>
      <c r="D636" s="292">
        <v>493</v>
      </c>
      <c r="E636" s="292">
        <v>0</v>
      </c>
      <c r="F636" s="139">
        <f t="shared" si="59"/>
        <v>493</v>
      </c>
      <c r="G636" s="292">
        <v>208</v>
      </c>
      <c r="H636" s="292">
        <v>0</v>
      </c>
      <c r="I636" s="139">
        <f t="shared" si="60"/>
        <v>208</v>
      </c>
      <c r="J636" s="266">
        <f t="shared" si="61"/>
        <v>0.4219</v>
      </c>
      <c r="K636" s="136">
        <f t="shared" si="56"/>
        <v>10.5</v>
      </c>
      <c r="L636" s="136">
        <f t="shared" si="57"/>
        <v>0</v>
      </c>
      <c r="M636" s="136">
        <f t="shared" si="58"/>
        <v>10.5</v>
      </c>
      <c r="O636" s="134"/>
      <c r="P636" s="259"/>
    </row>
    <row r="637" spans="1:16">
      <c r="A637" s="134">
        <v>334</v>
      </c>
      <c r="B637" s="259" t="s">
        <v>2250</v>
      </c>
      <c r="C637" s="129" t="s">
        <v>2251</v>
      </c>
      <c r="D637" s="292">
        <v>41</v>
      </c>
      <c r="E637" s="292">
        <v>0</v>
      </c>
      <c r="F637" s="139">
        <f t="shared" si="59"/>
        <v>41</v>
      </c>
      <c r="G637" s="292">
        <v>32</v>
      </c>
      <c r="H637" s="292">
        <v>0</v>
      </c>
      <c r="I637" s="139">
        <f t="shared" si="60"/>
        <v>32</v>
      </c>
      <c r="J637" s="266">
        <f t="shared" si="61"/>
        <v>0.78049999999999997</v>
      </c>
      <c r="K637" s="136">
        <f t="shared" si="56"/>
        <v>0</v>
      </c>
      <c r="L637" s="136">
        <f t="shared" si="57"/>
        <v>3.4</v>
      </c>
      <c r="M637" s="136">
        <f t="shared" si="58"/>
        <v>3.4</v>
      </c>
      <c r="O637" s="134"/>
      <c r="P637" s="259"/>
    </row>
    <row r="638" spans="1:16">
      <c r="A638" s="134">
        <v>334</v>
      </c>
      <c r="B638" s="259" t="s">
        <v>2252</v>
      </c>
      <c r="C638" s="129" t="s">
        <v>2253</v>
      </c>
      <c r="D638" s="292">
        <v>15</v>
      </c>
      <c r="E638" s="292">
        <v>0</v>
      </c>
      <c r="F638" s="139">
        <f t="shared" si="59"/>
        <v>15</v>
      </c>
      <c r="G638" s="292">
        <v>4</v>
      </c>
      <c r="H638" s="292">
        <v>0</v>
      </c>
      <c r="I638" s="139">
        <f t="shared" si="60"/>
        <v>4</v>
      </c>
      <c r="J638" s="266">
        <f t="shared" si="61"/>
        <v>0.26669999999999999</v>
      </c>
      <c r="K638" s="136">
        <f t="shared" si="56"/>
        <v>0</v>
      </c>
      <c r="L638" s="136">
        <f t="shared" si="57"/>
        <v>0</v>
      </c>
      <c r="M638" s="136">
        <f t="shared" si="58"/>
        <v>0</v>
      </c>
      <c r="O638" s="134"/>
      <c r="P638" s="259"/>
    </row>
    <row r="639" spans="1:16">
      <c r="A639" s="134">
        <v>334</v>
      </c>
      <c r="B639" s="259" t="s">
        <v>2254</v>
      </c>
      <c r="C639" s="129" t="s">
        <v>2255</v>
      </c>
      <c r="D639" s="292">
        <v>39</v>
      </c>
      <c r="E639" s="292">
        <v>0</v>
      </c>
      <c r="F639" s="139">
        <f t="shared" si="59"/>
        <v>39</v>
      </c>
      <c r="G639" s="292">
        <v>29</v>
      </c>
      <c r="H639" s="292">
        <v>0</v>
      </c>
      <c r="I639" s="139">
        <f t="shared" si="60"/>
        <v>29</v>
      </c>
      <c r="J639" s="266">
        <f t="shared" si="61"/>
        <v>0.74360000000000004</v>
      </c>
      <c r="K639" s="136">
        <f t="shared" si="56"/>
        <v>0</v>
      </c>
      <c r="L639" s="136">
        <f t="shared" si="57"/>
        <v>3</v>
      </c>
      <c r="M639" s="136">
        <f t="shared" si="58"/>
        <v>3</v>
      </c>
      <c r="O639" s="134"/>
      <c r="P639" s="259"/>
    </row>
    <row r="640" spans="1:16">
      <c r="A640" s="134">
        <v>334</v>
      </c>
      <c r="B640" s="259" t="s">
        <v>2256</v>
      </c>
      <c r="C640" s="129" t="s">
        <v>2257</v>
      </c>
      <c r="D640" s="292">
        <v>29</v>
      </c>
      <c r="E640" s="292">
        <v>0</v>
      </c>
      <c r="F640" s="139">
        <f t="shared" si="59"/>
        <v>29</v>
      </c>
      <c r="G640" s="292">
        <v>15</v>
      </c>
      <c r="H640" s="292">
        <v>0</v>
      </c>
      <c r="I640" s="139">
        <f t="shared" si="60"/>
        <v>15</v>
      </c>
      <c r="J640" s="266">
        <f t="shared" si="61"/>
        <v>0.51719999999999999</v>
      </c>
      <c r="K640" s="136">
        <f t="shared" si="56"/>
        <v>0</v>
      </c>
      <c r="L640" s="136">
        <f t="shared" si="57"/>
        <v>1.6</v>
      </c>
      <c r="M640" s="136">
        <f t="shared" si="58"/>
        <v>1.6</v>
      </c>
      <c r="O640" s="134"/>
      <c r="P640" s="259"/>
    </row>
    <row r="641" spans="1:16">
      <c r="A641" s="134">
        <v>335</v>
      </c>
      <c r="B641" s="259" t="s">
        <v>2258</v>
      </c>
      <c r="C641" s="129" t="s">
        <v>2259</v>
      </c>
      <c r="D641" s="292">
        <v>273</v>
      </c>
      <c r="E641" s="292">
        <v>0</v>
      </c>
      <c r="F641" s="139">
        <f t="shared" si="59"/>
        <v>273</v>
      </c>
      <c r="G641" s="292">
        <v>102</v>
      </c>
      <c r="H641" s="292">
        <v>0</v>
      </c>
      <c r="I641" s="139">
        <f t="shared" si="60"/>
        <v>102</v>
      </c>
      <c r="J641" s="266">
        <f t="shared" si="61"/>
        <v>0.37359999999999999</v>
      </c>
      <c r="K641" s="136">
        <f t="shared" si="56"/>
        <v>1.7</v>
      </c>
      <c r="L641" s="136">
        <f t="shared" si="57"/>
        <v>0</v>
      </c>
      <c r="M641" s="136">
        <f t="shared" si="58"/>
        <v>1.7</v>
      </c>
      <c r="O641" s="134"/>
      <c r="P641" s="259"/>
    </row>
    <row r="642" spans="1:16">
      <c r="A642" s="134">
        <v>335</v>
      </c>
      <c r="B642" s="259" t="s">
        <v>2260</v>
      </c>
      <c r="C642" s="129" t="s">
        <v>2261</v>
      </c>
      <c r="D642" s="292">
        <v>221</v>
      </c>
      <c r="E642" s="292">
        <v>0</v>
      </c>
      <c r="F642" s="139">
        <f t="shared" si="59"/>
        <v>221</v>
      </c>
      <c r="G642" s="292">
        <v>95</v>
      </c>
      <c r="H642" s="292">
        <v>0</v>
      </c>
      <c r="I642" s="139">
        <f t="shared" si="60"/>
        <v>95</v>
      </c>
      <c r="J642" s="266">
        <f t="shared" si="61"/>
        <v>0.4299</v>
      </c>
      <c r="K642" s="136">
        <f t="shared" si="56"/>
        <v>5.3</v>
      </c>
      <c r="L642" s="136">
        <f t="shared" si="57"/>
        <v>0</v>
      </c>
      <c r="M642" s="136">
        <f t="shared" si="58"/>
        <v>5.3</v>
      </c>
      <c r="O642" s="134"/>
      <c r="P642" s="259"/>
    </row>
    <row r="643" spans="1:16">
      <c r="A643" s="134">
        <v>336</v>
      </c>
      <c r="B643" s="259" t="s">
        <v>2262</v>
      </c>
      <c r="C643" s="129" t="s">
        <v>2263</v>
      </c>
      <c r="D643" s="292">
        <v>500</v>
      </c>
      <c r="E643" s="292">
        <v>0</v>
      </c>
      <c r="F643" s="139">
        <f t="shared" si="59"/>
        <v>500</v>
      </c>
      <c r="G643" s="292">
        <v>245</v>
      </c>
      <c r="H643" s="292">
        <v>0</v>
      </c>
      <c r="I643" s="139">
        <f t="shared" si="60"/>
        <v>245</v>
      </c>
      <c r="J643" s="266">
        <f t="shared" si="61"/>
        <v>0.49</v>
      </c>
      <c r="K643" s="136">
        <f t="shared" si="56"/>
        <v>24</v>
      </c>
      <c r="L643" s="136">
        <f t="shared" si="57"/>
        <v>0</v>
      </c>
      <c r="M643" s="136">
        <f t="shared" si="58"/>
        <v>24</v>
      </c>
      <c r="O643" s="134"/>
      <c r="P643" s="259"/>
    </row>
    <row r="644" spans="1:16">
      <c r="A644" s="134">
        <v>336</v>
      </c>
      <c r="B644" s="259" t="s">
        <v>4021</v>
      </c>
      <c r="C644" s="129" t="s">
        <v>4022</v>
      </c>
      <c r="D644" s="292">
        <v>0</v>
      </c>
      <c r="E644" s="292">
        <v>0</v>
      </c>
      <c r="F644" s="139">
        <f t="shared" si="59"/>
        <v>0</v>
      </c>
      <c r="G644" s="292">
        <v>0</v>
      </c>
      <c r="H644" s="292">
        <v>0</v>
      </c>
      <c r="I644" s="139">
        <f t="shared" si="60"/>
        <v>0</v>
      </c>
      <c r="J644" s="266">
        <f t="shared" si="61"/>
        <v>0</v>
      </c>
      <c r="K644" s="136">
        <f t="shared" si="56"/>
        <v>0</v>
      </c>
      <c r="L644" s="136">
        <f t="shared" si="57"/>
        <v>0</v>
      </c>
      <c r="M644" s="136">
        <f t="shared" si="58"/>
        <v>0</v>
      </c>
      <c r="O644" s="134"/>
      <c r="P644" s="259"/>
    </row>
    <row r="645" spans="1:16">
      <c r="A645" s="134">
        <v>336</v>
      </c>
      <c r="B645" s="259" t="s">
        <v>2264</v>
      </c>
      <c r="C645" s="129" t="s">
        <v>2265</v>
      </c>
      <c r="D645" s="292">
        <v>228</v>
      </c>
      <c r="E645" s="292">
        <v>0</v>
      </c>
      <c r="F645" s="139">
        <f t="shared" si="59"/>
        <v>228</v>
      </c>
      <c r="G645" s="292">
        <v>88</v>
      </c>
      <c r="H645" s="292">
        <v>0</v>
      </c>
      <c r="I645" s="139">
        <f t="shared" si="60"/>
        <v>88</v>
      </c>
      <c r="J645" s="266">
        <f t="shared" si="61"/>
        <v>0.38600000000000001</v>
      </c>
      <c r="K645" s="136">
        <f t="shared" ref="K645:K708" si="62">IF(AND((J645-35%)&gt;0,J645&lt;50%),I645*(J645-35%)*0.7,0)</f>
        <v>2.2000000000000002</v>
      </c>
      <c r="L645" s="136">
        <f t="shared" ref="L645:L708" si="63">IF(J645&gt;=50%,I645*10.5%,0)</f>
        <v>0</v>
      </c>
      <c r="M645" s="136">
        <f t="shared" ref="M645:M708" si="64">MAX(K645,L645)</f>
        <v>2.2000000000000002</v>
      </c>
      <c r="O645" s="134"/>
      <c r="P645" s="259"/>
    </row>
    <row r="646" spans="1:16">
      <c r="A646" s="134">
        <v>336</v>
      </c>
      <c r="B646" s="259" t="s">
        <v>2266</v>
      </c>
      <c r="C646" s="129" t="s">
        <v>2267</v>
      </c>
      <c r="D646" s="292">
        <v>322</v>
      </c>
      <c r="E646" s="292">
        <v>0</v>
      </c>
      <c r="F646" s="139">
        <f t="shared" ref="F646:F709" si="65">D646+E646</f>
        <v>322</v>
      </c>
      <c r="G646" s="292">
        <v>99</v>
      </c>
      <c r="H646" s="292">
        <v>0</v>
      </c>
      <c r="I646" s="139">
        <f t="shared" ref="I646:I709" si="66">G646+H646</f>
        <v>99</v>
      </c>
      <c r="J646" s="266">
        <f t="shared" ref="J646:J709" si="67">IF(ISERROR(I646/F646),0,I646/F646)</f>
        <v>0.3075</v>
      </c>
      <c r="K646" s="136">
        <f t="shared" si="62"/>
        <v>0</v>
      </c>
      <c r="L646" s="136">
        <f t="shared" si="63"/>
        <v>0</v>
      </c>
      <c r="M646" s="136">
        <f t="shared" si="64"/>
        <v>0</v>
      </c>
      <c r="O646" s="134"/>
      <c r="P646" s="259"/>
    </row>
    <row r="647" spans="1:16">
      <c r="A647" s="134">
        <v>337</v>
      </c>
      <c r="B647" s="259" t="s">
        <v>2268</v>
      </c>
      <c r="C647" s="129" t="s">
        <v>2269</v>
      </c>
      <c r="D647" s="292">
        <v>381</v>
      </c>
      <c r="E647" s="292">
        <v>0</v>
      </c>
      <c r="F647" s="139">
        <f t="shared" si="65"/>
        <v>381</v>
      </c>
      <c r="G647" s="292">
        <v>188</v>
      </c>
      <c r="H647" s="292">
        <v>0</v>
      </c>
      <c r="I647" s="139">
        <f t="shared" si="66"/>
        <v>188</v>
      </c>
      <c r="J647" s="266">
        <f t="shared" si="67"/>
        <v>0.49340000000000001</v>
      </c>
      <c r="K647" s="136">
        <f t="shared" si="62"/>
        <v>18.899999999999999</v>
      </c>
      <c r="L647" s="136">
        <f t="shared" si="63"/>
        <v>0</v>
      </c>
      <c r="M647" s="136">
        <f t="shared" si="64"/>
        <v>18.899999999999999</v>
      </c>
      <c r="O647" s="134"/>
      <c r="P647" s="259"/>
    </row>
    <row r="648" spans="1:16">
      <c r="A648" s="134">
        <v>337</v>
      </c>
      <c r="B648" s="259" t="s">
        <v>2270</v>
      </c>
      <c r="C648" s="129" t="s">
        <v>2271</v>
      </c>
      <c r="D648" s="292">
        <v>228</v>
      </c>
      <c r="E648" s="292">
        <v>0</v>
      </c>
      <c r="F648" s="139">
        <f t="shared" si="65"/>
        <v>228</v>
      </c>
      <c r="G648" s="292">
        <v>69</v>
      </c>
      <c r="H648" s="292">
        <v>0</v>
      </c>
      <c r="I648" s="139">
        <f t="shared" si="66"/>
        <v>69</v>
      </c>
      <c r="J648" s="266">
        <f t="shared" si="67"/>
        <v>0.30259999999999998</v>
      </c>
      <c r="K648" s="136">
        <f t="shared" si="62"/>
        <v>0</v>
      </c>
      <c r="L648" s="136">
        <f t="shared" si="63"/>
        <v>0</v>
      </c>
      <c r="M648" s="136">
        <f t="shared" si="64"/>
        <v>0</v>
      </c>
      <c r="O648" s="134"/>
      <c r="P648" s="259"/>
    </row>
    <row r="649" spans="1:16">
      <c r="A649" s="134">
        <v>337</v>
      </c>
      <c r="B649" s="259" t="s">
        <v>2272</v>
      </c>
      <c r="C649" s="129" t="s">
        <v>2273</v>
      </c>
      <c r="D649" s="292">
        <v>240</v>
      </c>
      <c r="E649" s="292">
        <v>0</v>
      </c>
      <c r="F649" s="139">
        <f t="shared" si="65"/>
        <v>240</v>
      </c>
      <c r="G649" s="292">
        <v>106</v>
      </c>
      <c r="H649" s="292">
        <v>0</v>
      </c>
      <c r="I649" s="139">
        <f t="shared" si="66"/>
        <v>106</v>
      </c>
      <c r="J649" s="266">
        <f t="shared" si="67"/>
        <v>0.44169999999999998</v>
      </c>
      <c r="K649" s="136">
        <f t="shared" si="62"/>
        <v>6.8</v>
      </c>
      <c r="L649" s="136">
        <f t="shared" si="63"/>
        <v>0</v>
      </c>
      <c r="M649" s="136">
        <f t="shared" si="64"/>
        <v>6.8</v>
      </c>
      <c r="O649" s="134"/>
      <c r="P649" s="259"/>
    </row>
    <row r="650" spans="1:16">
      <c r="A650" s="134">
        <v>338</v>
      </c>
      <c r="B650" s="259" t="s">
        <v>2274</v>
      </c>
      <c r="C650" s="129" t="s">
        <v>2275</v>
      </c>
      <c r="D650" s="292">
        <v>248</v>
      </c>
      <c r="E650" s="292">
        <v>0</v>
      </c>
      <c r="F650" s="139">
        <f t="shared" si="65"/>
        <v>248</v>
      </c>
      <c r="G650" s="292">
        <v>75</v>
      </c>
      <c r="H650" s="292">
        <v>0</v>
      </c>
      <c r="I650" s="139">
        <f t="shared" si="66"/>
        <v>75</v>
      </c>
      <c r="J650" s="266">
        <f t="shared" si="67"/>
        <v>0.3024</v>
      </c>
      <c r="K650" s="136">
        <f t="shared" si="62"/>
        <v>0</v>
      </c>
      <c r="L650" s="136">
        <f t="shared" si="63"/>
        <v>0</v>
      </c>
      <c r="M650" s="136">
        <f t="shared" si="64"/>
        <v>0</v>
      </c>
      <c r="O650" s="134"/>
      <c r="P650" s="259"/>
    </row>
    <row r="651" spans="1:16">
      <c r="A651" s="134">
        <v>338</v>
      </c>
      <c r="B651" s="259" t="s">
        <v>2276</v>
      </c>
      <c r="C651" s="129" t="s">
        <v>2277</v>
      </c>
      <c r="D651" s="292">
        <v>128</v>
      </c>
      <c r="E651" s="292">
        <v>0</v>
      </c>
      <c r="F651" s="139">
        <f t="shared" si="65"/>
        <v>128</v>
      </c>
      <c r="G651" s="292">
        <v>37</v>
      </c>
      <c r="H651" s="292">
        <v>0</v>
      </c>
      <c r="I651" s="139">
        <f t="shared" si="66"/>
        <v>37</v>
      </c>
      <c r="J651" s="266">
        <f t="shared" si="67"/>
        <v>0.28910000000000002</v>
      </c>
      <c r="K651" s="136">
        <f t="shared" si="62"/>
        <v>0</v>
      </c>
      <c r="L651" s="136">
        <f t="shared" si="63"/>
        <v>0</v>
      </c>
      <c r="M651" s="136">
        <f t="shared" si="64"/>
        <v>0</v>
      </c>
      <c r="O651" s="134"/>
      <c r="P651" s="259"/>
    </row>
    <row r="652" spans="1:16">
      <c r="A652" s="134">
        <v>339</v>
      </c>
      <c r="B652" s="259" t="s">
        <v>4023</v>
      </c>
      <c r="C652" s="129" t="s">
        <v>4024</v>
      </c>
      <c r="D652" s="292">
        <v>135</v>
      </c>
      <c r="E652" s="292">
        <v>0</v>
      </c>
      <c r="F652" s="139">
        <f t="shared" si="65"/>
        <v>135</v>
      </c>
      <c r="G652" s="292">
        <v>39</v>
      </c>
      <c r="H652" s="292">
        <v>0</v>
      </c>
      <c r="I652" s="139">
        <f t="shared" si="66"/>
        <v>39</v>
      </c>
      <c r="J652" s="266">
        <f t="shared" si="67"/>
        <v>0.28889999999999999</v>
      </c>
      <c r="K652" s="136">
        <f t="shared" si="62"/>
        <v>0</v>
      </c>
      <c r="L652" s="136">
        <f t="shared" si="63"/>
        <v>0</v>
      </c>
      <c r="M652" s="136">
        <f t="shared" si="64"/>
        <v>0</v>
      </c>
      <c r="O652" s="134"/>
      <c r="P652" s="259"/>
    </row>
    <row r="653" spans="1:16">
      <c r="A653" s="134">
        <v>339</v>
      </c>
      <c r="B653" s="259" t="s">
        <v>2278</v>
      </c>
      <c r="C653" s="129" t="s">
        <v>2279</v>
      </c>
      <c r="D653" s="292">
        <v>314</v>
      </c>
      <c r="E653" s="292">
        <v>0</v>
      </c>
      <c r="F653" s="139">
        <f t="shared" si="65"/>
        <v>314</v>
      </c>
      <c r="G653" s="292">
        <v>94</v>
      </c>
      <c r="H653" s="292">
        <v>0</v>
      </c>
      <c r="I653" s="139">
        <f t="shared" si="66"/>
        <v>94</v>
      </c>
      <c r="J653" s="266">
        <f t="shared" si="67"/>
        <v>0.2994</v>
      </c>
      <c r="K653" s="136">
        <f t="shared" si="62"/>
        <v>0</v>
      </c>
      <c r="L653" s="136">
        <f t="shared" si="63"/>
        <v>0</v>
      </c>
      <c r="M653" s="136">
        <f t="shared" si="64"/>
        <v>0</v>
      </c>
      <c r="O653" s="134"/>
      <c r="P653" s="259"/>
    </row>
    <row r="654" spans="1:16">
      <c r="A654" s="134">
        <v>340</v>
      </c>
      <c r="B654" s="259" t="s">
        <v>2280</v>
      </c>
      <c r="C654" s="129" t="s">
        <v>2281</v>
      </c>
      <c r="D654" s="292">
        <v>255</v>
      </c>
      <c r="E654" s="292">
        <v>0</v>
      </c>
      <c r="F654" s="139">
        <f t="shared" si="65"/>
        <v>255</v>
      </c>
      <c r="G654" s="292">
        <v>57</v>
      </c>
      <c r="H654" s="292">
        <v>0</v>
      </c>
      <c r="I654" s="139">
        <f t="shared" si="66"/>
        <v>57</v>
      </c>
      <c r="J654" s="266">
        <f t="shared" si="67"/>
        <v>0.2235</v>
      </c>
      <c r="K654" s="136">
        <f t="shared" si="62"/>
        <v>0</v>
      </c>
      <c r="L654" s="136">
        <f t="shared" si="63"/>
        <v>0</v>
      </c>
      <c r="M654" s="136">
        <f t="shared" si="64"/>
        <v>0</v>
      </c>
      <c r="O654" s="134"/>
      <c r="P654" s="259"/>
    </row>
    <row r="655" spans="1:16">
      <c r="A655" s="134">
        <v>340</v>
      </c>
      <c r="B655" s="259" t="s">
        <v>2282</v>
      </c>
      <c r="C655" s="129" t="s">
        <v>2283</v>
      </c>
      <c r="D655" s="292">
        <v>266</v>
      </c>
      <c r="E655" s="292">
        <v>0</v>
      </c>
      <c r="F655" s="139">
        <f t="shared" si="65"/>
        <v>266</v>
      </c>
      <c r="G655" s="292">
        <v>73</v>
      </c>
      <c r="H655" s="292">
        <v>0</v>
      </c>
      <c r="I655" s="139">
        <f t="shared" si="66"/>
        <v>73</v>
      </c>
      <c r="J655" s="266">
        <f t="shared" si="67"/>
        <v>0.27439999999999998</v>
      </c>
      <c r="K655" s="136">
        <f t="shared" si="62"/>
        <v>0</v>
      </c>
      <c r="L655" s="136">
        <f t="shared" si="63"/>
        <v>0</v>
      </c>
      <c r="M655" s="136">
        <f t="shared" si="64"/>
        <v>0</v>
      </c>
      <c r="O655" s="134"/>
      <c r="P655" s="259"/>
    </row>
    <row r="656" spans="1:16">
      <c r="A656" s="134">
        <v>340</v>
      </c>
      <c r="B656" s="259" t="s">
        <v>2284</v>
      </c>
      <c r="C656" s="129" t="s">
        <v>2285</v>
      </c>
      <c r="D656" s="292">
        <v>328</v>
      </c>
      <c r="E656" s="292">
        <v>0</v>
      </c>
      <c r="F656" s="139">
        <f t="shared" si="65"/>
        <v>328</v>
      </c>
      <c r="G656" s="292">
        <v>92</v>
      </c>
      <c r="H656" s="292">
        <v>0</v>
      </c>
      <c r="I656" s="139">
        <f t="shared" si="66"/>
        <v>92</v>
      </c>
      <c r="J656" s="266">
        <f t="shared" si="67"/>
        <v>0.28050000000000003</v>
      </c>
      <c r="K656" s="136">
        <f t="shared" si="62"/>
        <v>0</v>
      </c>
      <c r="L656" s="136">
        <f t="shared" si="63"/>
        <v>0</v>
      </c>
      <c r="M656" s="136">
        <f t="shared" si="64"/>
        <v>0</v>
      </c>
      <c r="O656" s="134"/>
      <c r="P656" s="259"/>
    </row>
    <row r="657" spans="1:16">
      <c r="A657" s="134">
        <v>340</v>
      </c>
      <c r="B657" s="259" t="s">
        <v>4025</v>
      </c>
      <c r="C657" s="129" t="s">
        <v>4026</v>
      </c>
      <c r="D657" s="292">
        <v>0</v>
      </c>
      <c r="E657" s="292">
        <v>0</v>
      </c>
      <c r="F657" s="139">
        <f t="shared" si="65"/>
        <v>0</v>
      </c>
      <c r="G657" s="292">
        <v>0</v>
      </c>
      <c r="H657" s="292">
        <v>0</v>
      </c>
      <c r="I657" s="139">
        <f t="shared" si="66"/>
        <v>0</v>
      </c>
      <c r="J657" s="266">
        <f t="shared" si="67"/>
        <v>0</v>
      </c>
      <c r="K657" s="136">
        <f t="shared" si="62"/>
        <v>0</v>
      </c>
      <c r="L657" s="136">
        <f t="shared" si="63"/>
        <v>0</v>
      </c>
      <c r="M657" s="136">
        <f t="shared" si="64"/>
        <v>0</v>
      </c>
      <c r="O657" s="134"/>
      <c r="P657" s="259"/>
    </row>
    <row r="658" spans="1:16">
      <c r="A658" s="134">
        <v>341</v>
      </c>
      <c r="B658" s="259" t="s">
        <v>2286</v>
      </c>
      <c r="C658" s="129" t="s">
        <v>2287</v>
      </c>
      <c r="D658" s="292">
        <v>258</v>
      </c>
      <c r="E658" s="292">
        <v>0</v>
      </c>
      <c r="F658" s="139">
        <f t="shared" si="65"/>
        <v>258</v>
      </c>
      <c r="G658" s="292">
        <v>104</v>
      </c>
      <c r="H658" s="292">
        <v>0</v>
      </c>
      <c r="I658" s="139">
        <f t="shared" si="66"/>
        <v>104</v>
      </c>
      <c r="J658" s="266">
        <f t="shared" si="67"/>
        <v>0.40310000000000001</v>
      </c>
      <c r="K658" s="136">
        <f t="shared" si="62"/>
        <v>3.9</v>
      </c>
      <c r="L658" s="136">
        <f t="shared" si="63"/>
        <v>0</v>
      </c>
      <c r="M658" s="136">
        <f t="shared" si="64"/>
        <v>3.9</v>
      </c>
      <c r="O658" s="134"/>
      <c r="P658" s="259"/>
    </row>
    <row r="659" spans="1:16">
      <c r="A659" s="134">
        <v>341</v>
      </c>
      <c r="B659" s="259" t="s">
        <v>2288</v>
      </c>
      <c r="C659" s="129" t="s">
        <v>2289</v>
      </c>
      <c r="D659" s="292">
        <v>258</v>
      </c>
      <c r="E659" s="292">
        <v>0</v>
      </c>
      <c r="F659" s="139">
        <f t="shared" si="65"/>
        <v>258</v>
      </c>
      <c r="G659" s="292">
        <v>92</v>
      </c>
      <c r="H659" s="292">
        <v>0</v>
      </c>
      <c r="I659" s="139">
        <f t="shared" si="66"/>
        <v>92</v>
      </c>
      <c r="J659" s="266">
        <f t="shared" si="67"/>
        <v>0.35659999999999997</v>
      </c>
      <c r="K659" s="136">
        <f t="shared" si="62"/>
        <v>0.4</v>
      </c>
      <c r="L659" s="136">
        <f t="shared" si="63"/>
        <v>0</v>
      </c>
      <c r="M659" s="136">
        <f t="shared" si="64"/>
        <v>0.4</v>
      </c>
      <c r="O659" s="134"/>
      <c r="P659" s="259"/>
    </row>
    <row r="660" spans="1:16">
      <c r="A660" s="134">
        <v>342</v>
      </c>
      <c r="B660" s="259" t="s">
        <v>2290</v>
      </c>
      <c r="C660" s="129" t="s">
        <v>2291</v>
      </c>
      <c r="D660" s="292">
        <v>228</v>
      </c>
      <c r="E660" s="292">
        <v>0</v>
      </c>
      <c r="F660" s="139">
        <f t="shared" si="65"/>
        <v>228</v>
      </c>
      <c r="G660" s="292">
        <v>102</v>
      </c>
      <c r="H660" s="292">
        <v>0</v>
      </c>
      <c r="I660" s="139">
        <f t="shared" si="66"/>
        <v>102</v>
      </c>
      <c r="J660" s="266">
        <f t="shared" si="67"/>
        <v>0.44740000000000002</v>
      </c>
      <c r="K660" s="136">
        <f t="shared" si="62"/>
        <v>7</v>
      </c>
      <c r="L660" s="136">
        <f t="shared" si="63"/>
        <v>0</v>
      </c>
      <c r="M660" s="136">
        <f t="shared" si="64"/>
        <v>7</v>
      </c>
      <c r="O660" s="134"/>
      <c r="P660" s="259"/>
    </row>
    <row r="661" spans="1:16">
      <c r="A661" s="134">
        <v>342</v>
      </c>
      <c r="B661" s="259" t="s">
        <v>2292</v>
      </c>
      <c r="C661" s="129" t="s">
        <v>2293</v>
      </c>
      <c r="D661" s="292">
        <v>85</v>
      </c>
      <c r="E661" s="292">
        <v>0</v>
      </c>
      <c r="F661" s="139">
        <f t="shared" si="65"/>
        <v>85</v>
      </c>
      <c r="G661" s="292">
        <v>29</v>
      </c>
      <c r="H661" s="292">
        <v>0</v>
      </c>
      <c r="I661" s="139">
        <f t="shared" si="66"/>
        <v>29</v>
      </c>
      <c r="J661" s="266">
        <f t="shared" si="67"/>
        <v>0.3412</v>
      </c>
      <c r="K661" s="136">
        <f t="shared" si="62"/>
        <v>0</v>
      </c>
      <c r="L661" s="136">
        <f t="shared" si="63"/>
        <v>0</v>
      </c>
      <c r="M661" s="136">
        <f t="shared" si="64"/>
        <v>0</v>
      </c>
      <c r="O661" s="134"/>
      <c r="P661" s="259"/>
    </row>
    <row r="662" spans="1:16">
      <c r="A662" s="134">
        <v>342</v>
      </c>
      <c r="B662" s="259" t="s">
        <v>2294</v>
      </c>
      <c r="C662" s="129" t="s">
        <v>2295</v>
      </c>
      <c r="D662" s="292">
        <v>126</v>
      </c>
      <c r="E662" s="292">
        <v>0</v>
      </c>
      <c r="F662" s="139">
        <f t="shared" si="65"/>
        <v>126</v>
      </c>
      <c r="G662" s="292">
        <v>44</v>
      </c>
      <c r="H662" s="292">
        <v>0</v>
      </c>
      <c r="I662" s="139">
        <f t="shared" si="66"/>
        <v>44</v>
      </c>
      <c r="J662" s="266">
        <f t="shared" si="67"/>
        <v>0.34920000000000001</v>
      </c>
      <c r="K662" s="136">
        <f t="shared" si="62"/>
        <v>0</v>
      </c>
      <c r="L662" s="136">
        <f t="shared" si="63"/>
        <v>0</v>
      </c>
      <c r="M662" s="136">
        <f t="shared" si="64"/>
        <v>0</v>
      </c>
      <c r="O662" s="134"/>
      <c r="P662" s="259"/>
    </row>
    <row r="663" spans="1:16">
      <c r="A663" s="134">
        <v>343</v>
      </c>
      <c r="B663" s="259" t="s">
        <v>2296</v>
      </c>
      <c r="C663" s="129" t="s">
        <v>2297</v>
      </c>
      <c r="D663" s="292">
        <v>278</v>
      </c>
      <c r="E663" s="292">
        <v>0</v>
      </c>
      <c r="F663" s="139">
        <f t="shared" si="65"/>
        <v>278</v>
      </c>
      <c r="G663" s="292">
        <v>101</v>
      </c>
      <c r="H663" s="292">
        <v>0</v>
      </c>
      <c r="I663" s="139">
        <f t="shared" si="66"/>
        <v>101</v>
      </c>
      <c r="J663" s="266">
        <f t="shared" si="67"/>
        <v>0.36330000000000001</v>
      </c>
      <c r="K663" s="136">
        <f t="shared" si="62"/>
        <v>0.9</v>
      </c>
      <c r="L663" s="136">
        <f t="shared" si="63"/>
        <v>0</v>
      </c>
      <c r="M663" s="136">
        <f t="shared" si="64"/>
        <v>0.9</v>
      </c>
      <c r="O663" s="134"/>
      <c r="P663" s="259"/>
    </row>
    <row r="664" spans="1:16">
      <c r="A664" s="134">
        <v>343</v>
      </c>
      <c r="B664" s="259" t="s">
        <v>2298</v>
      </c>
      <c r="C664" s="129" t="s">
        <v>2299</v>
      </c>
      <c r="D664" s="292">
        <v>229</v>
      </c>
      <c r="E664" s="292">
        <v>0</v>
      </c>
      <c r="F664" s="139">
        <f t="shared" si="65"/>
        <v>229</v>
      </c>
      <c r="G664" s="292">
        <v>85</v>
      </c>
      <c r="H664" s="292">
        <v>0</v>
      </c>
      <c r="I664" s="139">
        <f t="shared" si="66"/>
        <v>85</v>
      </c>
      <c r="J664" s="266">
        <f t="shared" si="67"/>
        <v>0.37119999999999997</v>
      </c>
      <c r="K664" s="136">
        <f t="shared" si="62"/>
        <v>1.3</v>
      </c>
      <c r="L664" s="136">
        <f t="shared" si="63"/>
        <v>0</v>
      </c>
      <c r="M664" s="136">
        <f t="shared" si="64"/>
        <v>1.3</v>
      </c>
      <c r="O664" s="134"/>
      <c r="P664" s="259"/>
    </row>
    <row r="665" spans="1:16">
      <c r="A665" s="134">
        <v>343</v>
      </c>
      <c r="B665" s="259" t="s">
        <v>2300</v>
      </c>
      <c r="C665" s="129" t="s">
        <v>2301</v>
      </c>
      <c r="D665" s="292">
        <v>257</v>
      </c>
      <c r="E665" s="292">
        <v>0</v>
      </c>
      <c r="F665" s="139">
        <f t="shared" si="65"/>
        <v>257</v>
      </c>
      <c r="G665" s="292">
        <v>75</v>
      </c>
      <c r="H665" s="292">
        <v>0</v>
      </c>
      <c r="I665" s="139">
        <f t="shared" si="66"/>
        <v>75</v>
      </c>
      <c r="J665" s="266">
        <f t="shared" si="67"/>
        <v>0.2918</v>
      </c>
      <c r="K665" s="136">
        <f t="shared" si="62"/>
        <v>0</v>
      </c>
      <c r="L665" s="136">
        <f t="shared" si="63"/>
        <v>0</v>
      </c>
      <c r="M665" s="136">
        <f t="shared" si="64"/>
        <v>0</v>
      </c>
      <c r="O665" s="134"/>
      <c r="P665" s="259"/>
    </row>
    <row r="666" spans="1:16">
      <c r="A666" s="134">
        <v>344</v>
      </c>
      <c r="B666" s="259" t="s">
        <v>2302</v>
      </c>
      <c r="C666" s="129" t="s">
        <v>2303</v>
      </c>
      <c r="D666" s="292">
        <v>179</v>
      </c>
      <c r="E666" s="292">
        <v>0</v>
      </c>
      <c r="F666" s="139">
        <f t="shared" si="65"/>
        <v>179</v>
      </c>
      <c r="G666" s="292">
        <v>93</v>
      </c>
      <c r="H666" s="292">
        <v>0</v>
      </c>
      <c r="I666" s="139">
        <f t="shared" si="66"/>
        <v>93</v>
      </c>
      <c r="J666" s="266">
        <f t="shared" si="67"/>
        <v>0.51959999999999995</v>
      </c>
      <c r="K666" s="136">
        <f t="shared" si="62"/>
        <v>0</v>
      </c>
      <c r="L666" s="136">
        <f t="shared" si="63"/>
        <v>9.8000000000000007</v>
      </c>
      <c r="M666" s="136">
        <f t="shared" si="64"/>
        <v>9.8000000000000007</v>
      </c>
      <c r="O666" s="134"/>
      <c r="P666" s="259"/>
    </row>
    <row r="667" spans="1:16">
      <c r="A667" s="134">
        <v>344</v>
      </c>
      <c r="B667" s="259" t="s">
        <v>2304</v>
      </c>
      <c r="C667" s="129" t="s">
        <v>2305</v>
      </c>
      <c r="D667" s="292">
        <v>170</v>
      </c>
      <c r="E667" s="292">
        <v>0</v>
      </c>
      <c r="F667" s="139">
        <f t="shared" si="65"/>
        <v>170</v>
      </c>
      <c r="G667" s="292">
        <v>69</v>
      </c>
      <c r="H667" s="292">
        <v>0</v>
      </c>
      <c r="I667" s="139">
        <f t="shared" si="66"/>
        <v>69</v>
      </c>
      <c r="J667" s="266">
        <f t="shared" si="67"/>
        <v>0.40589999999999998</v>
      </c>
      <c r="K667" s="136">
        <f t="shared" si="62"/>
        <v>2.7</v>
      </c>
      <c r="L667" s="136">
        <f t="shared" si="63"/>
        <v>0</v>
      </c>
      <c r="M667" s="136">
        <f t="shared" si="64"/>
        <v>2.7</v>
      </c>
      <c r="O667" s="134"/>
      <c r="P667" s="259"/>
    </row>
    <row r="668" spans="1:16">
      <c r="A668" s="134">
        <v>345</v>
      </c>
      <c r="B668" s="259" t="s">
        <v>2306</v>
      </c>
      <c r="C668" s="129" t="s">
        <v>2307</v>
      </c>
      <c r="D668" s="292">
        <v>548</v>
      </c>
      <c r="E668" s="292">
        <v>0</v>
      </c>
      <c r="F668" s="139">
        <f t="shared" si="65"/>
        <v>548</v>
      </c>
      <c r="G668" s="292">
        <v>327</v>
      </c>
      <c r="H668" s="292">
        <v>0</v>
      </c>
      <c r="I668" s="139">
        <f t="shared" si="66"/>
        <v>327</v>
      </c>
      <c r="J668" s="266">
        <f t="shared" si="67"/>
        <v>0.59670000000000001</v>
      </c>
      <c r="K668" s="136">
        <f t="shared" si="62"/>
        <v>0</v>
      </c>
      <c r="L668" s="136">
        <f t="shared" si="63"/>
        <v>34.299999999999997</v>
      </c>
      <c r="M668" s="136">
        <f t="shared" si="64"/>
        <v>34.299999999999997</v>
      </c>
      <c r="O668" s="134"/>
      <c r="P668" s="259"/>
    </row>
    <row r="669" spans="1:16">
      <c r="A669" s="134">
        <v>345</v>
      </c>
      <c r="B669" s="259" t="s">
        <v>2308</v>
      </c>
      <c r="C669" s="129" t="s">
        <v>2309</v>
      </c>
      <c r="D669" s="292">
        <v>298</v>
      </c>
      <c r="E669" s="292">
        <v>0</v>
      </c>
      <c r="F669" s="139">
        <f t="shared" si="65"/>
        <v>298</v>
      </c>
      <c r="G669" s="292">
        <v>94</v>
      </c>
      <c r="H669" s="292">
        <v>0</v>
      </c>
      <c r="I669" s="139">
        <f t="shared" si="66"/>
        <v>94</v>
      </c>
      <c r="J669" s="266">
        <f t="shared" si="67"/>
        <v>0.31540000000000001</v>
      </c>
      <c r="K669" s="136">
        <f t="shared" si="62"/>
        <v>0</v>
      </c>
      <c r="L669" s="136">
        <f t="shared" si="63"/>
        <v>0</v>
      </c>
      <c r="M669" s="136">
        <f t="shared" si="64"/>
        <v>0</v>
      </c>
      <c r="O669" s="134"/>
      <c r="P669" s="259"/>
    </row>
    <row r="670" spans="1:16">
      <c r="A670" s="134">
        <v>345</v>
      </c>
      <c r="B670" s="259" t="s">
        <v>2310</v>
      </c>
      <c r="C670" s="129" t="s">
        <v>2311</v>
      </c>
      <c r="D670" s="292">
        <v>313</v>
      </c>
      <c r="E670" s="292">
        <v>0</v>
      </c>
      <c r="F670" s="139">
        <f t="shared" si="65"/>
        <v>313</v>
      </c>
      <c r="G670" s="292">
        <v>63</v>
      </c>
      <c r="H670" s="292">
        <v>0</v>
      </c>
      <c r="I670" s="139">
        <f t="shared" si="66"/>
        <v>63</v>
      </c>
      <c r="J670" s="266">
        <f t="shared" si="67"/>
        <v>0.20130000000000001</v>
      </c>
      <c r="K670" s="136">
        <f t="shared" si="62"/>
        <v>0</v>
      </c>
      <c r="L670" s="136">
        <f t="shared" si="63"/>
        <v>0</v>
      </c>
      <c r="M670" s="136">
        <f t="shared" si="64"/>
        <v>0</v>
      </c>
      <c r="O670" s="134"/>
      <c r="P670" s="259"/>
    </row>
    <row r="671" spans="1:16">
      <c r="A671" s="134">
        <v>345</v>
      </c>
      <c r="B671" s="259" t="s">
        <v>2312</v>
      </c>
      <c r="C671" s="129" t="s">
        <v>2313</v>
      </c>
      <c r="D671" s="292">
        <v>418</v>
      </c>
      <c r="E671" s="292">
        <v>0</v>
      </c>
      <c r="F671" s="139">
        <f t="shared" si="65"/>
        <v>418</v>
      </c>
      <c r="G671" s="292">
        <v>151</v>
      </c>
      <c r="H671" s="292">
        <v>0</v>
      </c>
      <c r="I671" s="139">
        <f t="shared" si="66"/>
        <v>151</v>
      </c>
      <c r="J671" s="266">
        <f t="shared" si="67"/>
        <v>0.36120000000000002</v>
      </c>
      <c r="K671" s="136">
        <f t="shared" si="62"/>
        <v>1.2</v>
      </c>
      <c r="L671" s="136">
        <f t="shared" si="63"/>
        <v>0</v>
      </c>
      <c r="M671" s="136">
        <f t="shared" si="64"/>
        <v>1.2</v>
      </c>
      <c r="O671" s="134"/>
      <c r="P671" s="259"/>
    </row>
    <row r="672" spans="1:16">
      <c r="A672" s="134">
        <v>345</v>
      </c>
      <c r="B672" s="259" t="s">
        <v>2314</v>
      </c>
      <c r="C672" s="129" t="s">
        <v>2315</v>
      </c>
      <c r="D672" s="292">
        <v>437</v>
      </c>
      <c r="E672" s="292">
        <v>0</v>
      </c>
      <c r="F672" s="139">
        <f t="shared" si="65"/>
        <v>437</v>
      </c>
      <c r="G672" s="292">
        <v>109</v>
      </c>
      <c r="H672" s="292">
        <v>0</v>
      </c>
      <c r="I672" s="139">
        <f t="shared" si="66"/>
        <v>109</v>
      </c>
      <c r="J672" s="266">
        <f t="shared" si="67"/>
        <v>0.24940000000000001</v>
      </c>
      <c r="K672" s="136">
        <f t="shared" si="62"/>
        <v>0</v>
      </c>
      <c r="L672" s="136">
        <f t="shared" si="63"/>
        <v>0</v>
      </c>
      <c r="M672" s="136">
        <f t="shared" si="64"/>
        <v>0</v>
      </c>
      <c r="O672" s="134"/>
      <c r="P672" s="259"/>
    </row>
    <row r="673" spans="1:16">
      <c r="A673" s="134">
        <v>345</v>
      </c>
      <c r="B673" s="259" t="s">
        <v>2316</v>
      </c>
      <c r="C673" s="129" t="s">
        <v>2317</v>
      </c>
      <c r="D673" s="292">
        <v>556</v>
      </c>
      <c r="E673" s="292">
        <v>0</v>
      </c>
      <c r="F673" s="139">
        <f t="shared" si="65"/>
        <v>556</v>
      </c>
      <c r="G673" s="292">
        <v>184</v>
      </c>
      <c r="H673" s="292">
        <v>0</v>
      </c>
      <c r="I673" s="139">
        <f t="shared" si="66"/>
        <v>184</v>
      </c>
      <c r="J673" s="266">
        <f t="shared" si="67"/>
        <v>0.33090000000000003</v>
      </c>
      <c r="K673" s="136">
        <f t="shared" si="62"/>
        <v>0</v>
      </c>
      <c r="L673" s="136">
        <f t="shared" si="63"/>
        <v>0</v>
      </c>
      <c r="M673" s="136">
        <f t="shared" si="64"/>
        <v>0</v>
      </c>
      <c r="O673" s="134"/>
      <c r="P673" s="259"/>
    </row>
    <row r="674" spans="1:16">
      <c r="A674" s="134">
        <v>345</v>
      </c>
      <c r="B674" s="259" t="s">
        <v>2318</v>
      </c>
      <c r="C674" s="129" t="s">
        <v>2319</v>
      </c>
      <c r="D674" s="292">
        <v>1157</v>
      </c>
      <c r="E674" s="292">
        <v>0</v>
      </c>
      <c r="F674" s="139">
        <f t="shared" si="65"/>
        <v>1157</v>
      </c>
      <c r="G674" s="292">
        <v>307</v>
      </c>
      <c r="H674" s="292">
        <v>0</v>
      </c>
      <c r="I674" s="139">
        <f t="shared" si="66"/>
        <v>307</v>
      </c>
      <c r="J674" s="266">
        <f t="shared" si="67"/>
        <v>0.26529999999999998</v>
      </c>
      <c r="K674" s="136">
        <f t="shared" si="62"/>
        <v>0</v>
      </c>
      <c r="L674" s="136">
        <f t="shared" si="63"/>
        <v>0</v>
      </c>
      <c r="M674" s="136">
        <f t="shared" si="64"/>
        <v>0</v>
      </c>
      <c r="O674" s="134"/>
      <c r="P674" s="259"/>
    </row>
    <row r="675" spans="1:16">
      <c r="A675" s="134">
        <v>346</v>
      </c>
      <c r="B675" s="259" t="s">
        <v>2320</v>
      </c>
      <c r="C675" s="129" t="s">
        <v>2321</v>
      </c>
      <c r="D675" s="292">
        <v>336</v>
      </c>
      <c r="E675" s="292">
        <v>0</v>
      </c>
      <c r="F675" s="139">
        <f t="shared" si="65"/>
        <v>336</v>
      </c>
      <c r="G675" s="292">
        <v>192</v>
      </c>
      <c r="H675" s="292">
        <v>0</v>
      </c>
      <c r="I675" s="139">
        <f t="shared" si="66"/>
        <v>192</v>
      </c>
      <c r="J675" s="266">
        <f t="shared" si="67"/>
        <v>0.57140000000000002</v>
      </c>
      <c r="K675" s="136">
        <f t="shared" si="62"/>
        <v>0</v>
      </c>
      <c r="L675" s="136">
        <f t="shared" si="63"/>
        <v>20.2</v>
      </c>
      <c r="M675" s="136">
        <f t="shared" si="64"/>
        <v>20.2</v>
      </c>
      <c r="O675" s="134"/>
      <c r="P675" s="259"/>
    </row>
    <row r="676" spans="1:16">
      <c r="A676" s="134">
        <v>346</v>
      </c>
      <c r="B676" s="259" t="s">
        <v>2322</v>
      </c>
      <c r="C676" s="129" t="s">
        <v>2323</v>
      </c>
      <c r="D676" s="292">
        <v>246</v>
      </c>
      <c r="E676" s="292">
        <v>0</v>
      </c>
      <c r="F676" s="139">
        <f t="shared" si="65"/>
        <v>246</v>
      </c>
      <c r="G676" s="292">
        <v>105</v>
      </c>
      <c r="H676" s="292">
        <v>0</v>
      </c>
      <c r="I676" s="139">
        <f t="shared" si="66"/>
        <v>105</v>
      </c>
      <c r="J676" s="266">
        <f t="shared" si="67"/>
        <v>0.42680000000000001</v>
      </c>
      <c r="K676" s="136">
        <f t="shared" si="62"/>
        <v>5.6</v>
      </c>
      <c r="L676" s="136">
        <f t="shared" si="63"/>
        <v>0</v>
      </c>
      <c r="M676" s="136">
        <f t="shared" si="64"/>
        <v>5.6</v>
      </c>
      <c r="O676" s="134"/>
      <c r="P676" s="259"/>
    </row>
    <row r="677" spans="1:16">
      <c r="A677" s="134">
        <v>347</v>
      </c>
      <c r="B677" s="259" t="s">
        <v>2324</v>
      </c>
      <c r="C677" s="129" t="s">
        <v>2325</v>
      </c>
      <c r="D677" s="292">
        <v>151</v>
      </c>
      <c r="E677" s="292">
        <v>0</v>
      </c>
      <c r="F677" s="139">
        <f t="shared" si="65"/>
        <v>151</v>
      </c>
      <c r="G677" s="292">
        <v>60</v>
      </c>
      <c r="H677" s="292">
        <v>0</v>
      </c>
      <c r="I677" s="139">
        <f t="shared" si="66"/>
        <v>60</v>
      </c>
      <c r="J677" s="266">
        <f t="shared" si="67"/>
        <v>0.39739999999999998</v>
      </c>
      <c r="K677" s="136">
        <f t="shared" si="62"/>
        <v>2</v>
      </c>
      <c r="L677" s="136">
        <f t="shared" si="63"/>
        <v>0</v>
      </c>
      <c r="M677" s="136">
        <f t="shared" si="64"/>
        <v>2</v>
      </c>
      <c r="O677" s="134"/>
      <c r="P677" s="259"/>
    </row>
    <row r="678" spans="1:16">
      <c r="A678" s="134">
        <v>347</v>
      </c>
      <c r="B678" s="259" t="s">
        <v>2326</v>
      </c>
      <c r="C678" s="129" t="s">
        <v>2327</v>
      </c>
      <c r="D678" s="292">
        <v>134</v>
      </c>
      <c r="E678" s="292">
        <v>0</v>
      </c>
      <c r="F678" s="139">
        <f t="shared" si="65"/>
        <v>134</v>
      </c>
      <c r="G678" s="292">
        <v>69</v>
      </c>
      <c r="H678" s="292">
        <v>0</v>
      </c>
      <c r="I678" s="139">
        <f t="shared" si="66"/>
        <v>69</v>
      </c>
      <c r="J678" s="266">
        <f t="shared" si="67"/>
        <v>0.51490000000000002</v>
      </c>
      <c r="K678" s="136">
        <f t="shared" si="62"/>
        <v>0</v>
      </c>
      <c r="L678" s="136">
        <f t="shared" si="63"/>
        <v>7.2</v>
      </c>
      <c r="M678" s="136">
        <f t="shared" si="64"/>
        <v>7.2</v>
      </c>
      <c r="O678" s="134"/>
      <c r="P678" s="259"/>
    </row>
    <row r="679" spans="1:16">
      <c r="A679" s="134">
        <v>348</v>
      </c>
      <c r="B679" s="259" t="s">
        <v>2328</v>
      </c>
      <c r="C679" s="129" t="s">
        <v>2329</v>
      </c>
      <c r="D679" s="292">
        <v>336</v>
      </c>
      <c r="E679" s="292">
        <v>0</v>
      </c>
      <c r="F679" s="139">
        <f t="shared" si="65"/>
        <v>336</v>
      </c>
      <c r="G679" s="292">
        <v>82</v>
      </c>
      <c r="H679" s="292">
        <v>0</v>
      </c>
      <c r="I679" s="139">
        <f t="shared" si="66"/>
        <v>82</v>
      </c>
      <c r="J679" s="266">
        <f t="shared" si="67"/>
        <v>0.24399999999999999</v>
      </c>
      <c r="K679" s="136">
        <f t="shared" si="62"/>
        <v>0</v>
      </c>
      <c r="L679" s="136">
        <f t="shared" si="63"/>
        <v>0</v>
      </c>
      <c r="M679" s="136">
        <f t="shared" si="64"/>
        <v>0</v>
      </c>
      <c r="O679" s="134"/>
      <c r="P679" s="259"/>
    </row>
    <row r="680" spans="1:16">
      <c r="A680" s="134">
        <v>348</v>
      </c>
      <c r="B680" s="259" t="s">
        <v>2330</v>
      </c>
      <c r="C680" s="129" t="s">
        <v>2331</v>
      </c>
      <c r="D680" s="292">
        <v>408</v>
      </c>
      <c r="E680" s="292">
        <v>0</v>
      </c>
      <c r="F680" s="139">
        <f t="shared" si="65"/>
        <v>408</v>
      </c>
      <c r="G680" s="292">
        <v>81</v>
      </c>
      <c r="H680" s="292">
        <v>0</v>
      </c>
      <c r="I680" s="139">
        <f t="shared" si="66"/>
        <v>81</v>
      </c>
      <c r="J680" s="266">
        <f t="shared" si="67"/>
        <v>0.19850000000000001</v>
      </c>
      <c r="K680" s="136">
        <f t="shared" si="62"/>
        <v>0</v>
      </c>
      <c r="L680" s="136">
        <f t="shared" si="63"/>
        <v>0</v>
      </c>
      <c r="M680" s="136">
        <f t="shared" si="64"/>
        <v>0</v>
      </c>
      <c r="O680" s="134"/>
      <c r="P680" s="259"/>
    </row>
    <row r="681" spans="1:16">
      <c r="A681" s="134">
        <v>348</v>
      </c>
      <c r="B681" s="259" t="s">
        <v>2332</v>
      </c>
      <c r="C681" s="129" t="s">
        <v>2333</v>
      </c>
      <c r="D681" s="292">
        <v>358</v>
      </c>
      <c r="E681" s="292">
        <v>0</v>
      </c>
      <c r="F681" s="139">
        <f t="shared" si="65"/>
        <v>358</v>
      </c>
      <c r="G681" s="292">
        <v>92</v>
      </c>
      <c r="H681" s="292">
        <v>0</v>
      </c>
      <c r="I681" s="139">
        <f t="shared" si="66"/>
        <v>92</v>
      </c>
      <c r="J681" s="266">
        <f t="shared" si="67"/>
        <v>0.25700000000000001</v>
      </c>
      <c r="K681" s="136">
        <f t="shared" si="62"/>
        <v>0</v>
      </c>
      <c r="L681" s="136">
        <f t="shared" si="63"/>
        <v>0</v>
      </c>
      <c r="M681" s="136">
        <f t="shared" si="64"/>
        <v>0</v>
      </c>
      <c r="O681" s="134"/>
      <c r="P681" s="259"/>
    </row>
    <row r="682" spans="1:16" ht="15" customHeight="1">
      <c r="A682" s="134">
        <v>348</v>
      </c>
      <c r="B682" s="259" t="s">
        <v>2334</v>
      </c>
      <c r="C682" s="129" t="s">
        <v>2335</v>
      </c>
      <c r="D682" s="292">
        <v>288</v>
      </c>
      <c r="E682" s="292">
        <v>0</v>
      </c>
      <c r="F682" s="139">
        <f t="shared" si="65"/>
        <v>288</v>
      </c>
      <c r="G682" s="292">
        <v>81</v>
      </c>
      <c r="H682" s="292">
        <v>0</v>
      </c>
      <c r="I682" s="139">
        <f t="shared" si="66"/>
        <v>81</v>
      </c>
      <c r="J682" s="266">
        <f t="shared" si="67"/>
        <v>0.28129999999999999</v>
      </c>
      <c r="K682" s="136">
        <f t="shared" si="62"/>
        <v>0</v>
      </c>
      <c r="L682" s="136">
        <f t="shared" si="63"/>
        <v>0</v>
      </c>
      <c r="M682" s="136">
        <f t="shared" si="64"/>
        <v>0</v>
      </c>
      <c r="O682" s="134"/>
      <c r="P682" s="259"/>
    </row>
    <row r="683" spans="1:16">
      <c r="A683" s="134">
        <v>349</v>
      </c>
      <c r="B683" s="259" t="s">
        <v>2336</v>
      </c>
      <c r="C683" s="129" t="s">
        <v>2337</v>
      </c>
      <c r="D683" s="292">
        <v>123</v>
      </c>
      <c r="E683" s="292">
        <v>0</v>
      </c>
      <c r="F683" s="139">
        <f t="shared" si="65"/>
        <v>123</v>
      </c>
      <c r="G683" s="292">
        <v>69</v>
      </c>
      <c r="H683" s="292">
        <v>0</v>
      </c>
      <c r="I683" s="139">
        <f t="shared" si="66"/>
        <v>69</v>
      </c>
      <c r="J683" s="266">
        <f t="shared" si="67"/>
        <v>0.56100000000000005</v>
      </c>
      <c r="K683" s="136">
        <f t="shared" si="62"/>
        <v>0</v>
      </c>
      <c r="L683" s="136">
        <f t="shared" si="63"/>
        <v>7.2</v>
      </c>
      <c r="M683" s="136">
        <f t="shared" si="64"/>
        <v>7.2</v>
      </c>
      <c r="O683" s="134"/>
      <c r="P683" s="259"/>
    </row>
    <row r="684" spans="1:16">
      <c r="A684" s="134">
        <v>349</v>
      </c>
      <c r="B684" s="259" t="s">
        <v>2338</v>
      </c>
      <c r="C684" s="129" t="s">
        <v>2339</v>
      </c>
      <c r="D684" s="292">
        <v>113</v>
      </c>
      <c r="E684" s="292">
        <v>0</v>
      </c>
      <c r="F684" s="139">
        <f t="shared" si="65"/>
        <v>113</v>
      </c>
      <c r="G684" s="292">
        <v>62</v>
      </c>
      <c r="H684" s="292">
        <v>0</v>
      </c>
      <c r="I684" s="139">
        <f t="shared" si="66"/>
        <v>62</v>
      </c>
      <c r="J684" s="266">
        <f t="shared" si="67"/>
        <v>0.54869999999999997</v>
      </c>
      <c r="K684" s="136">
        <f t="shared" si="62"/>
        <v>0</v>
      </c>
      <c r="L684" s="136">
        <f t="shared" si="63"/>
        <v>6.5</v>
      </c>
      <c r="M684" s="136">
        <f t="shared" si="64"/>
        <v>6.5</v>
      </c>
      <c r="O684" s="134"/>
      <c r="P684" s="259"/>
    </row>
    <row r="685" spans="1:16">
      <c r="A685" s="134">
        <v>350</v>
      </c>
      <c r="B685" s="259" t="s">
        <v>2340</v>
      </c>
      <c r="C685" s="129" t="s">
        <v>2341</v>
      </c>
      <c r="D685" s="292">
        <v>195</v>
      </c>
      <c r="E685" s="292">
        <v>0</v>
      </c>
      <c r="F685" s="139">
        <f t="shared" si="65"/>
        <v>195</v>
      </c>
      <c r="G685" s="292">
        <v>73</v>
      </c>
      <c r="H685" s="292">
        <v>0</v>
      </c>
      <c r="I685" s="139">
        <f t="shared" si="66"/>
        <v>73</v>
      </c>
      <c r="J685" s="266">
        <f t="shared" si="67"/>
        <v>0.37440000000000001</v>
      </c>
      <c r="K685" s="136">
        <f t="shared" si="62"/>
        <v>1.2</v>
      </c>
      <c r="L685" s="136">
        <f t="shared" si="63"/>
        <v>0</v>
      </c>
      <c r="M685" s="136">
        <f t="shared" si="64"/>
        <v>1.2</v>
      </c>
      <c r="O685" s="134"/>
      <c r="P685" s="259"/>
    </row>
    <row r="686" spans="1:16">
      <c r="A686" s="134">
        <v>350</v>
      </c>
      <c r="B686" s="259" t="s">
        <v>2342</v>
      </c>
      <c r="C686" s="129" t="s">
        <v>2343</v>
      </c>
      <c r="D686" s="292">
        <v>135</v>
      </c>
      <c r="E686" s="292">
        <v>0</v>
      </c>
      <c r="F686" s="139">
        <f t="shared" si="65"/>
        <v>135</v>
      </c>
      <c r="G686" s="292">
        <v>60</v>
      </c>
      <c r="H686" s="292">
        <v>0</v>
      </c>
      <c r="I686" s="139">
        <f t="shared" si="66"/>
        <v>60</v>
      </c>
      <c r="J686" s="266">
        <f t="shared" si="67"/>
        <v>0.44440000000000002</v>
      </c>
      <c r="K686" s="136">
        <f t="shared" si="62"/>
        <v>4</v>
      </c>
      <c r="L686" s="136">
        <f t="shared" si="63"/>
        <v>0</v>
      </c>
      <c r="M686" s="136">
        <f t="shared" si="64"/>
        <v>4</v>
      </c>
      <c r="O686" s="134"/>
      <c r="P686" s="259"/>
    </row>
    <row r="687" spans="1:16">
      <c r="A687" s="134">
        <v>351</v>
      </c>
      <c r="B687" s="259" t="s">
        <v>2344</v>
      </c>
      <c r="C687" s="129" t="s">
        <v>2345</v>
      </c>
      <c r="D687" s="292">
        <v>96</v>
      </c>
      <c r="E687" s="292">
        <v>0</v>
      </c>
      <c r="F687" s="139">
        <f t="shared" si="65"/>
        <v>96</v>
      </c>
      <c r="G687" s="292">
        <v>53</v>
      </c>
      <c r="H687" s="292">
        <v>0</v>
      </c>
      <c r="I687" s="139">
        <f t="shared" si="66"/>
        <v>53</v>
      </c>
      <c r="J687" s="266">
        <f t="shared" si="67"/>
        <v>0.55210000000000004</v>
      </c>
      <c r="K687" s="136">
        <f t="shared" si="62"/>
        <v>0</v>
      </c>
      <c r="L687" s="136">
        <f t="shared" si="63"/>
        <v>5.6</v>
      </c>
      <c r="M687" s="136">
        <f t="shared" si="64"/>
        <v>5.6</v>
      </c>
      <c r="O687" s="134"/>
      <c r="P687" s="259"/>
    </row>
    <row r="688" spans="1:16">
      <c r="A688" s="134">
        <v>351</v>
      </c>
      <c r="B688" s="259" t="s">
        <v>2346</v>
      </c>
      <c r="C688" s="129" t="s">
        <v>2347</v>
      </c>
      <c r="D688" s="292">
        <v>81</v>
      </c>
      <c r="E688" s="292">
        <v>0</v>
      </c>
      <c r="F688" s="139">
        <f t="shared" si="65"/>
        <v>81</v>
      </c>
      <c r="G688" s="292">
        <v>47</v>
      </c>
      <c r="H688" s="292">
        <v>0</v>
      </c>
      <c r="I688" s="139">
        <f t="shared" si="66"/>
        <v>47</v>
      </c>
      <c r="J688" s="266">
        <f t="shared" si="67"/>
        <v>0.58020000000000005</v>
      </c>
      <c r="K688" s="136">
        <f t="shared" si="62"/>
        <v>0</v>
      </c>
      <c r="L688" s="136">
        <f t="shared" si="63"/>
        <v>4.9000000000000004</v>
      </c>
      <c r="M688" s="136">
        <f t="shared" si="64"/>
        <v>4.9000000000000004</v>
      </c>
      <c r="O688" s="134"/>
      <c r="P688" s="259"/>
    </row>
    <row r="689" spans="1:16">
      <c r="A689" s="260">
        <v>352</v>
      </c>
      <c r="B689" s="261" t="s">
        <v>2348</v>
      </c>
      <c r="C689" s="262" t="s">
        <v>2349</v>
      </c>
      <c r="D689" s="293">
        <v>394</v>
      </c>
      <c r="E689" s="293">
        <v>0</v>
      </c>
      <c r="F689" s="139">
        <f t="shared" si="65"/>
        <v>394</v>
      </c>
      <c r="G689" s="293">
        <v>166</v>
      </c>
      <c r="H689" s="293">
        <v>0</v>
      </c>
      <c r="I689" s="139">
        <f t="shared" si="66"/>
        <v>166</v>
      </c>
      <c r="J689" s="266">
        <f t="shared" si="67"/>
        <v>0.42130000000000001</v>
      </c>
      <c r="K689" s="136">
        <f t="shared" si="62"/>
        <v>8.3000000000000007</v>
      </c>
      <c r="L689" s="136">
        <f t="shared" si="63"/>
        <v>0</v>
      </c>
      <c r="M689" s="136">
        <f t="shared" si="64"/>
        <v>8.3000000000000007</v>
      </c>
      <c r="O689" s="134"/>
      <c r="P689" s="259"/>
    </row>
    <row r="690" spans="1:16">
      <c r="A690" s="134">
        <v>352</v>
      </c>
      <c r="B690" s="259" t="s">
        <v>2350</v>
      </c>
      <c r="C690" s="129" t="s">
        <v>2351</v>
      </c>
      <c r="D690" s="292">
        <v>264</v>
      </c>
      <c r="E690" s="292">
        <v>0</v>
      </c>
      <c r="F690" s="139">
        <f t="shared" si="65"/>
        <v>264</v>
      </c>
      <c r="G690" s="292">
        <v>126</v>
      </c>
      <c r="H690" s="292">
        <v>0</v>
      </c>
      <c r="I690" s="139">
        <f t="shared" si="66"/>
        <v>126</v>
      </c>
      <c r="J690" s="266">
        <f t="shared" si="67"/>
        <v>0.4773</v>
      </c>
      <c r="K690" s="136">
        <f t="shared" si="62"/>
        <v>11.2</v>
      </c>
      <c r="L690" s="136">
        <f t="shared" si="63"/>
        <v>0</v>
      </c>
      <c r="M690" s="136">
        <f t="shared" si="64"/>
        <v>11.2</v>
      </c>
      <c r="O690" s="134"/>
      <c r="P690" s="259"/>
    </row>
    <row r="691" spans="1:16">
      <c r="A691" s="134">
        <v>352</v>
      </c>
      <c r="B691" s="259" t="s">
        <v>4027</v>
      </c>
      <c r="C691" s="129" t="s">
        <v>4028</v>
      </c>
      <c r="D691" s="292">
        <v>1</v>
      </c>
      <c r="E691" s="292">
        <v>0</v>
      </c>
      <c r="F691" s="139">
        <f t="shared" si="65"/>
        <v>1</v>
      </c>
      <c r="G691" s="292">
        <v>0</v>
      </c>
      <c r="H691" s="292">
        <v>0</v>
      </c>
      <c r="I691" s="139">
        <f t="shared" si="66"/>
        <v>0</v>
      </c>
      <c r="J691" s="266">
        <f t="shared" si="67"/>
        <v>0</v>
      </c>
      <c r="K691" s="136">
        <f t="shared" si="62"/>
        <v>0</v>
      </c>
      <c r="L691" s="136">
        <f t="shared" si="63"/>
        <v>0</v>
      </c>
      <c r="M691" s="136">
        <f t="shared" si="64"/>
        <v>0</v>
      </c>
      <c r="O691" s="134"/>
      <c r="P691" s="259"/>
    </row>
    <row r="692" spans="1:16">
      <c r="A692" s="134">
        <v>352</v>
      </c>
      <c r="B692" s="259" t="s">
        <v>4029</v>
      </c>
      <c r="C692" s="129" t="s">
        <v>4030</v>
      </c>
      <c r="D692" s="292">
        <v>0</v>
      </c>
      <c r="E692" s="292">
        <v>0</v>
      </c>
      <c r="F692" s="139">
        <f t="shared" si="65"/>
        <v>0</v>
      </c>
      <c r="G692" s="292">
        <v>0</v>
      </c>
      <c r="H692" s="292">
        <v>0</v>
      </c>
      <c r="I692" s="139">
        <f t="shared" si="66"/>
        <v>0</v>
      </c>
      <c r="J692" s="266">
        <f t="shared" si="67"/>
        <v>0</v>
      </c>
      <c r="K692" s="136">
        <f t="shared" si="62"/>
        <v>0</v>
      </c>
      <c r="L692" s="136">
        <f t="shared" si="63"/>
        <v>0</v>
      </c>
      <c r="M692" s="136">
        <f t="shared" si="64"/>
        <v>0</v>
      </c>
      <c r="O692" s="134"/>
      <c r="P692" s="259"/>
    </row>
    <row r="693" spans="1:16">
      <c r="A693" s="134">
        <v>352</v>
      </c>
      <c r="B693" s="259" t="s">
        <v>2352</v>
      </c>
      <c r="C693" s="129" t="s">
        <v>2353</v>
      </c>
      <c r="D693" s="292">
        <v>220</v>
      </c>
      <c r="E693" s="292">
        <v>0</v>
      </c>
      <c r="F693" s="139">
        <f t="shared" si="65"/>
        <v>220</v>
      </c>
      <c r="G693" s="292">
        <v>109</v>
      </c>
      <c r="H693" s="292">
        <v>0</v>
      </c>
      <c r="I693" s="139">
        <f t="shared" si="66"/>
        <v>109</v>
      </c>
      <c r="J693" s="266">
        <f t="shared" si="67"/>
        <v>0.4955</v>
      </c>
      <c r="K693" s="136">
        <f t="shared" si="62"/>
        <v>11.1</v>
      </c>
      <c r="L693" s="136">
        <f t="shared" si="63"/>
        <v>0</v>
      </c>
      <c r="M693" s="136">
        <f t="shared" si="64"/>
        <v>11.1</v>
      </c>
      <c r="O693" s="134"/>
      <c r="P693" s="259"/>
    </row>
    <row r="694" spans="1:16">
      <c r="A694" s="134">
        <v>353</v>
      </c>
      <c r="B694" s="259" t="s">
        <v>4031</v>
      </c>
      <c r="C694" s="129" t="s">
        <v>4032</v>
      </c>
      <c r="D694" s="292">
        <v>0</v>
      </c>
      <c r="E694" s="292">
        <v>0</v>
      </c>
      <c r="F694" s="139">
        <f t="shared" si="65"/>
        <v>0</v>
      </c>
      <c r="G694" s="292">
        <v>0</v>
      </c>
      <c r="H694" s="292">
        <v>0</v>
      </c>
      <c r="I694" s="139">
        <f t="shared" si="66"/>
        <v>0</v>
      </c>
      <c r="J694" s="266">
        <f t="shared" si="67"/>
        <v>0</v>
      </c>
      <c r="K694" s="136">
        <f t="shared" si="62"/>
        <v>0</v>
      </c>
      <c r="L694" s="136">
        <f t="shared" si="63"/>
        <v>0</v>
      </c>
      <c r="M694" s="136">
        <f t="shared" si="64"/>
        <v>0</v>
      </c>
      <c r="O694" s="134"/>
      <c r="P694" s="259"/>
    </row>
    <row r="695" spans="1:16">
      <c r="A695" s="134">
        <v>353</v>
      </c>
      <c r="B695" s="259" t="s">
        <v>2354</v>
      </c>
      <c r="C695" s="129" t="s">
        <v>1172</v>
      </c>
      <c r="D695" s="292">
        <v>257</v>
      </c>
      <c r="E695" s="292">
        <v>0</v>
      </c>
      <c r="F695" s="139">
        <f t="shared" si="65"/>
        <v>257</v>
      </c>
      <c r="G695" s="292">
        <v>134</v>
      </c>
      <c r="H695" s="292">
        <v>0</v>
      </c>
      <c r="I695" s="139">
        <f t="shared" si="66"/>
        <v>134</v>
      </c>
      <c r="J695" s="266">
        <f t="shared" si="67"/>
        <v>0.52139999999999997</v>
      </c>
      <c r="K695" s="136">
        <f t="shared" si="62"/>
        <v>0</v>
      </c>
      <c r="L695" s="136">
        <f t="shared" si="63"/>
        <v>14.1</v>
      </c>
      <c r="M695" s="136">
        <f t="shared" si="64"/>
        <v>14.1</v>
      </c>
      <c r="O695" s="134"/>
      <c r="P695" s="259"/>
    </row>
    <row r="696" spans="1:16">
      <c r="A696" s="134">
        <v>353</v>
      </c>
      <c r="B696" s="259" t="s">
        <v>2355</v>
      </c>
      <c r="C696" s="129" t="s">
        <v>2356</v>
      </c>
      <c r="D696" s="292">
        <v>136</v>
      </c>
      <c r="E696" s="292">
        <v>0</v>
      </c>
      <c r="F696" s="139">
        <f t="shared" si="65"/>
        <v>136</v>
      </c>
      <c r="G696" s="292">
        <v>97</v>
      </c>
      <c r="H696" s="292">
        <v>0</v>
      </c>
      <c r="I696" s="139">
        <f t="shared" si="66"/>
        <v>97</v>
      </c>
      <c r="J696" s="266">
        <f t="shared" si="67"/>
        <v>0.71319999999999995</v>
      </c>
      <c r="K696" s="136">
        <f t="shared" si="62"/>
        <v>0</v>
      </c>
      <c r="L696" s="136">
        <f t="shared" si="63"/>
        <v>10.199999999999999</v>
      </c>
      <c r="M696" s="136">
        <f t="shared" si="64"/>
        <v>10.199999999999999</v>
      </c>
      <c r="O696" s="134"/>
      <c r="P696" s="259"/>
    </row>
    <row r="697" spans="1:16">
      <c r="A697" s="134">
        <v>353</v>
      </c>
      <c r="B697" s="259" t="s">
        <v>2357</v>
      </c>
      <c r="C697" s="129" t="s">
        <v>2030</v>
      </c>
      <c r="D697" s="292">
        <v>158</v>
      </c>
      <c r="E697" s="292">
        <v>0</v>
      </c>
      <c r="F697" s="139">
        <f t="shared" si="65"/>
        <v>158</v>
      </c>
      <c r="G697" s="292">
        <v>117</v>
      </c>
      <c r="H697" s="292">
        <v>0</v>
      </c>
      <c r="I697" s="139">
        <f t="shared" si="66"/>
        <v>117</v>
      </c>
      <c r="J697" s="266">
        <f t="shared" si="67"/>
        <v>0.74050000000000005</v>
      </c>
      <c r="K697" s="136">
        <f t="shared" si="62"/>
        <v>0</v>
      </c>
      <c r="L697" s="136">
        <f t="shared" si="63"/>
        <v>12.3</v>
      </c>
      <c r="M697" s="136">
        <f t="shared" si="64"/>
        <v>12.3</v>
      </c>
      <c r="O697" s="134"/>
      <c r="P697" s="259"/>
    </row>
    <row r="698" spans="1:16">
      <c r="A698" s="134">
        <v>353</v>
      </c>
      <c r="B698" s="259" t="s">
        <v>2358</v>
      </c>
      <c r="C698" s="129" t="s">
        <v>1433</v>
      </c>
      <c r="D698" s="292">
        <v>89</v>
      </c>
      <c r="E698" s="292">
        <v>0</v>
      </c>
      <c r="F698" s="139">
        <f t="shared" si="65"/>
        <v>89</v>
      </c>
      <c r="G698" s="292">
        <v>50</v>
      </c>
      <c r="H698" s="292">
        <v>0</v>
      </c>
      <c r="I698" s="139">
        <f t="shared" si="66"/>
        <v>50</v>
      </c>
      <c r="J698" s="266">
        <f t="shared" si="67"/>
        <v>0.56179999999999997</v>
      </c>
      <c r="K698" s="136">
        <f t="shared" si="62"/>
        <v>0</v>
      </c>
      <c r="L698" s="136">
        <f t="shared" si="63"/>
        <v>5.3</v>
      </c>
      <c r="M698" s="136">
        <f t="shared" si="64"/>
        <v>5.3</v>
      </c>
      <c r="O698" s="134"/>
      <c r="P698" s="259"/>
    </row>
    <row r="699" spans="1:16">
      <c r="A699" s="134">
        <v>353</v>
      </c>
      <c r="B699" s="259" t="s">
        <v>2359</v>
      </c>
      <c r="C699" s="129" t="s">
        <v>2360</v>
      </c>
      <c r="D699" s="292">
        <v>360</v>
      </c>
      <c r="E699" s="292">
        <v>0</v>
      </c>
      <c r="F699" s="139">
        <f t="shared" si="65"/>
        <v>360</v>
      </c>
      <c r="G699" s="292">
        <v>199</v>
      </c>
      <c r="H699" s="292">
        <v>0</v>
      </c>
      <c r="I699" s="139">
        <f t="shared" si="66"/>
        <v>199</v>
      </c>
      <c r="J699" s="266">
        <f t="shared" si="67"/>
        <v>0.55279999999999996</v>
      </c>
      <c r="K699" s="136">
        <f t="shared" si="62"/>
        <v>0</v>
      </c>
      <c r="L699" s="136">
        <f t="shared" si="63"/>
        <v>20.9</v>
      </c>
      <c r="M699" s="136">
        <f t="shared" si="64"/>
        <v>20.9</v>
      </c>
      <c r="O699" s="134"/>
      <c r="P699" s="259"/>
    </row>
    <row r="700" spans="1:16">
      <c r="A700" s="134">
        <v>353</v>
      </c>
      <c r="B700" s="259" t="s">
        <v>2361</v>
      </c>
      <c r="C700" s="129" t="s">
        <v>2362</v>
      </c>
      <c r="D700" s="292">
        <v>472</v>
      </c>
      <c r="E700" s="292">
        <v>0</v>
      </c>
      <c r="F700" s="139">
        <f t="shared" si="65"/>
        <v>472</v>
      </c>
      <c r="G700" s="292">
        <v>217</v>
      </c>
      <c r="H700" s="292">
        <v>0</v>
      </c>
      <c r="I700" s="139">
        <f t="shared" si="66"/>
        <v>217</v>
      </c>
      <c r="J700" s="266">
        <f t="shared" si="67"/>
        <v>0.4597</v>
      </c>
      <c r="K700" s="136">
        <f t="shared" si="62"/>
        <v>16.7</v>
      </c>
      <c r="L700" s="136">
        <f t="shared" si="63"/>
        <v>0</v>
      </c>
      <c r="M700" s="136">
        <f t="shared" si="64"/>
        <v>16.7</v>
      </c>
      <c r="O700" s="134"/>
      <c r="P700" s="259"/>
    </row>
    <row r="701" spans="1:16">
      <c r="A701" s="134">
        <v>355</v>
      </c>
      <c r="B701" s="259" t="s">
        <v>2363</v>
      </c>
      <c r="C701" s="129" t="s">
        <v>2364</v>
      </c>
      <c r="D701" s="292">
        <v>229</v>
      </c>
      <c r="E701" s="292">
        <v>0</v>
      </c>
      <c r="F701" s="139">
        <f t="shared" si="65"/>
        <v>229</v>
      </c>
      <c r="G701" s="292">
        <v>85</v>
      </c>
      <c r="H701" s="292">
        <v>0</v>
      </c>
      <c r="I701" s="139">
        <f t="shared" si="66"/>
        <v>85</v>
      </c>
      <c r="J701" s="266">
        <f t="shared" si="67"/>
        <v>0.37119999999999997</v>
      </c>
      <c r="K701" s="136">
        <f t="shared" si="62"/>
        <v>1.3</v>
      </c>
      <c r="L701" s="136">
        <f t="shared" si="63"/>
        <v>0</v>
      </c>
      <c r="M701" s="136">
        <f t="shared" si="64"/>
        <v>1.3</v>
      </c>
      <c r="O701" s="134"/>
      <c r="P701" s="259"/>
    </row>
    <row r="702" spans="1:16">
      <c r="A702" s="134">
        <v>355</v>
      </c>
      <c r="B702" s="259" t="s">
        <v>2365</v>
      </c>
      <c r="C702" s="129" t="s">
        <v>2366</v>
      </c>
      <c r="D702" s="292">
        <v>78</v>
      </c>
      <c r="E702" s="292">
        <v>0</v>
      </c>
      <c r="F702" s="139">
        <f t="shared" si="65"/>
        <v>78</v>
      </c>
      <c r="G702" s="292">
        <v>29</v>
      </c>
      <c r="H702" s="292">
        <v>0</v>
      </c>
      <c r="I702" s="139">
        <f t="shared" si="66"/>
        <v>29</v>
      </c>
      <c r="J702" s="266">
        <f t="shared" si="67"/>
        <v>0.37180000000000002</v>
      </c>
      <c r="K702" s="136">
        <f t="shared" si="62"/>
        <v>0.4</v>
      </c>
      <c r="L702" s="136">
        <f t="shared" si="63"/>
        <v>0</v>
      </c>
      <c r="M702" s="136">
        <f t="shared" si="64"/>
        <v>0.4</v>
      </c>
      <c r="O702" s="134"/>
      <c r="P702" s="259"/>
    </row>
    <row r="703" spans="1:16">
      <c r="A703" s="134">
        <v>355</v>
      </c>
      <c r="B703" s="259" t="s">
        <v>2367</v>
      </c>
      <c r="C703" s="129" t="s">
        <v>2368</v>
      </c>
      <c r="D703" s="292">
        <v>153</v>
      </c>
      <c r="E703" s="292">
        <v>0</v>
      </c>
      <c r="F703" s="139">
        <f t="shared" si="65"/>
        <v>153</v>
      </c>
      <c r="G703" s="292">
        <v>46</v>
      </c>
      <c r="H703" s="292">
        <v>0</v>
      </c>
      <c r="I703" s="139">
        <f t="shared" si="66"/>
        <v>46</v>
      </c>
      <c r="J703" s="266">
        <f t="shared" si="67"/>
        <v>0.30070000000000002</v>
      </c>
      <c r="K703" s="136">
        <f t="shared" si="62"/>
        <v>0</v>
      </c>
      <c r="L703" s="136">
        <f t="shared" si="63"/>
        <v>0</v>
      </c>
      <c r="M703" s="136">
        <f t="shared" si="64"/>
        <v>0</v>
      </c>
      <c r="O703" s="134"/>
      <c r="P703" s="259"/>
    </row>
    <row r="704" spans="1:16">
      <c r="A704" s="134">
        <v>356</v>
      </c>
      <c r="B704" s="259" t="s">
        <v>2369</v>
      </c>
      <c r="C704" s="129" t="s">
        <v>2370</v>
      </c>
      <c r="D704" s="292">
        <v>198</v>
      </c>
      <c r="E704" s="292">
        <v>0</v>
      </c>
      <c r="F704" s="139">
        <f t="shared" si="65"/>
        <v>198</v>
      </c>
      <c r="G704" s="292">
        <v>59</v>
      </c>
      <c r="H704" s="292">
        <v>0</v>
      </c>
      <c r="I704" s="139">
        <f t="shared" si="66"/>
        <v>59</v>
      </c>
      <c r="J704" s="266">
        <f t="shared" si="67"/>
        <v>0.29799999999999999</v>
      </c>
      <c r="K704" s="136">
        <f t="shared" si="62"/>
        <v>0</v>
      </c>
      <c r="L704" s="136">
        <f t="shared" si="63"/>
        <v>0</v>
      </c>
      <c r="M704" s="136">
        <f t="shared" si="64"/>
        <v>0</v>
      </c>
      <c r="O704" s="134"/>
      <c r="P704" s="259"/>
    </row>
    <row r="705" spans="1:16">
      <c r="A705" s="134">
        <v>356</v>
      </c>
      <c r="B705" s="259" t="s">
        <v>2371</v>
      </c>
      <c r="C705" s="129" t="s">
        <v>2372</v>
      </c>
      <c r="D705" s="292">
        <v>101</v>
      </c>
      <c r="E705" s="292">
        <v>0</v>
      </c>
      <c r="F705" s="139">
        <f t="shared" si="65"/>
        <v>101</v>
      </c>
      <c r="G705" s="292">
        <v>28</v>
      </c>
      <c r="H705" s="292">
        <v>0</v>
      </c>
      <c r="I705" s="139">
        <f t="shared" si="66"/>
        <v>28</v>
      </c>
      <c r="J705" s="266">
        <f t="shared" si="67"/>
        <v>0.2772</v>
      </c>
      <c r="K705" s="136">
        <f t="shared" si="62"/>
        <v>0</v>
      </c>
      <c r="L705" s="136">
        <f t="shared" si="63"/>
        <v>0</v>
      </c>
      <c r="M705" s="136">
        <f t="shared" si="64"/>
        <v>0</v>
      </c>
      <c r="O705" s="134"/>
      <c r="P705" s="259"/>
    </row>
    <row r="706" spans="1:16">
      <c r="A706" s="134">
        <v>356</v>
      </c>
      <c r="B706" s="259" t="s">
        <v>2373</v>
      </c>
      <c r="C706" s="129" t="s">
        <v>2374</v>
      </c>
      <c r="D706" s="292">
        <v>137</v>
      </c>
      <c r="E706" s="292">
        <v>0</v>
      </c>
      <c r="F706" s="139">
        <f t="shared" si="65"/>
        <v>137</v>
      </c>
      <c r="G706" s="292">
        <v>29</v>
      </c>
      <c r="H706" s="292">
        <v>0</v>
      </c>
      <c r="I706" s="139">
        <f t="shared" si="66"/>
        <v>29</v>
      </c>
      <c r="J706" s="266">
        <f t="shared" si="67"/>
        <v>0.2117</v>
      </c>
      <c r="K706" s="136">
        <f t="shared" si="62"/>
        <v>0</v>
      </c>
      <c r="L706" s="136">
        <f t="shared" si="63"/>
        <v>0</v>
      </c>
      <c r="M706" s="136">
        <f t="shared" si="64"/>
        <v>0</v>
      </c>
      <c r="O706" s="134"/>
      <c r="P706" s="259"/>
    </row>
    <row r="707" spans="1:16">
      <c r="A707" s="134">
        <v>357</v>
      </c>
      <c r="B707" s="259" t="s">
        <v>2375</v>
      </c>
      <c r="C707" s="129" t="s">
        <v>2376</v>
      </c>
      <c r="D707" s="292">
        <v>199</v>
      </c>
      <c r="E707" s="292">
        <v>0</v>
      </c>
      <c r="F707" s="139">
        <f t="shared" si="65"/>
        <v>199</v>
      </c>
      <c r="G707" s="292">
        <v>93</v>
      </c>
      <c r="H707" s="292">
        <v>0</v>
      </c>
      <c r="I707" s="139">
        <f t="shared" si="66"/>
        <v>93</v>
      </c>
      <c r="J707" s="266">
        <f t="shared" si="67"/>
        <v>0.46729999999999999</v>
      </c>
      <c r="K707" s="136">
        <f t="shared" si="62"/>
        <v>7.6</v>
      </c>
      <c r="L707" s="136">
        <f t="shared" si="63"/>
        <v>0</v>
      </c>
      <c r="M707" s="136">
        <f t="shared" si="64"/>
        <v>7.6</v>
      </c>
      <c r="O707" s="134"/>
      <c r="P707" s="259"/>
    </row>
    <row r="708" spans="1:16">
      <c r="A708" s="134">
        <v>357</v>
      </c>
      <c r="B708" s="259" t="s">
        <v>2377</v>
      </c>
      <c r="C708" s="129" t="s">
        <v>2378</v>
      </c>
      <c r="D708" s="292">
        <v>161</v>
      </c>
      <c r="E708" s="292">
        <v>0</v>
      </c>
      <c r="F708" s="139">
        <f t="shared" si="65"/>
        <v>161</v>
      </c>
      <c r="G708" s="292">
        <v>64</v>
      </c>
      <c r="H708" s="292">
        <v>0</v>
      </c>
      <c r="I708" s="139">
        <f t="shared" si="66"/>
        <v>64</v>
      </c>
      <c r="J708" s="266">
        <f t="shared" si="67"/>
        <v>0.39750000000000002</v>
      </c>
      <c r="K708" s="136">
        <f t="shared" si="62"/>
        <v>2.1</v>
      </c>
      <c r="L708" s="136">
        <f t="shared" si="63"/>
        <v>0</v>
      </c>
      <c r="M708" s="136">
        <f t="shared" si="64"/>
        <v>2.1</v>
      </c>
      <c r="O708" s="134"/>
      <c r="P708" s="259"/>
    </row>
    <row r="709" spans="1:16">
      <c r="A709" s="134">
        <v>357</v>
      </c>
      <c r="B709" s="259" t="s">
        <v>2379</v>
      </c>
      <c r="C709" s="129" t="s">
        <v>2380</v>
      </c>
      <c r="D709" s="292">
        <v>178</v>
      </c>
      <c r="E709" s="292">
        <v>0</v>
      </c>
      <c r="F709" s="139">
        <f t="shared" si="65"/>
        <v>178</v>
      </c>
      <c r="G709" s="292">
        <v>65</v>
      </c>
      <c r="H709" s="292">
        <v>0</v>
      </c>
      <c r="I709" s="139">
        <f t="shared" si="66"/>
        <v>65</v>
      </c>
      <c r="J709" s="266">
        <f t="shared" si="67"/>
        <v>0.36520000000000002</v>
      </c>
      <c r="K709" s="136">
        <f t="shared" ref="K709:K772" si="68">IF(AND((J709-35%)&gt;0,J709&lt;50%),I709*(J709-35%)*0.7,0)</f>
        <v>0.7</v>
      </c>
      <c r="L709" s="136">
        <f t="shared" ref="L709:L772" si="69">IF(J709&gt;=50%,I709*10.5%,0)</f>
        <v>0</v>
      </c>
      <c r="M709" s="136">
        <f t="shared" ref="M709:M772" si="70">MAX(K709,L709)</f>
        <v>0.7</v>
      </c>
      <c r="O709" s="134"/>
      <c r="P709" s="259"/>
    </row>
    <row r="710" spans="1:16">
      <c r="A710" s="134">
        <v>358</v>
      </c>
      <c r="B710" s="259" t="s">
        <v>4033</v>
      </c>
      <c r="C710" s="129" t="s">
        <v>4034</v>
      </c>
      <c r="D710" s="292">
        <v>0</v>
      </c>
      <c r="E710" s="292">
        <v>0</v>
      </c>
      <c r="F710" s="139">
        <f t="shared" ref="F710:F773" si="71">D710+E710</f>
        <v>0</v>
      </c>
      <c r="G710" s="292">
        <v>0</v>
      </c>
      <c r="H710" s="292">
        <v>0</v>
      </c>
      <c r="I710" s="139">
        <f t="shared" ref="I710:I773" si="72">G710+H710</f>
        <v>0</v>
      </c>
      <c r="J710" s="266">
        <f t="shared" ref="J710:J773" si="73">IF(ISERROR(I710/F710),0,I710/F710)</f>
        <v>0</v>
      </c>
      <c r="K710" s="136">
        <f t="shared" si="68"/>
        <v>0</v>
      </c>
      <c r="L710" s="136">
        <f t="shared" si="69"/>
        <v>0</v>
      </c>
      <c r="M710" s="136">
        <f t="shared" si="70"/>
        <v>0</v>
      </c>
      <c r="O710" s="134"/>
      <c r="P710" s="259"/>
    </row>
    <row r="711" spans="1:16">
      <c r="A711" s="134">
        <v>358</v>
      </c>
      <c r="B711" s="259" t="s">
        <v>2381</v>
      </c>
      <c r="C711" s="129" t="s">
        <v>2382</v>
      </c>
      <c r="D711" s="292">
        <v>197</v>
      </c>
      <c r="E711" s="292">
        <v>0</v>
      </c>
      <c r="F711" s="139">
        <f t="shared" si="71"/>
        <v>197</v>
      </c>
      <c r="G711" s="292">
        <v>73</v>
      </c>
      <c r="H711" s="292">
        <v>0</v>
      </c>
      <c r="I711" s="139">
        <f t="shared" si="72"/>
        <v>73</v>
      </c>
      <c r="J711" s="266">
        <f t="shared" si="73"/>
        <v>0.37059999999999998</v>
      </c>
      <c r="K711" s="136">
        <f t="shared" si="68"/>
        <v>1.1000000000000001</v>
      </c>
      <c r="L711" s="136">
        <f t="shared" si="69"/>
        <v>0</v>
      </c>
      <c r="M711" s="136">
        <f t="shared" si="70"/>
        <v>1.1000000000000001</v>
      </c>
      <c r="O711" s="134"/>
      <c r="P711" s="259"/>
    </row>
    <row r="712" spans="1:16">
      <c r="A712" s="134">
        <v>358</v>
      </c>
      <c r="B712" s="259" t="s">
        <v>2383</v>
      </c>
      <c r="C712" s="129" t="s">
        <v>2384</v>
      </c>
      <c r="D712" s="292">
        <v>202</v>
      </c>
      <c r="E712" s="292">
        <v>0</v>
      </c>
      <c r="F712" s="139">
        <f t="shared" si="71"/>
        <v>202</v>
      </c>
      <c r="G712" s="292">
        <v>61</v>
      </c>
      <c r="H712" s="292">
        <v>0</v>
      </c>
      <c r="I712" s="139">
        <f t="shared" si="72"/>
        <v>61</v>
      </c>
      <c r="J712" s="266">
        <f t="shared" si="73"/>
        <v>0.30199999999999999</v>
      </c>
      <c r="K712" s="136">
        <f t="shared" si="68"/>
        <v>0</v>
      </c>
      <c r="L712" s="136">
        <f t="shared" si="69"/>
        <v>0</v>
      </c>
      <c r="M712" s="136">
        <f t="shared" si="70"/>
        <v>0</v>
      </c>
      <c r="O712" s="134"/>
      <c r="P712" s="259"/>
    </row>
    <row r="713" spans="1:16">
      <c r="A713" s="134">
        <v>359</v>
      </c>
      <c r="B713" s="259" t="s">
        <v>2385</v>
      </c>
      <c r="C713" s="129" t="s">
        <v>2386</v>
      </c>
      <c r="D713" s="292">
        <v>63</v>
      </c>
      <c r="E713" s="292">
        <v>0</v>
      </c>
      <c r="F713" s="139">
        <f t="shared" si="71"/>
        <v>63</v>
      </c>
      <c r="G713" s="292">
        <v>30</v>
      </c>
      <c r="H713" s="292">
        <v>0</v>
      </c>
      <c r="I713" s="139">
        <f t="shared" si="72"/>
        <v>30</v>
      </c>
      <c r="J713" s="266">
        <f t="shared" si="73"/>
        <v>0.47620000000000001</v>
      </c>
      <c r="K713" s="136">
        <f t="shared" si="68"/>
        <v>2.7</v>
      </c>
      <c r="L713" s="136">
        <f t="shared" si="69"/>
        <v>0</v>
      </c>
      <c r="M713" s="136">
        <f t="shared" si="70"/>
        <v>2.7</v>
      </c>
      <c r="O713" s="134"/>
      <c r="P713" s="259"/>
    </row>
    <row r="714" spans="1:16">
      <c r="A714" s="134">
        <v>359</v>
      </c>
      <c r="B714" s="259" t="s">
        <v>2387</v>
      </c>
      <c r="C714" s="129" t="s">
        <v>2388</v>
      </c>
      <c r="D714" s="292">
        <v>72</v>
      </c>
      <c r="E714" s="292">
        <v>0</v>
      </c>
      <c r="F714" s="139">
        <f t="shared" si="71"/>
        <v>72</v>
      </c>
      <c r="G714" s="292">
        <v>22</v>
      </c>
      <c r="H714" s="292">
        <v>0</v>
      </c>
      <c r="I714" s="139">
        <f t="shared" si="72"/>
        <v>22</v>
      </c>
      <c r="J714" s="266">
        <f t="shared" si="73"/>
        <v>0.30559999999999998</v>
      </c>
      <c r="K714" s="136">
        <f t="shared" si="68"/>
        <v>0</v>
      </c>
      <c r="L714" s="136">
        <f t="shared" si="69"/>
        <v>0</v>
      </c>
      <c r="M714" s="136">
        <f t="shared" si="70"/>
        <v>0</v>
      </c>
      <c r="O714" s="134"/>
      <c r="P714" s="259"/>
    </row>
    <row r="715" spans="1:16">
      <c r="A715" s="134">
        <v>360</v>
      </c>
      <c r="B715" s="259" t="s">
        <v>2389</v>
      </c>
      <c r="C715" s="129" t="s">
        <v>1673</v>
      </c>
      <c r="D715" s="292">
        <v>126</v>
      </c>
      <c r="E715" s="292">
        <v>0</v>
      </c>
      <c r="F715" s="139">
        <f t="shared" si="71"/>
        <v>126</v>
      </c>
      <c r="G715" s="292">
        <v>74</v>
      </c>
      <c r="H715" s="292">
        <v>0</v>
      </c>
      <c r="I715" s="139">
        <f t="shared" si="72"/>
        <v>74</v>
      </c>
      <c r="J715" s="266">
        <f t="shared" si="73"/>
        <v>0.58730000000000004</v>
      </c>
      <c r="K715" s="136">
        <f t="shared" si="68"/>
        <v>0</v>
      </c>
      <c r="L715" s="136">
        <f t="shared" si="69"/>
        <v>7.8</v>
      </c>
      <c r="M715" s="136">
        <f t="shared" si="70"/>
        <v>7.8</v>
      </c>
      <c r="O715" s="134"/>
      <c r="P715" s="259"/>
    </row>
    <row r="716" spans="1:16">
      <c r="A716" s="134">
        <v>360</v>
      </c>
      <c r="B716" s="259" t="s">
        <v>2390</v>
      </c>
      <c r="C716" s="129" t="s">
        <v>2391</v>
      </c>
      <c r="D716" s="292">
        <v>107</v>
      </c>
      <c r="E716" s="292">
        <v>0</v>
      </c>
      <c r="F716" s="139">
        <f t="shared" si="71"/>
        <v>107</v>
      </c>
      <c r="G716" s="292">
        <v>66</v>
      </c>
      <c r="H716" s="292">
        <v>0</v>
      </c>
      <c r="I716" s="139">
        <f t="shared" si="72"/>
        <v>66</v>
      </c>
      <c r="J716" s="266">
        <f t="shared" si="73"/>
        <v>0.61680000000000001</v>
      </c>
      <c r="K716" s="136">
        <f t="shared" si="68"/>
        <v>0</v>
      </c>
      <c r="L716" s="136">
        <f t="shared" si="69"/>
        <v>6.9</v>
      </c>
      <c r="M716" s="136">
        <f t="shared" si="70"/>
        <v>6.9</v>
      </c>
      <c r="O716" s="134"/>
      <c r="P716" s="259"/>
    </row>
    <row r="717" spans="1:16">
      <c r="A717" s="134">
        <v>360</v>
      </c>
      <c r="B717" s="259" t="s">
        <v>4035</v>
      </c>
      <c r="C717" s="129" t="s">
        <v>4036</v>
      </c>
      <c r="D717" s="292">
        <v>0</v>
      </c>
      <c r="E717" s="292">
        <v>0</v>
      </c>
      <c r="F717" s="139">
        <f t="shared" si="71"/>
        <v>0</v>
      </c>
      <c r="G717" s="292">
        <v>0</v>
      </c>
      <c r="H717" s="292">
        <v>0</v>
      </c>
      <c r="I717" s="139">
        <f t="shared" si="72"/>
        <v>0</v>
      </c>
      <c r="J717" s="266">
        <f t="shared" si="73"/>
        <v>0</v>
      </c>
      <c r="K717" s="136">
        <f t="shared" si="68"/>
        <v>0</v>
      </c>
      <c r="L717" s="136">
        <f t="shared" si="69"/>
        <v>0</v>
      </c>
      <c r="M717" s="136">
        <f t="shared" si="70"/>
        <v>0</v>
      </c>
      <c r="O717" s="134"/>
      <c r="P717" s="259"/>
    </row>
    <row r="718" spans="1:16">
      <c r="A718" s="134">
        <v>361</v>
      </c>
      <c r="B718" s="259" t="s">
        <v>2392</v>
      </c>
      <c r="C718" s="129" t="s">
        <v>2393</v>
      </c>
      <c r="D718" s="292">
        <v>212</v>
      </c>
      <c r="E718" s="292">
        <v>0</v>
      </c>
      <c r="F718" s="139">
        <f t="shared" si="71"/>
        <v>212</v>
      </c>
      <c r="G718" s="292">
        <v>120</v>
      </c>
      <c r="H718" s="292">
        <v>0</v>
      </c>
      <c r="I718" s="139">
        <f t="shared" si="72"/>
        <v>120</v>
      </c>
      <c r="J718" s="266">
        <f t="shared" si="73"/>
        <v>0.56599999999999995</v>
      </c>
      <c r="K718" s="136">
        <f t="shared" si="68"/>
        <v>0</v>
      </c>
      <c r="L718" s="136">
        <f t="shared" si="69"/>
        <v>12.6</v>
      </c>
      <c r="M718" s="136">
        <f t="shared" si="70"/>
        <v>12.6</v>
      </c>
      <c r="O718" s="134"/>
      <c r="P718" s="259"/>
    </row>
    <row r="719" spans="1:16">
      <c r="A719" s="134">
        <v>361</v>
      </c>
      <c r="B719" s="259" t="s">
        <v>4037</v>
      </c>
      <c r="C719" s="129" t="s">
        <v>4038</v>
      </c>
      <c r="D719" s="292">
        <v>0</v>
      </c>
      <c r="E719" s="292">
        <v>0</v>
      </c>
      <c r="F719" s="139">
        <f t="shared" si="71"/>
        <v>0</v>
      </c>
      <c r="G719" s="292">
        <v>0</v>
      </c>
      <c r="H719" s="292">
        <v>0</v>
      </c>
      <c r="I719" s="139">
        <f t="shared" si="72"/>
        <v>0</v>
      </c>
      <c r="J719" s="266">
        <f t="shared" si="73"/>
        <v>0</v>
      </c>
      <c r="K719" s="136">
        <f t="shared" si="68"/>
        <v>0</v>
      </c>
      <c r="L719" s="136">
        <f t="shared" si="69"/>
        <v>0</v>
      </c>
      <c r="M719" s="136">
        <f t="shared" si="70"/>
        <v>0</v>
      </c>
      <c r="O719" s="134"/>
      <c r="P719" s="259"/>
    </row>
    <row r="720" spans="1:16">
      <c r="A720" s="134">
        <v>361</v>
      </c>
      <c r="B720" s="259" t="s">
        <v>2394</v>
      </c>
      <c r="C720" s="129" t="s">
        <v>2395</v>
      </c>
      <c r="D720" s="292">
        <v>360</v>
      </c>
      <c r="E720" s="292">
        <v>0</v>
      </c>
      <c r="F720" s="139">
        <f t="shared" si="71"/>
        <v>360</v>
      </c>
      <c r="G720" s="292">
        <v>182</v>
      </c>
      <c r="H720" s="292">
        <v>0</v>
      </c>
      <c r="I720" s="139">
        <f t="shared" si="72"/>
        <v>182</v>
      </c>
      <c r="J720" s="266">
        <f t="shared" si="73"/>
        <v>0.50560000000000005</v>
      </c>
      <c r="K720" s="136">
        <f t="shared" si="68"/>
        <v>0</v>
      </c>
      <c r="L720" s="136">
        <f t="shared" si="69"/>
        <v>19.100000000000001</v>
      </c>
      <c r="M720" s="136">
        <f t="shared" si="70"/>
        <v>19.100000000000001</v>
      </c>
      <c r="O720" s="134"/>
      <c r="P720" s="259"/>
    </row>
    <row r="721" spans="1:20">
      <c r="A721" s="134">
        <v>361</v>
      </c>
      <c r="B721" s="259" t="s">
        <v>2396</v>
      </c>
      <c r="C721" s="129" t="s">
        <v>2397</v>
      </c>
      <c r="D721" s="292">
        <v>251</v>
      </c>
      <c r="E721" s="292">
        <v>0</v>
      </c>
      <c r="F721" s="139">
        <f t="shared" si="71"/>
        <v>251</v>
      </c>
      <c r="G721" s="292">
        <v>141</v>
      </c>
      <c r="H721" s="292">
        <v>0</v>
      </c>
      <c r="I721" s="139">
        <f t="shared" si="72"/>
        <v>141</v>
      </c>
      <c r="J721" s="266">
        <f t="shared" si="73"/>
        <v>0.56179999999999997</v>
      </c>
      <c r="K721" s="136">
        <f t="shared" si="68"/>
        <v>0</v>
      </c>
      <c r="L721" s="136">
        <f t="shared" si="69"/>
        <v>14.8</v>
      </c>
      <c r="M721" s="136">
        <f t="shared" si="70"/>
        <v>14.8</v>
      </c>
      <c r="O721" s="134"/>
      <c r="P721" s="259"/>
    </row>
    <row r="722" spans="1:20">
      <c r="A722" s="134">
        <v>362</v>
      </c>
      <c r="B722" s="259" t="s">
        <v>2398</v>
      </c>
      <c r="C722" s="129" t="s">
        <v>2399</v>
      </c>
      <c r="D722" s="292">
        <v>215</v>
      </c>
      <c r="E722" s="292">
        <v>0</v>
      </c>
      <c r="F722" s="139">
        <f t="shared" si="71"/>
        <v>215</v>
      </c>
      <c r="G722" s="292">
        <v>105</v>
      </c>
      <c r="H722" s="292">
        <v>0</v>
      </c>
      <c r="I722" s="139">
        <f t="shared" si="72"/>
        <v>105</v>
      </c>
      <c r="J722" s="266">
        <f t="shared" si="73"/>
        <v>0.4884</v>
      </c>
      <c r="K722" s="136">
        <f t="shared" si="68"/>
        <v>10.199999999999999</v>
      </c>
      <c r="L722" s="136">
        <f t="shared" si="69"/>
        <v>0</v>
      </c>
      <c r="M722" s="136">
        <f t="shared" si="70"/>
        <v>10.199999999999999</v>
      </c>
      <c r="O722" s="134"/>
      <c r="P722" s="259"/>
    </row>
    <row r="723" spans="1:20">
      <c r="A723" s="134">
        <v>362</v>
      </c>
      <c r="B723" s="259" t="s">
        <v>2400</v>
      </c>
      <c r="C723" s="129" t="s">
        <v>2401</v>
      </c>
      <c r="D723" s="292">
        <v>222</v>
      </c>
      <c r="E723" s="292">
        <v>0</v>
      </c>
      <c r="F723" s="139">
        <f t="shared" si="71"/>
        <v>222</v>
      </c>
      <c r="G723" s="292">
        <v>90</v>
      </c>
      <c r="H723" s="292">
        <v>0</v>
      </c>
      <c r="I723" s="139">
        <f t="shared" si="72"/>
        <v>90</v>
      </c>
      <c r="J723" s="266">
        <f t="shared" si="73"/>
        <v>0.40539999999999998</v>
      </c>
      <c r="K723" s="136">
        <f t="shared" si="68"/>
        <v>3.5</v>
      </c>
      <c r="L723" s="136">
        <f t="shared" si="69"/>
        <v>0</v>
      </c>
      <c r="M723" s="136">
        <f t="shared" si="70"/>
        <v>3.5</v>
      </c>
      <c r="O723" s="134"/>
      <c r="P723" s="259"/>
      <c r="T723" s="134"/>
    </row>
    <row r="724" spans="1:20">
      <c r="A724" s="134">
        <v>362</v>
      </c>
      <c r="B724" s="259" t="s">
        <v>2402</v>
      </c>
      <c r="C724" s="129" t="s">
        <v>2403</v>
      </c>
      <c r="D724" s="292">
        <v>204</v>
      </c>
      <c r="E724" s="292">
        <v>0</v>
      </c>
      <c r="F724" s="139">
        <f t="shared" si="71"/>
        <v>204</v>
      </c>
      <c r="G724" s="292">
        <v>78</v>
      </c>
      <c r="H724" s="292">
        <v>0</v>
      </c>
      <c r="I724" s="139">
        <f t="shared" si="72"/>
        <v>78</v>
      </c>
      <c r="J724" s="266">
        <f t="shared" si="73"/>
        <v>0.38240000000000002</v>
      </c>
      <c r="K724" s="136">
        <f t="shared" si="68"/>
        <v>1.8</v>
      </c>
      <c r="L724" s="136">
        <f t="shared" si="69"/>
        <v>0</v>
      </c>
      <c r="M724" s="136">
        <f t="shared" si="70"/>
        <v>1.8</v>
      </c>
      <c r="O724" s="134"/>
      <c r="P724" s="259"/>
    </row>
    <row r="725" spans="1:20">
      <c r="A725" s="134">
        <v>362</v>
      </c>
      <c r="B725" s="259" t="s">
        <v>2404</v>
      </c>
      <c r="C725" s="129" t="s">
        <v>2405</v>
      </c>
      <c r="D725" s="292">
        <v>236</v>
      </c>
      <c r="E725" s="292">
        <v>0</v>
      </c>
      <c r="F725" s="139">
        <f t="shared" si="71"/>
        <v>236</v>
      </c>
      <c r="G725" s="292">
        <v>97</v>
      </c>
      <c r="H725" s="292">
        <v>0</v>
      </c>
      <c r="I725" s="139">
        <f t="shared" si="72"/>
        <v>97</v>
      </c>
      <c r="J725" s="266">
        <f t="shared" si="73"/>
        <v>0.41099999999999998</v>
      </c>
      <c r="K725" s="136">
        <f t="shared" si="68"/>
        <v>4.0999999999999996</v>
      </c>
      <c r="L725" s="136">
        <f t="shared" si="69"/>
        <v>0</v>
      </c>
      <c r="M725" s="136">
        <f t="shared" si="70"/>
        <v>4.0999999999999996</v>
      </c>
      <c r="O725" s="134"/>
      <c r="P725" s="259"/>
    </row>
    <row r="726" spans="1:20">
      <c r="A726" s="134">
        <v>363</v>
      </c>
      <c r="B726" s="259" t="s">
        <v>2406</v>
      </c>
      <c r="C726" s="129" t="s">
        <v>2407</v>
      </c>
      <c r="D726" s="292">
        <v>207</v>
      </c>
      <c r="E726" s="292">
        <v>0</v>
      </c>
      <c r="F726" s="139">
        <f t="shared" si="71"/>
        <v>207</v>
      </c>
      <c r="G726" s="292">
        <v>104</v>
      </c>
      <c r="H726" s="292">
        <v>0</v>
      </c>
      <c r="I726" s="139">
        <f t="shared" si="72"/>
        <v>104</v>
      </c>
      <c r="J726" s="266">
        <f t="shared" si="73"/>
        <v>0.50239999999999996</v>
      </c>
      <c r="K726" s="136">
        <f t="shared" si="68"/>
        <v>0</v>
      </c>
      <c r="L726" s="136">
        <f t="shared" si="69"/>
        <v>10.9</v>
      </c>
      <c r="M726" s="136">
        <f t="shared" si="70"/>
        <v>10.9</v>
      </c>
      <c r="O726" s="134"/>
      <c r="P726" s="259"/>
    </row>
    <row r="727" spans="1:20">
      <c r="A727" s="134">
        <v>363</v>
      </c>
      <c r="B727" s="259" t="s">
        <v>2408</v>
      </c>
      <c r="C727" s="129" t="s">
        <v>2409</v>
      </c>
      <c r="D727" s="292">
        <v>221</v>
      </c>
      <c r="E727" s="292">
        <v>0</v>
      </c>
      <c r="F727" s="139">
        <f t="shared" si="71"/>
        <v>221</v>
      </c>
      <c r="G727" s="292">
        <v>116</v>
      </c>
      <c r="H727" s="292">
        <v>0</v>
      </c>
      <c r="I727" s="139">
        <f t="shared" si="72"/>
        <v>116</v>
      </c>
      <c r="J727" s="266">
        <f t="shared" si="73"/>
        <v>0.52490000000000003</v>
      </c>
      <c r="K727" s="136">
        <f t="shared" si="68"/>
        <v>0</v>
      </c>
      <c r="L727" s="136">
        <f t="shared" si="69"/>
        <v>12.2</v>
      </c>
      <c r="M727" s="136">
        <f t="shared" si="70"/>
        <v>12.2</v>
      </c>
      <c r="O727" s="134"/>
      <c r="P727" s="259"/>
    </row>
    <row r="728" spans="1:20">
      <c r="A728" s="134">
        <v>363</v>
      </c>
      <c r="B728" s="259" t="s">
        <v>2410</v>
      </c>
      <c r="C728" s="129" t="s">
        <v>2411</v>
      </c>
      <c r="D728" s="292">
        <v>311</v>
      </c>
      <c r="E728" s="292">
        <v>0</v>
      </c>
      <c r="F728" s="139">
        <f t="shared" si="71"/>
        <v>311</v>
      </c>
      <c r="G728" s="292">
        <v>137</v>
      </c>
      <c r="H728" s="292">
        <v>0</v>
      </c>
      <c r="I728" s="139">
        <f t="shared" si="72"/>
        <v>137</v>
      </c>
      <c r="J728" s="266">
        <f t="shared" si="73"/>
        <v>0.4405</v>
      </c>
      <c r="K728" s="136">
        <f t="shared" si="68"/>
        <v>8.6999999999999993</v>
      </c>
      <c r="L728" s="136">
        <f t="shared" si="69"/>
        <v>0</v>
      </c>
      <c r="M728" s="136">
        <f t="shared" si="70"/>
        <v>8.6999999999999993</v>
      </c>
      <c r="O728" s="134"/>
      <c r="P728" s="259"/>
    </row>
    <row r="729" spans="1:20">
      <c r="A729" s="134">
        <v>363</v>
      </c>
      <c r="B729" s="259" t="s">
        <v>2412</v>
      </c>
      <c r="C729" s="129" t="s">
        <v>2413</v>
      </c>
      <c r="D729" s="292">
        <v>226</v>
      </c>
      <c r="E729" s="292">
        <v>0</v>
      </c>
      <c r="F729" s="139">
        <f t="shared" si="71"/>
        <v>226</v>
      </c>
      <c r="G729" s="292">
        <v>99</v>
      </c>
      <c r="H729" s="292">
        <v>0</v>
      </c>
      <c r="I729" s="139">
        <f t="shared" si="72"/>
        <v>99</v>
      </c>
      <c r="J729" s="266">
        <f t="shared" si="73"/>
        <v>0.43809999999999999</v>
      </c>
      <c r="K729" s="136">
        <f t="shared" si="68"/>
        <v>6.1</v>
      </c>
      <c r="L729" s="136">
        <f t="shared" si="69"/>
        <v>0</v>
      </c>
      <c r="M729" s="136">
        <f t="shared" si="70"/>
        <v>6.1</v>
      </c>
      <c r="O729" s="134"/>
      <c r="P729" s="259"/>
    </row>
    <row r="730" spans="1:20">
      <c r="A730" s="134">
        <v>363</v>
      </c>
      <c r="B730" s="259" t="s">
        <v>4039</v>
      </c>
      <c r="C730" s="129" t="s">
        <v>4040</v>
      </c>
      <c r="D730" s="292">
        <v>0</v>
      </c>
      <c r="E730" s="292">
        <v>0</v>
      </c>
      <c r="F730" s="139">
        <f t="shared" si="71"/>
        <v>0</v>
      </c>
      <c r="G730" s="292">
        <v>0</v>
      </c>
      <c r="H730" s="292">
        <v>0</v>
      </c>
      <c r="I730" s="139">
        <f t="shared" si="72"/>
        <v>0</v>
      </c>
      <c r="J730" s="266">
        <f t="shared" si="73"/>
        <v>0</v>
      </c>
      <c r="K730" s="136">
        <f t="shared" si="68"/>
        <v>0</v>
      </c>
      <c r="L730" s="136">
        <f t="shared" si="69"/>
        <v>0</v>
      </c>
      <c r="M730" s="136">
        <f t="shared" si="70"/>
        <v>0</v>
      </c>
      <c r="O730" s="134"/>
      <c r="P730" s="259"/>
    </row>
    <row r="731" spans="1:20">
      <c r="A731" s="134">
        <v>364</v>
      </c>
      <c r="B731" s="259" t="s">
        <v>2414</v>
      </c>
      <c r="C731" s="129" t="s">
        <v>2415</v>
      </c>
      <c r="D731" s="292">
        <v>404</v>
      </c>
      <c r="E731" s="292">
        <v>0</v>
      </c>
      <c r="F731" s="139">
        <f t="shared" si="71"/>
        <v>404</v>
      </c>
      <c r="G731" s="292">
        <v>204</v>
      </c>
      <c r="H731" s="292">
        <v>0</v>
      </c>
      <c r="I731" s="139">
        <f t="shared" si="72"/>
        <v>204</v>
      </c>
      <c r="J731" s="266">
        <f t="shared" si="73"/>
        <v>0.505</v>
      </c>
      <c r="K731" s="136">
        <f t="shared" si="68"/>
        <v>0</v>
      </c>
      <c r="L731" s="136">
        <f t="shared" si="69"/>
        <v>21.4</v>
      </c>
      <c r="M731" s="136">
        <f t="shared" si="70"/>
        <v>21.4</v>
      </c>
      <c r="O731" s="134"/>
      <c r="P731" s="259"/>
    </row>
    <row r="732" spans="1:20">
      <c r="A732" s="134">
        <v>364</v>
      </c>
      <c r="B732" s="259" t="s">
        <v>2416</v>
      </c>
      <c r="C732" s="129" t="s">
        <v>2417</v>
      </c>
      <c r="D732" s="292">
        <v>368</v>
      </c>
      <c r="E732" s="292">
        <v>0</v>
      </c>
      <c r="F732" s="139">
        <f t="shared" si="71"/>
        <v>368</v>
      </c>
      <c r="G732" s="292">
        <v>133</v>
      </c>
      <c r="H732" s="292">
        <v>0</v>
      </c>
      <c r="I732" s="139">
        <f t="shared" si="72"/>
        <v>133</v>
      </c>
      <c r="J732" s="266">
        <f t="shared" si="73"/>
        <v>0.3614</v>
      </c>
      <c r="K732" s="136">
        <f t="shared" si="68"/>
        <v>1.1000000000000001</v>
      </c>
      <c r="L732" s="136">
        <f t="shared" si="69"/>
        <v>0</v>
      </c>
      <c r="M732" s="136">
        <f t="shared" si="70"/>
        <v>1.1000000000000001</v>
      </c>
      <c r="O732" s="134"/>
      <c r="P732" s="259"/>
    </row>
    <row r="733" spans="1:20">
      <c r="A733" s="134">
        <v>365</v>
      </c>
      <c r="B733" s="259" t="s">
        <v>2418</v>
      </c>
      <c r="C733" s="129" t="s">
        <v>2419</v>
      </c>
      <c r="D733" s="292">
        <v>416</v>
      </c>
      <c r="E733" s="292">
        <v>0</v>
      </c>
      <c r="F733" s="139">
        <f t="shared" si="71"/>
        <v>416</v>
      </c>
      <c r="G733" s="292">
        <v>207</v>
      </c>
      <c r="H733" s="292">
        <v>0</v>
      </c>
      <c r="I733" s="139">
        <f t="shared" si="72"/>
        <v>207</v>
      </c>
      <c r="J733" s="266">
        <f t="shared" si="73"/>
        <v>0.49759999999999999</v>
      </c>
      <c r="K733" s="136">
        <f t="shared" si="68"/>
        <v>21.4</v>
      </c>
      <c r="L733" s="136">
        <f t="shared" si="69"/>
        <v>0</v>
      </c>
      <c r="M733" s="136">
        <f t="shared" si="70"/>
        <v>21.4</v>
      </c>
      <c r="O733" s="134"/>
      <c r="P733" s="259"/>
    </row>
    <row r="734" spans="1:20">
      <c r="A734" s="134">
        <v>365</v>
      </c>
      <c r="B734" s="259" t="s">
        <v>2420</v>
      </c>
      <c r="C734" s="129" t="s">
        <v>2421</v>
      </c>
      <c r="D734" s="292">
        <v>42</v>
      </c>
      <c r="E734" s="292">
        <v>0</v>
      </c>
      <c r="F734" s="139">
        <f t="shared" si="71"/>
        <v>42</v>
      </c>
      <c r="G734" s="292">
        <v>27</v>
      </c>
      <c r="H734" s="292">
        <v>0</v>
      </c>
      <c r="I734" s="139">
        <f t="shared" si="72"/>
        <v>27</v>
      </c>
      <c r="J734" s="266">
        <f t="shared" si="73"/>
        <v>0.64290000000000003</v>
      </c>
      <c r="K734" s="136">
        <f t="shared" si="68"/>
        <v>0</v>
      </c>
      <c r="L734" s="136">
        <f t="shared" si="69"/>
        <v>2.8</v>
      </c>
      <c r="M734" s="136">
        <f t="shared" si="70"/>
        <v>2.8</v>
      </c>
      <c r="O734" s="134"/>
      <c r="P734" s="259"/>
    </row>
    <row r="735" spans="1:20">
      <c r="A735" s="134">
        <v>365</v>
      </c>
      <c r="B735" s="259" t="s">
        <v>2422</v>
      </c>
      <c r="C735" s="129" t="s">
        <v>2423</v>
      </c>
      <c r="D735" s="292">
        <v>50</v>
      </c>
      <c r="E735" s="292">
        <v>0</v>
      </c>
      <c r="F735" s="139">
        <f t="shared" si="71"/>
        <v>50</v>
      </c>
      <c r="G735" s="292">
        <v>14</v>
      </c>
      <c r="H735" s="292">
        <v>0</v>
      </c>
      <c r="I735" s="139">
        <f t="shared" si="72"/>
        <v>14</v>
      </c>
      <c r="J735" s="266">
        <f t="shared" si="73"/>
        <v>0.28000000000000003</v>
      </c>
      <c r="K735" s="136">
        <f t="shared" si="68"/>
        <v>0</v>
      </c>
      <c r="L735" s="136">
        <f t="shared" si="69"/>
        <v>0</v>
      </c>
      <c r="M735" s="136">
        <f t="shared" si="70"/>
        <v>0</v>
      </c>
      <c r="O735" s="134"/>
      <c r="P735" s="259"/>
    </row>
    <row r="736" spans="1:20">
      <c r="A736" s="134">
        <v>365</v>
      </c>
      <c r="B736" s="259" t="s">
        <v>2424</v>
      </c>
      <c r="C736" s="129" t="s">
        <v>2425</v>
      </c>
      <c r="D736" s="292">
        <v>433</v>
      </c>
      <c r="E736" s="292">
        <v>0</v>
      </c>
      <c r="F736" s="139">
        <f t="shared" si="71"/>
        <v>433</v>
      </c>
      <c r="G736" s="292">
        <v>149</v>
      </c>
      <c r="H736" s="292">
        <v>0</v>
      </c>
      <c r="I736" s="139">
        <f t="shared" si="72"/>
        <v>149</v>
      </c>
      <c r="J736" s="266">
        <f t="shared" si="73"/>
        <v>0.34410000000000002</v>
      </c>
      <c r="K736" s="136">
        <f t="shared" si="68"/>
        <v>0</v>
      </c>
      <c r="L736" s="136">
        <f t="shared" si="69"/>
        <v>0</v>
      </c>
      <c r="M736" s="136">
        <f t="shared" si="70"/>
        <v>0</v>
      </c>
      <c r="O736" s="134"/>
      <c r="P736" s="259"/>
    </row>
    <row r="737" spans="1:16">
      <c r="A737" s="134">
        <v>366</v>
      </c>
      <c r="B737" s="259" t="s">
        <v>2426</v>
      </c>
      <c r="C737" s="129" t="s">
        <v>2427</v>
      </c>
      <c r="D737" s="292">
        <v>259</v>
      </c>
      <c r="E737" s="292">
        <v>0</v>
      </c>
      <c r="F737" s="139">
        <f t="shared" si="71"/>
        <v>259</v>
      </c>
      <c r="G737" s="292">
        <v>128</v>
      </c>
      <c r="H737" s="292">
        <v>0</v>
      </c>
      <c r="I737" s="139">
        <f t="shared" si="72"/>
        <v>128</v>
      </c>
      <c r="J737" s="266">
        <f t="shared" si="73"/>
        <v>0.49419999999999997</v>
      </c>
      <c r="K737" s="136">
        <f t="shared" si="68"/>
        <v>12.9</v>
      </c>
      <c r="L737" s="136">
        <f t="shared" si="69"/>
        <v>0</v>
      </c>
      <c r="M737" s="136">
        <f t="shared" si="70"/>
        <v>12.9</v>
      </c>
      <c r="O737" s="134"/>
      <c r="P737" s="259"/>
    </row>
    <row r="738" spans="1:16">
      <c r="A738" s="134">
        <v>366</v>
      </c>
      <c r="B738" s="259" t="s">
        <v>2428</v>
      </c>
      <c r="C738" s="129" t="s">
        <v>2429</v>
      </c>
      <c r="D738" s="292">
        <v>170</v>
      </c>
      <c r="E738" s="292">
        <v>0</v>
      </c>
      <c r="F738" s="139">
        <f t="shared" si="71"/>
        <v>170</v>
      </c>
      <c r="G738" s="292">
        <v>77</v>
      </c>
      <c r="H738" s="292">
        <v>0</v>
      </c>
      <c r="I738" s="139">
        <f t="shared" si="72"/>
        <v>77</v>
      </c>
      <c r="J738" s="266">
        <f t="shared" si="73"/>
        <v>0.45290000000000002</v>
      </c>
      <c r="K738" s="136">
        <f t="shared" si="68"/>
        <v>5.5</v>
      </c>
      <c r="L738" s="136">
        <f t="shared" si="69"/>
        <v>0</v>
      </c>
      <c r="M738" s="136">
        <f t="shared" si="70"/>
        <v>5.5</v>
      </c>
      <c r="O738" s="134"/>
      <c r="P738" s="259"/>
    </row>
    <row r="739" spans="1:16">
      <c r="A739" s="134">
        <v>367</v>
      </c>
      <c r="B739" s="259" t="s">
        <v>2430</v>
      </c>
      <c r="C739" s="129" t="s">
        <v>2431</v>
      </c>
      <c r="D739" s="292">
        <v>354</v>
      </c>
      <c r="E739" s="292">
        <v>0</v>
      </c>
      <c r="F739" s="139">
        <f t="shared" si="71"/>
        <v>354</v>
      </c>
      <c r="G739" s="292">
        <v>212</v>
      </c>
      <c r="H739" s="292">
        <v>0</v>
      </c>
      <c r="I739" s="139">
        <f t="shared" si="72"/>
        <v>212</v>
      </c>
      <c r="J739" s="266">
        <f t="shared" si="73"/>
        <v>0.59889999999999999</v>
      </c>
      <c r="K739" s="136">
        <f t="shared" si="68"/>
        <v>0</v>
      </c>
      <c r="L739" s="136">
        <f t="shared" si="69"/>
        <v>22.3</v>
      </c>
      <c r="M739" s="136">
        <f t="shared" si="70"/>
        <v>22.3</v>
      </c>
      <c r="O739" s="134"/>
      <c r="P739" s="259"/>
    </row>
    <row r="740" spans="1:16">
      <c r="A740" s="134">
        <v>367</v>
      </c>
      <c r="B740" s="259" t="s">
        <v>2432</v>
      </c>
      <c r="C740" s="129" t="s">
        <v>2433</v>
      </c>
      <c r="D740" s="292">
        <v>165</v>
      </c>
      <c r="E740" s="292">
        <v>0</v>
      </c>
      <c r="F740" s="139">
        <f t="shared" si="71"/>
        <v>165</v>
      </c>
      <c r="G740" s="292">
        <v>98</v>
      </c>
      <c r="H740" s="292">
        <v>0</v>
      </c>
      <c r="I740" s="139">
        <f t="shared" si="72"/>
        <v>98</v>
      </c>
      <c r="J740" s="266">
        <f t="shared" si="73"/>
        <v>0.59389999999999998</v>
      </c>
      <c r="K740" s="136">
        <f t="shared" si="68"/>
        <v>0</v>
      </c>
      <c r="L740" s="136">
        <f t="shared" si="69"/>
        <v>10.3</v>
      </c>
      <c r="M740" s="136">
        <f t="shared" si="70"/>
        <v>10.3</v>
      </c>
      <c r="O740" s="134"/>
      <c r="P740" s="259"/>
    </row>
    <row r="741" spans="1:16">
      <c r="A741" s="134">
        <v>367</v>
      </c>
      <c r="B741" s="259" t="s">
        <v>2434</v>
      </c>
      <c r="C741" s="129" t="s">
        <v>2435</v>
      </c>
      <c r="D741" s="292">
        <v>209</v>
      </c>
      <c r="E741" s="292">
        <v>0</v>
      </c>
      <c r="F741" s="139">
        <f t="shared" si="71"/>
        <v>209</v>
      </c>
      <c r="G741" s="292">
        <v>109</v>
      </c>
      <c r="H741" s="292">
        <v>0</v>
      </c>
      <c r="I741" s="139">
        <f t="shared" si="72"/>
        <v>109</v>
      </c>
      <c r="J741" s="266">
        <f t="shared" si="73"/>
        <v>0.52149999999999996</v>
      </c>
      <c r="K741" s="136">
        <f t="shared" si="68"/>
        <v>0</v>
      </c>
      <c r="L741" s="136">
        <f t="shared" si="69"/>
        <v>11.4</v>
      </c>
      <c r="M741" s="136">
        <f t="shared" si="70"/>
        <v>11.4</v>
      </c>
      <c r="O741" s="134"/>
      <c r="P741" s="259"/>
    </row>
    <row r="742" spans="1:16">
      <c r="A742" s="134">
        <v>367</v>
      </c>
      <c r="B742" s="259" t="s">
        <v>2436</v>
      </c>
      <c r="C742" s="129" t="s">
        <v>2437</v>
      </c>
      <c r="D742" s="292">
        <v>281</v>
      </c>
      <c r="E742" s="292">
        <v>0</v>
      </c>
      <c r="F742" s="139">
        <f t="shared" si="71"/>
        <v>281</v>
      </c>
      <c r="G742" s="292">
        <v>126</v>
      </c>
      <c r="H742" s="292">
        <v>0</v>
      </c>
      <c r="I742" s="139">
        <f t="shared" si="72"/>
        <v>126</v>
      </c>
      <c r="J742" s="266">
        <f t="shared" si="73"/>
        <v>0.44840000000000002</v>
      </c>
      <c r="K742" s="136">
        <f t="shared" si="68"/>
        <v>8.6999999999999993</v>
      </c>
      <c r="L742" s="136">
        <f t="shared" si="69"/>
        <v>0</v>
      </c>
      <c r="M742" s="136">
        <f t="shared" si="70"/>
        <v>8.6999999999999993</v>
      </c>
      <c r="O742" s="134"/>
      <c r="P742" s="259"/>
    </row>
    <row r="743" spans="1:16">
      <c r="A743" s="134">
        <v>367</v>
      </c>
      <c r="B743" s="259" t="s">
        <v>4041</v>
      </c>
      <c r="C743" s="129" t="s">
        <v>4042</v>
      </c>
      <c r="D743" s="292">
        <v>0</v>
      </c>
      <c r="E743" s="292">
        <v>0</v>
      </c>
      <c r="F743" s="139">
        <f t="shared" si="71"/>
        <v>0</v>
      </c>
      <c r="G743" s="292">
        <v>0</v>
      </c>
      <c r="H743" s="292">
        <v>0</v>
      </c>
      <c r="I743" s="139">
        <f t="shared" si="72"/>
        <v>0</v>
      </c>
      <c r="J743" s="266">
        <f t="shared" si="73"/>
        <v>0</v>
      </c>
      <c r="K743" s="136">
        <f t="shared" si="68"/>
        <v>0</v>
      </c>
      <c r="L743" s="136">
        <f t="shared" si="69"/>
        <v>0</v>
      </c>
      <c r="M743" s="136">
        <f t="shared" si="70"/>
        <v>0</v>
      </c>
      <c r="O743" s="134"/>
      <c r="P743" s="259"/>
    </row>
    <row r="744" spans="1:16">
      <c r="A744" s="134">
        <v>368</v>
      </c>
      <c r="B744" s="259" t="s">
        <v>2438</v>
      </c>
      <c r="C744" s="129" t="s">
        <v>2439</v>
      </c>
      <c r="D744" s="292">
        <v>379</v>
      </c>
      <c r="E744" s="292">
        <v>0</v>
      </c>
      <c r="F744" s="139">
        <f t="shared" si="71"/>
        <v>379</v>
      </c>
      <c r="G744" s="292">
        <v>133</v>
      </c>
      <c r="H744" s="292">
        <v>0</v>
      </c>
      <c r="I744" s="139">
        <f t="shared" si="72"/>
        <v>133</v>
      </c>
      <c r="J744" s="266">
        <f t="shared" si="73"/>
        <v>0.35089999999999999</v>
      </c>
      <c r="K744" s="136">
        <f t="shared" si="68"/>
        <v>0.1</v>
      </c>
      <c r="L744" s="136">
        <f t="shared" si="69"/>
        <v>0</v>
      </c>
      <c r="M744" s="136">
        <f t="shared" si="70"/>
        <v>0.1</v>
      </c>
      <c r="O744" s="134"/>
      <c r="P744" s="259"/>
    </row>
    <row r="745" spans="1:16">
      <c r="A745" s="134">
        <v>368</v>
      </c>
      <c r="B745" s="259" t="s">
        <v>2440</v>
      </c>
      <c r="C745" s="129" t="s">
        <v>2441</v>
      </c>
      <c r="D745" s="292">
        <v>426</v>
      </c>
      <c r="E745" s="292">
        <v>0</v>
      </c>
      <c r="F745" s="139">
        <f t="shared" si="71"/>
        <v>426</v>
      </c>
      <c r="G745" s="292">
        <v>135</v>
      </c>
      <c r="H745" s="292">
        <v>0</v>
      </c>
      <c r="I745" s="139">
        <f t="shared" si="72"/>
        <v>135</v>
      </c>
      <c r="J745" s="266">
        <f t="shared" si="73"/>
        <v>0.31690000000000002</v>
      </c>
      <c r="K745" s="136">
        <f t="shared" si="68"/>
        <v>0</v>
      </c>
      <c r="L745" s="136">
        <f t="shared" si="69"/>
        <v>0</v>
      </c>
      <c r="M745" s="136">
        <f t="shared" si="70"/>
        <v>0</v>
      </c>
      <c r="O745" s="134"/>
      <c r="P745" s="259"/>
    </row>
    <row r="746" spans="1:16">
      <c r="A746" s="134">
        <v>368</v>
      </c>
      <c r="B746" s="259" t="s">
        <v>2442</v>
      </c>
      <c r="C746" s="129" t="s">
        <v>2443</v>
      </c>
      <c r="D746" s="292">
        <v>572</v>
      </c>
      <c r="E746" s="292">
        <v>0</v>
      </c>
      <c r="F746" s="139">
        <f t="shared" si="71"/>
        <v>572</v>
      </c>
      <c r="G746" s="292">
        <v>151</v>
      </c>
      <c r="H746" s="292">
        <v>0</v>
      </c>
      <c r="I746" s="139">
        <f t="shared" si="72"/>
        <v>151</v>
      </c>
      <c r="J746" s="266">
        <f t="shared" si="73"/>
        <v>0.26400000000000001</v>
      </c>
      <c r="K746" s="136">
        <f t="shared" si="68"/>
        <v>0</v>
      </c>
      <c r="L746" s="136">
        <f t="shared" si="69"/>
        <v>0</v>
      </c>
      <c r="M746" s="136">
        <f t="shared" si="70"/>
        <v>0</v>
      </c>
      <c r="O746" s="134"/>
      <c r="P746" s="259"/>
    </row>
    <row r="747" spans="1:16">
      <c r="A747" s="134">
        <v>368</v>
      </c>
      <c r="B747" s="259" t="s">
        <v>2444</v>
      </c>
      <c r="C747" s="129" t="s">
        <v>2445</v>
      </c>
      <c r="D747" s="292">
        <v>356</v>
      </c>
      <c r="E747" s="292">
        <v>0</v>
      </c>
      <c r="F747" s="139">
        <f t="shared" si="71"/>
        <v>356</v>
      </c>
      <c r="G747" s="292">
        <v>130</v>
      </c>
      <c r="H747" s="292">
        <v>0</v>
      </c>
      <c r="I747" s="139">
        <f t="shared" si="72"/>
        <v>130</v>
      </c>
      <c r="J747" s="266">
        <f t="shared" si="73"/>
        <v>0.36520000000000002</v>
      </c>
      <c r="K747" s="136">
        <f t="shared" si="68"/>
        <v>1.4</v>
      </c>
      <c r="L747" s="136">
        <f t="shared" si="69"/>
        <v>0</v>
      </c>
      <c r="M747" s="136">
        <f t="shared" si="70"/>
        <v>1.4</v>
      </c>
      <c r="O747" s="134"/>
      <c r="P747" s="259"/>
    </row>
    <row r="748" spans="1:16">
      <c r="A748" s="134">
        <v>369</v>
      </c>
      <c r="B748" s="259" t="s">
        <v>2446</v>
      </c>
      <c r="C748" s="129" t="s">
        <v>2447</v>
      </c>
      <c r="D748" s="292">
        <v>71</v>
      </c>
      <c r="E748" s="292">
        <v>0</v>
      </c>
      <c r="F748" s="139">
        <f t="shared" si="71"/>
        <v>71</v>
      </c>
      <c r="G748" s="292">
        <v>27</v>
      </c>
      <c r="H748" s="292">
        <v>0</v>
      </c>
      <c r="I748" s="139">
        <f t="shared" si="72"/>
        <v>27</v>
      </c>
      <c r="J748" s="266">
        <f t="shared" si="73"/>
        <v>0.38030000000000003</v>
      </c>
      <c r="K748" s="136">
        <f t="shared" si="68"/>
        <v>0.6</v>
      </c>
      <c r="L748" s="136">
        <f t="shared" si="69"/>
        <v>0</v>
      </c>
      <c r="M748" s="136">
        <f t="shared" si="70"/>
        <v>0.6</v>
      </c>
      <c r="O748" s="134"/>
      <c r="P748" s="259"/>
    </row>
    <row r="749" spans="1:16">
      <c r="A749" s="134">
        <v>369</v>
      </c>
      <c r="B749" s="259" t="s">
        <v>2448</v>
      </c>
      <c r="C749" s="129" t="s">
        <v>2449</v>
      </c>
      <c r="D749" s="292">
        <v>69</v>
      </c>
      <c r="E749" s="292">
        <v>0</v>
      </c>
      <c r="F749" s="139">
        <f t="shared" si="71"/>
        <v>69</v>
      </c>
      <c r="G749" s="292">
        <v>33</v>
      </c>
      <c r="H749" s="292">
        <v>0</v>
      </c>
      <c r="I749" s="139">
        <f t="shared" si="72"/>
        <v>33</v>
      </c>
      <c r="J749" s="266">
        <f t="shared" si="73"/>
        <v>0.4783</v>
      </c>
      <c r="K749" s="136">
        <f t="shared" si="68"/>
        <v>3</v>
      </c>
      <c r="L749" s="136">
        <f t="shared" si="69"/>
        <v>0</v>
      </c>
      <c r="M749" s="136">
        <f t="shared" si="70"/>
        <v>3</v>
      </c>
      <c r="O749" s="134"/>
      <c r="P749" s="259"/>
    </row>
    <row r="750" spans="1:16">
      <c r="A750" s="134">
        <v>371</v>
      </c>
      <c r="B750" s="259" t="s">
        <v>2450</v>
      </c>
      <c r="C750" s="129" t="s">
        <v>2451</v>
      </c>
      <c r="D750" s="292">
        <v>82</v>
      </c>
      <c r="E750" s="292">
        <v>0</v>
      </c>
      <c r="F750" s="139">
        <f t="shared" si="71"/>
        <v>82</v>
      </c>
      <c r="G750" s="292">
        <v>22</v>
      </c>
      <c r="H750" s="292">
        <v>0</v>
      </c>
      <c r="I750" s="139">
        <f t="shared" si="72"/>
        <v>22</v>
      </c>
      <c r="J750" s="266">
        <f t="shared" si="73"/>
        <v>0.26829999999999998</v>
      </c>
      <c r="K750" s="136">
        <f t="shared" si="68"/>
        <v>0</v>
      </c>
      <c r="L750" s="136">
        <f t="shared" si="69"/>
        <v>0</v>
      </c>
      <c r="M750" s="136">
        <f t="shared" si="70"/>
        <v>0</v>
      </c>
      <c r="O750" s="134"/>
      <c r="P750" s="259"/>
    </row>
    <row r="751" spans="1:16">
      <c r="A751" s="134">
        <v>371</v>
      </c>
      <c r="B751" s="259" t="s">
        <v>2452</v>
      </c>
      <c r="C751" s="129" t="s">
        <v>2453</v>
      </c>
      <c r="D751" s="292">
        <v>61</v>
      </c>
      <c r="E751" s="292">
        <v>0</v>
      </c>
      <c r="F751" s="139">
        <f t="shared" si="71"/>
        <v>61</v>
      </c>
      <c r="G751" s="292">
        <v>16</v>
      </c>
      <c r="H751" s="292">
        <v>0</v>
      </c>
      <c r="I751" s="139">
        <f t="shared" si="72"/>
        <v>16</v>
      </c>
      <c r="J751" s="266">
        <f t="shared" si="73"/>
        <v>0.26229999999999998</v>
      </c>
      <c r="K751" s="136">
        <f t="shared" si="68"/>
        <v>0</v>
      </c>
      <c r="L751" s="136">
        <f t="shared" si="69"/>
        <v>0</v>
      </c>
      <c r="M751" s="136">
        <f t="shared" si="70"/>
        <v>0</v>
      </c>
      <c r="O751" s="134"/>
      <c r="P751" s="259"/>
    </row>
    <row r="752" spans="1:16">
      <c r="A752" s="134">
        <v>372</v>
      </c>
      <c r="B752" s="259" t="s">
        <v>2454</v>
      </c>
      <c r="C752" s="129" t="s">
        <v>2455</v>
      </c>
      <c r="D752" s="292">
        <v>340</v>
      </c>
      <c r="E752" s="292">
        <v>0</v>
      </c>
      <c r="F752" s="139">
        <f t="shared" si="71"/>
        <v>340</v>
      </c>
      <c r="G752" s="292">
        <v>65</v>
      </c>
      <c r="H752" s="292">
        <v>0</v>
      </c>
      <c r="I752" s="139">
        <f t="shared" si="72"/>
        <v>65</v>
      </c>
      <c r="J752" s="266">
        <f t="shared" si="73"/>
        <v>0.19120000000000001</v>
      </c>
      <c r="K752" s="136">
        <f t="shared" si="68"/>
        <v>0</v>
      </c>
      <c r="L752" s="136">
        <f t="shared" si="69"/>
        <v>0</v>
      </c>
      <c r="M752" s="136">
        <f t="shared" si="70"/>
        <v>0</v>
      </c>
      <c r="O752" s="134"/>
      <c r="P752" s="259"/>
    </row>
    <row r="753" spans="1:16">
      <c r="A753" s="134">
        <v>372</v>
      </c>
      <c r="B753" s="259" t="s">
        <v>2456</v>
      </c>
      <c r="C753" s="129" t="s">
        <v>2457</v>
      </c>
      <c r="D753" s="292">
        <v>346</v>
      </c>
      <c r="E753" s="292">
        <v>0</v>
      </c>
      <c r="F753" s="139">
        <f t="shared" si="71"/>
        <v>346</v>
      </c>
      <c r="G753" s="292">
        <v>60</v>
      </c>
      <c r="H753" s="292">
        <v>0</v>
      </c>
      <c r="I753" s="139">
        <f t="shared" si="72"/>
        <v>60</v>
      </c>
      <c r="J753" s="266">
        <f t="shared" si="73"/>
        <v>0.1734</v>
      </c>
      <c r="K753" s="136">
        <f t="shared" si="68"/>
        <v>0</v>
      </c>
      <c r="L753" s="136">
        <f t="shared" si="69"/>
        <v>0</v>
      </c>
      <c r="M753" s="136">
        <f t="shared" si="70"/>
        <v>0</v>
      </c>
      <c r="O753" s="134"/>
      <c r="P753" s="259"/>
    </row>
    <row r="754" spans="1:16">
      <c r="A754" s="134">
        <v>373</v>
      </c>
      <c r="B754" s="259" t="s">
        <v>2458</v>
      </c>
      <c r="C754" s="129" t="s">
        <v>2459</v>
      </c>
      <c r="D754" s="292">
        <v>967</v>
      </c>
      <c r="E754" s="292">
        <v>0</v>
      </c>
      <c r="F754" s="139">
        <f t="shared" si="71"/>
        <v>967</v>
      </c>
      <c r="G754" s="292">
        <v>426</v>
      </c>
      <c r="H754" s="292">
        <v>0</v>
      </c>
      <c r="I754" s="139">
        <f t="shared" si="72"/>
        <v>426</v>
      </c>
      <c r="J754" s="266">
        <f t="shared" si="73"/>
        <v>0.4405</v>
      </c>
      <c r="K754" s="136">
        <f t="shared" si="68"/>
        <v>27</v>
      </c>
      <c r="L754" s="136">
        <f t="shared" si="69"/>
        <v>0</v>
      </c>
      <c r="M754" s="136">
        <f t="shared" si="70"/>
        <v>27</v>
      </c>
      <c r="O754" s="134"/>
      <c r="P754" s="259"/>
    </row>
    <row r="755" spans="1:16">
      <c r="A755" s="134">
        <v>373</v>
      </c>
      <c r="B755" s="259" t="s">
        <v>2460</v>
      </c>
      <c r="C755" s="129" t="s">
        <v>2461</v>
      </c>
      <c r="D755" s="292">
        <v>467</v>
      </c>
      <c r="E755" s="292">
        <v>0</v>
      </c>
      <c r="F755" s="139">
        <f t="shared" si="71"/>
        <v>467</v>
      </c>
      <c r="G755" s="292">
        <v>232</v>
      </c>
      <c r="H755" s="292">
        <v>0</v>
      </c>
      <c r="I755" s="139">
        <f t="shared" si="72"/>
        <v>232</v>
      </c>
      <c r="J755" s="266">
        <f t="shared" si="73"/>
        <v>0.49680000000000002</v>
      </c>
      <c r="K755" s="136">
        <f t="shared" si="68"/>
        <v>23.8</v>
      </c>
      <c r="L755" s="136">
        <f t="shared" si="69"/>
        <v>0</v>
      </c>
      <c r="M755" s="136">
        <f t="shared" si="70"/>
        <v>23.8</v>
      </c>
      <c r="O755" s="134"/>
      <c r="P755" s="259"/>
    </row>
    <row r="756" spans="1:16">
      <c r="A756" s="134">
        <v>373</v>
      </c>
      <c r="B756" s="259" t="s">
        <v>2462</v>
      </c>
      <c r="C756" s="129" t="s">
        <v>2463</v>
      </c>
      <c r="D756" s="292">
        <v>351</v>
      </c>
      <c r="E756" s="292">
        <v>0</v>
      </c>
      <c r="F756" s="139">
        <f t="shared" si="71"/>
        <v>351</v>
      </c>
      <c r="G756" s="292">
        <v>229</v>
      </c>
      <c r="H756" s="292">
        <v>0</v>
      </c>
      <c r="I756" s="139">
        <f t="shared" si="72"/>
        <v>229</v>
      </c>
      <c r="J756" s="266">
        <f t="shared" si="73"/>
        <v>0.65239999999999998</v>
      </c>
      <c r="K756" s="136">
        <f t="shared" si="68"/>
        <v>0</v>
      </c>
      <c r="L756" s="136">
        <f t="shared" si="69"/>
        <v>24</v>
      </c>
      <c r="M756" s="136">
        <f t="shared" si="70"/>
        <v>24</v>
      </c>
      <c r="O756" s="134"/>
      <c r="P756" s="259"/>
    </row>
    <row r="757" spans="1:16">
      <c r="A757" s="134">
        <v>373</v>
      </c>
      <c r="B757" s="259" t="s">
        <v>2464</v>
      </c>
      <c r="C757" s="129" t="s">
        <v>2465</v>
      </c>
      <c r="D757" s="292">
        <v>450</v>
      </c>
      <c r="E757" s="292">
        <v>0</v>
      </c>
      <c r="F757" s="139">
        <f t="shared" si="71"/>
        <v>450</v>
      </c>
      <c r="G757" s="292">
        <v>224</v>
      </c>
      <c r="H757" s="292">
        <v>0</v>
      </c>
      <c r="I757" s="139">
        <f t="shared" si="72"/>
        <v>224</v>
      </c>
      <c r="J757" s="266">
        <f t="shared" si="73"/>
        <v>0.49780000000000002</v>
      </c>
      <c r="K757" s="136">
        <f t="shared" si="68"/>
        <v>23.2</v>
      </c>
      <c r="L757" s="136">
        <f t="shared" si="69"/>
        <v>0</v>
      </c>
      <c r="M757" s="136">
        <f t="shared" si="70"/>
        <v>23.2</v>
      </c>
      <c r="O757" s="134"/>
      <c r="P757" s="259"/>
    </row>
    <row r="758" spans="1:16">
      <c r="A758" s="134">
        <v>373</v>
      </c>
      <c r="B758" s="259" t="s">
        <v>2466</v>
      </c>
      <c r="C758" s="129" t="s">
        <v>2467</v>
      </c>
      <c r="D758" s="292">
        <v>292</v>
      </c>
      <c r="E758" s="292">
        <v>0</v>
      </c>
      <c r="F758" s="139">
        <f t="shared" si="71"/>
        <v>292</v>
      </c>
      <c r="G758" s="292">
        <v>125</v>
      </c>
      <c r="H758" s="292">
        <v>0</v>
      </c>
      <c r="I758" s="139">
        <f t="shared" si="72"/>
        <v>125</v>
      </c>
      <c r="J758" s="266">
        <f t="shared" si="73"/>
        <v>0.42809999999999998</v>
      </c>
      <c r="K758" s="136">
        <f t="shared" si="68"/>
        <v>6.8</v>
      </c>
      <c r="L758" s="136">
        <f t="shared" si="69"/>
        <v>0</v>
      </c>
      <c r="M758" s="136">
        <f t="shared" si="70"/>
        <v>6.8</v>
      </c>
      <c r="O758" s="134"/>
      <c r="P758" s="259"/>
    </row>
    <row r="759" spans="1:16">
      <c r="A759" s="134">
        <v>373</v>
      </c>
      <c r="B759" s="259" t="s">
        <v>2468</v>
      </c>
      <c r="C759" s="129" t="s">
        <v>2469</v>
      </c>
      <c r="D759" s="292">
        <v>323</v>
      </c>
      <c r="E759" s="292">
        <v>0</v>
      </c>
      <c r="F759" s="139">
        <f t="shared" si="71"/>
        <v>323</v>
      </c>
      <c r="G759" s="292">
        <v>159</v>
      </c>
      <c r="H759" s="292">
        <v>0</v>
      </c>
      <c r="I759" s="139">
        <f t="shared" si="72"/>
        <v>159</v>
      </c>
      <c r="J759" s="266">
        <f t="shared" si="73"/>
        <v>0.49230000000000002</v>
      </c>
      <c r="K759" s="136">
        <f t="shared" si="68"/>
        <v>15.8</v>
      </c>
      <c r="L759" s="136">
        <f t="shared" si="69"/>
        <v>0</v>
      </c>
      <c r="M759" s="136">
        <f t="shared" si="70"/>
        <v>15.8</v>
      </c>
      <c r="O759" s="134"/>
      <c r="P759" s="259"/>
    </row>
    <row r="760" spans="1:16">
      <c r="A760" s="134">
        <v>373</v>
      </c>
      <c r="B760" s="259" t="s">
        <v>2470</v>
      </c>
      <c r="C760" s="129" t="s">
        <v>2471</v>
      </c>
      <c r="D760" s="292">
        <v>208</v>
      </c>
      <c r="E760" s="292">
        <v>0</v>
      </c>
      <c r="F760" s="139">
        <f t="shared" si="71"/>
        <v>208</v>
      </c>
      <c r="G760" s="292">
        <v>126</v>
      </c>
      <c r="H760" s="292">
        <v>0</v>
      </c>
      <c r="I760" s="139">
        <f t="shared" si="72"/>
        <v>126</v>
      </c>
      <c r="J760" s="266">
        <f t="shared" si="73"/>
        <v>0.60580000000000001</v>
      </c>
      <c r="K760" s="136">
        <f t="shared" si="68"/>
        <v>0</v>
      </c>
      <c r="L760" s="136">
        <f t="shared" si="69"/>
        <v>13.2</v>
      </c>
      <c r="M760" s="136">
        <f t="shared" si="70"/>
        <v>13.2</v>
      </c>
      <c r="O760" s="134"/>
      <c r="P760" s="259"/>
    </row>
    <row r="761" spans="1:16">
      <c r="A761" s="134">
        <v>373</v>
      </c>
      <c r="B761" s="259" t="s">
        <v>2472</v>
      </c>
      <c r="C761" s="129" t="s">
        <v>2473</v>
      </c>
      <c r="D761" s="292">
        <v>55</v>
      </c>
      <c r="E761" s="292">
        <v>0</v>
      </c>
      <c r="F761" s="139">
        <f t="shared" si="71"/>
        <v>55</v>
      </c>
      <c r="G761" s="292">
        <v>37</v>
      </c>
      <c r="H761" s="292">
        <v>0</v>
      </c>
      <c r="I761" s="139">
        <f t="shared" si="72"/>
        <v>37</v>
      </c>
      <c r="J761" s="266">
        <f t="shared" si="73"/>
        <v>0.67269999999999996</v>
      </c>
      <c r="K761" s="136">
        <f t="shared" si="68"/>
        <v>0</v>
      </c>
      <c r="L761" s="136">
        <f t="shared" si="69"/>
        <v>3.9</v>
      </c>
      <c r="M761" s="136">
        <f t="shared" si="70"/>
        <v>3.9</v>
      </c>
      <c r="O761" s="134"/>
      <c r="P761" s="259"/>
    </row>
    <row r="762" spans="1:16">
      <c r="A762" s="134">
        <v>374</v>
      </c>
      <c r="B762" s="259" t="s">
        <v>2474</v>
      </c>
      <c r="C762" s="129" t="s">
        <v>2475</v>
      </c>
      <c r="D762" s="292">
        <v>197</v>
      </c>
      <c r="E762" s="292">
        <v>0</v>
      </c>
      <c r="F762" s="139">
        <f t="shared" si="71"/>
        <v>197</v>
      </c>
      <c r="G762" s="292">
        <v>130</v>
      </c>
      <c r="H762" s="292">
        <v>0</v>
      </c>
      <c r="I762" s="139">
        <f t="shared" si="72"/>
        <v>130</v>
      </c>
      <c r="J762" s="266">
        <f t="shared" si="73"/>
        <v>0.65990000000000004</v>
      </c>
      <c r="K762" s="136">
        <f t="shared" si="68"/>
        <v>0</v>
      </c>
      <c r="L762" s="136">
        <f t="shared" si="69"/>
        <v>13.7</v>
      </c>
      <c r="M762" s="136">
        <f t="shared" si="70"/>
        <v>13.7</v>
      </c>
      <c r="O762" s="134"/>
      <c r="P762" s="259"/>
    </row>
    <row r="763" spans="1:16">
      <c r="A763" s="134">
        <v>374</v>
      </c>
      <c r="B763" s="259" t="s">
        <v>2476</v>
      </c>
      <c r="C763" s="129" t="s">
        <v>2477</v>
      </c>
      <c r="D763" s="292">
        <v>122</v>
      </c>
      <c r="E763" s="292">
        <v>0</v>
      </c>
      <c r="F763" s="139">
        <f t="shared" si="71"/>
        <v>122</v>
      </c>
      <c r="G763" s="292">
        <v>65</v>
      </c>
      <c r="H763" s="292">
        <v>0</v>
      </c>
      <c r="I763" s="139">
        <f t="shared" si="72"/>
        <v>65</v>
      </c>
      <c r="J763" s="266">
        <f t="shared" si="73"/>
        <v>0.53280000000000005</v>
      </c>
      <c r="K763" s="136">
        <f t="shared" si="68"/>
        <v>0</v>
      </c>
      <c r="L763" s="136">
        <f t="shared" si="69"/>
        <v>6.8</v>
      </c>
      <c r="M763" s="136">
        <f t="shared" si="70"/>
        <v>6.8</v>
      </c>
      <c r="O763" s="134"/>
      <c r="P763" s="259"/>
    </row>
    <row r="764" spans="1:16">
      <c r="A764" s="134">
        <v>374</v>
      </c>
      <c r="B764" s="259" t="s">
        <v>2478</v>
      </c>
      <c r="C764" s="129" t="s">
        <v>2479</v>
      </c>
      <c r="D764" s="292">
        <v>57</v>
      </c>
      <c r="E764" s="292">
        <v>0</v>
      </c>
      <c r="F764" s="139">
        <f t="shared" si="71"/>
        <v>57</v>
      </c>
      <c r="G764" s="292">
        <v>35</v>
      </c>
      <c r="H764" s="292">
        <v>0</v>
      </c>
      <c r="I764" s="139">
        <f t="shared" si="72"/>
        <v>35</v>
      </c>
      <c r="J764" s="266">
        <f t="shared" si="73"/>
        <v>0.61399999999999999</v>
      </c>
      <c r="K764" s="136">
        <f t="shared" si="68"/>
        <v>0</v>
      </c>
      <c r="L764" s="136">
        <f t="shared" si="69"/>
        <v>3.7</v>
      </c>
      <c r="M764" s="136">
        <f t="shared" si="70"/>
        <v>3.7</v>
      </c>
      <c r="O764" s="134"/>
      <c r="P764" s="259"/>
    </row>
    <row r="765" spans="1:16">
      <c r="A765" s="134">
        <v>375</v>
      </c>
      <c r="B765" s="259" t="s">
        <v>2480</v>
      </c>
      <c r="C765" s="129" t="s">
        <v>2481</v>
      </c>
      <c r="D765" s="292">
        <v>267</v>
      </c>
      <c r="E765" s="292">
        <v>0</v>
      </c>
      <c r="F765" s="139">
        <f t="shared" si="71"/>
        <v>267</v>
      </c>
      <c r="G765" s="292">
        <v>76</v>
      </c>
      <c r="H765" s="292">
        <v>0</v>
      </c>
      <c r="I765" s="139">
        <f t="shared" si="72"/>
        <v>76</v>
      </c>
      <c r="J765" s="266">
        <f t="shared" si="73"/>
        <v>0.28460000000000002</v>
      </c>
      <c r="K765" s="136">
        <f t="shared" si="68"/>
        <v>0</v>
      </c>
      <c r="L765" s="136">
        <f t="shared" si="69"/>
        <v>0</v>
      </c>
      <c r="M765" s="136">
        <f t="shared" si="70"/>
        <v>0</v>
      </c>
      <c r="O765" s="134"/>
      <c r="P765" s="259"/>
    </row>
    <row r="766" spans="1:16">
      <c r="A766" s="134">
        <v>375</v>
      </c>
      <c r="B766" s="259" t="s">
        <v>2482</v>
      </c>
      <c r="C766" s="129" t="s">
        <v>2483</v>
      </c>
      <c r="D766" s="292">
        <v>590</v>
      </c>
      <c r="E766" s="292">
        <v>0</v>
      </c>
      <c r="F766" s="139">
        <f t="shared" si="71"/>
        <v>590</v>
      </c>
      <c r="G766" s="292">
        <v>161</v>
      </c>
      <c r="H766" s="292">
        <v>0</v>
      </c>
      <c r="I766" s="139">
        <f t="shared" si="72"/>
        <v>161</v>
      </c>
      <c r="J766" s="266">
        <f t="shared" si="73"/>
        <v>0.27289999999999998</v>
      </c>
      <c r="K766" s="136">
        <f t="shared" si="68"/>
        <v>0</v>
      </c>
      <c r="L766" s="136">
        <f t="shared" si="69"/>
        <v>0</v>
      </c>
      <c r="M766" s="136">
        <f t="shared" si="70"/>
        <v>0</v>
      </c>
      <c r="O766" s="134"/>
      <c r="P766" s="259"/>
    </row>
    <row r="767" spans="1:16">
      <c r="A767" s="134">
        <v>375</v>
      </c>
      <c r="B767" s="259" t="s">
        <v>2484</v>
      </c>
      <c r="C767" s="129" t="s">
        <v>2485</v>
      </c>
      <c r="D767" s="292">
        <v>264</v>
      </c>
      <c r="E767" s="292">
        <v>0</v>
      </c>
      <c r="F767" s="139">
        <f t="shared" si="71"/>
        <v>264</v>
      </c>
      <c r="G767" s="292">
        <v>104</v>
      </c>
      <c r="H767" s="292">
        <v>0</v>
      </c>
      <c r="I767" s="139">
        <f t="shared" si="72"/>
        <v>104</v>
      </c>
      <c r="J767" s="266">
        <f t="shared" si="73"/>
        <v>0.39389999999999997</v>
      </c>
      <c r="K767" s="136">
        <f t="shared" si="68"/>
        <v>3.2</v>
      </c>
      <c r="L767" s="136">
        <f t="shared" si="69"/>
        <v>0</v>
      </c>
      <c r="M767" s="136">
        <f t="shared" si="70"/>
        <v>3.2</v>
      </c>
      <c r="O767" s="134"/>
      <c r="P767" s="259"/>
    </row>
    <row r="768" spans="1:16">
      <c r="A768" s="134">
        <v>375</v>
      </c>
      <c r="B768" s="259" t="s">
        <v>2486</v>
      </c>
      <c r="C768" s="129" t="s">
        <v>2487</v>
      </c>
      <c r="D768" s="292">
        <v>291</v>
      </c>
      <c r="E768" s="292">
        <v>0</v>
      </c>
      <c r="F768" s="139">
        <f t="shared" si="71"/>
        <v>291</v>
      </c>
      <c r="G768" s="292">
        <v>131</v>
      </c>
      <c r="H768" s="292">
        <v>0</v>
      </c>
      <c r="I768" s="139">
        <f t="shared" si="72"/>
        <v>131</v>
      </c>
      <c r="J768" s="266">
        <f t="shared" si="73"/>
        <v>0.45019999999999999</v>
      </c>
      <c r="K768" s="136">
        <f t="shared" si="68"/>
        <v>9.1999999999999993</v>
      </c>
      <c r="L768" s="136">
        <f t="shared" si="69"/>
        <v>0</v>
      </c>
      <c r="M768" s="136">
        <f t="shared" si="70"/>
        <v>9.1999999999999993</v>
      </c>
      <c r="O768" s="134"/>
      <c r="P768" s="259"/>
    </row>
    <row r="769" spans="1:16">
      <c r="A769" s="134">
        <v>375</v>
      </c>
      <c r="B769" s="259" t="s">
        <v>2488</v>
      </c>
      <c r="C769" s="129" t="s">
        <v>2489</v>
      </c>
      <c r="D769" s="292">
        <v>295</v>
      </c>
      <c r="E769" s="292">
        <v>0</v>
      </c>
      <c r="F769" s="139">
        <f t="shared" si="71"/>
        <v>295</v>
      </c>
      <c r="G769" s="292">
        <v>90</v>
      </c>
      <c r="H769" s="292">
        <v>0</v>
      </c>
      <c r="I769" s="139">
        <f t="shared" si="72"/>
        <v>90</v>
      </c>
      <c r="J769" s="266">
        <f t="shared" si="73"/>
        <v>0.30509999999999998</v>
      </c>
      <c r="K769" s="136">
        <f t="shared" si="68"/>
        <v>0</v>
      </c>
      <c r="L769" s="136">
        <f t="shared" si="69"/>
        <v>0</v>
      </c>
      <c r="M769" s="136">
        <f t="shared" si="70"/>
        <v>0</v>
      </c>
      <c r="O769" s="134"/>
      <c r="P769" s="259"/>
    </row>
    <row r="770" spans="1:16">
      <c r="A770" s="134">
        <v>375</v>
      </c>
      <c r="B770" s="259" t="s">
        <v>2490</v>
      </c>
      <c r="C770" s="129" t="s">
        <v>2491</v>
      </c>
      <c r="D770" s="292">
        <v>322</v>
      </c>
      <c r="E770" s="292">
        <v>0</v>
      </c>
      <c r="F770" s="139">
        <f t="shared" si="71"/>
        <v>322</v>
      </c>
      <c r="G770" s="292">
        <v>66</v>
      </c>
      <c r="H770" s="292">
        <v>0</v>
      </c>
      <c r="I770" s="139">
        <f t="shared" si="72"/>
        <v>66</v>
      </c>
      <c r="J770" s="266">
        <f t="shared" si="73"/>
        <v>0.20499999999999999</v>
      </c>
      <c r="K770" s="136">
        <f t="shared" si="68"/>
        <v>0</v>
      </c>
      <c r="L770" s="136">
        <f t="shared" si="69"/>
        <v>0</v>
      </c>
      <c r="M770" s="136">
        <f t="shared" si="70"/>
        <v>0</v>
      </c>
      <c r="O770" s="134"/>
      <c r="P770" s="259"/>
    </row>
    <row r="771" spans="1:16">
      <c r="A771" s="134">
        <v>376</v>
      </c>
      <c r="B771" s="259" t="s">
        <v>2492</v>
      </c>
      <c r="C771" s="129" t="s">
        <v>2493</v>
      </c>
      <c r="D771" s="292">
        <v>257</v>
      </c>
      <c r="E771" s="292">
        <v>0</v>
      </c>
      <c r="F771" s="139">
        <f t="shared" si="71"/>
        <v>257</v>
      </c>
      <c r="G771" s="292">
        <v>86</v>
      </c>
      <c r="H771" s="292">
        <v>0</v>
      </c>
      <c r="I771" s="139">
        <f t="shared" si="72"/>
        <v>86</v>
      </c>
      <c r="J771" s="266">
        <f t="shared" si="73"/>
        <v>0.33460000000000001</v>
      </c>
      <c r="K771" s="136">
        <f t="shared" si="68"/>
        <v>0</v>
      </c>
      <c r="L771" s="136">
        <f t="shared" si="69"/>
        <v>0</v>
      </c>
      <c r="M771" s="136">
        <f t="shared" si="70"/>
        <v>0</v>
      </c>
      <c r="O771" s="134"/>
      <c r="P771" s="259"/>
    </row>
    <row r="772" spans="1:16">
      <c r="A772" s="134">
        <v>376</v>
      </c>
      <c r="B772" s="259" t="s">
        <v>2494</v>
      </c>
      <c r="C772" s="129" t="s">
        <v>2495</v>
      </c>
      <c r="D772" s="292">
        <v>240</v>
      </c>
      <c r="E772" s="292">
        <v>0</v>
      </c>
      <c r="F772" s="139">
        <f t="shared" si="71"/>
        <v>240</v>
      </c>
      <c r="G772" s="292">
        <v>74</v>
      </c>
      <c r="H772" s="292">
        <v>0</v>
      </c>
      <c r="I772" s="139">
        <f t="shared" si="72"/>
        <v>74</v>
      </c>
      <c r="J772" s="266">
        <f t="shared" si="73"/>
        <v>0.30830000000000002</v>
      </c>
      <c r="K772" s="136">
        <f t="shared" si="68"/>
        <v>0</v>
      </c>
      <c r="L772" s="136">
        <f t="shared" si="69"/>
        <v>0</v>
      </c>
      <c r="M772" s="136">
        <f t="shared" si="70"/>
        <v>0</v>
      </c>
      <c r="O772" s="134"/>
      <c r="P772" s="259"/>
    </row>
    <row r="773" spans="1:16">
      <c r="A773" s="134">
        <v>377</v>
      </c>
      <c r="B773" s="259" t="s">
        <v>2496</v>
      </c>
      <c r="C773" s="129" t="s">
        <v>2497</v>
      </c>
      <c r="D773" s="292">
        <v>249</v>
      </c>
      <c r="E773" s="292">
        <v>0</v>
      </c>
      <c r="F773" s="139">
        <f t="shared" si="71"/>
        <v>249</v>
      </c>
      <c r="G773" s="292">
        <v>116</v>
      </c>
      <c r="H773" s="292">
        <v>0</v>
      </c>
      <c r="I773" s="139">
        <f t="shared" si="72"/>
        <v>116</v>
      </c>
      <c r="J773" s="266">
        <f t="shared" si="73"/>
        <v>0.46589999999999998</v>
      </c>
      <c r="K773" s="136">
        <f t="shared" ref="K773:K836" si="74">IF(AND((J773-35%)&gt;0,J773&lt;50%),I773*(J773-35%)*0.7,0)</f>
        <v>9.4</v>
      </c>
      <c r="L773" s="136">
        <f t="shared" ref="L773:L836" si="75">IF(J773&gt;=50%,I773*10.5%,0)</f>
        <v>0</v>
      </c>
      <c r="M773" s="136">
        <f t="shared" ref="M773:M836" si="76">MAX(K773,L773)</f>
        <v>9.4</v>
      </c>
      <c r="O773" s="134"/>
      <c r="P773" s="259"/>
    </row>
    <row r="774" spans="1:16">
      <c r="A774" s="134">
        <v>377</v>
      </c>
      <c r="B774" s="259" t="s">
        <v>2498</v>
      </c>
      <c r="C774" s="129" t="s">
        <v>2499</v>
      </c>
      <c r="D774" s="292">
        <v>256</v>
      </c>
      <c r="E774" s="292">
        <v>0</v>
      </c>
      <c r="F774" s="139">
        <f t="shared" ref="F774:F837" si="77">D774+E774</f>
        <v>256</v>
      </c>
      <c r="G774" s="292">
        <v>95</v>
      </c>
      <c r="H774" s="292">
        <v>0</v>
      </c>
      <c r="I774" s="139">
        <f t="shared" ref="I774:I837" si="78">G774+H774</f>
        <v>95</v>
      </c>
      <c r="J774" s="266">
        <f t="shared" ref="J774:J837" si="79">IF(ISERROR(I774/F774),0,I774/F774)</f>
        <v>0.37109999999999999</v>
      </c>
      <c r="K774" s="136">
        <f t="shared" si="74"/>
        <v>1.4</v>
      </c>
      <c r="L774" s="136">
        <f t="shared" si="75"/>
        <v>0</v>
      </c>
      <c r="M774" s="136">
        <f t="shared" si="76"/>
        <v>1.4</v>
      </c>
      <c r="O774" s="134"/>
      <c r="P774" s="259"/>
    </row>
    <row r="775" spans="1:16">
      <c r="A775" s="134">
        <v>378</v>
      </c>
      <c r="B775" s="259" t="s">
        <v>2500</v>
      </c>
      <c r="C775" s="129" t="s">
        <v>2501</v>
      </c>
      <c r="D775" s="292">
        <v>482</v>
      </c>
      <c r="E775" s="292">
        <v>0</v>
      </c>
      <c r="F775" s="139">
        <f t="shared" si="77"/>
        <v>482</v>
      </c>
      <c r="G775" s="292">
        <v>106</v>
      </c>
      <c r="H775" s="292">
        <v>0</v>
      </c>
      <c r="I775" s="139">
        <f t="shared" si="78"/>
        <v>106</v>
      </c>
      <c r="J775" s="266">
        <f t="shared" si="79"/>
        <v>0.21990000000000001</v>
      </c>
      <c r="K775" s="136">
        <f t="shared" si="74"/>
        <v>0</v>
      </c>
      <c r="L775" s="136">
        <f t="shared" si="75"/>
        <v>0</v>
      </c>
      <c r="M775" s="136">
        <f t="shared" si="76"/>
        <v>0</v>
      </c>
      <c r="O775" s="134"/>
      <c r="P775" s="259"/>
    </row>
    <row r="776" spans="1:16">
      <c r="A776" s="134">
        <v>378</v>
      </c>
      <c r="B776" s="259" t="s">
        <v>2502</v>
      </c>
      <c r="C776" s="129" t="s">
        <v>2503</v>
      </c>
      <c r="D776" s="292">
        <v>213</v>
      </c>
      <c r="E776" s="292">
        <v>0</v>
      </c>
      <c r="F776" s="139">
        <f t="shared" si="77"/>
        <v>213</v>
      </c>
      <c r="G776" s="292">
        <v>37</v>
      </c>
      <c r="H776" s="292">
        <v>0</v>
      </c>
      <c r="I776" s="139">
        <f t="shared" si="78"/>
        <v>37</v>
      </c>
      <c r="J776" s="266">
        <f t="shared" si="79"/>
        <v>0.17369999999999999</v>
      </c>
      <c r="K776" s="136">
        <f t="shared" si="74"/>
        <v>0</v>
      </c>
      <c r="L776" s="136">
        <f t="shared" si="75"/>
        <v>0</v>
      </c>
      <c r="M776" s="136">
        <f t="shared" si="76"/>
        <v>0</v>
      </c>
      <c r="O776" s="134"/>
      <c r="P776" s="259"/>
    </row>
    <row r="777" spans="1:16">
      <c r="A777" s="134">
        <v>379</v>
      </c>
      <c r="B777" s="259" t="s">
        <v>2504</v>
      </c>
      <c r="C777" s="129" t="s">
        <v>2028</v>
      </c>
      <c r="D777" s="292">
        <v>147</v>
      </c>
      <c r="E777" s="292">
        <v>0</v>
      </c>
      <c r="F777" s="139">
        <f t="shared" si="77"/>
        <v>147</v>
      </c>
      <c r="G777" s="292">
        <v>45</v>
      </c>
      <c r="H777" s="292">
        <v>0</v>
      </c>
      <c r="I777" s="139">
        <f t="shared" si="78"/>
        <v>45</v>
      </c>
      <c r="J777" s="266">
        <f t="shared" si="79"/>
        <v>0.30609999999999998</v>
      </c>
      <c r="K777" s="136">
        <f t="shared" si="74"/>
        <v>0</v>
      </c>
      <c r="L777" s="136">
        <f t="shared" si="75"/>
        <v>0</v>
      </c>
      <c r="M777" s="136">
        <f t="shared" si="76"/>
        <v>0</v>
      </c>
      <c r="O777" s="134"/>
      <c r="P777" s="259"/>
    </row>
    <row r="778" spans="1:16">
      <c r="A778" s="134">
        <v>379</v>
      </c>
      <c r="B778" s="259" t="s">
        <v>2505</v>
      </c>
      <c r="C778" s="129" t="s">
        <v>2030</v>
      </c>
      <c r="D778" s="292">
        <v>369</v>
      </c>
      <c r="E778" s="292">
        <v>0</v>
      </c>
      <c r="F778" s="139">
        <f t="shared" si="77"/>
        <v>369</v>
      </c>
      <c r="G778" s="292">
        <v>150</v>
      </c>
      <c r="H778" s="292">
        <v>0</v>
      </c>
      <c r="I778" s="139">
        <f t="shared" si="78"/>
        <v>150</v>
      </c>
      <c r="J778" s="266">
        <f t="shared" si="79"/>
        <v>0.40649999999999997</v>
      </c>
      <c r="K778" s="136">
        <f t="shared" si="74"/>
        <v>5.9</v>
      </c>
      <c r="L778" s="136">
        <f t="shared" si="75"/>
        <v>0</v>
      </c>
      <c r="M778" s="136">
        <f t="shared" si="76"/>
        <v>5.9</v>
      </c>
      <c r="O778" s="134"/>
      <c r="P778" s="259"/>
    </row>
    <row r="779" spans="1:16">
      <c r="A779" s="134">
        <v>379</v>
      </c>
      <c r="B779" s="259" t="s">
        <v>2506</v>
      </c>
      <c r="C779" s="129" t="s">
        <v>2507</v>
      </c>
      <c r="D779" s="292">
        <v>241</v>
      </c>
      <c r="E779" s="292">
        <v>0</v>
      </c>
      <c r="F779" s="139">
        <f t="shared" si="77"/>
        <v>241</v>
      </c>
      <c r="G779" s="292">
        <v>92</v>
      </c>
      <c r="H779" s="292">
        <v>0</v>
      </c>
      <c r="I779" s="139">
        <f t="shared" si="78"/>
        <v>92</v>
      </c>
      <c r="J779" s="266">
        <f t="shared" si="79"/>
        <v>0.38169999999999998</v>
      </c>
      <c r="K779" s="136">
        <f t="shared" si="74"/>
        <v>2</v>
      </c>
      <c r="L779" s="136">
        <f t="shared" si="75"/>
        <v>0</v>
      </c>
      <c r="M779" s="136">
        <f t="shared" si="76"/>
        <v>2</v>
      </c>
      <c r="O779" s="134"/>
      <c r="P779" s="259"/>
    </row>
    <row r="780" spans="1:16">
      <c r="A780" s="134">
        <v>379</v>
      </c>
      <c r="B780" s="259" t="s">
        <v>2508</v>
      </c>
      <c r="C780" s="129" t="s">
        <v>2509</v>
      </c>
      <c r="D780" s="292">
        <v>343</v>
      </c>
      <c r="E780" s="292">
        <v>0</v>
      </c>
      <c r="F780" s="139">
        <f t="shared" si="77"/>
        <v>343</v>
      </c>
      <c r="G780" s="292">
        <v>107</v>
      </c>
      <c r="H780" s="292">
        <v>0</v>
      </c>
      <c r="I780" s="139">
        <f t="shared" si="78"/>
        <v>107</v>
      </c>
      <c r="J780" s="266">
        <f t="shared" si="79"/>
        <v>0.312</v>
      </c>
      <c r="K780" s="136">
        <f t="shared" si="74"/>
        <v>0</v>
      </c>
      <c r="L780" s="136">
        <f t="shared" si="75"/>
        <v>0</v>
      </c>
      <c r="M780" s="136">
        <f t="shared" si="76"/>
        <v>0</v>
      </c>
      <c r="O780" s="134"/>
      <c r="P780" s="259"/>
    </row>
    <row r="781" spans="1:16">
      <c r="A781" s="134">
        <v>379</v>
      </c>
      <c r="B781" s="259" t="s">
        <v>2510</v>
      </c>
      <c r="C781" s="129" t="s">
        <v>2511</v>
      </c>
      <c r="D781" s="292">
        <v>145</v>
      </c>
      <c r="E781" s="292">
        <v>0</v>
      </c>
      <c r="F781" s="139">
        <f t="shared" si="77"/>
        <v>145</v>
      </c>
      <c r="G781" s="292">
        <v>71</v>
      </c>
      <c r="H781" s="292">
        <v>0</v>
      </c>
      <c r="I781" s="139">
        <f t="shared" si="78"/>
        <v>71</v>
      </c>
      <c r="J781" s="266">
        <f t="shared" si="79"/>
        <v>0.48970000000000002</v>
      </c>
      <c r="K781" s="136">
        <f t="shared" si="74"/>
        <v>6.9</v>
      </c>
      <c r="L781" s="136">
        <f t="shared" si="75"/>
        <v>0</v>
      </c>
      <c r="M781" s="136">
        <f t="shared" si="76"/>
        <v>6.9</v>
      </c>
      <c r="O781" s="134"/>
      <c r="P781" s="259"/>
    </row>
    <row r="782" spans="1:16">
      <c r="A782" s="134">
        <v>379</v>
      </c>
      <c r="B782" s="259" t="s">
        <v>2512</v>
      </c>
      <c r="C782" s="129" t="s">
        <v>2513</v>
      </c>
      <c r="D782" s="292">
        <v>75</v>
      </c>
      <c r="E782" s="292">
        <v>0</v>
      </c>
      <c r="F782" s="139">
        <f t="shared" si="77"/>
        <v>75</v>
      </c>
      <c r="G782" s="292">
        <v>31</v>
      </c>
      <c r="H782" s="292">
        <v>0</v>
      </c>
      <c r="I782" s="139">
        <f t="shared" si="78"/>
        <v>31</v>
      </c>
      <c r="J782" s="266">
        <f t="shared" si="79"/>
        <v>0.4133</v>
      </c>
      <c r="K782" s="136">
        <f t="shared" si="74"/>
        <v>1.4</v>
      </c>
      <c r="L782" s="136">
        <f t="shared" si="75"/>
        <v>0</v>
      </c>
      <c r="M782" s="136">
        <f t="shared" si="76"/>
        <v>1.4</v>
      </c>
      <c r="O782" s="134"/>
      <c r="P782" s="259"/>
    </row>
    <row r="783" spans="1:16">
      <c r="A783" s="134">
        <v>380</v>
      </c>
      <c r="B783" s="259" t="s">
        <v>2514</v>
      </c>
      <c r="C783" s="129" t="s">
        <v>2515</v>
      </c>
      <c r="D783" s="292">
        <v>193</v>
      </c>
      <c r="E783" s="292">
        <v>0</v>
      </c>
      <c r="F783" s="139">
        <f t="shared" si="77"/>
        <v>193</v>
      </c>
      <c r="G783" s="292">
        <v>46</v>
      </c>
      <c r="H783" s="292">
        <v>0</v>
      </c>
      <c r="I783" s="139">
        <f t="shared" si="78"/>
        <v>46</v>
      </c>
      <c r="J783" s="266">
        <f t="shared" si="79"/>
        <v>0.23830000000000001</v>
      </c>
      <c r="K783" s="136">
        <f t="shared" si="74"/>
        <v>0</v>
      </c>
      <c r="L783" s="136">
        <f t="shared" si="75"/>
        <v>0</v>
      </c>
      <c r="M783" s="136">
        <f t="shared" si="76"/>
        <v>0</v>
      </c>
      <c r="O783" s="134"/>
      <c r="P783" s="259"/>
    </row>
    <row r="784" spans="1:16">
      <c r="A784" s="134">
        <v>380</v>
      </c>
      <c r="B784" s="259" t="s">
        <v>2516</v>
      </c>
      <c r="C784" s="129" t="s">
        <v>2517</v>
      </c>
      <c r="D784" s="292">
        <v>135</v>
      </c>
      <c r="E784" s="292">
        <v>0</v>
      </c>
      <c r="F784" s="139">
        <f t="shared" si="77"/>
        <v>135</v>
      </c>
      <c r="G784" s="292">
        <v>34</v>
      </c>
      <c r="H784" s="292">
        <v>0</v>
      </c>
      <c r="I784" s="139">
        <f t="shared" si="78"/>
        <v>34</v>
      </c>
      <c r="J784" s="266">
        <f t="shared" si="79"/>
        <v>0.25190000000000001</v>
      </c>
      <c r="K784" s="136">
        <f t="shared" si="74"/>
        <v>0</v>
      </c>
      <c r="L784" s="136">
        <f t="shared" si="75"/>
        <v>0</v>
      </c>
      <c r="M784" s="136">
        <f t="shared" si="76"/>
        <v>0</v>
      </c>
      <c r="O784" s="134"/>
      <c r="P784" s="259"/>
    </row>
    <row r="785" spans="1:16">
      <c r="A785" s="134">
        <v>380</v>
      </c>
      <c r="B785" s="259" t="s">
        <v>2518</v>
      </c>
      <c r="C785" s="129" t="s">
        <v>2519</v>
      </c>
      <c r="D785" s="292">
        <v>184</v>
      </c>
      <c r="E785" s="292">
        <v>0</v>
      </c>
      <c r="F785" s="139">
        <f t="shared" si="77"/>
        <v>184</v>
      </c>
      <c r="G785" s="292">
        <v>39</v>
      </c>
      <c r="H785" s="292">
        <v>0</v>
      </c>
      <c r="I785" s="139">
        <f t="shared" si="78"/>
        <v>39</v>
      </c>
      <c r="J785" s="266">
        <f t="shared" si="79"/>
        <v>0.21199999999999999</v>
      </c>
      <c r="K785" s="136">
        <f t="shared" si="74"/>
        <v>0</v>
      </c>
      <c r="L785" s="136">
        <f t="shared" si="75"/>
        <v>0</v>
      </c>
      <c r="M785" s="136">
        <f t="shared" si="76"/>
        <v>0</v>
      </c>
      <c r="O785" s="134"/>
      <c r="P785" s="259"/>
    </row>
    <row r="786" spans="1:16">
      <c r="A786" s="134">
        <v>380</v>
      </c>
      <c r="B786" s="259" t="s">
        <v>2520</v>
      </c>
      <c r="C786" s="129" t="s">
        <v>2521</v>
      </c>
      <c r="D786" s="292">
        <v>121</v>
      </c>
      <c r="E786" s="292">
        <v>0</v>
      </c>
      <c r="F786" s="139">
        <f t="shared" si="77"/>
        <v>121</v>
      </c>
      <c r="G786" s="292">
        <v>22</v>
      </c>
      <c r="H786" s="292">
        <v>0</v>
      </c>
      <c r="I786" s="139">
        <f t="shared" si="78"/>
        <v>22</v>
      </c>
      <c r="J786" s="266">
        <f t="shared" si="79"/>
        <v>0.18179999999999999</v>
      </c>
      <c r="K786" s="136">
        <f t="shared" si="74"/>
        <v>0</v>
      </c>
      <c r="L786" s="136">
        <f t="shared" si="75"/>
        <v>0</v>
      </c>
      <c r="M786" s="136">
        <f t="shared" si="76"/>
        <v>0</v>
      </c>
      <c r="O786" s="134"/>
      <c r="P786" s="259"/>
    </row>
    <row r="787" spans="1:16">
      <c r="A787" s="134">
        <v>381</v>
      </c>
      <c r="B787" s="259" t="s">
        <v>2522</v>
      </c>
      <c r="C787" s="129" t="s">
        <v>2523</v>
      </c>
      <c r="D787" s="292">
        <v>173</v>
      </c>
      <c r="E787" s="292">
        <v>0</v>
      </c>
      <c r="F787" s="139">
        <f t="shared" si="77"/>
        <v>173</v>
      </c>
      <c r="G787" s="292">
        <v>51</v>
      </c>
      <c r="H787" s="292">
        <v>0</v>
      </c>
      <c r="I787" s="139">
        <f t="shared" si="78"/>
        <v>51</v>
      </c>
      <c r="J787" s="266">
        <f t="shared" si="79"/>
        <v>0.29480000000000001</v>
      </c>
      <c r="K787" s="136">
        <f t="shared" si="74"/>
        <v>0</v>
      </c>
      <c r="L787" s="136">
        <f t="shared" si="75"/>
        <v>0</v>
      </c>
      <c r="M787" s="136">
        <f t="shared" si="76"/>
        <v>0</v>
      </c>
      <c r="O787" s="134"/>
      <c r="P787" s="259"/>
    </row>
    <row r="788" spans="1:16">
      <c r="A788" s="134">
        <v>381</v>
      </c>
      <c r="B788" s="259" t="s">
        <v>2524</v>
      </c>
      <c r="C788" s="129" t="s">
        <v>2525</v>
      </c>
      <c r="D788" s="292">
        <v>171</v>
      </c>
      <c r="E788" s="292">
        <v>0</v>
      </c>
      <c r="F788" s="139">
        <f t="shared" si="77"/>
        <v>171</v>
      </c>
      <c r="G788" s="292">
        <v>43</v>
      </c>
      <c r="H788" s="292">
        <v>0</v>
      </c>
      <c r="I788" s="139">
        <f t="shared" si="78"/>
        <v>43</v>
      </c>
      <c r="J788" s="266">
        <f t="shared" si="79"/>
        <v>0.2515</v>
      </c>
      <c r="K788" s="136">
        <f t="shared" si="74"/>
        <v>0</v>
      </c>
      <c r="L788" s="136">
        <f t="shared" si="75"/>
        <v>0</v>
      </c>
      <c r="M788" s="136">
        <f t="shared" si="76"/>
        <v>0</v>
      </c>
      <c r="O788" s="134"/>
      <c r="P788" s="259"/>
    </row>
    <row r="789" spans="1:16">
      <c r="A789" s="134">
        <v>382</v>
      </c>
      <c r="B789" s="259" t="s">
        <v>4043</v>
      </c>
      <c r="C789" s="129" t="s">
        <v>4044</v>
      </c>
      <c r="D789" s="292">
        <v>0</v>
      </c>
      <c r="E789" s="292">
        <v>0</v>
      </c>
      <c r="F789" s="139">
        <f t="shared" si="77"/>
        <v>0</v>
      </c>
      <c r="G789" s="292">
        <v>0</v>
      </c>
      <c r="H789" s="292">
        <v>0</v>
      </c>
      <c r="I789" s="139">
        <f t="shared" si="78"/>
        <v>0</v>
      </c>
      <c r="J789" s="266">
        <f t="shared" si="79"/>
        <v>0</v>
      </c>
      <c r="K789" s="136">
        <f t="shared" si="74"/>
        <v>0</v>
      </c>
      <c r="L789" s="136">
        <f t="shared" si="75"/>
        <v>0</v>
      </c>
      <c r="M789" s="136">
        <f t="shared" si="76"/>
        <v>0</v>
      </c>
      <c r="O789" s="134"/>
      <c r="P789" s="259"/>
    </row>
    <row r="790" spans="1:16">
      <c r="A790" s="134">
        <v>382</v>
      </c>
      <c r="B790" s="259" t="s">
        <v>2526</v>
      </c>
      <c r="C790" s="129" t="s">
        <v>2527</v>
      </c>
      <c r="D790" s="292">
        <v>495</v>
      </c>
      <c r="E790" s="292">
        <v>0</v>
      </c>
      <c r="F790" s="139">
        <f t="shared" si="77"/>
        <v>495</v>
      </c>
      <c r="G790" s="292">
        <v>204</v>
      </c>
      <c r="H790" s="292">
        <v>0</v>
      </c>
      <c r="I790" s="139">
        <f t="shared" si="78"/>
        <v>204</v>
      </c>
      <c r="J790" s="266">
        <f t="shared" si="79"/>
        <v>0.41210000000000002</v>
      </c>
      <c r="K790" s="136">
        <f t="shared" si="74"/>
        <v>8.9</v>
      </c>
      <c r="L790" s="136">
        <f t="shared" si="75"/>
        <v>0</v>
      </c>
      <c r="M790" s="136">
        <f t="shared" si="76"/>
        <v>8.9</v>
      </c>
      <c r="O790" s="134"/>
      <c r="P790" s="259"/>
    </row>
    <row r="791" spans="1:16">
      <c r="A791" s="134">
        <v>382</v>
      </c>
      <c r="B791" s="259" t="s">
        <v>2528</v>
      </c>
      <c r="C791" s="129" t="s">
        <v>2529</v>
      </c>
      <c r="D791" s="292">
        <v>362</v>
      </c>
      <c r="E791" s="292">
        <v>0</v>
      </c>
      <c r="F791" s="139">
        <f t="shared" si="77"/>
        <v>362</v>
      </c>
      <c r="G791" s="292">
        <v>176</v>
      </c>
      <c r="H791" s="292">
        <v>0</v>
      </c>
      <c r="I791" s="139">
        <f t="shared" si="78"/>
        <v>176</v>
      </c>
      <c r="J791" s="266">
        <f t="shared" si="79"/>
        <v>0.48620000000000002</v>
      </c>
      <c r="K791" s="136">
        <f t="shared" si="74"/>
        <v>16.8</v>
      </c>
      <c r="L791" s="136">
        <f t="shared" si="75"/>
        <v>0</v>
      </c>
      <c r="M791" s="136">
        <f t="shared" si="76"/>
        <v>16.8</v>
      </c>
      <c r="O791" s="134"/>
      <c r="P791" s="259"/>
    </row>
    <row r="792" spans="1:16">
      <c r="A792" s="134">
        <v>382</v>
      </c>
      <c r="B792" s="259" t="s">
        <v>2530</v>
      </c>
      <c r="C792" s="129" t="s">
        <v>2531</v>
      </c>
      <c r="D792" s="292">
        <v>339</v>
      </c>
      <c r="E792" s="292">
        <v>0</v>
      </c>
      <c r="F792" s="139">
        <f t="shared" si="77"/>
        <v>339</v>
      </c>
      <c r="G792" s="292">
        <v>141</v>
      </c>
      <c r="H792" s="292">
        <v>0</v>
      </c>
      <c r="I792" s="139">
        <f t="shared" si="78"/>
        <v>141</v>
      </c>
      <c r="J792" s="266">
        <f t="shared" si="79"/>
        <v>0.41589999999999999</v>
      </c>
      <c r="K792" s="136">
        <f t="shared" si="74"/>
        <v>6.5</v>
      </c>
      <c r="L792" s="136">
        <f t="shared" si="75"/>
        <v>0</v>
      </c>
      <c r="M792" s="136">
        <f t="shared" si="76"/>
        <v>6.5</v>
      </c>
      <c r="O792" s="134"/>
      <c r="P792" s="259"/>
    </row>
    <row r="793" spans="1:16">
      <c r="A793" s="134">
        <v>383</v>
      </c>
      <c r="B793" s="259" t="s">
        <v>2532</v>
      </c>
      <c r="C793" s="129" t="s">
        <v>2533</v>
      </c>
      <c r="D793" s="292">
        <v>419</v>
      </c>
      <c r="E793" s="292">
        <v>0</v>
      </c>
      <c r="F793" s="139">
        <f t="shared" si="77"/>
        <v>419</v>
      </c>
      <c r="G793" s="292">
        <v>89</v>
      </c>
      <c r="H793" s="292">
        <v>0</v>
      </c>
      <c r="I793" s="139">
        <f t="shared" si="78"/>
        <v>89</v>
      </c>
      <c r="J793" s="266">
        <f t="shared" si="79"/>
        <v>0.21240000000000001</v>
      </c>
      <c r="K793" s="136">
        <f t="shared" si="74"/>
        <v>0</v>
      </c>
      <c r="L793" s="136">
        <f t="shared" si="75"/>
        <v>0</v>
      </c>
      <c r="M793" s="136">
        <f t="shared" si="76"/>
        <v>0</v>
      </c>
      <c r="O793" s="134"/>
      <c r="P793" s="259"/>
    </row>
    <row r="794" spans="1:16">
      <c r="A794" s="134">
        <v>383</v>
      </c>
      <c r="B794" s="259" t="s">
        <v>2534</v>
      </c>
      <c r="C794" s="129" t="s">
        <v>2535</v>
      </c>
      <c r="D794" s="292">
        <v>497</v>
      </c>
      <c r="E794" s="292">
        <v>0</v>
      </c>
      <c r="F794" s="139">
        <f t="shared" si="77"/>
        <v>497</v>
      </c>
      <c r="G794" s="292">
        <v>230</v>
      </c>
      <c r="H794" s="292">
        <v>0</v>
      </c>
      <c r="I794" s="139">
        <f t="shared" si="78"/>
        <v>230</v>
      </c>
      <c r="J794" s="266">
        <f t="shared" si="79"/>
        <v>0.46279999999999999</v>
      </c>
      <c r="K794" s="136">
        <f t="shared" si="74"/>
        <v>18.2</v>
      </c>
      <c r="L794" s="136">
        <f t="shared" si="75"/>
        <v>0</v>
      </c>
      <c r="M794" s="136">
        <f t="shared" si="76"/>
        <v>18.2</v>
      </c>
      <c r="O794" s="134"/>
      <c r="P794" s="259"/>
    </row>
    <row r="795" spans="1:16">
      <c r="A795" s="134">
        <v>383</v>
      </c>
      <c r="B795" s="259" t="s">
        <v>2536</v>
      </c>
      <c r="C795" s="129" t="s">
        <v>2537</v>
      </c>
      <c r="D795" s="292">
        <v>215</v>
      </c>
      <c r="E795" s="292">
        <v>0</v>
      </c>
      <c r="F795" s="139">
        <f t="shared" si="77"/>
        <v>215</v>
      </c>
      <c r="G795" s="292">
        <v>101</v>
      </c>
      <c r="H795" s="292">
        <v>0</v>
      </c>
      <c r="I795" s="139">
        <f t="shared" si="78"/>
        <v>101</v>
      </c>
      <c r="J795" s="266">
        <f t="shared" si="79"/>
        <v>0.4698</v>
      </c>
      <c r="K795" s="136">
        <f t="shared" si="74"/>
        <v>8.5</v>
      </c>
      <c r="L795" s="136">
        <f t="shared" si="75"/>
        <v>0</v>
      </c>
      <c r="M795" s="136">
        <f t="shared" si="76"/>
        <v>8.5</v>
      </c>
      <c r="O795" s="134"/>
      <c r="P795" s="259"/>
    </row>
    <row r="796" spans="1:16">
      <c r="A796" s="134">
        <v>383</v>
      </c>
      <c r="B796" s="259" t="s">
        <v>2538</v>
      </c>
      <c r="C796" s="129" t="s">
        <v>2539</v>
      </c>
      <c r="D796" s="292">
        <v>311</v>
      </c>
      <c r="E796" s="292">
        <v>0</v>
      </c>
      <c r="F796" s="139">
        <f t="shared" si="77"/>
        <v>311</v>
      </c>
      <c r="G796" s="292">
        <v>169</v>
      </c>
      <c r="H796" s="292">
        <v>0</v>
      </c>
      <c r="I796" s="139">
        <f t="shared" si="78"/>
        <v>169</v>
      </c>
      <c r="J796" s="266">
        <f t="shared" si="79"/>
        <v>0.54339999999999999</v>
      </c>
      <c r="K796" s="136">
        <f t="shared" si="74"/>
        <v>0</v>
      </c>
      <c r="L796" s="136">
        <f t="shared" si="75"/>
        <v>17.7</v>
      </c>
      <c r="M796" s="136">
        <f t="shared" si="76"/>
        <v>17.7</v>
      </c>
      <c r="O796" s="134"/>
      <c r="P796" s="259"/>
    </row>
    <row r="797" spans="1:16">
      <c r="A797" s="134">
        <v>383</v>
      </c>
      <c r="B797" s="259" t="s">
        <v>2540</v>
      </c>
      <c r="C797" s="129" t="s">
        <v>2541</v>
      </c>
      <c r="D797" s="292">
        <v>426</v>
      </c>
      <c r="E797" s="292">
        <v>0</v>
      </c>
      <c r="F797" s="139">
        <f t="shared" si="77"/>
        <v>426</v>
      </c>
      <c r="G797" s="292">
        <v>94</v>
      </c>
      <c r="H797" s="292">
        <v>0</v>
      </c>
      <c r="I797" s="139">
        <f t="shared" si="78"/>
        <v>94</v>
      </c>
      <c r="J797" s="266">
        <f t="shared" si="79"/>
        <v>0.22070000000000001</v>
      </c>
      <c r="K797" s="136">
        <f t="shared" si="74"/>
        <v>0</v>
      </c>
      <c r="L797" s="136">
        <f t="shared" si="75"/>
        <v>0</v>
      </c>
      <c r="M797" s="136">
        <f t="shared" si="76"/>
        <v>0</v>
      </c>
      <c r="O797" s="134"/>
      <c r="P797" s="259"/>
    </row>
    <row r="798" spans="1:16">
      <c r="A798" s="134">
        <v>383</v>
      </c>
      <c r="B798" s="259" t="s">
        <v>2542</v>
      </c>
      <c r="C798" s="129" t="s">
        <v>1453</v>
      </c>
      <c r="D798" s="292">
        <v>403</v>
      </c>
      <c r="E798" s="292">
        <v>0</v>
      </c>
      <c r="F798" s="139">
        <f t="shared" si="77"/>
        <v>403</v>
      </c>
      <c r="G798" s="292">
        <v>255</v>
      </c>
      <c r="H798" s="292">
        <v>0</v>
      </c>
      <c r="I798" s="139">
        <f t="shared" si="78"/>
        <v>255</v>
      </c>
      <c r="J798" s="266">
        <f t="shared" si="79"/>
        <v>0.63280000000000003</v>
      </c>
      <c r="K798" s="136">
        <f t="shared" si="74"/>
        <v>0</v>
      </c>
      <c r="L798" s="136">
        <f t="shared" si="75"/>
        <v>26.8</v>
      </c>
      <c r="M798" s="136">
        <f t="shared" si="76"/>
        <v>26.8</v>
      </c>
      <c r="O798" s="134"/>
      <c r="P798" s="259"/>
    </row>
    <row r="799" spans="1:16">
      <c r="A799" s="134">
        <v>383</v>
      </c>
      <c r="B799" s="259" t="s">
        <v>2543</v>
      </c>
      <c r="C799" s="129" t="s">
        <v>2544</v>
      </c>
      <c r="D799" s="292">
        <v>428</v>
      </c>
      <c r="E799" s="292">
        <v>0</v>
      </c>
      <c r="F799" s="139">
        <f t="shared" si="77"/>
        <v>428</v>
      </c>
      <c r="G799" s="292">
        <v>228</v>
      </c>
      <c r="H799" s="292">
        <v>0</v>
      </c>
      <c r="I799" s="139">
        <f t="shared" si="78"/>
        <v>228</v>
      </c>
      <c r="J799" s="266">
        <f t="shared" si="79"/>
        <v>0.53269999999999995</v>
      </c>
      <c r="K799" s="136">
        <f t="shared" si="74"/>
        <v>0</v>
      </c>
      <c r="L799" s="136">
        <f t="shared" si="75"/>
        <v>23.9</v>
      </c>
      <c r="M799" s="136">
        <f t="shared" si="76"/>
        <v>23.9</v>
      </c>
      <c r="O799" s="134"/>
      <c r="P799" s="259"/>
    </row>
    <row r="800" spans="1:16">
      <c r="A800" s="134">
        <v>383</v>
      </c>
      <c r="B800" s="259" t="s">
        <v>2545</v>
      </c>
      <c r="C800" s="129" t="s">
        <v>2546</v>
      </c>
      <c r="D800" s="292">
        <v>232</v>
      </c>
      <c r="E800" s="292">
        <v>0</v>
      </c>
      <c r="F800" s="139">
        <f t="shared" si="77"/>
        <v>232</v>
      </c>
      <c r="G800" s="292">
        <v>110</v>
      </c>
      <c r="H800" s="292">
        <v>0</v>
      </c>
      <c r="I800" s="139">
        <f t="shared" si="78"/>
        <v>110</v>
      </c>
      <c r="J800" s="266">
        <f t="shared" si="79"/>
        <v>0.47410000000000002</v>
      </c>
      <c r="K800" s="136">
        <f t="shared" si="74"/>
        <v>9.6</v>
      </c>
      <c r="L800" s="136">
        <f t="shared" si="75"/>
        <v>0</v>
      </c>
      <c r="M800" s="136">
        <f t="shared" si="76"/>
        <v>9.6</v>
      </c>
      <c r="O800" s="134"/>
      <c r="P800" s="259"/>
    </row>
    <row r="801" spans="1:20">
      <c r="A801" s="134">
        <v>383</v>
      </c>
      <c r="B801" s="259" t="s">
        <v>2547</v>
      </c>
      <c r="C801" s="129" t="s">
        <v>2548</v>
      </c>
      <c r="D801" s="292">
        <v>762</v>
      </c>
      <c r="E801" s="292">
        <v>0</v>
      </c>
      <c r="F801" s="139">
        <f t="shared" si="77"/>
        <v>762</v>
      </c>
      <c r="G801" s="292">
        <v>217</v>
      </c>
      <c r="H801" s="292">
        <v>0</v>
      </c>
      <c r="I801" s="139">
        <f t="shared" si="78"/>
        <v>217</v>
      </c>
      <c r="J801" s="266">
        <f t="shared" si="79"/>
        <v>0.2848</v>
      </c>
      <c r="K801" s="136">
        <f t="shared" si="74"/>
        <v>0</v>
      </c>
      <c r="L801" s="136">
        <f t="shared" si="75"/>
        <v>0</v>
      </c>
      <c r="M801" s="136">
        <f t="shared" si="76"/>
        <v>0</v>
      </c>
      <c r="O801" s="134"/>
      <c r="P801" s="259"/>
    </row>
    <row r="802" spans="1:20">
      <c r="A802" s="134">
        <v>383</v>
      </c>
      <c r="B802" s="259" t="s">
        <v>2549</v>
      </c>
      <c r="C802" s="129" t="s">
        <v>2550</v>
      </c>
      <c r="D802" s="292">
        <v>1996</v>
      </c>
      <c r="E802" s="292">
        <v>0</v>
      </c>
      <c r="F802" s="139">
        <f t="shared" si="77"/>
        <v>1996</v>
      </c>
      <c r="G802" s="292">
        <v>673</v>
      </c>
      <c r="H802" s="292">
        <v>0</v>
      </c>
      <c r="I802" s="139">
        <f t="shared" si="78"/>
        <v>673</v>
      </c>
      <c r="J802" s="266">
        <f t="shared" si="79"/>
        <v>0.3372</v>
      </c>
      <c r="K802" s="136">
        <f t="shared" si="74"/>
        <v>0</v>
      </c>
      <c r="L802" s="136">
        <f t="shared" si="75"/>
        <v>0</v>
      </c>
      <c r="M802" s="136">
        <f t="shared" si="76"/>
        <v>0</v>
      </c>
      <c r="O802" s="134"/>
      <c r="P802" s="259"/>
    </row>
    <row r="803" spans="1:20">
      <c r="A803" s="134">
        <v>383</v>
      </c>
      <c r="B803" s="259" t="s">
        <v>2551</v>
      </c>
      <c r="C803" s="129" t="s">
        <v>2552</v>
      </c>
      <c r="D803" s="292">
        <v>757</v>
      </c>
      <c r="E803" s="292">
        <v>0</v>
      </c>
      <c r="F803" s="139">
        <f t="shared" si="77"/>
        <v>757</v>
      </c>
      <c r="G803" s="292">
        <v>319</v>
      </c>
      <c r="H803" s="292">
        <v>0</v>
      </c>
      <c r="I803" s="139">
        <f t="shared" si="78"/>
        <v>319</v>
      </c>
      <c r="J803" s="266">
        <f t="shared" si="79"/>
        <v>0.4214</v>
      </c>
      <c r="K803" s="136">
        <f t="shared" si="74"/>
        <v>15.9</v>
      </c>
      <c r="L803" s="136">
        <f t="shared" si="75"/>
        <v>0</v>
      </c>
      <c r="M803" s="136">
        <f t="shared" si="76"/>
        <v>15.9</v>
      </c>
      <c r="O803" s="134"/>
      <c r="P803" s="259"/>
    </row>
    <row r="804" spans="1:20">
      <c r="A804" s="134">
        <v>383</v>
      </c>
      <c r="B804" s="259" t="s">
        <v>2553</v>
      </c>
      <c r="C804" s="129" t="s">
        <v>2554</v>
      </c>
      <c r="D804" s="292">
        <v>130</v>
      </c>
      <c r="E804" s="292">
        <v>0</v>
      </c>
      <c r="F804" s="139">
        <f t="shared" si="77"/>
        <v>130</v>
      </c>
      <c r="G804" s="292">
        <v>71</v>
      </c>
      <c r="H804" s="292">
        <v>0</v>
      </c>
      <c r="I804" s="139">
        <f t="shared" si="78"/>
        <v>71</v>
      </c>
      <c r="J804" s="266">
        <f t="shared" si="79"/>
        <v>0.54620000000000002</v>
      </c>
      <c r="K804" s="136">
        <f t="shared" si="74"/>
        <v>0</v>
      </c>
      <c r="L804" s="136">
        <f t="shared" si="75"/>
        <v>7.5</v>
      </c>
      <c r="M804" s="136">
        <f t="shared" si="76"/>
        <v>7.5</v>
      </c>
      <c r="O804" s="134"/>
      <c r="P804" s="259"/>
    </row>
    <row r="805" spans="1:20">
      <c r="A805" s="134">
        <v>383</v>
      </c>
      <c r="B805" s="259" t="s">
        <v>2555</v>
      </c>
      <c r="C805" s="129" t="s">
        <v>2556</v>
      </c>
      <c r="D805" s="292">
        <v>309</v>
      </c>
      <c r="E805" s="292">
        <v>0</v>
      </c>
      <c r="F805" s="139">
        <f t="shared" si="77"/>
        <v>309</v>
      </c>
      <c r="G805" s="292">
        <v>56</v>
      </c>
      <c r="H805" s="292">
        <v>0</v>
      </c>
      <c r="I805" s="139">
        <f t="shared" si="78"/>
        <v>56</v>
      </c>
      <c r="J805" s="266">
        <f t="shared" si="79"/>
        <v>0.1812</v>
      </c>
      <c r="K805" s="136">
        <f t="shared" si="74"/>
        <v>0</v>
      </c>
      <c r="L805" s="136">
        <f t="shared" si="75"/>
        <v>0</v>
      </c>
      <c r="M805" s="136">
        <f t="shared" si="76"/>
        <v>0</v>
      </c>
      <c r="O805" s="134"/>
      <c r="P805" s="259"/>
    </row>
    <row r="806" spans="1:20">
      <c r="A806" s="134">
        <v>383</v>
      </c>
      <c r="B806" s="259" t="s">
        <v>4045</v>
      </c>
      <c r="C806" s="129" t="s">
        <v>4046</v>
      </c>
      <c r="D806" s="292">
        <v>0</v>
      </c>
      <c r="E806" s="292">
        <v>0</v>
      </c>
      <c r="F806" s="139">
        <f t="shared" si="77"/>
        <v>0</v>
      </c>
      <c r="G806" s="292">
        <v>0</v>
      </c>
      <c r="H806" s="292">
        <v>0</v>
      </c>
      <c r="I806" s="139">
        <f t="shared" si="78"/>
        <v>0</v>
      </c>
      <c r="J806" s="266">
        <f t="shared" si="79"/>
        <v>0</v>
      </c>
      <c r="K806" s="136">
        <f t="shared" si="74"/>
        <v>0</v>
      </c>
      <c r="L806" s="136">
        <f t="shared" si="75"/>
        <v>0</v>
      </c>
      <c r="M806" s="136">
        <f t="shared" si="76"/>
        <v>0</v>
      </c>
      <c r="O806" s="134"/>
      <c r="P806" s="259"/>
    </row>
    <row r="807" spans="1:20">
      <c r="A807" s="134">
        <v>384</v>
      </c>
      <c r="B807" s="259" t="s">
        <v>2557</v>
      </c>
      <c r="C807" s="129" t="s">
        <v>2558</v>
      </c>
      <c r="D807" s="292">
        <v>117</v>
      </c>
      <c r="E807" s="292">
        <v>0</v>
      </c>
      <c r="F807" s="139">
        <f t="shared" si="77"/>
        <v>117</v>
      </c>
      <c r="G807" s="292">
        <v>18</v>
      </c>
      <c r="H807" s="292">
        <v>0</v>
      </c>
      <c r="I807" s="139">
        <f t="shared" si="78"/>
        <v>18</v>
      </c>
      <c r="J807" s="266">
        <f t="shared" si="79"/>
        <v>0.15379999999999999</v>
      </c>
      <c r="K807" s="136">
        <f t="shared" si="74"/>
        <v>0</v>
      </c>
      <c r="L807" s="136">
        <f t="shared" si="75"/>
        <v>0</v>
      </c>
      <c r="M807" s="136">
        <f t="shared" si="76"/>
        <v>0</v>
      </c>
      <c r="O807" s="134"/>
      <c r="P807" s="259"/>
    </row>
    <row r="808" spans="1:20">
      <c r="A808" s="134">
        <v>384</v>
      </c>
      <c r="B808" s="259" t="s">
        <v>2559</v>
      </c>
      <c r="C808" s="129" t="s">
        <v>2560</v>
      </c>
      <c r="D808" s="292">
        <v>69</v>
      </c>
      <c r="E808" s="292">
        <v>0</v>
      </c>
      <c r="F808" s="139">
        <f t="shared" si="77"/>
        <v>69</v>
      </c>
      <c r="G808" s="292">
        <v>13</v>
      </c>
      <c r="H808" s="292">
        <v>0</v>
      </c>
      <c r="I808" s="139">
        <f t="shared" si="78"/>
        <v>13</v>
      </c>
      <c r="J808" s="266">
        <f t="shared" si="79"/>
        <v>0.18840000000000001</v>
      </c>
      <c r="K808" s="136">
        <f t="shared" si="74"/>
        <v>0</v>
      </c>
      <c r="L808" s="136">
        <f t="shared" si="75"/>
        <v>0</v>
      </c>
      <c r="M808" s="136">
        <f t="shared" si="76"/>
        <v>0</v>
      </c>
      <c r="O808" s="134"/>
      <c r="P808" s="259"/>
    </row>
    <row r="809" spans="1:20">
      <c r="A809" s="134">
        <v>384</v>
      </c>
      <c r="B809" s="259" t="s">
        <v>2561</v>
      </c>
      <c r="C809" s="129" t="s">
        <v>1289</v>
      </c>
      <c r="D809" s="292">
        <v>72</v>
      </c>
      <c r="E809" s="292">
        <v>0</v>
      </c>
      <c r="F809" s="139">
        <f t="shared" si="77"/>
        <v>72</v>
      </c>
      <c r="G809" s="292">
        <v>12</v>
      </c>
      <c r="H809" s="292">
        <v>0</v>
      </c>
      <c r="I809" s="139">
        <f t="shared" si="78"/>
        <v>12</v>
      </c>
      <c r="J809" s="266">
        <f t="shared" si="79"/>
        <v>0.16669999999999999</v>
      </c>
      <c r="K809" s="136">
        <f t="shared" si="74"/>
        <v>0</v>
      </c>
      <c r="L809" s="136">
        <f t="shared" si="75"/>
        <v>0</v>
      </c>
      <c r="M809" s="136">
        <f t="shared" si="76"/>
        <v>0</v>
      </c>
      <c r="O809" s="134"/>
      <c r="P809" s="259"/>
    </row>
    <row r="810" spans="1:20">
      <c r="A810" s="134">
        <v>385</v>
      </c>
      <c r="B810" s="259" t="s">
        <v>2562</v>
      </c>
      <c r="C810" s="129" t="s">
        <v>2563</v>
      </c>
      <c r="D810" s="292">
        <v>408</v>
      </c>
      <c r="E810" s="292">
        <v>0</v>
      </c>
      <c r="F810" s="139">
        <f t="shared" si="77"/>
        <v>408</v>
      </c>
      <c r="G810" s="292">
        <v>100</v>
      </c>
      <c r="H810" s="292">
        <v>0</v>
      </c>
      <c r="I810" s="139">
        <f t="shared" si="78"/>
        <v>100</v>
      </c>
      <c r="J810" s="266">
        <f t="shared" si="79"/>
        <v>0.24510000000000001</v>
      </c>
      <c r="K810" s="136">
        <f t="shared" si="74"/>
        <v>0</v>
      </c>
      <c r="L810" s="136">
        <f t="shared" si="75"/>
        <v>0</v>
      </c>
      <c r="M810" s="136">
        <f t="shared" si="76"/>
        <v>0</v>
      </c>
      <c r="O810" s="134"/>
      <c r="P810" s="259"/>
    </row>
    <row r="811" spans="1:20">
      <c r="A811" s="134">
        <v>385</v>
      </c>
      <c r="B811" s="259" t="s">
        <v>2564</v>
      </c>
      <c r="C811" s="129" t="s">
        <v>2565</v>
      </c>
      <c r="D811" s="292">
        <v>740</v>
      </c>
      <c r="E811" s="292">
        <v>0</v>
      </c>
      <c r="F811" s="139">
        <f t="shared" si="77"/>
        <v>740</v>
      </c>
      <c r="G811" s="292">
        <v>130</v>
      </c>
      <c r="H811" s="292">
        <v>0</v>
      </c>
      <c r="I811" s="139">
        <f t="shared" si="78"/>
        <v>130</v>
      </c>
      <c r="J811" s="266">
        <f t="shared" si="79"/>
        <v>0.1757</v>
      </c>
      <c r="K811" s="136">
        <f t="shared" si="74"/>
        <v>0</v>
      </c>
      <c r="L811" s="136">
        <f t="shared" si="75"/>
        <v>0</v>
      </c>
      <c r="M811" s="136">
        <f t="shared" si="76"/>
        <v>0</v>
      </c>
      <c r="O811" s="134"/>
      <c r="P811" s="259"/>
    </row>
    <row r="812" spans="1:20">
      <c r="A812" s="134">
        <v>385</v>
      </c>
      <c r="B812" s="259" t="s">
        <v>2566</v>
      </c>
      <c r="C812" s="129" t="s">
        <v>2567</v>
      </c>
      <c r="D812" s="292">
        <v>1004</v>
      </c>
      <c r="E812" s="292">
        <v>0</v>
      </c>
      <c r="F812" s="139">
        <f t="shared" si="77"/>
        <v>1004</v>
      </c>
      <c r="G812" s="292">
        <v>174</v>
      </c>
      <c r="H812" s="292">
        <v>0</v>
      </c>
      <c r="I812" s="139">
        <f t="shared" si="78"/>
        <v>174</v>
      </c>
      <c r="J812" s="266">
        <f t="shared" si="79"/>
        <v>0.17330000000000001</v>
      </c>
      <c r="K812" s="136">
        <f t="shared" si="74"/>
        <v>0</v>
      </c>
      <c r="L812" s="136">
        <f t="shared" si="75"/>
        <v>0</v>
      </c>
      <c r="M812" s="136">
        <f t="shared" si="76"/>
        <v>0</v>
      </c>
      <c r="O812" s="134"/>
      <c r="P812" s="259"/>
    </row>
    <row r="813" spans="1:20">
      <c r="A813" s="134">
        <v>385</v>
      </c>
      <c r="B813" s="259" t="s">
        <v>2568</v>
      </c>
      <c r="C813" s="129" t="s">
        <v>2569</v>
      </c>
      <c r="D813" s="292">
        <v>500</v>
      </c>
      <c r="E813" s="292">
        <v>0</v>
      </c>
      <c r="F813" s="139">
        <f t="shared" si="77"/>
        <v>500</v>
      </c>
      <c r="G813" s="292">
        <v>61</v>
      </c>
      <c r="H813" s="292">
        <v>0</v>
      </c>
      <c r="I813" s="139">
        <f t="shared" si="78"/>
        <v>61</v>
      </c>
      <c r="J813" s="266">
        <f t="shared" si="79"/>
        <v>0.122</v>
      </c>
      <c r="K813" s="136">
        <f t="shared" si="74"/>
        <v>0</v>
      </c>
      <c r="L813" s="136">
        <f t="shared" si="75"/>
        <v>0</v>
      </c>
      <c r="M813" s="136">
        <f t="shared" si="76"/>
        <v>0</v>
      </c>
      <c r="O813" s="134"/>
      <c r="P813" s="259"/>
    </row>
    <row r="814" spans="1:20">
      <c r="A814" s="134">
        <v>385</v>
      </c>
      <c r="B814" s="259" t="s">
        <v>2570</v>
      </c>
      <c r="C814" s="129" t="s">
        <v>1593</v>
      </c>
      <c r="D814" s="292">
        <v>369</v>
      </c>
      <c r="E814" s="292">
        <v>0</v>
      </c>
      <c r="F814" s="139">
        <f t="shared" si="77"/>
        <v>369</v>
      </c>
      <c r="G814" s="292">
        <v>67</v>
      </c>
      <c r="H814" s="292">
        <v>0</v>
      </c>
      <c r="I814" s="139">
        <f t="shared" si="78"/>
        <v>67</v>
      </c>
      <c r="J814" s="266">
        <f t="shared" si="79"/>
        <v>0.18160000000000001</v>
      </c>
      <c r="K814" s="136">
        <f t="shared" si="74"/>
        <v>0</v>
      </c>
      <c r="L814" s="136">
        <f t="shared" si="75"/>
        <v>0</v>
      </c>
      <c r="M814" s="136">
        <f t="shared" si="76"/>
        <v>0</v>
      </c>
      <c r="O814" s="134"/>
      <c r="P814" s="259"/>
      <c r="T814" s="134"/>
    </row>
    <row r="815" spans="1:20">
      <c r="A815" s="134">
        <v>385</v>
      </c>
      <c r="B815" s="259" t="s">
        <v>2571</v>
      </c>
      <c r="C815" s="129" t="s">
        <v>1351</v>
      </c>
      <c r="D815" s="292">
        <v>412</v>
      </c>
      <c r="E815" s="292">
        <v>0</v>
      </c>
      <c r="F815" s="139">
        <f t="shared" si="77"/>
        <v>412</v>
      </c>
      <c r="G815" s="292">
        <v>116</v>
      </c>
      <c r="H815" s="292">
        <v>0</v>
      </c>
      <c r="I815" s="139">
        <f t="shared" si="78"/>
        <v>116</v>
      </c>
      <c r="J815" s="266">
        <f t="shared" si="79"/>
        <v>0.28160000000000002</v>
      </c>
      <c r="K815" s="136">
        <f t="shared" si="74"/>
        <v>0</v>
      </c>
      <c r="L815" s="136">
        <f t="shared" si="75"/>
        <v>0</v>
      </c>
      <c r="M815" s="136">
        <f t="shared" si="76"/>
        <v>0</v>
      </c>
      <c r="O815" s="134"/>
      <c r="P815" s="259"/>
    </row>
    <row r="816" spans="1:20">
      <c r="A816" s="134">
        <v>385</v>
      </c>
      <c r="B816" s="259" t="s">
        <v>2572</v>
      </c>
      <c r="C816" s="129" t="s">
        <v>2036</v>
      </c>
      <c r="D816" s="292">
        <v>365</v>
      </c>
      <c r="E816" s="292">
        <v>0</v>
      </c>
      <c r="F816" s="139">
        <f t="shared" si="77"/>
        <v>365</v>
      </c>
      <c r="G816" s="292">
        <v>91</v>
      </c>
      <c r="H816" s="292">
        <v>0</v>
      </c>
      <c r="I816" s="139">
        <f t="shared" si="78"/>
        <v>91</v>
      </c>
      <c r="J816" s="266">
        <f t="shared" si="79"/>
        <v>0.24929999999999999</v>
      </c>
      <c r="K816" s="136">
        <f t="shared" si="74"/>
        <v>0</v>
      </c>
      <c r="L816" s="136">
        <f t="shared" si="75"/>
        <v>0</v>
      </c>
      <c r="M816" s="136">
        <f t="shared" si="76"/>
        <v>0</v>
      </c>
      <c r="O816" s="134"/>
      <c r="P816" s="259"/>
    </row>
    <row r="817" spans="1:16">
      <c r="A817" s="134">
        <v>385</v>
      </c>
      <c r="B817" s="259" t="s">
        <v>2573</v>
      </c>
      <c r="C817" s="129" t="s">
        <v>2574</v>
      </c>
      <c r="D817" s="292">
        <v>603</v>
      </c>
      <c r="E817" s="292">
        <v>0</v>
      </c>
      <c r="F817" s="139">
        <f t="shared" si="77"/>
        <v>603</v>
      </c>
      <c r="G817" s="292">
        <v>124</v>
      </c>
      <c r="H817" s="292">
        <v>0</v>
      </c>
      <c r="I817" s="139">
        <f t="shared" si="78"/>
        <v>124</v>
      </c>
      <c r="J817" s="266">
        <f t="shared" si="79"/>
        <v>0.2056</v>
      </c>
      <c r="K817" s="136">
        <f t="shared" si="74"/>
        <v>0</v>
      </c>
      <c r="L817" s="136">
        <f t="shared" si="75"/>
        <v>0</v>
      </c>
      <c r="M817" s="136">
        <f t="shared" si="76"/>
        <v>0</v>
      </c>
      <c r="O817" s="134"/>
      <c r="P817" s="259"/>
    </row>
    <row r="818" spans="1:16">
      <c r="A818" s="134">
        <v>385</v>
      </c>
      <c r="B818" s="259" t="s">
        <v>2575</v>
      </c>
      <c r="C818" s="129" t="s">
        <v>2576</v>
      </c>
      <c r="D818" s="292">
        <v>846</v>
      </c>
      <c r="E818" s="292">
        <v>0</v>
      </c>
      <c r="F818" s="139">
        <f t="shared" si="77"/>
        <v>846</v>
      </c>
      <c r="G818" s="292">
        <v>143</v>
      </c>
      <c r="H818" s="292">
        <v>0</v>
      </c>
      <c r="I818" s="139">
        <f t="shared" si="78"/>
        <v>143</v>
      </c>
      <c r="J818" s="266">
        <f t="shared" si="79"/>
        <v>0.16900000000000001</v>
      </c>
      <c r="K818" s="136">
        <f t="shared" si="74"/>
        <v>0</v>
      </c>
      <c r="L818" s="136">
        <f t="shared" si="75"/>
        <v>0</v>
      </c>
      <c r="M818" s="136">
        <f t="shared" si="76"/>
        <v>0</v>
      </c>
      <c r="O818" s="134"/>
      <c r="P818" s="259"/>
    </row>
    <row r="819" spans="1:16">
      <c r="A819" s="134">
        <v>385</v>
      </c>
      <c r="B819" s="259" t="s">
        <v>2577</v>
      </c>
      <c r="C819" s="129" t="s">
        <v>2578</v>
      </c>
      <c r="D819" s="292">
        <v>434</v>
      </c>
      <c r="E819" s="292">
        <v>0</v>
      </c>
      <c r="F819" s="139">
        <f t="shared" si="77"/>
        <v>434</v>
      </c>
      <c r="G819" s="292">
        <v>29</v>
      </c>
      <c r="H819" s="292">
        <v>0</v>
      </c>
      <c r="I819" s="139">
        <f t="shared" si="78"/>
        <v>29</v>
      </c>
      <c r="J819" s="266">
        <f t="shared" si="79"/>
        <v>6.6799999999999998E-2</v>
      </c>
      <c r="K819" s="136">
        <f t="shared" si="74"/>
        <v>0</v>
      </c>
      <c r="L819" s="136">
        <f t="shared" si="75"/>
        <v>0</v>
      </c>
      <c r="M819" s="136">
        <f t="shared" si="76"/>
        <v>0</v>
      </c>
      <c r="O819" s="134"/>
      <c r="P819" s="259"/>
    </row>
    <row r="820" spans="1:16">
      <c r="A820" s="134">
        <v>385</v>
      </c>
      <c r="B820" s="259" t="s">
        <v>4047</v>
      </c>
      <c r="C820" s="129" t="s">
        <v>4048</v>
      </c>
      <c r="D820" s="292">
        <v>0</v>
      </c>
      <c r="E820" s="292">
        <v>0</v>
      </c>
      <c r="F820" s="139">
        <f t="shared" si="77"/>
        <v>0</v>
      </c>
      <c r="G820" s="292">
        <v>0</v>
      </c>
      <c r="H820" s="292">
        <v>0</v>
      </c>
      <c r="I820" s="139">
        <f t="shared" si="78"/>
        <v>0</v>
      </c>
      <c r="J820" s="266">
        <f t="shared" si="79"/>
        <v>0</v>
      </c>
      <c r="K820" s="136">
        <f t="shared" si="74"/>
        <v>0</v>
      </c>
      <c r="L820" s="136">
        <f t="shared" si="75"/>
        <v>0</v>
      </c>
      <c r="M820" s="136">
        <f t="shared" si="76"/>
        <v>0</v>
      </c>
      <c r="O820" s="134"/>
      <c r="P820" s="259"/>
    </row>
    <row r="821" spans="1:16">
      <c r="A821" s="134">
        <v>386</v>
      </c>
      <c r="B821" s="259" t="s">
        <v>2579</v>
      </c>
      <c r="C821" s="129" t="s">
        <v>2580</v>
      </c>
      <c r="D821" s="292">
        <v>118</v>
      </c>
      <c r="E821" s="292">
        <v>0</v>
      </c>
      <c r="F821" s="139">
        <f t="shared" si="77"/>
        <v>118</v>
      </c>
      <c r="G821" s="292">
        <v>48</v>
      </c>
      <c r="H821" s="292">
        <v>0</v>
      </c>
      <c r="I821" s="139">
        <f t="shared" si="78"/>
        <v>48</v>
      </c>
      <c r="J821" s="266">
        <f t="shared" si="79"/>
        <v>0.40679999999999999</v>
      </c>
      <c r="K821" s="136">
        <f t="shared" si="74"/>
        <v>1.9</v>
      </c>
      <c r="L821" s="136">
        <f t="shared" si="75"/>
        <v>0</v>
      </c>
      <c r="M821" s="136">
        <f t="shared" si="76"/>
        <v>1.9</v>
      </c>
      <c r="O821" s="134"/>
      <c r="P821" s="259"/>
    </row>
    <row r="822" spans="1:16">
      <c r="A822" s="134">
        <v>386</v>
      </c>
      <c r="B822" s="259" t="s">
        <v>2581</v>
      </c>
      <c r="C822" s="129" t="s">
        <v>2582</v>
      </c>
      <c r="D822" s="292">
        <v>97</v>
      </c>
      <c r="E822" s="292">
        <v>0</v>
      </c>
      <c r="F822" s="139">
        <f t="shared" si="77"/>
        <v>97</v>
      </c>
      <c r="G822" s="292">
        <v>33</v>
      </c>
      <c r="H822" s="292">
        <v>0</v>
      </c>
      <c r="I822" s="139">
        <f t="shared" si="78"/>
        <v>33</v>
      </c>
      <c r="J822" s="266">
        <f t="shared" si="79"/>
        <v>0.3402</v>
      </c>
      <c r="K822" s="136">
        <f t="shared" si="74"/>
        <v>0</v>
      </c>
      <c r="L822" s="136">
        <f t="shared" si="75"/>
        <v>0</v>
      </c>
      <c r="M822" s="136">
        <f t="shared" si="76"/>
        <v>0</v>
      </c>
      <c r="O822" s="134"/>
      <c r="P822" s="259"/>
    </row>
    <row r="823" spans="1:16">
      <c r="A823" s="134">
        <v>387</v>
      </c>
      <c r="B823" s="259" t="s">
        <v>2583</v>
      </c>
      <c r="C823" s="129" t="s">
        <v>2584</v>
      </c>
      <c r="D823" s="292">
        <v>66</v>
      </c>
      <c r="E823" s="292">
        <v>0</v>
      </c>
      <c r="F823" s="139">
        <f t="shared" si="77"/>
        <v>66</v>
      </c>
      <c r="G823" s="292">
        <v>47</v>
      </c>
      <c r="H823" s="292">
        <v>0</v>
      </c>
      <c r="I823" s="139">
        <f t="shared" si="78"/>
        <v>47</v>
      </c>
      <c r="J823" s="266">
        <f t="shared" si="79"/>
        <v>0.71209999999999996</v>
      </c>
      <c r="K823" s="136">
        <f t="shared" si="74"/>
        <v>0</v>
      </c>
      <c r="L823" s="136">
        <f t="shared" si="75"/>
        <v>4.9000000000000004</v>
      </c>
      <c r="M823" s="136">
        <f t="shared" si="76"/>
        <v>4.9000000000000004</v>
      </c>
      <c r="O823" s="134"/>
      <c r="P823" s="259"/>
    </row>
    <row r="824" spans="1:16">
      <c r="A824" s="134">
        <v>387</v>
      </c>
      <c r="B824" s="259" t="s">
        <v>2585</v>
      </c>
      <c r="C824" s="129" t="s">
        <v>2586</v>
      </c>
      <c r="D824" s="292">
        <v>81</v>
      </c>
      <c r="E824" s="292">
        <v>0</v>
      </c>
      <c r="F824" s="139">
        <f t="shared" si="77"/>
        <v>81</v>
      </c>
      <c r="G824" s="292">
        <v>48</v>
      </c>
      <c r="H824" s="292">
        <v>0</v>
      </c>
      <c r="I824" s="139">
        <f t="shared" si="78"/>
        <v>48</v>
      </c>
      <c r="J824" s="266">
        <f t="shared" si="79"/>
        <v>0.59260000000000002</v>
      </c>
      <c r="K824" s="136">
        <f t="shared" si="74"/>
        <v>0</v>
      </c>
      <c r="L824" s="136">
        <f t="shared" si="75"/>
        <v>5</v>
      </c>
      <c r="M824" s="136">
        <f t="shared" si="76"/>
        <v>5</v>
      </c>
      <c r="O824" s="134"/>
      <c r="P824" s="259"/>
    </row>
    <row r="825" spans="1:16">
      <c r="A825" s="134">
        <v>388</v>
      </c>
      <c r="B825" s="259" t="s">
        <v>2587</v>
      </c>
      <c r="C825" s="129" t="s">
        <v>1433</v>
      </c>
      <c r="D825" s="292">
        <v>223</v>
      </c>
      <c r="E825" s="292">
        <v>0</v>
      </c>
      <c r="F825" s="139">
        <f t="shared" si="77"/>
        <v>223</v>
      </c>
      <c r="G825" s="292">
        <v>60</v>
      </c>
      <c r="H825" s="292">
        <v>0</v>
      </c>
      <c r="I825" s="139">
        <f t="shared" si="78"/>
        <v>60</v>
      </c>
      <c r="J825" s="266">
        <f t="shared" si="79"/>
        <v>0.26910000000000001</v>
      </c>
      <c r="K825" s="136">
        <f t="shared" si="74"/>
        <v>0</v>
      </c>
      <c r="L825" s="136">
        <f t="shared" si="75"/>
        <v>0</v>
      </c>
      <c r="M825" s="136">
        <f t="shared" si="76"/>
        <v>0</v>
      </c>
      <c r="O825" s="134"/>
      <c r="P825" s="259"/>
    </row>
    <row r="826" spans="1:16">
      <c r="A826" s="134">
        <v>388</v>
      </c>
      <c r="B826" s="259" t="s">
        <v>2588</v>
      </c>
      <c r="C826" s="129" t="s">
        <v>2589</v>
      </c>
      <c r="D826" s="292">
        <v>161</v>
      </c>
      <c r="E826" s="292">
        <v>0</v>
      </c>
      <c r="F826" s="139">
        <f t="shared" si="77"/>
        <v>161</v>
      </c>
      <c r="G826" s="292">
        <v>35</v>
      </c>
      <c r="H826" s="292">
        <v>0</v>
      </c>
      <c r="I826" s="139">
        <f t="shared" si="78"/>
        <v>35</v>
      </c>
      <c r="J826" s="266">
        <f t="shared" si="79"/>
        <v>0.21740000000000001</v>
      </c>
      <c r="K826" s="136">
        <f t="shared" si="74"/>
        <v>0</v>
      </c>
      <c r="L826" s="136">
        <f t="shared" si="75"/>
        <v>0</v>
      </c>
      <c r="M826" s="136">
        <f t="shared" si="76"/>
        <v>0</v>
      </c>
      <c r="O826" s="134"/>
      <c r="P826" s="259"/>
    </row>
    <row r="827" spans="1:16">
      <c r="A827" s="134">
        <v>389</v>
      </c>
      <c r="B827" s="259" t="s">
        <v>2590</v>
      </c>
      <c r="C827" s="129" t="s">
        <v>2591</v>
      </c>
      <c r="D827" s="292">
        <v>239</v>
      </c>
      <c r="E827" s="292">
        <v>0</v>
      </c>
      <c r="F827" s="139">
        <f t="shared" si="77"/>
        <v>239</v>
      </c>
      <c r="G827" s="292">
        <v>130</v>
      </c>
      <c r="H827" s="292">
        <v>0</v>
      </c>
      <c r="I827" s="139">
        <f t="shared" si="78"/>
        <v>130</v>
      </c>
      <c r="J827" s="266">
        <f t="shared" si="79"/>
        <v>0.54390000000000005</v>
      </c>
      <c r="K827" s="136">
        <f t="shared" si="74"/>
        <v>0</v>
      </c>
      <c r="L827" s="136">
        <f t="shared" si="75"/>
        <v>13.7</v>
      </c>
      <c r="M827" s="136">
        <f t="shared" si="76"/>
        <v>13.7</v>
      </c>
      <c r="O827" s="134"/>
      <c r="P827" s="259"/>
    </row>
    <row r="828" spans="1:16">
      <c r="A828" s="134">
        <v>389</v>
      </c>
      <c r="B828" s="259" t="s">
        <v>2592</v>
      </c>
      <c r="C828" s="129" t="s">
        <v>2593</v>
      </c>
      <c r="D828" s="292">
        <v>313</v>
      </c>
      <c r="E828" s="292">
        <v>0</v>
      </c>
      <c r="F828" s="139">
        <f t="shared" si="77"/>
        <v>313</v>
      </c>
      <c r="G828" s="292">
        <v>206</v>
      </c>
      <c r="H828" s="292">
        <v>0</v>
      </c>
      <c r="I828" s="139">
        <f t="shared" si="78"/>
        <v>206</v>
      </c>
      <c r="J828" s="266">
        <f t="shared" si="79"/>
        <v>0.65810000000000002</v>
      </c>
      <c r="K828" s="136">
        <f t="shared" si="74"/>
        <v>0</v>
      </c>
      <c r="L828" s="136">
        <f t="shared" si="75"/>
        <v>21.6</v>
      </c>
      <c r="M828" s="136">
        <f t="shared" si="76"/>
        <v>21.6</v>
      </c>
      <c r="O828" s="134"/>
      <c r="P828" s="259"/>
    </row>
    <row r="829" spans="1:16">
      <c r="A829" s="134">
        <v>390</v>
      </c>
      <c r="B829" s="259" t="s">
        <v>2594</v>
      </c>
      <c r="C829" s="129" t="s">
        <v>2595</v>
      </c>
      <c r="D829" s="292">
        <v>48</v>
      </c>
      <c r="E829" s="292">
        <v>0</v>
      </c>
      <c r="F829" s="139">
        <f t="shared" si="77"/>
        <v>48</v>
      </c>
      <c r="G829" s="292">
        <v>30</v>
      </c>
      <c r="H829" s="292">
        <v>0</v>
      </c>
      <c r="I829" s="139">
        <f t="shared" si="78"/>
        <v>30</v>
      </c>
      <c r="J829" s="266">
        <f t="shared" si="79"/>
        <v>0.625</v>
      </c>
      <c r="K829" s="136">
        <f t="shared" si="74"/>
        <v>0</v>
      </c>
      <c r="L829" s="136">
        <f t="shared" si="75"/>
        <v>3.2</v>
      </c>
      <c r="M829" s="136">
        <f t="shared" si="76"/>
        <v>3.2</v>
      </c>
      <c r="O829" s="134"/>
      <c r="P829" s="259"/>
    </row>
    <row r="830" spans="1:16">
      <c r="A830" s="134">
        <v>390</v>
      </c>
      <c r="B830" s="259" t="s">
        <v>2596</v>
      </c>
      <c r="C830" s="129" t="s">
        <v>2597</v>
      </c>
      <c r="D830" s="292">
        <v>40</v>
      </c>
      <c r="E830" s="292">
        <v>0</v>
      </c>
      <c r="F830" s="139">
        <f t="shared" si="77"/>
        <v>40</v>
      </c>
      <c r="G830" s="292">
        <v>20</v>
      </c>
      <c r="H830" s="292">
        <v>0</v>
      </c>
      <c r="I830" s="139">
        <f t="shared" si="78"/>
        <v>20</v>
      </c>
      <c r="J830" s="266">
        <f t="shared" si="79"/>
        <v>0.5</v>
      </c>
      <c r="K830" s="136">
        <f t="shared" si="74"/>
        <v>0</v>
      </c>
      <c r="L830" s="136">
        <f t="shared" si="75"/>
        <v>2.1</v>
      </c>
      <c r="M830" s="136">
        <f t="shared" si="76"/>
        <v>2.1</v>
      </c>
      <c r="O830" s="134"/>
      <c r="P830" s="259"/>
    </row>
    <row r="831" spans="1:16">
      <c r="A831" s="134">
        <v>392</v>
      </c>
      <c r="B831" s="259" t="s">
        <v>2598</v>
      </c>
      <c r="C831" s="129" t="s">
        <v>2599</v>
      </c>
      <c r="D831" s="292">
        <v>189</v>
      </c>
      <c r="E831" s="292">
        <v>0</v>
      </c>
      <c r="F831" s="139">
        <f t="shared" si="77"/>
        <v>189</v>
      </c>
      <c r="G831" s="292">
        <v>79</v>
      </c>
      <c r="H831" s="292">
        <v>0</v>
      </c>
      <c r="I831" s="139">
        <f t="shared" si="78"/>
        <v>79</v>
      </c>
      <c r="J831" s="266">
        <f t="shared" si="79"/>
        <v>0.41799999999999998</v>
      </c>
      <c r="K831" s="136">
        <f t="shared" si="74"/>
        <v>3.8</v>
      </c>
      <c r="L831" s="136">
        <f t="shared" si="75"/>
        <v>0</v>
      </c>
      <c r="M831" s="136">
        <f t="shared" si="76"/>
        <v>3.8</v>
      </c>
      <c r="O831" s="134"/>
      <c r="P831" s="259"/>
    </row>
    <row r="832" spans="1:16">
      <c r="A832" s="134">
        <v>392</v>
      </c>
      <c r="B832" s="259" t="s">
        <v>2600</v>
      </c>
      <c r="C832" s="129" t="s">
        <v>2601</v>
      </c>
      <c r="D832" s="292">
        <v>148</v>
      </c>
      <c r="E832" s="292">
        <v>0</v>
      </c>
      <c r="F832" s="139">
        <f t="shared" si="77"/>
        <v>148</v>
      </c>
      <c r="G832" s="292">
        <v>47</v>
      </c>
      <c r="H832" s="292">
        <v>0</v>
      </c>
      <c r="I832" s="139">
        <f t="shared" si="78"/>
        <v>47</v>
      </c>
      <c r="J832" s="266">
        <f t="shared" si="79"/>
        <v>0.31759999999999999</v>
      </c>
      <c r="K832" s="136">
        <f t="shared" si="74"/>
        <v>0</v>
      </c>
      <c r="L832" s="136">
        <f t="shared" si="75"/>
        <v>0</v>
      </c>
      <c r="M832" s="136">
        <f t="shared" si="76"/>
        <v>0</v>
      </c>
      <c r="O832" s="134"/>
      <c r="P832" s="259"/>
    </row>
    <row r="833" spans="1:16">
      <c r="A833" s="134">
        <v>393</v>
      </c>
      <c r="B833" s="259" t="s">
        <v>2602</v>
      </c>
      <c r="C833" s="129" t="s">
        <v>2603</v>
      </c>
      <c r="D833" s="292">
        <v>255</v>
      </c>
      <c r="E833" s="292">
        <v>0</v>
      </c>
      <c r="F833" s="139">
        <f t="shared" si="77"/>
        <v>255</v>
      </c>
      <c r="G833" s="292">
        <v>129</v>
      </c>
      <c r="H833" s="292">
        <v>0</v>
      </c>
      <c r="I833" s="139">
        <f t="shared" si="78"/>
        <v>129</v>
      </c>
      <c r="J833" s="266">
        <f t="shared" si="79"/>
        <v>0.50590000000000002</v>
      </c>
      <c r="K833" s="136">
        <f t="shared" si="74"/>
        <v>0</v>
      </c>
      <c r="L833" s="136">
        <f t="shared" si="75"/>
        <v>13.5</v>
      </c>
      <c r="M833" s="136">
        <f t="shared" si="76"/>
        <v>13.5</v>
      </c>
      <c r="O833" s="134"/>
      <c r="P833" s="259"/>
    </row>
    <row r="834" spans="1:16">
      <c r="A834" s="134">
        <v>393</v>
      </c>
      <c r="B834" s="259" t="s">
        <v>2604</v>
      </c>
      <c r="C834" s="129" t="s">
        <v>2605</v>
      </c>
      <c r="D834" s="292">
        <v>113</v>
      </c>
      <c r="E834" s="292">
        <v>0</v>
      </c>
      <c r="F834" s="139">
        <f t="shared" si="77"/>
        <v>113</v>
      </c>
      <c r="G834" s="292">
        <v>52</v>
      </c>
      <c r="H834" s="292">
        <v>0</v>
      </c>
      <c r="I834" s="139">
        <f t="shared" si="78"/>
        <v>52</v>
      </c>
      <c r="J834" s="266">
        <f t="shared" si="79"/>
        <v>0.4602</v>
      </c>
      <c r="K834" s="136">
        <f t="shared" si="74"/>
        <v>4</v>
      </c>
      <c r="L834" s="136">
        <f t="shared" si="75"/>
        <v>0</v>
      </c>
      <c r="M834" s="136">
        <f t="shared" si="76"/>
        <v>4</v>
      </c>
      <c r="O834" s="134"/>
      <c r="P834" s="259"/>
    </row>
    <row r="835" spans="1:16">
      <c r="A835" s="134">
        <v>394</v>
      </c>
      <c r="B835" s="259" t="s">
        <v>2606</v>
      </c>
      <c r="C835" s="129" t="s">
        <v>2607</v>
      </c>
      <c r="D835" s="292">
        <v>423</v>
      </c>
      <c r="E835" s="292">
        <v>0</v>
      </c>
      <c r="F835" s="139">
        <f t="shared" si="77"/>
        <v>423</v>
      </c>
      <c r="G835" s="292">
        <v>118</v>
      </c>
      <c r="H835" s="292">
        <v>0</v>
      </c>
      <c r="I835" s="139">
        <f t="shared" si="78"/>
        <v>118</v>
      </c>
      <c r="J835" s="266">
        <f t="shared" si="79"/>
        <v>0.27900000000000003</v>
      </c>
      <c r="K835" s="136">
        <f t="shared" si="74"/>
        <v>0</v>
      </c>
      <c r="L835" s="136">
        <f t="shared" si="75"/>
        <v>0</v>
      </c>
      <c r="M835" s="136">
        <f t="shared" si="76"/>
        <v>0</v>
      </c>
      <c r="O835" s="134"/>
      <c r="P835" s="259"/>
    </row>
    <row r="836" spans="1:16">
      <c r="A836" s="134">
        <v>394</v>
      </c>
      <c r="B836" s="259" t="s">
        <v>2608</v>
      </c>
      <c r="C836" s="129" t="s">
        <v>2609</v>
      </c>
      <c r="D836" s="292">
        <v>328</v>
      </c>
      <c r="E836" s="292">
        <v>0</v>
      </c>
      <c r="F836" s="139">
        <f t="shared" si="77"/>
        <v>328</v>
      </c>
      <c r="G836" s="292">
        <v>101</v>
      </c>
      <c r="H836" s="292">
        <v>0</v>
      </c>
      <c r="I836" s="139">
        <f t="shared" si="78"/>
        <v>101</v>
      </c>
      <c r="J836" s="266">
        <f t="shared" si="79"/>
        <v>0.30790000000000001</v>
      </c>
      <c r="K836" s="136">
        <f t="shared" si="74"/>
        <v>0</v>
      </c>
      <c r="L836" s="136">
        <f t="shared" si="75"/>
        <v>0</v>
      </c>
      <c r="M836" s="136">
        <f t="shared" si="76"/>
        <v>0</v>
      </c>
      <c r="O836" s="134"/>
      <c r="P836" s="259"/>
    </row>
    <row r="837" spans="1:16">
      <c r="A837" s="134">
        <v>394</v>
      </c>
      <c r="B837" s="259" t="s">
        <v>2610</v>
      </c>
      <c r="C837" s="129" t="s">
        <v>2611</v>
      </c>
      <c r="D837" s="292">
        <v>555</v>
      </c>
      <c r="E837" s="292">
        <v>0</v>
      </c>
      <c r="F837" s="139">
        <f t="shared" si="77"/>
        <v>555</v>
      </c>
      <c r="G837" s="292">
        <v>141</v>
      </c>
      <c r="H837" s="292">
        <v>0</v>
      </c>
      <c r="I837" s="139">
        <f t="shared" si="78"/>
        <v>141</v>
      </c>
      <c r="J837" s="266">
        <f t="shared" si="79"/>
        <v>0.25409999999999999</v>
      </c>
      <c r="K837" s="136">
        <f t="shared" ref="K837:K900" si="80">IF(AND((J837-35%)&gt;0,J837&lt;50%),I837*(J837-35%)*0.7,0)</f>
        <v>0</v>
      </c>
      <c r="L837" s="136">
        <f t="shared" ref="L837:L900" si="81">IF(J837&gt;=50%,I837*10.5%,0)</f>
        <v>0</v>
      </c>
      <c r="M837" s="136">
        <f t="shared" ref="M837:M900" si="82">MAX(K837,L837)</f>
        <v>0</v>
      </c>
      <c r="O837" s="134"/>
      <c r="P837" s="259"/>
    </row>
    <row r="838" spans="1:16">
      <c r="A838" s="134">
        <v>394</v>
      </c>
      <c r="B838" s="259" t="s">
        <v>2612</v>
      </c>
      <c r="C838" s="129" t="s">
        <v>2613</v>
      </c>
      <c r="D838" s="292">
        <v>328</v>
      </c>
      <c r="E838" s="292">
        <v>0</v>
      </c>
      <c r="F838" s="139">
        <f t="shared" ref="F838:F901" si="83">D838+E838</f>
        <v>328</v>
      </c>
      <c r="G838" s="292">
        <v>91</v>
      </c>
      <c r="H838" s="292">
        <v>0</v>
      </c>
      <c r="I838" s="139">
        <f t="shared" ref="I838:I901" si="84">G838+H838</f>
        <v>91</v>
      </c>
      <c r="J838" s="266">
        <f t="shared" ref="J838:J901" si="85">IF(ISERROR(I838/F838),0,I838/F838)</f>
        <v>0.27739999999999998</v>
      </c>
      <c r="K838" s="136">
        <f t="shared" si="80"/>
        <v>0</v>
      </c>
      <c r="L838" s="136">
        <f t="shared" si="81"/>
        <v>0</v>
      </c>
      <c r="M838" s="136">
        <f t="shared" si="82"/>
        <v>0</v>
      </c>
      <c r="O838" s="134"/>
      <c r="P838" s="259"/>
    </row>
    <row r="839" spans="1:16">
      <c r="A839" s="134">
        <v>395</v>
      </c>
      <c r="B839" s="259" t="s">
        <v>2614</v>
      </c>
      <c r="C839" s="129" t="s">
        <v>2615</v>
      </c>
      <c r="D839" s="292">
        <v>135</v>
      </c>
      <c r="E839" s="292">
        <v>0</v>
      </c>
      <c r="F839" s="139">
        <f t="shared" si="83"/>
        <v>135</v>
      </c>
      <c r="G839" s="292">
        <v>51</v>
      </c>
      <c r="H839" s="292">
        <v>0</v>
      </c>
      <c r="I839" s="139">
        <f t="shared" si="84"/>
        <v>51</v>
      </c>
      <c r="J839" s="266">
        <f t="shared" si="85"/>
        <v>0.37780000000000002</v>
      </c>
      <c r="K839" s="136">
        <f t="shared" si="80"/>
        <v>1</v>
      </c>
      <c r="L839" s="136">
        <f t="shared" si="81"/>
        <v>0</v>
      </c>
      <c r="M839" s="136">
        <f t="shared" si="82"/>
        <v>1</v>
      </c>
      <c r="O839" s="134"/>
      <c r="P839" s="259"/>
    </row>
    <row r="840" spans="1:16">
      <c r="A840" s="134">
        <v>395</v>
      </c>
      <c r="B840" s="259" t="s">
        <v>2616</v>
      </c>
      <c r="C840" s="129" t="s">
        <v>2617</v>
      </c>
      <c r="D840" s="292">
        <v>102</v>
      </c>
      <c r="E840" s="292">
        <v>0</v>
      </c>
      <c r="F840" s="139">
        <f t="shared" si="83"/>
        <v>102</v>
      </c>
      <c r="G840" s="292">
        <v>48</v>
      </c>
      <c r="H840" s="292">
        <v>0</v>
      </c>
      <c r="I840" s="139">
        <f t="shared" si="84"/>
        <v>48</v>
      </c>
      <c r="J840" s="266">
        <f t="shared" si="85"/>
        <v>0.47060000000000002</v>
      </c>
      <c r="K840" s="136">
        <f t="shared" si="80"/>
        <v>4.0999999999999996</v>
      </c>
      <c r="L840" s="136">
        <f t="shared" si="81"/>
        <v>0</v>
      </c>
      <c r="M840" s="136">
        <f t="shared" si="82"/>
        <v>4.0999999999999996</v>
      </c>
      <c r="O840" s="134"/>
      <c r="P840" s="259"/>
    </row>
    <row r="841" spans="1:16">
      <c r="A841" s="134">
        <v>395</v>
      </c>
      <c r="B841" s="259" t="s">
        <v>2618</v>
      </c>
      <c r="C841" s="129" t="s">
        <v>2619</v>
      </c>
      <c r="D841" s="292">
        <v>45</v>
      </c>
      <c r="E841" s="292">
        <v>0</v>
      </c>
      <c r="F841" s="139">
        <f t="shared" si="83"/>
        <v>45</v>
      </c>
      <c r="G841" s="292">
        <v>19</v>
      </c>
      <c r="H841" s="292">
        <v>0</v>
      </c>
      <c r="I841" s="139">
        <f t="shared" si="84"/>
        <v>19</v>
      </c>
      <c r="J841" s="266">
        <f t="shared" si="85"/>
        <v>0.42220000000000002</v>
      </c>
      <c r="K841" s="136">
        <f t="shared" si="80"/>
        <v>1</v>
      </c>
      <c r="L841" s="136">
        <f t="shared" si="81"/>
        <v>0</v>
      </c>
      <c r="M841" s="136">
        <f t="shared" si="82"/>
        <v>1</v>
      </c>
      <c r="O841" s="134"/>
      <c r="P841" s="259"/>
    </row>
    <row r="842" spans="1:16">
      <c r="A842" s="134">
        <v>396</v>
      </c>
      <c r="B842" s="259" t="s">
        <v>2620</v>
      </c>
      <c r="C842" s="129" t="s">
        <v>2621</v>
      </c>
      <c r="D842" s="292">
        <v>261</v>
      </c>
      <c r="E842" s="292">
        <v>0</v>
      </c>
      <c r="F842" s="139">
        <f t="shared" si="83"/>
        <v>261</v>
      </c>
      <c r="G842" s="292">
        <v>107</v>
      </c>
      <c r="H842" s="292">
        <v>0</v>
      </c>
      <c r="I842" s="139">
        <f t="shared" si="84"/>
        <v>107</v>
      </c>
      <c r="J842" s="266">
        <f t="shared" si="85"/>
        <v>0.41</v>
      </c>
      <c r="K842" s="136">
        <f t="shared" si="80"/>
        <v>4.5</v>
      </c>
      <c r="L842" s="136">
        <f t="shared" si="81"/>
        <v>0</v>
      </c>
      <c r="M842" s="136">
        <f t="shared" si="82"/>
        <v>4.5</v>
      </c>
      <c r="O842" s="134"/>
      <c r="P842" s="259"/>
    </row>
    <row r="843" spans="1:16">
      <c r="A843" s="134">
        <v>396</v>
      </c>
      <c r="B843" s="259" t="s">
        <v>2622</v>
      </c>
      <c r="C843" s="129" t="s">
        <v>2623</v>
      </c>
      <c r="D843" s="292">
        <v>133</v>
      </c>
      <c r="E843" s="292">
        <v>0</v>
      </c>
      <c r="F843" s="139">
        <f t="shared" si="83"/>
        <v>133</v>
      </c>
      <c r="G843" s="292">
        <v>56</v>
      </c>
      <c r="H843" s="292">
        <v>0</v>
      </c>
      <c r="I843" s="139">
        <f t="shared" si="84"/>
        <v>56</v>
      </c>
      <c r="J843" s="266">
        <f t="shared" si="85"/>
        <v>0.42109999999999997</v>
      </c>
      <c r="K843" s="136">
        <f t="shared" si="80"/>
        <v>2.8</v>
      </c>
      <c r="L843" s="136">
        <f t="shared" si="81"/>
        <v>0</v>
      </c>
      <c r="M843" s="136">
        <f t="shared" si="82"/>
        <v>2.8</v>
      </c>
      <c r="O843" s="134"/>
      <c r="P843" s="259"/>
    </row>
    <row r="844" spans="1:16">
      <c r="A844" s="134">
        <v>396</v>
      </c>
      <c r="B844" s="259" t="s">
        <v>2624</v>
      </c>
      <c r="C844" s="129" t="s">
        <v>2625</v>
      </c>
      <c r="D844" s="292">
        <v>209</v>
      </c>
      <c r="E844" s="292">
        <v>0</v>
      </c>
      <c r="F844" s="139">
        <f t="shared" si="83"/>
        <v>209</v>
      </c>
      <c r="G844" s="292">
        <v>65</v>
      </c>
      <c r="H844" s="292">
        <v>0</v>
      </c>
      <c r="I844" s="139">
        <f t="shared" si="84"/>
        <v>65</v>
      </c>
      <c r="J844" s="266">
        <f t="shared" si="85"/>
        <v>0.311</v>
      </c>
      <c r="K844" s="136">
        <f t="shared" si="80"/>
        <v>0</v>
      </c>
      <c r="L844" s="136">
        <f t="shared" si="81"/>
        <v>0</v>
      </c>
      <c r="M844" s="136">
        <f t="shared" si="82"/>
        <v>0</v>
      </c>
      <c r="O844" s="134"/>
      <c r="P844" s="259"/>
    </row>
    <row r="845" spans="1:16">
      <c r="A845" s="134">
        <v>397</v>
      </c>
      <c r="B845" s="259" t="s">
        <v>2626</v>
      </c>
      <c r="C845" s="129" t="s">
        <v>2627</v>
      </c>
      <c r="D845" s="292">
        <v>189</v>
      </c>
      <c r="E845" s="292">
        <v>0</v>
      </c>
      <c r="F845" s="139">
        <f t="shared" si="83"/>
        <v>189</v>
      </c>
      <c r="G845" s="292">
        <v>74</v>
      </c>
      <c r="H845" s="292">
        <v>0</v>
      </c>
      <c r="I845" s="139">
        <f t="shared" si="84"/>
        <v>74</v>
      </c>
      <c r="J845" s="266">
        <f t="shared" si="85"/>
        <v>0.39150000000000001</v>
      </c>
      <c r="K845" s="136">
        <f t="shared" si="80"/>
        <v>2.1</v>
      </c>
      <c r="L845" s="136">
        <f t="shared" si="81"/>
        <v>0</v>
      </c>
      <c r="M845" s="136">
        <f t="shared" si="82"/>
        <v>2.1</v>
      </c>
      <c r="O845" s="134"/>
      <c r="P845" s="259"/>
    </row>
    <row r="846" spans="1:16">
      <c r="A846" s="134">
        <v>397</v>
      </c>
      <c r="B846" s="259" t="s">
        <v>4049</v>
      </c>
      <c r="C846" s="129" t="s">
        <v>4050</v>
      </c>
      <c r="D846" s="292">
        <v>0</v>
      </c>
      <c r="E846" s="292">
        <v>0</v>
      </c>
      <c r="F846" s="139">
        <f t="shared" si="83"/>
        <v>0</v>
      </c>
      <c r="G846" s="292">
        <v>0</v>
      </c>
      <c r="H846" s="292">
        <v>0</v>
      </c>
      <c r="I846" s="139">
        <f t="shared" si="84"/>
        <v>0</v>
      </c>
      <c r="J846" s="266">
        <f t="shared" si="85"/>
        <v>0</v>
      </c>
      <c r="K846" s="136">
        <f t="shared" si="80"/>
        <v>0</v>
      </c>
      <c r="L846" s="136">
        <f t="shared" si="81"/>
        <v>0</v>
      </c>
      <c r="M846" s="136">
        <f t="shared" si="82"/>
        <v>0</v>
      </c>
      <c r="O846" s="134"/>
      <c r="P846" s="259"/>
    </row>
    <row r="847" spans="1:16">
      <c r="A847" s="134">
        <v>398</v>
      </c>
      <c r="B847" s="259" t="s">
        <v>2628</v>
      </c>
      <c r="C847" s="129" t="s">
        <v>2629</v>
      </c>
      <c r="D847" s="292">
        <v>102</v>
      </c>
      <c r="E847" s="292">
        <v>0</v>
      </c>
      <c r="F847" s="139">
        <f t="shared" si="83"/>
        <v>102</v>
      </c>
      <c r="G847" s="292">
        <v>68</v>
      </c>
      <c r="H847" s="292">
        <v>0</v>
      </c>
      <c r="I847" s="139">
        <f t="shared" si="84"/>
        <v>68</v>
      </c>
      <c r="J847" s="266">
        <f t="shared" si="85"/>
        <v>0.66669999999999996</v>
      </c>
      <c r="K847" s="136">
        <f t="shared" si="80"/>
        <v>0</v>
      </c>
      <c r="L847" s="136">
        <f t="shared" si="81"/>
        <v>7.1</v>
      </c>
      <c r="M847" s="136">
        <f t="shared" si="82"/>
        <v>7.1</v>
      </c>
      <c r="O847" s="134"/>
      <c r="P847" s="259"/>
    </row>
    <row r="848" spans="1:16">
      <c r="A848" s="134">
        <v>398</v>
      </c>
      <c r="B848" s="259" t="s">
        <v>2630</v>
      </c>
      <c r="C848" s="129" t="s">
        <v>2631</v>
      </c>
      <c r="D848" s="292">
        <v>98</v>
      </c>
      <c r="E848" s="292">
        <v>0</v>
      </c>
      <c r="F848" s="139">
        <f t="shared" si="83"/>
        <v>98</v>
      </c>
      <c r="G848" s="292">
        <v>41</v>
      </c>
      <c r="H848" s="292">
        <v>0</v>
      </c>
      <c r="I848" s="139">
        <f t="shared" si="84"/>
        <v>41</v>
      </c>
      <c r="J848" s="266">
        <f t="shared" si="85"/>
        <v>0.41839999999999999</v>
      </c>
      <c r="K848" s="136">
        <f t="shared" si="80"/>
        <v>2</v>
      </c>
      <c r="L848" s="136">
        <f t="shared" si="81"/>
        <v>0</v>
      </c>
      <c r="M848" s="136">
        <f t="shared" si="82"/>
        <v>2</v>
      </c>
      <c r="O848" s="134"/>
      <c r="P848" s="259"/>
    </row>
    <row r="849" spans="1:16">
      <c r="A849" s="134">
        <v>399</v>
      </c>
      <c r="B849" s="259" t="s">
        <v>2632</v>
      </c>
      <c r="C849" s="129" t="s">
        <v>2633</v>
      </c>
      <c r="D849" s="292">
        <v>52</v>
      </c>
      <c r="E849" s="292">
        <v>0</v>
      </c>
      <c r="F849" s="139">
        <f t="shared" si="83"/>
        <v>52</v>
      </c>
      <c r="G849" s="292">
        <v>22</v>
      </c>
      <c r="H849" s="292">
        <v>0</v>
      </c>
      <c r="I849" s="139">
        <f t="shared" si="84"/>
        <v>22</v>
      </c>
      <c r="J849" s="266">
        <f t="shared" si="85"/>
        <v>0.42309999999999998</v>
      </c>
      <c r="K849" s="136">
        <f t="shared" si="80"/>
        <v>1.1000000000000001</v>
      </c>
      <c r="L849" s="136">
        <f t="shared" si="81"/>
        <v>0</v>
      </c>
      <c r="M849" s="136">
        <f t="shared" si="82"/>
        <v>1.1000000000000001</v>
      </c>
      <c r="O849" s="134"/>
      <c r="P849" s="259"/>
    </row>
    <row r="850" spans="1:16">
      <c r="A850" s="134">
        <v>399</v>
      </c>
      <c r="B850" s="259" t="s">
        <v>2634</v>
      </c>
      <c r="C850" s="129" t="s">
        <v>2635</v>
      </c>
      <c r="D850" s="292">
        <v>41</v>
      </c>
      <c r="E850" s="292">
        <v>0</v>
      </c>
      <c r="F850" s="139">
        <f t="shared" si="83"/>
        <v>41</v>
      </c>
      <c r="G850" s="292">
        <v>17</v>
      </c>
      <c r="H850" s="292">
        <v>0</v>
      </c>
      <c r="I850" s="139">
        <f t="shared" si="84"/>
        <v>17</v>
      </c>
      <c r="J850" s="266">
        <f t="shared" si="85"/>
        <v>0.41460000000000002</v>
      </c>
      <c r="K850" s="136">
        <f t="shared" si="80"/>
        <v>0.8</v>
      </c>
      <c r="L850" s="136">
        <f t="shared" si="81"/>
        <v>0</v>
      </c>
      <c r="M850" s="136">
        <f t="shared" si="82"/>
        <v>0.8</v>
      </c>
      <c r="O850" s="134"/>
      <c r="P850" s="259"/>
    </row>
    <row r="851" spans="1:16">
      <c r="A851" s="134">
        <v>400</v>
      </c>
      <c r="B851" s="259" t="s">
        <v>4051</v>
      </c>
      <c r="C851" s="129" t="s">
        <v>4052</v>
      </c>
      <c r="D851" s="292">
        <v>0</v>
      </c>
      <c r="E851" s="292">
        <v>0</v>
      </c>
      <c r="F851" s="139">
        <f t="shared" si="83"/>
        <v>0</v>
      </c>
      <c r="G851" s="292">
        <v>0</v>
      </c>
      <c r="H851" s="292">
        <v>0</v>
      </c>
      <c r="I851" s="139">
        <f t="shared" si="84"/>
        <v>0</v>
      </c>
      <c r="J851" s="266">
        <f t="shared" si="85"/>
        <v>0</v>
      </c>
      <c r="K851" s="136">
        <f t="shared" si="80"/>
        <v>0</v>
      </c>
      <c r="L851" s="136">
        <f t="shared" si="81"/>
        <v>0</v>
      </c>
      <c r="M851" s="136">
        <f t="shared" si="82"/>
        <v>0</v>
      </c>
      <c r="O851" s="134"/>
      <c r="P851" s="259"/>
    </row>
    <row r="852" spans="1:16">
      <c r="A852" s="134">
        <v>400</v>
      </c>
      <c r="B852" s="259" t="s">
        <v>2636</v>
      </c>
      <c r="C852" s="129" t="s">
        <v>2637</v>
      </c>
      <c r="D852" s="292">
        <v>294</v>
      </c>
      <c r="E852" s="292">
        <v>0</v>
      </c>
      <c r="F852" s="139">
        <f t="shared" si="83"/>
        <v>294</v>
      </c>
      <c r="G852" s="292">
        <v>96</v>
      </c>
      <c r="H852" s="292">
        <v>0</v>
      </c>
      <c r="I852" s="139">
        <f t="shared" si="84"/>
        <v>96</v>
      </c>
      <c r="J852" s="266">
        <f t="shared" si="85"/>
        <v>0.32650000000000001</v>
      </c>
      <c r="K852" s="136">
        <f t="shared" si="80"/>
        <v>0</v>
      </c>
      <c r="L852" s="136">
        <f t="shared" si="81"/>
        <v>0</v>
      </c>
      <c r="M852" s="136">
        <f t="shared" si="82"/>
        <v>0</v>
      </c>
      <c r="O852" s="134"/>
      <c r="P852" s="259"/>
    </row>
    <row r="853" spans="1:16">
      <c r="A853" s="134">
        <v>400</v>
      </c>
      <c r="B853" s="259" t="s">
        <v>2638</v>
      </c>
      <c r="C853" s="129" t="s">
        <v>2639</v>
      </c>
      <c r="D853" s="292">
        <v>254</v>
      </c>
      <c r="E853" s="292">
        <v>0</v>
      </c>
      <c r="F853" s="139">
        <f t="shared" si="83"/>
        <v>254</v>
      </c>
      <c r="G853" s="292">
        <v>75</v>
      </c>
      <c r="H853" s="292">
        <v>0</v>
      </c>
      <c r="I853" s="139">
        <f t="shared" si="84"/>
        <v>75</v>
      </c>
      <c r="J853" s="266">
        <f t="shared" si="85"/>
        <v>0.29530000000000001</v>
      </c>
      <c r="K853" s="136">
        <f t="shared" si="80"/>
        <v>0</v>
      </c>
      <c r="L853" s="136">
        <f t="shared" si="81"/>
        <v>0</v>
      </c>
      <c r="M853" s="136">
        <f t="shared" si="82"/>
        <v>0</v>
      </c>
      <c r="O853" s="134"/>
      <c r="P853" s="259"/>
    </row>
    <row r="854" spans="1:16">
      <c r="A854" s="134">
        <v>400</v>
      </c>
      <c r="B854" s="259" t="s">
        <v>2640</v>
      </c>
      <c r="C854" s="129" t="s">
        <v>2641</v>
      </c>
      <c r="D854" s="292">
        <v>252</v>
      </c>
      <c r="E854" s="292">
        <v>0</v>
      </c>
      <c r="F854" s="139">
        <f t="shared" si="83"/>
        <v>252</v>
      </c>
      <c r="G854" s="292">
        <v>61</v>
      </c>
      <c r="H854" s="292">
        <v>0</v>
      </c>
      <c r="I854" s="139">
        <f t="shared" si="84"/>
        <v>61</v>
      </c>
      <c r="J854" s="266">
        <f t="shared" si="85"/>
        <v>0.24210000000000001</v>
      </c>
      <c r="K854" s="136">
        <f t="shared" si="80"/>
        <v>0</v>
      </c>
      <c r="L854" s="136">
        <f t="shared" si="81"/>
        <v>0</v>
      </c>
      <c r="M854" s="136">
        <f t="shared" si="82"/>
        <v>0</v>
      </c>
      <c r="O854" s="134"/>
      <c r="P854" s="259"/>
    </row>
    <row r="855" spans="1:16">
      <c r="A855" s="134">
        <v>401</v>
      </c>
      <c r="B855" s="259" t="s">
        <v>2642</v>
      </c>
      <c r="C855" s="129" t="s">
        <v>2643</v>
      </c>
      <c r="D855" s="292">
        <v>77</v>
      </c>
      <c r="E855" s="292">
        <v>0</v>
      </c>
      <c r="F855" s="139">
        <f t="shared" si="83"/>
        <v>77</v>
      </c>
      <c r="G855" s="292">
        <v>58</v>
      </c>
      <c r="H855" s="292">
        <v>0</v>
      </c>
      <c r="I855" s="139">
        <f t="shared" si="84"/>
        <v>58</v>
      </c>
      <c r="J855" s="266">
        <f t="shared" si="85"/>
        <v>0.75319999999999998</v>
      </c>
      <c r="K855" s="136">
        <f t="shared" si="80"/>
        <v>0</v>
      </c>
      <c r="L855" s="136">
        <f t="shared" si="81"/>
        <v>6.1</v>
      </c>
      <c r="M855" s="136">
        <f t="shared" si="82"/>
        <v>6.1</v>
      </c>
      <c r="O855" s="134"/>
      <c r="P855" s="259"/>
    </row>
    <row r="856" spans="1:16">
      <c r="A856" s="134">
        <v>401</v>
      </c>
      <c r="B856" s="259" t="s">
        <v>2644</v>
      </c>
      <c r="C856" s="129" t="s">
        <v>2645</v>
      </c>
      <c r="D856" s="292">
        <v>49</v>
      </c>
      <c r="E856" s="292">
        <v>0</v>
      </c>
      <c r="F856" s="139">
        <f t="shared" si="83"/>
        <v>49</v>
      </c>
      <c r="G856" s="292">
        <v>39</v>
      </c>
      <c r="H856" s="292">
        <v>0</v>
      </c>
      <c r="I856" s="139">
        <f t="shared" si="84"/>
        <v>39</v>
      </c>
      <c r="J856" s="266">
        <f t="shared" si="85"/>
        <v>0.79590000000000005</v>
      </c>
      <c r="K856" s="136">
        <f t="shared" si="80"/>
        <v>0</v>
      </c>
      <c r="L856" s="136">
        <f t="shared" si="81"/>
        <v>4.0999999999999996</v>
      </c>
      <c r="M856" s="136">
        <f t="shared" si="82"/>
        <v>4.0999999999999996</v>
      </c>
      <c r="O856" s="134"/>
      <c r="P856" s="259"/>
    </row>
    <row r="857" spans="1:16">
      <c r="A857" s="134">
        <v>402</v>
      </c>
      <c r="B857" s="259" t="s">
        <v>2646</v>
      </c>
      <c r="C857" s="129" t="s">
        <v>2028</v>
      </c>
      <c r="D857" s="292">
        <v>254</v>
      </c>
      <c r="E857" s="292">
        <v>0</v>
      </c>
      <c r="F857" s="139">
        <f t="shared" si="83"/>
        <v>254</v>
      </c>
      <c r="G857" s="292">
        <v>96</v>
      </c>
      <c r="H857" s="292">
        <v>0</v>
      </c>
      <c r="I857" s="139">
        <f t="shared" si="84"/>
        <v>96</v>
      </c>
      <c r="J857" s="266">
        <f t="shared" si="85"/>
        <v>0.378</v>
      </c>
      <c r="K857" s="136">
        <f t="shared" si="80"/>
        <v>1.9</v>
      </c>
      <c r="L857" s="136">
        <f t="shared" si="81"/>
        <v>0</v>
      </c>
      <c r="M857" s="136">
        <f t="shared" si="82"/>
        <v>1.9</v>
      </c>
      <c r="O857" s="134"/>
      <c r="P857" s="259"/>
    </row>
    <row r="858" spans="1:16">
      <c r="A858" s="134">
        <v>402</v>
      </c>
      <c r="B858" s="259" t="s">
        <v>2647</v>
      </c>
      <c r="C858" s="129" t="s">
        <v>2648</v>
      </c>
      <c r="D858" s="292">
        <v>360</v>
      </c>
      <c r="E858" s="292">
        <v>0</v>
      </c>
      <c r="F858" s="139">
        <f t="shared" si="83"/>
        <v>360</v>
      </c>
      <c r="G858" s="292">
        <v>144</v>
      </c>
      <c r="H858" s="292">
        <v>0</v>
      </c>
      <c r="I858" s="139">
        <f t="shared" si="84"/>
        <v>144</v>
      </c>
      <c r="J858" s="266">
        <f t="shared" si="85"/>
        <v>0.4</v>
      </c>
      <c r="K858" s="136">
        <f t="shared" si="80"/>
        <v>5</v>
      </c>
      <c r="L858" s="136">
        <f t="shared" si="81"/>
        <v>0</v>
      </c>
      <c r="M858" s="136">
        <f t="shared" si="82"/>
        <v>5</v>
      </c>
      <c r="O858" s="134"/>
      <c r="P858" s="259"/>
    </row>
    <row r="859" spans="1:16">
      <c r="A859" s="134">
        <v>402</v>
      </c>
      <c r="B859" s="259" t="s">
        <v>2649</v>
      </c>
      <c r="C859" s="129" t="s">
        <v>2030</v>
      </c>
      <c r="D859" s="292">
        <v>303</v>
      </c>
      <c r="E859" s="292">
        <v>0</v>
      </c>
      <c r="F859" s="139">
        <f t="shared" si="83"/>
        <v>303</v>
      </c>
      <c r="G859" s="292">
        <v>125</v>
      </c>
      <c r="H859" s="292">
        <v>0</v>
      </c>
      <c r="I859" s="139">
        <f t="shared" si="84"/>
        <v>125</v>
      </c>
      <c r="J859" s="266">
        <f t="shared" si="85"/>
        <v>0.41249999999999998</v>
      </c>
      <c r="K859" s="136">
        <f t="shared" si="80"/>
        <v>5.5</v>
      </c>
      <c r="L859" s="136">
        <f t="shared" si="81"/>
        <v>0</v>
      </c>
      <c r="M859" s="136">
        <f t="shared" si="82"/>
        <v>5.5</v>
      </c>
      <c r="O859" s="134"/>
      <c r="P859" s="259"/>
    </row>
    <row r="860" spans="1:16">
      <c r="A860" s="134">
        <v>402</v>
      </c>
      <c r="B860" s="259" t="s">
        <v>2650</v>
      </c>
      <c r="C860" s="129" t="s">
        <v>2651</v>
      </c>
      <c r="D860" s="292">
        <v>452</v>
      </c>
      <c r="E860" s="292">
        <v>0</v>
      </c>
      <c r="F860" s="139">
        <f t="shared" si="83"/>
        <v>452</v>
      </c>
      <c r="G860" s="292">
        <v>169</v>
      </c>
      <c r="H860" s="292">
        <v>0</v>
      </c>
      <c r="I860" s="139">
        <f t="shared" si="84"/>
        <v>169</v>
      </c>
      <c r="J860" s="266">
        <f t="shared" si="85"/>
        <v>0.37390000000000001</v>
      </c>
      <c r="K860" s="136">
        <f t="shared" si="80"/>
        <v>2.8</v>
      </c>
      <c r="L860" s="136">
        <f t="shared" si="81"/>
        <v>0</v>
      </c>
      <c r="M860" s="136">
        <f t="shared" si="82"/>
        <v>2.8</v>
      </c>
      <c r="O860" s="134"/>
      <c r="P860" s="259"/>
    </row>
    <row r="861" spans="1:16">
      <c r="A861" s="134">
        <v>402</v>
      </c>
      <c r="B861" s="259" t="s">
        <v>2652</v>
      </c>
      <c r="C861" s="129" t="s">
        <v>2653</v>
      </c>
      <c r="D861" s="292">
        <v>625</v>
      </c>
      <c r="E861" s="292">
        <v>0</v>
      </c>
      <c r="F861" s="139">
        <f t="shared" si="83"/>
        <v>625</v>
      </c>
      <c r="G861" s="292">
        <v>197</v>
      </c>
      <c r="H861" s="292">
        <v>0</v>
      </c>
      <c r="I861" s="139">
        <f t="shared" si="84"/>
        <v>197</v>
      </c>
      <c r="J861" s="266">
        <f t="shared" si="85"/>
        <v>0.31519999999999998</v>
      </c>
      <c r="K861" s="136">
        <f t="shared" si="80"/>
        <v>0</v>
      </c>
      <c r="L861" s="136">
        <f t="shared" si="81"/>
        <v>0</v>
      </c>
      <c r="M861" s="136">
        <f t="shared" si="82"/>
        <v>0</v>
      </c>
      <c r="O861" s="134"/>
      <c r="P861" s="259"/>
    </row>
    <row r="862" spans="1:16">
      <c r="A862" s="134">
        <v>403</v>
      </c>
      <c r="B862" s="259" t="s">
        <v>4053</v>
      </c>
      <c r="C862" s="129" t="s">
        <v>4054</v>
      </c>
      <c r="D862" s="292">
        <v>0</v>
      </c>
      <c r="E862" s="292">
        <v>0</v>
      </c>
      <c r="F862" s="139">
        <f t="shared" si="83"/>
        <v>0</v>
      </c>
      <c r="G862" s="292">
        <v>0</v>
      </c>
      <c r="H862" s="292">
        <v>0</v>
      </c>
      <c r="I862" s="139">
        <f t="shared" si="84"/>
        <v>0</v>
      </c>
      <c r="J862" s="266">
        <f t="shared" si="85"/>
        <v>0</v>
      </c>
      <c r="K862" s="136">
        <f t="shared" si="80"/>
        <v>0</v>
      </c>
      <c r="L862" s="136">
        <f t="shared" si="81"/>
        <v>0</v>
      </c>
      <c r="M862" s="136">
        <f t="shared" si="82"/>
        <v>0</v>
      </c>
      <c r="O862" s="134"/>
      <c r="P862" s="259"/>
    </row>
    <row r="863" spans="1:16">
      <c r="A863" s="134">
        <v>403</v>
      </c>
      <c r="B863" s="259" t="s">
        <v>2654</v>
      </c>
      <c r="C863" s="129" t="s">
        <v>2655</v>
      </c>
      <c r="D863" s="292">
        <v>85</v>
      </c>
      <c r="E863" s="292">
        <v>0</v>
      </c>
      <c r="F863" s="139">
        <f t="shared" si="83"/>
        <v>85</v>
      </c>
      <c r="G863" s="292">
        <v>31</v>
      </c>
      <c r="H863" s="292">
        <v>0</v>
      </c>
      <c r="I863" s="139">
        <f t="shared" si="84"/>
        <v>31</v>
      </c>
      <c r="J863" s="266">
        <f t="shared" si="85"/>
        <v>0.36470000000000002</v>
      </c>
      <c r="K863" s="136">
        <f t="shared" si="80"/>
        <v>0.3</v>
      </c>
      <c r="L863" s="136">
        <f t="shared" si="81"/>
        <v>0</v>
      </c>
      <c r="M863" s="136">
        <f t="shared" si="82"/>
        <v>0.3</v>
      </c>
      <c r="O863" s="134"/>
      <c r="P863" s="259"/>
    </row>
    <row r="864" spans="1:16">
      <c r="A864" s="134">
        <v>403</v>
      </c>
      <c r="B864" s="259" t="s">
        <v>2656</v>
      </c>
      <c r="C864" s="129" t="s">
        <v>2657</v>
      </c>
      <c r="D864" s="292">
        <v>85</v>
      </c>
      <c r="E864" s="292">
        <v>0</v>
      </c>
      <c r="F864" s="139">
        <f t="shared" si="83"/>
        <v>85</v>
      </c>
      <c r="G864" s="292">
        <v>32</v>
      </c>
      <c r="H864" s="292">
        <v>0</v>
      </c>
      <c r="I864" s="139">
        <f t="shared" si="84"/>
        <v>32</v>
      </c>
      <c r="J864" s="266">
        <f t="shared" si="85"/>
        <v>0.3765</v>
      </c>
      <c r="K864" s="136">
        <f t="shared" si="80"/>
        <v>0.6</v>
      </c>
      <c r="L864" s="136">
        <f t="shared" si="81"/>
        <v>0</v>
      </c>
      <c r="M864" s="136">
        <f t="shared" si="82"/>
        <v>0.6</v>
      </c>
      <c r="O864" s="134"/>
      <c r="P864" s="259"/>
    </row>
    <row r="865" spans="1:16">
      <c r="A865" s="134">
        <v>404</v>
      </c>
      <c r="B865" s="259" t="s">
        <v>2658</v>
      </c>
      <c r="C865" s="129" t="s">
        <v>2659</v>
      </c>
      <c r="D865" s="292">
        <v>306</v>
      </c>
      <c r="E865" s="292">
        <v>0</v>
      </c>
      <c r="F865" s="139">
        <f t="shared" si="83"/>
        <v>306</v>
      </c>
      <c r="G865" s="292">
        <v>151</v>
      </c>
      <c r="H865" s="292">
        <v>0</v>
      </c>
      <c r="I865" s="139">
        <f t="shared" si="84"/>
        <v>151</v>
      </c>
      <c r="J865" s="266">
        <f t="shared" si="85"/>
        <v>0.49349999999999999</v>
      </c>
      <c r="K865" s="136">
        <f t="shared" si="80"/>
        <v>15.2</v>
      </c>
      <c r="L865" s="136">
        <f t="shared" si="81"/>
        <v>0</v>
      </c>
      <c r="M865" s="136">
        <f t="shared" si="82"/>
        <v>15.2</v>
      </c>
      <c r="O865" s="134"/>
      <c r="P865" s="259"/>
    </row>
    <row r="866" spans="1:16">
      <c r="A866" s="134">
        <v>404</v>
      </c>
      <c r="B866" s="259" t="s">
        <v>2660</v>
      </c>
      <c r="C866" s="129" t="s">
        <v>2661</v>
      </c>
      <c r="D866" s="292">
        <v>163</v>
      </c>
      <c r="E866" s="292">
        <v>0</v>
      </c>
      <c r="F866" s="139">
        <f t="shared" si="83"/>
        <v>163</v>
      </c>
      <c r="G866" s="292">
        <v>75</v>
      </c>
      <c r="H866" s="292">
        <v>0</v>
      </c>
      <c r="I866" s="139">
        <f t="shared" si="84"/>
        <v>75</v>
      </c>
      <c r="J866" s="266">
        <f t="shared" si="85"/>
        <v>0.46010000000000001</v>
      </c>
      <c r="K866" s="136">
        <f t="shared" si="80"/>
        <v>5.8</v>
      </c>
      <c r="L866" s="136">
        <f t="shared" si="81"/>
        <v>0</v>
      </c>
      <c r="M866" s="136">
        <f t="shared" si="82"/>
        <v>5.8</v>
      </c>
      <c r="O866" s="134"/>
      <c r="P866" s="259"/>
    </row>
    <row r="867" spans="1:16">
      <c r="A867" s="134">
        <v>404</v>
      </c>
      <c r="B867" s="259" t="s">
        <v>2662</v>
      </c>
      <c r="C867" s="129" t="s">
        <v>2663</v>
      </c>
      <c r="D867" s="292">
        <v>221</v>
      </c>
      <c r="E867" s="292">
        <v>0</v>
      </c>
      <c r="F867" s="139">
        <f t="shared" si="83"/>
        <v>221</v>
      </c>
      <c r="G867" s="292">
        <v>104</v>
      </c>
      <c r="H867" s="292">
        <v>0</v>
      </c>
      <c r="I867" s="139">
        <f t="shared" si="84"/>
        <v>104</v>
      </c>
      <c r="J867" s="266">
        <f t="shared" si="85"/>
        <v>0.47060000000000002</v>
      </c>
      <c r="K867" s="136">
        <f t="shared" si="80"/>
        <v>8.8000000000000007</v>
      </c>
      <c r="L867" s="136">
        <f t="shared" si="81"/>
        <v>0</v>
      </c>
      <c r="M867" s="136">
        <f t="shared" si="82"/>
        <v>8.8000000000000007</v>
      </c>
      <c r="O867" s="134"/>
      <c r="P867" s="259"/>
    </row>
    <row r="868" spans="1:16">
      <c r="A868" s="134">
        <v>405</v>
      </c>
      <c r="B868" s="259" t="s">
        <v>2664</v>
      </c>
      <c r="C868" s="129" t="s">
        <v>2665</v>
      </c>
      <c r="D868" s="292">
        <v>150</v>
      </c>
      <c r="E868" s="292">
        <v>0</v>
      </c>
      <c r="F868" s="139">
        <f t="shared" si="83"/>
        <v>150</v>
      </c>
      <c r="G868" s="292">
        <v>106</v>
      </c>
      <c r="H868" s="292">
        <v>0</v>
      </c>
      <c r="I868" s="139">
        <f t="shared" si="84"/>
        <v>106</v>
      </c>
      <c r="J868" s="266">
        <f t="shared" si="85"/>
        <v>0.70669999999999999</v>
      </c>
      <c r="K868" s="136">
        <f t="shared" si="80"/>
        <v>0</v>
      </c>
      <c r="L868" s="136">
        <f t="shared" si="81"/>
        <v>11.1</v>
      </c>
      <c r="M868" s="136">
        <f t="shared" si="82"/>
        <v>11.1</v>
      </c>
      <c r="O868" s="134"/>
      <c r="P868" s="259"/>
    </row>
    <row r="869" spans="1:16">
      <c r="A869" s="134">
        <v>405</v>
      </c>
      <c r="B869" s="259" t="s">
        <v>2666</v>
      </c>
      <c r="C869" s="129" t="s">
        <v>2667</v>
      </c>
      <c r="D869" s="292">
        <v>152</v>
      </c>
      <c r="E869" s="292">
        <v>0</v>
      </c>
      <c r="F869" s="139">
        <f t="shared" si="83"/>
        <v>152</v>
      </c>
      <c r="G869" s="292">
        <v>99</v>
      </c>
      <c r="H869" s="292">
        <v>0</v>
      </c>
      <c r="I869" s="139">
        <f t="shared" si="84"/>
        <v>99</v>
      </c>
      <c r="J869" s="266">
        <f t="shared" si="85"/>
        <v>0.65129999999999999</v>
      </c>
      <c r="K869" s="136">
        <f t="shared" si="80"/>
        <v>0</v>
      </c>
      <c r="L869" s="136">
        <f t="shared" si="81"/>
        <v>10.4</v>
      </c>
      <c r="M869" s="136">
        <f t="shared" si="82"/>
        <v>10.4</v>
      </c>
      <c r="O869" s="134"/>
      <c r="P869" s="259"/>
    </row>
    <row r="870" spans="1:16">
      <c r="A870" s="134">
        <v>405</v>
      </c>
      <c r="B870" s="259" t="s">
        <v>2668</v>
      </c>
      <c r="C870" s="129" t="s">
        <v>2669</v>
      </c>
      <c r="D870" s="292">
        <v>174</v>
      </c>
      <c r="E870" s="292">
        <v>0</v>
      </c>
      <c r="F870" s="139">
        <f t="shared" si="83"/>
        <v>174</v>
      </c>
      <c r="G870" s="292">
        <v>117</v>
      </c>
      <c r="H870" s="292">
        <v>0</v>
      </c>
      <c r="I870" s="139">
        <f t="shared" si="84"/>
        <v>117</v>
      </c>
      <c r="J870" s="266">
        <f t="shared" si="85"/>
        <v>0.6724</v>
      </c>
      <c r="K870" s="136">
        <f t="shared" si="80"/>
        <v>0</v>
      </c>
      <c r="L870" s="136">
        <f t="shared" si="81"/>
        <v>12.3</v>
      </c>
      <c r="M870" s="136">
        <f t="shared" si="82"/>
        <v>12.3</v>
      </c>
      <c r="O870" s="134"/>
      <c r="P870" s="259"/>
    </row>
    <row r="871" spans="1:16">
      <c r="A871" s="134">
        <v>405</v>
      </c>
      <c r="B871" s="259" t="s">
        <v>2670</v>
      </c>
      <c r="C871" s="129" t="s">
        <v>2671</v>
      </c>
      <c r="D871" s="292">
        <v>213</v>
      </c>
      <c r="E871" s="292">
        <v>0</v>
      </c>
      <c r="F871" s="139">
        <f t="shared" si="83"/>
        <v>213</v>
      </c>
      <c r="G871" s="292">
        <v>144</v>
      </c>
      <c r="H871" s="292">
        <v>0</v>
      </c>
      <c r="I871" s="139">
        <f t="shared" si="84"/>
        <v>144</v>
      </c>
      <c r="J871" s="266">
        <f t="shared" si="85"/>
        <v>0.67610000000000003</v>
      </c>
      <c r="K871" s="136">
        <f t="shared" si="80"/>
        <v>0</v>
      </c>
      <c r="L871" s="136">
        <f t="shared" si="81"/>
        <v>15.1</v>
      </c>
      <c r="M871" s="136">
        <f t="shared" si="82"/>
        <v>15.1</v>
      </c>
      <c r="O871" s="134"/>
      <c r="P871" s="259"/>
    </row>
    <row r="872" spans="1:16">
      <c r="A872" s="134">
        <v>407</v>
      </c>
      <c r="B872" s="259" t="s">
        <v>2672</v>
      </c>
      <c r="C872" s="129" t="s">
        <v>2673</v>
      </c>
      <c r="D872" s="292">
        <v>220</v>
      </c>
      <c r="E872" s="292">
        <v>0</v>
      </c>
      <c r="F872" s="139">
        <f t="shared" si="83"/>
        <v>220</v>
      </c>
      <c r="G872" s="292">
        <v>106</v>
      </c>
      <c r="H872" s="292">
        <v>0</v>
      </c>
      <c r="I872" s="139">
        <f t="shared" si="84"/>
        <v>106</v>
      </c>
      <c r="J872" s="266">
        <f t="shared" si="85"/>
        <v>0.48180000000000001</v>
      </c>
      <c r="K872" s="136">
        <f t="shared" si="80"/>
        <v>9.8000000000000007</v>
      </c>
      <c r="L872" s="136">
        <f t="shared" si="81"/>
        <v>0</v>
      </c>
      <c r="M872" s="136">
        <f t="shared" si="82"/>
        <v>9.8000000000000007</v>
      </c>
      <c r="O872" s="134"/>
      <c r="P872" s="259"/>
    </row>
    <row r="873" spans="1:16">
      <c r="A873" s="134">
        <v>407</v>
      </c>
      <c r="B873" s="259" t="s">
        <v>2674</v>
      </c>
      <c r="C873" s="129" t="s">
        <v>2675</v>
      </c>
      <c r="D873" s="292">
        <v>154</v>
      </c>
      <c r="E873" s="292">
        <v>0</v>
      </c>
      <c r="F873" s="139">
        <f t="shared" si="83"/>
        <v>154</v>
      </c>
      <c r="G873" s="292">
        <v>68</v>
      </c>
      <c r="H873" s="292">
        <v>0</v>
      </c>
      <c r="I873" s="139">
        <f t="shared" si="84"/>
        <v>68</v>
      </c>
      <c r="J873" s="266">
        <f t="shared" si="85"/>
        <v>0.44159999999999999</v>
      </c>
      <c r="K873" s="136">
        <f t="shared" si="80"/>
        <v>4.4000000000000004</v>
      </c>
      <c r="L873" s="136">
        <f t="shared" si="81"/>
        <v>0</v>
      </c>
      <c r="M873" s="136">
        <f t="shared" si="82"/>
        <v>4.4000000000000004</v>
      </c>
      <c r="O873" s="134"/>
      <c r="P873" s="259"/>
    </row>
    <row r="874" spans="1:16">
      <c r="A874" s="134">
        <v>407</v>
      </c>
      <c r="B874" s="259" t="s">
        <v>2676</v>
      </c>
      <c r="C874" s="129" t="s">
        <v>2677</v>
      </c>
      <c r="D874" s="292">
        <v>189</v>
      </c>
      <c r="E874" s="292">
        <v>0</v>
      </c>
      <c r="F874" s="139">
        <f t="shared" si="83"/>
        <v>189</v>
      </c>
      <c r="G874" s="292">
        <v>79</v>
      </c>
      <c r="H874" s="292">
        <v>0</v>
      </c>
      <c r="I874" s="139">
        <f t="shared" si="84"/>
        <v>79</v>
      </c>
      <c r="J874" s="266">
        <f t="shared" si="85"/>
        <v>0.41799999999999998</v>
      </c>
      <c r="K874" s="136">
        <f t="shared" si="80"/>
        <v>3.8</v>
      </c>
      <c r="L874" s="136">
        <f t="shared" si="81"/>
        <v>0</v>
      </c>
      <c r="M874" s="136">
        <f t="shared" si="82"/>
        <v>3.8</v>
      </c>
      <c r="O874" s="134"/>
      <c r="P874" s="259"/>
    </row>
    <row r="875" spans="1:16">
      <c r="A875" s="134">
        <v>407</v>
      </c>
      <c r="B875" s="259" t="s">
        <v>2678</v>
      </c>
      <c r="C875" s="129" t="s">
        <v>2679</v>
      </c>
      <c r="D875" s="292">
        <v>214</v>
      </c>
      <c r="E875" s="292">
        <v>0</v>
      </c>
      <c r="F875" s="139">
        <f t="shared" si="83"/>
        <v>214</v>
      </c>
      <c r="G875" s="292">
        <v>101</v>
      </c>
      <c r="H875" s="292">
        <v>0</v>
      </c>
      <c r="I875" s="139">
        <f t="shared" si="84"/>
        <v>101</v>
      </c>
      <c r="J875" s="266">
        <f t="shared" si="85"/>
        <v>0.47199999999999998</v>
      </c>
      <c r="K875" s="136">
        <f t="shared" si="80"/>
        <v>8.6</v>
      </c>
      <c r="L875" s="136">
        <f t="shared" si="81"/>
        <v>0</v>
      </c>
      <c r="M875" s="136">
        <f t="shared" si="82"/>
        <v>8.6</v>
      </c>
      <c r="O875" s="134"/>
      <c r="P875" s="259"/>
    </row>
    <row r="876" spans="1:16">
      <c r="A876" s="134">
        <v>408</v>
      </c>
      <c r="B876" s="259" t="s">
        <v>2680</v>
      </c>
      <c r="C876" s="129" t="s">
        <v>2681</v>
      </c>
      <c r="D876" s="292">
        <v>118</v>
      </c>
      <c r="E876" s="292">
        <v>0</v>
      </c>
      <c r="F876" s="139">
        <f t="shared" si="83"/>
        <v>118</v>
      </c>
      <c r="G876" s="292">
        <v>44</v>
      </c>
      <c r="H876" s="292">
        <v>0</v>
      </c>
      <c r="I876" s="139">
        <f t="shared" si="84"/>
        <v>44</v>
      </c>
      <c r="J876" s="266">
        <f t="shared" si="85"/>
        <v>0.37290000000000001</v>
      </c>
      <c r="K876" s="136">
        <f t="shared" si="80"/>
        <v>0.7</v>
      </c>
      <c r="L876" s="136">
        <f t="shared" si="81"/>
        <v>0</v>
      </c>
      <c r="M876" s="136">
        <f t="shared" si="82"/>
        <v>0.7</v>
      </c>
      <c r="O876" s="134"/>
      <c r="P876" s="259"/>
    </row>
    <row r="877" spans="1:16">
      <c r="A877" s="134">
        <v>408</v>
      </c>
      <c r="B877" s="259" t="s">
        <v>2682</v>
      </c>
      <c r="C877" s="129" t="s">
        <v>2683</v>
      </c>
      <c r="D877" s="292">
        <v>140</v>
      </c>
      <c r="E877" s="292">
        <v>0</v>
      </c>
      <c r="F877" s="139">
        <f t="shared" si="83"/>
        <v>140</v>
      </c>
      <c r="G877" s="292">
        <v>46</v>
      </c>
      <c r="H877" s="292">
        <v>0</v>
      </c>
      <c r="I877" s="139">
        <f t="shared" si="84"/>
        <v>46</v>
      </c>
      <c r="J877" s="266">
        <f t="shared" si="85"/>
        <v>0.3286</v>
      </c>
      <c r="K877" s="136">
        <f t="shared" si="80"/>
        <v>0</v>
      </c>
      <c r="L877" s="136">
        <f t="shared" si="81"/>
        <v>0</v>
      </c>
      <c r="M877" s="136">
        <f t="shared" si="82"/>
        <v>0</v>
      </c>
      <c r="O877" s="134"/>
      <c r="P877" s="259"/>
    </row>
    <row r="878" spans="1:16">
      <c r="A878" s="134">
        <v>408</v>
      </c>
      <c r="B878" s="259" t="s">
        <v>2684</v>
      </c>
      <c r="C878" s="129" t="s">
        <v>2685</v>
      </c>
      <c r="D878" s="292">
        <v>250</v>
      </c>
      <c r="E878" s="292">
        <v>0</v>
      </c>
      <c r="F878" s="139">
        <f t="shared" si="83"/>
        <v>250</v>
      </c>
      <c r="G878" s="292">
        <v>120</v>
      </c>
      <c r="H878" s="292">
        <v>0</v>
      </c>
      <c r="I878" s="139">
        <f t="shared" si="84"/>
        <v>120</v>
      </c>
      <c r="J878" s="266">
        <f t="shared" si="85"/>
        <v>0.48</v>
      </c>
      <c r="K878" s="136">
        <f t="shared" si="80"/>
        <v>10.9</v>
      </c>
      <c r="L878" s="136">
        <f t="shared" si="81"/>
        <v>0</v>
      </c>
      <c r="M878" s="136">
        <f t="shared" si="82"/>
        <v>10.9</v>
      </c>
      <c r="O878" s="260"/>
      <c r="P878" s="259"/>
    </row>
    <row r="879" spans="1:16">
      <c r="A879" s="134">
        <v>409</v>
      </c>
      <c r="B879" s="259" t="s">
        <v>2686</v>
      </c>
      <c r="C879" s="129" t="s">
        <v>2687</v>
      </c>
      <c r="D879" s="292">
        <v>693</v>
      </c>
      <c r="E879" s="292">
        <v>0</v>
      </c>
      <c r="F879" s="139">
        <f t="shared" si="83"/>
        <v>693</v>
      </c>
      <c r="G879" s="292">
        <v>425</v>
      </c>
      <c r="H879" s="292">
        <v>0</v>
      </c>
      <c r="I879" s="139">
        <f t="shared" si="84"/>
        <v>425</v>
      </c>
      <c r="J879" s="266">
        <f t="shared" si="85"/>
        <v>0.61329999999999996</v>
      </c>
      <c r="K879" s="136">
        <f t="shared" si="80"/>
        <v>0</v>
      </c>
      <c r="L879" s="136">
        <f t="shared" si="81"/>
        <v>44.6</v>
      </c>
      <c r="M879" s="136">
        <f t="shared" si="82"/>
        <v>44.6</v>
      </c>
      <c r="O879" s="134"/>
      <c r="P879" s="259"/>
    </row>
    <row r="880" spans="1:16">
      <c r="A880" s="134">
        <v>409</v>
      </c>
      <c r="B880" s="259" t="s">
        <v>2688</v>
      </c>
      <c r="C880" s="129" t="s">
        <v>2689</v>
      </c>
      <c r="D880" s="292">
        <v>434</v>
      </c>
      <c r="E880" s="292">
        <v>0</v>
      </c>
      <c r="F880" s="139">
        <f t="shared" si="83"/>
        <v>434</v>
      </c>
      <c r="G880" s="292">
        <v>217</v>
      </c>
      <c r="H880" s="292">
        <v>0</v>
      </c>
      <c r="I880" s="139">
        <f t="shared" si="84"/>
        <v>217</v>
      </c>
      <c r="J880" s="266">
        <f t="shared" si="85"/>
        <v>0.5</v>
      </c>
      <c r="K880" s="136">
        <f t="shared" si="80"/>
        <v>0</v>
      </c>
      <c r="L880" s="136">
        <f t="shared" si="81"/>
        <v>22.8</v>
      </c>
      <c r="M880" s="136">
        <f t="shared" si="82"/>
        <v>22.8</v>
      </c>
      <c r="O880" s="134"/>
      <c r="P880" s="259"/>
    </row>
    <row r="881" spans="1:16">
      <c r="A881" s="134">
        <v>409</v>
      </c>
      <c r="B881" s="259" t="s">
        <v>2690</v>
      </c>
      <c r="C881" s="129" t="s">
        <v>2691</v>
      </c>
      <c r="D881" s="292">
        <v>47</v>
      </c>
      <c r="E881" s="292">
        <v>0</v>
      </c>
      <c r="F881" s="139">
        <f t="shared" si="83"/>
        <v>47</v>
      </c>
      <c r="G881" s="292">
        <v>36</v>
      </c>
      <c r="H881" s="292">
        <v>0</v>
      </c>
      <c r="I881" s="139">
        <f t="shared" si="84"/>
        <v>36</v>
      </c>
      <c r="J881" s="266">
        <f t="shared" si="85"/>
        <v>0.76600000000000001</v>
      </c>
      <c r="K881" s="136">
        <f t="shared" si="80"/>
        <v>0</v>
      </c>
      <c r="L881" s="136">
        <f t="shared" si="81"/>
        <v>3.8</v>
      </c>
      <c r="M881" s="136">
        <f t="shared" si="82"/>
        <v>3.8</v>
      </c>
      <c r="O881" s="134"/>
      <c r="P881" s="259"/>
    </row>
    <row r="882" spans="1:16">
      <c r="A882" s="134">
        <v>409</v>
      </c>
      <c r="B882" s="259" t="s">
        <v>2692</v>
      </c>
      <c r="C882" s="129" t="s">
        <v>2693</v>
      </c>
      <c r="D882" s="292">
        <v>295</v>
      </c>
      <c r="E882" s="292">
        <v>0</v>
      </c>
      <c r="F882" s="139">
        <f t="shared" si="83"/>
        <v>295</v>
      </c>
      <c r="G882" s="292">
        <v>168</v>
      </c>
      <c r="H882" s="292">
        <v>0</v>
      </c>
      <c r="I882" s="139">
        <f t="shared" si="84"/>
        <v>168</v>
      </c>
      <c r="J882" s="266">
        <f t="shared" si="85"/>
        <v>0.56950000000000001</v>
      </c>
      <c r="K882" s="136">
        <f t="shared" si="80"/>
        <v>0</v>
      </c>
      <c r="L882" s="136">
        <f t="shared" si="81"/>
        <v>17.600000000000001</v>
      </c>
      <c r="M882" s="136">
        <f t="shared" si="82"/>
        <v>17.600000000000001</v>
      </c>
      <c r="O882" s="134"/>
      <c r="P882" s="259"/>
    </row>
    <row r="883" spans="1:16">
      <c r="A883" s="134">
        <v>410</v>
      </c>
      <c r="B883" s="259" t="s">
        <v>2694</v>
      </c>
      <c r="C883" s="129" t="s">
        <v>2695</v>
      </c>
      <c r="D883" s="292">
        <v>295</v>
      </c>
      <c r="E883" s="292">
        <v>0</v>
      </c>
      <c r="F883" s="139">
        <f t="shared" si="83"/>
        <v>295</v>
      </c>
      <c r="G883" s="292">
        <v>131</v>
      </c>
      <c r="H883" s="292">
        <v>0</v>
      </c>
      <c r="I883" s="139">
        <f t="shared" si="84"/>
        <v>131</v>
      </c>
      <c r="J883" s="266">
        <f t="shared" si="85"/>
        <v>0.44409999999999999</v>
      </c>
      <c r="K883" s="136">
        <f t="shared" si="80"/>
        <v>8.6</v>
      </c>
      <c r="L883" s="136">
        <f t="shared" si="81"/>
        <v>0</v>
      </c>
      <c r="M883" s="136">
        <f t="shared" si="82"/>
        <v>8.6</v>
      </c>
      <c r="O883" s="134"/>
      <c r="P883" s="259"/>
    </row>
    <row r="884" spans="1:16">
      <c r="A884" s="134">
        <v>410</v>
      </c>
      <c r="B884" s="259" t="s">
        <v>2696</v>
      </c>
      <c r="C884" s="129" t="s">
        <v>2697</v>
      </c>
      <c r="D884" s="292">
        <v>308</v>
      </c>
      <c r="E884" s="292">
        <v>0</v>
      </c>
      <c r="F884" s="139">
        <f t="shared" si="83"/>
        <v>308</v>
      </c>
      <c r="G884" s="292">
        <v>95</v>
      </c>
      <c r="H884" s="292">
        <v>0</v>
      </c>
      <c r="I884" s="139">
        <f t="shared" si="84"/>
        <v>95</v>
      </c>
      <c r="J884" s="266">
        <f t="shared" si="85"/>
        <v>0.30840000000000001</v>
      </c>
      <c r="K884" s="136">
        <f t="shared" si="80"/>
        <v>0</v>
      </c>
      <c r="L884" s="136">
        <f t="shared" si="81"/>
        <v>0</v>
      </c>
      <c r="M884" s="136">
        <f t="shared" si="82"/>
        <v>0</v>
      </c>
      <c r="O884" s="134"/>
      <c r="P884" s="259"/>
    </row>
    <row r="885" spans="1:16">
      <c r="A885" s="134">
        <v>411</v>
      </c>
      <c r="B885" s="259" t="s">
        <v>2698</v>
      </c>
      <c r="C885" s="129" t="s">
        <v>2699</v>
      </c>
      <c r="D885" s="292">
        <v>126</v>
      </c>
      <c r="E885" s="292">
        <v>0</v>
      </c>
      <c r="F885" s="139">
        <f t="shared" si="83"/>
        <v>126</v>
      </c>
      <c r="G885" s="292">
        <v>35</v>
      </c>
      <c r="H885" s="292">
        <v>0</v>
      </c>
      <c r="I885" s="139">
        <f t="shared" si="84"/>
        <v>35</v>
      </c>
      <c r="J885" s="266">
        <f t="shared" si="85"/>
        <v>0.27779999999999999</v>
      </c>
      <c r="K885" s="136">
        <f t="shared" si="80"/>
        <v>0</v>
      </c>
      <c r="L885" s="136">
        <f t="shared" si="81"/>
        <v>0</v>
      </c>
      <c r="M885" s="136">
        <f t="shared" si="82"/>
        <v>0</v>
      </c>
      <c r="O885" s="134"/>
      <c r="P885" s="259"/>
    </row>
    <row r="886" spans="1:16">
      <c r="A886" s="134">
        <v>411</v>
      </c>
      <c r="B886" s="259" t="s">
        <v>2700</v>
      </c>
      <c r="C886" s="129" t="s">
        <v>2701</v>
      </c>
      <c r="D886" s="292">
        <v>157</v>
      </c>
      <c r="E886" s="292">
        <v>0</v>
      </c>
      <c r="F886" s="139">
        <f t="shared" si="83"/>
        <v>157</v>
      </c>
      <c r="G886" s="292">
        <v>27</v>
      </c>
      <c r="H886" s="292">
        <v>0</v>
      </c>
      <c r="I886" s="139">
        <f t="shared" si="84"/>
        <v>27</v>
      </c>
      <c r="J886" s="266">
        <f t="shared" si="85"/>
        <v>0.17199999999999999</v>
      </c>
      <c r="K886" s="136">
        <f t="shared" si="80"/>
        <v>0</v>
      </c>
      <c r="L886" s="136">
        <f t="shared" si="81"/>
        <v>0</v>
      </c>
      <c r="M886" s="136">
        <f t="shared" si="82"/>
        <v>0</v>
      </c>
      <c r="O886" s="134"/>
      <c r="P886" s="259"/>
    </row>
    <row r="887" spans="1:16">
      <c r="A887" s="134">
        <v>412</v>
      </c>
      <c r="B887" s="259" t="s">
        <v>2702</v>
      </c>
      <c r="C887" s="129" t="s">
        <v>2703</v>
      </c>
      <c r="D887" s="292">
        <v>229</v>
      </c>
      <c r="E887" s="292">
        <v>0</v>
      </c>
      <c r="F887" s="139">
        <f t="shared" si="83"/>
        <v>229</v>
      </c>
      <c r="G887" s="292">
        <v>69</v>
      </c>
      <c r="H887" s="292">
        <v>0</v>
      </c>
      <c r="I887" s="139">
        <f t="shared" si="84"/>
        <v>69</v>
      </c>
      <c r="J887" s="266">
        <f t="shared" si="85"/>
        <v>0.30130000000000001</v>
      </c>
      <c r="K887" s="136">
        <f t="shared" si="80"/>
        <v>0</v>
      </c>
      <c r="L887" s="136">
        <f t="shared" si="81"/>
        <v>0</v>
      </c>
      <c r="M887" s="136">
        <f t="shared" si="82"/>
        <v>0</v>
      </c>
      <c r="O887" s="134"/>
      <c r="P887" s="259"/>
    </row>
    <row r="888" spans="1:16">
      <c r="A888" s="134">
        <v>412</v>
      </c>
      <c r="B888" s="259" t="s">
        <v>2704</v>
      </c>
      <c r="C888" s="129" t="s">
        <v>2705</v>
      </c>
      <c r="D888" s="292">
        <v>182</v>
      </c>
      <c r="E888" s="292">
        <v>0</v>
      </c>
      <c r="F888" s="139">
        <f t="shared" si="83"/>
        <v>182</v>
      </c>
      <c r="G888" s="292">
        <v>38</v>
      </c>
      <c r="H888" s="292">
        <v>0</v>
      </c>
      <c r="I888" s="139">
        <f t="shared" si="84"/>
        <v>38</v>
      </c>
      <c r="J888" s="266">
        <f t="shared" si="85"/>
        <v>0.20880000000000001</v>
      </c>
      <c r="K888" s="136">
        <f t="shared" si="80"/>
        <v>0</v>
      </c>
      <c r="L888" s="136">
        <f t="shared" si="81"/>
        <v>0</v>
      </c>
      <c r="M888" s="136">
        <f t="shared" si="82"/>
        <v>0</v>
      </c>
      <c r="O888" s="134"/>
      <c r="P888" s="259"/>
    </row>
    <row r="889" spans="1:16">
      <c r="A889" s="134">
        <v>413</v>
      </c>
      <c r="B889" s="259" t="s">
        <v>2706</v>
      </c>
      <c r="C889" s="129" t="s">
        <v>2707</v>
      </c>
      <c r="D889" s="292">
        <v>731</v>
      </c>
      <c r="E889" s="292">
        <v>0</v>
      </c>
      <c r="F889" s="139">
        <f t="shared" si="83"/>
        <v>731</v>
      </c>
      <c r="G889" s="292">
        <v>436</v>
      </c>
      <c r="H889" s="292">
        <v>0</v>
      </c>
      <c r="I889" s="139">
        <f t="shared" si="84"/>
        <v>436</v>
      </c>
      <c r="J889" s="266">
        <f t="shared" si="85"/>
        <v>0.59640000000000004</v>
      </c>
      <c r="K889" s="136">
        <f t="shared" si="80"/>
        <v>0</v>
      </c>
      <c r="L889" s="136">
        <f t="shared" si="81"/>
        <v>45.8</v>
      </c>
      <c r="M889" s="136">
        <f t="shared" si="82"/>
        <v>45.8</v>
      </c>
      <c r="O889" s="134"/>
      <c r="P889" s="259"/>
    </row>
    <row r="890" spans="1:16">
      <c r="A890" s="134">
        <v>413</v>
      </c>
      <c r="B890" s="259" t="s">
        <v>2708</v>
      </c>
      <c r="C890" s="129" t="s">
        <v>2709</v>
      </c>
      <c r="D890" s="292">
        <v>393</v>
      </c>
      <c r="E890" s="292">
        <v>0</v>
      </c>
      <c r="F890" s="139">
        <f t="shared" si="83"/>
        <v>393</v>
      </c>
      <c r="G890" s="292">
        <v>204</v>
      </c>
      <c r="H890" s="292">
        <v>0</v>
      </c>
      <c r="I890" s="139">
        <f t="shared" si="84"/>
        <v>204</v>
      </c>
      <c r="J890" s="266">
        <f t="shared" si="85"/>
        <v>0.51910000000000001</v>
      </c>
      <c r="K890" s="136">
        <f t="shared" si="80"/>
        <v>0</v>
      </c>
      <c r="L890" s="136">
        <f t="shared" si="81"/>
        <v>21.4</v>
      </c>
      <c r="M890" s="136">
        <f t="shared" si="82"/>
        <v>21.4</v>
      </c>
      <c r="O890" s="134"/>
      <c r="P890" s="259"/>
    </row>
    <row r="891" spans="1:16">
      <c r="A891" s="134">
        <v>413</v>
      </c>
      <c r="B891" s="259" t="s">
        <v>2710</v>
      </c>
      <c r="C891" s="129" t="s">
        <v>2711</v>
      </c>
      <c r="D891" s="292">
        <v>568</v>
      </c>
      <c r="E891" s="292">
        <v>0</v>
      </c>
      <c r="F891" s="139">
        <f t="shared" si="83"/>
        <v>568</v>
      </c>
      <c r="G891" s="292">
        <v>267</v>
      </c>
      <c r="H891" s="292">
        <v>0</v>
      </c>
      <c r="I891" s="139">
        <f t="shared" si="84"/>
        <v>267</v>
      </c>
      <c r="J891" s="266">
        <f t="shared" si="85"/>
        <v>0.47010000000000002</v>
      </c>
      <c r="K891" s="136">
        <f t="shared" si="80"/>
        <v>22.4</v>
      </c>
      <c r="L891" s="136">
        <f t="shared" si="81"/>
        <v>0</v>
      </c>
      <c r="M891" s="136">
        <f t="shared" si="82"/>
        <v>22.4</v>
      </c>
      <c r="O891" s="134"/>
      <c r="P891" s="259"/>
    </row>
    <row r="892" spans="1:16">
      <c r="A892" s="134">
        <v>415</v>
      </c>
      <c r="B892" s="259" t="s">
        <v>2712</v>
      </c>
      <c r="C892" s="129" t="s">
        <v>2713</v>
      </c>
      <c r="D892" s="292">
        <v>345</v>
      </c>
      <c r="E892" s="292">
        <v>0</v>
      </c>
      <c r="F892" s="139">
        <f t="shared" si="83"/>
        <v>345</v>
      </c>
      <c r="G892" s="292">
        <v>191</v>
      </c>
      <c r="H892" s="292">
        <v>0</v>
      </c>
      <c r="I892" s="139">
        <f t="shared" si="84"/>
        <v>191</v>
      </c>
      <c r="J892" s="266">
        <f t="shared" si="85"/>
        <v>0.55359999999999998</v>
      </c>
      <c r="K892" s="136">
        <f t="shared" si="80"/>
        <v>0</v>
      </c>
      <c r="L892" s="136">
        <f t="shared" si="81"/>
        <v>20.100000000000001</v>
      </c>
      <c r="M892" s="136">
        <f t="shared" si="82"/>
        <v>20.100000000000001</v>
      </c>
      <c r="O892" s="134"/>
      <c r="P892" s="259"/>
    </row>
    <row r="893" spans="1:16">
      <c r="A893" s="134">
        <v>415</v>
      </c>
      <c r="B893" s="259" t="s">
        <v>2714</v>
      </c>
      <c r="C893" s="129" t="s">
        <v>2715</v>
      </c>
      <c r="D893" s="292">
        <v>257</v>
      </c>
      <c r="E893" s="292">
        <v>0</v>
      </c>
      <c r="F893" s="139">
        <f t="shared" si="83"/>
        <v>257</v>
      </c>
      <c r="G893" s="292">
        <v>115</v>
      </c>
      <c r="H893" s="292">
        <v>0</v>
      </c>
      <c r="I893" s="139">
        <f t="shared" si="84"/>
        <v>115</v>
      </c>
      <c r="J893" s="266">
        <f t="shared" si="85"/>
        <v>0.44750000000000001</v>
      </c>
      <c r="K893" s="136">
        <f t="shared" si="80"/>
        <v>7.8</v>
      </c>
      <c r="L893" s="136">
        <f t="shared" si="81"/>
        <v>0</v>
      </c>
      <c r="M893" s="136">
        <f t="shared" si="82"/>
        <v>7.8</v>
      </c>
      <c r="O893" s="134"/>
      <c r="P893" s="259"/>
    </row>
    <row r="894" spans="1:16">
      <c r="A894" s="134">
        <v>415</v>
      </c>
      <c r="B894" s="259" t="s">
        <v>2716</v>
      </c>
      <c r="C894" s="129" t="s">
        <v>2717</v>
      </c>
      <c r="D894" s="292">
        <v>270</v>
      </c>
      <c r="E894" s="292">
        <v>0</v>
      </c>
      <c r="F894" s="139">
        <f t="shared" si="83"/>
        <v>270</v>
      </c>
      <c r="G894" s="292">
        <v>112</v>
      </c>
      <c r="H894" s="292">
        <v>0</v>
      </c>
      <c r="I894" s="139">
        <f t="shared" si="84"/>
        <v>112</v>
      </c>
      <c r="J894" s="266">
        <f t="shared" si="85"/>
        <v>0.4148</v>
      </c>
      <c r="K894" s="136">
        <f t="shared" si="80"/>
        <v>5.0999999999999996</v>
      </c>
      <c r="L894" s="136">
        <f t="shared" si="81"/>
        <v>0</v>
      </c>
      <c r="M894" s="136">
        <f t="shared" si="82"/>
        <v>5.0999999999999996</v>
      </c>
      <c r="O894" s="134"/>
      <c r="P894" s="259"/>
    </row>
    <row r="895" spans="1:16">
      <c r="A895" s="134">
        <v>416</v>
      </c>
      <c r="B895" s="259" t="s">
        <v>2718</v>
      </c>
      <c r="C895" s="129" t="s">
        <v>2719</v>
      </c>
      <c r="D895" s="292">
        <v>362</v>
      </c>
      <c r="E895" s="292">
        <v>0</v>
      </c>
      <c r="F895" s="139">
        <f t="shared" si="83"/>
        <v>362</v>
      </c>
      <c r="G895" s="292">
        <v>63</v>
      </c>
      <c r="H895" s="292">
        <v>0</v>
      </c>
      <c r="I895" s="139">
        <f t="shared" si="84"/>
        <v>63</v>
      </c>
      <c r="J895" s="266">
        <f t="shared" si="85"/>
        <v>0.17399999999999999</v>
      </c>
      <c r="K895" s="136">
        <f t="shared" si="80"/>
        <v>0</v>
      </c>
      <c r="L895" s="136">
        <f t="shared" si="81"/>
        <v>0</v>
      </c>
      <c r="M895" s="136">
        <f t="shared" si="82"/>
        <v>0</v>
      </c>
      <c r="O895" s="134"/>
      <c r="P895" s="259"/>
    </row>
    <row r="896" spans="1:16">
      <c r="A896" s="134">
        <v>416</v>
      </c>
      <c r="B896" s="259" t="s">
        <v>2720</v>
      </c>
      <c r="C896" s="129" t="s">
        <v>2721</v>
      </c>
      <c r="D896" s="292">
        <v>552</v>
      </c>
      <c r="E896" s="292">
        <v>0</v>
      </c>
      <c r="F896" s="139">
        <f t="shared" si="83"/>
        <v>552</v>
      </c>
      <c r="G896" s="292">
        <v>76</v>
      </c>
      <c r="H896" s="292">
        <v>0</v>
      </c>
      <c r="I896" s="139">
        <f t="shared" si="84"/>
        <v>76</v>
      </c>
      <c r="J896" s="266">
        <f t="shared" si="85"/>
        <v>0.13769999999999999</v>
      </c>
      <c r="K896" s="136">
        <f t="shared" si="80"/>
        <v>0</v>
      </c>
      <c r="L896" s="136">
        <f t="shared" si="81"/>
        <v>0</v>
      </c>
      <c r="M896" s="136">
        <f t="shared" si="82"/>
        <v>0</v>
      </c>
      <c r="O896" s="134"/>
      <c r="P896" s="259"/>
    </row>
    <row r="897" spans="1:16">
      <c r="A897" s="134">
        <v>416</v>
      </c>
      <c r="B897" s="259" t="s">
        <v>4055</v>
      </c>
      <c r="C897" s="129" t="s">
        <v>4056</v>
      </c>
      <c r="D897" s="292">
        <v>0</v>
      </c>
      <c r="E897" s="292">
        <v>0</v>
      </c>
      <c r="F897" s="139">
        <f t="shared" si="83"/>
        <v>0</v>
      </c>
      <c r="G897" s="292">
        <v>0</v>
      </c>
      <c r="H897" s="292">
        <v>0</v>
      </c>
      <c r="I897" s="139">
        <f t="shared" si="84"/>
        <v>0</v>
      </c>
      <c r="J897" s="266">
        <f t="shared" si="85"/>
        <v>0</v>
      </c>
      <c r="K897" s="136">
        <f t="shared" si="80"/>
        <v>0</v>
      </c>
      <c r="L897" s="136">
        <f t="shared" si="81"/>
        <v>0</v>
      </c>
      <c r="M897" s="136">
        <f t="shared" si="82"/>
        <v>0</v>
      </c>
      <c r="O897" s="134"/>
      <c r="P897" s="259"/>
    </row>
    <row r="898" spans="1:16">
      <c r="A898" s="134">
        <v>416</v>
      </c>
      <c r="B898" s="259" t="s">
        <v>2722</v>
      </c>
      <c r="C898" s="129" t="s">
        <v>2723</v>
      </c>
      <c r="D898" s="292">
        <v>372</v>
      </c>
      <c r="E898" s="292">
        <v>0</v>
      </c>
      <c r="F898" s="139">
        <f t="shared" si="83"/>
        <v>372</v>
      </c>
      <c r="G898" s="292">
        <v>60</v>
      </c>
      <c r="H898" s="292">
        <v>0</v>
      </c>
      <c r="I898" s="139">
        <f t="shared" si="84"/>
        <v>60</v>
      </c>
      <c r="J898" s="266">
        <f t="shared" si="85"/>
        <v>0.1613</v>
      </c>
      <c r="K898" s="136">
        <f t="shared" si="80"/>
        <v>0</v>
      </c>
      <c r="L898" s="136">
        <f t="shared" si="81"/>
        <v>0</v>
      </c>
      <c r="M898" s="136">
        <f t="shared" si="82"/>
        <v>0</v>
      </c>
      <c r="O898" s="134"/>
      <c r="P898" s="259"/>
    </row>
    <row r="899" spans="1:16">
      <c r="A899" s="263">
        <v>416</v>
      </c>
      <c r="B899" s="264" t="s">
        <v>2724</v>
      </c>
      <c r="C899" s="265" t="s">
        <v>2725</v>
      </c>
      <c r="D899" s="294">
        <v>406</v>
      </c>
      <c r="E899" s="294">
        <v>0</v>
      </c>
      <c r="F899" s="139">
        <f t="shared" si="83"/>
        <v>406</v>
      </c>
      <c r="G899" s="294">
        <v>105</v>
      </c>
      <c r="H899" s="294">
        <v>0</v>
      </c>
      <c r="I899" s="139">
        <f t="shared" si="84"/>
        <v>105</v>
      </c>
      <c r="J899" s="266">
        <f t="shared" si="85"/>
        <v>0.2586</v>
      </c>
      <c r="K899" s="136">
        <f t="shared" si="80"/>
        <v>0</v>
      </c>
      <c r="L899" s="136">
        <f t="shared" si="81"/>
        <v>0</v>
      </c>
      <c r="M899" s="136">
        <f t="shared" si="82"/>
        <v>0</v>
      </c>
      <c r="O899" s="263"/>
      <c r="P899" s="259"/>
    </row>
    <row r="900" spans="1:16">
      <c r="A900" s="134">
        <v>417</v>
      </c>
      <c r="B900" s="259" t="s">
        <v>2726</v>
      </c>
      <c r="C900" s="129" t="s">
        <v>2727</v>
      </c>
      <c r="D900" s="292">
        <v>74</v>
      </c>
      <c r="E900" s="292">
        <v>0</v>
      </c>
      <c r="F900" s="139">
        <f t="shared" si="83"/>
        <v>74</v>
      </c>
      <c r="G900" s="292">
        <v>29</v>
      </c>
      <c r="H900" s="292">
        <v>0</v>
      </c>
      <c r="I900" s="139">
        <f t="shared" si="84"/>
        <v>29</v>
      </c>
      <c r="J900" s="266">
        <f t="shared" si="85"/>
        <v>0.39190000000000003</v>
      </c>
      <c r="K900" s="136">
        <f t="shared" si="80"/>
        <v>0.9</v>
      </c>
      <c r="L900" s="136">
        <f t="shared" si="81"/>
        <v>0</v>
      </c>
      <c r="M900" s="136">
        <f t="shared" si="82"/>
        <v>0.9</v>
      </c>
      <c r="O900" s="134"/>
      <c r="P900" s="259"/>
    </row>
    <row r="901" spans="1:16">
      <c r="A901" s="134">
        <v>417</v>
      </c>
      <c r="B901" s="259" t="s">
        <v>2728</v>
      </c>
      <c r="C901" s="129" t="s">
        <v>2729</v>
      </c>
      <c r="D901" s="292">
        <v>333</v>
      </c>
      <c r="E901" s="292">
        <v>0</v>
      </c>
      <c r="F901" s="139">
        <f t="shared" si="83"/>
        <v>333</v>
      </c>
      <c r="G901" s="292">
        <v>166</v>
      </c>
      <c r="H901" s="292">
        <v>0</v>
      </c>
      <c r="I901" s="139">
        <f t="shared" si="84"/>
        <v>166</v>
      </c>
      <c r="J901" s="266">
        <f t="shared" si="85"/>
        <v>0.4985</v>
      </c>
      <c r="K901" s="136">
        <f t="shared" ref="K901:K964" si="86">IF(AND((J901-35%)&gt;0,J901&lt;50%),I901*(J901-35%)*0.7,0)</f>
        <v>17.3</v>
      </c>
      <c r="L901" s="136">
        <f t="shared" ref="L901:L964" si="87">IF(J901&gt;=50%,I901*10.5%,0)</f>
        <v>0</v>
      </c>
      <c r="M901" s="136">
        <f t="shared" ref="M901:M964" si="88">MAX(K901,L901)</f>
        <v>17.3</v>
      </c>
      <c r="O901" s="134"/>
      <c r="P901" s="259"/>
    </row>
    <row r="902" spans="1:16">
      <c r="A902" s="134">
        <v>417</v>
      </c>
      <c r="B902" s="259" t="s">
        <v>2730</v>
      </c>
      <c r="C902" s="129" t="s">
        <v>2731</v>
      </c>
      <c r="D902" s="292">
        <v>360</v>
      </c>
      <c r="E902" s="292">
        <v>0</v>
      </c>
      <c r="F902" s="139">
        <f t="shared" ref="F902:F965" si="89">D902+E902</f>
        <v>360</v>
      </c>
      <c r="G902" s="292">
        <v>177</v>
      </c>
      <c r="H902" s="292">
        <v>0</v>
      </c>
      <c r="I902" s="139">
        <f t="shared" ref="I902:I965" si="90">G902+H902</f>
        <v>177</v>
      </c>
      <c r="J902" s="266">
        <f t="shared" ref="J902:J965" si="91">IF(ISERROR(I902/F902),0,I902/F902)</f>
        <v>0.49170000000000003</v>
      </c>
      <c r="K902" s="136">
        <f t="shared" si="86"/>
        <v>17.600000000000001</v>
      </c>
      <c r="L902" s="136">
        <f t="shared" si="87"/>
        <v>0</v>
      </c>
      <c r="M902" s="136">
        <f t="shared" si="88"/>
        <v>17.600000000000001</v>
      </c>
      <c r="O902" s="134"/>
      <c r="P902" s="259"/>
    </row>
    <row r="903" spans="1:16">
      <c r="A903" s="134">
        <v>418</v>
      </c>
      <c r="B903" s="259" t="s">
        <v>2732</v>
      </c>
      <c r="C903" s="129" t="s">
        <v>2733</v>
      </c>
      <c r="D903" s="292">
        <v>260</v>
      </c>
      <c r="E903" s="292">
        <v>0</v>
      </c>
      <c r="F903" s="139">
        <f t="shared" si="89"/>
        <v>260</v>
      </c>
      <c r="G903" s="292">
        <v>59</v>
      </c>
      <c r="H903" s="292">
        <v>0</v>
      </c>
      <c r="I903" s="139">
        <f t="shared" si="90"/>
        <v>59</v>
      </c>
      <c r="J903" s="266">
        <f t="shared" si="91"/>
        <v>0.22689999999999999</v>
      </c>
      <c r="K903" s="136">
        <f t="shared" si="86"/>
        <v>0</v>
      </c>
      <c r="L903" s="136">
        <f t="shared" si="87"/>
        <v>0</v>
      </c>
      <c r="M903" s="136">
        <f t="shared" si="88"/>
        <v>0</v>
      </c>
      <c r="O903" s="134"/>
      <c r="P903" s="259"/>
    </row>
    <row r="904" spans="1:16">
      <c r="A904" s="134">
        <v>418</v>
      </c>
      <c r="B904" s="259" t="s">
        <v>2734</v>
      </c>
      <c r="C904" s="129" t="s">
        <v>2030</v>
      </c>
      <c r="D904" s="292">
        <v>240</v>
      </c>
      <c r="E904" s="292">
        <v>0</v>
      </c>
      <c r="F904" s="139">
        <f t="shared" si="89"/>
        <v>240</v>
      </c>
      <c r="G904" s="292">
        <v>127</v>
      </c>
      <c r="H904" s="292">
        <v>0</v>
      </c>
      <c r="I904" s="139">
        <f t="shared" si="90"/>
        <v>127</v>
      </c>
      <c r="J904" s="266">
        <f t="shared" si="91"/>
        <v>0.5292</v>
      </c>
      <c r="K904" s="136">
        <f t="shared" si="86"/>
        <v>0</v>
      </c>
      <c r="L904" s="136">
        <f t="shared" si="87"/>
        <v>13.3</v>
      </c>
      <c r="M904" s="136">
        <f t="shared" si="88"/>
        <v>13.3</v>
      </c>
      <c r="O904" s="134"/>
      <c r="P904" s="259"/>
    </row>
    <row r="905" spans="1:16">
      <c r="A905" s="134">
        <v>418</v>
      </c>
      <c r="B905" s="259" t="s">
        <v>2735</v>
      </c>
      <c r="C905" s="129" t="s">
        <v>2736</v>
      </c>
      <c r="D905" s="292">
        <v>260</v>
      </c>
      <c r="E905" s="292">
        <v>0</v>
      </c>
      <c r="F905" s="139">
        <f t="shared" si="89"/>
        <v>260</v>
      </c>
      <c r="G905" s="292">
        <v>152</v>
      </c>
      <c r="H905" s="292">
        <v>0</v>
      </c>
      <c r="I905" s="139">
        <f t="shared" si="90"/>
        <v>152</v>
      </c>
      <c r="J905" s="266">
        <f t="shared" si="91"/>
        <v>0.58460000000000001</v>
      </c>
      <c r="K905" s="136">
        <f t="shared" si="86"/>
        <v>0</v>
      </c>
      <c r="L905" s="136">
        <f t="shared" si="87"/>
        <v>16</v>
      </c>
      <c r="M905" s="136">
        <f t="shared" si="88"/>
        <v>16</v>
      </c>
      <c r="O905" s="134"/>
      <c r="P905" s="259"/>
    </row>
    <row r="906" spans="1:16">
      <c r="A906" s="134">
        <v>418</v>
      </c>
      <c r="B906" s="259" t="s">
        <v>2737</v>
      </c>
      <c r="C906" s="129" t="s">
        <v>1433</v>
      </c>
      <c r="D906" s="292">
        <v>265</v>
      </c>
      <c r="E906" s="292">
        <v>0</v>
      </c>
      <c r="F906" s="139">
        <f t="shared" si="89"/>
        <v>265</v>
      </c>
      <c r="G906" s="292">
        <v>110</v>
      </c>
      <c r="H906" s="292">
        <v>0</v>
      </c>
      <c r="I906" s="139">
        <f t="shared" si="90"/>
        <v>110</v>
      </c>
      <c r="J906" s="266">
        <f t="shared" si="91"/>
        <v>0.41510000000000002</v>
      </c>
      <c r="K906" s="136">
        <f t="shared" si="86"/>
        <v>5</v>
      </c>
      <c r="L906" s="136">
        <f t="shared" si="87"/>
        <v>0</v>
      </c>
      <c r="M906" s="136">
        <f t="shared" si="88"/>
        <v>5</v>
      </c>
      <c r="O906" s="134"/>
      <c r="P906" s="259"/>
    </row>
    <row r="907" spans="1:16">
      <c r="A907" s="134">
        <v>418</v>
      </c>
      <c r="B907" s="259" t="s">
        <v>2738</v>
      </c>
      <c r="C907" s="129" t="s">
        <v>2739</v>
      </c>
      <c r="D907" s="292">
        <v>470</v>
      </c>
      <c r="E907" s="292">
        <v>0</v>
      </c>
      <c r="F907" s="139">
        <f t="shared" si="89"/>
        <v>470</v>
      </c>
      <c r="G907" s="292">
        <v>174</v>
      </c>
      <c r="H907" s="292">
        <v>0</v>
      </c>
      <c r="I907" s="139">
        <f t="shared" si="90"/>
        <v>174</v>
      </c>
      <c r="J907" s="266">
        <f t="shared" si="91"/>
        <v>0.37019999999999997</v>
      </c>
      <c r="K907" s="136">
        <f t="shared" si="86"/>
        <v>2.5</v>
      </c>
      <c r="L907" s="136">
        <f t="shared" si="87"/>
        <v>0</v>
      </c>
      <c r="M907" s="136">
        <f t="shared" si="88"/>
        <v>2.5</v>
      </c>
      <c r="O907" s="134"/>
      <c r="P907" s="259"/>
    </row>
    <row r="908" spans="1:16">
      <c r="A908" s="134">
        <v>418</v>
      </c>
      <c r="B908" s="259" t="s">
        <v>2740</v>
      </c>
      <c r="C908" s="129" t="s">
        <v>2741</v>
      </c>
      <c r="D908" s="292">
        <v>692</v>
      </c>
      <c r="E908" s="292">
        <v>0</v>
      </c>
      <c r="F908" s="139">
        <f t="shared" si="89"/>
        <v>692</v>
      </c>
      <c r="G908" s="292">
        <v>235</v>
      </c>
      <c r="H908" s="292">
        <v>0</v>
      </c>
      <c r="I908" s="139">
        <f t="shared" si="90"/>
        <v>235</v>
      </c>
      <c r="J908" s="266">
        <f t="shared" si="91"/>
        <v>0.33960000000000001</v>
      </c>
      <c r="K908" s="136">
        <f t="shared" si="86"/>
        <v>0</v>
      </c>
      <c r="L908" s="136">
        <f t="shared" si="87"/>
        <v>0</v>
      </c>
      <c r="M908" s="136">
        <f t="shared" si="88"/>
        <v>0</v>
      </c>
      <c r="O908" s="134"/>
      <c r="P908" s="259"/>
    </row>
    <row r="909" spans="1:16">
      <c r="A909" s="134">
        <v>419</v>
      </c>
      <c r="B909" s="259" t="s">
        <v>2742</v>
      </c>
      <c r="C909" s="129" t="s">
        <v>2743</v>
      </c>
      <c r="D909" s="292">
        <v>178</v>
      </c>
      <c r="E909" s="292">
        <v>0</v>
      </c>
      <c r="F909" s="139">
        <f t="shared" si="89"/>
        <v>178</v>
      </c>
      <c r="G909" s="292">
        <v>41</v>
      </c>
      <c r="H909" s="292">
        <v>0</v>
      </c>
      <c r="I909" s="139">
        <f t="shared" si="90"/>
        <v>41</v>
      </c>
      <c r="J909" s="266">
        <f t="shared" si="91"/>
        <v>0.2303</v>
      </c>
      <c r="K909" s="136">
        <f t="shared" si="86"/>
        <v>0</v>
      </c>
      <c r="L909" s="136">
        <f t="shared" si="87"/>
        <v>0</v>
      </c>
      <c r="M909" s="136">
        <f t="shared" si="88"/>
        <v>0</v>
      </c>
      <c r="O909" s="134"/>
      <c r="P909" s="259"/>
    </row>
    <row r="910" spans="1:16">
      <c r="A910" s="134">
        <v>419</v>
      </c>
      <c r="B910" s="259" t="s">
        <v>2744</v>
      </c>
      <c r="C910" s="129" t="s">
        <v>2745</v>
      </c>
      <c r="D910" s="292">
        <v>176</v>
      </c>
      <c r="E910" s="292">
        <v>0</v>
      </c>
      <c r="F910" s="139">
        <f t="shared" si="89"/>
        <v>176</v>
      </c>
      <c r="G910" s="292">
        <v>65</v>
      </c>
      <c r="H910" s="292">
        <v>0</v>
      </c>
      <c r="I910" s="139">
        <f t="shared" si="90"/>
        <v>65</v>
      </c>
      <c r="J910" s="266">
        <f t="shared" si="91"/>
        <v>0.36930000000000002</v>
      </c>
      <c r="K910" s="136">
        <f t="shared" si="86"/>
        <v>0.9</v>
      </c>
      <c r="L910" s="136">
        <f t="shared" si="87"/>
        <v>0</v>
      </c>
      <c r="M910" s="136">
        <f t="shared" si="88"/>
        <v>0.9</v>
      </c>
      <c r="O910" s="134"/>
      <c r="P910" s="259"/>
    </row>
    <row r="911" spans="1:16">
      <c r="A911" s="134">
        <v>420</v>
      </c>
      <c r="B911" s="259" t="s">
        <v>2746</v>
      </c>
      <c r="C911" s="129" t="s">
        <v>2747</v>
      </c>
      <c r="D911" s="292">
        <v>327</v>
      </c>
      <c r="E911" s="292">
        <v>0</v>
      </c>
      <c r="F911" s="139">
        <f t="shared" si="89"/>
        <v>327</v>
      </c>
      <c r="G911" s="292">
        <v>182</v>
      </c>
      <c r="H911" s="292">
        <v>0</v>
      </c>
      <c r="I911" s="139">
        <f t="shared" si="90"/>
        <v>182</v>
      </c>
      <c r="J911" s="266">
        <f t="shared" si="91"/>
        <v>0.55659999999999998</v>
      </c>
      <c r="K911" s="136">
        <f t="shared" si="86"/>
        <v>0</v>
      </c>
      <c r="L911" s="136">
        <f t="shared" si="87"/>
        <v>19.100000000000001</v>
      </c>
      <c r="M911" s="136">
        <f t="shared" si="88"/>
        <v>19.100000000000001</v>
      </c>
      <c r="O911" s="134"/>
      <c r="P911" s="259"/>
    </row>
    <row r="912" spans="1:16">
      <c r="A912" s="134">
        <v>420</v>
      </c>
      <c r="B912" s="259" t="s">
        <v>2748</v>
      </c>
      <c r="C912" s="129" t="s">
        <v>2749</v>
      </c>
      <c r="D912" s="292">
        <v>214</v>
      </c>
      <c r="E912" s="292">
        <v>0</v>
      </c>
      <c r="F912" s="139">
        <f t="shared" si="89"/>
        <v>214</v>
      </c>
      <c r="G912" s="292">
        <v>84</v>
      </c>
      <c r="H912" s="292">
        <v>0</v>
      </c>
      <c r="I912" s="139">
        <f t="shared" si="90"/>
        <v>84</v>
      </c>
      <c r="J912" s="266">
        <f t="shared" si="91"/>
        <v>0.39250000000000002</v>
      </c>
      <c r="K912" s="136">
        <f t="shared" si="86"/>
        <v>2.5</v>
      </c>
      <c r="L912" s="136">
        <f t="shared" si="87"/>
        <v>0</v>
      </c>
      <c r="M912" s="136">
        <f t="shared" si="88"/>
        <v>2.5</v>
      </c>
      <c r="O912" s="134"/>
      <c r="P912" s="259"/>
    </row>
    <row r="913" spans="1:16">
      <c r="A913" s="134">
        <v>420</v>
      </c>
      <c r="B913" s="259" t="s">
        <v>2750</v>
      </c>
      <c r="C913" s="129" t="s">
        <v>2751</v>
      </c>
      <c r="D913" s="292">
        <v>147</v>
      </c>
      <c r="E913" s="292">
        <v>0</v>
      </c>
      <c r="F913" s="139">
        <f t="shared" si="89"/>
        <v>147</v>
      </c>
      <c r="G913" s="292">
        <v>66</v>
      </c>
      <c r="H913" s="292">
        <v>0</v>
      </c>
      <c r="I913" s="139">
        <f t="shared" si="90"/>
        <v>66</v>
      </c>
      <c r="J913" s="266">
        <f t="shared" si="91"/>
        <v>0.44900000000000001</v>
      </c>
      <c r="K913" s="136">
        <f t="shared" si="86"/>
        <v>4.5999999999999996</v>
      </c>
      <c r="L913" s="136">
        <f t="shared" si="87"/>
        <v>0</v>
      </c>
      <c r="M913" s="136">
        <f t="shared" si="88"/>
        <v>4.5999999999999996</v>
      </c>
      <c r="O913" s="134"/>
      <c r="P913" s="259"/>
    </row>
    <row r="914" spans="1:16">
      <c r="A914" s="134">
        <v>421</v>
      </c>
      <c r="B914" s="259" t="s">
        <v>2752</v>
      </c>
      <c r="C914" s="129" t="s">
        <v>2753</v>
      </c>
      <c r="D914" s="292">
        <v>286</v>
      </c>
      <c r="E914" s="292">
        <v>0</v>
      </c>
      <c r="F914" s="139">
        <f t="shared" si="89"/>
        <v>286</v>
      </c>
      <c r="G914" s="292">
        <v>93</v>
      </c>
      <c r="H914" s="292">
        <v>0</v>
      </c>
      <c r="I914" s="139">
        <f t="shared" si="90"/>
        <v>93</v>
      </c>
      <c r="J914" s="266">
        <f t="shared" si="91"/>
        <v>0.32519999999999999</v>
      </c>
      <c r="K914" s="136">
        <f t="shared" si="86"/>
        <v>0</v>
      </c>
      <c r="L914" s="136">
        <f t="shared" si="87"/>
        <v>0</v>
      </c>
      <c r="M914" s="136">
        <f t="shared" si="88"/>
        <v>0</v>
      </c>
      <c r="O914" s="134"/>
      <c r="P914" s="259"/>
    </row>
    <row r="915" spans="1:16">
      <c r="A915" s="134">
        <v>421</v>
      </c>
      <c r="B915" s="259" t="s">
        <v>2754</v>
      </c>
      <c r="C915" s="129" t="s">
        <v>2755</v>
      </c>
      <c r="D915" s="292">
        <v>124</v>
      </c>
      <c r="E915" s="292">
        <v>0</v>
      </c>
      <c r="F915" s="139">
        <f t="shared" si="89"/>
        <v>124</v>
      </c>
      <c r="G915" s="292">
        <v>32</v>
      </c>
      <c r="H915" s="292">
        <v>0</v>
      </c>
      <c r="I915" s="139">
        <f t="shared" si="90"/>
        <v>32</v>
      </c>
      <c r="J915" s="266">
        <f t="shared" si="91"/>
        <v>0.2581</v>
      </c>
      <c r="K915" s="136">
        <f t="shared" si="86"/>
        <v>0</v>
      </c>
      <c r="L915" s="136">
        <f t="shared" si="87"/>
        <v>0</v>
      </c>
      <c r="M915" s="136">
        <f t="shared" si="88"/>
        <v>0</v>
      </c>
      <c r="O915" s="134"/>
      <c r="P915" s="259"/>
    </row>
    <row r="916" spans="1:16">
      <c r="A916" s="134">
        <v>422</v>
      </c>
      <c r="B916" s="259" t="s">
        <v>2756</v>
      </c>
      <c r="C916" s="129" t="s">
        <v>2757</v>
      </c>
      <c r="D916" s="292">
        <v>206</v>
      </c>
      <c r="E916" s="292">
        <v>0</v>
      </c>
      <c r="F916" s="139">
        <f t="shared" si="89"/>
        <v>206</v>
      </c>
      <c r="G916" s="292">
        <v>84</v>
      </c>
      <c r="H916" s="292">
        <v>0</v>
      </c>
      <c r="I916" s="139">
        <f t="shared" si="90"/>
        <v>84</v>
      </c>
      <c r="J916" s="266">
        <f t="shared" si="91"/>
        <v>0.4078</v>
      </c>
      <c r="K916" s="136">
        <f t="shared" si="86"/>
        <v>3.4</v>
      </c>
      <c r="L916" s="136">
        <f t="shared" si="87"/>
        <v>0</v>
      </c>
      <c r="M916" s="136">
        <f t="shared" si="88"/>
        <v>3.4</v>
      </c>
      <c r="O916" s="134"/>
      <c r="P916" s="259"/>
    </row>
    <row r="917" spans="1:16">
      <c r="A917" s="134">
        <v>422</v>
      </c>
      <c r="B917" s="259" t="s">
        <v>2758</v>
      </c>
      <c r="C917" s="129" t="s">
        <v>2759</v>
      </c>
      <c r="D917" s="292">
        <v>64</v>
      </c>
      <c r="E917" s="292">
        <v>0</v>
      </c>
      <c r="F917" s="139">
        <f t="shared" si="89"/>
        <v>64</v>
      </c>
      <c r="G917" s="292">
        <v>15</v>
      </c>
      <c r="H917" s="292">
        <v>0</v>
      </c>
      <c r="I917" s="139">
        <f t="shared" si="90"/>
        <v>15</v>
      </c>
      <c r="J917" s="266">
        <f t="shared" si="91"/>
        <v>0.2344</v>
      </c>
      <c r="K917" s="136">
        <f t="shared" si="86"/>
        <v>0</v>
      </c>
      <c r="L917" s="136">
        <f t="shared" si="87"/>
        <v>0</v>
      </c>
      <c r="M917" s="136">
        <f t="shared" si="88"/>
        <v>0</v>
      </c>
      <c r="O917" s="134"/>
      <c r="P917" s="259"/>
    </row>
    <row r="918" spans="1:16">
      <c r="A918" s="134">
        <v>423</v>
      </c>
      <c r="B918" s="259" t="s">
        <v>2760</v>
      </c>
      <c r="C918" s="129" t="s">
        <v>2761</v>
      </c>
      <c r="D918" s="292">
        <v>179</v>
      </c>
      <c r="E918" s="292">
        <v>0</v>
      </c>
      <c r="F918" s="139">
        <f t="shared" si="89"/>
        <v>179</v>
      </c>
      <c r="G918" s="292">
        <v>66</v>
      </c>
      <c r="H918" s="292">
        <v>0</v>
      </c>
      <c r="I918" s="139">
        <f t="shared" si="90"/>
        <v>66</v>
      </c>
      <c r="J918" s="266">
        <f t="shared" si="91"/>
        <v>0.36870000000000003</v>
      </c>
      <c r="K918" s="136">
        <f t="shared" si="86"/>
        <v>0.9</v>
      </c>
      <c r="L918" s="136">
        <f t="shared" si="87"/>
        <v>0</v>
      </c>
      <c r="M918" s="136">
        <f t="shared" si="88"/>
        <v>0.9</v>
      </c>
      <c r="O918" s="134"/>
      <c r="P918" s="259"/>
    </row>
    <row r="919" spans="1:16">
      <c r="A919" s="134">
        <v>423</v>
      </c>
      <c r="B919" s="259" t="s">
        <v>2762</v>
      </c>
      <c r="C919" s="129" t="s">
        <v>2763</v>
      </c>
      <c r="D919" s="292">
        <v>154</v>
      </c>
      <c r="E919" s="292">
        <v>0</v>
      </c>
      <c r="F919" s="139">
        <f t="shared" si="89"/>
        <v>154</v>
      </c>
      <c r="G919" s="292">
        <v>36</v>
      </c>
      <c r="H919" s="292">
        <v>0</v>
      </c>
      <c r="I919" s="139">
        <f t="shared" si="90"/>
        <v>36</v>
      </c>
      <c r="J919" s="266">
        <f t="shared" si="91"/>
        <v>0.23380000000000001</v>
      </c>
      <c r="K919" s="136">
        <f t="shared" si="86"/>
        <v>0</v>
      </c>
      <c r="L919" s="136">
        <f t="shared" si="87"/>
        <v>0</v>
      </c>
      <c r="M919" s="136">
        <f t="shared" si="88"/>
        <v>0</v>
      </c>
      <c r="O919" s="134"/>
      <c r="P919" s="259"/>
    </row>
    <row r="920" spans="1:16">
      <c r="A920" s="134">
        <v>423</v>
      </c>
      <c r="B920" s="259" t="s">
        <v>2764</v>
      </c>
      <c r="C920" s="129" t="s">
        <v>2765</v>
      </c>
      <c r="D920" s="292">
        <v>172</v>
      </c>
      <c r="E920" s="292">
        <v>0</v>
      </c>
      <c r="F920" s="139">
        <f t="shared" si="89"/>
        <v>172</v>
      </c>
      <c r="G920" s="292">
        <v>60</v>
      </c>
      <c r="H920" s="292">
        <v>0</v>
      </c>
      <c r="I920" s="139">
        <f t="shared" si="90"/>
        <v>60</v>
      </c>
      <c r="J920" s="266">
        <f t="shared" si="91"/>
        <v>0.3488</v>
      </c>
      <c r="K920" s="136">
        <f t="shared" si="86"/>
        <v>0</v>
      </c>
      <c r="L920" s="136">
        <f t="shared" si="87"/>
        <v>0</v>
      </c>
      <c r="M920" s="136">
        <f t="shared" si="88"/>
        <v>0</v>
      </c>
      <c r="O920" s="134"/>
      <c r="P920" s="259"/>
    </row>
    <row r="921" spans="1:16">
      <c r="A921" s="134">
        <v>426</v>
      </c>
      <c r="B921" s="259" t="s">
        <v>2766</v>
      </c>
      <c r="C921" s="129" t="s">
        <v>2767</v>
      </c>
      <c r="D921" s="292">
        <v>138</v>
      </c>
      <c r="E921" s="292">
        <v>0</v>
      </c>
      <c r="F921" s="139">
        <f t="shared" si="89"/>
        <v>138</v>
      </c>
      <c r="G921" s="292">
        <v>43</v>
      </c>
      <c r="H921" s="292">
        <v>0</v>
      </c>
      <c r="I921" s="139">
        <f t="shared" si="90"/>
        <v>43</v>
      </c>
      <c r="J921" s="266">
        <f t="shared" si="91"/>
        <v>0.31159999999999999</v>
      </c>
      <c r="K921" s="136">
        <f t="shared" si="86"/>
        <v>0</v>
      </c>
      <c r="L921" s="136">
        <f t="shared" si="87"/>
        <v>0</v>
      </c>
      <c r="M921" s="136">
        <f t="shared" si="88"/>
        <v>0</v>
      </c>
      <c r="O921" s="134"/>
      <c r="P921" s="259"/>
    </row>
    <row r="922" spans="1:16">
      <c r="A922" s="134">
        <v>426</v>
      </c>
      <c r="B922" s="259" t="s">
        <v>2768</v>
      </c>
      <c r="C922" s="129" t="s">
        <v>2769</v>
      </c>
      <c r="D922" s="292">
        <v>31</v>
      </c>
      <c r="E922" s="292">
        <v>0</v>
      </c>
      <c r="F922" s="139">
        <f t="shared" si="89"/>
        <v>31</v>
      </c>
      <c r="G922" s="292">
        <v>5</v>
      </c>
      <c r="H922" s="292">
        <v>0</v>
      </c>
      <c r="I922" s="139">
        <f t="shared" si="90"/>
        <v>5</v>
      </c>
      <c r="J922" s="266">
        <f t="shared" si="91"/>
        <v>0.1613</v>
      </c>
      <c r="K922" s="136">
        <f t="shared" si="86"/>
        <v>0</v>
      </c>
      <c r="L922" s="136">
        <f t="shared" si="87"/>
        <v>0</v>
      </c>
      <c r="M922" s="136">
        <f t="shared" si="88"/>
        <v>0</v>
      </c>
      <c r="O922" s="134"/>
      <c r="P922" s="259"/>
    </row>
    <row r="923" spans="1:16">
      <c r="A923" s="134">
        <v>426</v>
      </c>
      <c r="B923" s="259" t="s">
        <v>2770</v>
      </c>
      <c r="C923" s="129" t="s">
        <v>2771</v>
      </c>
      <c r="D923" s="292">
        <v>47</v>
      </c>
      <c r="E923" s="292">
        <v>0</v>
      </c>
      <c r="F923" s="139">
        <f t="shared" si="89"/>
        <v>47</v>
      </c>
      <c r="G923" s="292">
        <v>15</v>
      </c>
      <c r="H923" s="292">
        <v>0</v>
      </c>
      <c r="I923" s="139">
        <f t="shared" si="90"/>
        <v>15</v>
      </c>
      <c r="J923" s="266">
        <f t="shared" si="91"/>
        <v>0.31909999999999999</v>
      </c>
      <c r="K923" s="136">
        <f t="shared" si="86"/>
        <v>0</v>
      </c>
      <c r="L923" s="136">
        <f t="shared" si="87"/>
        <v>0</v>
      </c>
      <c r="M923" s="136">
        <f t="shared" si="88"/>
        <v>0</v>
      </c>
      <c r="O923" s="134"/>
      <c r="P923" s="259"/>
    </row>
    <row r="924" spans="1:16">
      <c r="A924" s="134">
        <v>428</v>
      </c>
      <c r="B924" s="259" t="s">
        <v>2772</v>
      </c>
      <c r="C924" s="129" t="s">
        <v>1172</v>
      </c>
      <c r="D924" s="292">
        <v>298</v>
      </c>
      <c r="E924" s="292">
        <v>0</v>
      </c>
      <c r="F924" s="139">
        <f t="shared" si="89"/>
        <v>298</v>
      </c>
      <c r="G924" s="292">
        <v>226</v>
      </c>
      <c r="H924" s="292">
        <v>0</v>
      </c>
      <c r="I924" s="139">
        <f t="shared" si="90"/>
        <v>226</v>
      </c>
      <c r="J924" s="266">
        <f t="shared" si="91"/>
        <v>0.75839999999999996</v>
      </c>
      <c r="K924" s="136">
        <f t="shared" si="86"/>
        <v>0</v>
      </c>
      <c r="L924" s="136">
        <f t="shared" si="87"/>
        <v>23.7</v>
      </c>
      <c r="M924" s="136">
        <f t="shared" si="88"/>
        <v>23.7</v>
      </c>
      <c r="O924" s="134"/>
      <c r="P924" s="259"/>
    </row>
    <row r="925" spans="1:16">
      <c r="A925" s="134">
        <v>428</v>
      </c>
      <c r="B925" s="259" t="s">
        <v>2773</v>
      </c>
      <c r="C925" s="129" t="s">
        <v>1721</v>
      </c>
      <c r="D925" s="292">
        <v>282</v>
      </c>
      <c r="E925" s="292">
        <v>0</v>
      </c>
      <c r="F925" s="139">
        <f t="shared" si="89"/>
        <v>282</v>
      </c>
      <c r="G925" s="292">
        <v>121</v>
      </c>
      <c r="H925" s="292">
        <v>0</v>
      </c>
      <c r="I925" s="139">
        <f t="shared" si="90"/>
        <v>121</v>
      </c>
      <c r="J925" s="266">
        <f t="shared" si="91"/>
        <v>0.42909999999999998</v>
      </c>
      <c r="K925" s="136">
        <f t="shared" si="86"/>
        <v>6.7</v>
      </c>
      <c r="L925" s="136">
        <f t="shared" si="87"/>
        <v>0</v>
      </c>
      <c r="M925" s="136">
        <f t="shared" si="88"/>
        <v>6.7</v>
      </c>
      <c r="O925" s="134"/>
      <c r="P925" s="259"/>
    </row>
    <row r="926" spans="1:16">
      <c r="A926" s="134">
        <v>428</v>
      </c>
      <c r="B926" s="259" t="s">
        <v>2774</v>
      </c>
      <c r="C926" s="129" t="s">
        <v>2030</v>
      </c>
      <c r="D926" s="292">
        <v>239</v>
      </c>
      <c r="E926" s="292">
        <v>0</v>
      </c>
      <c r="F926" s="139">
        <f t="shared" si="89"/>
        <v>239</v>
      </c>
      <c r="G926" s="292">
        <v>120</v>
      </c>
      <c r="H926" s="292">
        <v>0</v>
      </c>
      <c r="I926" s="139">
        <f t="shared" si="90"/>
        <v>120</v>
      </c>
      <c r="J926" s="266">
        <f t="shared" si="91"/>
        <v>0.50209999999999999</v>
      </c>
      <c r="K926" s="136">
        <f t="shared" si="86"/>
        <v>0</v>
      </c>
      <c r="L926" s="136">
        <f t="shared" si="87"/>
        <v>12.6</v>
      </c>
      <c r="M926" s="136">
        <f t="shared" si="88"/>
        <v>12.6</v>
      </c>
      <c r="O926" s="134"/>
      <c r="P926" s="259"/>
    </row>
    <row r="927" spans="1:16">
      <c r="A927" s="134">
        <v>428</v>
      </c>
      <c r="B927" s="259" t="s">
        <v>2775</v>
      </c>
      <c r="C927" s="129" t="s">
        <v>2776</v>
      </c>
      <c r="D927" s="292">
        <v>266</v>
      </c>
      <c r="E927" s="292">
        <v>0</v>
      </c>
      <c r="F927" s="139">
        <f t="shared" si="89"/>
        <v>266</v>
      </c>
      <c r="G927" s="292">
        <v>208</v>
      </c>
      <c r="H927" s="292">
        <v>0</v>
      </c>
      <c r="I927" s="139">
        <f t="shared" si="90"/>
        <v>208</v>
      </c>
      <c r="J927" s="266">
        <f t="shared" si="91"/>
        <v>0.78200000000000003</v>
      </c>
      <c r="K927" s="136">
        <f t="shared" si="86"/>
        <v>0</v>
      </c>
      <c r="L927" s="136">
        <f t="shared" si="87"/>
        <v>21.8</v>
      </c>
      <c r="M927" s="136">
        <f t="shared" si="88"/>
        <v>21.8</v>
      </c>
      <c r="O927" s="134"/>
      <c r="P927" s="259"/>
    </row>
    <row r="928" spans="1:16">
      <c r="A928" s="134">
        <v>428</v>
      </c>
      <c r="B928" s="259" t="s">
        <v>2777</v>
      </c>
      <c r="C928" s="129" t="s">
        <v>2778</v>
      </c>
      <c r="D928" s="292">
        <v>290</v>
      </c>
      <c r="E928" s="292">
        <v>0</v>
      </c>
      <c r="F928" s="139">
        <f t="shared" si="89"/>
        <v>290</v>
      </c>
      <c r="G928" s="292">
        <v>258</v>
      </c>
      <c r="H928" s="292">
        <v>0</v>
      </c>
      <c r="I928" s="139">
        <f t="shared" si="90"/>
        <v>258</v>
      </c>
      <c r="J928" s="266">
        <f t="shared" si="91"/>
        <v>0.88970000000000005</v>
      </c>
      <c r="K928" s="136">
        <f t="shared" si="86"/>
        <v>0</v>
      </c>
      <c r="L928" s="136">
        <f t="shared" si="87"/>
        <v>27.1</v>
      </c>
      <c r="M928" s="136">
        <f t="shared" si="88"/>
        <v>27.1</v>
      </c>
      <c r="O928" s="134"/>
      <c r="P928" s="259"/>
    </row>
    <row r="929" spans="1:16">
      <c r="A929" s="134">
        <v>428</v>
      </c>
      <c r="B929" s="259" t="s">
        <v>2779</v>
      </c>
      <c r="C929" s="129" t="s">
        <v>2780</v>
      </c>
      <c r="D929" s="292">
        <v>423</v>
      </c>
      <c r="E929" s="292">
        <v>0</v>
      </c>
      <c r="F929" s="139">
        <f t="shared" si="89"/>
        <v>423</v>
      </c>
      <c r="G929" s="292">
        <v>246</v>
      </c>
      <c r="H929" s="292">
        <v>0</v>
      </c>
      <c r="I929" s="139">
        <f t="shared" si="90"/>
        <v>246</v>
      </c>
      <c r="J929" s="266">
        <f t="shared" si="91"/>
        <v>0.58160000000000001</v>
      </c>
      <c r="K929" s="136">
        <f t="shared" si="86"/>
        <v>0</v>
      </c>
      <c r="L929" s="136">
        <f t="shared" si="87"/>
        <v>25.8</v>
      </c>
      <c r="M929" s="136">
        <f t="shared" si="88"/>
        <v>25.8</v>
      </c>
      <c r="O929" s="134"/>
      <c r="P929" s="259"/>
    </row>
    <row r="930" spans="1:16">
      <c r="A930" s="134">
        <v>428</v>
      </c>
      <c r="B930" s="259" t="s">
        <v>2781</v>
      </c>
      <c r="C930" s="129" t="s">
        <v>2782</v>
      </c>
      <c r="D930" s="292">
        <v>941</v>
      </c>
      <c r="E930" s="292">
        <v>0</v>
      </c>
      <c r="F930" s="139">
        <f t="shared" si="89"/>
        <v>941</v>
      </c>
      <c r="G930" s="292">
        <v>536</v>
      </c>
      <c r="H930" s="292">
        <v>0</v>
      </c>
      <c r="I930" s="139">
        <f t="shared" si="90"/>
        <v>536</v>
      </c>
      <c r="J930" s="266">
        <f t="shared" si="91"/>
        <v>0.5696</v>
      </c>
      <c r="K930" s="136">
        <f t="shared" si="86"/>
        <v>0</v>
      </c>
      <c r="L930" s="136">
        <f t="shared" si="87"/>
        <v>56.3</v>
      </c>
      <c r="M930" s="136">
        <f t="shared" si="88"/>
        <v>56.3</v>
      </c>
      <c r="O930" s="134"/>
      <c r="P930" s="259"/>
    </row>
    <row r="931" spans="1:16">
      <c r="A931" s="134">
        <v>429</v>
      </c>
      <c r="B931" s="259" t="s">
        <v>2783</v>
      </c>
      <c r="C931" s="129" t="s">
        <v>2784</v>
      </c>
      <c r="D931" s="292">
        <v>140</v>
      </c>
      <c r="E931" s="292">
        <v>0</v>
      </c>
      <c r="F931" s="139">
        <f t="shared" si="89"/>
        <v>140</v>
      </c>
      <c r="G931" s="292">
        <v>35</v>
      </c>
      <c r="H931" s="292">
        <v>0</v>
      </c>
      <c r="I931" s="139">
        <f t="shared" si="90"/>
        <v>35</v>
      </c>
      <c r="J931" s="266">
        <f t="shared" si="91"/>
        <v>0.25</v>
      </c>
      <c r="K931" s="136">
        <f t="shared" si="86"/>
        <v>0</v>
      </c>
      <c r="L931" s="136">
        <f t="shared" si="87"/>
        <v>0</v>
      </c>
      <c r="M931" s="136">
        <f t="shared" si="88"/>
        <v>0</v>
      </c>
      <c r="O931" s="134"/>
      <c r="P931" s="259"/>
    </row>
    <row r="932" spans="1:16">
      <c r="A932" s="134">
        <v>429</v>
      </c>
      <c r="B932" s="259" t="s">
        <v>2785</v>
      </c>
      <c r="C932" s="129" t="s">
        <v>2786</v>
      </c>
      <c r="D932" s="292">
        <v>159</v>
      </c>
      <c r="E932" s="292">
        <v>0</v>
      </c>
      <c r="F932" s="139">
        <f t="shared" si="89"/>
        <v>159</v>
      </c>
      <c r="G932" s="292">
        <v>37</v>
      </c>
      <c r="H932" s="292">
        <v>0</v>
      </c>
      <c r="I932" s="139">
        <f t="shared" si="90"/>
        <v>37</v>
      </c>
      <c r="J932" s="266">
        <f t="shared" si="91"/>
        <v>0.23269999999999999</v>
      </c>
      <c r="K932" s="136">
        <f t="shared" si="86"/>
        <v>0</v>
      </c>
      <c r="L932" s="136">
        <f t="shared" si="87"/>
        <v>0</v>
      </c>
      <c r="M932" s="136">
        <f t="shared" si="88"/>
        <v>0</v>
      </c>
      <c r="O932" s="134"/>
      <c r="P932" s="259"/>
    </row>
    <row r="933" spans="1:16">
      <c r="A933" s="134">
        <v>430</v>
      </c>
      <c r="B933" s="259" t="s">
        <v>2787</v>
      </c>
      <c r="C933" s="129" t="s">
        <v>2788</v>
      </c>
      <c r="D933" s="292">
        <v>139</v>
      </c>
      <c r="E933" s="292">
        <v>0</v>
      </c>
      <c r="F933" s="139">
        <f t="shared" si="89"/>
        <v>139</v>
      </c>
      <c r="G933" s="292">
        <v>75</v>
      </c>
      <c r="H933" s="292">
        <v>0</v>
      </c>
      <c r="I933" s="139">
        <f t="shared" si="90"/>
        <v>75</v>
      </c>
      <c r="J933" s="266">
        <f t="shared" si="91"/>
        <v>0.53959999999999997</v>
      </c>
      <c r="K933" s="136">
        <f t="shared" si="86"/>
        <v>0</v>
      </c>
      <c r="L933" s="136">
        <f t="shared" si="87"/>
        <v>7.9</v>
      </c>
      <c r="M933" s="136">
        <f t="shared" si="88"/>
        <v>7.9</v>
      </c>
      <c r="O933" s="134"/>
      <c r="P933" s="259"/>
    </row>
    <row r="934" spans="1:16">
      <c r="A934" s="134">
        <v>430</v>
      </c>
      <c r="B934" s="259" t="s">
        <v>2789</v>
      </c>
      <c r="C934" s="129" t="s">
        <v>2790</v>
      </c>
      <c r="D934" s="292">
        <v>220</v>
      </c>
      <c r="E934" s="292">
        <v>0</v>
      </c>
      <c r="F934" s="139">
        <f t="shared" si="89"/>
        <v>220</v>
      </c>
      <c r="G934" s="292">
        <v>123</v>
      </c>
      <c r="H934" s="292">
        <v>0</v>
      </c>
      <c r="I934" s="139">
        <f t="shared" si="90"/>
        <v>123</v>
      </c>
      <c r="J934" s="266">
        <f t="shared" si="91"/>
        <v>0.55910000000000004</v>
      </c>
      <c r="K934" s="136">
        <f t="shared" si="86"/>
        <v>0</v>
      </c>
      <c r="L934" s="136">
        <f t="shared" si="87"/>
        <v>12.9</v>
      </c>
      <c r="M934" s="136">
        <f t="shared" si="88"/>
        <v>12.9</v>
      </c>
      <c r="O934" s="134"/>
      <c r="P934" s="259"/>
    </row>
    <row r="935" spans="1:16">
      <c r="A935" s="134">
        <v>430</v>
      </c>
      <c r="B935" s="259" t="s">
        <v>2791</v>
      </c>
      <c r="C935" s="129" t="s">
        <v>2792</v>
      </c>
      <c r="D935" s="292">
        <v>160</v>
      </c>
      <c r="E935" s="292">
        <v>0</v>
      </c>
      <c r="F935" s="139">
        <f t="shared" si="89"/>
        <v>160</v>
      </c>
      <c r="G935" s="292">
        <v>84</v>
      </c>
      <c r="H935" s="292">
        <v>0</v>
      </c>
      <c r="I935" s="139">
        <f t="shared" si="90"/>
        <v>84</v>
      </c>
      <c r="J935" s="266">
        <f t="shared" si="91"/>
        <v>0.52500000000000002</v>
      </c>
      <c r="K935" s="136">
        <f t="shared" si="86"/>
        <v>0</v>
      </c>
      <c r="L935" s="136">
        <f t="shared" si="87"/>
        <v>8.8000000000000007</v>
      </c>
      <c r="M935" s="136">
        <f t="shared" si="88"/>
        <v>8.8000000000000007</v>
      </c>
      <c r="O935" s="134"/>
      <c r="P935" s="259"/>
    </row>
    <row r="936" spans="1:16">
      <c r="A936" s="134">
        <v>431</v>
      </c>
      <c r="B936" s="259" t="s">
        <v>2793</v>
      </c>
      <c r="C936" s="129" t="s">
        <v>2794</v>
      </c>
      <c r="D936" s="292">
        <v>194</v>
      </c>
      <c r="E936" s="292">
        <v>0</v>
      </c>
      <c r="F936" s="139">
        <f t="shared" si="89"/>
        <v>194</v>
      </c>
      <c r="G936" s="292">
        <v>97</v>
      </c>
      <c r="H936" s="292">
        <v>0</v>
      </c>
      <c r="I936" s="139">
        <f t="shared" si="90"/>
        <v>97</v>
      </c>
      <c r="J936" s="266">
        <f t="shared" si="91"/>
        <v>0.5</v>
      </c>
      <c r="K936" s="136">
        <f t="shared" si="86"/>
        <v>0</v>
      </c>
      <c r="L936" s="136">
        <f t="shared" si="87"/>
        <v>10.199999999999999</v>
      </c>
      <c r="M936" s="136">
        <f t="shared" si="88"/>
        <v>10.199999999999999</v>
      </c>
      <c r="O936" s="134"/>
      <c r="P936" s="259"/>
    </row>
    <row r="937" spans="1:16">
      <c r="A937" s="134">
        <v>431</v>
      </c>
      <c r="B937" s="259" t="s">
        <v>2795</v>
      </c>
      <c r="C937" s="129" t="s">
        <v>2796</v>
      </c>
      <c r="D937" s="292">
        <v>125</v>
      </c>
      <c r="E937" s="292">
        <v>0</v>
      </c>
      <c r="F937" s="139">
        <f t="shared" si="89"/>
        <v>125</v>
      </c>
      <c r="G937" s="292">
        <v>63</v>
      </c>
      <c r="H937" s="292">
        <v>0</v>
      </c>
      <c r="I937" s="139">
        <f t="shared" si="90"/>
        <v>63</v>
      </c>
      <c r="J937" s="266">
        <f t="shared" si="91"/>
        <v>0.504</v>
      </c>
      <c r="K937" s="136">
        <f t="shared" si="86"/>
        <v>0</v>
      </c>
      <c r="L937" s="136">
        <f t="shared" si="87"/>
        <v>6.6</v>
      </c>
      <c r="M937" s="136">
        <f t="shared" si="88"/>
        <v>6.6</v>
      </c>
      <c r="O937" s="134"/>
      <c r="P937" s="259"/>
    </row>
    <row r="938" spans="1:16">
      <c r="A938" s="134">
        <v>431</v>
      </c>
      <c r="B938" s="259" t="s">
        <v>2797</v>
      </c>
      <c r="C938" s="129" t="s">
        <v>2798</v>
      </c>
      <c r="D938" s="292">
        <v>168</v>
      </c>
      <c r="E938" s="292">
        <v>0</v>
      </c>
      <c r="F938" s="139">
        <f t="shared" si="89"/>
        <v>168</v>
      </c>
      <c r="G938" s="292">
        <v>74</v>
      </c>
      <c r="H938" s="292">
        <v>0</v>
      </c>
      <c r="I938" s="139">
        <f t="shared" si="90"/>
        <v>74</v>
      </c>
      <c r="J938" s="266">
        <f t="shared" si="91"/>
        <v>0.4405</v>
      </c>
      <c r="K938" s="136">
        <f t="shared" si="86"/>
        <v>4.7</v>
      </c>
      <c r="L938" s="136">
        <f t="shared" si="87"/>
        <v>0</v>
      </c>
      <c r="M938" s="136">
        <f t="shared" si="88"/>
        <v>4.7</v>
      </c>
      <c r="O938" s="134"/>
      <c r="P938" s="259"/>
    </row>
    <row r="939" spans="1:16">
      <c r="A939" s="134">
        <v>431</v>
      </c>
      <c r="B939" s="259" t="s">
        <v>2799</v>
      </c>
      <c r="C939" s="129" t="s">
        <v>2800</v>
      </c>
      <c r="D939" s="292">
        <v>215</v>
      </c>
      <c r="E939" s="292">
        <v>0</v>
      </c>
      <c r="F939" s="139">
        <f t="shared" si="89"/>
        <v>215</v>
      </c>
      <c r="G939" s="292">
        <v>89</v>
      </c>
      <c r="H939" s="292">
        <v>0</v>
      </c>
      <c r="I939" s="139">
        <f t="shared" si="90"/>
        <v>89</v>
      </c>
      <c r="J939" s="266">
        <f t="shared" si="91"/>
        <v>0.41399999999999998</v>
      </c>
      <c r="K939" s="136">
        <f t="shared" si="86"/>
        <v>4</v>
      </c>
      <c r="L939" s="136">
        <f t="shared" si="87"/>
        <v>0</v>
      </c>
      <c r="M939" s="136">
        <f t="shared" si="88"/>
        <v>4</v>
      </c>
      <c r="O939" s="134"/>
      <c r="P939" s="259"/>
    </row>
    <row r="940" spans="1:16">
      <c r="A940" s="134">
        <v>432</v>
      </c>
      <c r="B940" s="259" t="s">
        <v>2801</v>
      </c>
      <c r="C940" s="129" t="s">
        <v>2802</v>
      </c>
      <c r="D940" s="292">
        <v>156</v>
      </c>
      <c r="E940" s="292">
        <v>0</v>
      </c>
      <c r="F940" s="139">
        <f t="shared" si="89"/>
        <v>156</v>
      </c>
      <c r="G940" s="292">
        <v>45</v>
      </c>
      <c r="H940" s="292">
        <v>0</v>
      </c>
      <c r="I940" s="139">
        <f t="shared" si="90"/>
        <v>45</v>
      </c>
      <c r="J940" s="266">
        <f t="shared" si="91"/>
        <v>0.28849999999999998</v>
      </c>
      <c r="K940" s="136">
        <f t="shared" si="86"/>
        <v>0</v>
      </c>
      <c r="L940" s="136">
        <f t="shared" si="87"/>
        <v>0</v>
      </c>
      <c r="M940" s="136">
        <f t="shared" si="88"/>
        <v>0</v>
      </c>
      <c r="O940" s="134"/>
      <c r="P940" s="259"/>
    </row>
    <row r="941" spans="1:16">
      <c r="A941" s="134">
        <v>432</v>
      </c>
      <c r="B941" s="259" t="s">
        <v>2803</v>
      </c>
      <c r="C941" s="129" t="s">
        <v>2804</v>
      </c>
      <c r="D941" s="292">
        <v>108</v>
      </c>
      <c r="E941" s="292">
        <v>0</v>
      </c>
      <c r="F941" s="139">
        <f t="shared" si="89"/>
        <v>108</v>
      </c>
      <c r="G941" s="292">
        <v>14</v>
      </c>
      <c r="H941" s="292">
        <v>0</v>
      </c>
      <c r="I941" s="139">
        <f t="shared" si="90"/>
        <v>14</v>
      </c>
      <c r="J941" s="266">
        <f t="shared" si="91"/>
        <v>0.12959999999999999</v>
      </c>
      <c r="K941" s="136">
        <f t="shared" si="86"/>
        <v>0</v>
      </c>
      <c r="L941" s="136">
        <f t="shared" si="87"/>
        <v>0</v>
      </c>
      <c r="M941" s="136">
        <f t="shared" si="88"/>
        <v>0</v>
      </c>
      <c r="O941" s="134"/>
      <c r="P941" s="259"/>
    </row>
    <row r="942" spans="1:16">
      <c r="A942" s="134">
        <v>434</v>
      </c>
      <c r="B942" s="259" t="s">
        <v>2805</v>
      </c>
      <c r="C942" s="129" t="s">
        <v>2806</v>
      </c>
      <c r="D942" s="292">
        <v>396</v>
      </c>
      <c r="E942" s="292">
        <v>0</v>
      </c>
      <c r="F942" s="139">
        <f t="shared" si="89"/>
        <v>396</v>
      </c>
      <c r="G942" s="292">
        <v>151</v>
      </c>
      <c r="H942" s="292">
        <v>0</v>
      </c>
      <c r="I942" s="139">
        <f t="shared" si="90"/>
        <v>151</v>
      </c>
      <c r="J942" s="266">
        <f t="shared" si="91"/>
        <v>0.38129999999999997</v>
      </c>
      <c r="K942" s="136">
        <f t="shared" si="86"/>
        <v>3.3</v>
      </c>
      <c r="L942" s="136">
        <f t="shared" si="87"/>
        <v>0</v>
      </c>
      <c r="M942" s="136">
        <f t="shared" si="88"/>
        <v>3.3</v>
      </c>
      <c r="O942" s="134"/>
      <c r="P942" s="259"/>
    </row>
    <row r="943" spans="1:16">
      <c r="A943" s="134">
        <v>434</v>
      </c>
      <c r="B943" s="259" t="s">
        <v>2807</v>
      </c>
      <c r="C943" s="129" t="s">
        <v>2808</v>
      </c>
      <c r="D943" s="292">
        <v>311</v>
      </c>
      <c r="E943" s="292">
        <v>0</v>
      </c>
      <c r="F943" s="139">
        <f t="shared" si="89"/>
        <v>311</v>
      </c>
      <c r="G943" s="292">
        <v>125</v>
      </c>
      <c r="H943" s="292">
        <v>0</v>
      </c>
      <c r="I943" s="139">
        <f t="shared" si="90"/>
        <v>125</v>
      </c>
      <c r="J943" s="266">
        <f t="shared" si="91"/>
        <v>0.40189999999999998</v>
      </c>
      <c r="K943" s="136">
        <f t="shared" si="86"/>
        <v>4.5</v>
      </c>
      <c r="L943" s="136">
        <f t="shared" si="87"/>
        <v>0</v>
      </c>
      <c r="M943" s="136">
        <f t="shared" si="88"/>
        <v>4.5</v>
      </c>
      <c r="O943" s="134"/>
      <c r="P943" s="259"/>
    </row>
    <row r="944" spans="1:16">
      <c r="A944" s="134">
        <v>434</v>
      </c>
      <c r="B944" s="259" t="s">
        <v>2809</v>
      </c>
      <c r="C944" s="129" t="s">
        <v>2810</v>
      </c>
      <c r="D944" s="292">
        <v>317</v>
      </c>
      <c r="E944" s="292">
        <v>0</v>
      </c>
      <c r="F944" s="139">
        <f t="shared" si="89"/>
        <v>317</v>
      </c>
      <c r="G944" s="292">
        <v>122</v>
      </c>
      <c r="H944" s="292">
        <v>0</v>
      </c>
      <c r="I944" s="139">
        <f t="shared" si="90"/>
        <v>122</v>
      </c>
      <c r="J944" s="266">
        <f t="shared" si="91"/>
        <v>0.38490000000000002</v>
      </c>
      <c r="K944" s="136">
        <f t="shared" si="86"/>
        <v>3</v>
      </c>
      <c r="L944" s="136">
        <f t="shared" si="87"/>
        <v>0</v>
      </c>
      <c r="M944" s="136">
        <f t="shared" si="88"/>
        <v>3</v>
      </c>
      <c r="O944" s="134"/>
      <c r="P944" s="259"/>
    </row>
    <row r="945" spans="1:16">
      <c r="A945" s="134">
        <v>435</v>
      </c>
      <c r="B945" s="259" t="s">
        <v>2811</v>
      </c>
      <c r="C945" s="129" t="s">
        <v>2812</v>
      </c>
      <c r="D945" s="292">
        <v>233</v>
      </c>
      <c r="E945" s="292">
        <v>0</v>
      </c>
      <c r="F945" s="139">
        <f t="shared" si="89"/>
        <v>233</v>
      </c>
      <c r="G945" s="292">
        <v>101</v>
      </c>
      <c r="H945" s="292">
        <v>0</v>
      </c>
      <c r="I945" s="139">
        <f t="shared" si="90"/>
        <v>101</v>
      </c>
      <c r="J945" s="266">
        <f t="shared" si="91"/>
        <v>0.4335</v>
      </c>
      <c r="K945" s="136">
        <f t="shared" si="86"/>
        <v>5.9</v>
      </c>
      <c r="L945" s="136">
        <f t="shared" si="87"/>
        <v>0</v>
      </c>
      <c r="M945" s="136">
        <f t="shared" si="88"/>
        <v>5.9</v>
      </c>
      <c r="O945" s="134"/>
      <c r="P945" s="259"/>
    </row>
    <row r="946" spans="1:16">
      <c r="A946" s="134">
        <v>435</v>
      </c>
      <c r="B946" s="259" t="s">
        <v>2813</v>
      </c>
      <c r="C946" s="129" t="s">
        <v>2356</v>
      </c>
      <c r="D946" s="292">
        <v>230</v>
      </c>
      <c r="E946" s="292">
        <v>0</v>
      </c>
      <c r="F946" s="139">
        <f t="shared" si="89"/>
        <v>230</v>
      </c>
      <c r="G946" s="292">
        <v>88</v>
      </c>
      <c r="H946" s="292">
        <v>0</v>
      </c>
      <c r="I946" s="139">
        <f t="shared" si="90"/>
        <v>88</v>
      </c>
      <c r="J946" s="266">
        <f t="shared" si="91"/>
        <v>0.3826</v>
      </c>
      <c r="K946" s="136">
        <f t="shared" si="86"/>
        <v>2</v>
      </c>
      <c r="L946" s="136">
        <f t="shared" si="87"/>
        <v>0</v>
      </c>
      <c r="M946" s="136">
        <f t="shared" si="88"/>
        <v>2</v>
      </c>
      <c r="O946" s="134"/>
      <c r="P946" s="259"/>
    </row>
    <row r="947" spans="1:16">
      <c r="A947" s="134">
        <v>435</v>
      </c>
      <c r="B947" s="259" t="s">
        <v>2814</v>
      </c>
      <c r="C947" s="129" t="s">
        <v>2815</v>
      </c>
      <c r="D947" s="292">
        <v>205</v>
      </c>
      <c r="E947" s="292">
        <v>0</v>
      </c>
      <c r="F947" s="139">
        <f t="shared" si="89"/>
        <v>205</v>
      </c>
      <c r="G947" s="292">
        <v>81</v>
      </c>
      <c r="H947" s="292">
        <v>0</v>
      </c>
      <c r="I947" s="139">
        <f t="shared" si="90"/>
        <v>81</v>
      </c>
      <c r="J947" s="266">
        <f t="shared" si="91"/>
        <v>0.39510000000000001</v>
      </c>
      <c r="K947" s="136">
        <f t="shared" si="86"/>
        <v>2.6</v>
      </c>
      <c r="L947" s="136">
        <f t="shared" si="87"/>
        <v>0</v>
      </c>
      <c r="M947" s="136">
        <f t="shared" si="88"/>
        <v>2.6</v>
      </c>
      <c r="O947" s="134"/>
      <c r="P947" s="259"/>
    </row>
    <row r="948" spans="1:16">
      <c r="A948" s="134">
        <v>435</v>
      </c>
      <c r="B948" s="259" t="s">
        <v>4057</v>
      </c>
      <c r="C948" s="129" t="s">
        <v>4058</v>
      </c>
      <c r="D948" s="292">
        <v>1</v>
      </c>
      <c r="E948" s="292">
        <v>0</v>
      </c>
      <c r="F948" s="139">
        <f t="shared" si="89"/>
        <v>1</v>
      </c>
      <c r="G948" s="292">
        <v>0</v>
      </c>
      <c r="H948" s="292">
        <v>0</v>
      </c>
      <c r="I948" s="139">
        <f t="shared" si="90"/>
        <v>0</v>
      </c>
      <c r="J948" s="266">
        <f t="shared" si="91"/>
        <v>0</v>
      </c>
      <c r="K948" s="136">
        <f t="shared" si="86"/>
        <v>0</v>
      </c>
      <c r="L948" s="136">
        <f t="shared" si="87"/>
        <v>0</v>
      </c>
      <c r="M948" s="136">
        <f t="shared" si="88"/>
        <v>0</v>
      </c>
      <c r="O948" s="134"/>
      <c r="P948" s="259"/>
    </row>
    <row r="949" spans="1:16">
      <c r="A949" s="134">
        <v>435</v>
      </c>
      <c r="B949" s="259" t="s">
        <v>2816</v>
      </c>
      <c r="C949" s="129" t="s">
        <v>2817</v>
      </c>
      <c r="D949" s="292">
        <v>332</v>
      </c>
      <c r="E949" s="292">
        <v>0</v>
      </c>
      <c r="F949" s="139">
        <f t="shared" si="89"/>
        <v>332</v>
      </c>
      <c r="G949" s="292">
        <v>153</v>
      </c>
      <c r="H949" s="292">
        <v>0</v>
      </c>
      <c r="I949" s="139">
        <f t="shared" si="90"/>
        <v>153</v>
      </c>
      <c r="J949" s="266">
        <f t="shared" si="91"/>
        <v>0.46079999999999999</v>
      </c>
      <c r="K949" s="136">
        <f t="shared" si="86"/>
        <v>11.9</v>
      </c>
      <c r="L949" s="136">
        <f t="shared" si="87"/>
        <v>0</v>
      </c>
      <c r="M949" s="136">
        <f t="shared" si="88"/>
        <v>11.9</v>
      </c>
      <c r="O949" s="134"/>
      <c r="P949" s="259"/>
    </row>
    <row r="950" spans="1:16">
      <c r="A950" s="134">
        <v>435</v>
      </c>
      <c r="B950" s="259" t="s">
        <v>2818</v>
      </c>
      <c r="C950" s="129" t="s">
        <v>2819</v>
      </c>
      <c r="D950" s="292">
        <v>460</v>
      </c>
      <c r="E950" s="292">
        <v>0</v>
      </c>
      <c r="F950" s="139">
        <f t="shared" si="89"/>
        <v>460</v>
      </c>
      <c r="G950" s="292">
        <v>151</v>
      </c>
      <c r="H950" s="292">
        <v>0</v>
      </c>
      <c r="I950" s="139">
        <f t="shared" si="90"/>
        <v>151</v>
      </c>
      <c r="J950" s="266">
        <f t="shared" si="91"/>
        <v>0.32829999999999998</v>
      </c>
      <c r="K950" s="136">
        <f t="shared" si="86"/>
        <v>0</v>
      </c>
      <c r="L950" s="136">
        <f t="shared" si="87"/>
        <v>0</v>
      </c>
      <c r="M950" s="136">
        <f t="shared" si="88"/>
        <v>0</v>
      </c>
      <c r="O950" s="134"/>
      <c r="P950" s="259"/>
    </row>
    <row r="951" spans="1:16">
      <c r="A951" s="134">
        <v>436</v>
      </c>
      <c r="B951" s="259" t="s">
        <v>2820</v>
      </c>
      <c r="C951" s="129" t="s">
        <v>2821</v>
      </c>
      <c r="D951" s="292">
        <v>443</v>
      </c>
      <c r="E951" s="292">
        <v>0</v>
      </c>
      <c r="F951" s="139">
        <f t="shared" si="89"/>
        <v>443</v>
      </c>
      <c r="G951" s="292">
        <v>185</v>
      </c>
      <c r="H951" s="292">
        <v>0</v>
      </c>
      <c r="I951" s="139">
        <f t="shared" si="90"/>
        <v>185</v>
      </c>
      <c r="J951" s="266">
        <f t="shared" si="91"/>
        <v>0.41760000000000003</v>
      </c>
      <c r="K951" s="136">
        <f t="shared" si="86"/>
        <v>8.8000000000000007</v>
      </c>
      <c r="L951" s="136">
        <f t="shared" si="87"/>
        <v>0</v>
      </c>
      <c r="M951" s="136">
        <f t="shared" si="88"/>
        <v>8.8000000000000007</v>
      </c>
      <c r="O951" s="134"/>
      <c r="P951" s="259"/>
    </row>
    <row r="952" spans="1:16">
      <c r="A952" s="134">
        <v>436</v>
      </c>
      <c r="B952" s="259" t="s">
        <v>2822</v>
      </c>
      <c r="C952" s="129" t="s">
        <v>2823</v>
      </c>
      <c r="D952" s="292">
        <v>2</v>
      </c>
      <c r="E952" s="292">
        <v>0</v>
      </c>
      <c r="F952" s="139">
        <f t="shared" si="89"/>
        <v>2</v>
      </c>
      <c r="G952" s="292">
        <v>1</v>
      </c>
      <c r="H952" s="292">
        <v>0</v>
      </c>
      <c r="I952" s="139">
        <f t="shared" si="90"/>
        <v>1</v>
      </c>
      <c r="J952" s="266">
        <f t="shared" si="91"/>
        <v>0.5</v>
      </c>
      <c r="K952" s="136">
        <f t="shared" si="86"/>
        <v>0</v>
      </c>
      <c r="L952" s="136">
        <f t="shared" si="87"/>
        <v>0.1</v>
      </c>
      <c r="M952" s="136">
        <f t="shared" si="88"/>
        <v>0.1</v>
      </c>
      <c r="O952" s="134"/>
      <c r="P952" s="259"/>
    </row>
    <row r="953" spans="1:16">
      <c r="A953" s="134">
        <v>436</v>
      </c>
      <c r="B953" s="259" t="s">
        <v>2824</v>
      </c>
      <c r="C953" s="129" t="s">
        <v>2825</v>
      </c>
      <c r="D953" s="292">
        <v>325</v>
      </c>
      <c r="E953" s="292">
        <v>0</v>
      </c>
      <c r="F953" s="139">
        <f t="shared" si="89"/>
        <v>325</v>
      </c>
      <c r="G953" s="292">
        <v>123</v>
      </c>
      <c r="H953" s="292">
        <v>0</v>
      </c>
      <c r="I953" s="139">
        <f t="shared" si="90"/>
        <v>123</v>
      </c>
      <c r="J953" s="266">
        <f t="shared" si="91"/>
        <v>0.3785</v>
      </c>
      <c r="K953" s="136">
        <f t="shared" si="86"/>
        <v>2.5</v>
      </c>
      <c r="L953" s="136">
        <f t="shared" si="87"/>
        <v>0</v>
      </c>
      <c r="M953" s="136">
        <f t="shared" si="88"/>
        <v>2.5</v>
      </c>
      <c r="O953" s="134"/>
      <c r="P953" s="259"/>
    </row>
    <row r="954" spans="1:16">
      <c r="A954" s="134">
        <v>437</v>
      </c>
      <c r="B954" s="259" t="s">
        <v>2826</v>
      </c>
      <c r="C954" s="129" t="s">
        <v>2827</v>
      </c>
      <c r="D954" s="292">
        <v>346</v>
      </c>
      <c r="E954" s="292">
        <v>0</v>
      </c>
      <c r="F954" s="139">
        <f t="shared" si="89"/>
        <v>346</v>
      </c>
      <c r="G954" s="292">
        <v>79</v>
      </c>
      <c r="H954" s="292">
        <v>0</v>
      </c>
      <c r="I954" s="139">
        <f t="shared" si="90"/>
        <v>79</v>
      </c>
      <c r="J954" s="266">
        <f t="shared" si="91"/>
        <v>0.2283</v>
      </c>
      <c r="K954" s="136">
        <f t="shared" si="86"/>
        <v>0</v>
      </c>
      <c r="L954" s="136">
        <f t="shared" si="87"/>
        <v>0</v>
      </c>
      <c r="M954" s="136">
        <f t="shared" si="88"/>
        <v>0</v>
      </c>
      <c r="O954" s="134"/>
      <c r="P954" s="259"/>
    </row>
    <row r="955" spans="1:16">
      <c r="A955" s="134">
        <v>437</v>
      </c>
      <c r="B955" s="259" t="s">
        <v>2828</v>
      </c>
      <c r="C955" s="129" t="s">
        <v>2829</v>
      </c>
      <c r="D955" s="292">
        <v>610</v>
      </c>
      <c r="E955" s="292">
        <v>0</v>
      </c>
      <c r="F955" s="139">
        <f t="shared" si="89"/>
        <v>610</v>
      </c>
      <c r="G955" s="292">
        <v>199</v>
      </c>
      <c r="H955" s="292">
        <v>0</v>
      </c>
      <c r="I955" s="139">
        <f t="shared" si="90"/>
        <v>199</v>
      </c>
      <c r="J955" s="266">
        <f t="shared" si="91"/>
        <v>0.32619999999999999</v>
      </c>
      <c r="K955" s="136">
        <f t="shared" si="86"/>
        <v>0</v>
      </c>
      <c r="L955" s="136">
        <f t="shared" si="87"/>
        <v>0</v>
      </c>
      <c r="M955" s="136">
        <f t="shared" si="88"/>
        <v>0</v>
      </c>
      <c r="O955" s="134"/>
      <c r="P955" s="259"/>
    </row>
    <row r="956" spans="1:16">
      <c r="A956" s="134">
        <v>437</v>
      </c>
      <c r="B956" s="259" t="s">
        <v>2830</v>
      </c>
      <c r="C956" s="129" t="s">
        <v>2831</v>
      </c>
      <c r="D956" s="292">
        <v>445</v>
      </c>
      <c r="E956" s="292">
        <v>0</v>
      </c>
      <c r="F956" s="139">
        <f t="shared" si="89"/>
        <v>445</v>
      </c>
      <c r="G956" s="292">
        <v>97</v>
      </c>
      <c r="H956" s="292">
        <v>0</v>
      </c>
      <c r="I956" s="139">
        <f t="shared" si="90"/>
        <v>97</v>
      </c>
      <c r="J956" s="266">
        <f t="shared" si="91"/>
        <v>0.218</v>
      </c>
      <c r="K956" s="136">
        <f t="shared" si="86"/>
        <v>0</v>
      </c>
      <c r="L956" s="136">
        <f t="shared" si="87"/>
        <v>0</v>
      </c>
      <c r="M956" s="136">
        <f t="shared" si="88"/>
        <v>0</v>
      </c>
      <c r="O956" s="134"/>
      <c r="P956" s="259"/>
    </row>
    <row r="957" spans="1:16">
      <c r="A957" s="134">
        <v>437</v>
      </c>
      <c r="B957" s="259" t="s">
        <v>2832</v>
      </c>
      <c r="C957" s="129" t="s">
        <v>2833</v>
      </c>
      <c r="D957" s="292">
        <v>405</v>
      </c>
      <c r="E957" s="292">
        <v>0</v>
      </c>
      <c r="F957" s="139">
        <f t="shared" si="89"/>
        <v>405</v>
      </c>
      <c r="G957" s="292">
        <v>264</v>
      </c>
      <c r="H957" s="292">
        <v>0</v>
      </c>
      <c r="I957" s="139">
        <f t="shared" si="90"/>
        <v>264</v>
      </c>
      <c r="J957" s="266">
        <f t="shared" si="91"/>
        <v>0.65190000000000003</v>
      </c>
      <c r="K957" s="136">
        <f t="shared" si="86"/>
        <v>0</v>
      </c>
      <c r="L957" s="136">
        <f t="shared" si="87"/>
        <v>27.7</v>
      </c>
      <c r="M957" s="136">
        <f t="shared" si="88"/>
        <v>27.7</v>
      </c>
      <c r="O957" s="134"/>
      <c r="P957" s="259"/>
    </row>
    <row r="958" spans="1:16">
      <c r="A958" s="134">
        <v>437</v>
      </c>
      <c r="B958" s="259" t="s">
        <v>2834</v>
      </c>
      <c r="C958" s="129" t="s">
        <v>2835</v>
      </c>
      <c r="D958" s="292">
        <v>311</v>
      </c>
      <c r="E958" s="292">
        <v>0</v>
      </c>
      <c r="F958" s="139">
        <f t="shared" si="89"/>
        <v>311</v>
      </c>
      <c r="G958" s="292">
        <v>193</v>
      </c>
      <c r="H958" s="292">
        <v>0</v>
      </c>
      <c r="I958" s="139">
        <f t="shared" si="90"/>
        <v>193</v>
      </c>
      <c r="J958" s="266">
        <f t="shared" si="91"/>
        <v>0.62060000000000004</v>
      </c>
      <c r="K958" s="136">
        <f t="shared" si="86"/>
        <v>0</v>
      </c>
      <c r="L958" s="136">
        <f t="shared" si="87"/>
        <v>20.3</v>
      </c>
      <c r="M958" s="136">
        <f t="shared" si="88"/>
        <v>20.3</v>
      </c>
      <c r="O958" s="134"/>
      <c r="P958" s="259"/>
    </row>
    <row r="959" spans="1:16">
      <c r="A959" s="134">
        <v>437</v>
      </c>
      <c r="B959" s="259" t="s">
        <v>2836</v>
      </c>
      <c r="C959" s="129" t="s">
        <v>2837</v>
      </c>
      <c r="D959" s="292">
        <v>1008</v>
      </c>
      <c r="E959" s="292">
        <v>0</v>
      </c>
      <c r="F959" s="139">
        <f t="shared" si="89"/>
        <v>1008</v>
      </c>
      <c r="G959" s="292">
        <v>297</v>
      </c>
      <c r="H959" s="292">
        <v>0</v>
      </c>
      <c r="I959" s="139">
        <f t="shared" si="90"/>
        <v>297</v>
      </c>
      <c r="J959" s="266">
        <f t="shared" si="91"/>
        <v>0.29459999999999997</v>
      </c>
      <c r="K959" s="136">
        <f t="shared" si="86"/>
        <v>0</v>
      </c>
      <c r="L959" s="136">
        <f t="shared" si="87"/>
        <v>0</v>
      </c>
      <c r="M959" s="136">
        <f t="shared" si="88"/>
        <v>0</v>
      </c>
      <c r="O959" s="134"/>
      <c r="P959" s="259"/>
    </row>
    <row r="960" spans="1:16">
      <c r="A960" s="134">
        <v>437</v>
      </c>
      <c r="B960" s="259" t="s">
        <v>2838</v>
      </c>
      <c r="C960" s="129" t="s">
        <v>2839</v>
      </c>
      <c r="D960" s="292">
        <v>456</v>
      </c>
      <c r="E960" s="292">
        <v>0</v>
      </c>
      <c r="F960" s="139">
        <f t="shared" si="89"/>
        <v>456</v>
      </c>
      <c r="G960" s="292">
        <v>141</v>
      </c>
      <c r="H960" s="292">
        <v>0</v>
      </c>
      <c r="I960" s="139">
        <f t="shared" si="90"/>
        <v>141</v>
      </c>
      <c r="J960" s="266">
        <f t="shared" si="91"/>
        <v>0.30919999999999997</v>
      </c>
      <c r="K960" s="136">
        <f t="shared" si="86"/>
        <v>0</v>
      </c>
      <c r="L960" s="136">
        <f t="shared" si="87"/>
        <v>0</v>
      </c>
      <c r="M960" s="136">
        <f t="shared" si="88"/>
        <v>0</v>
      </c>
      <c r="O960" s="134"/>
      <c r="P960" s="259"/>
    </row>
    <row r="961" spans="1:16">
      <c r="A961" s="134">
        <v>437</v>
      </c>
      <c r="B961" s="259" t="s">
        <v>2840</v>
      </c>
      <c r="C961" s="129" t="s">
        <v>2841</v>
      </c>
      <c r="D961" s="292">
        <v>519</v>
      </c>
      <c r="E961" s="292">
        <v>0</v>
      </c>
      <c r="F961" s="139">
        <f t="shared" si="89"/>
        <v>519</v>
      </c>
      <c r="G961" s="292">
        <v>69</v>
      </c>
      <c r="H961" s="292">
        <v>0</v>
      </c>
      <c r="I961" s="139">
        <f t="shared" si="90"/>
        <v>69</v>
      </c>
      <c r="J961" s="266">
        <f t="shared" si="91"/>
        <v>0.13289999999999999</v>
      </c>
      <c r="K961" s="136">
        <f t="shared" si="86"/>
        <v>0</v>
      </c>
      <c r="L961" s="136">
        <f t="shared" si="87"/>
        <v>0</v>
      </c>
      <c r="M961" s="136">
        <f t="shared" si="88"/>
        <v>0</v>
      </c>
      <c r="O961" s="134"/>
      <c r="P961" s="259"/>
    </row>
    <row r="962" spans="1:16">
      <c r="A962" s="134">
        <v>437</v>
      </c>
      <c r="B962" s="259" t="s">
        <v>2842</v>
      </c>
      <c r="C962" s="129" t="s">
        <v>2843</v>
      </c>
      <c r="D962" s="292">
        <v>1883</v>
      </c>
      <c r="E962" s="292">
        <v>0</v>
      </c>
      <c r="F962" s="139">
        <f t="shared" si="89"/>
        <v>1883</v>
      </c>
      <c r="G962" s="292">
        <v>493</v>
      </c>
      <c r="H962" s="292">
        <v>0</v>
      </c>
      <c r="I962" s="139">
        <f t="shared" si="90"/>
        <v>493</v>
      </c>
      <c r="J962" s="266">
        <f t="shared" si="91"/>
        <v>0.26179999999999998</v>
      </c>
      <c r="K962" s="136">
        <f t="shared" si="86"/>
        <v>0</v>
      </c>
      <c r="L962" s="136">
        <f t="shared" si="87"/>
        <v>0</v>
      </c>
      <c r="M962" s="136">
        <f t="shared" si="88"/>
        <v>0</v>
      </c>
      <c r="O962" s="134"/>
      <c r="P962" s="259"/>
    </row>
    <row r="963" spans="1:16">
      <c r="A963" s="134">
        <v>438</v>
      </c>
      <c r="B963" s="259" t="s">
        <v>2844</v>
      </c>
      <c r="C963" s="129" t="s">
        <v>2845</v>
      </c>
      <c r="D963" s="292">
        <v>228</v>
      </c>
      <c r="E963" s="292">
        <v>0</v>
      </c>
      <c r="F963" s="139">
        <f t="shared" si="89"/>
        <v>228</v>
      </c>
      <c r="G963" s="292">
        <v>114</v>
      </c>
      <c r="H963" s="292">
        <v>0</v>
      </c>
      <c r="I963" s="139">
        <f t="shared" si="90"/>
        <v>114</v>
      </c>
      <c r="J963" s="266">
        <f t="shared" si="91"/>
        <v>0.5</v>
      </c>
      <c r="K963" s="136">
        <f t="shared" si="86"/>
        <v>0</v>
      </c>
      <c r="L963" s="136">
        <f t="shared" si="87"/>
        <v>12</v>
      </c>
      <c r="M963" s="136">
        <f t="shared" si="88"/>
        <v>12</v>
      </c>
      <c r="O963" s="134"/>
      <c r="P963" s="259"/>
    </row>
    <row r="964" spans="1:16">
      <c r="A964" s="134">
        <v>438</v>
      </c>
      <c r="B964" s="259" t="s">
        <v>2846</v>
      </c>
      <c r="C964" s="129" t="s">
        <v>2847</v>
      </c>
      <c r="D964" s="292">
        <v>94</v>
      </c>
      <c r="E964" s="292">
        <v>0</v>
      </c>
      <c r="F964" s="139">
        <f t="shared" si="89"/>
        <v>94</v>
      </c>
      <c r="G964" s="292">
        <v>29</v>
      </c>
      <c r="H964" s="292">
        <v>0</v>
      </c>
      <c r="I964" s="139">
        <f t="shared" si="90"/>
        <v>29</v>
      </c>
      <c r="J964" s="266">
        <f t="shared" si="91"/>
        <v>0.3085</v>
      </c>
      <c r="K964" s="136">
        <f t="shared" si="86"/>
        <v>0</v>
      </c>
      <c r="L964" s="136">
        <f t="shared" si="87"/>
        <v>0</v>
      </c>
      <c r="M964" s="136">
        <f t="shared" si="88"/>
        <v>0</v>
      </c>
      <c r="O964" s="134"/>
      <c r="P964" s="259"/>
    </row>
    <row r="965" spans="1:16">
      <c r="A965" s="134">
        <v>439</v>
      </c>
      <c r="B965" s="259" t="s">
        <v>2848</v>
      </c>
      <c r="C965" s="129" t="s">
        <v>2849</v>
      </c>
      <c r="D965" s="292">
        <v>270</v>
      </c>
      <c r="E965" s="292">
        <v>0</v>
      </c>
      <c r="F965" s="139">
        <f t="shared" si="89"/>
        <v>270</v>
      </c>
      <c r="G965" s="292">
        <v>96</v>
      </c>
      <c r="H965" s="292">
        <v>0</v>
      </c>
      <c r="I965" s="139">
        <f t="shared" si="90"/>
        <v>96</v>
      </c>
      <c r="J965" s="266">
        <f t="shared" si="91"/>
        <v>0.35560000000000003</v>
      </c>
      <c r="K965" s="136">
        <f t="shared" ref="K965:K1028" si="92">IF(AND((J965-35%)&gt;0,J965&lt;50%),I965*(J965-35%)*0.7,0)</f>
        <v>0.4</v>
      </c>
      <c r="L965" s="136">
        <f t="shared" ref="L965:L1028" si="93">IF(J965&gt;=50%,I965*10.5%,0)</f>
        <v>0</v>
      </c>
      <c r="M965" s="136">
        <f t="shared" ref="M965:M1028" si="94">MAX(K965,L965)</f>
        <v>0.4</v>
      </c>
      <c r="O965" s="134"/>
      <c r="P965" s="259"/>
    </row>
    <row r="966" spans="1:16">
      <c r="A966" s="134">
        <v>439</v>
      </c>
      <c r="B966" s="259" t="s">
        <v>2850</v>
      </c>
      <c r="C966" s="129" t="s">
        <v>2851</v>
      </c>
      <c r="D966" s="292">
        <v>232</v>
      </c>
      <c r="E966" s="292">
        <v>0</v>
      </c>
      <c r="F966" s="139">
        <f t="shared" ref="F966:F1029" si="95">D966+E966</f>
        <v>232</v>
      </c>
      <c r="G966" s="292">
        <v>57</v>
      </c>
      <c r="H966" s="292">
        <v>0</v>
      </c>
      <c r="I966" s="139">
        <f t="shared" ref="I966:I1029" si="96">G966+H966</f>
        <v>57</v>
      </c>
      <c r="J966" s="266">
        <f t="shared" ref="J966:J1029" si="97">IF(ISERROR(I966/F966),0,I966/F966)</f>
        <v>0.2457</v>
      </c>
      <c r="K966" s="136">
        <f t="shared" si="92"/>
        <v>0</v>
      </c>
      <c r="L966" s="136">
        <f t="shared" si="93"/>
        <v>0</v>
      </c>
      <c r="M966" s="136">
        <f t="shared" si="94"/>
        <v>0</v>
      </c>
      <c r="O966" s="134"/>
      <c r="P966" s="259"/>
    </row>
    <row r="967" spans="1:16">
      <c r="A967" s="134">
        <v>440</v>
      </c>
      <c r="B967" s="259" t="s">
        <v>2852</v>
      </c>
      <c r="C967" s="129" t="s">
        <v>2853</v>
      </c>
      <c r="D967" s="292">
        <v>205</v>
      </c>
      <c r="E967" s="292">
        <v>0</v>
      </c>
      <c r="F967" s="139">
        <f t="shared" si="95"/>
        <v>205</v>
      </c>
      <c r="G967" s="292">
        <v>86</v>
      </c>
      <c r="H967" s="292">
        <v>0</v>
      </c>
      <c r="I967" s="139">
        <f t="shared" si="96"/>
        <v>86</v>
      </c>
      <c r="J967" s="266">
        <f t="shared" si="97"/>
        <v>0.41949999999999998</v>
      </c>
      <c r="K967" s="136">
        <f t="shared" si="92"/>
        <v>4.2</v>
      </c>
      <c r="L967" s="136">
        <f t="shared" si="93"/>
        <v>0</v>
      </c>
      <c r="M967" s="136">
        <f t="shared" si="94"/>
        <v>4.2</v>
      </c>
      <c r="O967" s="134"/>
      <c r="P967" s="259"/>
    </row>
    <row r="968" spans="1:16">
      <c r="A968" s="134">
        <v>440</v>
      </c>
      <c r="B968" s="259" t="s">
        <v>2854</v>
      </c>
      <c r="C968" s="129" t="s">
        <v>2855</v>
      </c>
      <c r="D968" s="292">
        <v>348</v>
      </c>
      <c r="E968" s="292">
        <v>0</v>
      </c>
      <c r="F968" s="139">
        <f t="shared" si="95"/>
        <v>348</v>
      </c>
      <c r="G968" s="292">
        <v>110</v>
      </c>
      <c r="H968" s="292">
        <v>0</v>
      </c>
      <c r="I968" s="139">
        <f t="shared" si="96"/>
        <v>110</v>
      </c>
      <c r="J968" s="266">
        <f t="shared" si="97"/>
        <v>0.31609999999999999</v>
      </c>
      <c r="K968" s="136">
        <f t="shared" si="92"/>
        <v>0</v>
      </c>
      <c r="L968" s="136">
        <f t="shared" si="93"/>
        <v>0</v>
      </c>
      <c r="M968" s="136">
        <f t="shared" si="94"/>
        <v>0</v>
      </c>
      <c r="O968" s="134"/>
      <c r="P968" s="259"/>
    </row>
    <row r="969" spans="1:16">
      <c r="A969" s="134">
        <v>440</v>
      </c>
      <c r="B969" s="259" t="s">
        <v>2856</v>
      </c>
      <c r="C969" s="129" t="s">
        <v>2857</v>
      </c>
      <c r="D969" s="292">
        <v>241</v>
      </c>
      <c r="E969" s="292">
        <v>0</v>
      </c>
      <c r="F969" s="139">
        <f t="shared" si="95"/>
        <v>241</v>
      </c>
      <c r="G969" s="292">
        <v>84</v>
      </c>
      <c r="H969" s="292">
        <v>0</v>
      </c>
      <c r="I969" s="139">
        <f t="shared" si="96"/>
        <v>84</v>
      </c>
      <c r="J969" s="266">
        <f t="shared" si="97"/>
        <v>0.34849999999999998</v>
      </c>
      <c r="K969" s="136">
        <f t="shared" si="92"/>
        <v>0</v>
      </c>
      <c r="L969" s="136">
        <f t="shared" si="93"/>
        <v>0</v>
      </c>
      <c r="M969" s="136">
        <f t="shared" si="94"/>
        <v>0</v>
      </c>
      <c r="O969" s="134"/>
      <c r="P969" s="259"/>
    </row>
    <row r="970" spans="1:16">
      <c r="A970" s="134">
        <v>443</v>
      </c>
      <c r="B970" s="259" t="s">
        <v>2858</v>
      </c>
      <c r="C970" s="129" t="s">
        <v>1417</v>
      </c>
      <c r="D970" s="292">
        <v>387</v>
      </c>
      <c r="E970" s="292">
        <v>0</v>
      </c>
      <c r="F970" s="139">
        <f t="shared" si="95"/>
        <v>387</v>
      </c>
      <c r="G970" s="292">
        <v>312</v>
      </c>
      <c r="H970" s="292">
        <v>0</v>
      </c>
      <c r="I970" s="139">
        <f t="shared" si="96"/>
        <v>312</v>
      </c>
      <c r="J970" s="266">
        <f t="shared" si="97"/>
        <v>0.80620000000000003</v>
      </c>
      <c r="K970" s="136">
        <f t="shared" si="92"/>
        <v>0</v>
      </c>
      <c r="L970" s="136">
        <f t="shared" si="93"/>
        <v>32.799999999999997</v>
      </c>
      <c r="M970" s="136">
        <f t="shared" si="94"/>
        <v>32.799999999999997</v>
      </c>
      <c r="O970" s="134"/>
      <c r="P970" s="259"/>
    </row>
    <row r="971" spans="1:16">
      <c r="A971" s="134">
        <v>443</v>
      </c>
      <c r="B971" s="259" t="s">
        <v>2859</v>
      </c>
      <c r="C971" s="129" t="s">
        <v>2860</v>
      </c>
      <c r="D971" s="292">
        <v>746</v>
      </c>
      <c r="E971" s="292">
        <v>0</v>
      </c>
      <c r="F971" s="139">
        <f t="shared" si="95"/>
        <v>746</v>
      </c>
      <c r="G971" s="292">
        <v>617</v>
      </c>
      <c r="H971" s="292">
        <v>0</v>
      </c>
      <c r="I971" s="139">
        <f t="shared" si="96"/>
        <v>617</v>
      </c>
      <c r="J971" s="266">
        <f t="shared" si="97"/>
        <v>0.82709999999999995</v>
      </c>
      <c r="K971" s="136">
        <f t="shared" si="92"/>
        <v>0</v>
      </c>
      <c r="L971" s="136">
        <f t="shared" si="93"/>
        <v>64.8</v>
      </c>
      <c r="M971" s="136">
        <f t="shared" si="94"/>
        <v>64.8</v>
      </c>
      <c r="O971" s="134"/>
      <c r="P971" s="259"/>
    </row>
    <row r="972" spans="1:16">
      <c r="A972" s="134">
        <v>443</v>
      </c>
      <c r="B972" s="259" t="s">
        <v>2861</v>
      </c>
      <c r="C972" s="129" t="s">
        <v>2862</v>
      </c>
      <c r="D972" s="292">
        <v>374</v>
      </c>
      <c r="E972" s="292">
        <v>0</v>
      </c>
      <c r="F972" s="139">
        <f t="shared" si="95"/>
        <v>374</v>
      </c>
      <c r="G972" s="292">
        <v>231</v>
      </c>
      <c r="H972" s="292">
        <v>0</v>
      </c>
      <c r="I972" s="139">
        <f t="shared" si="96"/>
        <v>231</v>
      </c>
      <c r="J972" s="266">
        <f t="shared" si="97"/>
        <v>0.61760000000000004</v>
      </c>
      <c r="K972" s="136">
        <f t="shared" si="92"/>
        <v>0</v>
      </c>
      <c r="L972" s="136">
        <f t="shared" si="93"/>
        <v>24.3</v>
      </c>
      <c r="M972" s="136">
        <f t="shared" si="94"/>
        <v>24.3</v>
      </c>
      <c r="O972" s="134"/>
      <c r="P972" s="259"/>
    </row>
    <row r="973" spans="1:16">
      <c r="A973" s="134">
        <v>443</v>
      </c>
      <c r="B973" s="259" t="s">
        <v>2863</v>
      </c>
      <c r="C973" s="129" t="s">
        <v>2864</v>
      </c>
      <c r="D973" s="292">
        <v>363</v>
      </c>
      <c r="E973" s="292">
        <v>0</v>
      </c>
      <c r="F973" s="139">
        <f t="shared" si="95"/>
        <v>363</v>
      </c>
      <c r="G973" s="292">
        <v>316</v>
      </c>
      <c r="H973" s="292">
        <v>0</v>
      </c>
      <c r="I973" s="139">
        <f t="shared" si="96"/>
        <v>316</v>
      </c>
      <c r="J973" s="266">
        <f t="shared" si="97"/>
        <v>0.87050000000000005</v>
      </c>
      <c r="K973" s="136">
        <f t="shared" si="92"/>
        <v>0</v>
      </c>
      <c r="L973" s="136">
        <f t="shared" si="93"/>
        <v>33.200000000000003</v>
      </c>
      <c r="M973" s="136">
        <f t="shared" si="94"/>
        <v>33.200000000000003</v>
      </c>
      <c r="O973" s="134"/>
      <c r="P973" s="259"/>
    </row>
    <row r="974" spans="1:16">
      <c r="A974" s="134">
        <v>443</v>
      </c>
      <c r="B974" s="259" t="s">
        <v>2865</v>
      </c>
      <c r="C974" s="129" t="s">
        <v>2866</v>
      </c>
      <c r="D974" s="292">
        <v>793</v>
      </c>
      <c r="E974" s="292">
        <v>0</v>
      </c>
      <c r="F974" s="139">
        <f t="shared" si="95"/>
        <v>793</v>
      </c>
      <c r="G974" s="292">
        <v>577</v>
      </c>
      <c r="H974" s="292">
        <v>0</v>
      </c>
      <c r="I974" s="139">
        <f t="shared" si="96"/>
        <v>577</v>
      </c>
      <c r="J974" s="266">
        <f t="shared" si="97"/>
        <v>0.72760000000000002</v>
      </c>
      <c r="K974" s="136">
        <f t="shared" si="92"/>
        <v>0</v>
      </c>
      <c r="L974" s="136">
        <f t="shared" si="93"/>
        <v>60.6</v>
      </c>
      <c r="M974" s="136">
        <f t="shared" si="94"/>
        <v>60.6</v>
      </c>
      <c r="O974" s="134"/>
      <c r="P974" s="259"/>
    </row>
    <row r="975" spans="1:16">
      <c r="A975" s="134">
        <v>443</v>
      </c>
      <c r="B975" s="259" t="s">
        <v>2867</v>
      </c>
      <c r="C975" s="129" t="s">
        <v>2868</v>
      </c>
      <c r="D975" s="292">
        <v>519</v>
      </c>
      <c r="E975" s="292">
        <v>0</v>
      </c>
      <c r="F975" s="139">
        <f t="shared" si="95"/>
        <v>519</v>
      </c>
      <c r="G975" s="292">
        <v>294</v>
      </c>
      <c r="H975" s="292">
        <v>0</v>
      </c>
      <c r="I975" s="139">
        <f t="shared" si="96"/>
        <v>294</v>
      </c>
      <c r="J975" s="266">
        <f t="shared" si="97"/>
        <v>0.5665</v>
      </c>
      <c r="K975" s="136">
        <f t="shared" si="92"/>
        <v>0</v>
      </c>
      <c r="L975" s="136">
        <f t="shared" si="93"/>
        <v>30.9</v>
      </c>
      <c r="M975" s="136">
        <f t="shared" si="94"/>
        <v>30.9</v>
      </c>
      <c r="O975" s="134"/>
      <c r="P975" s="259"/>
    </row>
    <row r="976" spans="1:16">
      <c r="A976" s="134">
        <v>443</v>
      </c>
      <c r="B976" s="259" t="s">
        <v>2869</v>
      </c>
      <c r="C976" s="129" t="s">
        <v>2870</v>
      </c>
      <c r="D976" s="292">
        <v>2132</v>
      </c>
      <c r="E976" s="292">
        <v>0</v>
      </c>
      <c r="F976" s="139">
        <f t="shared" si="95"/>
        <v>2132</v>
      </c>
      <c r="G976" s="292">
        <v>1377</v>
      </c>
      <c r="H976" s="292">
        <v>0</v>
      </c>
      <c r="I976" s="139">
        <f t="shared" si="96"/>
        <v>1377</v>
      </c>
      <c r="J976" s="266">
        <f t="shared" si="97"/>
        <v>0.64590000000000003</v>
      </c>
      <c r="K976" s="136">
        <f t="shared" si="92"/>
        <v>0</v>
      </c>
      <c r="L976" s="136">
        <f t="shared" si="93"/>
        <v>144.6</v>
      </c>
      <c r="M976" s="136">
        <f t="shared" si="94"/>
        <v>144.6</v>
      </c>
      <c r="O976" s="134"/>
      <c r="P976" s="259"/>
    </row>
    <row r="977" spans="1:16">
      <c r="A977" s="134">
        <v>443</v>
      </c>
      <c r="B977" s="259" t="s">
        <v>2871</v>
      </c>
      <c r="C977" s="129" t="s">
        <v>2872</v>
      </c>
      <c r="D977" s="292">
        <v>330</v>
      </c>
      <c r="E977" s="292">
        <v>0</v>
      </c>
      <c r="F977" s="139">
        <f t="shared" si="95"/>
        <v>330</v>
      </c>
      <c r="G977" s="292">
        <v>289</v>
      </c>
      <c r="H977" s="292">
        <v>0</v>
      </c>
      <c r="I977" s="139">
        <f t="shared" si="96"/>
        <v>289</v>
      </c>
      <c r="J977" s="266">
        <f t="shared" si="97"/>
        <v>0.87580000000000002</v>
      </c>
      <c r="K977" s="136">
        <f t="shared" si="92"/>
        <v>0</v>
      </c>
      <c r="L977" s="136">
        <f t="shared" si="93"/>
        <v>30.3</v>
      </c>
      <c r="M977" s="136">
        <f t="shared" si="94"/>
        <v>30.3</v>
      </c>
      <c r="O977" s="134"/>
      <c r="P977" s="259"/>
    </row>
    <row r="978" spans="1:16">
      <c r="A978" s="134">
        <v>443</v>
      </c>
      <c r="B978" s="259" t="s">
        <v>2873</v>
      </c>
      <c r="C978" s="129" t="s">
        <v>2874</v>
      </c>
      <c r="D978" s="292">
        <v>349</v>
      </c>
      <c r="E978" s="292">
        <v>0</v>
      </c>
      <c r="F978" s="139">
        <f t="shared" si="95"/>
        <v>349</v>
      </c>
      <c r="G978" s="292">
        <v>252</v>
      </c>
      <c r="H978" s="292">
        <v>0</v>
      </c>
      <c r="I978" s="139">
        <f t="shared" si="96"/>
        <v>252</v>
      </c>
      <c r="J978" s="266">
        <f t="shared" si="97"/>
        <v>0.72209999999999996</v>
      </c>
      <c r="K978" s="136">
        <f t="shared" si="92"/>
        <v>0</v>
      </c>
      <c r="L978" s="136">
        <f t="shared" si="93"/>
        <v>26.5</v>
      </c>
      <c r="M978" s="136">
        <f t="shared" si="94"/>
        <v>26.5</v>
      </c>
      <c r="O978" s="134"/>
      <c r="P978" s="259"/>
    </row>
    <row r="979" spans="1:16">
      <c r="A979" s="134">
        <v>443</v>
      </c>
      <c r="B979" s="259" t="s">
        <v>2875</v>
      </c>
      <c r="C979" s="129" t="s">
        <v>2876</v>
      </c>
      <c r="D979" s="292">
        <v>400</v>
      </c>
      <c r="E979" s="292">
        <v>0</v>
      </c>
      <c r="F979" s="139">
        <f t="shared" si="95"/>
        <v>400</v>
      </c>
      <c r="G979" s="292">
        <v>286</v>
      </c>
      <c r="H979" s="292">
        <v>0</v>
      </c>
      <c r="I979" s="139">
        <f t="shared" si="96"/>
        <v>286</v>
      </c>
      <c r="J979" s="266">
        <f t="shared" si="97"/>
        <v>0.71499999999999997</v>
      </c>
      <c r="K979" s="136">
        <f t="shared" si="92"/>
        <v>0</v>
      </c>
      <c r="L979" s="136">
        <f t="shared" si="93"/>
        <v>30</v>
      </c>
      <c r="M979" s="136">
        <f t="shared" si="94"/>
        <v>30</v>
      </c>
      <c r="O979" s="134"/>
      <c r="P979" s="259"/>
    </row>
    <row r="980" spans="1:16">
      <c r="A980" s="134">
        <v>443</v>
      </c>
      <c r="B980" s="259" t="s">
        <v>2877</v>
      </c>
      <c r="C980" s="129" t="s">
        <v>2878</v>
      </c>
      <c r="D980" s="292">
        <v>761</v>
      </c>
      <c r="E980" s="292">
        <v>0</v>
      </c>
      <c r="F980" s="139">
        <f t="shared" si="95"/>
        <v>761</v>
      </c>
      <c r="G980" s="292">
        <v>526</v>
      </c>
      <c r="H980" s="292">
        <v>0</v>
      </c>
      <c r="I980" s="139">
        <f t="shared" si="96"/>
        <v>526</v>
      </c>
      <c r="J980" s="266">
        <f t="shared" si="97"/>
        <v>0.69120000000000004</v>
      </c>
      <c r="K980" s="136">
        <f t="shared" si="92"/>
        <v>0</v>
      </c>
      <c r="L980" s="136">
        <f t="shared" si="93"/>
        <v>55.2</v>
      </c>
      <c r="M980" s="136">
        <f t="shared" si="94"/>
        <v>55.2</v>
      </c>
      <c r="O980" s="134"/>
      <c r="P980" s="259"/>
    </row>
    <row r="981" spans="1:16">
      <c r="A981" s="134">
        <v>444</v>
      </c>
      <c r="B981" s="259" t="s">
        <v>2879</v>
      </c>
      <c r="C981" s="129" t="s">
        <v>2880</v>
      </c>
      <c r="D981" s="292">
        <v>44</v>
      </c>
      <c r="E981" s="292">
        <v>0</v>
      </c>
      <c r="F981" s="139">
        <f t="shared" si="95"/>
        <v>44</v>
      </c>
      <c r="G981" s="292">
        <v>12</v>
      </c>
      <c r="H981" s="292">
        <v>0</v>
      </c>
      <c r="I981" s="139">
        <f t="shared" si="96"/>
        <v>12</v>
      </c>
      <c r="J981" s="266">
        <f t="shared" si="97"/>
        <v>0.2727</v>
      </c>
      <c r="K981" s="136">
        <f t="shared" si="92"/>
        <v>0</v>
      </c>
      <c r="L981" s="136">
        <f t="shared" si="93"/>
        <v>0</v>
      </c>
      <c r="M981" s="136">
        <f t="shared" si="94"/>
        <v>0</v>
      </c>
      <c r="O981" s="134"/>
      <c r="P981" s="259"/>
    </row>
    <row r="982" spans="1:16">
      <c r="A982" s="134">
        <v>444</v>
      </c>
      <c r="B982" s="259" t="s">
        <v>2881</v>
      </c>
      <c r="C982" s="129" t="s">
        <v>2882</v>
      </c>
      <c r="D982" s="292">
        <v>79</v>
      </c>
      <c r="E982" s="292">
        <v>0</v>
      </c>
      <c r="F982" s="139">
        <f t="shared" si="95"/>
        <v>79</v>
      </c>
      <c r="G982" s="292">
        <v>18</v>
      </c>
      <c r="H982" s="292">
        <v>0</v>
      </c>
      <c r="I982" s="139">
        <f t="shared" si="96"/>
        <v>18</v>
      </c>
      <c r="J982" s="266">
        <f t="shared" si="97"/>
        <v>0.2278</v>
      </c>
      <c r="K982" s="136">
        <f t="shared" si="92"/>
        <v>0</v>
      </c>
      <c r="L982" s="136">
        <f t="shared" si="93"/>
        <v>0</v>
      </c>
      <c r="M982" s="136">
        <f t="shared" si="94"/>
        <v>0</v>
      </c>
      <c r="O982" s="134"/>
      <c r="P982" s="259"/>
    </row>
    <row r="983" spans="1:16">
      <c r="A983" s="134">
        <v>444</v>
      </c>
      <c r="B983" s="259" t="s">
        <v>2883</v>
      </c>
      <c r="C983" s="129" t="s">
        <v>2884</v>
      </c>
      <c r="D983" s="292">
        <v>159</v>
      </c>
      <c r="E983" s="292">
        <v>0</v>
      </c>
      <c r="F983" s="139">
        <f t="shared" si="95"/>
        <v>159</v>
      </c>
      <c r="G983" s="292">
        <v>46</v>
      </c>
      <c r="H983" s="292">
        <v>0</v>
      </c>
      <c r="I983" s="139">
        <f t="shared" si="96"/>
        <v>46</v>
      </c>
      <c r="J983" s="266">
        <f t="shared" si="97"/>
        <v>0.2893</v>
      </c>
      <c r="K983" s="136">
        <f t="shared" si="92"/>
        <v>0</v>
      </c>
      <c r="L983" s="136">
        <f t="shared" si="93"/>
        <v>0</v>
      </c>
      <c r="M983" s="136">
        <f t="shared" si="94"/>
        <v>0</v>
      </c>
      <c r="O983" s="134"/>
      <c r="P983" s="259"/>
    </row>
    <row r="984" spans="1:16">
      <c r="A984" s="134">
        <v>445</v>
      </c>
      <c r="B984" s="259" t="s">
        <v>4059</v>
      </c>
      <c r="C984" s="129" t="s">
        <v>4060</v>
      </c>
      <c r="D984" s="292">
        <v>0</v>
      </c>
      <c r="E984" s="292">
        <v>0</v>
      </c>
      <c r="F984" s="139">
        <f t="shared" si="95"/>
        <v>0</v>
      </c>
      <c r="G984" s="292">
        <v>0</v>
      </c>
      <c r="H984" s="292">
        <v>0</v>
      </c>
      <c r="I984" s="139">
        <f t="shared" si="96"/>
        <v>0</v>
      </c>
      <c r="J984" s="266">
        <f t="shared" si="97"/>
        <v>0</v>
      </c>
      <c r="K984" s="136">
        <f t="shared" si="92"/>
        <v>0</v>
      </c>
      <c r="L984" s="136">
        <f t="shared" si="93"/>
        <v>0</v>
      </c>
      <c r="M984" s="136">
        <f t="shared" si="94"/>
        <v>0</v>
      </c>
      <c r="O984" s="134"/>
      <c r="P984" s="259"/>
    </row>
    <row r="985" spans="1:16">
      <c r="A985" s="134">
        <v>445</v>
      </c>
      <c r="B985" s="259" t="s">
        <v>2885</v>
      </c>
      <c r="C985" s="129" t="s">
        <v>2886</v>
      </c>
      <c r="D985" s="292">
        <v>1011</v>
      </c>
      <c r="E985" s="292">
        <v>0</v>
      </c>
      <c r="F985" s="139">
        <f t="shared" si="95"/>
        <v>1011</v>
      </c>
      <c r="G985" s="292">
        <v>703</v>
      </c>
      <c r="H985" s="292">
        <v>0</v>
      </c>
      <c r="I985" s="139">
        <f t="shared" si="96"/>
        <v>703</v>
      </c>
      <c r="J985" s="266">
        <f t="shared" si="97"/>
        <v>0.69540000000000002</v>
      </c>
      <c r="K985" s="136">
        <f t="shared" si="92"/>
        <v>0</v>
      </c>
      <c r="L985" s="136">
        <f t="shared" si="93"/>
        <v>73.8</v>
      </c>
      <c r="M985" s="136">
        <f t="shared" si="94"/>
        <v>73.8</v>
      </c>
      <c r="O985" s="134"/>
      <c r="P985" s="259"/>
    </row>
    <row r="986" spans="1:16">
      <c r="A986" s="134">
        <v>445</v>
      </c>
      <c r="B986" s="259" t="s">
        <v>2887</v>
      </c>
      <c r="C986" s="129" t="s">
        <v>2888</v>
      </c>
      <c r="D986" s="292">
        <v>258</v>
      </c>
      <c r="E986" s="292">
        <v>0</v>
      </c>
      <c r="F986" s="139">
        <f t="shared" si="95"/>
        <v>258</v>
      </c>
      <c r="G986" s="292">
        <v>150</v>
      </c>
      <c r="H986" s="292">
        <v>0</v>
      </c>
      <c r="I986" s="139">
        <f t="shared" si="96"/>
        <v>150</v>
      </c>
      <c r="J986" s="266">
        <f t="shared" si="97"/>
        <v>0.58140000000000003</v>
      </c>
      <c r="K986" s="136">
        <f t="shared" si="92"/>
        <v>0</v>
      </c>
      <c r="L986" s="136">
        <f t="shared" si="93"/>
        <v>15.8</v>
      </c>
      <c r="M986" s="136">
        <f t="shared" si="94"/>
        <v>15.8</v>
      </c>
      <c r="O986" s="134"/>
      <c r="P986" s="259"/>
    </row>
    <row r="987" spans="1:16">
      <c r="A987" s="134">
        <v>445</v>
      </c>
      <c r="B987" s="259" t="s">
        <v>2889</v>
      </c>
      <c r="C987" s="129" t="s">
        <v>2890</v>
      </c>
      <c r="D987" s="292">
        <v>459</v>
      </c>
      <c r="E987" s="292">
        <v>0</v>
      </c>
      <c r="F987" s="139">
        <f t="shared" si="95"/>
        <v>459</v>
      </c>
      <c r="G987" s="292">
        <v>220</v>
      </c>
      <c r="H987" s="292">
        <v>0</v>
      </c>
      <c r="I987" s="139">
        <f t="shared" si="96"/>
        <v>220</v>
      </c>
      <c r="J987" s="266">
        <f t="shared" si="97"/>
        <v>0.4793</v>
      </c>
      <c r="K987" s="136">
        <f t="shared" si="92"/>
        <v>19.899999999999999</v>
      </c>
      <c r="L987" s="136">
        <f t="shared" si="93"/>
        <v>0</v>
      </c>
      <c r="M987" s="136">
        <f t="shared" si="94"/>
        <v>19.899999999999999</v>
      </c>
      <c r="O987" s="134"/>
      <c r="P987" s="259"/>
    </row>
    <row r="988" spans="1:16">
      <c r="A988" s="134">
        <v>446</v>
      </c>
      <c r="B988" s="259" t="s">
        <v>2891</v>
      </c>
      <c r="C988" s="129" t="s">
        <v>1172</v>
      </c>
      <c r="D988" s="292">
        <v>354</v>
      </c>
      <c r="E988" s="292">
        <v>0</v>
      </c>
      <c r="F988" s="139">
        <f t="shared" si="95"/>
        <v>354</v>
      </c>
      <c r="G988" s="292">
        <v>235</v>
      </c>
      <c r="H988" s="292">
        <v>0</v>
      </c>
      <c r="I988" s="139">
        <f t="shared" si="96"/>
        <v>235</v>
      </c>
      <c r="J988" s="266">
        <f t="shared" si="97"/>
        <v>0.66379999999999995</v>
      </c>
      <c r="K988" s="136">
        <f t="shared" si="92"/>
        <v>0</v>
      </c>
      <c r="L988" s="136">
        <f t="shared" si="93"/>
        <v>24.7</v>
      </c>
      <c r="M988" s="136">
        <f t="shared" si="94"/>
        <v>24.7</v>
      </c>
      <c r="O988" s="134"/>
      <c r="P988" s="259"/>
    </row>
    <row r="989" spans="1:16">
      <c r="A989" s="134">
        <v>446</v>
      </c>
      <c r="B989" s="259" t="s">
        <v>2892</v>
      </c>
      <c r="C989" s="129" t="s">
        <v>2893</v>
      </c>
      <c r="D989" s="292">
        <v>380</v>
      </c>
      <c r="E989" s="292">
        <v>0</v>
      </c>
      <c r="F989" s="139">
        <f t="shared" si="95"/>
        <v>380</v>
      </c>
      <c r="G989" s="292">
        <v>242</v>
      </c>
      <c r="H989" s="292">
        <v>0</v>
      </c>
      <c r="I989" s="139">
        <f t="shared" si="96"/>
        <v>242</v>
      </c>
      <c r="J989" s="266">
        <f t="shared" si="97"/>
        <v>0.63680000000000003</v>
      </c>
      <c r="K989" s="136">
        <f t="shared" si="92"/>
        <v>0</v>
      </c>
      <c r="L989" s="136">
        <f t="shared" si="93"/>
        <v>25.4</v>
      </c>
      <c r="M989" s="136">
        <f t="shared" si="94"/>
        <v>25.4</v>
      </c>
      <c r="O989" s="134"/>
      <c r="P989" s="259"/>
    </row>
    <row r="990" spans="1:16">
      <c r="A990" s="134">
        <v>446</v>
      </c>
      <c r="B990" s="259" t="s">
        <v>2894</v>
      </c>
      <c r="C990" s="129" t="s">
        <v>2895</v>
      </c>
      <c r="D990" s="292">
        <v>388</v>
      </c>
      <c r="E990" s="292">
        <v>0</v>
      </c>
      <c r="F990" s="139">
        <f t="shared" si="95"/>
        <v>388</v>
      </c>
      <c r="G990" s="292">
        <v>241</v>
      </c>
      <c r="H990" s="292">
        <v>0</v>
      </c>
      <c r="I990" s="139">
        <f t="shared" si="96"/>
        <v>241</v>
      </c>
      <c r="J990" s="266">
        <f t="shared" si="97"/>
        <v>0.62109999999999999</v>
      </c>
      <c r="K990" s="136">
        <f t="shared" si="92"/>
        <v>0</v>
      </c>
      <c r="L990" s="136">
        <f t="shared" si="93"/>
        <v>25.3</v>
      </c>
      <c r="M990" s="136">
        <f t="shared" si="94"/>
        <v>25.3</v>
      </c>
      <c r="O990" s="134"/>
      <c r="P990" s="259"/>
    </row>
    <row r="991" spans="1:16">
      <c r="A991" s="134">
        <v>446</v>
      </c>
      <c r="B991" s="259" t="s">
        <v>2896</v>
      </c>
      <c r="C991" s="129" t="s">
        <v>2897</v>
      </c>
      <c r="D991" s="292">
        <v>535</v>
      </c>
      <c r="E991" s="292">
        <v>0</v>
      </c>
      <c r="F991" s="139">
        <f t="shared" si="95"/>
        <v>535</v>
      </c>
      <c r="G991" s="292">
        <v>280</v>
      </c>
      <c r="H991" s="292">
        <v>0</v>
      </c>
      <c r="I991" s="139">
        <f t="shared" si="96"/>
        <v>280</v>
      </c>
      <c r="J991" s="266">
        <f t="shared" si="97"/>
        <v>0.52339999999999998</v>
      </c>
      <c r="K991" s="136">
        <f t="shared" si="92"/>
        <v>0</v>
      </c>
      <c r="L991" s="136">
        <f t="shared" si="93"/>
        <v>29.4</v>
      </c>
      <c r="M991" s="136">
        <f t="shared" si="94"/>
        <v>29.4</v>
      </c>
      <c r="O991" s="134"/>
      <c r="P991" s="259"/>
    </row>
    <row r="992" spans="1:16">
      <c r="A992" s="134">
        <v>446</v>
      </c>
      <c r="B992" s="259" t="s">
        <v>4061</v>
      </c>
      <c r="C992" s="129" t="s">
        <v>4062</v>
      </c>
      <c r="D992" s="292">
        <v>0</v>
      </c>
      <c r="E992" s="292">
        <v>0</v>
      </c>
      <c r="F992" s="139">
        <f t="shared" si="95"/>
        <v>0</v>
      </c>
      <c r="G992" s="292">
        <v>0</v>
      </c>
      <c r="H992" s="292">
        <v>0</v>
      </c>
      <c r="I992" s="139">
        <f t="shared" si="96"/>
        <v>0</v>
      </c>
      <c r="J992" s="266">
        <f t="shared" si="97"/>
        <v>0</v>
      </c>
      <c r="K992" s="136">
        <f t="shared" si="92"/>
        <v>0</v>
      </c>
      <c r="L992" s="136">
        <f t="shared" si="93"/>
        <v>0</v>
      </c>
      <c r="M992" s="136">
        <f t="shared" si="94"/>
        <v>0</v>
      </c>
      <c r="O992" s="134"/>
      <c r="P992" s="259"/>
    </row>
    <row r="993" spans="1:16">
      <c r="A993" s="134">
        <v>447</v>
      </c>
      <c r="B993" s="259" t="s">
        <v>2898</v>
      </c>
      <c r="C993" s="129" t="s">
        <v>2899</v>
      </c>
      <c r="D993" s="292">
        <v>272</v>
      </c>
      <c r="E993" s="292">
        <v>0</v>
      </c>
      <c r="F993" s="139">
        <f t="shared" si="95"/>
        <v>272</v>
      </c>
      <c r="G993" s="292">
        <v>166</v>
      </c>
      <c r="H993" s="292">
        <v>0</v>
      </c>
      <c r="I993" s="139">
        <f t="shared" si="96"/>
        <v>166</v>
      </c>
      <c r="J993" s="266">
        <f t="shared" si="97"/>
        <v>0.61029999999999995</v>
      </c>
      <c r="K993" s="136">
        <f t="shared" si="92"/>
        <v>0</v>
      </c>
      <c r="L993" s="136">
        <f t="shared" si="93"/>
        <v>17.399999999999999</v>
      </c>
      <c r="M993" s="136">
        <f t="shared" si="94"/>
        <v>17.399999999999999</v>
      </c>
      <c r="O993" s="134"/>
      <c r="P993" s="259"/>
    </row>
    <row r="994" spans="1:16">
      <c r="A994" s="134">
        <v>447</v>
      </c>
      <c r="B994" s="259" t="s">
        <v>2900</v>
      </c>
      <c r="C994" s="129" t="s">
        <v>2901</v>
      </c>
      <c r="D994" s="292">
        <v>130</v>
      </c>
      <c r="E994" s="292">
        <v>0</v>
      </c>
      <c r="F994" s="139">
        <f t="shared" si="95"/>
        <v>130</v>
      </c>
      <c r="G994" s="292">
        <v>60</v>
      </c>
      <c r="H994" s="292">
        <v>0</v>
      </c>
      <c r="I994" s="139">
        <f t="shared" si="96"/>
        <v>60</v>
      </c>
      <c r="J994" s="266">
        <f t="shared" si="97"/>
        <v>0.46150000000000002</v>
      </c>
      <c r="K994" s="136">
        <f t="shared" si="92"/>
        <v>4.7</v>
      </c>
      <c r="L994" s="136">
        <f t="shared" si="93"/>
        <v>0</v>
      </c>
      <c r="M994" s="136">
        <f t="shared" si="94"/>
        <v>4.7</v>
      </c>
      <c r="O994" s="134"/>
      <c r="P994" s="259"/>
    </row>
    <row r="995" spans="1:16">
      <c r="A995" s="134">
        <v>447</v>
      </c>
      <c r="B995" s="259" t="s">
        <v>2902</v>
      </c>
      <c r="C995" s="129" t="s">
        <v>2903</v>
      </c>
      <c r="D995" s="292">
        <v>286</v>
      </c>
      <c r="E995" s="292">
        <v>0</v>
      </c>
      <c r="F995" s="139">
        <f t="shared" si="95"/>
        <v>286</v>
      </c>
      <c r="G995" s="292">
        <v>179</v>
      </c>
      <c r="H995" s="292">
        <v>0</v>
      </c>
      <c r="I995" s="139">
        <f t="shared" si="96"/>
        <v>179</v>
      </c>
      <c r="J995" s="266">
        <f t="shared" si="97"/>
        <v>0.62590000000000001</v>
      </c>
      <c r="K995" s="136">
        <f t="shared" si="92"/>
        <v>0</v>
      </c>
      <c r="L995" s="136">
        <f t="shared" si="93"/>
        <v>18.8</v>
      </c>
      <c r="M995" s="136">
        <f t="shared" si="94"/>
        <v>18.8</v>
      </c>
      <c r="O995" s="134"/>
      <c r="P995" s="259"/>
    </row>
    <row r="996" spans="1:16">
      <c r="A996" s="134">
        <v>448</v>
      </c>
      <c r="B996" s="259" t="s">
        <v>2904</v>
      </c>
      <c r="C996" s="129" t="s">
        <v>2905</v>
      </c>
      <c r="D996" s="292">
        <v>248</v>
      </c>
      <c r="E996" s="292">
        <v>0</v>
      </c>
      <c r="F996" s="139">
        <f t="shared" si="95"/>
        <v>248</v>
      </c>
      <c r="G996" s="292">
        <v>90</v>
      </c>
      <c r="H996" s="292">
        <v>0</v>
      </c>
      <c r="I996" s="139">
        <f t="shared" si="96"/>
        <v>90</v>
      </c>
      <c r="J996" s="266">
        <f t="shared" si="97"/>
        <v>0.3629</v>
      </c>
      <c r="K996" s="136">
        <f t="shared" si="92"/>
        <v>0.8</v>
      </c>
      <c r="L996" s="136">
        <f t="shared" si="93"/>
        <v>0</v>
      </c>
      <c r="M996" s="136">
        <f t="shared" si="94"/>
        <v>0.8</v>
      </c>
      <c r="O996" s="134"/>
      <c r="P996" s="259"/>
    </row>
    <row r="997" spans="1:16">
      <c r="A997" s="134">
        <v>448</v>
      </c>
      <c r="B997" s="259" t="s">
        <v>2906</v>
      </c>
      <c r="C997" s="129" t="s">
        <v>2907</v>
      </c>
      <c r="D997" s="292">
        <v>186</v>
      </c>
      <c r="E997" s="292">
        <v>0</v>
      </c>
      <c r="F997" s="139">
        <f t="shared" si="95"/>
        <v>186</v>
      </c>
      <c r="G997" s="292">
        <v>35</v>
      </c>
      <c r="H997" s="292">
        <v>0</v>
      </c>
      <c r="I997" s="139">
        <f t="shared" si="96"/>
        <v>35</v>
      </c>
      <c r="J997" s="266">
        <f t="shared" si="97"/>
        <v>0.18820000000000001</v>
      </c>
      <c r="K997" s="136">
        <f t="shared" si="92"/>
        <v>0</v>
      </c>
      <c r="L997" s="136">
        <f t="shared" si="93"/>
        <v>0</v>
      </c>
      <c r="M997" s="136">
        <f t="shared" si="94"/>
        <v>0</v>
      </c>
      <c r="O997" s="134"/>
      <c r="P997" s="259"/>
    </row>
    <row r="998" spans="1:16">
      <c r="A998" s="134">
        <v>449</v>
      </c>
      <c r="B998" s="259" t="s">
        <v>2908</v>
      </c>
      <c r="C998" s="129" t="s">
        <v>1339</v>
      </c>
      <c r="D998" s="292">
        <v>164</v>
      </c>
      <c r="E998" s="292">
        <v>0</v>
      </c>
      <c r="F998" s="139">
        <f t="shared" si="95"/>
        <v>164</v>
      </c>
      <c r="G998" s="292">
        <v>32</v>
      </c>
      <c r="H998" s="292">
        <v>0</v>
      </c>
      <c r="I998" s="139">
        <f t="shared" si="96"/>
        <v>32</v>
      </c>
      <c r="J998" s="266">
        <f t="shared" si="97"/>
        <v>0.1951</v>
      </c>
      <c r="K998" s="136">
        <f t="shared" si="92"/>
        <v>0</v>
      </c>
      <c r="L998" s="136">
        <f t="shared" si="93"/>
        <v>0</v>
      </c>
      <c r="M998" s="136">
        <f t="shared" si="94"/>
        <v>0</v>
      </c>
      <c r="O998" s="134"/>
      <c r="P998" s="259"/>
    </row>
    <row r="999" spans="1:16">
      <c r="A999" s="134">
        <v>449</v>
      </c>
      <c r="B999" s="259" t="s">
        <v>2909</v>
      </c>
      <c r="C999" s="129" t="s">
        <v>2910</v>
      </c>
      <c r="D999" s="292">
        <v>171</v>
      </c>
      <c r="E999" s="292">
        <v>0</v>
      </c>
      <c r="F999" s="139">
        <f t="shared" si="95"/>
        <v>171</v>
      </c>
      <c r="G999" s="292">
        <v>32</v>
      </c>
      <c r="H999" s="292">
        <v>0</v>
      </c>
      <c r="I999" s="139">
        <f t="shared" si="96"/>
        <v>32</v>
      </c>
      <c r="J999" s="266">
        <f t="shared" si="97"/>
        <v>0.18709999999999999</v>
      </c>
      <c r="K999" s="136">
        <f t="shared" si="92"/>
        <v>0</v>
      </c>
      <c r="L999" s="136">
        <f t="shared" si="93"/>
        <v>0</v>
      </c>
      <c r="M999" s="136">
        <f t="shared" si="94"/>
        <v>0</v>
      </c>
      <c r="O999" s="134"/>
      <c r="P999" s="259"/>
    </row>
    <row r="1000" spans="1:16">
      <c r="A1000" s="134">
        <v>449</v>
      </c>
      <c r="B1000" s="259" t="s">
        <v>2911</v>
      </c>
      <c r="C1000" s="129" t="s">
        <v>2912</v>
      </c>
      <c r="D1000" s="292">
        <v>337</v>
      </c>
      <c r="E1000" s="292">
        <v>0</v>
      </c>
      <c r="F1000" s="139">
        <f t="shared" si="95"/>
        <v>337</v>
      </c>
      <c r="G1000" s="292">
        <v>65</v>
      </c>
      <c r="H1000" s="292">
        <v>0</v>
      </c>
      <c r="I1000" s="139">
        <f t="shared" si="96"/>
        <v>65</v>
      </c>
      <c r="J1000" s="266">
        <f t="shared" si="97"/>
        <v>0.19289999999999999</v>
      </c>
      <c r="K1000" s="136">
        <f t="shared" si="92"/>
        <v>0</v>
      </c>
      <c r="L1000" s="136">
        <f t="shared" si="93"/>
        <v>0</v>
      </c>
      <c r="M1000" s="136">
        <f t="shared" si="94"/>
        <v>0</v>
      </c>
      <c r="O1000" s="134"/>
      <c r="P1000" s="259"/>
    </row>
    <row r="1001" spans="1:16">
      <c r="A1001" s="134">
        <v>450</v>
      </c>
      <c r="B1001" s="259" t="s">
        <v>2913</v>
      </c>
      <c r="C1001" s="129" t="s">
        <v>2914</v>
      </c>
      <c r="D1001" s="292">
        <v>532</v>
      </c>
      <c r="E1001" s="292">
        <v>0</v>
      </c>
      <c r="F1001" s="139">
        <f t="shared" si="95"/>
        <v>532</v>
      </c>
      <c r="G1001" s="292">
        <v>141</v>
      </c>
      <c r="H1001" s="292">
        <v>0</v>
      </c>
      <c r="I1001" s="139">
        <f t="shared" si="96"/>
        <v>141</v>
      </c>
      <c r="J1001" s="266">
        <f t="shared" si="97"/>
        <v>0.26500000000000001</v>
      </c>
      <c r="K1001" s="136">
        <f t="shared" si="92"/>
        <v>0</v>
      </c>
      <c r="L1001" s="136">
        <f t="shared" si="93"/>
        <v>0</v>
      </c>
      <c r="M1001" s="136">
        <f t="shared" si="94"/>
        <v>0</v>
      </c>
      <c r="O1001" s="134"/>
      <c r="P1001" s="259"/>
    </row>
    <row r="1002" spans="1:16">
      <c r="A1002" s="134">
        <v>450</v>
      </c>
      <c r="B1002" s="259" t="s">
        <v>2915</v>
      </c>
      <c r="C1002" s="129" t="s">
        <v>2916</v>
      </c>
      <c r="D1002" s="292">
        <v>431</v>
      </c>
      <c r="E1002" s="292">
        <v>0</v>
      </c>
      <c r="F1002" s="139">
        <f t="shared" si="95"/>
        <v>431</v>
      </c>
      <c r="G1002" s="292">
        <v>130</v>
      </c>
      <c r="H1002" s="292">
        <v>0</v>
      </c>
      <c r="I1002" s="139">
        <f t="shared" si="96"/>
        <v>130</v>
      </c>
      <c r="J1002" s="266">
        <f t="shared" si="97"/>
        <v>0.30159999999999998</v>
      </c>
      <c r="K1002" s="136">
        <f t="shared" si="92"/>
        <v>0</v>
      </c>
      <c r="L1002" s="136">
        <f t="shared" si="93"/>
        <v>0</v>
      </c>
      <c r="M1002" s="136">
        <f t="shared" si="94"/>
        <v>0</v>
      </c>
      <c r="O1002" s="134"/>
      <c r="P1002" s="259"/>
    </row>
    <row r="1003" spans="1:16">
      <c r="A1003" s="134">
        <v>450</v>
      </c>
      <c r="B1003" s="259" t="s">
        <v>2917</v>
      </c>
      <c r="C1003" s="129" t="s">
        <v>2918</v>
      </c>
      <c r="D1003" s="292">
        <v>1190</v>
      </c>
      <c r="E1003" s="292">
        <v>0</v>
      </c>
      <c r="F1003" s="139">
        <f t="shared" si="95"/>
        <v>1190</v>
      </c>
      <c r="G1003" s="292">
        <v>338</v>
      </c>
      <c r="H1003" s="292">
        <v>0</v>
      </c>
      <c r="I1003" s="139">
        <f t="shared" si="96"/>
        <v>338</v>
      </c>
      <c r="J1003" s="266">
        <f t="shared" si="97"/>
        <v>0.28399999999999997</v>
      </c>
      <c r="K1003" s="136">
        <f t="shared" si="92"/>
        <v>0</v>
      </c>
      <c r="L1003" s="136">
        <f t="shared" si="93"/>
        <v>0</v>
      </c>
      <c r="M1003" s="136">
        <f t="shared" si="94"/>
        <v>0</v>
      </c>
      <c r="O1003" s="134"/>
      <c r="P1003" s="259"/>
    </row>
    <row r="1004" spans="1:16">
      <c r="A1004" s="134">
        <v>450</v>
      </c>
      <c r="B1004" s="259" t="s">
        <v>2919</v>
      </c>
      <c r="C1004" s="129" t="s">
        <v>2920</v>
      </c>
      <c r="D1004" s="292">
        <v>514</v>
      </c>
      <c r="E1004" s="292">
        <v>0</v>
      </c>
      <c r="F1004" s="139">
        <f t="shared" si="95"/>
        <v>514</v>
      </c>
      <c r="G1004" s="292">
        <v>179</v>
      </c>
      <c r="H1004" s="292">
        <v>0</v>
      </c>
      <c r="I1004" s="139">
        <f t="shared" si="96"/>
        <v>179</v>
      </c>
      <c r="J1004" s="266">
        <f t="shared" si="97"/>
        <v>0.34820000000000001</v>
      </c>
      <c r="K1004" s="136">
        <f t="shared" si="92"/>
        <v>0</v>
      </c>
      <c r="L1004" s="136">
        <f t="shared" si="93"/>
        <v>0</v>
      </c>
      <c r="M1004" s="136">
        <f t="shared" si="94"/>
        <v>0</v>
      </c>
      <c r="O1004" s="134"/>
      <c r="P1004" s="259"/>
    </row>
    <row r="1005" spans="1:16">
      <c r="A1005" s="134">
        <v>450</v>
      </c>
      <c r="B1005" s="259" t="s">
        <v>2921</v>
      </c>
      <c r="C1005" s="129" t="s">
        <v>2922</v>
      </c>
      <c r="D1005" s="292">
        <v>455</v>
      </c>
      <c r="E1005" s="292">
        <v>0</v>
      </c>
      <c r="F1005" s="139">
        <f t="shared" si="95"/>
        <v>455</v>
      </c>
      <c r="G1005" s="292">
        <v>210</v>
      </c>
      <c r="H1005" s="292">
        <v>0</v>
      </c>
      <c r="I1005" s="139">
        <f t="shared" si="96"/>
        <v>210</v>
      </c>
      <c r="J1005" s="266">
        <f t="shared" si="97"/>
        <v>0.46150000000000002</v>
      </c>
      <c r="K1005" s="136">
        <f t="shared" si="92"/>
        <v>16.399999999999999</v>
      </c>
      <c r="L1005" s="136">
        <f t="shared" si="93"/>
        <v>0</v>
      </c>
      <c r="M1005" s="136">
        <f t="shared" si="94"/>
        <v>16.399999999999999</v>
      </c>
      <c r="O1005" s="134"/>
      <c r="P1005" s="259"/>
    </row>
    <row r="1006" spans="1:16">
      <c r="A1006" s="134">
        <v>450</v>
      </c>
      <c r="B1006" s="259" t="s">
        <v>2923</v>
      </c>
      <c r="C1006" s="129" t="s">
        <v>2924</v>
      </c>
      <c r="D1006" s="292">
        <v>462</v>
      </c>
      <c r="E1006" s="292">
        <v>0</v>
      </c>
      <c r="F1006" s="139">
        <f t="shared" si="95"/>
        <v>462</v>
      </c>
      <c r="G1006" s="292">
        <v>163</v>
      </c>
      <c r="H1006" s="292">
        <v>0</v>
      </c>
      <c r="I1006" s="139">
        <f t="shared" si="96"/>
        <v>163</v>
      </c>
      <c r="J1006" s="266">
        <f t="shared" si="97"/>
        <v>0.3528</v>
      </c>
      <c r="K1006" s="136">
        <f t="shared" si="92"/>
        <v>0.3</v>
      </c>
      <c r="L1006" s="136">
        <f t="shared" si="93"/>
        <v>0</v>
      </c>
      <c r="M1006" s="136">
        <f t="shared" si="94"/>
        <v>0.3</v>
      </c>
      <c r="O1006" s="134"/>
      <c r="P1006" s="259"/>
    </row>
    <row r="1007" spans="1:16">
      <c r="A1007" s="134">
        <v>452</v>
      </c>
      <c r="B1007" s="259" t="s">
        <v>2925</v>
      </c>
      <c r="C1007" s="129" t="s">
        <v>2926</v>
      </c>
      <c r="D1007" s="292">
        <v>228</v>
      </c>
      <c r="E1007" s="292">
        <v>0</v>
      </c>
      <c r="F1007" s="139">
        <f t="shared" si="95"/>
        <v>228</v>
      </c>
      <c r="G1007" s="292">
        <v>109</v>
      </c>
      <c r="H1007" s="292">
        <v>0</v>
      </c>
      <c r="I1007" s="139">
        <f t="shared" si="96"/>
        <v>109</v>
      </c>
      <c r="J1007" s="266">
        <f t="shared" si="97"/>
        <v>0.47810000000000002</v>
      </c>
      <c r="K1007" s="136">
        <f t="shared" si="92"/>
        <v>9.8000000000000007</v>
      </c>
      <c r="L1007" s="136">
        <f t="shared" si="93"/>
        <v>0</v>
      </c>
      <c r="M1007" s="136">
        <f t="shared" si="94"/>
        <v>9.8000000000000007</v>
      </c>
      <c r="O1007" s="134"/>
      <c r="P1007" s="259"/>
    </row>
    <row r="1008" spans="1:16">
      <c r="A1008" s="134">
        <v>452</v>
      </c>
      <c r="B1008" s="259" t="s">
        <v>2927</v>
      </c>
      <c r="C1008" s="129" t="s">
        <v>2928</v>
      </c>
      <c r="D1008" s="292">
        <v>185</v>
      </c>
      <c r="E1008" s="292">
        <v>0</v>
      </c>
      <c r="F1008" s="139">
        <f t="shared" si="95"/>
        <v>185</v>
      </c>
      <c r="G1008" s="292">
        <v>94</v>
      </c>
      <c r="H1008" s="292">
        <v>0</v>
      </c>
      <c r="I1008" s="139">
        <f t="shared" si="96"/>
        <v>94</v>
      </c>
      <c r="J1008" s="266">
        <f t="shared" si="97"/>
        <v>0.5081</v>
      </c>
      <c r="K1008" s="136">
        <f t="shared" si="92"/>
        <v>0</v>
      </c>
      <c r="L1008" s="136">
        <f t="shared" si="93"/>
        <v>9.9</v>
      </c>
      <c r="M1008" s="136">
        <f t="shared" si="94"/>
        <v>9.9</v>
      </c>
      <c r="O1008" s="134"/>
      <c r="P1008" s="259"/>
    </row>
    <row r="1009" spans="1:16">
      <c r="A1009" s="134">
        <v>453</v>
      </c>
      <c r="B1009" s="259" t="s">
        <v>2929</v>
      </c>
      <c r="C1009" s="129" t="s">
        <v>2930</v>
      </c>
      <c r="D1009" s="292">
        <v>1290</v>
      </c>
      <c r="E1009" s="292">
        <v>0</v>
      </c>
      <c r="F1009" s="139">
        <f t="shared" si="95"/>
        <v>1290</v>
      </c>
      <c r="G1009" s="292">
        <v>485</v>
      </c>
      <c r="H1009" s="292">
        <v>0</v>
      </c>
      <c r="I1009" s="139">
        <f t="shared" si="96"/>
        <v>485</v>
      </c>
      <c r="J1009" s="266">
        <f t="shared" si="97"/>
        <v>0.376</v>
      </c>
      <c r="K1009" s="136">
        <f t="shared" si="92"/>
        <v>8.8000000000000007</v>
      </c>
      <c r="L1009" s="136">
        <f t="shared" si="93"/>
        <v>0</v>
      </c>
      <c r="M1009" s="136">
        <f t="shared" si="94"/>
        <v>8.8000000000000007</v>
      </c>
      <c r="O1009" s="134"/>
      <c r="P1009" s="259"/>
    </row>
    <row r="1010" spans="1:16">
      <c r="A1010" s="134">
        <v>453</v>
      </c>
      <c r="B1010" s="259" t="s">
        <v>4063</v>
      </c>
      <c r="C1010" s="129" t="s">
        <v>4064</v>
      </c>
      <c r="D1010" s="292">
        <v>0</v>
      </c>
      <c r="E1010" s="292">
        <v>0</v>
      </c>
      <c r="F1010" s="139">
        <f t="shared" si="95"/>
        <v>0</v>
      </c>
      <c r="G1010" s="292">
        <v>0</v>
      </c>
      <c r="H1010" s="292">
        <v>0</v>
      </c>
      <c r="I1010" s="139">
        <f t="shared" si="96"/>
        <v>0</v>
      </c>
      <c r="J1010" s="266">
        <f t="shared" si="97"/>
        <v>0</v>
      </c>
      <c r="K1010" s="136">
        <f t="shared" si="92"/>
        <v>0</v>
      </c>
      <c r="L1010" s="136">
        <f t="shared" si="93"/>
        <v>0</v>
      </c>
      <c r="M1010" s="136">
        <f t="shared" si="94"/>
        <v>0</v>
      </c>
      <c r="O1010" s="134"/>
      <c r="P1010" s="259"/>
    </row>
    <row r="1011" spans="1:16">
      <c r="A1011" s="134">
        <v>453</v>
      </c>
      <c r="B1011" s="259" t="s">
        <v>2931</v>
      </c>
      <c r="C1011" s="129" t="s">
        <v>2932</v>
      </c>
      <c r="D1011" s="292">
        <v>324</v>
      </c>
      <c r="E1011" s="292">
        <v>0</v>
      </c>
      <c r="F1011" s="139">
        <f t="shared" si="95"/>
        <v>324</v>
      </c>
      <c r="G1011" s="292">
        <v>157</v>
      </c>
      <c r="H1011" s="292">
        <v>0</v>
      </c>
      <c r="I1011" s="139">
        <f t="shared" si="96"/>
        <v>157</v>
      </c>
      <c r="J1011" s="266">
        <f t="shared" si="97"/>
        <v>0.48459999999999998</v>
      </c>
      <c r="K1011" s="136">
        <f t="shared" si="92"/>
        <v>14.8</v>
      </c>
      <c r="L1011" s="136">
        <f t="shared" si="93"/>
        <v>0</v>
      </c>
      <c r="M1011" s="136">
        <f t="shared" si="94"/>
        <v>14.8</v>
      </c>
      <c r="O1011" s="134"/>
      <c r="P1011" s="259"/>
    </row>
    <row r="1012" spans="1:16">
      <c r="A1012" s="134">
        <v>453</v>
      </c>
      <c r="B1012" s="259" t="s">
        <v>2933</v>
      </c>
      <c r="C1012" s="129" t="s">
        <v>2934</v>
      </c>
      <c r="D1012" s="292">
        <v>294</v>
      </c>
      <c r="E1012" s="292">
        <v>0</v>
      </c>
      <c r="F1012" s="139">
        <f t="shared" si="95"/>
        <v>294</v>
      </c>
      <c r="G1012" s="292">
        <v>202</v>
      </c>
      <c r="H1012" s="292">
        <v>0</v>
      </c>
      <c r="I1012" s="139">
        <f t="shared" si="96"/>
        <v>202</v>
      </c>
      <c r="J1012" s="266">
        <f t="shared" si="97"/>
        <v>0.68710000000000004</v>
      </c>
      <c r="K1012" s="136">
        <f t="shared" si="92"/>
        <v>0</v>
      </c>
      <c r="L1012" s="136">
        <f t="shared" si="93"/>
        <v>21.2</v>
      </c>
      <c r="M1012" s="136">
        <f t="shared" si="94"/>
        <v>21.2</v>
      </c>
      <c r="O1012" s="134"/>
      <c r="P1012" s="259"/>
    </row>
    <row r="1013" spans="1:16">
      <c r="A1013" s="134">
        <v>453</v>
      </c>
      <c r="B1013" s="259" t="s">
        <v>2935</v>
      </c>
      <c r="C1013" s="129" t="s">
        <v>2936</v>
      </c>
      <c r="D1013" s="292">
        <v>337</v>
      </c>
      <c r="E1013" s="292">
        <v>0</v>
      </c>
      <c r="F1013" s="139">
        <f t="shared" si="95"/>
        <v>337</v>
      </c>
      <c r="G1013" s="292">
        <v>208</v>
      </c>
      <c r="H1013" s="292">
        <v>0</v>
      </c>
      <c r="I1013" s="139">
        <f t="shared" si="96"/>
        <v>208</v>
      </c>
      <c r="J1013" s="266">
        <f t="shared" si="97"/>
        <v>0.61719999999999997</v>
      </c>
      <c r="K1013" s="136">
        <f t="shared" si="92"/>
        <v>0</v>
      </c>
      <c r="L1013" s="136">
        <f t="shared" si="93"/>
        <v>21.8</v>
      </c>
      <c r="M1013" s="136">
        <f t="shared" si="94"/>
        <v>21.8</v>
      </c>
      <c r="O1013" s="134"/>
      <c r="P1013" s="259"/>
    </row>
    <row r="1014" spans="1:16">
      <c r="A1014" s="134">
        <v>453</v>
      </c>
      <c r="B1014" s="259" t="s">
        <v>2937</v>
      </c>
      <c r="C1014" s="129" t="s">
        <v>2938</v>
      </c>
      <c r="D1014" s="292">
        <v>450</v>
      </c>
      <c r="E1014" s="292">
        <v>0</v>
      </c>
      <c r="F1014" s="139">
        <f t="shared" si="95"/>
        <v>450</v>
      </c>
      <c r="G1014" s="292">
        <v>243</v>
      </c>
      <c r="H1014" s="292">
        <v>0</v>
      </c>
      <c r="I1014" s="139">
        <f t="shared" si="96"/>
        <v>243</v>
      </c>
      <c r="J1014" s="266">
        <f t="shared" si="97"/>
        <v>0.54</v>
      </c>
      <c r="K1014" s="136">
        <f t="shared" si="92"/>
        <v>0</v>
      </c>
      <c r="L1014" s="136">
        <f t="shared" si="93"/>
        <v>25.5</v>
      </c>
      <c r="M1014" s="136">
        <f t="shared" si="94"/>
        <v>25.5</v>
      </c>
      <c r="O1014" s="134"/>
      <c r="P1014" s="259"/>
    </row>
    <row r="1015" spans="1:16">
      <c r="A1015" s="134">
        <v>453</v>
      </c>
      <c r="B1015" s="259" t="s">
        <v>2939</v>
      </c>
      <c r="C1015" s="129" t="s">
        <v>2940</v>
      </c>
      <c r="D1015" s="292">
        <v>451</v>
      </c>
      <c r="E1015" s="292">
        <v>0</v>
      </c>
      <c r="F1015" s="139">
        <f t="shared" si="95"/>
        <v>451</v>
      </c>
      <c r="G1015" s="292">
        <v>264</v>
      </c>
      <c r="H1015" s="292">
        <v>0</v>
      </c>
      <c r="I1015" s="139">
        <f t="shared" si="96"/>
        <v>264</v>
      </c>
      <c r="J1015" s="266">
        <f t="shared" si="97"/>
        <v>0.58540000000000003</v>
      </c>
      <c r="K1015" s="136">
        <f t="shared" si="92"/>
        <v>0</v>
      </c>
      <c r="L1015" s="136">
        <f t="shared" si="93"/>
        <v>27.7</v>
      </c>
      <c r="M1015" s="136">
        <f t="shared" si="94"/>
        <v>27.7</v>
      </c>
      <c r="O1015" s="134"/>
      <c r="P1015" s="259"/>
    </row>
    <row r="1016" spans="1:16">
      <c r="A1016" s="134">
        <v>453</v>
      </c>
      <c r="B1016" s="259" t="s">
        <v>2941</v>
      </c>
      <c r="C1016" s="129" t="s">
        <v>2942</v>
      </c>
      <c r="D1016" s="292">
        <v>289</v>
      </c>
      <c r="E1016" s="292">
        <v>0</v>
      </c>
      <c r="F1016" s="139">
        <f t="shared" si="95"/>
        <v>289</v>
      </c>
      <c r="G1016" s="292">
        <v>157</v>
      </c>
      <c r="H1016" s="292">
        <v>0</v>
      </c>
      <c r="I1016" s="139">
        <f t="shared" si="96"/>
        <v>157</v>
      </c>
      <c r="J1016" s="266">
        <f t="shared" si="97"/>
        <v>0.54330000000000001</v>
      </c>
      <c r="K1016" s="136">
        <f t="shared" si="92"/>
        <v>0</v>
      </c>
      <c r="L1016" s="136">
        <f t="shared" si="93"/>
        <v>16.5</v>
      </c>
      <c r="M1016" s="136">
        <f t="shared" si="94"/>
        <v>16.5</v>
      </c>
      <c r="O1016" s="134"/>
      <c r="P1016" s="259"/>
    </row>
    <row r="1017" spans="1:16">
      <c r="A1017" s="134">
        <v>454</v>
      </c>
      <c r="B1017" s="259" t="s">
        <v>2943</v>
      </c>
      <c r="C1017" s="129" t="s">
        <v>2944</v>
      </c>
      <c r="D1017" s="292">
        <v>127</v>
      </c>
      <c r="E1017" s="292">
        <v>0</v>
      </c>
      <c r="F1017" s="139">
        <f t="shared" si="95"/>
        <v>127</v>
      </c>
      <c r="G1017" s="292">
        <v>61</v>
      </c>
      <c r="H1017" s="292">
        <v>0</v>
      </c>
      <c r="I1017" s="139">
        <f t="shared" si="96"/>
        <v>61</v>
      </c>
      <c r="J1017" s="266">
        <f t="shared" si="97"/>
        <v>0.4803</v>
      </c>
      <c r="K1017" s="136">
        <f t="shared" si="92"/>
        <v>5.6</v>
      </c>
      <c r="L1017" s="136">
        <f t="shared" si="93"/>
        <v>0</v>
      </c>
      <c r="M1017" s="136">
        <f t="shared" si="94"/>
        <v>5.6</v>
      </c>
      <c r="O1017" s="134"/>
      <c r="P1017" s="259"/>
    </row>
    <row r="1018" spans="1:16">
      <c r="A1018" s="134">
        <v>454</v>
      </c>
      <c r="B1018" s="259" t="s">
        <v>2945</v>
      </c>
      <c r="C1018" s="129" t="s">
        <v>2946</v>
      </c>
      <c r="D1018" s="292">
        <v>149</v>
      </c>
      <c r="E1018" s="292">
        <v>0</v>
      </c>
      <c r="F1018" s="139">
        <f t="shared" si="95"/>
        <v>149</v>
      </c>
      <c r="G1018" s="292">
        <v>59</v>
      </c>
      <c r="H1018" s="292">
        <v>0</v>
      </c>
      <c r="I1018" s="139">
        <f t="shared" si="96"/>
        <v>59</v>
      </c>
      <c r="J1018" s="266">
        <f t="shared" si="97"/>
        <v>0.39600000000000002</v>
      </c>
      <c r="K1018" s="136">
        <f t="shared" si="92"/>
        <v>1.9</v>
      </c>
      <c r="L1018" s="136">
        <f t="shared" si="93"/>
        <v>0</v>
      </c>
      <c r="M1018" s="136">
        <f t="shared" si="94"/>
        <v>1.9</v>
      </c>
      <c r="O1018" s="134"/>
      <c r="P1018" s="259"/>
    </row>
    <row r="1019" spans="1:16">
      <c r="A1019" s="134">
        <v>456</v>
      </c>
      <c r="B1019" s="259" t="s">
        <v>2947</v>
      </c>
      <c r="C1019" s="129" t="s">
        <v>2948</v>
      </c>
      <c r="D1019" s="292">
        <v>93</v>
      </c>
      <c r="E1019" s="292">
        <v>0</v>
      </c>
      <c r="F1019" s="139">
        <f t="shared" si="95"/>
        <v>93</v>
      </c>
      <c r="G1019" s="292">
        <v>63</v>
      </c>
      <c r="H1019" s="292">
        <v>0</v>
      </c>
      <c r="I1019" s="139">
        <f t="shared" si="96"/>
        <v>63</v>
      </c>
      <c r="J1019" s="266">
        <f t="shared" si="97"/>
        <v>0.6774</v>
      </c>
      <c r="K1019" s="136">
        <f t="shared" si="92"/>
        <v>0</v>
      </c>
      <c r="L1019" s="136">
        <f t="shared" si="93"/>
        <v>6.6</v>
      </c>
      <c r="M1019" s="136">
        <f t="shared" si="94"/>
        <v>6.6</v>
      </c>
      <c r="O1019" s="134"/>
      <c r="P1019" s="259"/>
    </row>
    <row r="1020" spans="1:16">
      <c r="A1020" s="134">
        <v>456</v>
      </c>
      <c r="B1020" s="259" t="s">
        <v>2949</v>
      </c>
      <c r="C1020" s="129" t="s">
        <v>2950</v>
      </c>
      <c r="D1020" s="292">
        <v>67</v>
      </c>
      <c r="E1020" s="292">
        <v>0</v>
      </c>
      <c r="F1020" s="139">
        <f t="shared" si="95"/>
        <v>67</v>
      </c>
      <c r="G1020" s="292">
        <v>32</v>
      </c>
      <c r="H1020" s="292">
        <v>0</v>
      </c>
      <c r="I1020" s="139">
        <f t="shared" si="96"/>
        <v>32</v>
      </c>
      <c r="J1020" s="266">
        <f t="shared" si="97"/>
        <v>0.47760000000000002</v>
      </c>
      <c r="K1020" s="136">
        <f t="shared" si="92"/>
        <v>2.9</v>
      </c>
      <c r="L1020" s="136">
        <f t="shared" si="93"/>
        <v>0</v>
      </c>
      <c r="M1020" s="136">
        <f t="shared" si="94"/>
        <v>2.9</v>
      </c>
      <c r="O1020" s="134"/>
      <c r="P1020" s="259"/>
    </row>
    <row r="1021" spans="1:16">
      <c r="A1021" s="134">
        <v>456</v>
      </c>
      <c r="B1021" s="259" t="s">
        <v>2951</v>
      </c>
      <c r="C1021" s="129" t="s">
        <v>2952</v>
      </c>
      <c r="D1021" s="292">
        <v>37</v>
      </c>
      <c r="E1021" s="292">
        <v>0</v>
      </c>
      <c r="F1021" s="139">
        <f t="shared" si="95"/>
        <v>37</v>
      </c>
      <c r="G1021" s="292">
        <v>23</v>
      </c>
      <c r="H1021" s="292">
        <v>0</v>
      </c>
      <c r="I1021" s="139">
        <f t="shared" si="96"/>
        <v>23</v>
      </c>
      <c r="J1021" s="266">
        <f t="shared" si="97"/>
        <v>0.62160000000000004</v>
      </c>
      <c r="K1021" s="136">
        <f t="shared" si="92"/>
        <v>0</v>
      </c>
      <c r="L1021" s="136">
        <f t="shared" si="93"/>
        <v>2.4</v>
      </c>
      <c r="M1021" s="136">
        <f t="shared" si="94"/>
        <v>2.4</v>
      </c>
      <c r="O1021" s="134"/>
      <c r="P1021" s="259"/>
    </row>
    <row r="1022" spans="1:16">
      <c r="A1022" s="134">
        <v>457</v>
      </c>
      <c r="B1022" s="134" t="s">
        <v>2953</v>
      </c>
      <c r="C1022" s="129" t="s">
        <v>2954</v>
      </c>
      <c r="D1022" s="292">
        <v>178</v>
      </c>
      <c r="E1022" s="292">
        <v>0</v>
      </c>
      <c r="F1022" s="139">
        <f t="shared" si="95"/>
        <v>178</v>
      </c>
      <c r="G1022" s="292">
        <v>127</v>
      </c>
      <c r="H1022" s="292">
        <v>0</v>
      </c>
      <c r="I1022" s="139">
        <f t="shared" si="96"/>
        <v>127</v>
      </c>
      <c r="J1022" s="266">
        <f t="shared" si="97"/>
        <v>0.71350000000000002</v>
      </c>
      <c r="K1022" s="136">
        <f t="shared" si="92"/>
        <v>0</v>
      </c>
      <c r="L1022" s="136">
        <f t="shared" si="93"/>
        <v>13.3</v>
      </c>
      <c r="M1022" s="136">
        <f t="shared" si="94"/>
        <v>13.3</v>
      </c>
      <c r="O1022" s="134"/>
      <c r="P1022" s="259"/>
    </row>
    <row r="1023" spans="1:16">
      <c r="A1023" s="134">
        <v>457</v>
      </c>
      <c r="B1023" s="134" t="s">
        <v>2955</v>
      </c>
      <c r="C1023" s="129" t="s">
        <v>2956</v>
      </c>
      <c r="D1023" s="292">
        <v>323</v>
      </c>
      <c r="E1023" s="292">
        <v>0</v>
      </c>
      <c r="F1023" s="139">
        <f t="shared" si="95"/>
        <v>323</v>
      </c>
      <c r="G1023" s="292">
        <v>239</v>
      </c>
      <c r="H1023" s="292">
        <v>0</v>
      </c>
      <c r="I1023" s="139">
        <f t="shared" si="96"/>
        <v>239</v>
      </c>
      <c r="J1023" s="266">
        <f t="shared" si="97"/>
        <v>0.7399</v>
      </c>
      <c r="K1023" s="136">
        <f t="shared" si="92"/>
        <v>0</v>
      </c>
      <c r="L1023" s="136">
        <f t="shared" si="93"/>
        <v>25.1</v>
      </c>
      <c r="M1023" s="136">
        <f t="shared" si="94"/>
        <v>25.1</v>
      </c>
      <c r="O1023" s="134"/>
      <c r="P1023" s="259"/>
    </row>
    <row r="1024" spans="1:16">
      <c r="A1024" s="134">
        <v>457</v>
      </c>
      <c r="B1024" s="134" t="s">
        <v>2957</v>
      </c>
      <c r="C1024" s="165" t="s">
        <v>2958</v>
      </c>
      <c r="D1024" s="295">
        <v>361</v>
      </c>
      <c r="E1024" s="295">
        <v>0</v>
      </c>
      <c r="F1024" s="139">
        <f t="shared" si="95"/>
        <v>361</v>
      </c>
      <c r="G1024" s="295">
        <v>228</v>
      </c>
      <c r="H1024" s="295">
        <v>0</v>
      </c>
      <c r="I1024" s="139">
        <f t="shared" si="96"/>
        <v>228</v>
      </c>
      <c r="J1024" s="266">
        <f t="shared" si="97"/>
        <v>0.63160000000000005</v>
      </c>
      <c r="K1024" s="136">
        <f t="shared" si="92"/>
        <v>0</v>
      </c>
      <c r="L1024" s="136">
        <f t="shared" si="93"/>
        <v>23.9</v>
      </c>
      <c r="M1024" s="136">
        <f t="shared" si="94"/>
        <v>23.9</v>
      </c>
      <c r="O1024" s="134"/>
      <c r="P1024" s="259"/>
    </row>
    <row r="1025" spans="1:16">
      <c r="A1025" s="134">
        <v>457</v>
      </c>
      <c r="B1025" s="134" t="s">
        <v>2959</v>
      </c>
      <c r="C1025" s="129" t="s">
        <v>2960</v>
      </c>
      <c r="D1025" s="292">
        <v>307</v>
      </c>
      <c r="E1025" s="292">
        <v>0</v>
      </c>
      <c r="F1025" s="139">
        <f t="shared" si="95"/>
        <v>307</v>
      </c>
      <c r="G1025" s="292">
        <v>252</v>
      </c>
      <c r="H1025" s="292">
        <v>0</v>
      </c>
      <c r="I1025" s="139">
        <f t="shared" si="96"/>
        <v>252</v>
      </c>
      <c r="J1025" s="266">
        <f t="shared" si="97"/>
        <v>0.82079999999999997</v>
      </c>
      <c r="K1025" s="136">
        <f t="shared" si="92"/>
        <v>0</v>
      </c>
      <c r="L1025" s="136">
        <f t="shared" si="93"/>
        <v>26.5</v>
      </c>
      <c r="M1025" s="136">
        <f t="shared" si="94"/>
        <v>26.5</v>
      </c>
      <c r="O1025" s="134"/>
      <c r="P1025" s="259"/>
    </row>
    <row r="1026" spans="1:16">
      <c r="A1026" s="134">
        <v>457</v>
      </c>
      <c r="B1026" s="134" t="s">
        <v>2961</v>
      </c>
      <c r="C1026" s="129" t="s">
        <v>2962</v>
      </c>
      <c r="D1026" s="292">
        <v>240</v>
      </c>
      <c r="E1026" s="292">
        <v>0</v>
      </c>
      <c r="F1026" s="139">
        <f t="shared" si="95"/>
        <v>240</v>
      </c>
      <c r="G1026" s="292">
        <v>190</v>
      </c>
      <c r="H1026" s="292">
        <v>0</v>
      </c>
      <c r="I1026" s="139">
        <f t="shared" si="96"/>
        <v>190</v>
      </c>
      <c r="J1026" s="266">
        <f t="shared" si="97"/>
        <v>0.79169999999999996</v>
      </c>
      <c r="K1026" s="136">
        <f t="shared" si="92"/>
        <v>0</v>
      </c>
      <c r="L1026" s="136">
        <f t="shared" si="93"/>
        <v>20</v>
      </c>
      <c r="M1026" s="136">
        <f t="shared" si="94"/>
        <v>20</v>
      </c>
      <c r="O1026" s="134"/>
      <c r="P1026" s="259"/>
    </row>
    <row r="1027" spans="1:16">
      <c r="A1027" s="134">
        <v>457</v>
      </c>
      <c r="B1027" s="134" t="s">
        <v>2963</v>
      </c>
      <c r="C1027" s="129" t="s">
        <v>2964</v>
      </c>
      <c r="D1027" s="292">
        <v>126</v>
      </c>
      <c r="E1027" s="292">
        <v>0</v>
      </c>
      <c r="F1027" s="139">
        <f t="shared" si="95"/>
        <v>126</v>
      </c>
      <c r="G1027" s="292">
        <v>83</v>
      </c>
      <c r="H1027" s="292">
        <v>0</v>
      </c>
      <c r="I1027" s="139">
        <f t="shared" si="96"/>
        <v>83</v>
      </c>
      <c r="J1027" s="266">
        <f t="shared" si="97"/>
        <v>0.65869999999999995</v>
      </c>
      <c r="K1027" s="136">
        <f t="shared" si="92"/>
        <v>0</v>
      </c>
      <c r="L1027" s="136">
        <f t="shared" si="93"/>
        <v>8.6999999999999993</v>
      </c>
      <c r="M1027" s="136">
        <f t="shared" si="94"/>
        <v>8.6999999999999993</v>
      </c>
      <c r="O1027" s="134"/>
      <c r="P1027" s="259"/>
    </row>
    <row r="1028" spans="1:16">
      <c r="A1028" s="134">
        <v>457</v>
      </c>
      <c r="B1028" s="134" t="s">
        <v>2965</v>
      </c>
      <c r="C1028" s="129" t="s">
        <v>2966</v>
      </c>
      <c r="D1028" s="292">
        <v>689</v>
      </c>
      <c r="E1028" s="292">
        <v>0</v>
      </c>
      <c r="F1028" s="139">
        <f t="shared" si="95"/>
        <v>689</v>
      </c>
      <c r="G1028" s="292">
        <v>469</v>
      </c>
      <c r="H1028" s="292">
        <v>0</v>
      </c>
      <c r="I1028" s="139">
        <f t="shared" si="96"/>
        <v>469</v>
      </c>
      <c r="J1028" s="266">
        <f t="shared" si="97"/>
        <v>0.68069999999999997</v>
      </c>
      <c r="K1028" s="136">
        <f t="shared" si="92"/>
        <v>0</v>
      </c>
      <c r="L1028" s="136">
        <f t="shared" si="93"/>
        <v>49.2</v>
      </c>
      <c r="M1028" s="136">
        <f t="shared" si="94"/>
        <v>49.2</v>
      </c>
      <c r="O1028" s="134"/>
      <c r="P1028" s="259"/>
    </row>
    <row r="1029" spans="1:16">
      <c r="A1029" s="134">
        <v>457</v>
      </c>
      <c r="B1029" s="134" t="s">
        <v>2967</v>
      </c>
      <c r="C1029" s="129" t="s">
        <v>2968</v>
      </c>
      <c r="D1029" s="292">
        <v>1976</v>
      </c>
      <c r="E1029" s="292">
        <v>0</v>
      </c>
      <c r="F1029" s="139">
        <f t="shared" si="95"/>
        <v>1976</v>
      </c>
      <c r="G1029" s="292">
        <v>1097</v>
      </c>
      <c r="H1029" s="292">
        <v>0</v>
      </c>
      <c r="I1029" s="139">
        <f t="shared" si="96"/>
        <v>1097</v>
      </c>
      <c r="J1029" s="266">
        <f t="shared" si="97"/>
        <v>0.55520000000000003</v>
      </c>
      <c r="K1029" s="136">
        <f t="shared" ref="K1029:K1092" si="98">IF(AND((J1029-35%)&gt;0,J1029&lt;50%),I1029*(J1029-35%)*0.7,0)</f>
        <v>0</v>
      </c>
      <c r="L1029" s="136">
        <f t="shared" ref="L1029:L1092" si="99">IF(J1029&gt;=50%,I1029*10.5%,0)</f>
        <v>115.2</v>
      </c>
      <c r="M1029" s="136">
        <f t="shared" ref="M1029:M1092" si="100">MAX(K1029,L1029)</f>
        <v>115.2</v>
      </c>
      <c r="O1029" s="134"/>
      <c r="P1029" s="259"/>
    </row>
    <row r="1030" spans="1:16">
      <c r="A1030" s="134">
        <v>457</v>
      </c>
      <c r="B1030" s="134" t="s">
        <v>2969</v>
      </c>
      <c r="C1030" s="129" t="s">
        <v>2970</v>
      </c>
      <c r="D1030" s="292">
        <v>216</v>
      </c>
      <c r="E1030" s="292">
        <v>0</v>
      </c>
      <c r="F1030" s="139">
        <f t="shared" ref="F1030:F1093" si="101">D1030+E1030</f>
        <v>216</v>
      </c>
      <c r="G1030" s="292">
        <v>167</v>
      </c>
      <c r="H1030" s="292">
        <v>0</v>
      </c>
      <c r="I1030" s="139">
        <f t="shared" ref="I1030:I1093" si="102">G1030+H1030</f>
        <v>167</v>
      </c>
      <c r="J1030" s="266">
        <f t="shared" ref="J1030:J1093" si="103">IF(ISERROR(I1030/F1030),0,I1030/F1030)</f>
        <v>0.77310000000000001</v>
      </c>
      <c r="K1030" s="136">
        <f t="shared" si="98"/>
        <v>0</v>
      </c>
      <c r="L1030" s="136">
        <f t="shared" si="99"/>
        <v>17.5</v>
      </c>
      <c r="M1030" s="136">
        <f t="shared" si="100"/>
        <v>17.5</v>
      </c>
      <c r="O1030" s="134"/>
      <c r="P1030" s="259"/>
    </row>
    <row r="1031" spans="1:16">
      <c r="A1031" s="134">
        <v>457</v>
      </c>
      <c r="B1031" s="134" t="s">
        <v>2971</v>
      </c>
      <c r="C1031" s="129" t="s">
        <v>2972</v>
      </c>
      <c r="D1031" s="292">
        <v>172</v>
      </c>
      <c r="E1031" s="292">
        <v>0</v>
      </c>
      <c r="F1031" s="139">
        <f t="shared" si="101"/>
        <v>172</v>
      </c>
      <c r="G1031" s="292">
        <v>51</v>
      </c>
      <c r="H1031" s="292">
        <v>0</v>
      </c>
      <c r="I1031" s="139">
        <f t="shared" si="102"/>
        <v>51</v>
      </c>
      <c r="J1031" s="266">
        <f t="shared" si="103"/>
        <v>0.29649999999999999</v>
      </c>
      <c r="K1031" s="136">
        <f t="shared" si="98"/>
        <v>0</v>
      </c>
      <c r="L1031" s="136">
        <f t="shared" si="99"/>
        <v>0</v>
      </c>
      <c r="M1031" s="136">
        <f t="shared" si="100"/>
        <v>0</v>
      </c>
      <c r="O1031" s="134"/>
      <c r="P1031" s="259"/>
    </row>
    <row r="1032" spans="1:16">
      <c r="A1032" s="134">
        <v>457</v>
      </c>
      <c r="B1032" s="134" t="s">
        <v>2973</v>
      </c>
      <c r="C1032" s="129" t="s">
        <v>2974</v>
      </c>
      <c r="D1032" s="292">
        <v>379</v>
      </c>
      <c r="E1032" s="292">
        <v>0</v>
      </c>
      <c r="F1032" s="139">
        <f t="shared" si="101"/>
        <v>379</v>
      </c>
      <c r="G1032" s="292">
        <v>212</v>
      </c>
      <c r="H1032" s="292">
        <v>0</v>
      </c>
      <c r="I1032" s="139">
        <f t="shared" si="102"/>
        <v>212</v>
      </c>
      <c r="J1032" s="266">
        <f t="shared" si="103"/>
        <v>0.55940000000000001</v>
      </c>
      <c r="K1032" s="136">
        <f t="shared" si="98"/>
        <v>0</v>
      </c>
      <c r="L1032" s="136">
        <f t="shared" si="99"/>
        <v>22.3</v>
      </c>
      <c r="M1032" s="136">
        <f t="shared" si="100"/>
        <v>22.3</v>
      </c>
      <c r="O1032" s="134"/>
      <c r="P1032" s="259"/>
    </row>
    <row r="1033" spans="1:16">
      <c r="A1033" s="134">
        <v>457</v>
      </c>
      <c r="B1033" s="134" t="s">
        <v>2975</v>
      </c>
      <c r="C1033" s="129" t="s">
        <v>2976</v>
      </c>
      <c r="D1033" s="292">
        <v>390</v>
      </c>
      <c r="E1033" s="292">
        <v>0</v>
      </c>
      <c r="F1033" s="139">
        <f t="shared" si="101"/>
        <v>390</v>
      </c>
      <c r="G1033" s="292">
        <v>230</v>
      </c>
      <c r="H1033" s="292">
        <v>0</v>
      </c>
      <c r="I1033" s="139">
        <f t="shared" si="102"/>
        <v>230</v>
      </c>
      <c r="J1033" s="266">
        <f t="shared" si="103"/>
        <v>0.5897</v>
      </c>
      <c r="K1033" s="136">
        <f t="shared" si="98"/>
        <v>0</v>
      </c>
      <c r="L1033" s="136">
        <f t="shared" si="99"/>
        <v>24.2</v>
      </c>
      <c r="M1033" s="136">
        <f t="shared" si="100"/>
        <v>24.2</v>
      </c>
      <c r="O1033" s="134"/>
      <c r="P1033" s="259"/>
    </row>
    <row r="1034" spans="1:16">
      <c r="A1034" s="134">
        <v>457</v>
      </c>
      <c r="B1034" s="134" t="s">
        <v>2977</v>
      </c>
      <c r="C1034" s="129" t="s">
        <v>2978</v>
      </c>
      <c r="D1034" s="292">
        <v>127</v>
      </c>
      <c r="E1034" s="292">
        <v>0</v>
      </c>
      <c r="F1034" s="139">
        <f t="shared" si="101"/>
        <v>127</v>
      </c>
      <c r="G1034" s="292">
        <v>36</v>
      </c>
      <c r="H1034" s="292">
        <v>0</v>
      </c>
      <c r="I1034" s="139">
        <f t="shared" si="102"/>
        <v>36</v>
      </c>
      <c r="J1034" s="266">
        <f t="shared" si="103"/>
        <v>0.28349999999999997</v>
      </c>
      <c r="K1034" s="136">
        <f t="shared" si="98"/>
        <v>0</v>
      </c>
      <c r="L1034" s="136">
        <f t="shared" si="99"/>
        <v>0</v>
      </c>
      <c r="M1034" s="136">
        <f t="shared" si="100"/>
        <v>0</v>
      </c>
      <c r="O1034" s="134"/>
      <c r="P1034" s="259"/>
    </row>
    <row r="1035" spans="1:16">
      <c r="A1035" s="134">
        <v>457</v>
      </c>
      <c r="B1035" s="134" t="s">
        <v>2979</v>
      </c>
      <c r="C1035" s="129" t="s">
        <v>2980</v>
      </c>
      <c r="D1035" s="292">
        <v>385</v>
      </c>
      <c r="E1035" s="292">
        <v>0</v>
      </c>
      <c r="F1035" s="139">
        <f t="shared" si="101"/>
        <v>385</v>
      </c>
      <c r="G1035" s="292">
        <v>280</v>
      </c>
      <c r="H1035" s="292">
        <v>0</v>
      </c>
      <c r="I1035" s="139">
        <f t="shared" si="102"/>
        <v>280</v>
      </c>
      <c r="J1035" s="266">
        <f t="shared" si="103"/>
        <v>0.72729999999999995</v>
      </c>
      <c r="K1035" s="136">
        <f t="shared" si="98"/>
        <v>0</v>
      </c>
      <c r="L1035" s="136">
        <f t="shared" si="99"/>
        <v>29.4</v>
      </c>
      <c r="M1035" s="136">
        <f t="shared" si="100"/>
        <v>29.4</v>
      </c>
      <c r="O1035" s="134"/>
      <c r="P1035" s="259"/>
    </row>
    <row r="1036" spans="1:16">
      <c r="A1036" s="134">
        <v>457</v>
      </c>
      <c r="B1036" s="134" t="s">
        <v>2981</v>
      </c>
      <c r="C1036" s="129" t="s">
        <v>2982</v>
      </c>
      <c r="D1036" s="292">
        <v>351</v>
      </c>
      <c r="E1036" s="292">
        <v>0</v>
      </c>
      <c r="F1036" s="139">
        <f t="shared" si="101"/>
        <v>351</v>
      </c>
      <c r="G1036" s="292">
        <v>259</v>
      </c>
      <c r="H1036" s="292">
        <v>0</v>
      </c>
      <c r="I1036" s="139">
        <f t="shared" si="102"/>
        <v>259</v>
      </c>
      <c r="J1036" s="266">
        <f t="shared" si="103"/>
        <v>0.7379</v>
      </c>
      <c r="K1036" s="136">
        <f t="shared" si="98"/>
        <v>0</v>
      </c>
      <c r="L1036" s="136">
        <f t="shared" si="99"/>
        <v>27.2</v>
      </c>
      <c r="M1036" s="136">
        <f t="shared" si="100"/>
        <v>27.2</v>
      </c>
      <c r="O1036" s="134"/>
      <c r="P1036" s="259"/>
    </row>
    <row r="1037" spans="1:16">
      <c r="A1037" s="134">
        <v>457</v>
      </c>
      <c r="B1037" s="134" t="s">
        <v>2983</v>
      </c>
      <c r="C1037" s="129" t="s">
        <v>2984</v>
      </c>
      <c r="D1037" s="292">
        <v>362</v>
      </c>
      <c r="E1037" s="292">
        <v>0</v>
      </c>
      <c r="F1037" s="139">
        <f t="shared" si="101"/>
        <v>362</v>
      </c>
      <c r="G1037" s="292">
        <v>237</v>
      </c>
      <c r="H1037" s="292">
        <v>0</v>
      </c>
      <c r="I1037" s="139">
        <f t="shared" si="102"/>
        <v>237</v>
      </c>
      <c r="J1037" s="266">
        <f t="shared" si="103"/>
        <v>0.65469999999999995</v>
      </c>
      <c r="K1037" s="136">
        <f t="shared" si="98"/>
        <v>0</v>
      </c>
      <c r="L1037" s="136">
        <f t="shared" si="99"/>
        <v>24.9</v>
      </c>
      <c r="M1037" s="136">
        <f t="shared" si="100"/>
        <v>24.9</v>
      </c>
      <c r="O1037" s="134"/>
      <c r="P1037" s="259"/>
    </row>
    <row r="1038" spans="1:16">
      <c r="A1038" s="134">
        <v>457</v>
      </c>
      <c r="B1038" s="134" t="s">
        <v>2985</v>
      </c>
      <c r="C1038" s="129" t="s">
        <v>2986</v>
      </c>
      <c r="D1038" s="292">
        <v>107</v>
      </c>
      <c r="E1038" s="292">
        <v>0</v>
      </c>
      <c r="F1038" s="139">
        <f t="shared" si="101"/>
        <v>107</v>
      </c>
      <c r="G1038" s="292">
        <v>80</v>
      </c>
      <c r="H1038" s="292">
        <v>0</v>
      </c>
      <c r="I1038" s="139">
        <f t="shared" si="102"/>
        <v>80</v>
      </c>
      <c r="J1038" s="266">
        <f t="shared" si="103"/>
        <v>0.74770000000000003</v>
      </c>
      <c r="K1038" s="136">
        <f t="shared" si="98"/>
        <v>0</v>
      </c>
      <c r="L1038" s="136">
        <f t="shared" si="99"/>
        <v>8.4</v>
      </c>
      <c r="M1038" s="136">
        <f t="shared" si="100"/>
        <v>8.4</v>
      </c>
      <c r="O1038" s="134"/>
      <c r="P1038" s="259"/>
    </row>
    <row r="1039" spans="1:16">
      <c r="A1039" s="134">
        <v>457</v>
      </c>
      <c r="B1039" s="134" t="s">
        <v>4065</v>
      </c>
      <c r="C1039" s="129" t="s">
        <v>4066</v>
      </c>
      <c r="D1039" s="292">
        <v>2</v>
      </c>
      <c r="E1039" s="292">
        <v>0</v>
      </c>
      <c r="F1039" s="139">
        <f t="shared" si="101"/>
        <v>2</v>
      </c>
      <c r="G1039" s="292">
        <v>1</v>
      </c>
      <c r="H1039" s="292">
        <v>0</v>
      </c>
      <c r="I1039" s="139">
        <f t="shared" si="102"/>
        <v>1</v>
      </c>
      <c r="J1039" s="266">
        <f t="shared" si="103"/>
        <v>0.5</v>
      </c>
      <c r="K1039" s="136">
        <f t="shared" si="98"/>
        <v>0</v>
      </c>
      <c r="L1039" s="136">
        <f t="shared" si="99"/>
        <v>0.1</v>
      </c>
      <c r="M1039" s="136">
        <f t="shared" si="100"/>
        <v>0.1</v>
      </c>
      <c r="O1039" s="134"/>
      <c r="P1039" s="259"/>
    </row>
    <row r="1040" spans="1:16">
      <c r="A1040" s="134">
        <v>458</v>
      </c>
      <c r="B1040" s="134" t="s">
        <v>2987</v>
      </c>
      <c r="C1040" s="129" t="s">
        <v>2988</v>
      </c>
      <c r="D1040" s="292">
        <v>506</v>
      </c>
      <c r="E1040" s="292">
        <v>0</v>
      </c>
      <c r="F1040" s="139">
        <f t="shared" si="101"/>
        <v>506</v>
      </c>
      <c r="G1040" s="292">
        <v>83</v>
      </c>
      <c r="H1040" s="292">
        <v>0</v>
      </c>
      <c r="I1040" s="139">
        <f t="shared" si="102"/>
        <v>83</v>
      </c>
      <c r="J1040" s="266">
        <f t="shared" si="103"/>
        <v>0.16400000000000001</v>
      </c>
      <c r="K1040" s="136">
        <f t="shared" si="98"/>
        <v>0</v>
      </c>
      <c r="L1040" s="136">
        <f t="shared" si="99"/>
        <v>0</v>
      </c>
      <c r="M1040" s="136">
        <f t="shared" si="100"/>
        <v>0</v>
      </c>
      <c r="O1040" s="134"/>
      <c r="P1040" s="259"/>
    </row>
    <row r="1041" spans="1:16">
      <c r="A1041" s="134">
        <v>458</v>
      </c>
      <c r="B1041" s="134" t="s">
        <v>2989</v>
      </c>
      <c r="C1041" s="129" t="s">
        <v>2990</v>
      </c>
      <c r="D1041" s="292">
        <v>915</v>
      </c>
      <c r="E1041" s="292">
        <v>0</v>
      </c>
      <c r="F1041" s="139">
        <f t="shared" si="101"/>
        <v>915</v>
      </c>
      <c r="G1041" s="292">
        <v>123</v>
      </c>
      <c r="H1041" s="292">
        <v>0</v>
      </c>
      <c r="I1041" s="139">
        <f t="shared" si="102"/>
        <v>123</v>
      </c>
      <c r="J1041" s="266">
        <f t="shared" si="103"/>
        <v>0.13439999999999999</v>
      </c>
      <c r="K1041" s="136">
        <f t="shared" si="98"/>
        <v>0</v>
      </c>
      <c r="L1041" s="136">
        <f t="shared" si="99"/>
        <v>0</v>
      </c>
      <c r="M1041" s="136">
        <f t="shared" si="100"/>
        <v>0</v>
      </c>
      <c r="O1041" s="134"/>
      <c r="P1041" s="259"/>
    </row>
    <row r="1042" spans="1:16">
      <c r="A1042" s="134">
        <v>458</v>
      </c>
      <c r="B1042" s="134" t="s">
        <v>2991</v>
      </c>
      <c r="C1042" s="129" t="s">
        <v>2992</v>
      </c>
      <c r="D1042" s="292">
        <v>248</v>
      </c>
      <c r="E1042" s="292">
        <v>0</v>
      </c>
      <c r="F1042" s="139">
        <f t="shared" si="101"/>
        <v>248</v>
      </c>
      <c r="G1042" s="292">
        <v>46</v>
      </c>
      <c r="H1042" s="292">
        <v>0</v>
      </c>
      <c r="I1042" s="139">
        <f t="shared" si="102"/>
        <v>46</v>
      </c>
      <c r="J1042" s="266">
        <f t="shared" si="103"/>
        <v>0.1855</v>
      </c>
      <c r="K1042" s="136">
        <f t="shared" si="98"/>
        <v>0</v>
      </c>
      <c r="L1042" s="136">
        <f t="shared" si="99"/>
        <v>0</v>
      </c>
      <c r="M1042" s="136">
        <f t="shared" si="100"/>
        <v>0</v>
      </c>
      <c r="O1042" s="134"/>
      <c r="P1042" s="259"/>
    </row>
    <row r="1043" spans="1:16">
      <c r="A1043" s="134">
        <v>458</v>
      </c>
      <c r="B1043" s="134" t="s">
        <v>2993</v>
      </c>
      <c r="C1043" s="129" t="s">
        <v>2994</v>
      </c>
      <c r="D1043" s="292">
        <v>671</v>
      </c>
      <c r="E1043" s="292">
        <v>0</v>
      </c>
      <c r="F1043" s="139">
        <f t="shared" si="101"/>
        <v>671</v>
      </c>
      <c r="G1043" s="292">
        <v>107</v>
      </c>
      <c r="H1043" s="292">
        <v>0</v>
      </c>
      <c r="I1043" s="139">
        <f t="shared" si="102"/>
        <v>107</v>
      </c>
      <c r="J1043" s="266">
        <f t="shared" si="103"/>
        <v>0.1595</v>
      </c>
      <c r="K1043" s="136">
        <f t="shared" si="98"/>
        <v>0</v>
      </c>
      <c r="L1043" s="136">
        <f t="shared" si="99"/>
        <v>0</v>
      </c>
      <c r="M1043" s="136">
        <f t="shared" si="100"/>
        <v>0</v>
      </c>
      <c r="O1043" s="134"/>
      <c r="P1043" s="259"/>
    </row>
    <row r="1044" spans="1:16">
      <c r="A1044" s="134">
        <v>458</v>
      </c>
      <c r="B1044" s="134" t="s">
        <v>2995</v>
      </c>
      <c r="C1044" s="129" t="s">
        <v>2996</v>
      </c>
      <c r="D1044" s="292">
        <v>313</v>
      </c>
      <c r="E1044" s="292">
        <v>0</v>
      </c>
      <c r="F1044" s="139">
        <f t="shared" si="101"/>
        <v>313</v>
      </c>
      <c r="G1044" s="292">
        <v>48</v>
      </c>
      <c r="H1044" s="292">
        <v>0</v>
      </c>
      <c r="I1044" s="139">
        <f t="shared" si="102"/>
        <v>48</v>
      </c>
      <c r="J1044" s="266">
        <f t="shared" si="103"/>
        <v>0.15340000000000001</v>
      </c>
      <c r="K1044" s="136">
        <f t="shared" si="98"/>
        <v>0</v>
      </c>
      <c r="L1044" s="136">
        <f t="shared" si="99"/>
        <v>0</v>
      </c>
      <c r="M1044" s="136">
        <f t="shared" si="100"/>
        <v>0</v>
      </c>
      <c r="O1044" s="134"/>
      <c r="P1044" s="259"/>
    </row>
    <row r="1045" spans="1:16">
      <c r="A1045" s="134">
        <v>458</v>
      </c>
      <c r="B1045" s="134" t="s">
        <v>2997</v>
      </c>
      <c r="C1045" s="129" t="s">
        <v>2998</v>
      </c>
      <c r="D1045" s="292">
        <v>252</v>
      </c>
      <c r="E1045" s="292">
        <v>0</v>
      </c>
      <c r="F1045" s="139">
        <f t="shared" si="101"/>
        <v>252</v>
      </c>
      <c r="G1045" s="292">
        <v>35</v>
      </c>
      <c r="H1045" s="292">
        <v>0</v>
      </c>
      <c r="I1045" s="139">
        <f t="shared" si="102"/>
        <v>35</v>
      </c>
      <c r="J1045" s="266">
        <f t="shared" si="103"/>
        <v>0.1389</v>
      </c>
      <c r="K1045" s="136">
        <f t="shared" si="98"/>
        <v>0</v>
      </c>
      <c r="L1045" s="136">
        <f t="shared" si="99"/>
        <v>0</v>
      </c>
      <c r="M1045" s="136">
        <f t="shared" si="100"/>
        <v>0</v>
      </c>
      <c r="O1045" s="134"/>
      <c r="P1045" s="259"/>
    </row>
    <row r="1046" spans="1:16">
      <c r="A1046" s="134">
        <v>458</v>
      </c>
      <c r="B1046" s="134" t="s">
        <v>4067</v>
      </c>
      <c r="C1046" s="129" t="s">
        <v>4068</v>
      </c>
      <c r="D1046" s="292">
        <v>5</v>
      </c>
      <c r="E1046" s="292">
        <v>0</v>
      </c>
      <c r="F1046" s="139">
        <f t="shared" si="101"/>
        <v>5</v>
      </c>
      <c r="G1046" s="292">
        <v>0</v>
      </c>
      <c r="H1046" s="292">
        <v>0</v>
      </c>
      <c r="I1046" s="139">
        <f t="shared" si="102"/>
        <v>0</v>
      </c>
      <c r="J1046" s="266">
        <f t="shared" si="103"/>
        <v>0</v>
      </c>
      <c r="K1046" s="136">
        <f t="shared" si="98"/>
        <v>0</v>
      </c>
      <c r="L1046" s="136">
        <f t="shared" si="99"/>
        <v>0</v>
      </c>
      <c r="M1046" s="136">
        <f t="shared" si="100"/>
        <v>0</v>
      </c>
      <c r="O1046" s="134"/>
      <c r="P1046" s="259"/>
    </row>
    <row r="1047" spans="1:16">
      <c r="A1047" s="134">
        <v>459</v>
      </c>
      <c r="B1047" s="134" t="s">
        <v>2999</v>
      </c>
      <c r="C1047" s="129" t="s">
        <v>3000</v>
      </c>
      <c r="D1047" s="292">
        <v>146</v>
      </c>
      <c r="E1047" s="292">
        <v>0</v>
      </c>
      <c r="F1047" s="139">
        <f t="shared" si="101"/>
        <v>146</v>
      </c>
      <c r="G1047" s="292">
        <v>70</v>
      </c>
      <c r="H1047" s="292">
        <v>0</v>
      </c>
      <c r="I1047" s="139">
        <f t="shared" si="102"/>
        <v>70</v>
      </c>
      <c r="J1047" s="266">
        <f t="shared" si="103"/>
        <v>0.47949999999999998</v>
      </c>
      <c r="K1047" s="136">
        <f t="shared" si="98"/>
        <v>6.3</v>
      </c>
      <c r="L1047" s="136">
        <f t="shared" si="99"/>
        <v>0</v>
      </c>
      <c r="M1047" s="136">
        <f t="shared" si="100"/>
        <v>6.3</v>
      </c>
      <c r="O1047" s="134"/>
      <c r="P1047" s="259"/>
    </row>
    <row r="1048" spans="1:16">
      <c r="A1048" s="134">
        <v>459</v>
      </c>
      <c r="B1048" s="134" t="s">
        <v>3001</v>
      </c>
      <c r="C1048" s="129" t="s">
        <v>3002</v>
      </c>
      <c r="D1048" s="292">
        <v>68</v>
      </c>
      <c r="E1048" s="292">
        <v>0</v>
      </c>
      <c r="F1048" s="139">
        <f t="shared" si="101"/>
        <v>68</v>
      </c>
      <c r="G1048" s="292">
        <v>18</v>
      </c>
      <c r="H1048" s="292">
        <v>0</v>
      </c>
      <c r="I1048" s="139">
        <f t="shared" si="102"/>
        <v>18</v>
      </c>
      <c r="J1048" s="266">
        <f t="shared" si="103"/>
        <v>0.26469999999999999</v>
      </c>
      <c r="K1048" s="136">
        <f t="shared" si="98"/>
        <v>0</v>
      </c>
      <c r="L1048" s="136">
        <f t="shared" si="99"/>
        <v>0</v>
      </c>
      <c r="M1048" s="136">
        <f t="shared" si="100"/>
        <v>0</v>
      </c>
      <c r="O1048" s="134"/>
      <c r="P1048" s="259"/>
    </row>
    <row r="1049" spans="1:16">
      <c r="A1049" s="134">
        <v>460</v>
      </c>
      <c r="B1049" s="134" t="s">
        <v>3003</v>
      </c>
      <c r="C1049" s="129" t="s">
        <v>3004</v>
      </c>
      <c r="D1049" s="292">
        <v>305</v>
      </c>
      <c r="E1049" s="292">
        <v>0</v>
      </c>
      <c r="F1049" s="139">
        <f t="shared" si="101"/>
        <v>305</v>
      </c>
      <c r="G1049" s="292">
        <v>64</v>
      </c>
      <c r="H1049" s="292">
        <v>0</v>
      </c>
      <c r="I1049" s="139">
        <f t="shared" si="102"/>
        <v>64</v>
      </c>
      <c r="J1049" s="266">
        <f t="shared" si="103"/>
        <v>0.20979999999999999</v>
      </c>
      <c r="K1049" s="136">
        <f t="shared" si="98"/>
        <v>0</v>
      </c>
      <c r="L1049" s="136">
        <f t="shared" si="99"/>
        <v>0</v>
      </c>
      <c r="M1049" s="136">
        <f t="shared" si="100"/>
        <v>0</v>
      </c>
      <c r="O1049" s="134"/>
      <c r="P1049" s="259"/>
    </row>
    <row r="1050" spans="1:16">
      <c r="A1050" s="134">
        <v>460</v>
      </c>
      <c r="B1050" s="134" t="s">
        <v>3005</v>
      </c>
      <c r="C1050" s="129" t="s">
        <v>3006</v>
      </c>
      <c r="D1050" s="292">
        <v>268</v>
      </c>
      <c r="E1050" s="292">
        <v>0</v>
      </c>
      <c r="F1050" s="139">
        <f t="shared" si="101"/>
        <v>268</v>
      </c>
      <c r="G1050" s="292">
        <v>47</v>
      </c>
      <c r="H1050" s="292">
        <v>0</v>
      </c>
      <c r="I1050" s="139">
        <f t="shared" si="102"/>
        <v>47</v>
      </c>
      <c r="J1050" s="266">
        <f t="shared" si="103"/>
        <v>0.1754</v>
      </c>
      <c r="K1050" s="136">
        <f t="shared" si="98"/>
        <v>0</v>
      </c>
      <c r="L1050" s="136">
        <f t="shared" si="99"/>
        <v>0</v>
      </c>
      <c r="M1050" s="136">
        <f t="shared" si="100"/>
        <v>0</v>
      </c>
      <c r="O1050" s="134"/>
      <c r="P1050" s="259"/>
    </row>
    <row r="1051" spans="1:16">
      <c r="A1051" s="134">
        <v>460</v>
      </c>
      <c r="B1051" s="134" t="s">
        <v>3007</v>
      </c>
      <c r="C1051" s="129" t="s">
        <v>3008</v>
      </c>
      <c r="D1051" s="292">
        <v>259</v>
      </c>
      <c r="E1051" s="292">
        <v>0</v>
      </c>
      <c r="F1051" s="139">
        <f t="shared" si="101"/>
        <v>259</v>
      </c>
      <c r="G1051" s="292">
        <v>45</v>
      </c>
      <c r="H1051" s="292">
        <v>0</v>
      </c>
      <c r="I1051" s="139">
        <f t="shared" si="102"/>
        <v>45</v>
      </c>
      <c r="J1051" s="266">
        <f t="shared" si="103"/>
        <v>0.17369999999999999</v>
      </c>
      <c r="K1051" s="136">
        <f t="shared" si="98"/>
        <v>0</v>
      </c>
      <c r="L1051" s="136">
        <f t="shared" si="99"/>
        <v>0</v>
      </c>
      <c r="M1051" s="136">
        <f t="shared" si="100"/>
        <v>0</v>
      </c>
      <c r="O1051" s="134"/>
      <c r="P1051" s="259"/>
    </row>
    <row r="1052" spans="1:16">
      <c r="A1052" s="134">
        <v>461</v>
      </c>
      <c r="B1052" s="134" t="s">
        <v>3009</v>
      </c>
      <c r="C1052" s="129" t="s">
        <v>3010</v>
      </c>
      <c r="D1052" s="292">
        <v>234</v>
      </c>
      <c r="E1052" s="292">
        <v>0</v>
      </c>
      <c r="F1052" s="139">
        <f t="shared" si="101"/>
        <v>234</v>
      </c>
      <c r="G1052" s="292">
        <v>138</v>
      </c>
      <c r="H1052" s="292">
        <v>0</v>
      </c>
      <c r="I1052" s="139">
        <f t="shared" si="102"/>
        <v>138</v>
      </c>
      <c r="J1052" s="266">
        <f t="shared" si="103"/>
        <v>0.5897</v>
      </c>
      <c r="K1052" s="136">
        <f t="shared" si="98"/>
        <v>0</v>
      </c>
      <c r="L1052" s="136">
        <f t="shared" si="99"/>
        <v>14.5</v>
      </c>
      <c r="M1052" s="136">
        <f t="shared" si="100"/>
        <v>14.5</v>
      </c>
      <c r="O1052" s="134"/>
      <c r="P1052" s="259"/>
    </row>
    <row r="1053" spans="1:16">
      <c r="A1053" s="134">
        <v>461</v>
      </c>
      <c r="B1053" s="134" t="s">
        <v>3011</v>
      </c>
      <c r="C1053" s="129" t="s">
        <v>3012</v>
      </c>
      <c r="D1053" s="292">
        <v>176</v>
      </c>
      <c r="E1053" s="292">
        <v>0</v>
      </c>
      <c r="F1053" s="139">
        <f t="shared" si="101"/>
        <v>176</v>
      </c>
      <c r="G1053" s="292">
        <v>104</v>
      </c>
      <c r="H1053" s="292">
        <v>0</v>
      </c>
      <c r="I1053" s="139">
        <f t="shared" si="102"/>
        <v>104</v>
      </c>
      <c r="J1053" s="266">
        <f t="shared" si="103"/>
        <v>0.59089999999999998</v>
      </c>
      <c r="K1053" s="136">
        <f t="shared" si="98"/>
        <v>0</v>
      </c>
      <c r="L1053" s="136">
        <f t="shared" si="99"/>
        <v>10.9</v>
      </c>
      <c r="M1053" s="136">
        <f t="shared" si="100"/>
        <v>10.9</v>
      </c>
      <c r="O1053" s="134"/>
      <c r="P1053" s="259"/>
    </row>
    <row r="1054" spans="1:16">
      <c r="A1054" s="134">
        <v>461</v>
      </c>
      <c r="B1054" s="134" t="s">
        <v>3013</v>
      </c>
      <c r="C1054" s="129" t="s">
        <v>3014</v>
      </c>
      <c r="D1054" s="292">
        <v>346</v>
      </c>
      <c r="E1054" s="292">
        <v>0</v>
      </c>
      <c r="F1054" s="139">
        <f t="shared" si="101"/>
        <v>346</v>
      </c>
      <c r="G1054" s="292">
        <v>161</v>
      </c>
      <c r="H1054" s="292">
        <v>0</v>
      </c>
      <c r="I1054" s="139">
        <f t="shared" si="102"/>
        <v>161</v>
      </c>
      <c r="J1054" s="266">
        <f t="shared" si="103"/>
        <v>0.46529999999999999</v>
      </c>
      <c r="K1054" s="136">
        <f t="shared" si="98"/>
        <v>13</v>
      </c>
      <c r="L1054" s="136">
        <f t="shared" si="99"/>
        <v>0</v>
      </c>
      <c r="M1054" s="136">
        <f t="shared" si="100"/>
        <v>13</v>
      </c>
      <c r="O1054" s="134"/>
      <c r="P1054" s="259"/>
    </row>
    <row r="1055" spans="1:16">
      <c r="A1055" s="134">
        <v>462</v>
      </c>
      <c r="B1055" s="134" t="s">
        <v>3015</v>
      </c>
      <c r="C1055" s="129" t="s">
        <v>1417</v>
      </c>
      <c r="D1055" s="292">
        <v>141</v>
      </c>
      <c r="E1055" s="292">
        <v>0</v>
      </c>
      <c r="F1055" s="139">
        <f t="shared" si="101"/>
        <v>141</v>
      </c>
      <c r="G1055" s="292">
        <v>76</v>
      </c>
      <c r="H1055" s="292">
        <v>0</v>
      </c>
      <c r="I1055" s="139">
        <f t="shared" si="102"/>
        <v>76</v>
      </c>
      <c r="J1055" s="266">
        <f t="shared" si="103"/>
        <v>0.53900000000000003</v>
      </c>
      <c r="K1055" s="136">
        <f t="shared" si="98"/>
        <v>0</v>
      </c>
      <c r="L1055" s="136">
        <f t="shared" si="99"/>
        <v>8</v>
      </c>
      <c r="M1055" s="136">
        <f t="shared" si="100"/>
        <v>8</v>
      </c>
      <c r="O1055" s="134"/>
      <c r="P1055" s="259"/>
    </row>
    <row r="1056" spans="1:16">
      <c r="A1056" s="134">
        <v>462</v>
      </c>
      <c r="B1056" s="134" t="s">
        <v>3016</v>
      </c>
      <c r="C1056" s="129" t="s">
        <v>3017</v>
      </c>
      <c r="D1056" s="292">
        <v>134</v>
      </c>
      <c r="E1056" s="292">
        <v>0</v>
      </c>
      <c r="F1056" s="139">
        <f t="shared" si="101"/>
        <v>134</v>
      </c>
      <c r="G1056" s="292">
        <v>64</v>
      </c>
      <c r="H1056" s="292">
        <v>0</v>
      </c>
      <c r="I1056" s="139">
        <f t="shared" si="102"/>
        <v>64</v>
      </c>
      <c r="J1056" s="266">
        <f t="shared" si="103"/>
        <v>0.47760000000000002</v>
      </c>
      <c r="K1056" s="136">
        <f t="shared" si="98"/>
        <v>5.7</v>
      </c>
      <c r="L1056" s="136">
        <f t="shared" si="99"/>
        <v>0</v>
      </c>
      <c r="M1056" s="136">
        <f t="shared" si="100"/>
        <v>5.7</v>
      </c>
      <c r="O1056" s="134"/>
      <c r="P1056" s="259"/>
    </row>
    <row r="1057" spans="1:16">
      <c r="A1057" s="134">
        <v>463</v>
      </c>
      <c r="B1057" s="134" t="s">
        <v>3018</v>
      </c>
      <c r="C1057" s="129" t="s">
        <v>3019</v>
      </c>
      <c r="D1057" s="292">
        <v>118</v>
      </c>
      <c r="E1057" s="292">
        <v>0</v>
      </c>
      <c r="F1057" s="139">
        <f t="shared" si="101"/>
        <v>118</v>
      </c>
      <c r="G1057" s="292">
        <v>54</v>
      </c>
      <c r="H1057" s="292">
        <v>0</v>
      </c>
      <c r="I1057" s="139">
        <f t="shared" si="102"/>
        <v>54</v>
      </c>
      <c r="J1057" s="266">
        <f t="shared" si="103"/>
        <v>0.45760000000000001</v>
      </c>
      <c r="K1057" s="136">
        <f t="shared" si="98"/>
        <v>4.0999999999999996</v>
      </c>
      <c r="L1057" s="136">
        <f t="shared" si="99"/>
        <v>0</v>
      </c>
      <c r="M1057" s="136">
        <f t="shared" si="100"/>
        <v>4.0999999999999996</v>
      </c>
      <c r="O1057" s="134"/>
      <c r="P1057" s="259"/>
    </row>
    <row r="1058" spans="1:16">
      <c r="A1058" s="134">
        <v>463</v>
      </c>
      <c r="B1058" s="134" t="s">
        <v>3020</v>
      </c>
      <c r="C1058" s="129" t="s">
        <v>3021</v>
      </c>
      <c r="D1058" s="292">
        <v>77</v>
      </c>
      <c r="E1058" s="292">
        <v>0</v>
      </c>
      <c r="F1058" s="139">
        <f t="shared" si="101"/>
        <v>77</v>
      </c>
      <c r="G1058" s="292">
        <v>34</v>
      </c>
      <c r="H1058" s="292">
        <v>0</v>
      </c>
      <c r="I1058" s="139">
        <f t="shared" si="102"/>
        <v>34</v>
      </c>
      <c r="J1058" s="266">
        <f t="shared" si="103"/>
        <v>0.44159999999999999</v>
      </c>
      <c r="K1058" s="136">
        <f t="shared" si="98"/>
        <v>2.2000000000000002</v>
      </c>
      <c r="L1058" s="136">
        <f t="shared" si="99"/>
        <v>0</v>
      </c>
      <c r="M1058" s="136">
        <f t="shared" si="100"/>
        <v>2.2000000000000002</v>
      </c>
      <c r="O1058" s="134"/>
      <c r="P1058" s="259"/>
    </row>
    <row r="1059" spans="1:16">
      <c r="A1059" s="134">
        <v>463</v>
      </c>
      <c r="B1059" s="134" t="s">
        <v>3022</v>
      </c>
      <c r="C1059" s="129" t="s">
        <v>3023</v>
      </c>
      <c r="D1059" s="292">
        <v>101</v>
      </c>
      <c r="E1059" s="292">
        <v>0</v>
      </c>
      <c r="F1059" s="139">
        <f t="shared" si="101"/>
        <v>101</v>
      </c>
      <c r="G1059" s="292">
        <v>32</v>
      </c>
      <c r="H1059" s="292">
        <v>0</v>
      </c>
      <c r="I1059" s="139">
        <f t="shared" si="102"/>
        <v>32</v>
      </c>
      <c r="J1059" s="266">
        <f t="shared" si="103"/>
        <v>0.31680000000000003</v>
      </c>
      <c r="K1059" s="136">
        <f t="shared" si="98"/>
        <v>0</v>
      </c>
      <c r="L1059" s="136">
        <f t="shared" si="99"/>
        <v>0</v>
      </c>
      <c r="M1059" s="136">
        <f t="shared" si="100"/>
        <v>0</v>
      </c>
      <c r="O1059" s="134"/>
      <c r="P1059" s="259"/>
    </row>
    <row r="1060" spans="1:16">
      <c r="A1060" s="134">
        <v>463</v>
      </c>
      <c r="B1060" s="134" t="s">
        <v>4069</v>
      </c>
      <c r="C1060" s="129" t="s">
        <v>4070</v>
      </c>
      <c r="D1060" s="292">
        <v>0</v>
      </c>
      <c r="E1060" s="292">
        <v>0</v>
      </c>
      <c r="F1060" s="139">
        <f t="shared" si="101"/>
        <v>0</v>
      </c>
      <c r="G1060" s="292">
        <v>0</v>
      </c>
      <c r="H1060" s="292">
        <v>0</v>
      </c>
      <c r="I1060" s="139">
        <f t="shared" si="102"/>
        <v>0</v>
      </c>
      <c r="J1060" s="266">
        <f t="shared" si="103"/>
        <v>0</v>
      </c>
      <c r="K1060" s="136">
        <f t="shared" si="98"/>
        <v>0</v>
      </c>
      <c r="L1060" s="136">
        <f t="shared" si="99"/>
        <v>0</v>
      </c>
      <c r="M1060" s="136">
        <f t="shared" si="100"/>
        <v>0</v>
      </c>
      <c r="O1060" s="134"/>
      <c r="P1060" s="259"/>
    </row>
    <row r="1061" spans="1:16">
      <c r="A1061" s="134">
        <v>464</v>
      </c>
      <c r="B1061" s="134" t="s">
        <v>3024</v>
      </c>
      <c r="C1061" s="129" t="s">
        <v>3025</v>
      </c>
      <c r="D1061" s="292">
        <v>638</v>
      </c>
      <c r="E1061" s="292">
        <v>0</v>
      </c>
      <c r="F1061" s="139">
        <f t="shared" si="101"/>
        <v>638</v>
      </c>
      <c r="G1061" s="292">
        <v>134</v>
      </c>
      <c r="H1061" s="292">
        <v>0</v>
      </c>
      <c r="I1061" s="139">
        <f t="shared" si="102"/>
        <v>134</v>
      </c>
      <c r="J1061" s="266">
        <f t="shared" si="103"/>
        <v>0.21</v>
      </c>
      <c r="K1061" s="136">
        <f t="shared" si="98"/>
        <v>0</v>
      </c>
      <c r="L1061" s="136">
        <f t="shared" si="99"/>
        <v>0</v>
      </c>
      <c r="M1061" s="136">
        <f t="shared" si="100"/>
        <v>0</v>
      </c>
      <c r="O1061" s="134"/>
      <c r="P1061" s="259"/>
    </row>
    <row r="1062" spans="1:16">
      <c r="A1062" s="134">
        <v>464</v>
      </c>
      <c r="B1062" s="134" t="s">
        <v>3026</v>
      </c>
      <c r="C1062" s="129" t="s">
        <v>3027</v>
      </c>
      <c r="D1062" s="292">
        <v>422</v>
      </c>
      <c r="E1062" s="292">
        <v>0</v>
      </c>
      <c r="F1062" s="139">
        <f t="shared" si="101"/>
        <v>422</v>
      </c>
      <c r="G1062" s="292">
        <v>91</v>
      </c>
      <c r="H1062" s="292">
        <v>0</v>
      </c>
      <c r="I1062" s="139">
        <f t="shared" si="102"/>
        <v>91</v>
      </c>
      <c r="J1062" s="266">
        <f t="shared" si="103"/>
        <v>0.21560000000000001</v>
      </c>
      <c r="K1062" s="136">
        <f t="shared" si="98"/>
        <v>0</v>
      </c>
      <c r="L1062" s="136">
        <f t="shared" si="99"/>
        <v>0</v>
      </c>
      <c r="M1062" s="136">
        <f t="shared" si="100"/>
        <v>0</v>
      </c>
      <c r="O1062" s="134"/>
      <c r="P1062" s="259"/>
    </row>
    <row r="1063" spans="1:16">
      <c r="A1063" s="134">
        <v>464</v>
      </c>
      <c r="B1063" s="134" t="s">
        <v>3028</v>
      </c>
      <c r="C1063" s="129" t="s">
        <v>3029</v>
      </c>
      <c r="D1063" s="292">
        <v>883</v>
      </c>
      <c r="E1063" s="292">
        <v>0</v>
      </c>
      <c r="F1063" s="139">
        <f t="shared" si="101"/>
        <v>883</v>
      </c>
      <c r="G1063" s="292">
        <v>224</v>
      </c>
      <c r="H1063" s="292">
        <v>0</v>
      </c>
      <c r="I1063" s="139">
        <f t="shared" si="102"/>
        <v>224</v>
      </c>
      <c r="J1063" s="266">
        <f t="shared" si="103"/>
        <v>0.25369999999999998</v>
      </c>
      <c r="K1063" s="136">
        <f t="shared" si="98"/>
        <v>0</v>
      </c>
      <c r="L1063" s="136">
        <f t="shared" si="99"/>
        <v>0</v>
      </c>
      <c r="M1063" s="136">
        <f t="shared" si="100"/>
        <v>0</v>
      </c>
      <c r="O1063" s="134"/>
      <c r="P1063" s="259"/>
    </row>
    <row r="1064" spans="1:16">
      <c r="A1064" s="134">
        <v>465</v>
      </c>
      <c r="B1064" s="134" t="s">
        <v>3030</v>
      </c>
      <c r="C1064" s="129" t="s">
        <v>3031</v>
      </c>
      <c r="D1064" s="292">
        <v>125</v>
      </c>
      <c r="E1064" s="292">
        <v>0</v>
      </c>
      <c r="F1064" s="139">
        <f t="shared" si="101"/>
        <v>125</v>
      </c>
      <c r="G1064" s="292">
        <v>46</v>
      </c>
      <c r="H1064" s="292">
        <v>0</v>
      </c>
      <c r="I1064" s="139">
        <f t="shared" si="102"/>
        <v>46</v>
      </c>
      <c r="J1064" s="266">
        <f t="shared" si="103"/>
        <v>0.36799999999999999</v>
      </c>
      <c r="K1064" s="136">
        <f t="shared" si="98"/>
        <v>0.6</v>
      </c>
      <c r="L1064" s="136">
        <f t="shared" si="99"/>
        <v>0</v>
      </c>
      <c r="M1064" s="136">
        <f t="shared" si="100"/>
        <v>0.6</v>
      </c>
      <c r="O1064" s="134"/>
      <c r="P1064" s="259"/>
    </row>
    <row r="1065" spans="1:16">
      <c r="A1065" s="134">
        <v>465</v>
      </c>
      <c r="B1065" s="134" t="s">
        <v>3032</v>
      </c>
      <c r="C1065" s="129" t="s">
        <v>3033</v>
      </c>
      <c r="D1065" s="292">
        <v>250</v>
      </c>
      <c r="E1065" s="292">
        <v>0</v>
      </c>
      <c r="F1065" s="139">
        <f t="shared" si="101"/>
        <v>250</v>
      </c>
      <c r="G1065" s="292">
        <v>171</v>
      </c>
      <c r="H1065" s="292">
        <v>0</v>
      </c>
      <c r="I1065" s="139">
        <f t="shared" si="102"/>
        <v>171</v>
      </c>
      <c r="J1065" s="266">
        <f t="shared" si="103"/>
        <v>0.68400000000000005</v>
      </c>
      <c r="K1065" s="136">
        <f t="shared" si="98"/>
        <v>0</v>
      </c>
      <c r="L1065" s="136">
        <f t="shared" si="99"/>
        <v>18</v>
      </c>
      <c r="M1065" s="136">
        <f t="shared" si="100"/>
        <v>18</v>
      </c>
      <c r="O1065" s="134"/>
      <c r="P1065" s="259"/>
    </row>
    <row r="1066" spans="1:16">
      <c r="A1066" s="134">
        <v>465</v>
      </c>
      <c r="B1066" s="134" t="s">
        <v>3034</v>
      </c>
      <c r="C1066" s="129" t="s">
        <v>3035</v>
      </c>
      <c r="D1066" s="292">
        <v>210</v>
      </c>
      <c r="E1066" s="292">
        <v>0</v>
      </c>
      <c r="F1066" s="139">
        <f t="shared" si="101"/>
        <v>210</v>
      </c>
      <c r="G1066" s="292">
        <v>107</v>
      </c>
      <c r="H1066" s="292">
        <v>0</v>
      </c>
      <c r="I1066" s="139">
        <f t="shared" si="102"/>
        <v>107</v>
      </c>
      <c r="J1066" s="266">
        <f t="shared" si="103"/>
        <v>0.50949999999999995</v>
      </c>
      <c r="K1066" s="136">
        <f t="shared" si="98"/>
        <v>0</v>
      </c>
      <c r="L1066" s="136">
        <f t="shared" si="99"/>
        <v>11.2</v>
      </c>
      <c r="M1066" s="136">
        <f t="shared" si="100"/>
        <v>11.2</v>
      </c>
      <c r="O1066" s="134"/>
      <c r="P1066" s="259"/>
    </row>
    <row r="1067" spans="1:16">
      <c r="A1067" s="134">
        <v>465</v>
      </c>
      <c r="B1067" s="134" t="s">
        <v>3036</v>
      </c>
      <c r="C1067" s="129" t="s">
        <v>3037</v>
      </c>
      <c r="D1067" s="292">
        <v>259</v>
      </c>
      <c r="E1067" s="292">
        <v>0</v>
      </c>
      <c r="F1067" s="139">
        <f t="shared" si="101"/>
        <v>259</v>
      </c>
      <c r="G1067" s="292">
        <v>118</v>
      </c>
      <c r="H1067" s="292">
        <v>0</v>
      </c>
      <c r="I1067" s="139">
        <f t="shared" si="102"/>
        <v>118</v>
      </c>
      <c r="J1067" s="266">
        <f t="shared" si="103"/>
        <v>0.4556</v>
      </c>
      <c r="K1067" s="136">
        <f t="shared" si="98"/>
        <v>8.6999999999999993</v>
      </c>
      <c r="L1067" s="136">
        <f t="shared" si="99"/>
        <v>0</v>
      </c>
      <c r="M1067" s="136">
        <f t="shared" si="100"/>
        <v>8.6999999999999993</v>
      </c>
      <c r="O1067" s="134"/>
      <c r="P1067" s="259"/>
    </row>
    <row r="1068" spans="1:16">
      <c r="A1068" s="134">
        <v>465</v>
      </c>
      <c r="B1068" s="134" t="s">
        <v>3038</v>
      </c>
      <c r="C1068" s="129" t="s">
        <v>3039</v>
      </c>
      <c r="D1068" s="292">
        <v>638</v>
      </c>
      <c r="E1068" s="292">
        <v>0</v>
      </c>
      <c r="F1068" s="139">
        <f t="shared" si="101"/>
        <v>638</v>
      </c>
      <c r="G1068" s="292">
        <v>294</v>
      </c>
      <c r="H1068" s="292">
        <v>0</v>
      </c>
      <c r="I1068" s="139">
        <f t="shared" si="102"/>
        <v>294</v>
      </c>
      <c r="J1068" s="266">
        <f t="shared" si="103"/>
        <v>0.46079999999999999</v>
      </c>
      <c r="K1068" s="136">
        <f t="shared" si="98"/>
        <v>22.8</v>
      </c>
      <c r="L1068" s="136">
        <f t="shared" si="99"/>
        <v>0</v>
      </c>
      <c r="M1068" s="136">
        <f t="shared" si="100"/>
        <v>22.8</v>
      </c>
      <c r="O1068" s="134"/>
      <c r="P1068" s="259"/>
    </row>
    <row r="1069" spans="1:16">
      <c r="A1069" s="134">
        <v>465</v>
      </c>
      <c r="B1069" s="134" t="s">
        <v>3040</v>
      </c>
      <c r="C1069" s="129" t="s">
        <v>3041</v>
      </c>
      <c r="D1069" s="292">
        <v>471</v>
      </c>
      <c r="E1069" s="292">
        <v>0</v>
      </c>
      <c r="F1069" s="139">
        <f t="shared" si="101"/>
        <v>471</v>
      </c>
      <c r="G1069" s="292">
        <v>249</v>
      </c>
      <c r="H1069" s="292">
        <v>0</v>
      </c>
      <c r="I1069" s="139">
        <f t="shared" si="102"/>
        <v>249</v>
      </c>
      <c r="J1069" s="266">
        <f t="shared" si="103"/>
        <v>0.52869999999999995</v>
      </c>
      <c r="K1069" s="136">
        <f t="shared" si="98"/>
        <v>0</v>
      </c>
      <c r="L1069" s="136">
        <f t="shared" si="99"/>
        <v>26.1</v>
      </c>
      <c r="M1069" s="136">
        <f t="shared" si="100"/>
        <v>26.1</v>
      </c>
      <c r="O1069" s="134"/>
      <c r="P1069" s="259"/>
    </row>
    <row r="1070" spans="1:16">
      <c r="A1070" s="134">
        <v>466</v>
      </c>
      <c r="B1070" s="134" t="s">
        <v>3042</v>
      </c>
      <c r="C1070" s="129" t="s">
        <v>3043</v>
      </c>
      <c r="D1070" s="292">
        <v>235</v>
      </c>
      <c r="E1070" s="292">
        <v>0</v>
      </c>
      <c r="F1070" s="139">
        <f t="shared" si="101"/>
        <v>235</v>
      </c>
      <c r="G1070" s="292">
        <v>112</v>
      </c>
      <c r="H1070" s="292">
        <v>0</v>
      </c>
      <c r="I1070" s="139">
        <f t="shared" si="102"/>
        <v>112</v>
      </c>
      <c r="J1070" s="266">
        <f t="shared" si="103"/>
        <v>0.47660000000000002</v>
      </c>
      <c r="K1070" s="136">
        <f t="shared" si="98"/>
        <v>9.9</v>
      </c>
      <c r="L1070" s="136">
        <f t="shared" si="99"/>
        <v>0</v>
      </c>
      <c r="M1070" s="136">
        <f t="shared" si="100"/>
        <v>9.9</v>
      </c>
      <c r="O1070" s="134"/>
      <c r="P1070" s="259"/>
    </row>
    <row r="1071" spans="1:16">
      <c r="A1071" s="134">
        <v>466</v>
      </c>
      <c r="B1071" s="134" t="s">
        <v>3044</v>
      </c>
      <c r="C1071" s="129" t="s">
        <v>3045</v>
      </c>
      <c r="D1071" s="292">
        <v>401</v>
      </c>
      <c r="E1071" s="292">
        <v>0</v>
      </c>
      <c r="F1071" s="139">
        <f t="shared" si="101"/>
        <v>401</v>
      </c>
      <c r="G1071" s="292">
        <v>171</v>
      </c>
      <c r="H1071" s="292">
        <v>0</v>
      </c>
      <c r="I1071" s="139">
        <f t="shared" si="102"/>
        <v>171</v>
      </c>
      <c r="J1071" s="266">
        <f t="shared" si="103"/>
        <v>0.4264</v>
      </c>
      <c r="K1071" s="136">
        <f t="shared" si="98"/>
        <v>9.1</v>
      </c>
      <c r="L1071" s="136">
        <f t="shared" si="99"/>
        <v>0</v>
      </c>
      <c r="M1071" s="136">
        <f t="shared" si="100"/>
        <v>9.1</v>
      </c>
      <c r="O1071" s="134"/>
      <c r="P1071" s="259"/>
    </row>
    <row r="1072" spans="1:16">
      <c r="A1072" s="134">
        <v>466</v>
      </c>
      <c r="B1072" s="134" t="s">
        <v>4071</v>
      </c>
      <c r="C1072" s="129" t="s">
        <v>4072</v>
      </c>
      <c r="D1072" s="292">
        <v>0</v>
      </c>
      <c r="E1072" s="292">
        <v>0</v>
      </c>
      <c r="F1072" s="139">
        <f t="shared" si="101"/>
        <v>0</v>
      </c>
      <c r="G1072" s="292">
        <v>0</v>
      </c>
      <c r="H1072" s="292">
        <v>0</v>
      </c>
      <c r="I1072" s="139">
        <f t="shared" si="102"/>
        <v>0</v>
      </c>
      <c r="J1072" s="266">
        <f t="shared" si="103"/>
        <v>0</v>
      </c>
      <c r="K1072" s="136">
        <f t="shared" si="98"/>
        <v>0</v>
      </c>
      <c r="L1072" s="136">
        <f t="shared" si="99"/>
        <v>0</v>
      </c>
      <c r="M1072" s="136">
        <f t="shared" si="100"/>
        <v>0</v>
      </c>
      <c r="O1072" s="134"/>
      <c r="P1072" s="259"/>
    </row>
    <row r="1073" spans="1:16">
      <c r="A1073" s="134">
        <v>466</v>
      </c>
      <c r="B1073" s="134" t="s">
        <v>3046</v>
      </c>
      <c r="C1073" s="129" t="s">
        <v>3047</v>
      </c>
      <c r="D1073" s="292">
        <v>323</v>
      </c>
      <c r="E1073" s="292">
        <v>0</v>
      </c>
      <c r="F1073" s="139">
        <f t="shared" si="101"/>
        <v>323</v>
      </c>
      <c r="G1073" s="292">
        <v>134</v>
      </c>
      <c r="H1073" s="292">
        <v>0</v>
      </c>
      <c r="I1073" s="139">
        <f t="shared" si="102"/>
        <v>134</v>
      </c>
      <c r="J1073" s="266">
        <f t="shared" si="103"/>
        <v>0.41489999999999999</v>
      </c>
      <c r="K1073" s="136">
        <f t="shared" si="98"/>
        <v>6.1</v>
      </c>
      <c r="L1073" s="136">
        <f t="shared" si="99"/>
        <v>0</v>
      </c>
      <c r="M1073" s="136">
        <f t="shared" si="100"/>
        <v>6.1</v>
      </c>
      <c r="O1073" s="134"/>
      <c r="P1073" s="259"/>
    </row>
    <row r="1074" spans="1:16">
      <c r="A1074" s="134">
        <v>467</v>
      </c>
      <c r="B1074" s="134" t="s">
        <v>3048</v>
      </c>
      <c r="C1074" s="129" t="s">
        <v>3049</v>
      </c>
      <c r="D1074" s="292">
        <v>208</v>
      </c>
      <c r="E1074" s="292">
        <v>0</v>
      </c>
      <c r="F1074" s="139">
        <f t="shared" si="101"/>
        <v>208</v>
      </c>
      <c r="G1074" s="292">
        <v>88</v>
      </c>
      <c r="H1074" s="292">
        <v>0</v>
      </c>
      <c r="I1074" s="139">
        <f t="shared" si="102"/>
        <v>88</v>
      </c>
      <c r="J1074" s="266">
        <f t="shared" si="103"/>
        <v>0.42309999999999998</v>
      </c>
      <c r="K1074" s="136">
        <f t="shared" si="98"/>
        <v>4.5</v>
      </c>
      <c r="L1074" s="136">
        <f t="shared" si="99"/>
        <v>0</v>
      </c>
      <c r="M1074" s="136">
        <f t="shared" si="100"/>
        <v>4.5</v>
      </c>
      <c r="O1074" s="134"/>
      <c r="P1074" s="259"/>
    </row>
    <row r="1075" spans="1:16">
      <c r="A1075" s="134">
        <v>467</v>
      </c>
      <c r="B1075" s="134" t="s">
        <v>3050</v>
      </c>
      <c r="C1075" s="129" t="s">
        <v>3051</v>
      </c>
      <c r="D1075" s="292">
        <v>172</v>
      </c>
      <c r="E1075" s="292">
        <v>0</v>
      </c>
      <c r="F1075" s="139">
        <f t="shared" si="101"/>
        <v>172</v>
      </c>
      <c r="G1075" s="292">
        <v>55</v>
      </c>
      <c r="H1075" s="292">
        <v>0</v>
      </c>
      <c r="I1075" s="139">
        <f t="shared" si="102"/>
        <v>55</v>
      </c>
      <c r="J1075" s="266">
        <f t="shared" si="103"/>
        <v>0.31979999999999997</v>
      </c>
      <c r="K1075" s="136">
        <f t="shared" si="98"/>
        <v>0</v>
      </c>
      <c r="L1075" s="136">
        <f t="shared" si="99"/>
        <v>0</v>
      </c>
      <c r="M1075" s="136">
        <f t="shared" si="100"/>
        <v>0</v>
      </c>
      <c r="O1075" s="134"/>
      <c r="P1075" s="259"/>
    </row>
    <row r="1076" spans="1:16">
      <c r="A1076" s="134">
        <v>468</v>
      </c>
      <c r="B1076" s="134" t="s">
        <v>3052</v>
      </c>
      <c r="C1076" s="129" t="s">
        <v>3053</v>
      </c>
      <c r="D1076" s="292">
        <v>8</v>
      </c>
      <c r="E1076" s="292">
        <v>0</v>
      </c>
      <c r="F1076" s="139">
        <f t="shared" si="101"/>
        <v>8</v>
      </c>
      <c r="G1076" s="292">
        <v>7</v>
      </c>
      <c r="H1076" s="292">
        <v>0</v>
      </c>
      <c r="I1076" s="139">
        <f t="shared" si="102"/>
        <v>7</v>
      </c>
      <c r="J1076" s="266">
        <f t="shared" si="103"/>
        <v>0.875</v>
      </c>
      <c r="K1076" s="136">
        <f t="shared" si="98"/>
        <v>0</v>
      </c>
      <c r="L1076" s="136">
        <f t="shared" si="99"/>
        <v>0.7</v>
      </c>
      <c r="M1076" s="136">
        <f t="shared" si="100"/>
        <v>0.7</v>
      </c>
      <c r="O1076" s="134"/>
      <c r="P1076" s="259"/>
    </row>
    <row r="1077" spans="1:16">
      <c r="A1077" s="134">
        <v>468</v>
      </c>
      <c r="B1077" s="134" t="s">
        <v>3054</v>
      </c>
      <c r="C1077" s="129" t="s">
        <v>3055</v>
      </c>
      <c r="D1077" s="292">
        <v>13</v>
      </c>
      <c r="E1077" s="292">
        <v>0</v>
      </c>
      <c r="F1077" s="139">
        <f t="shared" si="101"/>
        <v>13</v>
      </c>
      <c r="G1077" s="292">
        <v>11</v>
      </c>
      <c r="H1077" s="292">
        <v>0</v>
      </c>
      <c r="I1077" s="139">
        <f t="shared" si="102"/>
        <v>11</v>
      </c>
      <c r="J1077" s="266">
        <f t="shared" si="103"/>
        <v>0.84619999999999995</v>
      </c>
      <c r="K1077" s="136">
        <f t="shared" si="98"/>
        <v>0</v>
      </c>
      <c r="L1077" s="136">
        <f t="shared" si="99"/>
        <v>1.2</v>
      </c>
      <c r="M1077" s="136">
        <f t="shared" si="100"/>
        <v>1.2</v>
      </c>
      <c r="O1077" s="134"/>
      <c r="P1077" s="259"/>
    </row>
    <row r="1078" spans="1:16">
      <c r="A1078" s="134">
        <v>469</v>
      </c>
      <c r="B1078" s="134" t="s">
        <v>3056</v>
      </c>
      <c r="C1078" s="129" t="s">
        <v>3057</v>
      </c>
      <c r="D1078" s="292">
        <v>599</v>
      </c>
      <c r="E1078" s="292">
        <v>0</v>
      </c>
      <c r="F1078" s="139">
        <f t="shared" si="101"/>
        <v>599</v>
      </c>
      <c r="G1078" s="292">
        <v>177</v>
      </c>
      <c r="H1078" s="292">
        <v>0</v>
      </c>
      <c r="I1078" s="139">
        <f t="shared" si="102"/>
        <v>177</v>
      </c>
      <c r="J1078" s="266">
        <f t="shared" si="103"/>
        <v>0.29549999999999998</v>
      </c>
      <c r="K1078" s="136">
        <f t="shared" si="98"/>
        <v>0</v>
      </c>
      <c r="L1078" s="136">
        <f t="shared" si="99"/>
        <v>0</v>
      </c>
      <c r="M1078" s="136">
        <f t="shared" si="100"/>
        <v>0</v>
      </c>
      <c r="O1078" s="134"/>
      <c r="P1078" s="259"/>
    </row>
    <row r="1079" spans="1:16">
      <c r="A1079" s="134">
        <v>469</v>
      </c>
      <c r="B1079" s="134" t="s">
        <v>3058</v>
      </c>
      <c r="C1079" s="129" t="s">
        <v>3059</v>
      </c>
      <c r="D1079" s="292">
        <v>692</v>
      </c>
      <c r="E1079" s="292">
        <v>0</v>
      </c>
      <c r="F1079" s="139">
        <f t="shared" si="101"/>
        <v>692</v>
      </c>
      <c r="G1079" s="292">
        <v>251</v>
      </c>
      <c r="H1079" s="292">
        <v>0</v>
      </c>
      <c r="I1079" s="139">
        <f t="shared" si="102"/>
        <v>251</v>
      </c>
      <c r="J1079" s="266">
        <f t="shared" si="103"/>
        <v>0.36270000000000002</v>
      </c>
      <c r="K1079" s="136">
        <f t="shared" si="98"/>
        <v>2.2000000000000002</v>
      </c>
      <c r="L1079" s="136">
        <f t="shared" si="99"/>
        <v>0</v>
      </c>
      <c r="M1079" s="136">
        <f t="shared" si="100"/>
        <v>2.2000000000000002</v>
      </c>
      <c r="O1079" s="134"/>
      <c r="P1079" s="259"/>
    </row>
    <row r="1080" spans="1:16">
      <c r="A1080" s="134">
        <v>469</v>
      </c>
      <c r="B1080" s="134" t="s">
        <v>3060</v>
      </c>
      <c r="C1080" s="129" t="s">
        <v>3061</v>
      </c>
      <c r="D1080" s="292">
        <v>872</v>
      </c>
      <c r="E1080" s="292">
        <v>0</v>
      </c>
      <c r="F1080" s="139">
        <f t="shared" si="101"/>
        <v>872</v>
      </c>
      <c r="G1080" s="292">
        <v>201</v>
      </c>
      <c r="H1080" s="292">
        <v>0</v>
      </c>
      <c r="I1080" s="139">
        <f t="shared" si="102"/>
        <v>201</v>
      </c>
      <c r="J1080" s="266">
        <f t="shared" si="103"/>
        <v>0.23050000000000001</v>
      </c>
      <c r="K1080" s="136">
        <f t="shared" si="98"/>
        <v>0</v>
      </c>
      <c r="L1080" s="136">
        <f t="shared" si="99"/>
        <v>0</v>
      </c>
      <c r="M1080" s="136">
        <f t="shared" si="100"/>
        <v>0</v>
      </c>
      <c r="O1080" s="134"/>
      <c r="P1080" s="259"/>
    </row>
    <row r="1081" spans="1:16">
      <c r="A1081" s="134">
        <v>469</v>
      </c>
      <c r="B1081" s="134" t="s">
        <v>3062</v>
      </c>
      <c r="C1081" s="129" t="s">
        <v>3063</v>
      </c>
      <c r="D1081" s="292">
        <v>335</v>
      </c>
      <c r="E1081" s="292">
        <v>0</v>
      </c>
      <c r="F1081" s="139">
        <f t="shared" si="101"/>
        <v>335</v>
      </c>
      <c r="G1081" s="292">
        <v>106</v>
      </c>
      <c r="H1081" s="292">
        <v>0</v>
      </c>
      <c r="I1081" s="139">
        <f t="shared" si="102"/>
        <v>106</v>
      </c>
      <c r="J1081" s="266">
        <f t="shared" si="103"/>
        <v>0.31640000000000001</v>
      </c>
      <c r="K1081" s="136">
        <f t="shared" si="98"/>
        <v>0</v>
      </c>
      <c r="L1081" s="136">
        <f t="shared" si="99"/>
        <v>0</v>
      </c>
      <c r="M1081" s="136">
        <f t="shared" si="100"/>
        <v>0</v>
      </c>
      <c r="O1081" s="134"/>
      <c r="P1081" s="259"/>
    </row>
    <row r="1082" spans="1:16">
      <c r="A1082" s="134">
        <v>470</v>
      </c>
      <c r="B1082" s="134" t="s">
        <v>3064</v>
      </c>
      <c r="C1082" s="129" t="s">
        <v>1653</v>
      </c>
      <c r="D1082" s="292">
        <v>296</v>
      </c>
      <c r="E1082" s="292">
        <v>0</v>
      </c>
      <c r="F1082" s="139">
        <f t="shared" si="101"/>
        <v>296</v>
      </c>
      <c r="G1082" s="292">
        <v>217</v>
      </c>
      <c r="H1082" s="292">
        <v>0</v>
      </c>
      <c r="I1082" s="139">
        <f t="shared" si="102"/>
        <v>217</v>
      </c>
      <c r="J1082" s="266">
        <f t="shared" si="103"/>
        <v>0.73309999999999997</v>
      </c>
      <c r="K1082" s="136">
        <f t="shared" si="98"/>
        <v>0</v>
      </c>
      <c r="L1082" s="136">
        <f t="shared" si="99"/>
        <v>22.8</v>
      </c>
      <c r="M1082" s="136">
        <f t="shared" si="100"/>
        <v>22.8</v>
      </c>
      <c r="O1082" s="134"/>
      <c r="P1082" s="259"/>
    </row>
    <row r="1083" spans="1:16">
      <c r="A1083" s="134">
        <v>470</v>
      </c>
      <c r="B1083" s="134" t="s">
        <v>3065</v>
      </c>
      <c r="C1083" s="129" t="s">
        <v>3066</v>
      </c>
      <c r="D1083" s="292">
        <v>274</v>
      </c>
      <c r="E1083" s="292">
        <v>0</v>
      </c>
      <c r="F1083" s="139">
        <f t="shared" si="101"/>
        <v>274</v>
      </c>
      <c r="G1083" s="292">
        <v>225</v>
      </c>
      <c r="H1083" s="292">
        <v>0</v>
      </c>
      <c r="I1083" s="139">
        <f t="shared" si="102"/>
        <v>225</v>
      </c>
      <c r="J1083" s="266">
        <f t="shared" si="103"/>
        <v>0.82120000000000004</v>
      </c>
      <c r="K1083" s="136">
        <f t="shared" si="98"/>
        <v>0</v>
      </c>
      <c r="L1083" s="136">
        <f t="shared" si="99"/>
        <v>23.6</v>
      </c>
      <c r="M1083" s="136">
        <f t="shared" si="100"/>
        <v>23.6</v>
      </c>
      <c r="O1083" s="134"/>
      <c r="P1083" s="259"/>
    </row>
    <row r="1084" spans="1:16">
      <c r="A1084" s="134">
        <v>470</v>
      </c>
      <c r="B1084" s="134" t="s">
        <v>3067</v>
      </c>
      <c r="C1084" s="129" t="s">
        <v>1721</v>
      </c>
      <c r="D1084" s="292">
        <v>282</v>
      </c>
      <c r="E1084" s="292">
        <v>0</v>
      </c>
      <c r="F1084" s="139">
        <f t="shared" si="101"/>
        <v>282</v>
      </c>
      <c r="G1084" s="292">
        <v>194</v>
      </c>
      <c r="H1084" s="292">
        <v>0</v>
      </c>
      <c r="I1084" s="139">
        <f t="shared" si="102"/>
        <v>194</v>
      </c>
      <c r="J1084" s="266">
        <f t="shared" si="103"/>
        <v>0.68789999999999996</v>
      </c>
      <c r="K1084" s="136">
        <f t="shared" si="98"/>
        <v>0</v>
      </c>
      <c r="L1084" s="136">
        <f t="shared" si="99"/>
        <v>20.399999999999999</v>
      </c>
      <c r="M1084" s="136">
        <f t="shared" si="100"/>
        <v>20.399999999999999</v>
      </c>
      <c r="O1084" s="134"/>
      <c r="P1084" s="259"/>
    </row>
    <row r="1085" spans="1:16">
      <c r="A1085" s="134">
        <v>470</v>
      </c>
      <c r="B1085" s="134" t="s">
        <v>3068</v>
      </c>
      <c r="C1085" s="129" t="s">
        <v>2736</v>
      </c>
      <c r="D1085" s="292">
        <v>218</v>
      </c>
      <c r="E1085" s="292">
        <v>0</v>
      </c>
      <c r="F1085" s="139">
        <f t="shared" si="101"/>
        <v>218</v>
      </c>
      <c r="G1085" s="292">
        <v>165</v>
      </c>
      <c r="H1085" s="292">
        <v>0</v>
      </c>
      <c r="I1085" s="139">
        <f t="shared" si="102"/>
        <v>165</v>
      </c>
      <c r="J1085" s="266">
        <f t="shared" si="103"/>
        <v>0.75690000000000002</v>
      </c>
      <c r="K1085" s="136">
        <f t="shared" si="98"/>
        <v>0</v>
      </c>
      <c r="L1085" s="136">
        <f t="shared" si="99"/>
        <v>17.3</v>
      </c>
      <c r="M1085" s="136">
        <f t="shared" si="100"/>
        <v>17.3</v>
      </c>
      <c r="O1085" s="134"/>
      <c r="P1085" s="259"/>
    </row>
    <row r="1086" spans="1:16">
      <c r="A1086" s="134">
        <v>470</v>
      </c>
      <c r="B1086" s="134" t="s">
        <v>3069</v>
      </c>
      <c r="C1086" s="129" t="s">
        <v>3070</v>
      </c>
      <c r="D1086" s="292">
        <v>663</v>
      </c>
      <c r="E1086" s="292">
        <v>0</v>
      </c>
      <c r="F1086" s="139">
        <f t="shared" si="101"/>
        <v>663</v>
      </c>
      <c r="G1086" s="292">
        <v>421</v>
      </c>
      <c r="H1086" s="292">
        <v>0</v>
      </c>
      <c r="I1086" s="139">
        <f t="shared" si="102"/>
        <v>421</v>
      </c>
      <c r="J1086" s="266">
        <f t="shared" si="103"/>
        <v>0.63500000000000001</v>
      </c>
      <c r="K1086" s="136">
        <f t="shared" si="98"/>
        <v>0</v>
      </c>
      <c r="L1086" s="136">
        <f t="shared" si="99"/>
        <v>44.2</v>
      </c>
      <c r="M1086" s="136">
        <f t="shared" si="100"/>
        <v>44.2</v>
      </c>
      <c r="O1086" s="134"/>
      <c r="P1086" s="259"/>
    </row>
    <row r="1087" spans="1:16">
      <c r="A1087" s="134">
        <v>470</v>
      </c>
      <c r="B1087" s="134" t="s">
        <v>3071</v>
      </c>
      <c r="C1087" s="129" t="s">
        <v>3072</v>
      </c>
      <c r="D1087" s="292">
        <v>839</v>
      </c>
      <c r="E1087" s="292">
        <v>0</v>
      </c>
      <c r="F1087" s="139">
        <f t="shared" si="101"/>
        <v>839</v>
      </c>
      <c r="G1087" s="292">
        <v>494</v>
      </c>
      <c r="H1087" s="292">
        <v>0</v>
      </c>
      <c r="I1087" s="139">
        <f t="shared" si="102"/>
        <v>494</v>
      </c>
      <c r="J1087" s="266">
        <f t="shared" si="103"/>
        <v>0.58879999999999999</v>
      </c>
      <c r="K1087" s="136">
        <f t="shared" si="98"/>
        <v>0</v>
      </c>
      <c r="L1087" s="136">
        <f t="shared" si="99"/>
        <v>51.9</v>
      </c>
      <c r="M1087" s="136">
        <f t="shared" si="100"/>
        <v>51.9</v>
      </c>
      <c r="O1087" s="134"/>
      <c r="P1087" s="259"/>
    </row>
    <row r="1088" spans="1:16">
      <c r="A1088" s="134">
        <v>470</v>
      </c>
      <c r="B1088" s="134" t="s">
        <v>3073</v>
      </c>
      <c r="C1088" s="129" t="s">
        <v>3074</v>
      </c>
      <c r="D1088" s="292">
        <v>113</v>
      </c>
      <c r="E1088" s="292">
        <v>0</v>
      </c>
      <c r="F1088" s="139">
        <f t="shared" si="101"/>
        <v>113</v>
      </c>
      <c r="G1088" s="292">
        <v>43</v>
      </c>
      <c r="H1088" s="292">
        <v>0</v>
      </c>
      <c r="I1088" s="139">
        <f t="shared" si="102"/>
        <v>43</v>
      </c>
      <c r="J1088" s="266">
        <f t="shared" si="103"/>
        <v>0.3805</v>
      </c>
      <c r="K1088" s="136">
        <f t="shared" si="98"/>
        <v>0.9</v>
      </c>
      <c r="L1088" s="136">
        <f t="shared" si="99"/>
        <v>0</v>
      </c>
      <c r="M1088" s="136">
        <f t="shared" si="100"/>
        <v>0.9</v>
      </c>
      <c r="O1088" s="134"/>
      <c r="P1088" s="259"/>
    </row>
    <row r="1089" spans="1:16">
      <c r="A1089" s="134">
        <v>470</v>
      </c>
      <c r="B1089" s="134" t="s">
        <v>3075</v>
      </c>
      <c r="C1089" s="129" t="s">
        <v>3076</v>
      </c>
      <c r="D1089" s="292">
        <v>196</v>
      </c>
      <c r="E1089" s="292">
        <v>0</v>
      </c>
      <c r="F1089" s="139">
        <f t="shared" si="101"/>
        <v>196</v>
      </c>
      <c r="G1089" s="292">
        <v>143</v>
      </c>
      <c r="H1089" s="292">
        <v>0</v>
      </c>
      <c r="I1089" s="139">
        <f t="shared" si="102"/>
        <v>143</v>
      </c>
      <c r="J1089" s="266">
        <f t="shared" si="103"/>
        <v>0.72960000000000003</v>
      </c>
      <c r="K1089" s="136">
        <f t="shared" si="98"/>
        <v>0</v>
      </c>
      <c r="L1089" s="136">
        <f t="shared" si="99"/>
        <v>15</v>
      </c>
      <c r="M1089" s="136">
        <f t="shared" si="100"/>
        <v>15</v>
      </c>
      <c r="O1089" s="134"/>
      <c r="P1089" s="259"/>
    </row>
    <row r="1090" spans="1:16">
      <c r="A1090" s="134">
        <v>471</v>
      </c>
      <c r="B1090" s="134" t="s">
        <v>3077</v>
      </c>
      <c r="C1090" s="129" t="s">
        <v>3078</v>
      </c>
      <c r="D1090" s="292">
        <v>111</v>
      </c>
      <c r="E1090" s="292">
        <v>0</v>
      </c>
      <c r="F1090" s="139">
        <f t="shared" si="101"/>
        <v>111</v>
      </c>
      <c r="G1090" s="292">
        <v>46</v>
      </c>
      <c r="H1090" s="292">
        <v>0</v>
      </c>
      <c r="I1090" s="139">
        <f t="shared" si="102"/>
        <v>46</v>
      </c>
      <c r="J1090" s="266">
        <f t="shared" si="103"/>
        <v>0.41439999999999999</v>
      </c>
      <c r="K1090" s="136">
        <f t="shared" si="98"/>
        <v>2.1</v>
      </c>
      <c r="L1090" s="136">
        <f t="shared" si="99"/>
        <v>0</v>
      </c>
      <c r="M1090" s="136">
        <f t="shared" si="100"/>
        <v>2.1</v>
      </c>
      <c r="O1090" s="134"/>
      <c r="P1090" s="259"/>
    </row>
    <row r="1091" spans="1:16">
      <c r="A1091" s="134">
        <v>471</v>
      </c>
      <c r="B1091" s="134" t="s">
        <v>3079</v>
      </c>
      <c r="C1091" s="129" t="s">
        <v>3080</v>
      </c>
      <c r="D1091" s="292">
        <v>164</v>
      </c>
      <c r="E1091" s="292">
        <v>0</v>
      </c>
      <c r="F1091" s="139">
        <f t="shared" si="101"/>
        <v>164</v>
      </c>
      <c r="G1091" s="292">
        <v>55</v>
      </c>
      <c r="H1091" s="292">
        <v>0</v>
      </c>
      <c r="I1091" s="139">
        <f t="shared" si="102"/>
        <v>55</v>
      </c>
      <c r="J1091" s="266">
        <f t="shared" si="103"/>
        <v>0.33539999999999998</v>
      </c>
      <c r="K1091" s="136">
        <f t="shared" si="98"/>
        <v>0</v>
      </c>
      <c r="L1091" s="136">
        <f t="shared" si="99"/>
        <v>0</v>
      </c>
      <c r="M1091" s="136">
        <f t="shared" si="100"/>
        <v>0</v>
      </c>
      <c r="O1091" s="134"/>
      <c r="P1091" s="259"/>
    </row>
    <row r="1092" spans="1:16">
      <c r="A1092" s="134">
        <v>473</v>
      </c>
      <c r="B1092" s="134" t="s">
        <v>3081</v>
      </c>
      <c r="C1092" s="129" t="s">
        <v>3082</v>
      </c>
      <c r="D1092" s="292">
        <v>64</v>
      </c>
      <c r="E1092" s="292">
        <v>0</v>
      </c>
      <c r="F1092" s="139">
        <f t="shared" si="101"/>
        <v>64</v>
      </c>
      <c r="G1092" s="292">
        <v>16</v>
      </c>
      <c r="H1092" s="292">
        <v>0</v>
      </c>
      <c r="I1092" s="139">
        <f t="shared" si="102"/>
        <v>16</v>
      </c>
      <c r="J1092" s="266">
        <f t="shared" si="103"/>
        <v>0.25</v>
      </c>
      <c r="K1092" s="136">
        <f t="shared" si="98"/>
        <v>0</v>
      </c>
      <c r="L1092" s="136">
        <f t="shared" si="99"/>
        <v>0</v>
      </c>
      <c r="M1092" s="136">
        <f t="shared" si="100"/>
        <v>0</v>
      </c>
      <c r="O1092" s="134"/>
      <c r="P1092" s="259"/>
    </row>
    <row r="1093" spans="1:16">
      <c r="A1093" s="134">
        <v>473</v>
      </c>
      <c r="B1093" s="134" t="s">
        <v>3083</v>
      </c>
      <c r="C1093" s="129" t="s">
        <v>3084</v>
      </c>
      <c r="D1093" s="292">
        <v>279</v>
      </c>
      <c r="E1093" s="292">
        <v>0</v>
      </c>
      <c r="F1093" s="139">
        <f t="shared" si="101"/>
        <v>279</v>
      </c>
      <c r="G1093" s="292">
        <v>84</v>
      </c>
      <c r="H1093" s="292">
        <v>0</v>
      </c>
      <c r="I1093" s="139">
        <f t="shared" si="102"/>
        <v>84</v>
      </c>
      <c r="J1093" s="266">
        <f t="shared" si="103"/>
        <v>0.30109999999999998</v>
      </c>
      <c r="K1093" s="136">
        <f t="shared" ref="K1093:K1156" si="104">IF(AND((J1093-35%)&gt;0,J1093&lt;50%),I1093*(J1093-35%)*0.7,0)</f>
        <v>0</v>
      </c>
      <c r="L1093" s="136">
        <f t="shared" ref="L1093:L1156" si="105">IF(J1093&gt;=50%,I1093*10.5%,0)</f>
        <v>0</v>
      </c>
      <c r="M1093" s="136">
        <f t="shared" ref="M1093:M1156" si="106">MAX(K1093,L1093)</f>
        <v>0</v>
      </c>
      <c r="O1093" s="134"/>
      <c r="P1093" s="259"/>
    </row>
    <row r="1094" spans="1:16">
      <c r="A1094" s="134">
        <v>473</v>
      </c>
      <c r="B1094" s="134" t="s">
        <v>3085</v>
      </c>
      <c r="C1094" s="129" t="s">
        <v>3086</v>
      </c>
      <c r="D1094" s="292">
        <v>264</v>
      </c>
      <c r="E1094" s="292">
        <v>0</v>
      </c>
      <c r="F1094" s="139">
        <f t="shared" ref="F1094:F1157" si="107">D1094+E1094</f>
        <v>264</v>
      </c>
      <c r="G1094" s="292">
        <v>87</v>
      </c>
      <c r="H1094" s="292">
        <v>0</v>
      </c>
      <c r="I1094" s="139">
        <f t="shared" ref="I1094:I1157" si="108">G1094+H1094</f>
        <v>87</v>
      </c>
      <c r="J1094" s="266">
        <f t="shared" ref="J1094:J1157" si="109">IF(ISERROR(I1094/F1094),0,I1094/F1094)</f>
        <v>0.32950000000000002</v>
      </c>
      <c r="K1094" s="136">
        <f t="shared" si="104"/>
        <v>0</v>
      </c>
      <c r="L1094" s="136">
        <f t="shared" si="105"/>
        <v>0</v>
      </c>
      <c r="M1094" s="136">
        <f t="shared" si="106"/>
        <v>0</v>
      </c>
      <c r="O1094" s="134"/>
      <c r="P1094" s="259"/>
    </row>
    <row r="1095" spans="1:16">
      <c r="A1095" s="134">
        <v>473</v>
      </c>
      <c r="B1095" s="134" t="s">
        <v>3087</v>
      </c>
      <c r="C1095" s="129" t="s">
        <v>3088</v>
      </c>
      <c r="D1095" s="292">
        <v>364</v>
      </c>
      <c r="E1095" s="292">
        <v>0</v>
      </c>
      <c r="F1095" s="139">
        <f t="shared" si="107"/>
        <v>364</v>
      </c>
      <c r="G1095" s="292">
        <v>114</v>
      </c>
      <c r="H1095" s="292">
        <v>0</v>
      </c>
      <c r="I1095" s="139">
        <f t="shared" si="108"/>
        <v>114</v>
      </c>
      <c r="J1095" s="266">
        <f t="shared" si="109"/>
        <v>0.31319999999999998</v>
      </c>
      <c r="K1095" s="136">
        <f t="shared" si="104"/>
        <v>0</v>
      </c>
      <c r="L1095" s="136">
        <f t="shared" si="105"/>
        <v>0</v>
      </c>
      <c r="M1095" s="136">
        <f t="shared" si="106"/>
        <v>0</v>
      </c>
      <c r="O1095" s="134"/>
      <c r="P1095" s="259"/>
    </row>
    <row r="1096" spans="1:16">
      <c r="A1096" s="134">
        <v>473</v>
      </c>
      <c r="B1096" s="134" t="s">
        <v>3089</v>
      </c>
      <c r="C1096" s="129" t="s">
        <v>1691</v>
      </c>
      <c r="D1096" s="292">
        <v>85</v>
      </c>
      <c r="E1096" s="292">
        <v>0</v>
      </c>
      <c r="F1096" s="139">
        <f t="shared" si="107"/>
        <v>85</v>
      </c>
      <c r="G1096" s="292">
        <v>49</v>
      </c>
      <c r="H1096" s="292">
        <v>0</v>
      </c>
      <c r="I1096" s="139">
        <f t="shared" si="108"/>
        <v>49</v>
      </c>
      <c r="J1096" s="266">
        <f t="shared" si="109"/>
        <v>0.57650000000000001</v>
      </c>
      <c r="K1096" s="136">
        <f t="shared" si="104"/>
        <v>0</v>
      </c>
      <c r="L1096" s="136">
        <f t="shared" si="105"/>
        <v>5.0999999999999996</v>
      </c>
      <c r="M1096" s="136">
        <f t="shared" si="106"/>
        <v>5.0999999999999996</v>
      </c>
      <c r="O1096" s="134"/>
      <c r="P1096" s="259"/>
    </row>
    <row r="1097" spans="1:16">
      <c r="A1097" s="134">
        <v>473</v>
      </c>
      <c r="B1097" s="134" t="s">
        <v>3090</v>
      </c>
      <c r="C1097" s="129" t="s">
        <v>3091</v>
      </c>
      <c r="D1097" s="292">
        <v>51</v>
      </c>
      <c r="E1097" s="292">
        <v>0</v>
      </c>
      <c r="F1097" s="139">
        <f t="shared" si="107"/>
        <v>51</v>
      </c>
      <c r="G1097" s="292">
        <v>16</v>
      </c>
      <c r="H1097" s="292">
        <v>0</v>
      </c>
      <c r="I1097" s="139">
        <f t="shared" si="108"/>
        <v>16</v>
      </c>
      <c r="J1097" s="266">
        <f t="shared" si="109"/>
        <v>0.31369999999999998</v>
      </c>
      <c r="K1097" s="136">
        <f t="shared" si="104"/>
        <v>0</v>
      </c>
      <c r="L1097" s="136">
        <f t="shared" si="105"/>
        <v>0</v>
      </c>
      <c r="M1097" s="136">
        <f t="shared" si="106"/>
        <v>0</v>
      </c>
      <c r="O1097" s="134"/>
      <c r="P1097" s="259"/>
    </row>
    <row r="1098" spans="1:16">
      <c r="A1098" s="134">
        <v>474</v>
      </c>
      <c r="B1098" s="134" t="s">
        <v>3092</v>
      </c>
      <c r="C1098" s="129" t="s">
        <v>3093</v>
      </c>
      <c r="D1098" s="292">
        <v>70</v>
      </c>
      <c r="E1098" s="292">
        <v>0</v>
      </c>
      <c r="F1098" s="139">
        <f t="shared" si="107"/>
        <v>70</v>
      </c>
      <c r="G1098" s="292">
        <v>30</v>
      </c>
      <c r="H1098" s="292">
        <v>0</v>
      </c>
      <c r="I1098" s="139">
        <f t="shared" si="108"/>
        <v>30</v>
      </c>
      <c r="J1098" s="266">
        <f t="shared" si="109"/>
        <v>0.42859999999999998</v>
      </c>
      <c r="K1098" s="136">
        <f t="shared" si="104"/>
        <v>1.7</v>
      </c>
      <c r="L1098" s="136">
        <f t="shared" si="105"/>
        <v>0</v>
      </c>
      <c r="M1098" s="136">
        <f t="shared" si="106"/>
        <v>1.7</v>
      </c>
      <c r="O1098" s="134"/>
      <c r="P1098" s="259"/>
    </row>
    <row r="1099" spans="1:16">
      <c r="A1099" s="134">
        <v>475</v>
      </c>
      <c r="B1099" s="134" t="s">
        <v>3094</v>
      </c>
      <c r="C1099" s="129" t="s">
        <v>3095</v>
      </c>
      <c r="D1099" s="292">
        <v>82</v>
      </c>
      <c r="E1099" s="292">
        <v>0</v>
      </c>
      <c r="F1099" s="139">
        <f t="shared" si="107"/>
        <v>82</v>
      </c>
      <c r="G1099" s="292">
        <v>58</v>
      </c>
      <c r="H1099" s="292">
        <v>0</v>
      </c>
      <c r="I1099" s="139">
        <f t="shared" si="108"/>
        <v>58</v>
      </c>
      <c r="J1099" s="266">
        <f t="shared" si="109"/>
        <v>0.70730000000000004</v>
      </c>
      <c r="K1099" s="136">
        <f t="shared" si="104"/>
        <v>0</v>
      </c>
      <c r="L1099" s="136">
        <f t="shared" si="105"/>
        <v>6.1</v>
      </c>
      <c r="M1099" s="136">
        <f t="shared" si="106"/>
        <v>6.1</v>
      </c>
      <c r="O1099" s="134"/>
      <c r="P1099" s="259"/>
    </row>
    <row r="1100" spans="1:16">
      <c r="A1100" s="134">
        <v>475</v>
      </c>
      <c r="B1100" s="134" t="s">
        <v>3096</v>
      </c>
      <c r="C1100" s="129" t="s">
        <v>3097</v>
      </c>
      <c r="D1100" s="292">
        <v>434</v>
      </c>
      <c r="E1100" s="292">
        <v>16</v>
      </c>
      <c r="F1100" s="139">
        <f t="shared" si="107"/>
        <v>450</v>
      </c>
      <c r="G1100" s="292">
        <v>174</v>
      </c>
      <c r="H1100" s="292">
        <v>3</v>
      </c>
      <c r="I1100" s="139">
        <f t="shared" si="108"/>
        <v>177</v>
      </c>
      <c r="J1100" s="266">
        <f t="shared" si="109"/>
        <v>0.39329999999999998</v>
      </c>
      <c r="K1100" s="136">
        <f t="shared" si="104"/>
        <v>5.4</v>
      </c>
      <c r="L1100" s="136">
        <f t="shared" si="105"/>
        <v>0</v>
      </c>
      <c r="M1100" s="136">
        <f t="shared" si="106"/>
        <v>5.4</v>
      </c>
      <c r="O1100" s="134"/>
      <c r="P1100" s="259"/>
    </row>
    <row r="1101" spans="1:16">
      <c r="A1101" s="134">
        <v>475</v>
      </c>
      <c r="B1101" s="134" t="s">
        <v>3098</v>
      </c>
      <c r="C1101" s="129" t="s">
        <v>1172</v>
      </c>
      <c r="D1101" s="292">
        <v>326</v>
      </c>
      <c r="E1101" s="292">
        <v>7</v>
      </c>
      <c r="F1101" s="139">
        <f t="shared" si="107"/>
        <v>333</v>
      </c>
      <c r="G1101" s="292">
        <v>136</v>
      </c>
      <c r="H1101" s="292">
        <v>3</v>
      </c>
      <c r="I1101" s="139">
        <f t="shared" si="108"/>
        <v>139</v>
      </c>
      <c r="J1101" s="266">
        <f t="shared" si="109"/>
        <v>0.41739999999999999</v>
      </c>
      <c r="K1101" s="136">
        <f t="shared" si="104"/>
        <v>6.6</v>
      </c>
      <c r="L1101" s="136">
        <f t="shared" si="105"/>
        <v>0</v>
      </c>
      <c r="M1101" s="136">
        <f t="shared" si="106"/>
        <v>6.6</v>
      </c>
      <c r="O1101" s="134"/>
      <c r="P1101" s="259"/>
    </row>
    <row r="1102" spans="1:16">
      <c r="A1102" s="134">
        <v>475</v>
      </c>
      <c r="B1102" s="134" t="s">
        <v>3099</v>
      </c>
      <c r="C1102" s="129" t="s">
        <v>3100</v>
      </c>
      <c r="D1102" s="292">
        <v>360</v>
      </c>
      <c r="E1102" s="292">
        <v>46</v>
      </c>
      <c r="F1102" s="139">
        <f t="shared" si="107"/>
        <v>406</v>
      </c>
      <c r="G1102" s="292">
        <v>76</v>
      </c>
      <c r="H1102" s="292">
        <v>8</v>
      </c>
      <c r="I1102" s="139">
        <f t="shared" si="108"/>
        <v>84</v>
      </c>
      <c r="J1102" s="266">
        <f t="shared" si="109"/>
        <v>0.2069</v>
      </c>
      <c r="K1102" s="136">
        <f t="shared" si="104"/>
        <v>0</v>
      </c>
      <c r="L1102" s="136">
        <f t="shared" si="105"/>
        <v>0</v>
      </c>
      <c r="M1102" s="136">
        <f t="shared" si="106"/>
        <v>0</v>
      </c>
      <c r="O1102" s="134"/>
      <c r="P1102" s="259"/>
    </row>
    <row r="1103" spans="1:16">
      <c r="A1103" s="134">
        <v>475</v>
      </c>
      <c r="B1103" s="134" t="s">
        <v>3101</v>
      </c>
      <c r="C1103" s="129" t="s">
        <v>3102</v>
      </c>
      <c r="D1103" s="292">
        <v>604</v>
      </c>
      <c r="E1103" s="292">
        <v>69</v>
      </c>
      <c r="F1103" s="139">
        <f t="shared" si="107"/>
        <v>673</v>
      </c>
      <c r="G1103" s="292">
        <v>139</v>
      </c>
      <c r="H1103" s="292">
        <v>12</v>
      </c>
      <c r="I1103" s="139">
        <f t="shared" si="108"/>
        <v>151</v>
      </c>
      <c r="J1103" s="266">
        <f t="shared" si="109"/>
        <v>0.22439999999999999</v>
      </c>
      <c r="K1103" s="136">
        <f t="shared" si="104"/>
        <v>0</v>
      </c>
      <c r="L1103" s="136">
        <f t="shared" si="105"/>
        <v>0</v>
      </c>
      <c r="M1103" s="136">
        <f t="shared" si="106"/>
        <v>0</v>
      </c>
      <c r="O1103" s="134"/>
      <c r="P1103" s="259"/>
    </row>
    <row r="1104" spans="1:16">
      <c r="A1104" s="134">
        <v>475</v>
      </c>
      <c r="B1104" s="134" t="s">
        <v>3103</v>
      </c>
      <c r="C1104" s="129" t="s">
        <v>2030</v>
      </c>
      <c r="D1104" s="292">
        <v>295</v>
      </c>
      <c r="E1104" s="292">
        <v>1</v>
      </c>
      <c r="F1104" s="139">
        <f t="shared" si="107"/>
        <v>296</v>
      </c>
      <c r="G1104" s="292">
        <v>120</v>
      </c>
      <c r="H1104" s="292">
        <v>0</v>
      </c>
      <c r="I1104" s="139">
        <f t="shared" si="108"/>
        <v>120</v>
      </c>
      <c r="J1104" s="266">
        <f t="shared" si="109"/>
        <v>0.40539999999999998</v>
      </c>
      <c r="K1104" s="136">
        <f t="shared" si="104"/>
        <v>4.7</v>
      </c>
      <c r="L1104" s="136">
        <f t="shared" si="105"/>
        <v>0</v>
      </c>
      <c r="M1104" s="136">
        <f t="shared" si="106"/>
        <v>4.7</v>
      </c>
      <c r="O1104" s="134"/>
      <c r="P1104" s="259"/>
    </row>
    <row r="1105" spans="1:16">
      <c r="A1105" s="134">
        <v>475</v>
      </c>
      <c r="B1105" s="134" t="s">
        <v>3104</v>
      </c>
      <c r="C1105" s="129" t="s">
        <v>3105</v>
      </c>
      <c r="D1105" s="292">
        <v>342</v>
      </c>
      <c r="E1105" s="292">
        <v>73</v>
      </c>
      <c r="F1105" s="139">
        <f t="shared" si="107"/>
        <v>415</v>
      </c>
      <c r="G1105" s="292">
        <v>81</v>
      </c>
      <c r="H1105" s="292">
        <v>17</v>
      </c>
      <c r="I1105" s="139">
        <f t="shared" si="108"/>
        <v>98</v>
      </c>
      <c r="J1105" s="266">
        <f t="shared" si="109"/>
        <v>0.2361</v>
      </c>
      <c r="K1105" s="136">
        <f t="shared" si="104"/>
        <v>0</v>
      </c>
      <c r="L1105" s="136">
        <f t="shared" si="105"/>
        <v>0</v>
      </c>
      <c r="M1105" s="136">
        <f t="shared" si="106"/>
        <v>0</v>
      </c>
      <c r="O1105" s="134"/>
      <c r="P1105" s="259"/>
    </row>
    <row r="1106" spans="1:16">
      <c r="A1106" s="134">
        <v>475</v>
      </c>
      <c r="B1106" s="134" t="s">
        <v>3106</v>
      </c>
      <c r="C1106" s="129" t="s">
        <v>3107</v>
      </c>
      <c r="D1106" s="292">
        <v>274</v>
      </c>
      <c r="E1106" s="292">
        <v>4</v>
      </c>
      <c r="F1106" s="139">
        <f t="shared" si="107"/>
        <v>278</v>
      </c>
      <c r="G1106" s="292">
        <v>136</v>
      </c>
      <c r="H1106" s="292">
        <v>2</v>
      </c>
      <c r="I1106" s="139">
        <f t="shared" si="108"/>
        <v>138</v>
      </c>
      <c r="J1106" s="266">
        <f t="shared" si="109"/>
        <v>0.49640000000000001</v>
      </c>
      <c r="K1106" s="136">
        <f t="shared" si="104"/>
        <v>14.1</v>
      </c>
      <c r="L1106" s="136">
        <f t="shared" si="105"/>
        <v>0</v>
      </c>
      <c r="M1106" s="136">
        <f t="shared" si="106"/>
        <v>14.1</v>
      </c>
      <c r="O1106" s="134"/>
      <c r="P1106" s="259"/>
    </row>
    <row r="1107" spans="1:16">
      <c r="A1107" s="134">
        <v>475</v>
      </c>
      <c r="B1107" s="134" t="s">
        <v>3108</v>
      </c>
      <c r="C1107" s="129" t="s">
        <v>1433</v>
      </c>
      <c r="D1107" s="292">
        <v>344</v>
      </c>
      <c r="E1107" s="292">
        <v>3</v>
      </c>
      <c r="F1107" s="139">
        <f t="shared" si="107"/>
        <v>347</v>
      </c>
      <c r="G1107" s="292">
        <v>285</v>
      </c>
      <c r="H1107" s="292">
        <v>3</v>
      </c>
      <c r="I1107" s="139">
        <f t="shared" si="108"/>
        <v>288</v>
      </c>
      <c r="J1107" s="266">
        <f t="shared" si="109"/>
        <v>0.83</v>
      </c>
      <c r="K1107" s="136">
        <f t="shared" si="104"/>
        <v>0</v>
      </c>
      <c r="L1107" s="136">
        <f t="shared" si="105"/>
        <v>30.2</v>
      </c>
      <c r="M1107" s="136">
        <f t="shared" si="106"/>
        <v>30.2</v>
      </c>
      <c r="O1107" s="134"/>
      <c r="P1107" s="259"/>
    </row>
    <row r="1108" spans="1:16">
      <c r="A1108" s="134">
        <v>475</v>
      </c>
      <c r="B1108" s="134" t="s">
        <v>3109</v>
      </c>
      <c r="C1108" s="129" t="s">
        <v>3110</v>
      </c>
      <c r="D1108" s="292">
        <v>252</v>
      </c>
      <c r="E1108" s="292">
        <v>1</v>
      </c>
      <c r="F1108" s="139">
        <f t="shared" si="107"/>
        <v>253</v>
      </c>
      <c r="G1108" s="292">
        <v>170</v>
      </c>
      <c r="H1108" s="292">
        <v>1</v>
      </c>
      <c r="I1108" s="139">
        <f t="shared" si="108"/>
        <v>171</v>
      </c>
      <c r="J1108" s="266">
        <f t="shared" si="109"/>
        <v>0.67589999999999995</v>
      </c>
      <c r="K1108" s="136">
        <f t="shared" si="104"/>
        <v>0</v>
      </c>
      <c r="L1108" s="136">
        <f t="shared" si="105"/>
        <v>18</v>
      </c>
      <c r="M1108" s="136">
        <f t="shared" si="106"/>
        <v>18</v>
      </c>
      <c r="O1108" s="134"/>
      <c r="P1108" s="259"/>
    </row>
    <row r="1109" spans="1:16">
      <c r="A1109" s="134">
        <v>475</v>
      </c>
      <c r="B1109" s="134" t="s">
        <v>3111</v>
      </c>
      <c r="C1109" s="129" t="s">
        <v>3112</v>
      </c>
      <c r="D1109" s="292">
        <v>523</v>
      </c>
      <c r="E1109" s="292">
        <v>50</v>
      </c>
      <c r="F1109" s="139">
        <f t="shared" si="107"/>
        <v>573</v>
      </c>
      <c r="G1109" s="292">
        <v>120</v>
      </c>
      <c r="H1109" s="292">
        <v>10</v>
      </c>
      <c r="I1109" s="139">
        <f t="shared" si="108"/>
        <v>130</v>
      </c>
      <c r="J1109" s="266">
        <f t="shared" si="109"/>
        <v>0.22689999999999999</v>
      </c>
      <c r="K1109" s="136">
        <f t="shared" si="104"/>
        <v>0</v>
      </c>
      <c r="L1109" s="136">
        <f t="shared" si="105"/>
        <v>0</v>
      </c>
      <c r="M1109" s="136">
        <f t="shared" si="106"/>
        <v>0</v>
      </c>
      <c r="O1109" s="134"/>
      <c r="P1109" s="259"/>
    </row>
    <row r="1110" spans="1:16">
      <c r="A1110" s="134">
        <v>475</v>
      </c>
      <c r="B1110" s="134" t="s">
        <v>3113</v>
      </c>
      <c r="C1110" s="129" t="s">
        <v>3114</v>
      </c>
      <c r="D1110" s="292">
        <v>908</v>
      </c>
      <c r="E1110" s="292">
        <v>19</v>
      </c>
      <c r="F1110" s="139">
        <f t="shared" si="107"/>
        <v>927</v>
      </c>
      <c r="G1110" s="292">
        <v>470</v>
      </c>
      <c r="H1110" s="292">
        <v>9</v>
      </c>
      <c r="I1110" s="139">
        <f t="shared" si="108"/>
        <v>479</v>
      </c>
      <c r="J1110" s="266">
        <f t="shared" si="109"/>
        <v>0.51670000000000005</v>
      </c>
      <c r="K1110" s="136">
        <f t="shared" si="104"/>
        <v>0</v>
      </c>
      <c r="L1110" s="136">
        <f t="shared" si="105"/>
        <v>50.3</v>
      </c>
      <c r="M1110" s="136">
        <f t="shared" si="106"/>
        <v>50.3</v>
      </c>
      <c r="O1110" s="134"/>
      <c r="P1110" s="259"/>
    </row>
    <row r="1111" spans="1:16">
      <c r="A1111" s="134">
        <v>475</v>
      </c>
      <c r="B1111" s="134" t="s">
        <v>3115</v>
      </c>
      <c r="C1111" s="129" t="s">
        <v>3116</v>
      </c>
      <c r="D1111" s="292">
        <v>1718</v>
      </c>
      <c r="E1111" s="292">
        <v>50</v>
      </c>
      <c r="F1111" s="139">
        <f t="shared" si="107"/>
        <v>1768</v>
      </c>
      <c r="G1111" s="292">
        <v>690</v>
      </c>
      <c r="H1111" s="292">
        <v>12</v>
      </c>
      <c r="I1111" s="139">
        <f t="shared" si="108"/>
        <v>702</v>
      </c>
      <c r="J1111" s="266">
        <f t="shared" si="109"/>
        <v>0.39710000000000001</v>
      </c>
      <c r="K1111" s="136">
        <f t="shared" si="104"/>
        <v>23.1</v>
      </c>
      <c r="L1111" s="136">
        <f t="shared" si="105"/>
        <v>0</v>
      </c>
      <c r="M1111" s="136">
        <f t="shared" si="106"/>
        <v>23.1</v>
      </c>
      <c r="O1111" s="134"/>
      <c r="P1111" s="259"/>
    </row>
    <row r="1112" spans="1:16">
      <c r="A1112" s="134">
        <v>475</v>
      </c>
      <c r="B1112" s="134" t="s">
        <v>3117</v>
      </c>
      <c r="C1112" s="129" t="s">
        <v>3118</v>
      </c>
      <c r="D1112" s="292">
        <v>85</v>
      </c>
      <c r="E1112" s="292">
        <v>1</v>
      </c>
      <c r="F1112" s="139">
        <f t="shared" si="107"/>
        <v>86</v>
      </c>
      <c r="G1112" s="292">
        <v>30</v>
      </c>
      <c r="H1112" s="292">
        <v>0</v>
      </c>
      <c r="I1112" s="139">
        <f t="shared" si="108"/>
        <v>30</v>
      </c>
      <c r="J1112" s="266">
        <f t="shared" si="109"/>
        <v>0.3488</v>
      </c>
      <c r="K1112" s="136">
        <f t="shared" si="104"/>
        <v>0</v>
      </c>
      <c r="L1112" s="136">
        <f t="shared" si="105"/>
        <v>0</v>
      </c>
      <c r="M1112" s="136">
        <f t="shared" si="106"/>
        <v>0</v>
      </c>
      <c r="O1112" s="134"/>
      <c r="P1112" s="259"/>
    </row>
    <row r="1113" spans="1:16">
      <c r="A1113" s="134">
        <v>475</v>
      </c>
      <c r="B1113" s="134" t="s">
        <v>3119</v>
      </c>
      <c r="C1113" s="129" t="s">
        <v>3120</v>
      </c>
      <c r="D1113" s="292">
        <v>679</v>
      </c>
      <c r="E1113" s="292">
        <v>70</v>
      </c>
      <c r="F1113" s="139">
        <f t="shared" si="107"/>
        <v>749</v>
      </c>
      <c r="G1113" s="292">
        <v>232</v>
      </c>
      <c r="H1113" s="292">
        <v>24</v>
      </c>
      <c r="I1113" s="139">
        <f t="shared" si="108"/>
        <v>256</v>
      </c>
      <c r="J1113" s="266">
        <f t="shared" si="109"/>
        <v>0.34179999999999999</v>
      </c>
      <c r="K1113" s="136">
        <f t="shared" si="104"/>
        <v>0</v>
      </c>
      <c r="L1113" s="136">
        <f t="shared" si="105"/>
        <v>0</v>
      </c>
      <c r="M1113" s="136">
        <f t="shared" si="106"/>
        <v>0</v>
      </c>
      <c r="O1113" s="134"/>
      <c r="P1113" s="259"/>
    </row>
    <row r="1114" spans="1:16">
      <c r="A1114" s="134">
        <v>476</v>
      </c>
      <c r="B1114" s="134" t="s">
        <v>3121</v>
      </c>
      <c r="C1114" s="129" t="s">
        <v>3122</v>
      </c>
      <c r="D1114" s="292">
        <v>49</v>
      </c>
      <c r="E1114" s="292">
        <v>0</v>
      </c>
      <c r="F1114" s="139">
        <f t="shared" si="107"/>
        <v>49</v>
      </c>
      <c r="G1114" s="292">
        <v>18</v>
      </c>
      <c r="H1114" s="292">
        <v>0</v>
      </c>
      <c r="I1114" s="139">
        <f t="shared" si="108"/>
        <v>18</v>
      </c>
      <c r="J1114" s="266">
        <f t="shared" si="109"/>
        <v>0.36730000000000002</v>
      </c>
      <c r="K1114" s="136">
        <f t="shared" si="104"/>
        <v>0.2</v>
      </c>
      <c r="L1114" s="136">
        <f t="shared" si="105"/>
        <v>0</v>
      </c>
      <c r="M1114" s="136">
        <f t="shared" si="106"/>
        <v>0.2</v>
      </c>
      <c r="O1114" s="134"/>
      <c r="P1114" s="259"/>
    </row>
    <row r="1115" spans="1:16">
      <c r="A1115" s="134">
        <v>476</v>
      </c>
      <c r="B1115" s="134" t="s">
        <v>3123</v>
      </c>
      <c r="C1115" s="129" t="s">
        <v>3124</v>
      </c>
      <c r="D1115" s="292">
        <v>30</v>
      </c>
      <c r="E1115" s="292">
        <v>0</v>
      </c>
      <c r="F1115" s="139">
        <f t="shared" si="107"/>
        <v>30</v>
      </c>
      <c r="G1115" s="292">
        <v>11</v>
      </c>
      <c r="H1115" s="292">
        <v>0</v>
      </c>
      <c r="I1115" s="139">
        <f t="shared" si="108"/>
        <v>11</v>
      </c>
      <c r="J1115" s="266">
        <f t="shared" si="109"/>
        <v>0.36670000000000003</v>
      </c>
      <c r="K1115" s="136">
        <f t="shared" si="104"/>
        <v>0.1</v>
      </c>
      <c r="L1115" s="136">
        <f t="shared" si="105"/>
        <v>0</v>
      </c>
      <c r="M1115" s="136">
        <f t="shared" si="106"/>
        <v>0.1</v>
      </c>
      <c r="O1115" s="134"/>
      <c r="P1115" s="259"/>
    </row>
    <row r="1116" spans="1:16">
      <c r="A1116" s="134">
        <v>477</v>
      </c>
      <c r="B1116" s="134" t="s">
        <v>3125</v>
      </c>
      <c r="C1116" s="129" t="s">
        <v>3126</v>
      </c>
      <c r="D1116" s="292">
        <v>95</v>
      </c>
      <c r="E1116" s="292">
        <v>0</v>
      </c>
      <c r="F1116" s="139">
        <f t="shared" si="107"/>
        <v>95</v>
      </c>
      <c r="G1116" s="292">
        <v>31</v>
      </c>
      <c r="H1116" s="292">
        <v>0</v>
      </c>
      <c r="I1116" s="139">
        <f t="shared" si="108"/>
        <v>31</v>
      </c>
      <c r="J1116" s="266">
        <f t="shared" si="109"/>
        <v>0.32629999999999998</v>
      </c>
      <c r="K1116" s="136">
        <f t="shared" si="104"/>
        <v>0</v>
      </c>
      <c r="L1116" s="136">
        <f t="shared" si="105"/>
        <v>0</v>
      </c>
      <c r="M1116" s="136">
        <f t="shared" si="106"/>
        <v>0</v>
      </c>
      <c r="O1116" s="134"/>
      <c r="P1116" s="259"/>
    </row>
    <row r="1117" spans="1:16">
      <c r="A1117" s="134">
        <v>477</v>
      </c>
      <c r="B1117" s="134" t="s">
        <v>3127</v>
      </c>
      <c r="C1117" s="129" t="s">
        <v>3128</v>
      </c>
      <c r="D1117" s="292">
        <v>120</v>
      </c>
      <c r="E1117" s="292">
        <v>0</v>
      </c>
      <c r="F1117" s="139">
        <f t="shared" si="107"/>
        <v>120</v>
      </c>
      <c r="G1117" s="292">
        <v>32</v>
      </c>
      <c r="H1117" s="292">
        <v>0</v>
      </c>
      <c r="I1117" s="139">
        <f t="shared" si="108"/>
        <v>32</v>
      </c>
      <c r="J1117" s="266">
        <f t="shared" si="109"/>
        <v>0.26669999999999999</v>
      </c>
      <c r="K1117" s="136">
        <f t="shared" si="104"/>
        <v>0</v>
      </c>
      <c r="L1117" s="136">
        <f t="shared" si="105"/>
        <v>0</v>
      </c>
      <c r="M1117" s="136">
        <f t="shared" si="106"/>
        <v>0</v>
      </c>
      <c r="O1117" s="134"/>
      <c r="P1117" s="259"/>
    </row>
    <row r="1118" spans="1:16">
      <c r="A1118" s="134">
        <v>479</v>
      </c>
      <c r="B1118" s="134" t="s">
        <v>3129</v>
      </c>
      <c r="C1118" s="129" t="s">
        <v>3130</v>
      </c>
      <c r="D1118" s="292">
        <v>169</v>
      </c>
      <c r="E1118" s="292">
        <v>0</v>
      </c>
      <c r="F1118" s="139">
        <f t="shared" si="107"/>
        <v>169</v>
      </c>
      <c r="G1118" s="292">
        <v>96</v>
      </c>
      <c r="H1118" s="292">
        <v>0</v>
      </c>
      <c r="I1118" s="139">
        <f t="shared" si="108"/>
        <v>96</v>
      </c>
      <c r="J1118" s="266">
        <f t="shared" si="109"/>
        <v>0.56799999999999995</v>
      </c>
      <c r="K1118" s="136">
        <f t="shared" si="104"/>
        <v>0</v>
      </c>
      <c r="L1118" s="136">
        <f t="shared" si="105"/>
        <v>10.1</v>
      </c>
      <c r="M1118" s="136">
        <f t="shared" si="106"/>
        <v>10.1</v>
      </c>
      <c r="O1118" s="134"/>
      <c r="P1118" s="259"/>
    </row>
    <row r="1119" spans="1:16">
      <c r="A1119" s="134">
        <v>479</v>
      </c>
      <c r="B1119" s="134" t="s">
        <v>3131</v>
      </c>
      <c r="C1119" s="129" t="s">
        <v>3132</v>
      </c>
      <c r="D1119" s="292">
        <v>77</v>
      </c>
      <c r="E1119" s="292">
        <v>0</v>
      </c>
      <c r="F1119" s="139">
        <f t="shared" si="107"/>
        <v>77</v>
      </c>
      <c r="G1119" s="292">
        <v>25</v>
      </c>
      <c r="H1119" s="292">
        <v>0</v>
      </c>
      <c r="I1119" s="139">
        <f t="shared" si="108"/>
        <v>25</v>
      </c>
      <c r="J1119" s="266">
        <f t="shared" si="109"/>
        <v>0.32469999999999999</v>
      </c>
      <c r="K1119" s="136">
        <f t="shared" si="104"/>
        <v>0</v>
      </c>
      <c r="L1119" s="136">
        <f t="shared" si="105"/>
        <v>0</v>
      </c>
      <c r="M1119" s="136">
        <f t="shared" si="106"/>
        <v>0</v>
      </c>
      <c r="O1119" s="134"/>
      <c r="P1119" s="259"/>
    </row>
    <row r="1120" spans="1:16">
      <c r="A1120" s="134">
        <v>480</v>
      </c>
      <c r="B1120" s="134" t="s">
        <v>3133</v>
      </c>
      <c r="C1120" s="129" t="s">
        <v>2089</v>
      </c>
      <c r="D1120" s="292">
        <v>514</v>
      </c>
      <c r="E1120" s="292">
        <v>0</v>
      </c>
      <c r="F1120" s="139">
        <f t="shared" si="107"/>
        <v>514</v>
      </c>
      <c r="G1120" s="292">
        <v>395</v>
      </c>
      <c r="H1120" s="292">
        <v>0</v>
      </c>
      <c r="I1120" s="139">
        <f t="shared" si="108"/>
        <v>395</v>
      </c>
      <c r="J1120" s="266">
        <f t="shared" si="109"/>
        <v>0.76849999999999996</v>
      </c>
      <c r="K1120" s="136">
        <f t="shared" si="104"/>
        <v>0</v>
      </c>
      <c r="L1120" s="136">
        <f t="shared" si="105"/>
        <v>41.5</v>
      </c>
      <c r="M1120" s="136">
        <f t="shared" si="106"/>
        <v>41.5</v>
      </c>
      <c r="O1120" s="134"/>
      <c r="P1120" s="259"/>
    </row>
    <row r="1121" spans="1:20">
      <c r="A1121" s="134">
        <v>480</v>
      </c>
      <c r="B1121" s="134" t="s">
        <v>3134</v>
      </c>
      <c r="C1121" s="129" t="s">
        <v>3135</v>
      </c>
      <c r="D1121" s="292">
        <v>377</v>
      </c>
      <c r="E1121" s="292">
        <v>0</v>
      </c>
      <c r="F1121" s="139">
        <f t="shared" si="107"/>
        <v>377</v>
      </c>
      <c r="G1121" s="292">
        <v>249</v>
      </c>
      <c r="H1121" s="292">
        <v>0</v>
      </c>
      <c r="I1121" s="139">
        <f t="shared" si="108"/>
        <v>249</v>
      </c>
      <c r="J1121" s="266">
        <f t="shared" si="109"/>
        <v>0.66049999999999998</v>
      </c>
      <c r="K1121" s="136">
        <f t="shared" si="104"/>
        <v>0</v>
      </c>
      <c r="L1121" s="136">
        <f t="shared" si="105"/>
        <v>26.1</v>
      </c>
      <c r="M1121" s="136">
        <f t="shared" si="106"/>
        <v>26.1</v>
      </c>
      <c r="O1121" s="134"/>
      <c r="P1121" s="259"/>
      <c r="T1121" s="134"/>
    </row>
    <row r="1122" spans="1:20">
      <c r="A1122" s="134">
        <v>480</v>
      </c>
      <c r="B1122" s="134" t="s">
        <v>3136</v>
      </c>
      <c r="C1122" s="129" t="s">
        <v>2036</v>
      </c>
      <c r="D1122" s="292">
        <v>512</v>
      </c>
      <c r="E1122" s="292">
        <v>0</v>
      </c>
      <c r="F1122" s="139">
        <f t="shared" si="107"/>
        <v>512</v>
      </c>
      <c r="G1122" s="292">
        <v>398</v>
      </c>
      <c r="H1122" s="292">
        <v>0</v>
      </c>
      <c r="I1122" s="139">
        <f t="shared" si="108"/>
        <v>398</v>
      </c>
      <c r="J1122" s="266">
        <f t="shared" si="109"/>
        <v>0.77729999999999999</v>
      </c>
      <c r="K1122" s="136">
        <f t="shared" si="104"/>
        <v>0</v>
      </c>
      <c r="L1122" s="136">
        <f t="shared" si="105"/>
        <v>41.8</v>
      </c>
      <c r="M1122" s="136">
        <f t="shared" si="106"/>
        <v>41.8</v>
      </c>
      <c r="O1122" s="134"/>
      <c r="P1122" s="259"/>
    </row>
    <row r="1123" spans="1:20">
      <c r="A1123" s="134">
        <v>480</v>
      </c>
      <c r="B1123" s="134" t="s">
        <v>3137</v>
      </c>
      <c r="C1123" s="129" t="s">
        <v>3138</v>
      </c>
      <c r="D1123" s="292">
        <v>1403</v>
      </c>
      <c r="E1123" s="292">
        <v>0</v>
      </c>
      <c r="F1123" s="139">
        <f t="shared" si="107"/>
        <v>1403</v>
      </c>
      <c r="G1123" s="292">
        <v>1004</v>
      </c>
      <c r="H1123" s="292">
        <v>0</v>
      </c>
      <c r="I1123" s="139">
        <f t="shared" si="108"/>
        <v>1004</v>
      </c>
      <c r="J1123" s="266">
        <f t="shared" si="109"/>
        <v>0.71560000000000001</v>
      </c>
      <c r="K1123" s="136">
        <f t="shared" si="104"/>
        <v>0</v>
      </c>
      <c r="L1123" s="136">
        <f t="shared" si="105"/>
        <v>105.4</v>
      </c>
      <c r="M1123" s="136">
        <f t="shared" si="106"/>
        <v>105.4</v>
      </c>
      <c r="O1123" s="134"/>
      <c r="P1123" s="259"/>
    </row>
    <row r="1124" spans="1:20">
      <c r="A1124" s="134">
        <v>480</v>
      </c>
      <c r="B1124" s="134" t="s">
        <v>3139</v>
      </c>
      <c r="C1124" s="129" t="s">
        <v>3140</v>
      </c>
      <c r="D1124" s="292">
        <v>544</v>
      </c>
      <c r="E1124" s="292">
        <v>0</v>
      </c>
      <c r="F1124" s="139">
        <f t="shared" si="107"/>
        <v>544</v>
      </c>
      <c r="G1124" s="292">
        <v>391</v>
      </c>
      <c r="H1124" s="292">
        <v>0</v>
      </c>
      <c r="I1124" s="139">
        <f t="shared" si="108"/>
        <v>391</v>
      </c>
      <c r="J1124" s="266">
        <f t="shared" si="109"/>
        <v>0.71879999999999999</v>
      </c>
      <c r="K1124" s="136">
        <f t="shared" si="104"/>
        <v>0</v>
      </c>
      <c r="L1124" s="136">
        <f t="shared" si="105"/>
        <v>41.1</v>
      </c>
      <c r="M1124" s="136">
        <f t="shared" si="106"/>
        <v>41.1</v>
      </c>
      <c r="O1124" s="134"/>
      <c r="P1124" s="259"/>
    </row>
    <row r="1125" spans="1:20">
      <c r="A1125" s="134">
        <v>480</v>
      </c>
      <c r="B1125" s="134" t="s">
        <v>3141</v>
      </c>
      <c r="C1125" s="129" t="s">
        <v>3142</v>
      </c>
      <c r="D1125" s="292">
        <v>416</v>
      </c>
      <c r="E1125" s="292">
        <v>0</v>
      </c>
      <c r="F1125" s="139">
        <f t="shared" si="107"/>
        <v>416</v>
      </c>
      <c r="G1125" s="292">
        <v>315</v>
      </c>
      <c r="H1125" s="292">
        <v>0</v>
      </c>
      <c r="I1125" s="139">
        <f t="shared" si="108"/>
        <v>315</v>
      </c>
      <c r="J1125" s="266">
        <f t="shared" si="109"/>
        <v>0.75719999999999998</v>
      </c>
      <c r="K1125" s="136">
        <f t="shared" si="104"/>
        <v>0</v>
      </c>
      <c r="L1125" s="136">
        <f t="shared" si="105"/>
        <v>33.1</v>
      </c>
      <c r="M1125" s="136">
        <f t="shared" si="106"/>
        <v>33.1</v>
      </c>
      <c r="O1125" s="134"/>
      <c r="P1125" s="259"/>
    </row>
    <row r="1126" spans="1:20">
      <c r="A1126" s="134">
        <v>480</v>
      </c>
      <c r="B1126" s="134" t="s">
        <v>3143</v>
      </c>
      <c r="C1126" s="129" t="s">
        <v>3144</v>
      </c>
      <c r="D1126" s="292">
        <v>358</v>
      </c>
      <c r="E1126" s="292">
        <v>0</v>
      </c>
      <c r="F1126" s="139">
        <f t="shared" si="107"/>
        <v>358</v>
      </c>
      <c r="G1126" s="292">
        <v>316</v>
      </c>
      <c r="H1126" s="292">
        <v>0</v>
      </c>
      <c r="I1126" s="139">
        <f t="shared" si="108"/>
        <v>316</v>
      </c>
      <c r="J1126" s="266">
        <f t="shared" si="109"/>
        <v>0.88270000000000004</v>
      </c>
      <c r="K1126" s="136">
        <f t="shared" si="104"/>
        <v>0</v>
      </c>
      <c r="L1126" s="136">
        <f t="shared" si="105"/>
        <v>33.200000000000003</v>
      </c>
      <c r="M1126" s="136">
        <f t="shared" si="106"/>
        <v>33.200000000000003</v>
      </c>
      <c r="O1126" s="134"/>
      <c r="P1126" s="259"/>
      <c r="T1126" s="134"/>
    </row>
    <row r="1127" spans="1:20">
      <c r="A1127" s="134">
        <v>480</v>
      </c>
      <c r="B1127" s="134" t="s">
        <v>3145</v>
      </c>
      <c r="C1127" s="129" t="s">
        <v>3146</v>
      </c>
      <c r="D1127" s="292">
        <v>504</v>
      </c>
      <c r="E1127" s="292">
        <v>0</v>
      </c>
      <c r="F1127" s="139">
        <f t="shared" si="107"/>
        <v>504</v>
      </c>
      <c r="G1127" s="292">
        <v>408</v>
      </c>
      <c r="H1127" s="292">
        <v>0</v>
      </c>
      <c r="I1127" s="139">
        <f t="shared" si="108"/>
        <v>408</v>
      </c>
      <c r="J1127" s="266">
        <f t="shared" si="109"/>
        <v>0.8095</v>
      </c>
      <c r="K1127" s="136">
        <f t="shared" si="104"/>
        <v>0</v>
      </c>
      <c r="L1127" s="136">
        <f t="shared" si="105"/>
        <v>42.8</v>
      </c>
      <c r="M1127" s="136">
        <f t="shared" si="106"/>
        <v>42.8</v>
      </c>
      <c r="O1127" s="134"/>
      <c r="P1127" s="259"/>
    </row>
    <row r="1128" spans="1:20">
      <c r="A1128" s="134">
        <v>481</v>
      </c>
      <c r="B1128" s="134" t="s">
        <v>3147</v>
      </c>
      <c r="C1128" s="129" t="s">
        <v>3148</v>
      </c>
      <c r="D1128" s="292">
        <v>73</v>
      </c>
      <c r="E1128" s="292">
        <v>0</v>
      </c>
      <c r="F1128" s="139">
        <f t="shared" si="107"/>
        <v>73</v>
      </c>
      <c r="G1128" s="292">
        <v>27</v>
      </c>
      <c r="H1128" s="292">
        <v>0</v>
      </c>
      <c r="I1128" s="139">
        <f t="shared" si="108"/>
        <v>27</v>
      </c>
      <c r="J1128" s="266">
        <f t="shared" si="109"/>
        <v>0.36990000000000001</v>
      </c>
      <c r="K1128" s="136">
        <f t="shared" si="104"/>
        <v>0.4</v>
      </c>
      <c r="L1128" s="136">
        <f t="shared" si="105"/>
        <v>0</v>
      </c>
      <c r="M1128" s="136">
        <f t="shared" si="106"/>
        <v>0.4</v>
      </c>
      <c r="O1128" s="134"/>
      <c r="P1128" s="259"/>
    </row>
    <row r="1129" spans="1:20">
      <c r="A1129" s="134">
        <v>481</v>
      </c>
      <c r="B1129" s="134" t="s">
        <v>3149</v>
      </c>
      <c r="C1129" s="129" t="s">
        <v>3150</v>
      </c>
      <c r="D1129" s="292">
        <v>27</v>
      </c>
      <c r="E1129" s="292">
        <v>0</v>
      </c>
      <c r="F1129" s="139">
        <f t="shared" si="107"/>
        <v>27</v>
      </c>
      <c r="G1129" s="292">
        <v>7</v>
      </c>
      <c r="H1129" s="292">
        <v>0</v>
      </c>
      <c r="I1129" s="139">
        <f t="shared" si="108"/>
        <v>7</v>
      </c>
      <c r="J1129" s="266">
        <f t="shared" si="109"/>
        <v>0.25929999999999997</v>
      </c>
      <c r="K1129" s="136">
        <f t="shared" si="104"/>
        <v>0</v>
      </c>
      <c r="L1129" s="136">
        <f t="shared" si="105"/>
        <v>0</v>
      </c>
      <c r="M1129" s="136">
        <f t="shared" si="106"/>
        <v>0</v>
      </c>
      <c r="O1129" s="134"/>
      <c r="P1129" s="259"/>
    </row>
    <row r="1130" spans="1:20">
      <c r="A1130" s="134">
        <v>481</v>
      </c>
      <c r="B1130" s="134" t="s">
        <v>3151</v>
      </c>
      <c r="C1130" s="129" t="s">
        <v>3152</v>
      </c>
      <c r="D1130" s="292">
        <v>135</v>
      </c>
      <c r="E1130" s="292">
        <v>0</v>
      </c>
      <c r="F1130" s="139">
        <f t="shared" si="107"/>
        <v>135</v>
      </c>
      <c r="G1130" s="292">
        <v>59</v>
      </c>
      <c r="H1130" s="292">
        <v>0</v>
      </c>
      <c r="I1130" s="139">
        <f t="shared" si="108"/>
        <v>59</v>
      </c>
      <c r="J1130" s="266">
        <f t="shared" si="109"/>
        <v>0.437</v>
      </c>
      <c r="K1130" s="136">
        <f t="shared" si="104"/>
        <v>3.6</v>
      </c>
      <c r="L1130" s="136">
        <f t="shared" si="105"/>
        <v>0</v>
      </c>
      <c r="M1130" s="136">
        <f t="shared" si="106"/>
        <v>3.6</v>
      </c>
      <c r="O1130" s="134"/>
      <c r="P1130" s="259"/>
    </row>
    <row r="1131" spans="1:20">
      <c r="A1131" s="134">
        <v>481</v>
      </c>
      <c r="B1131" s="134" t="s">
        <v>3153</v>
      </c>
      <c r="C1131" s="129" t="s">
        <v>3154</v>
      </c>
      <c r="D1131" s="292">
        <v>45</v>
      </c>
      <c r="E1131" s="292">
        <v>0</v>
      </c>
      <c r="F1131" s="139">
        <f t="shared" si="107"/>
        <v>45</v>
      </c>
      <c r="G1131" s="292">
        <v>16</v>
      </c>
      <c r="H1131" s="292">
        <v>0</v>
      </c>
      <c r="I1131" s="139">
        <f t="shared" si="108"/>
        <v>16</v>
      </c>
      <c r="J1131" s="266">
        <f t="shared" si="109"/>
        <v>0.35560000000000003</v>
      </c>
      <c r="K1131" s="136">
        <f t="shared" si="104"/>
        <v>0.1</v>
      </c>
      <c r="L1131" s="136">
        <f t="shared" si="105"/>
        <v>0</v>
      </c>
      <c r="M1131" s="136">
        <f t="shared" si="106"/>
        <v>0.1</v>
      </c>
      <c r="O1131" s="134"/>
      <c r="P1131" s="259"/>
    </row>
    <row r="1132" spans="1:20">
      <c r="A1132" s="134">
        <v>482</v>
      </c>
      <c r="B1132" s="134" t="s">
        <v>3155</v>
      </c>
      <c r="C1132" s="129" t="s">
        <v>3156</v>
      </c>
      <c r="D1132" s="292">
        <v>146</v>
      </c>
      <c r="E1132" s="292">
        <v>0</v>
      </c>
      <c r="F1132" s="139">
        <f t="shared" si="107"/>
        <v>146</v>
      </c>
      <c r="G1132" s="292">
        <v>64</v>
      </c>
      <c r="H1132" s="292">
        <v>0</v>
      </c>
      <c r="I1132" s="139">
        <f t="shared" si="108"/>
        <v>64</v>
      </c>
      <c r="J1132" s="266">
        <f t="shared" si="109"/>
        <v>0.43840000000000001</v>
      </c>
      <c r="K1132" s="136">
        <f t="shared" si="104"/>
        <v>4</v>
      </c>
      <c r="L1132" s="136">
        <f t="shared" si="105"/>
        <v>0</v>
      </c>
      <c r="M1132" s="136">
        <f t="shared" si="106"/>
        <v>4</v>
      </c>
      <c r="O1132" s="134"/>
      <c r="P1132" s="259"/>
    </row>
    <row r="1133" spans="1:20">
      <c r="A1133" s="134">
        <v>482</v>
      </c>
      <c r="B1133" s="134" t="s">
        <v>3157</v>
      </c>
      <c r="C1133" s="129" t="s">
        <v>3158</v>
      </c>
      <c r="D1133" s="292">
        <v>91</v>
      </c>
      <c r="E1133" s="292">
        <v>0</v>
      </c>
      <c r="F1133" s="139">
        <f t="shared" si="107"/>
        <v>91</v>
      </c>
      <c r="G1133" s="292">
        <v>31</v>
      </c>
      <c r="H1133" s="292">
        <v>0</v>
      </c>
      <c r="I1133" s="139">
        <f t="shared" si="108"/>
        <v>31</v>
      </c>
      <c r="J1133" s="266">
        <f t="shared" si="109"/>
        <v>0.3407</v>
      </c>
      <c r="K1133" s="136">
        <f t="shared" si="104"/>
        <v>0</v>
      </c>
      <c r="L1133" s="136">
        <f t="shared" si="105"/>
        <v>0</v>
      </c>
      <c r="M1133" s="136">
        <f t="shared" si="106"/>
        <v>0</v>
      </c>
      <c r="O1133" s="134"/>
      <c r="P1133" s="259"/>
    </row>
    <row r="1134" spans="1:20">
      <c r="A1134" s="134">
        <v>483</v>
      </c>
      <c r="B1134" s="134" t="s">
        <v>3159</v>
      </c>
      <c r="C1134" s="129" t="s">
        <v>3160</v>
      </c>
      <c r="D1134" s="292">
        <v>145</v>
      </c>
      <c r="E1134" s="292">
        <v>0</v>
      </c>
      <c r="F1134" s="139">
        <f t="shared" si="107"/>
        <v>145</v>
      </c>
      <c r="G1134" s="292">
        <v>81</v>
      </c>
      <c r="H1134" s="292">
        <v>0</v>
      </c>
      <c r="I1134" s="139">
        <f t="shared" si="108"/>
        <v>81</v>
      </c>
      <c r="J1134" s="266">
        <f t="shared" si="109"/>
        <v>0.55859999999999999</v>
      </c>
      <c r="K1134" s="136">
        <f t="shared" si="104"/>
        <v>0</v>
      </c>
      <c r="L1134" s="136">
        <f t="shared" si="105"/>
        <v>8.5</v>
      </c>
      <c r="M1134" s="136">
        <f t="shared" si="106"/>
        <v>8.5</v>
      </c>
      <c r="O1134" s="134"/>
      <c r="P1134" s="259"/>
    </row>
    <row r="1135" spans="1:20">
      <c r="A1135" s="134">
        <v>483</v>
      </c>
      <c r="B1135" s="134" t="s">
        <v>3161</v>
      </c>
      <c r="C1135" s="129" t="s">
        <v>3162</v>
      </c>
      <c r="D1135" s="292">
        <v>119</v>
      </c>
      <c r="E1135" s="292">
        <v>0</v>
      </c>
      <c r="F1135" s="139">
        <f t="shared" si="107"/>
        <v>119</v>
      </c>
      <c r="G1135" s="292">
        <v>79</v>
      </c>
      <c r="H1135" s="292">
        <v>0</v>
      </c>
      <c r="I1135" s="139">
        <f t="shared" si="108"/>
        <v>79</v>
      </c>
      <c r="J1135" s="266">
        <f t="shared" si="109"/>
        <v>0.66390000000000005</v>
      </c>
      <c r="K1135" s="136">
        <f t="shared" si="104"/>
        <v>0</v>
      </c>
      <c r="L1135" s="136">
        <f t="shared" si="105"/>
        <v>8.3000000000000007</v>
      </c>
      <c r="M1135" s="136">
        <f t="shared" si="106"/>
        <v>8.3000000000000007</v>
      </c>
      <c r="O1135" s="134"/>
      <c r="P1135" s="259"/>
    </row>
    <row r="1136" spans="1:20">
      <c r="A1136" s="134">
        <v>483</v>
      </c>
      <c r="B1136" s="134" t="s">
        <v>3163</v>
      </c>
      <c r="C1136" s="129" t="s">
        <v>3164</v>
      </c>
      <c r="D1136" s="292">
        <v>309</v>
      </c>
      <c r="E1136" s="292">
        <v>0</v>
      </c>
      <c r="F1136" s="139">
        <f t="shared" si="107"/>
        <v>309</v>
      </c>
      <c r="G1136" s="292">
        <v>189</v>
      </c>
      <c r="H1136" s="292">
        <v>0</v>
      </c>
      <c r="I1136" s="139">
        <f t="shared" si="108"/>
        <v>189</v>
      </c>
      <c r="J1136" s="266">
        <f t="shared" si="109"/>
        <v>0.61170000000000002</v>
      </c>
      <c r="K1136" s="136">
        <f t="shared" si="104"/>
        <v>0</v>
      </c>
      <c r="L1136" s="136">
        <f t="shared" si="105"/>
        <v>19.8</v>
      </c>
      <c r="M1136" s="136">
        <f t="shared" si="106"/>
        <v>19.8</v>
      </c>
      <c r="O1136" s="134"/>
      <c r="P1136" s="259"/>
    </row>
    <row r="1137" spans="1:16">
      <c r="A1137" s="134">
        <v>484</v>
      </c>
      <c r="B1137" s="134" t="s">
        <v>3165</v>
      </c>
      <c r="C1137" s="129" t="s">
        <v>3166</v>
      </c>
      <c r="D1137" s="292">
        <v>58</v>
      </c>
      <c r="E1137" s="292">
        <v>0</v>
      </c>
      <c r="F1137" s="139">
        <f t="shared" si="107"/>
        <v>58</v>
      </c>
      <c r="G1137" s="292">
        <v>29</v>
      </c>
      <c r="H1137" s="292">
        <v>0</v>
      </c>
      <c r="I1137" s="139">
        <f t="shared" si="108"/>
        <v>29</v>
      </c>
      <c r="J1137" s="266">
        <f t="shared" si="109"/>
        <v>0.5</v>
      </c>
      <c r="K1137" s="136">
        <f t="shared" si="104"/>
        <v>0</v>
      </c>
      <c r="L1137" s="136">
        <f t="shared" si="105"/>
        <v>3</v>
      </c>
      <c r="M1137" s="136">
        <f t="shared" si="106"/>
        <v>3</v>
      </c>
      <c r="O1137" s="134"/>
      <c r="P1137" s="259"/>
    </row>
    <row r="1138" spans="1:16">
      <c r="A1138" s="134">
        <v>484</v>
      </c>
      <c r="B1138" s="134" t="s">
        <v>4073</v>
      </c>
      <c r="C1138" s="129" t="s">
        <v>4074</v>
      </c>
      <c r="D1138" s="292">
        <v>0</v>
      </c>
      <c r="E1138" s="292">
        <v>0</v>
      </c>
      <c r="F1138" s="139">
        <f t="shared" si="107"/>
        <v>0</v>
      </c>
      <c r="G1138" s="292">
        <v>0</v>
      </c>
      <c r="H1138" s="292">
        <v>0</v>
      </c>
      <c r="I1138" s="139">
        <f t="shared" si="108"/>
        <v>0</v>
      </c>
      <c r="J1138" s="266">
        <f t="shared" si="109"/>
        <v>0</v>
      </c>
      <c r="K1138" s="136">
        <f t="shared" si="104"/>
        <v>0</v>
      </c>
      <c r="L1138" s="136">
        <f t="shared" si="105"/>
        <v>0</v>
      </c>
      <c r="M1138" s="136">
        <f t="shared" si="106"/>
        <v>0</v>
      </c>
      <c r="O1138" s="134"/>
      <c r="P1138" s="259"/>
    </row>
    <row r="1139" spans="1:16">
      <c r="A1139" s="134">
        <v>484</v>
      </c>
      <c r="B1139" s="134" t="s">
        <v>3167</v>
      </c>
      <c r="C1139" s="129" t="s">
        <v>2794</v>
      </c>
      <c r="D1139" s="292">
        <v>261</v>
      </c>
      <c r="E1139" s="292">
        <v>0</v>
      </c>
      <c r="F1139" s="139">
        <f t="shared" si="107"/>
        <v>261</v>
      </c>
      <c r="G1139" s="292">
        <v>117</v>
      </c>
      <c r="H1139" s="292">
        <v>0</v>
      </c>
      <c r="I1139" s="139">
        <f t="shared" si="108"/>
        <v>117</v>
      </c>
      <c r="J1139" s="266">
        <f t="shared" si="109"/>
        <v>0.44829999999999998</v>
      </c>
      <c r="K1139" s="136">
        <f t="shared" si="104"/>
        <v>8.1</v>
      </c>
      <c r="L1139" s="136">
        <f t="shared" si="105"/>
        <v>0</v>
      </c>
      <c r="M1139" s="136">
        <f t="shared" si="106"/>
        <v>8.1</v>
      </c>
      <c r="O1139" s="134"/>
      <c r="P1139" s="259"/>
    </row>
    <row r="1140" spans="1:16">
      <c r="A1140" s="134">
        <v>484</v>
      </c>
      <c r="B1140" s="134" t="s">
        <v>3168</v>
      </c>
      <c r="C1140" s="129" t="s">
        <v>3169</v>
      </c>
      <c r="D1140" s="292">
        <v>294</v>
      </c>
      <c r="E1140" s="292">
        <v>0</v>
      </c>
      <c r="F1140" s="139">
        <f t="shared" si="107"/>
        <v>294</v>
      </c>
      <c r="G1140" s="292">
        <v>122</v>
      </c>
      <c r="H1140" s="292">
        <v>0</v>
      </c>
      <c r="I1140" s="139">
        <f t="shared" si="108"/>
        <v>122</v>
      </c>
      <c r="J1140" s="266">
        <f t="shared" si="109"/>
        <v>0.41499999999999998</v>
      </c>
      <c r="K1140" s="136">
        <f t="shared" si="104"/>
        <v>5.6</v>
      </c>
      <c r="L1140" s="136">
        <f t="shared" si="105"/>
        <v>0</v>
      </c>
      <c r="M1140" s="136">
        <f t="shared" si="106"/>
        <v>5.6</v>
      </c>
      <c r="O1140" s="134"/>
      <c r="P1140" s="259"/>
    </row>
    <row r="1141" spans="1:16">
      <c r="A1141" s="134">
        <v>487</v>
      </c>
      <c r="B1141" s="134" t="s">
        <v>3170</v>
      </c>
      <c r="C1141" s="129" t="s">
        <v>3171</v>
      </c>
      <c r="D1141" s="292">
        <v>165</v>
      </c>
      <c r="E1141" s="292">
        <v>0</v>
      </c>
      <c r="F1141" s="139">
        <f t="shared" si="107"/>
        <v>165</v>
      </c>
      <c r="G1141" s="292">
        <v>114</v>
      </c>
      <c r="H1141" s="292">
        <v>0</v>
      </c>
      <c r="I1141" s="139">
        <f t="shared" si="108"/>
        <v>114</v>
      </c>
      <c r="J1141" s="266">
        <f t="shared" si="109"/>
        <v>0.69089999999999996</v>
      </c>
      <c r="K1141" s="136">
        <f t="shared" si="104"/>
        <v>0</v>
      </c>
      <c r="L1141" s="136">
        <f t="shared" si="105"/>
        <v>12</v>
      </c>
      <c r="M1141" s="136">
        <f t="shared" si="106"/>
        <v>12</v>
      </c>
      <c r="O1141" s="134"/>
      <c r="P1141" s="259"/>
    </row>
    <row r="1142" spans="1:16">
      <c r="A1142" s="134">
        <v>487</v>
      </c>
      <c r="B1142" s="134" t="s">
        <v>3172</v>
      </c>
      <c r="C1142" s="129" t="s">
        <v>3173</v>
      </c>
      <c r="D1142" s="292">
        <v>94</v>
      </c>
      <c r="E1142" s="292">
        <v>0</v>
      </c>
      <c r="F1142" s="139">
        <f t="shared" si="107"/>
        <v>94</v>
      </c>
      <c r="G1142" s="292">
        <v>54</v>
      </c>
      <c r="H1142" s="292">
        <v>0</v>
      </c>
      <c r="I1142" s="139">
        <f t="shared" si="108"/>
        <v>54</v>
      </c>
      <c r="J1142" s="266">
        <f t="shared" si="109"/>
        <v>0.57450000000000001</v>
      </c>
      <c r="K1142" s="136">
        <f t="shared" si="104"/>
        <v>0</v>
      </c>
      <c r="L1142" s="136">
        <f t="shared" si="105"/>
        <v>5.7</v>
      </c>
      <c r="M1142" s="136">
        <f t="shared" si="106"/>
        <v>5.7</v>
      </c>
      <c r="O1142" s="134"/>
      <c r="P1142" s="259"/>
    </row>
    <row r="1143" spans="1:16">
      <c r="A1143" s="134">
        <v>487</v>
      </c>
      <c r="B1143" s="134" t="s">
        <v>3174</v>
      </c>
      <c r="C1143" s="129" t="s">
        <v>3175</v>
      </c>
      <c r="D1143" s="292">
        <v>138</v>
      </c>
      <c r="E1143" s="292">
        <v>0</v>
      </c>
      <c r="F1143" s="139">
        <f t="shared" si="107"/>
        <v>138</v>
      </c>
      <c r="G1143" s="292">
        <v>83</v>
      </c>
      <c r="H1143" s="292">
        <v>0</v>
      </c>
      <c r="I1143" s="139">
        <f t="shared" si="108"/>
        <v>83</v>
      </c>
      <c r="J1143" s="266">
        <f t="shared" si="109"/>
        <v>0.60140000000000005</v>
      </c>
      <c r="K1143" s="136">
        <f t="shared" si="104"/>
        <v>0</v>
      </c>
      <c r="L1143" s="136">
        <f t="shared" si="105"/>
        <v>8.6999999999999993</v>
      </c>
      <c r="M1143" s="136">
        <f t="shared" si="106"/>
        <v>8.6999999999999993</v>
      </c>
      <c r="O1143" s="134"/>
      <c r="P1143" s="259"/>
    </row>
    <row r="1144" spans="1:16">
      <c r="A1144" s="134">
        <v>489</v>
      </c>
      <c r="B1144" s="134" t="s">
        <v>4075</v>
      </c>
      <c r="C1144" s="129" t="s">
        <v>4076</v>
      </c>
      <c r="D1144" s="292">
        <v>3</v>
      </c>
      <c r="E1144" s="292">
        <v>0</v>
      </c>
      <c r="F1144" s="139">
        <f t="shared" si="107"/>
        <v>3</v>
      </c>
      <c r="G1144" s="292">
        <v>0</v>
      </c>
      <c r="H1144" s="292">
        <v>0</v>
      </c>
      <c r="I1144" s="139">
        <f t="shared" si="108"/>
        <v>0</v>
      </c>
      <c r="J1144" s="266">
        <f t="shared" si="109"/>
        <v>0</v>
      </c>
      <c r="K1144" s="136">
        <f t="shared" si="104"/>
        <v>0</v>
      </c>
      <c r="L1144" s="136">
        <f t="shared" si="105"/>
        <v>0</v>
      </c>
      <c r="M1144" s="136">
        <f t="shared" si="106"/>
        <v>0</v>
      </c>
      <c r="O1144" s="134"/>
      <c r="P1144" s="259"/>
    </row>
    <row r="1145" spans="1:16">
      <c r="A1145" s="134">
        <v>489</v>
      </c>
      <c r="B1145" s="134" t="s">
        <v>3176</v>
      </c>
      <c r="C1145" s="129" t="s">
        <v>2030</v>
      </c>
      <c r="D1145" s="292">
        <v>257</v>
      </c>
      <c r="E1145" s="292">
        <v>0</v>
      </c>
      <c r="F1145" s="139">
        <f t="shared" si="107"/>
        <v>257</v>
      </c>
      <c r="G1145" s="292">
        <v>143</v>
      </c>
      <c r="H1145" s="292">
        <v>0</v>
      </c>
      <c r="I1145" s="139">
        <f t="shared" si="108"/>
        <v>143</v>
      </c>
      <c r="J1145" s="266">
        <f t="shared" si="109"/>
        <v>0.55640000000000001</v>
      </c>
      <c r="K1145" s="136">
        <f t="shared" si="104"/>
        <v>0</v>
      </c>
      <c r="L1145" s="136">
        <f t="shared" si="105"/>
        <v>15</v>
      </c>
      <c r="M1145" s="136">
        <f t="shared" si="106"/>
        <v>15</v>
      </c>
      <c r="O1145" s="134"/>
      <c r="P1145" s="259"/>
    </row>
    <row r="1146" spans="1:16">
      <c r="A1146" s="134">
        <v>489</v>
      </c>
      <c r="B1146" s="134" t="s">
        <v>3177</v>
      </c>
      <c r="C1146" s="129" t="s">
        <v>2546</v>
      </c>
      <c r="D1146" s="292">
        <v>369</v>
      </c>
      <c r="E1146" s="292">
        <v>0</v>
      </c>
      <c r="F1146" s="139">
        <f t="shared" si="107"/>
        <v>369</v>
      </c>
      <c r="G1146" s="292">
        <v>112</v>
      </c>
      <c r="H1146" s="292">
        <v>0</v>
      </c>
      <c r="I1146" s="139">
        <f t="shared" si="108"/>
        <v>112</v>
      </c>
      <c r="J1146" s="266">
        <f t="shared" si="109"/>
        <v>0.30349999999999999</v>
      </c>
      <c r="K1146" s="136">
        <f t="shared" si="104"/>
        <v>0</v>
      </c>
      <c r="L1146" s="136">
        <f t="shared" si="105"/>
        <v>0</v>
      </c>
      <c r="M1146" s="136">
        <f t="shared" si="106"/>
        <v>0</v>
      </c>
      <c r="O1146" s="134"/>
      <c r="P1146" s="259"/>
    </row>
    <row r="1147" spans="1:16">
      <c r="A1147" s="134">
        <v>489</v>
      </c>
      <c r="B1147" s="134" t="s">
        <v>3178</v>
      </c>
      <c r="C1147" s="129" t="s">
        <v>3179</v>
      </c>
      <c r="D1147" s="292">
        <v>731</v>
      </c>
      <c r="E1147" s="292">
        <v>0</v>
      </c>
      <c r="F1147" s="139">
        <f t="shared" si="107"/>
        <v>731</v>
      </c>
      <c r="G1147" s="292">
        <v>265</v>
      </c>
      <c r="H1147" s="292">
        <v>0</v>
      </c>
      <c r="I1147" s="139">
        <f t="shared" si="108"/>
        <v>265</v>
      </c>
      <c r="J1147" s="266">
        <f t="shared" si="109"/>
        <v>0.36249999999999999</v>
      </c>
      <c r="K1147" s="136">
        <f t="shared" si="104"/>
        <v>2.2999999999999998</v>
      </c>
      <c r="L1147" s="136">
        <f t="shared" si="105"/>
        <v>0</v>
      </c>
      <c r="M1147" s="136">
        <f t="shared" si="106"/>
        <v>2.2999999999999998</v>
      </c>
      <c r="O1147" s="134"/>
      <c r="P1147" s="259"/>
    </row>
    <row r="1148" spans="1:16">
      <c r="A1148" s="134">
        <v>489</v>
      </c>
      <c r="B1148" s="134" t="s">
        <v>3180</v>
      </c>
      <c r="C1148" s="129" t="s">
        <v>3181</v>
      </c>
      <c r="D1148" s="292">
        <v>1013</v>
      </c>
      <c r="E1148" s="292">
        <v>0</v>
      </c>
      <c r="F1148" s="139">
        <f t="shared" si="107"/>
        <v>1013</v>
      </c>
      <c r="G1148" s="292">
        <v>321</v>
      </c>
      <c r="H1148" s="292">
        <v>0</v>
      </c>
      <c r="I1148" s="139">
        <f t="shared" si="108"/>
        <v>321</v>
      </c>
      <c r="J1148" s="266">
        <f t="shared" si="109"/>
        <v>0.31690000000000002</v>
      </c>
      <c r="K1148" s="136">
        <f t="shared" si="104"/>
        <v>0</v>
      </c>
      <c r="L1148" s="136">
        <f t="shared" si="105"/>
        <v>0</v>
      </c>
      <c r="M1148" s="136">
        <f t="shared" si="106"/>
        <v>0</v>
      </c>
      <c r="O1148" s="134"/>
      <c r="P1148" s="259"/>
    </row>
    <row r="1149" spans="1:16">
      <c r="A1149" s="134">
        <v>489</v>
      </c>
      <c r="B1149" s="134" t="s">
        <v>3182</v>
      </c>
      <c r="C1149" s="129" t="s">
        <v>3183</v>
      </c>
      <c r="D1149" s="292">
        <v>396</v>
      </c>
      <c r="E1149" s="292">
        <v>0</v>
      </c>
      <c r="F1149" s="139">
        <f t="shared" si="107"/>
        <v>396</v>
      </c>
      <c r="G1149" s="292">
        <v>129</v>
      </c>
      <c r="H1149" s="292">
        <v>0</v>
      </c>
      <c r="I1149" s="139">
        <f t="shared" si="108"/>
        <v>129</v>
      </c>
      <c r="J1149" s="266">
        <f t="shared" si="109"/>
        <v>0.32579999999999998</v>
      </c>
      <c r="K1149" s="136">
        <f t="shared" si="104"/>
        <v>0</v>
      </c>
      <c r="L1149" s="136">
        <f t="shared" si="105"/>
        <v>0</v>
      </c>
      <c r="M1149" s="136">
        <f t="shared" si="106"/>
        <v>0</v>
      </c>
      <c r="O1149" s="134"/>
      <c r="P1149" s="259"/>
    </row>
    <row r="1150" spans="1:16">
      <c r="A1150" s="134">
        <v>489</v>
      </c>
      <c r="B1150" s="134" t="s">
        <v>3184</v>
      </c>
      <c r="C1150" s="129" t="s">
        <v>2736</v>
      </c>
      <c r="D1150" s="292">
        <v>396</v>
      </c>
      <c r="E1150" s="292">
        <v>0</v>
      </c>
      <c r="F1150" s="139">
        <f t="shared" si="107"/>
        <v>396</v>
      </c>
      <c r="G1150" s="292">
        <v>115</v>
      </c>
      <c r="H1150" s="292">
        <v>0</v>
      </c>
      <c r="I1150" s="139">
        <f t="shared" si="108"/>
        <v>115</v>
      </c>
      <c r="J1150" s="266">
        <f t="shared" si="109"/>
        <v>0.29039999999999999</v>
      </c>
      <c r="K1150" s="136">
        <f t="shared" si="104"/>
        <v>0</v>
      </c>
      <c r="L1150" s="136">
        <f t="shared" si="105"/>
        <v>0</v>
      </c>
      <c r="M1150" s="136">
        <f t="shared" si="106"/>
        <v>0</v>
      </c>
      <c r="O1150" s="134"/>
      <c r="P1150" s="259"/>
    </row>
    <row r="1151" spans="1:16">
      <c r="A1151" s="134">
        <v>490</v>
      </c>
      <c r="B1151" s="134" t="s">
        <v>3185</v>
      </c>
      <c r="C1151" s="129" t="s">
        <v>3095</v>
      </c>
      <c r="D1151" s="292">
        <v>250</v>
      </c>
      <c r="E1151" s="292">
        <v>0</v>
      </c>
      <c r="F1151" s="139">
        <f t="shared" si="107"/>
        <v>250</v>
      </c>
      <c r="G1151" s="292">
        <v>88</v>
      </c>
      <c r="H1151" s="292">
        <v>0</v>
      </c>
      <c r="I1151" s="139">
        <f t="shared" si="108"/>
        <v>88</v>
      </c>
      <c r="J1151" s="266">
        <f t="shared" si="109"/>
        <v>0.35199999999999998</v>
      </c>
      <c r="K1151" s="136">
        <f t="shared" si="104"/>
        <v>0.1</v>
      </c>
      <c r="L1151" s="136">
        <f t="shared" si="105"/>
        <v>0</v>
      </c>
      <c r="M1151" s="136">
        <f t="shared" si="106"/>
        <v>0.1</v>
      </c>
      <c r="O1151" s="134"/>
      <c r="P1151" s="259"/>
    </row>
    <row r="1152" spans="1:16">
      <c r="A1152" s="134">
        <v>490</v>
      </c>
      <c r="B1152" s="134" t="s">
        <v>3186</v>
      </c>
      <c r="C1152" s="129" t="s">
        <v>3187</v>
      </c>
      <c r="D1152" s="292">
        <v>425</v>
      </c>
      <c r="E1152" s="292">
        <v>0</v>
      </c>
      <c r="F1152" s="139">
        <f t="shared" si="107"/>
        <v>425</v>
      </c>
      <c r="G1152" s="292">
        <v>248</v>
      </c>
      <c r="H1152" s="292">
        <v>0</v>
      </c>
      <c r="I1152" s="139">
        <f t="shared" si="108"/>
        <v>248</v>
      </c>
      <c r="J1152" s="266">
        <f t="shared" si="109"/>
        <v>0.58350000000000002</v>
      </c>
      <c r="K1152" s="136">
        <f t="shared" si="104"/>
        <v>0</v>
      </c>
      <c r="L1152" s="136">
        <f t="shared" si="105"/>
        <v>26</v>
      </c>
      <c r="M1152" s="136">
        <f t="shared" si="106"/>
        <v>26</v>
      </c>
      <c r="O1152" s="134"/>
      <c r="P1152" s="259"/>
    </row>
    <row r="1153" spans="1:16">
      <c r="A1153" s="134">
        <v>490</v>
      </c>
      <c r="B1153" s="134" t="s">
        <v>3188</v>
      </c>
      <c r="C1153" s="129" t="s">
        <v>3189</v>
      </c>
      <c r="D1153" s="292">
        <v>510</v>
      </c>
      <c r="E1153" s="292">
        <v>0</v>
      </c>
      <c r="F1153" s="139">
        <f t="shared" si="107"/>
        <v>510</v>
      </c>
      <c r="G1153" s="292">
        <v>250</v>
      </c>
      <c r="H1153" s="292">
        <v>0</v>
      </c>
      <c r="I1153" s="139">
        <f t="shared" si="108"/>
        <v>250</v>
      </c>
      <c r="J1153" s="266">
        <f t="shared" si="109"/>
        <v>0.49020000000000002</v>
      </c>
      <c r="K1153" s="136">
        <f t="shared" si="104"/>
        <v>24.5</v>
      </c>
      <c r="L1153" s="136">
        <f t="shared" si="105"/>
        <v>0</v>
      </c>
      <c r="M1153" s="136">
        <f t="shared" si="106"/>
        <v>24.5</v>
      </c>
      <c r="O1153" s="134"/>
      <c r="P1153" s="259"/>
    </row>
    <row r="1154" spans="1:16">
      <c r="A1154" s="134">
        <v>490</v>
      </c>
      <c r="B1154" s="134" t="s">
        <v>3190</v>
      </c>
      <c r="C1154" s="129" t="s">
        <v>3191</v>
      </c>
      <c r="D1154" s="292">
        <v>237</v>
      </c>
      <c r="E1154" s="292">
        <v>0</v>
      </c>
      <c r="F1154" s="139">
        <f t="shared" si="107"/>
        <v>237</v>
      </c>
      <c r="G1154" s="292">
        <v>176</v>
      </c>
      <c r="H1154" s="292">
        <v>0</v>
      </c>
      <c r="I1154" s="139">
        <f t="shared" si="108"/>
        <v>176</v>
      </c>
      <c r="J1154" s="266">
        <f t="shared" si="109"/>
        <v>0.74260000000000004</v>
      </c>
      <c r="K1154" s="136">
        <f t="shared" si="104"/>
        <v>0</v>
      </c>
      <c r="L1154" s="136">
        <f t="shared" si="105"/>
        <v>18.5</v>
      </c>
      <c r="M1154" s="136">
        <f t="shared" si="106"/>
        <v>18.5</v>
      </c>
      <c r="O1154" s="134"/>
      <c r="P1154" s="259"/>
    </row>
    <row r="1155" spans="1:16">
      <c r="A1155" s="134">
        <v>490</v>
      </c>
      <c r="B1155" s="134" t="s">
        <v>3192</v>
      </c>
      <c r="C1155" s="129" t="s">
        <v>3193</v>
      </c>
      <c r="D1155" s="292">
        <v>329</v>
      </c>
      <c r="E1155" s="292">
        <v>0</v>
      </c>
      <c r="F1155" s="139">
        <f t="shared" si="107"/>
        <v>329</v>
      </c>
      <c r="G1155" s="292">
        <v>258</v>
      </c>
      <c r="H1155" s="292">
        <v>0</v>
      </c>
      <c r="I1155" s="139">
        <f t="shared" si="108"/>
        <v>258</v>
      </c>
      <c r="J1155" s="266">
        <f t="shared" si="109"/>
        <v>0.78420000000000001</v>
      </c>
      <c r="K1155" s="136">
        <f t="shared" si="104"/>
        <v>0</v>
      </c>
      <c r="L1155" s="136">
        <f t="shared" si="105"/>
        <v>27.1</v>
      </c>
      <c r="M1155" s="136">
        <f t="shared" si="106"/>
        <v>27.1</v>
      </c>
      <c r="O1155" s="134"/>
      <c r="P1155" s="259"/>
    </row>
    <row r="1156" spans="1:16">
      <c r="A1156" s="134">
        <v>490</v>
      </c>
      <c r="B1156" s="134" t="s">
        <v>4077</v>
      </c>
      <c r="C1156" s="129" t="s">
        <v>4078</v>
      </c>
      <c r="D1156" s="292">
        <v>0</v>
      </c>
      <c r="E1156" s="292">
        <v>0</v>
      </c>
      <c r="F1156" s="139">
        <f t="shared" si="107"/>
        <v>0</v>
      </c>
      <c r="G1156" s="292">
        <v>0</v>
      </c>
      <c r="H1156" s="292">
        <v>0</v>
      </c>
      <c r="I1156" s="139">
        <f t="shared" si="108"/>
        <v>0</v>
      </c>
      <c r="J1156" s="266">
        <f t="shared" si="109"/>
        <v>0</v>
      </c>
      <c r="K1156" s="136">
        <f t="shared" si="104"/>
        <v>0</v>
      </c>
      <c r="L1156" s="136">
        <f t="shared" si="105"/>
        <v>0</v>
      </c>
      <c r="M1156" s="136">
        <f t="shared" si="106"/>
        <v>0</v>
      </c>
      <c r="O1156" s="134"/>
      <c r="P1156" s="259"/>
    </row>
    <row r="1157" spans="1:16">
      <c r="A1157" s="134">
        <v>491</v>
      </c>
      <c r="B1157" s="134" t="s">
        <v>3194</v>
      </c>
      <c r="C1157" s="129" t="s">
        <v>3195</v>
      </c>
      <c r="D1157" s="292">
        <v>694</v>
      </c>
      <c r="E1157" s="292">
        <v>0</v>
      </c>
      <c r="F1157" s="139">
        <f t="shared" si="107"/>
        <v>694</v>
      </c>
      <c r="G1157" s="292">
        <v>224</v>
      </c>
      <c r="H1157" s="292">
        <v>0</v>
      </c>
      <c r="I1157" s="139">
        <f t="shared" si="108"/>
        <v>224</v>
      </c>
      <c r="J1157" s="266">
        <f t="shared" si="109"/>
        <v>0.32279999999999998</v>
      </c>
      <c r="K1157" s="136">
        <f t="shared" ref="K1157:K1220" si="110">IF(AND((J1157-35%)&gt;0,J1157&lt;50%),I1157*(J1157-35%)*0.7,0)</f>
        <v>0</v>
      </c>
      <c r="L1157" s="136">
        <f t="shared" ref="L1157:L1220" si="111">IF(J1157&gt;=50%,I1157*10.5%,0)</f>
        <v>0</v>
      </c>
      <c r="M1157" s="136">
        <f t="shared" ref="M1157:M1220" si="112">MAX(K1157,L1157)</f>
        <v>0</v>
      </c>
      <c r="O1157" s="134"/>
      <c r="P1157" s="259"/>
    </row>
    <row r="1158" spans="1:16">
      <c r="A1158" s="134">
        <v>491</v>
      </c>
      <c r="B1158" s="134" t="s">
        <v>3196</v>
      </c>
      <c r="C1158" s="129" t="s">
        <v>3197</v>
      </c>
      <c r="D1158" s="292">
        <v>556</v>
      </c>
      <c r="E1158" s="292">
        <v>0</v>
      </c>
      <c r="F1158" s="139">
        <f t="shared" ref="F1158:F1221" si="113">D1158+E1158</f>
        <v>556</v>
      </c>
      <c r="G1158" s="292">
        <v>141</v>
      </c>
      <c r="H1158" s="292">
        <v>0</v>
      </c>
      <c r="I1158" s="139">
        <f t="shared" ref="I1158:I1221" si="114">G1158+H1158</f>
        <v>141</v>
      </c>
      <c r="J1158" s="266">
        <f t="shared" ref="J1158:J1221" si="115">IF(ISERROR(I1158/F1158),0,I1158/F1158)</f>
        <v>0.25359999999999999</v>
      </c>
      <c r="K1158" s="136">
        <f t="shared" si="110"/>
        <v>0</v>
      </c>
      <c r="L1158" s="136">
        <f t="shared" si="111"/>
        <v>0</v>
      </c>
      <c r="M1158" s="136">
        <f t="shared" si="112"/>
        <v>0</v>
      </c>
      <c r="O1158" s="134"/>
      <c r="P1158" s="259"/>
    </row>
    <row r="1159" spans="1:16">
      <c r="A1159" s="134">
        <v>491</v>
      </c>
      <c r="B1159" s="134" t="s">
        <v>3198</v>
      </c>
      <c r="C1159" s="129" t="s">
        <v>3199</v>
      </c>
      <c r="D1159" s="292">
        <v>390</v>
      </c>
      <c r="E1159" s="292">
        <v>0</v>
      </c>
      <c r="F1159" s="139">
        <f t="shared" si="113"/>
        <v>390</v>
      </c>
      <c r="G1159" s="292">
        <v>103</v>
      </c>
      <c r="H1159" s="292">
        <v>0</v>
      </c>
      <c r="I1159" s="139">
        <f t="shared" si="114"/>
        <v>103</v>
      </c>
      <c r="J1159" s="266">
        <f t="shared" si="115"/>
        <v>0.2641</v>
      </c>
      <c r="K1159" s="136">
        <f t="shared" si="110"/>
        <v>0</v>
      </c>
      <c r="L1159" s="136">
        <f t="shared" si="111"/>
        <v>0</v>
      </c>
      <c r="M1159" s="136">
        <f t="shared" si="112"/>
        <v>0</v>
      </c>
      <c r="O1159" s="134"/>
      <c r="P1159" s="259"/>
    </row>
    <row r="1160" spans="1:16">
      <c r="A1160" s="134">
        <v>491</v>
      </c>
      <c r="B1160" s="134" t="s">
        <v>4079</v>
      </c>
      <c r="C1160" s="129" t="s">
        <v>4080</v>
      </c>
      <c r="D1160" s="292">
        <v>3</v>
      </c>
      <c r="E1160" s="292">
        <v>0</v>
      </c>
      <c r="F1160" s="139">
        <f t="shared" si="113"/>
        <v>3</v>
      </c>
      <c r="G1160" s="292">
        <v>0</v>
      </c>
      <c r="H1160" s="292">
        <v>0</v>
      </c>
      <c r="I1160" s="139">
        <f t="shared" si="114"/>
        <v>0</v>
      </c>
      <c r="J1160" s="266">
        <f t="shared" si="115"/>
        <v>0</v>
      </c>
      <c r="K1160" s="136">
        <f t="shared" si="110"/>
        <v>0</v>
      </c>
      <c r="L1160" s="136">
        <f t="shared" si="111"/>
        <v>0</v>
      </c>
      <c r="M1160" s="136">
        <f t="shared" si="112"/>
        <v>0</v>
      </c>
      <c r="O1160" s="134"/>
      <c r="P1160" s="259"/>
    </row>
    <row r="1161" spans="1:16">
      <c r="A1161" s="134">
        <v>492</v>
      </c>
      <c r="B1161" s="134" t="s">
        <v>3200</v>
      </c>
      <c r="C1161" s="129" t="s">
        <v>3201</v>
      </c>
      <c r="D1161" s="292">
        <v>60</v>
      </c>
      <c r="E1161" s="292">
        <v>0</v>
      </c>
      <c r="F1161" s="139">
        <f t="shared" si="113"/>
        <v>60</v>
      </c>
      <c r="G1161" s="292">
        <v>28</v>
      </c>
      <c r="H1161" s="292">
        <v>0</v>
      </c>
      <c r="I1161" s="139">
        <f t="shared" si="114"/>
        <v>28</v>
      </c>
      <c r="J1161" s="266">
        <f t="shared" si="115"/>
        <v>0.4667</v>
      </c>
      <c r="K1161" s="136">
        <f t="shared" si="110"/>
        <v>2.2999999999999998</v>
      </c>
      <c r="L1161" s="136">
        <f t="shared" si="111"/>
        <v>0</v>
      </c>
      <c r="M1161" s="136">
        <f t="shared" si="112"/>
        <v>2.2999999999999998</v>
      </c>
      <c r="O1161" s="134"/>
      <c r="P1161" s="259"/>
    </row>
    <row r="1162" spans="1:16">
      <c r="A1162" s="134">
        <v>492</v>
      </c>
      <c r="B1162" s="134" t="s">
        <v>3202</v>
      </c>
      <c r="C1162" s="129" t="s">
        <v>3203</v>
      </c>
      <c r="D1162" s="292">
        <v>49</v>
      </c>
      <c r="E1162" s="292">
        <v>0</v>
      </c>
      <c r="F1162" s="139">
        <f t="shared" si="113"/>
        <v>49</v>
      </c>
      <c r="G1162" s="292">
        <v>14</v>
      </c>
      <c r="H1162" s="292">
        <v>0</v>
      </c>
      <c r="I1162" s="139">
        <f t="shared" si="114"/>
        <v>14</v>
      </c>
      <c r="J1162" s="266">
        <f t="shared" si="115"/>
        <v>0.28570000000000001</v>
      </c>
      <c r="K1162" s="136">
        <f t="shared" si="110"/>
        <v>0</v>
      </c>
      <c r="L1162" s="136">
        <f t="shared" si="111"/>
        <v>0</v>
      </c>
      <c r="M1162" s="136">
        <f t="shared" si="112"/>
        <v>0</v>
      </c>
      <c r="O1162" s="134"/>
      <c r="P1162" s="259"/>
    </row>
    <row r="1163" spans="1:16">
      <c r="A1163" s="134">
        <v>492</v>
      </c>
      <c r="B1163" s="134" t="s">
        <v>3204</v>
      </c>
      <c r="C1163" s="129" t="s">
        <v>3205</v>
      </c>
      <c r="D1163" s="292">
        <v>65</v>
      </c>
      <c r="E1163" s="292">
        <v>0</v>
      </c>
      <c r="F1163" s="139">
        <f t="shared" si="113"/>
        <v>65</v>
      </c>
      <c r="G1163" s="292">
        <v>38</v>
      </c>
      <c r="H1163" s="292">
        <v>0</v>
      </c>
      <c r="I1163" s="139">
        <f t="shared" si="114"/>
        <v>38</v>
      </c>
      <c r="J1163" s="266">
        <f t="shared" si="115"/>
        <v>0.58460000000000001</v>
      </c>
      <c r="K1163" s="136">
        <f t="shared" si="110"/>
        <v>0</v>
      </c>
      <c r="L1163" s="136">
        <f t="shared" si="111"/>
        <v>4</v>
      </c>
      <c r="M1163" s="136">
        <f t="shared" si="112"/>
        <v>4</v>
      </c>
      <c r="O1163" s="134"/>
      <c r="P1163" s="259"/>
    </row>
    <row r="1164" spans="1:16">
      <c r="A1164" s="134">
        <v>492</v>
      </c>
      <c r="B1164" s="134" t="s">
        <v>3206</v>
      </c>
      <c r="C1164" s="129" t="s">
        <v>3207</v>
      </c>
      <c r="D1164" s="292">
        <v>92</v>
      </c>
      <c r="E1164" s="292">
        <v>0</v>
      </c>
      <c r="F1164" s="139">
        <f t="shared" si="113"/>
        <v>92</v>
      </c>
      <c r="G1164" s="292">
        <v>36</v>
      </c>
      <c r="H1164" s="292">
        <v>0</v>
      </c>
      <c r="I1164" s="139">
        <f t="shared" si="114"/>
        <v>36</v>
      </c>
      <c r="J1164" s="266">
        <f t="shared" si="115"/>
        <v>0.39129999999999998</v>
      </c>
      <c r="K1164" s="136">
        <f t="shared" si="110"/>
        <v>1</v>
      </c>
      <c r="L1164" s="136">
        <f t="shared" si="111"/>
        <v>0</v>
      </c>
      <c r="M1164" s="136">
        <f t="shared" si="112"/>
        <v>1</v>
      </c>
      <c r="O1164" s="134"/>
      <c r="P1164" s="259"/>
    </row>
    <row r="1165" spans="1:16">
      <c r="A1165" s="134">
        <v>493</v>
      </c>
      <c r="B1165" s="134" t="s">
        <v>3208</v>
      </c>
      <c r="C1165" s="129" t="s">
        <v>3209</v>
      </c>
      <c r="D1165" s="292">
        <v>136</v>
      </c>
      <c r="E1165" s="292">
        <v>0</v>
      </c>
      <c r="F1165" s="139">
        <f t="shared" si="113"/>
        <v>136</v>
      </c>
      <c r="G1165" s="292">
        <v>78</v>
      </c>
      <c r="H1165" s="292">
        <v>0</v>
      </c>
      <c r="I1165" s="139">
        <f t="shared" si="114"/>
        <v>78</v>
      </c>
      <c r="J1165" s="266">
        <f t="shared" si="115"/>
        <v>0.57350000000000001</v>
      </c>
      <c r="K1165" s="136">
        <f t="shared" si="110"/>
        <v>0</v>
      </c>
      <c r="L1165" s="136">
        <f t="shared" si="111"/>
        <v>8.1999999999999993</v>
      </c>
      <c r="M1165" s="136">
        <f t="shared" si="112"/>
        <v>8.1999999999999993</v>
      </c>
      <c r="O1165" s="134"/>
      <c r="P1165" s="259"/>
    </row>
    <row r="1166" spans="1:16">
      <c r="A1166" s="134">
        <v>493</v>
      </c>
      <c r="B1166" s="134" t="s">
        <v>3210</v>
      </c>
      <c r="C1166" s="129" t="s">
        <v>2776</v>
      </c>
      <c r="D1166" s="292">
        <v>204</v>
      </c>
      <c r="E1166" s="292">
        <v>0</v>
      </c>
      <c r="F1166" s="139">
        <f t="shared" si="113"/>
        <v>204</v>
      </c>
      <c r="G1166" s="292">
        <v>111</v>
      </c>
      <c r="H1166" s="292">
        <v>0</v>
      </c>
      <c r="I1166" s="139">
        <f t="shared" si="114"/>
        <v>111</v>
      </c>
      <c r="J1166" s="266">
        <f t="shared" si="115"/>
        <v>0.54410000000000003</v>
      </c>
      <c r="K1166" s="136">
        <f t="shared" si="110"/>
        <v>0</v>
      </c>
      <c r="L1166" s="136">
        <f t="shared" si="111"/>
        <v>11.7</v>
      </c>
      <c r="M1166" s="136">
        <f t="shared" si="112"/>
        <v>11.7</v>
      </c>
      <c r="O1166" s="134"/>
      <c r="P1166" s="259"/>
    </row>
    <row r="1167" spans="1:16">
      <c r="A1167" s="134">
        <v>493</v>
      </c>
      <c r="B1167" s="134" t="s">
        <v>3211</v>
      </c>
      <c r="C1167" s="129" t="s">
        <v>1417</v>
      </c>
      <c r="D1167" s="292">
        <v>208</v>
      </c>
      <c r="E1167" s="292">
        <v>0</v>
      </c>
      <c r="F1167" s="139">
        <f t="shared" si="113"/>
        <v>208</v>
      </c>
      <c r="G1167" s="292">
        <v>107</v>
      </c>
      <c r="H1167" s="292">
        <v>0</v>
      </c>
      <c r="I1167" s="139">
        <f t="shared" si="114"/>
        <v>107</v>
      </c>
      <c r="J1167" s="266">
        <f t="shared" si="115"/>
        <v>0.51439999999999997</v>
      </c>
      <c r="K1167" s="136">
        <f t="shared" si="110"/>
        <v>0</v>
      </c>
      <c r="L1167" s="136">
        <f t="shared" si="111"/>
        <v>11.2</v>
      </c>
      <c r="M1167" s="136">
        <f t="shared" si="112"/>
        <v>11.2</v>
      </c>
      <c r="O1167" s="134"/>
      <c r="P1167" s="259"/>
    </row>
    <row r="1168" spans="1:16">
      <c r="A1168" s="134">
        <v>493</v>
      </c>
      <c r="B1168" s="134" t="s">
        <v>3212</v>
      </c>
      <c r="C1168" s="129" t="s">
        <v>3213</v>
      </c>
      <c r="D1168" s="292">
        <v>428</v>
      </c>
      <c r="E1168" s="292">
        <v>0</v>
      </c>
      <c r="F1168" s="139">
        <f t="shared" si="113"/>
        <v>428</v>
      </c>
      <c r="G1168" s="292">
        <v>206</v>
      </c>
      <c r="H1168" s="292">
        <v>0</v>
      </c>
      <c r="I1168" s="139">
        <f t="shared" si="114"/>
        <v>206</v>
      </c>
      <c r="J1168" s="266">
        <f t="shared" si="115"/>
        <v>0.48130000000000001</v>
      </c>
      <c r="K1168" s="136">
        <f t="shared" si="110"/>
        <v>18.899999999999999</v>
      </c>
      <c r="L1168" s="136">
        <f t="shared" si="111"/>
        <v>0</v>
      </c>
      <c r="M1168" s="136">
        <f t="shared" si="112"/>
        <v>18.899999999999999</v>
      </c>
      <c r="O1168" s="134"/>
      <c r="P1168" s="259"/>
    </row>
    <row r="1169" spans="1:16">
      <c r="A1169" s="134">
        <v>494</v>
      </c>
      <c r="B1169" s="134" t="s">
        <v>3214</v>
      </c>
      <c r="C1169" s="129" t="s">
        <v>3215</v>
      </c>
      <c r="D1169" s="292">
        <v>304</v>
      </c>
      <c r="E1169" s="292">
        <v>0</v>
      </c>
      <c r="F1169" s="139">
        <f t="shared" si="113"/>
        <v>304</v>
      </c>
      <c r="G1169" s="292">
        <v>214</v>
      </c>
      <c r="H1169" s="292">
        <v>0</v>
      </c>
      <c r="I1169" s="139">
        <f t="shared" si="114"/>
        <v>214</v>
      </c>
      <c r="J1169" s="266">
        <f t="shared" si="115"/>
        <v>0.70389999999999997</v>
      </c>
      <c r="K1169" s="136">
        <f t="shared" si="110"/>
        <v>0</v>
      </c>
      <c r="L1169" s="136">
        <f t="shared" si="111"/>
        <v>22.5</v>
      </c>
      <c r="M1169" s="136">
        <f t="shared" si="112"/>
        <v>22.5</v>
      </c>
      <c r="O1169" s="134"/>
      <c r="P1169" s="259"/>
    </row>
    <row r="1170" spans="1:16">
      <c r="A1170" s="134">
        <v>494</v>
      </c>
      <c r="B1170" s="134" t="s">
        <v>3216</v>
      </c>
      <c r="C1170" s="129" t="s">
        <v>3217</v>
      </c>
      <c r="D1170" s="292">
        <v>222</v>
      </c>
      <c r="E1170" s="292">
        <v>0</v>
      </c>
      <c r="F1170" s="139">
        <f t="shared" si="113"/>
        <v>222</v>
      </c>
      <c r="G1170" s="292">
        <v>118</v>
      </c>
      <c r="H1170" s="292">
        <v>0</v>
      </c>
      <c r="I1170" s="139">
        <f t="shared" si="114"/>
        <v>118</v>
      </c>
      <c r="J1170" s="266">
        <f t="shared" si="115"/>
        <v>0.53149999999999997</v>
      </c>
      <c r="K1170" s="136">
        <f t="shared" si="110"/>
        <v>0</v>
      </c>
      <c r="L1170" s="136">
        <f t="shared" si="111"/>
        <v>12.4</v>
      </c>
      <c r="M1170" s="136">
        <f t="shared" si="112"/>
        <v>12.4</v>
      </c>
      <c r="O1170" s="134"/>
      <c r="P1170" s="259"/>
    </row>
    <row r="1171" spans="1:16">
      <c r="A1171" s="134">
        <v>495</v>
      </c>
      <c r="B1171" s="134" t="s">
        <v>3218</v>
      </c>
      <c r="C1171" s="129" t="s">
        <v>3219</v>
      </c>
      <c r="D1171" s="292">
        <v>432</v>
      </c>
      <c r="E1171" s="292">
        <v>0</v>
      </c>
      <c r="F1171" s="139">
        <f t="shared" si="113"/>
        <v>432</v>
      </c>
      <c r="G1171" s="292">
        <v>229</v>
      </c>
      <c r="H1171" s="292">
        <v>0</v>
      </c>
      <c r="I1171" s="139">
        <f t="shared" si="114"/>
        <v>229</v>
      </c>
      <c r="J1171" s="266">
        <f t="shared" si="115"/>
        <v>0.53010000000000002</v>
      </c>
      <c r="K1171" s="136">
        <f t="shared" si="110"/>
        <v>0</v>
      </c>
      <c r="L1171" s="136">
        <f t="shared" si="111"/>
        <v>24</v>
      </c>
      <c r="M1171" s="136">
        <f t="shared" si="112"/>
        <v>24</v>
      </c>
      <c r="O1171" s="134"/>
      <c r="P1171" s="259"/>
    </row>
    <row r="1172" spans="1:16">
      <c r="A1172" s="134">
        <v>495</v>
      </c>
      <c r="B1172" s="134" t="s">
        <v>3220</v>
      </c>
      <c r="C1172" s="129" t="s">
        <v>3221</v>
      </c>
      <c r="D1172" s="292">
        <v>195</v>
      </c>
      <c r="E1172" s="292">
        <v>0</v>
      </c>
      <c r="F1172" s="139">
        <f t="shared" si="113"/>
        <v>195</v>
      </c>
      <c r="G1172" s="292">
        <v>87</v>
      </c>
      <c r="H1172" s="292">
        <v>0</v>
      </c>
      <c r="I1172" s="139">
        <f t="shared" si="114"/>
        <v>87</v>
      </c>
      <c r="J1172" s="266">
        <f t="shared" si="115"/>
        <v>0.44619999999999999</v>
      </c>
      <c r="K1172" s="136">
        <f t="shared" si="110"/>
        <v>5.9</v>
      </c>
      <c r="L1172" s="136">
        <f t="shared" si="111"/>
        <v>0</v>
      </c>
      <c r="M1172" s="136">
        <f t="shared" si="112"/>
        <v>5.9</v>
      </c>
      <c r="O1172" s="134"/>
      <c r="P1172" s="259"/>
    </row>
    <row r="1173" spans="1:16">
      <c r="A1173" s="134">
        <v>495</v>
      </c>
      <c r="B1173" s="134" t="s">
        <v>3222</v>
      </c>
      <c r="C1173" s="129" t="s">
        <v>3223</v>
      </c>
      <c r="D1173" s="292">
        <v>228</v>
      </c>
      <c r="E1173" s="292">
        <v>0</v>
      </c>
      <c r="F1173" s="139">
        <f t="shared" si="113"/>
        <v>228</v>
      </c>
      <c r="G1173" s="292">
        <v>83</v>
      </c>
      <c r="H1173" s="292">
        <v>0</v>
      </c>
      <c r="I1173" s="139">
        <f t="shared" si="114"/>
        <v>83</v>
      </c>
      <c r="J1173" s="266">
        <f t="shared" si="115"/>
        <v>0.36399999999999999</v>
      </c>
      <c r="K1173" s="136">
        <f t="shared" si="110"/>
        <v>0.8</v>
      </c>
      <c r="L1173" s="136">
        <f t="shared" si="111"/>
        <v>0</v>
      </c>
      <c r="M1173" s="136">
        <f t="shared" si="112"/>
        <v>0.8</v>
      </c>
      <c r="O1173" s="134"/>
      <c r="P1173" s="259"/>
    </row>
    <row r="1174" spans="1:16">
      <c r="A1174" s="134">
        <v>496</v>
      </c>
      <c r="B1174" s="134" t="s">
        <v>3224</v>
      </c>
      <c r="C1174" s="129" t="s">
        <v>3225</v>
      </c>
      <c r="D1174" s="292">
        <v>95</v>
      </c>
      <c r="E1174" s="292">
        <v>0</v>
      </c>
      <c r="F1174" s="139">
        <f t="shared" si="113"/>
        <v>95</v>
      </c>
      <c r="G1174" s="292">
        <v>37</v>
      </c>
      <c r="H1174" s="292">
        <v>0</v>
      </c>
      <c r="I1174" s="139">
        <f t="shared" si="114"/>
        <v>37</v>
      </c>
      <c r="J1174" s="266">
        <f t="shared" si="115"/>
        <v>0.38950000000000001</v>
      </c>
      <c r="K1174" s="136">
        <f t="shared" si="110"/>
        <v>1</v>
      </c>
      <c r="L1174" s="136">
        <f t="shared" si="111"/>
        <v>0</v>
      </c>
      <c r="M1174" s="136">
        <f t="shared" si="112"/>
        <v>1</v>
      </c>
      <c r="O1174" s="134"/>
      <c r="P1174" s="259"/>
    </row>
    <row r="1175" spans="1:16">
      <c r="A1175" s="134">
        <v>496</v>
      </c>
      <c r="B1175" s="134" t="s">
        <v>3226</v>
      </c>
      <c r="C1175" s="129" t="s">
        <v>3227</v>
      </c>
      <c r="D1175" s="292">
        <v>29</v>
      </c>
      <c r="E1175" s="292">
        <v>0</v>
      </c>
      <c r="F1175" s="139">
        <f t="shared" si="113"/>
        <v>29</v>
      </c>
      <c r="G1175" s="292">
        <v>7</v>
      </c>
      <c r="H1175" s="292">
        <v>0</v>
      </c>
      <c r="I1175" s="139">
        <f t="shared" si="114"/>
        <v>7</v>
      </c>
      <c r="J1175" s="266">
        <f t="shared" si="115"/>
        <v>0.2414</v>
      </c>
      <c r="K1175" s="136">
        <f t="shared" si="110"/>
        <v>0</v>
      </c>
      <c r="L1175" s="136">
        <f t="shared" si="111"/>
        <v>0</v>
      </c>
      <c r="M1175" s="136">
        <f t="shared" si="112"/>
        <v>0</v>
      </c>
      <c r="O1175" s="134"/>
      <c r="P1175" s="259"/>
    </row>
    <row r="1176" spans="1:16">
      <c r="A1176" s="134">
        <v>497</v>
      </c>
      <c r="B1176" s="134" t="s">
        <v>4081</v>
      </c>
      <c r="C1176" s="129" t="s">
        <v>4082</v>
      </c>
      <c r="D1176" s="292">
        <v>0</v>
      </c>
      <c r="E1176" s="292">
        <v>0</v>
      </c>
      <c r="F1176" s="139">
        <f t="shared" si="113"/>
        <v>0</v>
      </c>
      <c r="G1176" s="292">
        <v>0</v>
      </c>
      <c r="H1176" s="292">
        <v>0</v>
      </c>
      <c r="I1176" s="139">
        <f t="shared" si="114"/>
        <v>0</v>
      </c>
      <c r="J1176" s="266">
        <f t="shared" si="115"/>
        <v>0</v>
      </c>
      <c r="K1176" s="136">
        <f t="shared" si="110"/>
        <v>0</v>
      </c>
      <c r="L1176" s="136">
        <f t="shared" si="111"/>
        <v>0</v>
      </c>
      <c r="M1176" s="136">
        <f t="shared" si="112"/>
        <v>0</v>
      </c>
      <c r="O1176" s="134"/>
      <c r="P1176" s="259"/>
    </row>
    <row r="1177" spans="1:16">
      <c r="A1177" s="134">
        <v>497</v>
      </c>
      <c r="B1177" s="134" t="s">
        <v>3228</v>
      </c>
      <c r="C1177" s="129" t="s">
        <v>1369</v>
      </c>
      <c r="D1177" s="292">
        <v>452</v>
      </c>
      <c r="E1177" s="292">
        <v>0</v>
      </c>
      <c r="F1177" s="139">
        <f t="shared" si="113"/>
        <v>452</v>
      </c>
      <c r="G1177" s="292">
        <v>175</v>
      </c>
      <c r="H1177" s="292">
        <v>0</v>
      </c>
      <c r="I1177" s="139">
        <f t="shared" si="114"/>
        <v>175</v>
      </c>
      <c r="J1177" s="266">
        <f t="shared" si="115"/>
        <v>0.38719999999999999</v>
      </c>
      <c r="K1177" s="136">
        <f t="shared" si="110"/>
        <v>4.5999999999999996</v>
      </c>
      <c r="L1177" s="136">
        <f t="shared" si="111"/>
        <v>0</v>
      </c>
      <c r="M1177" s="136">
        <f t="shared" si="112"/>
        <v>4.5999999999999996</v>
      </c>
      <c r="O1177" s="134"/>
      <c r="P1177" s="259"/>
    </row>
    <row r="1178" spans="1:16">
      <c r="A1178" s="134">
        <v>497</v>
      </c>
      <c r="B1178" s="134" t="s">
        <v>3229</v>
      </c>
      <c r="C1178" s="129" t="s">
        <v>3230</v>
      </c>
      <c r="D1178" s="292">
        <v>384</v>
      </c>
      <c r="E1178" s="292">
        <v>0</v>
      </c>
      <c r="F1178" s="139">
        <f t="shared" si="113"/>
        <v>384</v>
      </c>
      <c r="G1178" s="292">
        <v>166</v>
      </c>
      <c r="H1178" s="292">
        <v>0</v>
      </c>
      <c r="I1178" s="139">
        <f t="shared" si="114"/>
        <v>166</v>
      </c>
      <c r="J1178" s="266">
        <f t="shared" si="115"/>
        <v>0.43230000000000002</v>
      </c>
      <c r="K1178" s="136">
        <f t="shared" si="110"/>
        <v>9.6</v>
      </c>
      <c r="L1178" s="136">
        <f t="shared" si="111"/>
        <v>0</v>
      </c>
      <c r="M1178" s="136">
        <f t="shared" si="112"/>
        <v>9.6</v>
      </c>
      <c r="O1178" s="134"/>
      <c r="P1178" s="259"/>
    </row>
    <row r="1179" spans="1:16">
      <c r="A1179" s="134">
        <v>497</v>
      </c>
      <c r="B1179" s="134" t="s">
        <v>3231</v>
      </c>
      <c r="C1179" s="129" t="s">
        <v>3232</v>
      </c>
      <c r="D1179" s="292">
        <v>333</v>
      </c>
      <c r="E1179" s="292">
        <v>0</v>
      </c>
      <c r="F1179" s="139">
        <f t="shared" si="113"/>
        <v>333</v>
      </c>
      <c r="G1179" s="292">
        <v>159</v>
      </c>
      <c r="H1179" s="292">
        <v>0</v>
      </c>
      <c r="I1179" s="139">
        <f t="shared" si="114"/>
        <v>159</v>
      </c>
      <c r="J1179" s="266">
        <f t="shared" si="115"/>
        <v>0.47749999999999998</v>
      </c>
      <c r="K1179" s="136">
        <f t="shared" si="110"/>
        <v>14.2</v>
      </c>
      <c r="L1179" s="136">
        <f t="shared" si="111"/>
        <v>0</v>
      </c>
      <c r="M1179" s="136">
        <f t="shared" si="112"/>
        <v>14.2</v>
      </c>
      <c r="O1179" s="134"/>
      <c r="P1179" s="259"/>
    </row>
    <row r="1180" spans="1:16">
      <c r="A1180" s="134">
        <v>497</v>
      </c>
      <c r="B1180" s="134" t="s">
        <v>3233</v>
      </c>
      <c r="C1180" s="129" t="s">
        <v>1219</v>
      </c>
      <c r="D1180" s="292">
        <v>469</v>
      </c>
      <c r="E1180" s="292">
        <v>0</v>
      </c>
      <c r="F1180" s="139">
        <f t="shared" si="113"/>
        <v>469</v>
      </c>
      <c r="G1180" s="292">
        <v>119</v>
      </c>
      <c r="H1180" s="292">
        <v>0</v>
      </c>
      <c r="I1180" s="139">
        <f t="shared" si="114"/>
        <v>119</v>
      </c>
      <c r="J1180" s="266">
        <f t="shared" si="115"/>
        <v>0.25369999999999998</v>
      </c>
      <c r="K1180" s="136">
        <f t="shared" si="110"/>
        <v>0</v>
      </c>
      <c r="L1180" s="136">
        <f t="shared" si="111"/>
        <v>0</v>
      </c>
      <c r="M1180" s="136">
        <f t="shared" si="112"/>
        <v>0</v>
      </c>
      <c r="O1180" s="134"/>
      <c r="P1180" s="259"/>
    </row>
    <row r="1181" spans="1:16">
      <c r="A1181" s="134">
        <v>497</v>
      </c>
      <c r="B1181" s="134" t="s">
        <v>3234</v>
      </c>
      <c r="C1181" s="129" t="s">
        <v>3235</v>
      </c>
      <c r="D1181" s="292">
        <v>415</v>
      </c>
      <c r="E1181" s="292">
        <v>0</v>
      </c>
      <c r="F1181" s="139">
        <f t="shared" si="113"/>
        <v>415</v>
      </c>
      <c r="G1181" s="292">
        <v>221</v>
      </c>
      <c r="H1181" s="292">
        <v>0</v>
      </c>
      <c r="I1181" s="139">
        <f t="shared" si="114"/>
        <v>221</v>
      </c>
      <c r="J1181" s="266">
        <f t="shared" si="115"/>
        <v>0.53249999999999997</v>
      </c>
      <c r="K1181" s="136">
        <f t="shared" si="110"/>
        <v>0</v>
      </c>
      <c r="L1181" s="136">
        <f t="shared" si="111"/>
        <v>23.2</v>
      </c>
      <c r="M1181" s="136">
        <f t="shared" si="112"/>
        <v>23.2</v>
      </c>
      <c r="O1181" s="134"/>
      <c r="P1181" s="259"/>
    </row>
    <row r="1182" spans="1:16">
      <c r="A1182" s="134">
        <v>497</v>
      </c>
      <c r="B1182" s="134" t="s">
        <v>3236</v>
      </c>
      <c r="C1182" s="129" t="s">
        <v>3237</v>
      </c>
      <c r="D1182" s="292">
        <v>416</v>
      </c>
      <c r="E1182" s="292">
        <v>0</v>
      </c>
      <c r="F1182" s="139">
        <f t="shared" si="113"/>
        <v>416</v>
      </c>
      <c r="G1182" s="292">
        <v>96</v>
      </c>
      <c r="H1182" s="292">
        <v>0</v>
      </c>
      <c r="I1182" s="139">
        <f t="shared" si="114"/>
        <v>96</v>
      </c>
      <c r="J1182" s="266">
        <f t="shared" si="115"/>
        <v>0.23080000000000001</v>
      </c>
      <c r="K1182" s="136">
        <f t="shared" si="110"/>
        <v>0</v>
      </c>
      <c r="L1182" s="136">
        <f t="shared" si="111"/>
        <v>0</v>
      </c>
      <c r="M1182" s="136">
        <f t="shared" si="112"/>
        <v>0</v>
      </c>
      <c r="O1182" s="134"/>
      <c r="P1182" s="259"/>
    </row>
    <row r="1183" spans="1:16">
      <c r="A1183" s="134">
        <v>497</v>
      </c>
      <c r="B1183" s="134" t="s">
        <v>3238</v>
      </c>
      <c r="C1183" s="129" t="s">
        <v>3239</v>
      </c>
      <c r="D1183" s="292">
        <v>370</v>
      </c>
      <c r="E1183" s="292">
        <v>0</v>
      </c>
      <c r="F1183" s="139">
        <f t="shared" si="113"/>
        <v>370</v>
      </c>
      <c r="G1183" s="292">
        <v>190</v>
      </c>
      <c r="H1183" s="292">
        <v>0</v>
      </c>
      <c r="I1183" s="139">
        <f t="shared" si="114"/>
        <v>190</v>
      </c>
      <c r="J1183" s="266">
        <f t="shared" si="115"/>
        <v>0.51349999999999996</v>
      </c>
      <c r="K1183" s="136">
        <f t="shared" si="110"/>
        <v>0</v>
      </c>
      <c r="L1183" s="136">
        <f t="shared" si="111"/>
        <v>20</v>
      </c>
      <c r="M1183" s="136">
        <f t="shared" si="112"/>
        <v>20</v>
      </c>
      <c r="O1183" s="134"/>
      <c r="P1183" s="259"/>
    </row>
    <row r="1184" spans="1:16">
      <c r="A1184" s="134">
        <v>497</v>
      </c>
      <c r="B1184" s="134" t="s">
        <v>3240</v>
      </c>
      <c r="C1184" s="129" t="s">
        <v>3241</v>
      </c>
      <c r="D1184" s="292">
        <v>408</v>
      </c>
      <c r="E1184" s="292">
        <v>0</v>
      </c>
      <c r="F1184" s="139">
        <f t="shared" si="113"/>
        <v>408</v>
      </c>
      <c r="G1184" s="292">
        <v>222</v>
      </c>
      <c r="H1184" s="292">
        <v>0</v>
      </c>
      <c r="I1184" s="139">
        <f t="shared" si="114"/>
        <v>222</v>
      </c>
      <c r="J1184" s="266">
        <f t="shared" si="115"/>
        <v>0.54410000000000003</v>
      </c>
      <c r="K1184" s="136">
        <f t="shared" si="110"/>
        <v>0</v>
      </c>
      <c r="L1184" s="136">
        <f t="shared" si="111"/>
        <v>23.3</v>
      </c>
      <c r="M1184" s="136">
        <f t="shared" si="112"/>
        <v>23.3</v>
      </c>
      <c r="O1184" s="134"/>
      <c r="P1184" s="259"/>
    </row>
    <row r="1185" spans="1:16">
      <c r="A1185" s="134">
        <v>497</v>
      </c>
      <c r="B1185" s="134" t="s">
        <v>3242</v>
      </c>
      <c r="C1185" s="129" t="s">
        <v>3243</v>
      </c>
      <c r="D1185" s="292">
        <v>398</v>
      </c>
      <c r="E1185" s="292">
        <v>0</v>
      </c>
      <c r="F1185" s="139">
        <f t="shared" si="113"/>
        <v>398</v>
      </c>
      <c r="G1185" s="292">
        <v>179</v>
      </c>
      <c r="H1185" s="292">
        <v>0</v>
      </c>
      <c r="I1185" s="139">
        <f t="shared" si="114"/>
        <v>179</v>
      </c>
      <c r="J1185" s="266">
        <f t="shared" si="115"/>
        <v>0.44969999999999999</v>
      </c>
      <c r="K1185" s="136">
        <f t="shared" si="110"/>
        <v>12.5</v>
      </c>
      <c r="L1185" s="136">
        <f t="shared" si="111"/>
        <v>0</v>
      </c>
      <c r="M1185" s="136">
        <f t="shared" si="112"/>
        <v>12.5</v>
      </c>
      <c r="O1185" s="134"/>
      <c r="P1185" s="259"/>
    </row>
    <row r="1186" spans="1:16">
      <c r="A1186" s="134">
        <v>497</v>
      </c>
      <c r="B1186" s="134" t="s">
        <v>3244</v>
      </c>
      <c r="C1186" s="129" t="s">
        <v>3245</v>
      </c>
      <c r="D1186" s="292">
        <v>238</v>
      </c>
      <c r="E1186" s="292">
        <v>0</v>
      </c>
      <c r="F1186" s="139">
        <f t="shared" si="113"/>
        <v>238</v>
      </c>
      <c r="G1186" s="292">
        <v>120</v>
      </c>
      <c r="H1186" s="292">
        <v>0</v>
      </c>
      <c r="I1186" s="139">
        <f t="shared" si="114"/>
        <v>120</v>
      </c>
      <c r="J1186" s="266">
        <f t="shared" si="115"/>
        <v>0.50419999999999998</v>
      </c>
      <c r="K1186" s="136">
        <f t="shared" si="110"/>
        <v>0</v>
      </c>
      <c r="L1186" s="136">
        <f t="shared" si="111"/>
        <v>12.6</v>
      </c>
      <c r="M1186" s="136">
        <f t="shared" si="112"/>
        <v>12.6</v>
      </c>
      <c r="O1186" s="134"/>
      <c r="P1186" s="259"/>
    </row>
    <row r="1187" spans="1:16">
      <c r="A1187" s="134">
        <v>497</v>
      </c>
      <c r="B1187" s="134" t="s">
        <v>3246</v>
      </c>
      <c r="C1187" s="129" t="s">
        <v>3247</v>
      </c>
      <c r="D1187" s="292">
        <v>544</v>
      </c>
      <c r="E1187" s="292">
        <v>0</v>
      </c>
      <c r="F1187" s="139">
        <f t="shared" si="113"/>
        <v>544</v>
      </c>
      <c r="G1187" s="292">
        <v>65</v>
      </c>
      <c r="H1187" s="292">
        <v>0</v>
      </c>
      <c r="I1187" s="139">
        <f t="shared" si="114"/>
        <v>65</v>
      </c>
      <c r="J1187" s="266">
        <f t="shared" si="115"/>
        <v>0.1195</v>
      </c>
      <c r="K1187" s="136">
        <f t="shared" si="110"/>
        <v>0</v>
      </c>
      <c r="L1187" s="136">
        <f t="shared" si="111"/>
        <v>0</v>
      </c>
      <c r="M1187" s="136">
        <f t="shared" si="112"/>
        <v>0</v>
      </c>
      <c r="O1187" s="134"/>
      <c r="P1187" s="259"/>
    </row>
    <row r="1188" spans="1:16">
      <c r="A1188" s="134">
        <v>497</v>
      </c>
      <c r="B1188" s="134" t="s">
        <v>3248</v>
      </c>
      <c r="C1188" s="129" t="s">
        <v>3249</v>
      </c>
      <c r="D1188" s="292">
        <v>395</v>
      </c>
      <c r="E1188" s="292">
        <v>0</v>
      </c>
      <c r="F1188" s="139">
        <f t="shared" si="113"/>
        <v>395</v>
      </c>
      <c r="G1188" s="292">
        <v>202</v>
      </c>
      <c r="H1188" s="292">
        <v>0</v>
      </c>
      <c r="I1188" s="139">
        <f t="shared" si="114"/>
        <v>202</v>
      </c>
      <c r="J1188" s="266">
        <f t="shared" si="115"/>
        <v>0.51139999999999997</v>
      </c>
      <c r="K1188" s="136">
        <f t="shared" si="110"/>
        <v>0</v>
      </c>
      <c r="L1188" s="136">
        <f t="shared" si="111"/>
        <v>21.2</v>
      </c>
      <c r="M1188" s="136">
        <f t="shared" si="112"/>
        <v>21.2</v>
      </c>
      <c r="O1188" s="134"/>
      <c r="P1188" s="259"/>
    </row>
    <row r="1189" spans="1:16">
      <c r="A1189" s="134">
        <v>497</v>
      </c>
      <c r="B1189" s="134" t="s">
        <v>3250</v>
      </c>
      <c r="C1189" s="129" t="s">
        <v>3251</v>
      </c>
      <c r="D1189" s="292">
        <v>484</v>
      </c>
      <c r="E1189" s="292">
        <v>0</v>
      </c>
      <c r="F1189" s="139">
        <f t="shared" si="113"/>
        <v>484</v>
      </c>
      <c r="G1189" s="292">
        <v>229</v>
      </c>
      <c r="H1189" s="292">
        <v>0</v>
      </c>
      <c r="I1189" s="139">
        <f t="shared" si="114"/>
        <v>229</v>
      </c>
      <c r="J1189" s="266">
        <f t="shared" si="115"/>
        <v>0.47310000000000002</v>
      </c>
      <c r="K1189" s="136">
        <f t="shared" si="110"/>
        <v>19.7</v>
      </c>
      <c r="L1189" s="136">
        <f t="shared" si="111"/>
        <v>0</v>
      </c>
      <c r="M1189" s="136">
        <f t="shared" si="112"/>
        <v>19.7</v>
      </c>
      <c r="O1189" s="134"/>
      <c r="P1189" s="259"/>
    </row>
    <row r="1190" spans="1:16">
      <c r="A1190" s="134">
        <v>497</v>
      </c>
      <c r="B1190" s="134" t="s">
        <v>3252</v>
      </c>
      <c r="C1190" s="129" t="s">
        <v>3253</v>
      </c>
      <c r="D1190" s="292">
        <v>686</v>
      </c>
      <c r="E1190" s="292">
        <v>0</v>
      </c>
      <c r="F1190" s="139">
        <f t="shared" si="113"/>
        <v>686</v>
      </c>
      <c r="G1190" s="292">
        <v>216</v>
      </c>
      <c r="H1190" s="292">
        <v>0</v>
      </c>
      <c r="I1190" s="139">
        <f t="shared" si="114"/>
        <v>216</v>
      </c>
      <c r="J1190" s="266">
        <f t="shared" si="115"/>
        <v>0.31490000000000001</v>
      </c>
      <c r="K1190" s="136">
        <f t="shared" si="110"/>
        <v>0</v>
      </c>
      <c r="L1190" s="136">
        <f t="shared" si="111"/>
        <v>0</v>
      </c>
      <c r="M1190" s="136">
        <f t="shared" si="112"/>
        <v>0</v>
      </c>
      <c r="O1190" s="134"/>
      <c r="P1190" s="259"/>
    </row>
    <row r="1191" spans="1:16">
      <c r="A1191" s="134">
        <v>497</v>
      </c>
      <c r="B1191" s="134" t="s">
        <v>3254</v>
      </c>
      <c r="C1191" s="129" t="s">
        <v>3255</v>
      </c>
      <c r="D1191" s="292">
        <v>655</v>
      </c>
      <c r="E1191" s="292">
        <v>0</v>
      </c>
      <c r="F1191" s="139">
        <f t="shared" si="113"/>
        <v>655</v>
      </c>
      <c r="G1191" s="292">
        <v>132</v>
      </c>
      <c r="H1191" s="292">
        <v>0</v>
      </c>
      <c r="I1191" s="139">
        <f t="shared" si="114"/>
        <v>132</v>
      </c>
      <c r="J1191" s="266">
        <f t="shared" si="115"/>
        <v>0.20150000000000001</v>
      </c>
      <c r="K1191" s="136">
        <f t="shared" si="110"/>
        <v>0</v>
      </c>
      <c r="L1191" s="136">
        <f t="shared" si="111"/>
        <v>0</v>
      </c>
      <c r="M1191" s="136">
        <f t="shared" si="112"/>
        <v>0</v>
      </c>
      <c r="O1191" s="134"/>
      <c r="P1191" s="259"/>
    </row>
    <row r="1192" spans="1:16">
      <c r="A1192" s="134">
        <v>497</v>
      </c>
      <c r="B1192" s="134" t="s">
        <v>3256</v>
      </c>
      <c r="C1192" s="129" t="s">
        <v>3257</v>
      </c>
      <c r="D1192" s="292">
        <v>1504</v>
      </c>
      <c r="E1192" s="292">
        <v>0</v>
      </c>
      <c r="F1192" s="139">
        <f t="shared" si="113"/>
        <v>1504</v>
      </c>
      <c r="G1192" s="292">
        <v>556</v>
      </c>
      <c r="H1192" s="292">
        <v>0</v>
      </c>
      <c r="I1192" s="139">
        <f t="shared" si="114"/>
        <v>556</v>
      </c>
      <c r="J1192" s="266">
        <f t="shared" si="115"/>
        <v>0.36969999999999997</v>
      </c>
      <c r="K1192" s="136">
        <f t="shared" si="110"/>
        <v>7.7</v>
      </c>
      <c r="L1192" s="136">
        <f t="shared" si="111"/>
        <v>0</v>
      </c>
      <c r="M1192" s="136">
        <f t="shared" si="112"/>
        <v>7.7</v>
      </c>
      <c r="O1192" s="134"/>
      <c r="P1192" s="259"/>
    </row>
    <row r="1193" spans="1:16">
      <c r="A1193" s="134">
        <v>497</v>
      </c>
      <c r="B1193" s="134" t="s">
        <v>3258</v>
      </c>
      <c r="C1193" s="129" t="s">
        <v>3259</v>
      </c>
      <c r="D1193" s="292">
        <v>1796</v>
      </c>
      <c r="E1193" s="292">
        <v>0</v>
      </c>
      <c r="F1193" s="139">
        <f t="shared" si="113"/>
        <v>1796</v>
      </c>
      <c r="G1193" s="292">
        <v>472</v>
      </c>
      <c r="H1193" s="292">
        <v>0</v>
      </c>
      <c r="I1193" s="139">
        <f t="shared" si="114"/>
        <v>472</v>
      </c>
      <c r="J1193" s="266">
        <f t="shared" si="115"/>
        <v>0.26279999999999998</v>
      </c>
      <c r="K1193" s="136">
        <f t="shared" si="110"/>
        <v>0</v>
      </c>
      <c r="L1193" s="136">
        <f t="shared" si="111"/>
        <v>0</v>
      </c>
      <c r="M1193" s="136">
        <f t="shared" si="112"/>
        <v>0</v>
      </c>
      <c r="O1193" s="134"/>
      <c r="P1193" s="259"/>
    </row>
    <row r="1194" spans="1:16">
      <c r="A1194" s="134">
        <v>498</v>
      </c>
      <c r="B1194" s="134" t="s">
        <v>3260</v>
      </c>
      <c r="C1194" s="129" t="s">
        <v>3261</v>
      </c>
      <c r="D1194" s="292">
        <v>116</v>
      </c>
      <c r="E1194" s="292">
        <v>0</v>
      </c>
      <c r="F1194" s="139">
        <f t="shared" si="113"/>
        <v>116</v>
      </c>
      <c r="G1194" s="292">
        <v>48</v>
      </c>
      <c r="H1194" s="292">
        <v>0</v>
      </c>
      <c r="I1194" s="139">
        <f t="shared" si="114"/>
        <v>48</v>
      </c>
      <c r="J1194" s="266">
        <f t="shared" si="115"/>
        <v>0.4138</v>
      </c>
      <c r="K1194" s="136">
        <f t="shared" si="110"/>
        <v>2.1</v>
      </c>
      <c r="L1194" s="136">
        <f t="shared" si="111"/>
        <v>0</v>
      </c>
      <c r="M1194" s="136">
        <f t="shared" si="112"/>
        <v>2.1</v>
      </c>
      <c r="O1194" s="134"/>
      <c r="P1194" s="259"/>
    </row>
    <row r="1195" spans="1:16">
      <c r="A1195" s="134">
        <v>498</v>
      </c>
      <c r="B1195" s="134" t="s">
        <v>3262</v>
      </c>
      <c r="C1195" s="129" t="s">
        <v>3263</v>
      </c>
      <c r="D1195" s="292">
        <v>97</v>
      </c>
      <c r="E1195" s="292">
        <v>0</v>
      </c>
      <c r="F1195" s="139">
        <f t="shared" si="113"/>
        <v>97</v>
      </c>
      <c r="G1195" s="292">
        <v>49</v>
      </c>
      <c r="H1195" s="292">
        <v>0</v>
      </c>
      <c r="I1195" s="139">
        <f t="shared" si="114"/>
        <v>49</v>
      </c>
      <c r="J1195" s="266">
        <f t="shared" si="115"/>
        <v>0.50519999999999998</v>
      </c>
      <c r="K1195" s="136">
        <f t="shared" si="110"/>
        <v>0</v>
      </c>
      <c r="L1195" s="136">
        <f t="shared" si="111"/>
        <v>5.0999999999999996</v>
      </c>
      <c r="M1195" s="136">
        <f t="shared" si="112"/>
        <v>5.0999999999999996</v>
      </c>
      <c r="O1195" s="134"/>
      <c r="P1195" s="259"/>
    </row>
    <row r="1196" spans="1:16">
      <c r="A1196" s="134">
        <v>498</v>
      </c>
      <c r="B1196" s="134" t="s">
        <v>3264</v>
      </c>
      <c r="C1196" s="129" t="s">
        <v>3265</v>
      </c>
      <c r="D1196" s="292">
        <v>178</v>
      </c>
      <c r="E1196" s="292">
        <v>0</v>
      </c>
      <c r="F1196" s="139">
        <f t="shared" si="113"/>
        <v>178</v>
      </c>
      <c r="G1196" s="292">
        <v>59</v>
      </c>
      <c r="H1196" s="292">
        <v>0</v>
      </c>
      <c r="I1196" s="139">
        <f t="shared" si="114"/>
        <v>59</v>
      </c>
      <c r="J1196" s="266">
        <f t="shared" si="115"/>
        <v>0.33150000000000002</v>
      </c>
      <c r="K1196" s="136">
        <f t="shared" si="110"/>
        <v>0</v>
      </c>
      <c r="L1196" s="136">
        <f t="shared" si="111"/>
        <v>0</v>
      </c>
      <c r="M1196" s="136">
        <f t="shared" si="112"/>
        <v>0</v>
      </c>
      <c r="O1196" s="134"/>
      <c r="P1196" s="259"/>
    </row>
    <row r="1197" spans="1:16">
      <c r="A1197" s="134">
        <v>499</v>
      </c>
      <c r="B1197" s="134" t="s">
        <v>3266</v>
      </c>
      <c r="C1197" s="129" t="s">
        <v>3267</v>
      </c>
      <c r="D1197" s="292">
        <v>155</v>
      </c>
      <c r="E1197" s="292">
        <v>0</v>
      </c>
      <c r="F1197" s="139">
        <f t="shared" si="113"/>
        <v>155</v>
      </c>
      <c r="G1197" s="292">
        <v>100</v>
      </c>
      <c r="H1197" s="292">
        <v>0</v>
      </c>
      <c r="I1197" s="139">
        <f t="shared" si="114"/>
        <v>100</v>
      </c>
      <c r="J1197" s="266">
        <f t="shared" si="115"/>
        <v>0.6452</v>
      </c>
      <c r="K1197" s="136">
        <f t="shared" si="110"/>
        <v>0</v>
      </c>
      <c r="L1197" s="136">
        <f t="shared" si="111"/>
        <v>10.5</v>
      </c>
      <c r="M1197" s="136">
        <f t="shared" si="112"/>
        <v>10.5</v>
      </c>
      <c r="O1197" s="134"/>
      <c r="P1197" s="259"/>
    </row>
    <row r="1198" spans="1:16">
      <c r="A1198" s="134">
        <v>499</v>
      </c>
      <c r="B1198" s="134" t="s">
        <v>3268</v>
      </c>
      <c r="C1198" s="129" t="s">
        <v>3269</v>
      </c>
      <c r="D1198" s="292">
        <v>209</v>
      </c>
      <c r="E1198" s="292">
        <v>0</v>
      </c>
      <c r="F1198" s="139">
        <f t="shared" si="113"/>
        <v>209</v>
      </c>
      <c r="G1198" s="292">
        <v>133</v>
      </c>
      <c r="H1198" s="292">
        <v>0</v>
      </c>
      <c r="I1198" s="139">
        <f t="shared" si="114"/>
        <v>133</v>
      </c>
      <c r="J1198" s="266">
        <f t="shared" si="115"/>
        <v>0.63639999999999997</v>
      </c>
      <c r="K1198" s="136">
        <f t="shared" si="110"/>
        <v>0</v>
      </c>
      <c r="L1198" s="136">
        <f t="shared" si="111"/>
        <v>14</v>
      </c>
      <c r="M1198" s="136">
        <f t="shared" si="112"/>
        <v>14</v>
      </c>
      <c r="O1198" s="134"/>
      <c r="P1198" s="259"/>
    </row>
    <row r="1199" spans="1:16">
      <c r="A1199" s="134">
        <v>499</v>
      </c>
      <c r="B1199" s="134" t="s">
        <v>3270</v>
      </c>
      <c r="C1199" s="129" t="s">
        <v>3271</v>
      </c>
      <c r="D1199" s="292">
        <v>174</v>
      </c>
      <c r="E1199" s="292">
        <v>0</v>
      </c>
      <c r="F1199" s="139">
        <f t="shared" si="113"/>
        <v>174</v>
      </c>
      <c r="G1199" s="292">
        <v>93</v>
      </c>
      <c r="H1199" s="292">
        <v>0</v>
      </c>
      <c r="I1199" s="139">
        <f t="shared" si="114"/>
        <v>93</v>
      </c>
      <c r="J1199" s="266">
        <f t="shared" si="115"/>
        <v>0.53449999999999998</v>
      </c>
      <c r="K1199" s="136">
        <f t="shared" si="110"/>
        <v>0</v>
      </c>
      <c r="L1199" s="136">
        <f t="shared" si="111"/>
        <v>9.8000000000000007</v>
      </c>
      <c r="M1199" s="136">
        <f t="shared" si="112"/>
        <v>9.8000000000000007</v>
      </c>
      <c r="O1199" s="134"/>
      <c r="P1199" s="259"/>
    </row>
    <row r="1200" spans="1:16">
      <c r="A1200" s="134">
        <v>499</v>
      </c>
      <c r="B1200" s="134" t="s">
        <v>3272</v>
      </c>
      <c r="C1200" s="129" t="s">
        <v>3273</v>
      </c>
      <c r="D1200" s="292">
        <v>222</v>
      </c>
      <c r="E1200" s="292">
        <v>0</v>
      </c>
      <c r="F1200" s="139">
        <f t="shared" si="113"/>
        <v>222</v>
      </c>
      <c r="G1200" s="292">
        <v>122</v>
      </c>
      <c r="H1200" s="292">
        <v>0</v>
      </c>
      <c r="I1200" s="139">
        <f t="shared" si="114"/>
        <v>122</v>
      </c>
      <c r="J1200" s="266">
        <f t="shared" si="115"/>
        <v>0.54949999999999999</v>
      </c>
      <c r="K1200" s="136">
        <f t="shared" si="110"/>
        <v>0</v>
      </c>
      <c r="L1200" s="136">
        <f t="shared" si="111"/>
        <v>12.8</v>
      </c>
      <c r="M1200" s="136">
        <f t="shared" si="112"/>
        <v>12.8</v>
      </c>
      <c r="O1200" s="134"/>
      <c r="P1200" s="259"/>
    </row>
    <row r="1201" spans="1:16">
      <c r="A1201" s="134">
        <v>500</v>
      </c>
      <c r="B1201" s="134" t="s">
        <v>3274</v>
      </c>
      <c r="C1201" s="129" t="s">
        <v>3275</v>
      </c>
      <c r="D1201" s="292">
        <v>242</v>
      </c>
      <c r="E1201" s="292">
        <v>0</v>
      </c>
      <c r="F1201" s="139">
        <f t="shared" si="113"/>
        <v>242</v>
      </c>
      <c r="G1201" s="292">
        <v>191</v>
      </c>
      <c r="H1201" s="292">
        <v>0</v>
      </c>
      <c r="I1201" s="139">
        <f t="shared" si="114"/>
        <v>191</v>
      </c>
      <c r="J1201" s="266">
        <f t="shared" si="115"/>
        <v>0.7893</v>
      </c>
      <c r="K1201" s="136">
        <f t="shared" si="110"/>
        <v>0</v>
      </c>
      <c r="L1201" s="136">
        <f t="shared" si="111"/>
        <v>20.100000000000001</v>
      </c>
      <c r="M1201" s="136">
        <f t="shared" si="112"/>
        <v>20.100000000000001</v>
      </c>
      <c r="O1201" s="134"/>
      <c r="P1201" s="259"/>
    </row>
    <row r="1202" spans="1:16">
      <c r="A1202" s="134">
        <v>500</v>
      </c>
      <c r="B1202" s="134" t="s">
        <v>3276</v>
      </c>
      <c r="C1202" s="129" t="s">
        <v>3277</v>
      </c>
      <c r="D1202" s="292">
        <v>247</v>
      </c>
      <c r="E1202" s="292">
        <v>0</v>
      </c>
      <c r="F1202" s="139">
        <f t="shared" si="113"/>
        <v>247</v>
      </c>
      <c r="G1202" s="292">
        <v>213</v>
      </c>
      <c r="H1202" s="292">
        <v>0</v>
      </c>
      <c r="I1202" s="139">
        <f t="shared" si="114"/>
        <v>213</v>
      </c>
      <c r="J1202" s="266">
        <f t="shared" si="115"/>
        <v>0.86229999999999996</v>
      </c>
      <c r="K1202" s="136">
        <f t="shared" si="110"/>
        <v>0</v>
      </c>
      <c r="L1202" s="136">
        <f t="shared" si="111"/>
        <v>22.4</v>
      </c>
      <c r="M1202" s="136">
        <f t="shared" si="112"/>
        <v>22.4</v>
      </c>
      <c r="O1202" s="134"/>
      <c r="P1202" s="259"/>
    </row>
    <row r="1203" spans="1:16">
      <c r="A1203" s="134">
        <v>500</v>
      </c>
      <c r="B1203" s="134" t="s">
        <v>3278</v>
      </c>
      <c r="C1203" s="129" t="s">
        <v>3279</v>
      </c>
      <c r="D1203" s="292">
        <v>1408</v>
      </c>
      <c r="E1203" s="292">
        <v>0</v>
      </c>
      <c r="F1203" s="139">
        <f t="shared" si="113"/>
        <v>1408</v>
      </c>
      <c r="G1203" s="292">
        <v>1103</v>
      </c>
      <c r="H1203" s="292">
        <v>0</v>
      </c>
      <c r="I1203" s="139">
        <f t="shared" si="114"/>
        <v>1103</v>
      </c>
      <c r="J1203" s="266">
        <f t="shared" si="115"/>
        <v>0.78339999999999999</v>
      </c>
      <c r="K1203" s="136">
        <f t="shared" si="110"/>
        <v>0</v>
      </c>
      <c r="L1203" s="136">
        <f t="shared" si="111"/>
        <v>115.8</v>
      </c>
      <c r="M1203" s="136">
        <f t="shared" si="112"/>
        <v>115.8</v>
      </c>
      <c r="O1203" s="134"/>
      <c r="P1203" s="259"/>
    </row>
    <row r="1204" spans="1:16">
      <c r="A1204" s="134">
        <v>500</v>
      </c>
      <c r="B1204" s="134" t="s">
        <v>3280</v>
      </c>
      <c r="C1204" s="129" t="s">
        <v>3281</v>
      </c>
      <c r="D1204" s="292">
        <v>532</v>
      </c>
      <c r="E1204" s="292">
        <v>0</v>
      </c>
      <c r="F1204" s="139">
        <f t="shared" si="113"/>
        <v>532</v>
      </c>
      <c r="G1204" s="292">
        <v>403</v>
      </c>
      <c r="H1204" s="292">
        <v>0</v>
      </c>
      <c r="I1204" s="139">
        <f t="shared" si="114"/>
        <v>403</v>
      </c>
      <c r="J1204" s="266">
        <f t="shared" si="115"/>
        <v>0.75749999999999995</v>
      </c>
      <c r="K1204" s="136">
        <f t="shared" si="110"/>
        <v>0</v>
      </c>
      <c r="L1204" s="136">
        <f t="shared" si="111"/>
        <v>42.3</v>
      </c>
      <c r="M1204" s="136">
        <f t="shared" si="112"/>
        <v>42.3</v>
      </c>
      <c r="O1204" s="134"/>
      <c r="P1204" s="259"/>
    </row>
    <row r="1205" spans="1:16">
      <c r="A1205" s="134">
        <v>500</v>
      </c>
      <c r="B1205" s="134" t="s">
        <v>3282</v>
      </c>
      <c r="C1205" s="129" t="s">
        <v>3283</v>
      </c>
      <c r="D1205" s="292">
        <v>232</v>
      </c>
      <c r="E1205" s="292">
        <v>0</v>
      </c>
      <c r="F1205" s="139">
        <f t="shared" si="113"/>
        <v>232</v>
      </c>
      <c r="G1205" s="292">
        <v>196</v>
      </c>
      <c r="H1205" s="292">
        <v>0</v>
      </c>
      <c r="I1205" s="139">
        <f t="shared" si="114"/>
        <v>196</v>
      </c>
      <c r="J1205" s="266">
        <f t="shared" si="115"/>
        <v>0.8448</v>
      </c>
      <c r="K1205" s="136">
        <f t="shared" si="110"/>
        <v>0</v>
      </c>
      <c r="L1205" s="136">
        <f t="shared" si="111"/>
        <v>20.6</v>
      </c>
      <c r="M1205" s="136">
        <f t="shared" si="112"/>
        <v>20.6</v>
      </c>
      <c r="O1205" s="134"/>
      <c r="P1205" s="259"/>
    </row>
    <row r="1206" spans="1:16">
      <c r="A1206" s="134">
        <v>500</v>
      </c>
      <c r="B1206" s="134" t="s">
        <v>3284</v>
      </c>
      <c r="C1206" s="129" t="s">
        <v>3285</v>
      </c>
      <c r="D1206" s="292">
        <v>230</v>
      </c>
      <c r="E1206" s="292">
        <v>0</v>
      </c>
      <c r="F1206" s="139">
        <f t="shared" si="113"/>
        <v>230</v>
      </c>
      <c r="G1206" s="292">
        <v>190</v>
      </c>
      <c r="H1206" s="292">
        <v>0</v>
      </c>
      <c r="I1206" s="139">
        <f t="shared" si="114"/>
        <v>190</v>
      </c>
      <c r="J1206" s="266">
        <f t="shared" si="115"/>
        <v>0.82609999999999995</v>
      </c>
      <c r="K1206" s="136">
        <f t="shared" si="110"/>
        <v>0</v>
      </c>
      <c r="L1206" s="136">
        <f t="shared" si="111"/>
        <v>20</v>
      </c>
      <c r="M1206" s="136">
        <f t="shared" si="112"/>
        <v>20</v>
      </c>
      <c r="O1206" s="134"/>
      <c r="P1206" s="259"/>
    </row>
    <row r="1207" spans="1:16">
      <c r="A1207" s="134">
        <v>500</v>
      </c>
      <c r="B1207" s="134" t="s">
        <v>3286</v>
      </c>
      <c r="C1207" s="129" t="s">
        <v>3287</v>
      </c>
      <c r="D1207" s="292">
        <v>179</v>
      </c>
      <c r="E1207" s="292">
        <v>0</v>
      </c>
      <c r="F1207" s="139">
        <f t="shared" si="113"/>
        <v>179</v>
      </c>
      <c r="G1207" s="292">
        <v>148</v>
      </c>
      <c r="H1207" s="292">
        <v>0</v>
      </c>
      <c r="I1207" s="139">
        <f t="shared" si="114"/>
        <v>148</v>
      </c>
      <c r="J1207" s="266">
        <f t="shared" si="115"/>
        <v>0.82679999999999998</v>
      </c>
      <c r="K1207" s="136">
        <f t="shared" si="110"/>
        <v>0</v>
      </c>
      <c r="L1207" s="136">
        <f t="shared" si="111"/>
        <v>15.5</v>
      </c>
      <c r="M1207" s="136">
        <f t="shared" si="112"/>
        <v>15.5</v>
      </c>
      <c r="O1207" s="134"/>
      <c r="P1207" s="259"/>
    </row>
    <row r="1208" spans="1:16">
      <c r="A1208" s="134">
        <v>500</v>
      </c>
      <c r="B1208" s="134" t="s">
        <v>3288</v>
      </c>
      <c r="C1208" s="129" t="s">
        <v>3289</v>
      </c>
      <c r="D1208" s="292">
        <v>292</v>
      </c>
      <c r="E1208" s="292">
        <v>0</v>
      </c>
      <c r="F1208" s="139">
        <f t="shared" si="113"/>
        <v>292</v>
      </c>
      <c r="G1208" s="292">
        <v>252</v>
      </c>
      <c r="H1208" s="292">
        <v>0</v>
      </c>
      <c r="I1208" s="139">
        <f t="shared" si="114"/>
        <v>252</v>
      </c>
      <c r="J1208" s="266">
        <f t="shared" si="115"/>
        <v>0.86299999999999999</v>
      </c>
      <c r="K1208" s="136">
        <f t="shared" si="110"/>
        <v>0</v>
      </c>
      <c r="L1208" s="136">
        <f t="shared" si="111"/>
        <v>26.5</v>
      </c>
      <c r="M1208" s="136">
        <f t="shared" si="112"/>
        <v>26.5</v>
      </c>
      <c r="O1208" s="134"/>
      <c r="P1208" s="259"/>
    </row>
    <row r="1209" spans="1:16">
      <c r="A1209" s="134">
        <v>500</v>
      </c>
      <c r="B1209" s="134" t="s">
        <v>3290</v>
      </c>
      <c r="C1209" s="129" t="s">
        <v>3291</v>
      </c>
      <c r="D1209" s="292">
        <v>310</v>
      </c>
      <c r="E1209" s="292">
        <v>0</v>
      </c>
      <c r="F1209" s="139">
        <f t="shared" si="113"/>
        <v>310</v>
      </c>
      <c r="G1209" s="292">
        <v>275</v>
      </c>
      <c r="H1209" s="292">
        <v>0</v>
      </c>
      <c r="I1209" s="139">
        <f t="shared" si="114"/>
        <v>275</v>
      </c>
      <c r="J1209" s="266">
        <f t="shared" si="115"/>
        <v>0.8871</v>
      </c>
      <c r="K1209" s="136">
        <f t="shared" si="110"/>
        <v>0</v>
      </c>
      <c r="L1209" s="136">
        <f t="shared" si="111"/>
        <v>28.9</v>
      </c>
      <c r="M1209" s="136">
        <f t="shared" si="112"/>
        <v>28.9</v>
      </c>
      <c r="O1209" s="134"/>
      <c r="P1209" s="259"/>
    </row>
    <row r="1210" spans="1:16">
      <c r="A1210" s="134">
        <v>500</v>
      </c>
      <c r="B1210" s="134" t="s">
        <v>3292</v>
      </c>
      <c r="C1210" s="129" t="s">
        <v>3293</v>
      </c>
      <c r="D1210" s="292">
        <v>342</v>
      </c>
      <c r="E1210" s="292">
        <v>0</v>
      </c>
      <c r="F1210" s="139">
        <f t="shared" si="113"/>
        <v>342</v>
      </c>
      <c r="G1210" s="292">
        <v>305</v>
      </c>
      <c r="H1210" s="292">
        <v>0</v>
      </c>
      <c r="I1210" s="139">
        <f t="shared" si="114"/>
        <v>305</v>
      </c>
      <c r="J1210" s="266">
        <f t="shared" si="115"/>
        <v>0.89180000000000004</v>
      </c>
      <c r="K1210" s="136">
        <f t="shared" si="110"/>
        <v>0</v>
      </c>
      <c r="L1210" s="136">
        <f t="shared" si="111"/>
        <v>32</v>
      </c>
      <c r="M1210" s="136">
        <f t="shared" si="112"/>
        <v>32</v>
      </c>
      <c r="O1210" s="134"/>
      <c r="P1210" s="259"/>
    </row>
    <row r="1211" spans="1:16">
      <c r="A1211" s="134">
        <v>500</v>
      </c>
      <c r="B1211" s="134" t="s">
        <v>3294</v>
      </c>
      <c r="C1211" s="129" t="s">
        <v>3295</v>
      </c>
      <c r="D1211" s="292">
        <v>220</v>
      </c>
      <c r="E1211" s="292">
        <v>0</v>
      </c>
      <c r="F1211" s="139">
        <f t="shared" si="113"/>
        <v>220</v>
      </c>
      <c r="G1211" s="292">
        <v>168</v>
      </c>
      <c r="H1211" s="292">
        <v>0</v>
      </c>
      <c r="I1211" s="139">
        <f t="shared" si="114"/>
        <v>168</v>
      </c>
      <c r="J1211" s="266">
        <f t="shared" si="115"/>
        <v>0.76359999999999995</v>
      </c>
      <c r="K1211" s="136">
        <f t="shared" si="110"/>
        <v>0</v>
      </c>
      <c r="L1211" s="136">
        <f t="shared" si="111"/>
        <v>17.600000000000001</v>
      </c>
      <c r="M1211" s="136">
        <f t="shared" si="112"/>
        <v>17.600000000000001</v>
      </c>
      <c r="O1211" s="134"/>
      <c r="P1211" s="259"/>
    </row>
    <row r="1212" spans="1:16">
      <c r="A1212" s="134">
        <v>500</v>
      </c>
      <c r="B1212" s="134" t="s">
        <v>3296</v>
      </c>
      <c r="C1212" s="129" t="s">
        <v>3297</v>
      </c>
      <c r="D1212" s="292">
        <v>189</v>
      </c>
      <c r="E1212" s="292">
        <v>0</v>
      </c>
      <c r="F1212" s="139">
        <f t="shared" si="113"/>
        <v>189</v>
      </c>
      <c r="G1212" s="292">
        <v>154</v>
      </c>
      <c r="H1212" s="292">
        <v>0</v>
      </c>
      <c r="I1212" s="139">
        <f t="shared" si="114"/>
        <v>154</v>
      </c>
      <c r="J1212" s="266">
        <f t="shared" si="115"/>
        <v>0.81479999999999997</v>
      </c>
      <c r="K1212" s="136">
        <f t="shared" si="110"/>
        <v>0</v>
      </c>
      <c r="L1212" s="136">
        <f t="shared" si="111"/>
        <v>16.2</v>
      </c>
      <c r="M1212" s="136">
        <f t="shared" si="112"/>
        <v>16.2</v>
      </c>
      <c r="O1212" s="134"/>
      <c r="P1212" s="259"/>
    </row>
    <row r="1213" spans="1:16">
      <c r="A1213" s="134">
        <v>500</v>
      </c>
      <c r="B1213" s="134" t="s">
        <v>3298</v>
      </c>
      <c r="C1213" s="129" t="s">
        <v>3299</v>
      </c>
      <c r="D1213" s="292">
        <v>294</v>
      </c>
      <c r="E1213" s="292">
        <v>0</v>
      </c>
      <c r="F1213" s="139">
        <f t="shared" si="113"/>
        <v>294</v>
      </c>
      <c r="G1213" s="292">
        <v>247</v>
      </c>
      <c r="H1213" s="292">
        <v>0</v>
      </c>
      <c r="I1213" s="139">
        <f t="shared" si="114"/>
        <v>247</v>
      </c>
      <c r="J1213" s="266">
        <f t="shared" si="115"/>
        <v>0.84009999999999996</v>
      </c>
      <c r="K1213" s="136">
        <f t="shared" si="110"/>
        <v>0</v>
      </c>
      <c r="L1213" s="136">
        <f t="shared" si="111"/>
        <v>25.9</v>
      </c>
      <c r="M1213" s="136">
        <f t="shared" si="112"/>
        <v>25.9</v>
      </c>
      <c r="O1213" s="134"/>
      <c r="P1213" s="259"/>
    </row>
    <row r="1214" spans="1:16">
      <c r="A1214" s="134">
        <v>500</v>
      </c>
      <c r="B1214" s="134" t="s">
        <v>3300</v>
      </c>
      <c r="C1214" s="129" t="s">
        <v>3301</v>
      </c>
      <c r="D1214" s="292">
        <v>319</v>
      </c>
      <c r="E1214" s="292">
        <v>0</v>
      </c>
      <c r="F1214" s="139">
        <f t="shared" si="113"/>
        <v>319</v>
      </c>
      <c r="G1214" s="292">
        <v>223</v>
      </c>
      <c r="H1214" s="292">
        <v>0</v>
      </c>
      <c r="I1214" s="139">
        <f t="shared" si="114"/>
        <v>223</v>
      </c>
      <c r="J1214" s="266">
        <f t="shared" si="115"/>
        <v>0.69910000000000005</v>
      </c>
      <c r="K1214" s="136">
        <f t="shared" si="110"/>
        <v>0</v>
      </c>
      <c r="L1214" s="136">
        <f t="shared" si="111"/>
        <v>23.4</v>
      </c>
      <c r="M1214" s="136">
        <f t="shared" si="112"/>
        <v>23.4</v>
      </c>
      <c r="O1214" s="134"/>
      <c r="P1214" s="259"/>
    </row>
    <row r="1215" spans="1:16">
      <c r="A1215" s="134">
        <v>500</v>
      </c>
      <c r="B1215" s="134" t="s">
        <v>3302</v>
      </c>
      <c r="C1215" s="129" t="s">
        <v>3303</v>
      </c>
      <c r="D1215" s="292">
        <v>222</v>
      </c>
      <c r="E1215" s="292">
        <v>0</v>
      </c>
      <c r="F1215" s="139">
        <f t="shared" si="113"/>
        <v>222</v>
      </c>
      <c r="G1215" s="292">
        <v>186</v>
      </c>
      <c r="H1215" s="292">
        <v>0</v>
      </c>
      <c r="I1215" s="139">
        <f t="shared" si="114"/>
        <v>186</v>
      </c>
      <c r="J1215" s="266">
        <f t="shared" si="115"/>
        <v>0.83779999999999999</v>
      </c>
      <c r="K1215" s="136">
        <f t="shared" si="110"/>
        <v>0</v>
      </c>
      <c r="L1215" s="136">
        <f t="shared" si="111"/>
        <v>19.5</v>
      </c>
      <c r="M1215" s="136">
        <f t="shared" si="112"/>
        <v>19.5</v>
      </c>
      <c r="O1215" s="134"/>
      <c r="P1215" s="259"/>
    </row>
    <row r="1216" spans="1:16">
      <c r="A1216" s="134">
        <v>500</v>
      </c>
      <c r="B1216" s="134" t="s">
        <v>3304</v>
      </c>
      <c r="C1216" s="129" t="s">
        <v>1511</v>
      </c>
      <c r="D1216" s="292">
        <v>244</v>
      </c>
      <c r="E1216" s="292">
        <v>0</v>
      </c>
      <c r="F1216" s="139">
        <f t="shared" si="113"/>
        <v>244</v>
      </c>
      <c r="G1216" s="292">
        <v>198</v>
      </c>
      <c r="H1216" s="292">
        <v>0</v>
      </c>
      <c r="I1216" s="139">
        <f t="shared" si="114"/>
        <v>198</v>
      </c>
      <c r="J1216" s="266">
        <f t="shared" si="115"/>
        <v>0.8115</v>
      </c>
      <c r="K1216" s="136">
        <f t="shared" si="110"/>
        <v>0</v>
      </c>
      <c r="L1216" s="136">
        <f t="shared" si="111"/>
        <v>20.8</v>
      </c>
      <c r="M1216" s="136">
        <f t="shared" si="112"/>
        <v>20.8</v>
      </c>
      <c r="O1216" s="134"/>
      <c r="P1216" s="259"/>
    </row>
    <row r="1217" spans="1:16">
      <c r="A1217" s="134">
        <v>500</v>
      </c>
      <c r="B1217" s="134" t="s">
        <v>3305</v>
      </c>
      <c r="C1217" s="129" t="s">
        <v>3037</v>
      </c>
      <c r="D1217" s="292">
        <v>473</v>
      </c>
      <c r="E1217" s="292">
        <v>0</v>
      </c>
      <c r="F1217" s="139">
        <f t="shared" si="113"/>
        <v>473</v>
      </c>
      <c r="G1217" s="292">
        <v>425</v>
      </c>
      <c r="H1217" s="292">
        <v>0</v>
      </c>
      <c r="I1217" s="139">
        <f t="shared" si="114"/>
        <v>425</v>
      </c>
      <c r="J1217" s="266">
        <f t="shared" si="115"/>
        <v>0.89849999999999997</v>
      </c>
      <c r="K1217" s="136">
        <f t="shared" si="110"/>
        <v>0</v>
      </c>
      <c r="L1217" s="136">
        <f t="shared" si="111"/>
        <v>44.6</v>
      </c>
      <c r="M1217" s="136">
        <f t="shared" si="112"/>
        <v>44.6</v>
      </c>
      <c r="O1217" s="134"/>
      <c r="P1217" s="259"/>
    </row>
    <row r="1218" spans="1:16">
      <c r="A1218" s="134">
        <v>500</v>
      </c>
      <c r="B1218" s="134" t="s">
        <v>3306</v>
      </c>
      <c r="C1218" s="129" t="s">
        <v>3066</v>
      </c>
      <c r="D1218" s="292">
        <v>399</v>
      </c>
      <c r="E1218" s="292">
        <v>0</v>
      </c>
      <c r="F1218" s="139">
        <f t="shared" si="113"/>
        <v>399</v>
      </c>
      <c r="G1218" s="292">
        <v>340</v>
      </c>
      <c r="H1218" s="292">
        <v>0</v>
      </c>
      <c r="I1218" s="139">
        <f t="shared" si="114"/>
        <v>340</v>
      </c>
      <c r="J1218" s="266">
        <f t="shared" si="115"/>
        <v>0.85209999999999997</v>
      </c>
      <c r="K1218" s="136">
        <f t="shared" si="110"/>
        <v>0</v>
      </c>
      <c r="L1218" s="136">
        <f t="shared" si="111"/>
        <v>35.700000000000003</v>
      </c>
      <c r="M1218" s="136">
        <f t="shared" si="112"/>
        <v>35.700000000000003</v>
      </c>
      <c r="O1218" s="134"/>
      <c r="P1218" s="259"/>
    </row>
    <row r="1219" spans="1:16">
      <c r="A1219" s="134">
        <v>500</v>
      </c>
      <c r="B1219" s="134" t="s">
        <v>3307</v>
      </c>
      <c r="C1219" s="129" t="s">
        <v>3308</v>
      </c>
      <c r="D1219" s="292">
        <v>678</v>
      </c>
      <c r="E1219" s="292">
        <v>0</v>
      </c>
      <c r="F1219" s="139">
        <f t="shared" si="113"/>
        <v>678</v>
      </c>
      <c r="G1219" s="292">
        <v>491</v>
      </c>
      <c r="H1219" s="292">
        <v>0</v>
      </c>
      <c r="I1219" s="139">
        <f t="shared" si="114"/>
        <v>491</v>
      </c>
      <c r="J1219" s="266">
        <f t="shared" si="115"/>
        <v>0.72419999999999995</v>
      </c>
      <c r="K1219" s="136">
        <f t="shared" si="110"/>
        <v>0</v>
      </c>
      <c r="L1219" s="136">
        <f t="shared" si="111"/>
        <v>51.6</v>
      </c>
      <c r="M1219" s="136">
        <f t="shared" si="112"/>
        <v>51.6</v>
      </c>
      <c r="O1219" s="134"/>
      <c r="P1219" s="259"/>
    </row>
    <row r="1220" spans="1:16">
      <c r="A1220" s="134">
        <v>500</v>
      </c>
      <c r="B1220" s="134" t="s">
        <v>3309</v>
      </c>
      <c r="C1220" s="129" t="s">
        <v>3310</v>
      </c>
      <c r="D1220" s="292">
        <v>819</v>
      </c>
      <c r="E1220" s="292">
        <v>0</v>
      </c>
      <c r="F1220" s="139">
        <f t="shared" si="113"/>
        <v>819</v>
      </c>
      <c r="G1220" s="292">
        <v>658</v>
      </c>
      <c r="H1220" s="292">
        <v>0</v>
      </c>
      <c r="I1220" s="139">
        <f t="shared" si="114"/>
        <v>658</v>
      </c>
      <c r="J1220" s="266">
        <f t="shared" si="115"/>
        <v>0.8034</v>
      </c>
      <c r="K1220" s="136">
        <f t="shared" si="110"/>
        <v>0</v>
      </c>
      <c r="L1220" s="136">
        <f t="shared" si="111"/>
        <v>69.099999999999994</v>
      </c>
      <c r="M1220" s="136">
        <f t="shared" si="112"/>
        <v>69.099999999999994</v>
      </c>
      <c r="O1220" s="134"/>
      <c r="P1220" s="259"/>
    </row>
    <row r="1221" spans="1:16">
      <c r="A1221" s="134">
        <v>500</v>
      </c>
      <c r="B1221" s="134" t="s">
        <v>3311</v>
      </c>
      <c r="C1221" s="129" t="s">
        <v>3312</v>
      </c>
      <c r="D1221" s="292">
        <v>543</v>
      </c>
      <c r="E1221" s="292">
        <v>0</v>
      </c>
      <c r="F1221" s="139">
        <f t="shared" si="113"/>
        <v>543</v>
      </c>
      <c r="G1221" s="292">
        <v>384</v>
      </c>
      <c r="H1221" s="292">
        <v>0</v>
      </c>
      <c r="I1221" s="139">
        <f t="shared" si="114"/>
        <v>384</v>
      </c>
      <c r="J1221" s="266">
        <f t="shared" si="115"/>
        <v>0.70720000000000005</v>
      </c>
      <c r="K1221" s="136">
        <f t="shared" ref="K1221:K1284" si="116">IF(AND((J1221-35%)&gt;0,J1221&lt;50%),I1221*(J1221-35%)*0.7,0)</f>
        <v>0</v>
      </c>
      <c r="L1221" s="136">
        <f t="shared" ref="L1221:L1284" si="117">IF(J1221&gt;=50%,I1221*10.5%,0)</f>
        <v>40.299999999999997</v>
      </c>
      <c r="M1221" s="136">
        <f t="shared" ref="M1221:M1284" si="118">MAX(K1221,L1221)</f>
        <v>40.299999999999997</v>
      </c>
      <c r="O1221" s="134"/>
      <c r="P1221" s="259"/>
    </row>
    <row r="1222" spans="1:16">
      <c r="A1222" s="134">
        <v>500</v>
      </c>
      <c r="B1222" s="134" t="s">
        <v>3313</v>
      </c>
      <c r="C1222" s="129" t="s">
        <v>3314</v>
      </c>
      <c r="D1222" s="292">
        <v>503</v>
      </c>
      <c r="E1222" s="292">
        <v>0</v>
      </c>
      <c r="F1222" s="139">
        <f t="shared" ref="F1222:F1285" si="119">D1222+E1222</f>
        <v>503</v>
      </c>
      <c r="G1222" s="292">
        <v>375</v>
      </c>
      <c r="H1222" s="292">
        <v>0</v>
      </c>
      <c r="I1222" s="139">
        <f t="shared" ref="I1222:I1285" si="120">G1222+H1222</f>
        <v>375</v>
      </c>
      <c r="J1222" s="266">
        <f t="shared" ref="J1222:J1285" si="121">IF(ISERROR(I1222/F1222),0,I1222/F1222)</f>
        <v>0.74550000000000005</v>
      </c>
      <c r="K1222" s="136">
        <f t="shared" si="116"/>
        <v>0</v>
      </c>
      <c r="L1222" s="136">
        <f t="shared" si="117"/>
        <v>39.4</v>
      </c>
      <c r="M1222" s="136">
        <f t="shared" si="118"/>
        <v>39.4</v>
      </c>
      <c r="O1222" s="134"/>
      <c r="P1222" s="259"/>
    </row>
    <row r="1223" spans="1:16">
      <c r="A1223" s="134">
        <v>500</v>
      </c>
      <c r="B1223" s="134" t="s">
        <v>3315</v>
      </c>
      <c r="C1223" s="129" t="s">
        <v>3316</v>
      </c>
      <c r="D1223" s="292">
        <v>1005</v>
      </c>
      <c r="E1223" s="292">
        <v>0</v>
      </c>
      <c r="F1223" s="139">
        <f t="shared" si="119"/>
        <v>1005</v>
      </c>
      <c r="G1223" s="292">
        <v>528</v>
      </c>
      <c r="H1223" s="292">
        <v>0</v>
      </c>
      <c r="I1223" s="139">
        <f t="shared" si="120"/>
        <v>528</v>
      </c>
      <c r="J1223" s="266">
        <f t="shared" si="121"/>
        <v>0.52539999999999998</v>
      </c>
      <c r="K1223" s="136">
        <f t="shared" si="116"/>
        <v>0</v>
      </c>
      <c r="L1223" s="136">
        <f t="shared" si="117"/>
        <v>55.4</v>
      </c>
      <c r="M1223" s="136">
        <f t="shared" si="118"/>
        <v>55.4</v>
      </c>
      <c r="O1223" s="134"/>
      <c r="P1223" s="259"/>
    </row>
    <row r="1224" spans="1:16">
      <c r="A1224" s="134">
        <v>500</v>
      </c>
      <c r="B1224" s="134" t="s">
        <v>3317</v>
      </c>
      <c r="C1224" s="129" t="s">
        <v>3318</v>
      </c>
      <c r="D1224" s="292">
        <v>1763</v>
      </c>
      <c r="E1224" s="292">
        <v>0</v>
      </c>
      <c r="F1224" s="139">
        <f t="shared" si="119"/>
        <v>1763</v>
      </c>
      <c r="G1224" s="292">
        <v>1350</v>
      </c>
      <c r="H1224" s="292">
        <v>0</v>
      </c>
      <c r="I1224" s="139">
        <f t="shared" si="120"/>
        <v>1350</v>
      </c>
      <c r="J1224" s="266">
        <f t="shared" si="121"/>
        <v>0.76570000000000005</v>
      </c>
      <c r="K1224" s="136">
        <f t="shared" si="116"/>
        <v>0</v>
      </c>
      <c r="L1224" s="136">
        <f t="shared" si="117"/>
        <v>141.80000000000001</v>
      </c>
      <c r="M1224" s="136">
        <f t="shared" si="118"/>
        <v>141.80000000000001</v>
      </c>
      <c r="O1224" s="134"/>
      <c r="P1224" s="259"/>
    </row>
    <row r="1225" spans="1:16">
      <c r="A1225" s="134">
        <v>500</v>
      </c>
      <c r="B1225" s="134" t="s">
        <v>3319</v>
      </c>
      <c r="C1225" s="129" t="s">
        <v>3320</v>
      </c>
      <c r="D1225" s="292">
        <v>422</v>
      </c>
      <c r="E1225" s="292">
        <v>0</v>
      </c>
      <c r="F1225" s="139">
        <f t="shared" si="119"/>
        <v>422</v>
      </c>
      <c r="G1225" s="292">
        <v>281</v>
      </c>
      <c r="H1225" s="292">
        <v>0</v>
      </c>
      <c r="I1225" s="139">
        <f t="shared" si="120"/>
        <v>281</v>
      </c>
      <c r="J1225" s="266">
        <f t="shared" si="121"/>
        <v>0.66590000000000005</v>
      </c>
      <c r="K1225" s="136">
        <f t="shared" si="116"/>
        <v>0</v>
      </c>
      <c r="L1225" s="136">
        <f t="shared" si="117"/>
        <v>29.5</v>
      </c>
      <c r="M1225" s="136">
        <f t="shared" si="118"/>
        <v>29.5</v>
      </c>
      <c r="O1225" s="134"/>
      <c r="P1225" s="259"/>
    </row>
    <row r="1226" spans="1:16">
      <c r="A1226" s="134">
        <v>500</v>
      </c>
      <c r="B1226" s="134" t="s">
        <v>3321</v>
      </c>
      <c r="C1226" s="129" t="s">
        <v>3322</v>
      </c>
      <c r="D1226" s="292">
        <v>1232</v>
      </c>
      <c r="E1226" s="292">
        <v>0</v>
      </c>
      <c r="F1226" s="139">
        <f t="shared" si="119"/>
        <v>1232</v>
      </c>
      <c r="G1226" s="292">
        <v>783</v>
      </c>
      <c r="H1226" s="292">
        <v>0</v>
      </c>
      <c r="I1226" s="139">
        <f t="shared" si="120"/>
        <v>783</v>
      </c>
      <c r="J1226" s="266">
        <f t="shared" si="121"/>
        <v>0.63560000000000005</v>
      </c>
      <c r="K1226" s="136">
        <f t="shared" si="116"/>
        <v>0</v>
      </c>
      <c r="L1226" s="136">
        <f t="shared" si="117"/>
        <v>82.2</v>
      </c>
      <c r="M1226" s="136">
        <f t="shared" si="118"/>
        <v>82.2</v>
      </c>
      <c r="O1226" s="134"/>
      <c r="P1226" s="259"/>
    </row>
    <row r="1227" spans="1:16">
      <c r="A1227" s="134">
        <v>500</v>
      </c>
      <c r="B1227" s="134" t="s">
        <v>3323</v>
      </c>
      <c r="C1227" s="129" t="s">
        <v>3324</v>
      </c>
      <c r="D1227" s="292">
        <v>765</v>
      </c>
      <c r="E1227" s="292">
        <v>0</v>
      </c>
      <c r="F1227" s="139">
        <f t="shared" si="119"/>
        <v>765</v>
      </c>
      <c r="G1227" s="292">
        <v>466</v>
      </c>
      <c r="H1227" s="292">
        <v>0</v>
      </c>
      <c r="I1227" s="139">
        <f t="shared" si="120"/>
        <v>466</v>
      </c>
      <c r="J1227" s="266">
        <f t="shared" si="121"/>
        <v>0.60919999999999996</v>
      </c>
      <c r="K1227" s="136">
        <f t="shared" si="116"/>
        <v>0</v>
      </c>
      <c r="L1227" s="136">
        <f t="shared" si="117"/>
        <v>48.9</v>
      </c>
      <c r="M1227" s="136">
        <f t="shared" si="118"/>
        <v>48.9</v>
      </c>
      <c r="O1227" s="134"/>
      <c r="P1227" s="259"/>
    </row>
    <row r="1228" spans="1:16">
      <c r="A1228" s="134">
        <v>500</v>
      </c>
      <c r="B1228" s="134" t="s">
        <v>3325</v>
      </c>
      <c r="C1228" s="129" t="s">
        <v>3326</v>
      </c>
      <c r="D1228" s="292">
        <v>283</v>
      </c>
      <c r="E1228" s="292">
        <v>0</v>
      </c>
      <c r="F1228" s="139">
        <f t="shared" si="119"/>
        <v>283</v>
      </c>
      <c r="G1228" s="292">
        <v>215</v>
      </c>
      <c r="H1228" s="292">
        <v>0</v>
      </c>
      <c r="I1228" s="139">
        <f t="shared" si="120"/>
        <v>215</v>
      </c>
      <c r="J1228" s="266">
        <f t="shared" si="121"/>
        <v>0.75970000000000004</v>
      </c>
      <c r="K1228" s="136">
        <f t="shared" si="116"/>
        <v>0</v>
      </c>
      <c r="L1228" s="136">
        <f t="shared" si="117"/>
        <v>22.6</v>
      </c>
      <c r="M1228" s="136">
        <f t="shared" si="118"/>
        <v>22.6</v>
      </c>
      <c r="O1228" s="134"/>
      <c r="P1228" s="259"/>
    </row>
    <row r="1229" spans="1:16">
      <c r="A1229" s="134">
        <v>500</v>
      </c>
      <c r="B1229" s="134" t="s">
        <v>3327</v>
      </c>
      <c r="C1229" s="129" t="s">
        <v>3328</v>
      </c>
      <c r="D1229" s="292">
        <v>576</v>
      </c>
      <c r="E1229" s="292">
        <v>0</v>
      </c>
      <c r="F1229" s="139">
        <f t="shared" si="119"/>
        <v>576</v>
      </c>
      <c r="G1229" s="292">
        <v>372</v>
      </c>
      <c r="H1229" s="292">
        <v>0</v>
      </c>
      <c r="I1229" s="139">
        <f t="shared" si="120"/>
        <v>372</v>
      </c>
      <c r="J1229" s="266">
        <f t="shared" si="121"/>
        <v>0.64580000000000004</v>
      </c>
      <c r="K1229" s="136">
        <f t="shared" si="116"/>
        <v>0</v>
      </c>
      <c r="L1229" s="136">
        <f t="shared" si="117"/>
        <v>39.1</v>
      </c>
      <c r="M1229" s="136">
        <f t="shared" si="118"/>
        <v>39.1</v>
      </c>
      <c r="O1229" s="134"/>
      <c r="P1229" s="259"/>
    </row>
    <row r="1230" spans="1:16">
      <c r="A1230" s="134">
        <v>500</v>
      </c>
      <c r="B1230" s="134" t="s">
        <v>3329</v>
      </c>
      <c r="C1230" s="129" t="s">
        <v>3330</v>
      </c>
      <c r="D1230" s="292">
        <v>526</v>
      </c>
      <c r="E1230" s="292">
        <v>0</v>
      </c>
      <c r="F1230" s="139">
        <f t="shared" si="119"/>
        <v>526</v>
      </c>
      <c r="G1230" s="292">
        <v>391</v>
      </c>
      <c r="H1230" s="292">
        <v>0</v>
      </c>
      <c r="I1230" s="139">
        <f t="shared" si="120"/>
        <v>391</v>
      </c>
      <c r="J1230" s="266">
        <f t="shared" si="121"/>
        <v>0.74329999999999996</v>
      </c>
      <c r="K1230" s="136">
        <f t="shared" si="116"/>
        <v>0</v>
      </c>
      <c r="L1230" s="136">
        <f t="shared" si="117"/>
        <v>41.1</v>
      </c>
      <c r="M1230" s="136">
        <f t="shared" si="118"/>
        <v>41.1</v>
      </c>
      <c r="O1230" s="134"/>
      <c r="P1230" s="259"/>
    </row>
    <row r="1231" spans="1:16">
      <c r="A1231" s="134">
        <v>500</v>
      </c>
      <c r="B1231" s="134" t="s">
        <v>3331</v>
      </c>
      <c r="C1231" s="129" t="s">
        <v>3332</v>
      </c>
      <c r="D1231" s="292">
        <v>416</v>
      </c>
      <c r="E1231" s="292">
        <v>0</v>
      </c>
      <c r="F1231" s="139">
        <f t="shared" si="119"/>
        <v>416</v>
      </c>
      <c r="G1231" s="292">
        <v>285</v>
      </c>
      <c r="H1231" s="292">
        <v>0</v>
      </c>
      <c r="I1231" s="139">
        <f t="shared" si="120"/>
        <v>285</v>
      </c>
      <c r="J1231" s="266">
        <f t="shared" si="121"/>
        <v>0.68510000000000004</v>
      </c>
      <c r="K1231" s="136">
        <f t="shared" si="116"/>
        <v>0</v>
      </c>
      <c r="L1231" s="136">
        <f t="shared" si="117"/>
        <v>29.9</v>
      </c>
      <c r="M1231" s="136">
        <f t="shared" si="118"/>
        <v>29.9</v>
      </c>
      <c r="O1231" s="134"/>
      <c r="P1231" s="259"/>
    </row>
    <row r="1232" spans="1:16">
      <c r="A1232" s="134">
        <v>500</v>
      </c>
      <c r="B1232" s="134" t="s">
        <v>3333</v>
      </c>
      <c r="C1232" s="129" t="s">
        <v>3334</v>
      </c>
      <c r="D1232" s="292">
        <v>178</v>
      </c>
      <c r="E1232" s="292">
        <v>0</v>
      </c>
      <c r="F1232" s="139">
        <f t="shared" si="119"/>
        <v>178</v>
      </c>
      <c r="G1232" s="292">
        <v>131</v>
      </c>
      <c r="H1232" s="292">
        <v>0</v>
      </c>
      <c r="I1232" s="139">
        <f t="shared" si="120"/>
        <v>131</v>
      </c>
      <c r="J1232" s="266">
        <f t="shared" si="121"/>
        <v>0.73599999999999999</v>
      </c>
      <c r="K1232" s="136">
        <f t="shared" si="116"/>
        <v>0</v>
      </c>
      <c r="L1232" s="136">
        <f t="shared" si="117"/>
        <v>13.8</v>
      </c>
      <c r="M1232" s="136">
        <f t="shared" si="118"/>
        <v>13.8</v>
      </c>
      <c r="O1232" s="134"/>
      <c r="P1232" s="259"/>
    </row>
    <row r="1233" spans="1:16">
      <c r="A1233" s="134">
        <v>500</v>
      </c>
      <c r="B1233" s="134" t="s">
        <v>3335</v>
      </c>
      <c r="C1233" s="129" t="s">
        <v>3336</v>
      </c>
      <c r="D1233" s="292">
        <v>250</v>
      </c>
      <c r="E1233" s="292">
        <v>0</v>
      </c>
      <c r="F1233" s="139">
        <f t="shared" si="119"/>
        <v>250</v>
      </c>
      <c r="G1233" s="292">
        <v>165</v>
      </c>
      <c r="H1233" s="292">
        <v>0</v>
      </c>
      <c r="I1233" s="139">
        <f t="shared" si="120"/>
        <v>165</v>
      </c>
      <c r="J1233" s="266">
        <f t="shared" si="121"/>
        <v>0.66</v>
      </c>
      <c r="K1233" s="136">
        <f t="shared" si="116"/>
        <v>0</v>
      </c>
      <c r="L1233" s="136">
        <f t="shared" si="117"/>
        <v>17.3</v>
      </c>
      <c r="M1233" s="136">
        <f t="shared" si="118"/>
        <v>17.3</v>
      </c>
      <c r="O1233" s="134"/>
      <c r="P1233" s="259"/>
    </row>
    <row r="1234" spans="1:16">
      <c r="A1234" s="134">
        <v>500</v>
      </c>
      <c r="B1234" s="134" t="s">
        <v>3337</v>
      </c>
      <c r="C1234" s="129" t="s">
        <v>3338</v>
      </c>
      <c r="D1234" s="292">
        <v>298</v>
      </c>
      <c r="E1234" s="292">
        <v>0</v>
      </c>
      <c r="F1234" s="139">
        <f t="shared" si="119"/>
        <v>298</v>
      </c>
      <c r="G1234" s="292">
        <v>220</v>
      </c>
      <c r="H1234" s="292">
        <v>0</v>
      </c>
      <c r="I1234" s="139">
        <f t="shared" si="120"/>
        <v>220</v>
      </c>
      <c r="J1234" s="266">
        <f t="shared" si="121"/>
        <v>0.73829999999999996</v>
      </c>
      <c r="K1234" s="136">
        <f t="shared" si="116"/>
        <v>0</v>
      </c>
      <c r="L1234" s="136">
        <f t="shared" si="117"/>
        <v>23.1</v>
      </c>
      <c r="M1234" s="136">
        <f t="shared" si="118"/>
        <v>23.1</v>
      </c>
      <c r="O1234" s="134"/>
      <c r="P1234" s="259"/>
    </row>
    <row r="1235" spans="1:16">
      <c r="A1235" s="134">
        <v>500</v>
      </c>
      <c r="B1235" s="134" t="s">
        <v>3339</v>
      </c>
      <c r="C1235" s="129" t="s">
        <v>3340</v>
      </c>
      <c r="D1235" s="292">
        <v>1132</v>
      </c>
      <c r="E1235" s="292">
        <v>0</v>
      </c>
      <c r="F1235" s="139">
        <f t="shared" si="119"/>
        <v>1132</v>
      </c>
      <c r="G1235" s="292">
        <v>692</v>
      </c>
      <c r="H1235" s="292">
        <v>0</v>
      </c>
      <c r="I1235" s="139">
        <f t="shared" si="120"/>
        <v>692</v>
      </c>
      <c r="J1235" s="266">
        <f t="shared" si="121"/>
        <v>0.61129999999999995</v>
      </c>
      <c r="K1235" s="136">
        <f t="shared" si="116"/>
        <v>0</v>
      </c>
      <c r="L1235" s="136">
        <f t="shared" si="117"/>
        <v>72.7</v>
      </c>
      <c r="M1235" s="136">
        <f t="shared" si="118"/>
        <v>72.7</v>
      </c>
      <c r="O1235" s="134"/>
      <c r="P1235" s="259"/>
    </row>
    <row r="1236" spans="1:16">
      <c r="A1236" s="134">
        <v>500</v>
      </c>
      <c r="B1236" s="134" t="s">
        <v>3341</v>
      </c>
      <c r="C1236" s="129" t="s">
        <v>3342</v>
      </c>
      <c r="D1236" s="292">
        <v>484</v>
      </c>
      <c r="E1236" s="292">
        <v>0</v>
      </c>
      <c r="F1236" s="139">
        <f t="shared" si="119"/>
        <v>484</v>
      </c>
      <c r="G1236" s="292">
        <v>397</v>
      </c>
      <c r="H1236" s="292">
        <v>0</v>
      </c>
      <c r="I1236" s="139">
        <f t="shared" si="120"/>
        <v>397</v>
      </c>
      <c r="J1236" s="266">
        <f t="shared" si="121"/>
        <v>0.82020000000000004</v>
      </c>
      <c r="K1236" s="136">
        <f t="shared" si="116"/>
        <v>0</v>
      </c>
      <c r="L1236" s="136">
        <f t="shared" si="117"/>
        <v>41.7</v>
      </c>
      <c r="M1236" s="136">
        <f t="shared" si="118"/>
        <v>41.7</v>
      </c>
      <c r="O1236" s="134"/>
      <c r="P1236" s="259"/>
    </row>
    <row r="1237" spans="1:16">
      <c r="A1237" s="134">
        <v>500</v>
      </c>
      <c r="B1237" s="134" t="s">
        <v>3343</v>
      </c>
      <c r="C1237" s="129" t="s">
        <v>3344</v>
      </c>
      <c r="D1237" s="292">
        <v>567</v>
      </c>
      <c r="E1237" s="292">
        <v>0</v>
      </c>
      <c r="F1237" s="139">
        <f t="shared" si="119"/>
        <v>567</v>
      </c>
      <c r="G1237" s="292">
        <v>455</v>
      </c>
      <c r="H1237" s="292">
        <v>0</v>
      </c>
      <c r="I1237" s="139">
        <f t="shared" si="120"/>
        <v>455</v>
      </c>
      <c r="J1237" s="266">
        <f t="shared" si="121"/>
        <v>0.80249999999999999</v>
      </c>
      <c r="K1237" s="136">
        <f t="shared" si="116"/>
        <v>0</v>
      </c>
      <c r="L1237" s="136">
        <f t="shared" si="117"/>
        <v>47.8</v>
      </c>
      <c r="M1237" s="136">
        <f t="shared" si="118"/>
        <v>47.8</v>
      </c>
      <c r="O1237" s="134"/>
      <c r="P1237" s="259"/>
    </row>
    <row r="1238" spans="1:16">
      <c r="A1238" s="134">
        <v>500</v>
      </c>
      <c r="B1238" s="134" t="s">
        <v>3345</v>
      </c>
      <c r="C1238" s="129" t="s">
        <v>3346</v>
      </c>
      <c r="D1238" s="292">
        <v>71</v>
      </c>
      <c r="E1238" s="292">
        <v>0</v>
      </c>
      <c r="F1238" s="139">
        <f t="shared" si="119"/>
        <v>71</v>
      </c>
      <c r="G1238" s="292">
        <v>52</v>
      </c>
      <c r="H1238" s="292">
        <v>0</v>
      </c>
      <c r="I1238" s="139">
        <f t="shared" si="120"/>
        <v>52</v>
      </c>
      <c r="J1238" s="266">
        <f t="shared" si="121"/>
        <v>0.73240000000000005</v>
      </c>
      <c r="K1238" s="136">
        <f t="shared" si="116"/>
        <v>0</v>
      </c>
      <c r="L1238" s="136">
        <f t="shared" si="117"/>
        <v>5.5</v>
      </c>
      <c r="M1238" s="136">
        <f t="shared" si="118"/>
        <v>5.5</v>
      </c>
      <c r="O1238" s="134"/>
      <c r="P1238" s="259"/>
    </row>
    <row r="1239" spans="1:16">
      <c r="A1239" s="134">
        <v>500</v>
      </c>
      <c r="B1239" s="134" t="s">
        <v>4083</v>
      </c>
      <c r="C1239" s="129" t="s">
        <v>4084</v>
      </c>
      <c r="D1239" s="292">
        <v>0</v>
      </c>
      <c r="E1239" s="292">
        <v>0</v>
      </c>
      <c r="F1239" s="139">
        <f t="shared" si="119"/>
        <v>0</v>
      </c>
      <c r="G1239" s="292">
        <v>0</v>
      </c>
      <c r="H1239" s="292">
        <v>0</v>
      </c>
      <c r="I1239" s="139">
        <f t="shared" si="120"/>
        <v>0</v>
      </c>
      <c r="J1239" s="266">
        <f t="shared" si="121"/>
        <v>0</v>
      </c>
      <c r="K1239" s="136">
        <f t="shared" si="116"/>
        <v>0</v>
      </c>
      <c r="L1239" s="136">
        <f t="shared" si="117"/>
        <v>0</v>
      </c>
      <c r="M1239" s="136">
        <f t="shared" si="118"/>
        <v>0</v>
      </c>
      <c r="O1239" s="134"/>
      <c r="P1239" s="259"/>
    </row>
    <row r="1240" spans="1:16">
      <c r="A1240" s="134">
        <v>500</v>
      </c>
      <c r="B1240" s="134" t="s">
        <v>3347</v>
      </c>
      <c r="C1240" s="129" t="s">
        <v>3348</v>
      </c>
      <c r="D1240" s="292">
        <v>8</v>
      </c>
      <c r="E1240" s="292">
        <v>0</v>
      </c>
      <c r="F1240" s="139">
        <f t="shared" si="119"/>
        <v>8</v>
      </c>
      <c r="G1240" s="292">
        <v>5</v>
      </c>
      <c r="H1240" s="292">
        <v>0</v>
      </c>
      <c r="I1240" s="139">
        <f t="shared" si="120"/>
        <v>5</v>
      </c>
      <c r="J1240" s="266">
        <f t="shared" si="121"/>
        <v>0.625</v>
      </c>
      <c r="K1240" s="136">
        <f t="shared" si="116"/>
        <v>0</v>
      </c>
      <c r="L1240" s="136">
        <f t="shared" si="117"/>
        <v>0.5</v>
      </c>
      <c r="M1240" s="136">
        <f t="shared" si="118"/>
        <v>0.5</v>
      </c>
      <c r="O1240" s="134"/>
      <c r="P1240" s="259"/>
    </row>
    <row r="1241" spans="1:16">
      <c r="A1241" s="134">
        <v>500</v>
      </c>
      <c r="B1241" s="134" t="s">
        <v>3349</v>
      </c>
      <c r="C1241" s="129" t="s">
        <v>3350</v>
      </c>
      <c r="D1241" s="292">
        <v>728</v>
      </c>
      <c r="E1241" s="292">
        <v>0</v>
      </c>
      <c r="F1241" s="139">
        <f t="shared" si="119"/>
        <v>728</v>
      </c>
      <c r="G1241" s="292">
        <v>559</v>
      </c>
      <c r="H1241" s="292">
        <v>0</v>
      </c>
      <c r="I1241" s="139">
        <f t="shared" si="120"/>
        <v>559</v>
      </c>
      <c r="J1241" s="266">
        <f t="shared" si="121"/>
        <v>0.76790000000000003</v>
      </c>
      <c r="K1241" s="136">
        <f t="shared" si="116"/>
        <v>0</v>
      </c>
      <c r="L1241" s="136">
        <f t="shared" si="117"/>
        <v>58.7</v>
      </c>
      <c r="M1241" s="136">
        <f t="shared" si="118"/>
        <v>58.7</v>
      </c>
      <c r="O1241" s="134"/>
      <c r="P1241" s="259"/>
    </row>
    <row r="1242" spans="1:16">
      <c r="A1242" s="134">
        <v>500</v>
      </c>
      <c r="B1242" s="134" t="s">
        <v>3351</v>
      </c>
      <c r="C1242" s="129" t="s">
        <v>3352</v>
      </c>
      <c r="D1242" s="292">
        <v>462</v>
      </c>
      <c r="E1242" s="292">
        <v>0</v>
      </c>
      <c r="F1242" s="139">
        <f t="shared" si="119"/>
        <v>462</v>
      </c>
      <c r="G1242" s="292">
        <v>297</v>
      </c>
      <c r="H1242" s="292">
        <v>0</v>
      </c>
      <c r="I1242" s="139">
        <f t="shared" si="120"/>
        <v>297</v>
      </c>
      <c r="J1242" s="266">
        <f t="shared" si="121"/>
        <v>0.64290000000000003</v>
      </c>
      <c r="K1242" s="136">
        <f t="shared" si="116"/>
        <v>0</v>
      </c>
      <c r="L1242" s="136">
        <f t="shared" si="117"/>
        <v>31.2</v>
      </c>
      <c r="M1242" s="136">
        <f t="shared" si="118"/>
        <v>31.2</v>
      </c>
      <c r="O1242" s="134"/>
      <c r="P1242" s="259"/>
    </row>
    <row r="1243" spans="1:16">
      <c r="A1243" s="134">
        <v>500</v>
      </c>
      <c r="B1243" s="134" t="s">
        <v>3353</v>
      </c>
      <c r="C1243" s="129" t="s">
        <v>3354</v>
      </c>
      <c r="D1243" s="292">
        <v>538</v>
      </c>
      <c r="E1243" s="292">
        <v>0</v>
      </c>
      <c r="F1243" s="139">
        <f t="shared" si="119"/>
        <v>538</v>
      </c>
      <c r="G1243" s="292">
        <v>384</v>
      </c>
      <c r="H1243" s="292">
        <v>0</v>
      </c>
      <c r="I1243" s="139">
        <f t="shared" si="120"/>
        <v>384</v>
      </c>
      <c r="J1243" s="266">
        <f t="shared" si="121"/>
        <v>0.71379999999999999</v>
      </c>
      <c r="K1243" s="136">
        <f t="shared" si="116"/>
        <v>0</v>
      </c>
      <c r="L1243" s="136">
        <f t="shared" si="117"/>
        <v>40.299999999999997</v>
      </c>
      <c r="M1243" s="136">
        <f t="shared" si="118"/>
        <v>40.299999999999997</v>
      </c>
      <c r="O1243" s="134"/>
      <c r="P1243" s="259"/>
    </row>
    <row r="1244" spans="1:16">
      <c r="A1244" s="134">
        <v>501</v>
      </c>
      <c r="B1244" s="134" t="s">
        <v>3355</v>
      </c>
      <c r="C1244" s="129" t="s">
        <v>3356</v>
      </c>
      <c r="D1244" s="292">
        <v>17</v>
      </c>
      <c r="E1244" s="292">
        <v>0</v>
      </c>
      <c r="F1244" s="139">
        <f t="shared" si="119"/>
        <v>17</v>
      </c>
      <c r="G1244" s="292">
        <v>3</v>
      </c>
      <c r="H1244" s="292">
        <v>0</v>
      </c>
      <c r="I1244" s="139">
        <f t="shared" si="120"/>
        <v>3</v>
      </c>
      <c r="J1244" s="266">
        <f t="shared" si="121"/>
        <v>0.17649999999999999</v>
      </c>
      <c r="K1244" s="136">
        <f t="shared" si="116"/>
        <v>0</v>
      </c>
      <c r="L1244" s="136">
        <f t="shared" si="117"/>
        <v>0</v>
      </c>
      <c r="M1244" s="136">
        <f t="shared" si="118"/>
        <v>0</v>
      </c>
      <c r="O1244" s="134"/>
      <c r="P1244" s="259"/>
    </row>
    <row r="1245" spans="1:16">
      <c r="A1245" s="134">
        <v>501</v>
      </c>
      <c r="B1245" s="134" t="s">
        <v>3357</v>
      </c>
      <c r="C1245" s="129" t="s">
        <v>3358</v>
      </c>
      <c r="D1245" s="292">
        <v>368</v>
      </c>
      <c r="E1245" s="292">
        <v>0</v>
      </c>
      <c r="F1245" s="139">
        <f t="shared" si="119"/>
        <v>368</v>
      </c>
      <c r="G1245" s="292">
        <v>316</v>
      </c>
      <c r="H1245" s="292">
        <v>0</v>
      </c>
      <c r="I1245" s="139">
        <f t="shared" si="120"/>
        <v>316</v>
      </c>
      <c r="J1245" s="266">
        <f t="shared" si="121"/>
        <v>0.85870000000000002</v>
      </c>
      <c r="K1245" s="136">
        <f t="shared" si="116"/>
        <v>0</v>
      </c>
      <c r="L1245" s="136">
        <f t="shared" si="117"/>
        <v>33.200000000000003</v>
      </c>
      <c r="M1245" s="136">
        <f t="shared" si="118"/>
        <v>33.200000000000003</v>
      </c>
      <c r="O1245" s="134"/>
      <c r="P1245" s="259"/>
    </row>
    <row r="1246" spans="1:16">
      <c r="A1246" s="134">
        <v>501</v>
      </c>
      <c r="B1246" s="134" t="s">
        <v>3359</v>
      </c>
      <c r="C1246" s="129" t="s">
        <v>3360</v>
      </c>
      <c r="D1246" s="292">
        <v>714</v>
      </c>
      <c r="E1246" s="292">
        <v>0</v>
      </c>
      <c r="F1246" s="139">
        <f t="shared" si="119"/>
        <v>714</v>
      </c>
      <c r="G1246" s="292">
        <v>465</v>
      </c>
      <c r="H1246" s="292">
        <v>0</v>
      </c>
      <c r="I1246" s="139">
        <f t="shared" si="120"/>
        <v>465</v>
      </c>
      <c r="J1246" s="266">
        <f t="shared" si="121"/>
        <v>0.65129999999999999</v>
      </c>
      <c r="K1246" s="136">
        <f t="shared" si="116"/>
        <v>0</v>
      </c>
      <c r="L1246" s="136">
        <f t="shared" si="117"/>
        <v>48.8</v>
      </c>
      <c r="M1246" s="136">
        <f t="shared" si="118"/>
        <v>48.8</v>
      </c>
      <c r="O1246" s="134"/>
      <c r="P1246" s="259"/>
    </row>
    <row r="1247" spans="1:16">
      <c r="A1247" s="134">
        <v>501</v>
      </c>
      <c r="B1247" s="134" t="s">
        <v>4085</v>
      </c>
      <c r="C1247" s="129" t="s">
        <v>4086</v>
      </c>
      <c r="D1247" s="292">
        <v>0</v>
      </c>
      <c r="E1247" s="292">
        <v>0</v>
      </c>
      <c r="F1247" s="139">
        <f t="shared" si="119"/>
        <v>0</v>
      </c>
      <c r="G1247" s="292">
        <v>0</v>
      </c>
      <c r="H1247" s="292">
        <v>0</v>
      </c>
      <c r="I1247" s="139">
        <f t="shared" si="120"/>
        <v>0</v>
      </c>
      <c r="J1247" s="266">
        <f t="shared" si="121"/>
        <v>0</v>
      </c>
      <c r="K1247" s="136">
        <f t="shared" si="116"/>
        <v>0</v>
      </c>
      <c r="L1247" s="136">
        <f t="shared" si="117"/>
        <v>0</v>
      </c>
      <c r="M1247" s="136">
        <f t="shared" si="118"/>
        <v>0</v>
      </c>
      <c r="O1247" s="134"/>
      <c r="P1247" s="259"/>
    </row>
    <row r="1248" spans="1:16">
      <c r="A1248" s="134">
        <v>501</v>
      </c>
      <c r="B1248" s="134" t="s">
        <v>3361</v>
      </c>
      <c r="C1248" s="129" t="s">
        <v>3362</v>
      </c>
      <c r="D1248" s="292">
        <v>308</v>
      </c>
      <c r="E1248" s="292">
        <v>0</v>
      </c>
      <c r="F1248" s="139">
        <f t="shared" si="119"/>
        <v>308</v>
      </c>
      <c r="G1248" s="292">
        <v>265</v>
      </c>
      <c r="H1248" s="292">
        <v>0</v>
      </c>
      <c r="I1248" s="139">
        <f t="shared" si="120"/>
        <v>265</v>
      </c>
      <c r="J1248" s="266">
        <f t="shared" si="121"/>
        <v>0.86040000000000005</v>
      </c>
      <c r="K1248" s="136">
        <f t="shared" si="116"/>
        <v>0</v>
      </c>
      <c r="L1248" s="136">
        <f t="shared" si="117"/>
        <v>27.8</v>
      </c>
      <c r="M1248" s="136">
        <f t="shared" si="118"/>
        <v>27.8</v>
      </c>
      <c r="O1248" s="134"/>
      <c r="P1248" s="259"/>
    </row>
    <row r="1249" spans="1:16">
      <c r="A1249" s="134">
        <v>501</v>
      </c>
      <c r="B1249" s="134" t="s">
        <v>3363</v>
      </c>
      <c r="C1249" s="129" t="s">
        <v>3364</v>
      </c>
      <c r="D1249" s="292">
        <v>531</v>
      </c>
      <c r="E1249" s="292">
        <v>0</v>
      </c>
      <c r="F1249" s="139">
        <f t="shared" si="119"/>
        <v>531</v>
      </c>
      <c r="G1249" s="292">
        <v>431</v>
      </c>
      <c r="H1249" s="292">
        <v>0</v>
      </c>
      <c r="I1249" s="139">
        <f t="shared" si="120"/>
        <v>431</v>
      </c>
      <c r="J1249" s="266">
        <f t="shared" si="121"/>
        <v>0.81169999999999998</v>
      </c>
      <c r="K1249" s="136">
        <f t="shared" si="116"/>
        <v>0</v>
      </c>
      <c r="L1249" s="136">
        <f t="shared" si="117"/>
        <v>45.3</v>
      </c>
      <c r="M1249" s="136">
        <f t="shared" si="118"/>
        <v>45.3</v>
      </c>
      <c r="O1249" s="134"/>
      <c r="P1249" s="259"/>
    </row>
    <row r="1250" spans="1:16">
      <c r="A1250" s="134">
        <v>501</v>
      </c>
      <c r="B1250" s="134" t="s">
        <v>3365</v>
      </c>
      <c r="C1250" s="129" t="s">
        <v>3366</v>
      </c>
      <c r="D1250" s="292">
        <v>84</v>
      </c>
      <c r="E1250" s="292">
        <v>0</v>
      </c>
      <c r="F1250" s="139">
        <f t="shared" si="119"/>
        <v>84</v>
      </c>
      <c r="G1250" s="292">
        <v>60</v>
      </c>
      <c r="H1250" s="292">
        <v>0</v>
      </c>
      <c r="I1250" s="139">
        <f t="shared" si="120"/>
        <v>60</v>
      </c>
      <c r="J1250" s="266">
        <f t="shared" si="121"/>
        <v>0.71430000000000005</v>
      </c>
      <c r="K1250" s="136">
        <f t="shared" si="116"/>
        <v>0</v>
      </c>
      <c r="L1250" s="136">
        <f t="shared" si="117"/>
        <v>6.3</v>
      </c>
      <c r="M1250" s="136">
        <f t="shared" si="118"/>
        <v>6.3</v>
      </c>
      <c r="O1250" s="134"/>
      <c r="P1250" s="259"/>
    </row>
    <row r="1251" spans="1:16">
      <c r="A1251" s="134">
        <v>501</v>
      </c>
      <c r="B1251" s="134" t="s">
        <v>3367</v>
      </c>
      <c r="C1251" s="129" t="s">
        <v>3368</v>
      </c>
      <c r="D1251" s="292">
        <v>287</v>
      </c>
      <c r="E1251" s="292">
        <v>0</v>
      </c>
      <c r="F1251" s="139">
        <f t="shared" si="119"/>
        <v>287</v>
      </c>
      <c r="G1251" s="292">
        <v>227</v>
      </c>
      <c r="H1251" s="292">
        <v>0</v>
      </c>
      <c r="I1251" s="139">
        <f t="shared" si="120"/>
        <v>227</v>
      </c>
      <c r="J1251" s="266">
        <f t="shared" si="121"/>
        <v>0.79090000000000005</v>
      </c>
      <c r="K1251" s="136">
        <f t="shared" si="116"/>
        <v>0</v>
      </c>
      <c r="L1251" s="136">
        <f t="shared" si="117"/>
        <v>23.8</v>
      </c>
      <c r="M1251" s="136">
        <f t="shared" si="118"/>
        <v>23.8</v>
      </c>
      <c r="O1251" s="134"/>
      <c r="P1251" s="259"/>
    </row>
    <row r="1252" spans="1:16">
      <c r="A1252" s="134">
        <v>501</v>
      </c>
      <c r="B1252" s="134" t="s">
        <v>3369</v>
      </c>
      <c r="C1252" s="129" t="s">
        <v>3370</v>
      </c>
      <c r="D1252" s="292">
        <v>392</v>
      </c>
      <c r="E1252" s="292">
        <v>0</v>
      </c>
      <c r="F1252" s="139">
        <f t="shared" si="119"/>
        <v>392</v>
      </c>
      <c r="G1252" s="292">
        <v>233</v>
      </c>
      <c r="H1252" s="292">
        <v>0</v>
      </c>
      <c r="I1252" s="139">
        <f t="shared" si="120"/>
        <v>233</v>
      </c>
      <c r="J1252" s="266">
        <f t="shared" si="121"/>
        <v>0.59440000000000004</v>
      </c>
      <c r="K1252" s="136">
        <f t="shared" si="116"/>
        <v>0</v>
      </c>
      <c r="L1252" s="136">
        <f t="shared" si="117"/>
        <v>24.5</v>
      </c>
      <c r="M1252" s="136">
        <f t="shared" si="118"/>
        <v>24.5</v>
      </c>
      <c r="O1252" s="134"/>
      <c r="P1252" s="259"/>
    </row>
    <row r="1253" spans="1:16">
      <c r="A1253" s="134">
        <v>501</v>
      </c>
      <c r="B1253" s="134" t="s">
        <v>3371</v>
      </c>
      <c r="C1253" s="129" t="s">
        <v>3372</v>
      </c>
      <c r="D1253" s="292">
        <v>312</v>
      </c>
      <c r="E1253" s="292">
        <v>0</v>
      </c>
      <c r="F1253" s="139">
        <f t="shared" si="119"/>
        <v>312</v>
      </c>
      <c r="G1253" s="292">
        <v>192</v>
      </c>
      <c r="H1253" s="292">
        <v>0</v>
      </c>
      <c r="I1253" s="139">
        <f t="shared" si="120"/>
        <v>192</v>
      </c>
      <c r="J1253" s="266">
        <f t="shared" si="121"/>
        <v>0.61539999999999995</v>
      </c>
      <c r="K1253" s="136">
        <f t="shared" si="116"/>
        <v>0</v>
      </c>
      <c r="L1253" s="136">
        <f t="shared" si="117"/>
        <v>20.2</v>
      </c>
      <c r="M1253" s="136">
        <f t="shared" si="118"/>
        <v>20.2</v>
      </c>
      <c r="O1253" s="134"/>
      <c r="P1253" s="259"/>
    </row>
    <row r="1254" spans="1:16">
      <c r="A1254" s="134">
        <v>501</v>
      </c>
      <c r="B1254" s="134" t="s">
        <v>3373</v>
      </c>
      <c r="C1254" s="129" t="s">
        <v>3374</v>
      </c>
      <c r="D1254" s="292">
        <v>434</v>
      </c>
      <c r="E1254" s="292">
        <v>0</v>
      </c>
      <c r="F1254" s="139">
        <f t="shared" si="119"/>
        <v>434</v>
      </c>
      <c r="G1254" s="292">
        <v>276</v>
      </c>
      <c r="H1254" s="292">
        <v>0</v>
      </c>
      <c r="I1254" s="139">
        <f t="shared" si="120"/>
        <v>276</v>
      </c>
      <c r="J1254" s="266">
        <f t="shared" si="121"/>
        <v>0.63590000000000002</v>
      </c>
      <c r="K1254" s="136">
        <f t="shared" si="116"/>
        <v>0</v>
      </c>
      <c r="L1254" s="136">
        <f t="shared" si="117"/>
        <v>29</v>
      </c>
      <c r="M1254" s="136">
        <f t="shared" si="118"/>
        <v>29</v>
      </c>
      <c r="O1254" s="134"/>
      <c r="P1254" s="259"/>
    </row>
    <row r="1255" spans="1:16">
      <c r="A1255" s="134">
        <v>501</v>
      </c>
      <c r="B1255" s="134" t="s">
        <v>3375</v>
      </c>
      <c r="C1255" s="129" t="s">
        <v>3376</v>
      </c>
      <c r="D1255" s="292">
        <v>426</v>
      </c>
      <c r="E1255" s="292">
        <v>0</v>
      </c>
      <c r="F1255" s="139">
        <f t="shared" si="119"/>
        <v>426</v>
      </c>
      <c r="G1255" s="292">
        <v>334</v>
      </c>
      <c r="H1255" s="292">
        <v>0</v>
      </c>
      <c r="I1255" s="139">
        <f t="shared" si="120"/>
        <v>334</v>
      </c>
      <c r="J1255" s="266">
        <f t="shared" si="121"/>
        <v>0.78400000000000003</v>
      </c>
      <c r="K1255" s="136">
        <f t="shared" si="116"/>
        <v>0</v>
      </c>
      <c r="L1255" s="136">
        <f t="shared" si="117"/>
        <v>35.1</v>
      </c>
      <c r="M1255" s="136">
        <f t="shared" si="118"/>
        <v>35.1</v>
      </c>
      <c r="O1255" s="134"/>
      <c r="P1255" s="259"/>
    </row>
    <row r="1256" spans="1:16">
      <c r="A1256" s="134">
        <v>501</v>
      </c>
      <c r="B1256" s="134" t="s">
        <v>3377</v>
      </c>
      <c r="C1256" s="129" t="s">
        <v>3378</v>
      </c>
      <c r="D1256" s="292">
        <v>155</v>
      </c>
      <c r="E1256" s="292">
        <v>0</v>
      </c>
      <c r="F1256" s="139">
        <f t="shared" si="119"/>
        <v>155</v>
      </c>
      <c r="G1256" s="292">
        <v>122</v>
      </c>
      <c r="H1256" s="292">
        <v>0</v>
      </c>
      <c r="I1256" s="139">
        <f t="shared" si="120"/>
        <v>122</v>
      </c>
      <c r="J1256" s="266">
        <f t="shared" si="121"/>
        <v>0.78710000000000002</v>
      </c>
      <c r="K1256" s="136">
        <f t="shared" si="116"/>
        <v>0</v>
      </c>
      <c r="L1256" s="136">
        <f t="shared" si="117"/>
        <v>12.8</v>
      </c>
      <c r="M1256" s="136">
        <f t="shared" si="118"/>
        <v>12.8</v>
      </c>
      <c r="O1256" s="134"/>
      <c r="P1256" s="259"/>
    </row>
    <row r="1257" spans="1:16">
      <c r="A1257" s="134">
        <v>501</v>
      </c>
      <c r="B1257" s="134" t="s">
        <v>3379</v>
      </c>
      <c r="C1257" s="129" t="s">
        <v>3380</v>
      </c>
      <c r="D1257" s="292">
        <v>350</v>
      </c>
      <c r="E1257" s="292">
        <v>0</v>
      </c>
      <c r="F1257" s="139">
        <f t="shared" si="119"/>
        <v>350</v>
      </c>
      <c r="G1257" s="292">
        <v>236</v>
      </c>
      <c r="H1257" s="292">
        <v>0</v>
      </c>
      <c r="I1257" s="139">
        <f t="shared" si="120"/>
        <v>236</v>
      </c>
      <c r="J1257" s="266">
        <f t="shared" si="121"/>
        <v>0.67430000000000001</v>
      </c>
      <c r="K1257" s="136">
        <f t="shared" si="116"/>
        <v>0</v>
      </c>
      <c r="L1257" s="136">
        <f t="shared" si="117"/>
        <v>24.8</v>
      </c>
      <c r="M1257" s="136">
        <f t="shared" si="118"/>
        <v>24.8</v>
      </c>
      <c r="O1257" s="134"/>
      <c r="P1257" s="259"/>
    </row>
    <row r="1258" spans="1:16">
      <c r="A1258" s="134">
        <v>501</v>
      </c>
      <c r="B1258" s="134" t="s">
        <v>3381</v>
      </c>
      <c r="C1258" s="129" t="s">
        <v>3382</v>
      </c>
      <c r="D1258" s="292">
        <v>386</v>
      </c>
      <c r="E1258" s="292">
        <v>0</v>
      </c>
      <c r="F1258" s="139">
        <f t="shared" si="119"/>
        <v>386</v>
      </c>
      <c r="G1258" s="292">
        <v>301</v>
      </c>
      <c r="H1258" s="292">
        <v>0</v>
      </c>
      <c r="I1258" s="139">
        <f t="shared" si="120"/>
        <v>301</v>
      </c>
      <c r="J1258" s="266">
        <f t="shared" si="121"/>
        <v>0.77980000000000005</v>
      </c>
      <c r="K1258" s="136">
        <f t="shared" si="116"/>
        <v>0</v>
      </c>
      <c r="L1258" s="136">
        <f t="shared" si="117"/>
        <v>31.6</v>
      </c>
      <c r="M1258" s="136">
        <f t="shared" si="118"/>
        <v>31.6</v>
      </c>
      <c r="O1258" s="134"/>
      <c r="P1258" s="259"/>
    </row>
    <row r="1259" spans="1:16">
      <c r="A1259" s="134">
        <v>501</v>
      </c>
      <c r="B1259" s="134" t="s">
        <v>3383</v>
      </c>
      <c r="C1259" s="129" t="s">
        <v>1801</v>
      </c>
      <c r="D1259" s="292">
        <v>348</v>
      </c>
      <c r="E1259" s="292">
        <v>0</v>
      </c>
      <c r="F1259" s="139">
        <f t="shared" si="119"/>
        <v>348</v>
      </c>
      <c r="G1259" s="292">
        <v>263</v>
      </c>
      <c r="H1259" s="292">
        <v>0</v>
      </c>
      <c r="I1259" s="139">
        <f t="shared" si="120"/>
        <v>263</v>
      </c>
      <c r="J1259" s="266">
        <f t="shared" si="121"/>
        <v>0.75570000000000004</v>
      </c>
      <c r="K1259" s="136">
        <f t="shared" si="116"/>
        <v>0</v>
      </c>
      <c r="L1259" s="136">
        <f t="shared" si="117"/>
        <v>27.6</v>
      </c>
      <c r="M1259" s="136">
        <f t="shared" si="118"/>
        <v>27.6</v>
      </c>
      <c r="O1259" s="134"/>
      <c r="P1259" s="259"/>
    </row>
    <row r="1260" spans="1:16">
      <c r="A1260" s="134">
        <v>501</v>
      </c>
      <c r="B1260" s="134" t="s">
        <v>3384</v>
      </c>
      <c r="C1260" s="129" t="s">
        <v>3385</v>
      </c>
      <c r="D1260" s="292">
        <v>419</v>
      </c>
      <c r="E1260" s="292">
        <v>0</v>
      </c>
      <c r="F1260" s="139">
        <f t="shared" si="119"/>
        <v>419</v>
      </c>
      <c r="G1260" s="292">
        <v>335</v>
      </c>
      <c r="H1260" s="292">
        <v>0</v>
      </c>
      <c r="I1260" s="139">
        <f t="shared" si="120"/>
        <v>335</v>
      </c>
      <c r="J1260" s="266">
        <f t="shared" si="121"/>
        <v>0.79949999999999999</v>
      </c>
      <c r="K1260" s="136">
        <f t="shared" si="116"/>
        <v>0</v>
      </c>
      <c r="L1260" s="136">
        <f t="shared" si="117"/>
        <v>35.200000000000003</v>
      </c>
      <c r="M1260" s="136">
        <f t="shared" si="118"/>
        <v>35.200000000000003</v>
      </c>
      <c r="O1260" s="134"/>
      <c r="P1260" s="259"/>
    </row>
    <row r="1261" spans="1:16">
      <c r="A1261" s="134">
        <v>501</v>
      </c>
      <c r="B1261" s="134" t="s">
        <v>3386</v>
      </c>
      <c r="C1261" s="129" t="s">
        <v>3387</v>
      </c>
      <c r="D1261" s="292">
        <v>434</v>
      </c>
      <c r="E1261" s="292">
        <v>0</v>
      </c>
      <c r="F1261" s="139">
        <f t="shared" si="119"/>
        <v>434</v>
      </c>
      <c r="G1261" s="292">
        <v>239</v>
      </c>
      <c r="H1261" s="292">
        <v>0</v>
      </c>
      <c r="I1261" s="139">
        <f t="shared" si="120"/>
        <v>239</v>
      </c>
      <c r="J1261" s="266">
        <f t="shared" si="121"/>
        <v>0.55069999999999997</v>
      </c>
      <c r="K1261" s="136">
        <f t="shared" si="116"/>
        <v>0</v>
      </c>
      <c r="L1261" s="136">
        <f t="shared" si="117"/>
        <v>25.1</v>
      </c>
      <c r="M1261" s="136">
        <f t="shared" si="118"/>
        <v>25.1</v>
      </c>
      <c r="O1261" s="134"/>
      <c r="P1261" s="259"/>
    </row>
    <row r="1262" spans="1:16">
      <c r="A1262" s="134">
        <v>501</v>
      </c>
      <c r="B1262" s="134" t="s">
        <v>3388</v>
      </c>
      <c r="C1262" s="129" t="s">
        <v>3389</v>
      </c>
      <c r="D1262" s="292">
        <v>434</v>
      </c>
      <c r="E1262" s="292">
        <v>0</v>
      </c>
      <c r="F1262" s="139">
        <f t="shared" si="119"/>
        <v>434</v>
      </c>
      <c r="G1262" s="292">
        <v>382</v>
      </c>
      <c r="H1262" s="292">
        <v>0</v>
      </c>
      <c r="I1262" s="139">
        <f t="shared" si="120"/>
        <v>382</v>
      </c>
      <c r="J1262" s="266">
        <f t="shared" si="121"/>
        <v>0.88019999999999998</v>
      </c>
      <c r="K1262" s="136">
        <f t="shared" si="116"/>
        <v>0</v>
      </c>
      <c r="L1262" s="136">
        <f t="shared" si="117"/>
        <v>40.1</v>
      </c>
      <c r="M1262" s="136">
        <f t="shared" si="118"/>
        <v>40.1</v>
      </c>
      <c r="O1262" s="134"/>
      <c r="P1262" s="259"/>
    </row>
    <row r="1263" spans="1:16">
      <c r="A1263" s="134">
        <v>501</v>
      </c>
      <c r="B1263" s="134" t="s">
        <v>3390</v>
      </c>
      <c r="C1263" s="129" t="s">
        <v>3140</v>
      </c>
      <c r="D1263" s="292">
        <v>427</v>
      </c>
      <c r="E1263" s="292">
        <v>0</v>
      </c>
      <c r="F1263" s="139">
        <f t="shared" si="119"/>
        <v>427</v>
      </c>
      <c r="G1263" s="292">
        <v>334</v>
      </c>
      <c r="H1263" s="292">
        <v>0</v>
      </c>
      <c r="I1263" s="139">
        <f t="shared" si="120"/>
        <v>334</v>
      </c>
      <c r="J1263" s="266">
        <f t="shared" si="121"/>
        <v>0.78220000000000001</v>
      </c>
      <c r="K1263" s="136">
        <f t="shared" si="116"/>
        <v>0</v>
      </c>
      <c r="L1263" s="136">
        <f t="shared" si="117"/>
        <v>35.1</v>
      </c>
      <c r="M1263" s="136">
        <f t="shared" si="118"/>
        <v>35.1</v>
      </c>
      <c r="O1263" s="134"/>
      <c r="P1263" s="259"/>
    </row>
    <row r="1264" spans="1:16">
      <c r="A1264" s="134">
        <v>501</v>
      </c>
      <c r="B1264" s="134" t="s">
        <v>3391</v>
      </c>
      <c r="C1264" s="129" t="s">
        <v>3392</v>
      </c>
      <c r="D1264" s="292">
        <v>512</v>
      </c>
      <c r="E1264" s="292">
        <v>0</v>
      </c>
      <c r="F1264" s="139">
        <f t="shared" si="119"/>
        <v>512</v>
      </c>
      <c r="G1264" s="292">
        <v>345</v>
      </c>
      <c r="H1264" s="292">
        <v>0</v>
      </c>
      <c r="I1264" s="139">
        <f t="shared" si="120"/>
        <v>345</v>
      </c>
      <c r="J1264" s="266">
        <f t="shared" si="121"/>
        <v>0.67379999999999995</v>
      </c>
      <c r="K1264" s="136">
        <f t="shared" si="116"/>
        <v>0</v>
      </c>
      <c r="L1264" s="136">
        <f t="shared" si="117"/>
        <v>36.200000000000003</v>
      </c>
      <c r="M1264" s="136">
        <f t="shared" si="118"/>
        <v>36.200000000000003</v>
      </c>
      <c r="O1264" s="134"/>
      <c r="P1264" s="259"/>
    </row>
    <row r="1265" spans="1:16">
      <c r="A1265" s="134">
        <v>501</v>
      </c>
      <c r="B1265" s="134" t="s">
        <v>3393</v>
      </c>
      <c r="C1265" s="129" t="s">
        <v>3394</v>
      </c>
      <c r="D1265" s="292">
        <v>421</v>
      </c>
      <c r="E1265" s="292">
        <v>0</v>
      </c>
      <c r="F1265" s="139">
        <f t="shared" si="119"/>
        <v>421</v>
      </c>
      <c r="G1265" s="292">
        <v>265</v>
      </c>
      <c r="H1265" s="292">
        <v>0</v>
      </c>
      <c r="I1265" s="139">
        <f t="shared" si="120"/>
        <v>265</v>
      </c>
      <c r="J1265" s="266">
        <f t="shared" si="121"/>
        <v>0.62949999999999995</v>
      </c>
      <c r="K1265" s="136">
        <f t="shared" si="116"/>
        <v>0</v>
      </c>
      <c r="L1265" s="136">
        <f t="shared" si="117"/>
        <v>27.8</v>
      </c>
      <c r="M1265" s="136">
        <f t="shared" si="118"/>
        <v>27.8</v>
      </c>
      <c r="O1265" s="134"/>
      <c r="P1265" s="259"/>
    </row>
    <row r="1266" spans="1:16">
      <c r="A1266" s="134">
        <v>501</v>
      </c>
      <c r="B1266" s="134" t="s">
        <v>3395</v>
      </c>
      <c r="C1266" s="129" t="s">
        <v>3396</v>
      </c>
      <c r="D1266" s="292">
        <v>462</v>
      </c>
      <c r="E1266" s="292">
        <v>0</v>
      </c>
      <c r="F1266" s="139">
        <f t="shared" si="119"/>
        <v>462</v>
      </c>
      <c r="G1266" s="292">
        <v>267</v>
      </c>
      <c r="H1266" s="292">
        <v>0</v>
      </c>
      <c r="I1266" s="139">
        <f t="shared" si="120"/>
        <v>267</v>
      </c>
      <c r="J1266" s="266">
        <f t="shared" si="121"/>
        <v>0.57789999999999997</v>
      </c>
      <c r="K1266" s="136">
        <f t="shared" si="116"/>
        <v>0</v>
      </c>
      <c r="L1266" s="136">
        <f t="shared" si="117"/>
        <v>28</v>
      </c>
      <c r="M1266" s="136">
        <f t="shared" si="118"/>
        <v>28</v>
      </c>
      <c r="O1266" s="134"/>
      <c r="P1266" s="259"/>
    </row>
    <row r="1267" spans="1:16">
      <c r="A1267" s="134">
        <v>501</v>
      </c>
      <c r="B1267" s="134" t="s">
        <v>3397</v>
      </c>
      <c r="C1267" s="129" t="s">
        <v>3398</v>
      </c>
      <c r="D1267" s="292">
        <v>836</v>
      </c>
      <c r="E1267" s="292">
        <v>0</v>
      </c>
      <c r="F1267" s="139">
        <f t="shared" si="119"/>
        <v>836</v>
      </c>
      <c r="G1267" s="292">
        <v>640</v>
      </c>
      <c r="H1267" s="292">
        <v>0</v>
      </c>
      <c r="I1267" s="139">
        <f t="shared" si="120"/>
        <v>640</v>
      </c>
      <c r="J1267" s="266">
        <f t="shared" si="121"/>
        <v>0.76559999999999995</v>
      </c>
      <c r="K1267" s="136">
        <f t="shared" si="116"/>
        <v>0</v>
      </c>
      <c r="L1267" s="136">
        <f t="shared" si="117"/>
        <v>67.2</v>
      </c>
      <c r="M1267" s="136">
        <f t="shared" si="118"/>
        <v>67.2</v>
      </c>
      <c r="O1267" s="134"/>
      <c r="P1267" s="259"/>
    </row>
    <row r="1268" spans="1:16">
      <c r="A1268" s="134">
        <v>501</v>
      </c>
      <c r="B1268" s="134" t="s">
        <v>3399</v>
      </c>
      <c r="C1268" s="129" t="s">
        <v>3400</v>
      </c>
      <c r="D1268" s="292">
        <v>1508</v>
      </c>
      <c r="E1268" s="292">
        <v>0</v>
      </c>
      <c r="F1268" s="139">
        <f t="shared" si="119"/>
        <v>1508</v>
      </c>
      <c r="G1268" s="292">
        <v>953</v>
      </c>
      <c r="H1268" s="292">
        <v>0</v>
      </c>
      <c r="I1268" s="139">
        <f t="shared" si="120"/>
        <v>953</v>
      </c>
      <c r="J1268" s="266">
        <f t="shared" si="121"/>
        <v>0.63200000000000001</v>
      </c>
      <c r="K1268" s="136">
        <f t="shared" si="116"/>
        <v>0</v>
      </c>
      <c r="L1268" s="136">
        <f t="shared" si="117"/>
        <v>100.1</v>
      </c>
      <c r="M1268" s="136">
        <f t="shared" si="118"/>
        <v>100.1</v>
      </c>
      <c r="O1268" s="134"/>
      <c r="P1268" s="259"/>
    </row>
    <row r="1269" spans="1:16">
      <c r="A1269" s="134">
        <v>501</v>
      </c>
      <c r="B1269" s="134" t="s">
        <v>3401</v>
      </c>
      <c r="C1269" s="129" t="s">
        <v>3402</v>
      </c>
      <c r="D1269" s="292">
        <v>1010</v>
      </c>
      <c r="E1269" s="292">
        <v>0</v>
      </c>
      <c r="F1269" s="139">
        <f t="shared" si="119"/>
        <v>1010</v>
      </c>
      <c r="G1269" s="292">
        <v>495</v>
      </c>
      <c r="H1269" s="292">
        <v>0</v>
      </c>
      <c r="I1269" s="139">
        <f t="shared" si="120"/>
        <v>495</v>
      </c>
      <c r="J1269" s="266">
        <f t="shared" si="121"/>
        <v>0.49009999999999998</v>
      </c>
      <c r="K1269" s="136">
        <f t="shared" si="116"/>
        <v>48.5</v>
      </c>
      <c r="L1269" s="136">
        <f t="shared" si="117"/>
        <v>0</v>
      </c>
      <c r="M1269" s="136">
        <f t="shared" si="118"/>
        <v>48.5</v>
      </c>
      <c r="O1269" s="134"/>
      <c r="P1269" s="259"/>
    </row>
    <row r="1270" spans="1:16">
      <c r="A1270" s="134">
        <v>501</v>
      </c>
      <c r="B1270" s="134" t="s">
        <v>3403</v>
      </c>
      <c r="C1270" s="129" t="s">
        <v>3404</v>
      </c>
      <c r="D1270" s="292">
        <v>64</v>
      </c>
      <c r="E1270" s="292">
        <v>0</v>
      </c>
      <c r="F1270" s="139">
        <f t="shared" si="119"/>
        <v>64</v>
      </c>
      <c r="G1270" s="292">
        <v>51</v>
      </c>
      <c r="H1270" s="292">
        <v>0</v>
      </c>
      <c r="I1270" s="139">
        <f t="shared" si="120"/>
        <v>51</v>
      </c>
      <c r="J1270" s="266">
        <f t="shared" si="121"/>
        <v>0.79690000000000005</v>
      </c>
      <c r="K1270" s="136">
        <f t="shared" si="116"/>
        <v>0</v>
      </c>
      <c r="L1270" s="136">
        <f t="shared" si="117"/>
        <v>5.4</v>
      </c>
      <c r="M1270" s="136">
        <f t="shared" si="118"/>
        <v>5.4</v>
      </c>
      <c r="O1270" s="134"/>
      <c r="P1270" s="259"/>
    </row>
    <row r="1271" spans="1:16">
      <c r="A1271" s="134">
        <v>502</v>
      </c>
      <c r="B1271" s="134" t="s">
        <v>3405</v>
      </c>
      <c r="C1271" s="129" t="s">
        <v>3406</v>
      </c>
      <c r="D1271" s="292">
        <v>73</v>
      </c>
      <c r="E1271" s="292">
        <v>0</v>
      </c>
      <c r="F1271" s="139">
        <f t="shared" si="119"/>
        <v>73</v>
      </c>
      <c r="G1271" s="292">
        <v>35</v>
      </c>
      <c r="H1271" s="292">
        <v>0</v>
      </c>
      <c r="I1271" s="139">
        <f t="shared" si="120"/>
        <v>35</v>
      </c>
      <c r="J1271" s="266">
        <f t="shared" si="121"/>
        <v>0.47949999999999998</v>
      </c>
      <c r="K1271" s="136">
        <f t="shared" si="116"/>
        <v>3.2</v>
      </c>
      <c r="L1271" s="136">
        <f t="shared" si="117"/>
        <v>0</v>
      </c>
      <c r="M1271" s="136">
        <f t="shared" si="118"/>
        <v>3.2</v>
      </c>
      <c r="O1271" s="134"/>
      <c r="P1271" s="259"/>
    </row>
    <row r="1272" spans="1:16">
      <c r="A1272" s="134">
        <v>503</v>
      </c>
      <c r="B1272" s="134" t="s">
        <v>3407</v>
      </c>
      <c r="C1272" s="129" t="s">
        <v>3408</v>
      </c>
      <c r="D1272" s="292">
        <v>263</v>
      </c>
      <c r="E1272" s="292">
        <v>0</v>
      </c>
      <c r="F1272" s="139">
        <f t="shared" si="119"/>
        <v>263</v>
      </c>
      <c r="G1272" s="292">
        <v>183</v>
      </c>
      <c r="H1272" s="292">
        <v>0</v>
      </c>
      <c r="I1272" s="139">
        <f t="shared" si="120"/>
        <v>183</v>
      </c>
      <c r="J1272" s="266">
        <f t="shared" si="121"/>
        <v>0.69579999999999997</v>
      </c>
      <c r="K1272" s="136">
        <f t="shared" si="116"/>
        <v>0</v>
      </c>
      <c r="L1272" s="136">
        <f t="shared" si="117"/>
        <v>19.2</v>
      </c>
      <c r="M1272" s="136">
        <f t="shared" si="118"/>
        <v>19.2</v>
      </c>
      <c r="O1272" s="134"/>
      <c r="P1272" s="259"/>
    </row>
    <row r="1273" spans="1:16">
      <c r="A1273" s="134">
        <v>503</v>
      </c>
      <c r="B1273" s="134" t="s">
        <v>3409</v>
      </c>
      <c r="C1273" s="129" t="s">
        <v>3410</v>
      </c>
      <c r="D1273" s="292">
        <v>414</v>
      </c>
      <c r="E1273" s="292">
        <v>0</v>
      </c>
      <c r="F1273" s="139">
        <f t="shared" si="119"/>
        <v>414</v>
      </c>
      <c r="G1273" s="292">
        <v>264</v>
      </c>
      <c r="H1273" s="292">
        <v>0</v>
      </c>
      <c r="I1273" s="139">
        <f t="shared" si="120"/>
        <v>264</v>
      </c>
      <c r="J1273" s="266">
        <f t="shared" si="121"/>
        <v>0.63770000000000004</v>
      </c>
      <c r="K1273" s="136">
        <f t="shared" si="116"/>
        <v>0</v>
      </c>
      <c r="L1273" s="136">
        <f t="shared" si="117"/>
        <v>27.7</v>
      </c>
      <c r="M1273" s="136">
        <f t="shared" si="118"/>
        <v>27.7</v>
      </c>
      <c r="O1273" s="134"/>
      <c r="P1273" s="259"/>
    </row>
    <row r="1274" spans="1:16">
      <c r="A1274" s="134">
        <v>503</v>
      </c>
      <c r="B1274" s="134" t="s">
        <v>3411</v>
      </c>
      <c r="C1274" s="129" t="s">
        <v>3412</v>
      </c>
      <c r="D1274" s="292">
        <v>189</v>
      </c>
      <c r="E1274" s="292">
        <v>0</v>
      </c>
      <c r="F1274" s="139">
        <f t="shared" si="119"/>
        <v>189</v>
      </c>
      <c r="G1274" s="292">
        <v>128</v>
      </c>
      <c r="H1274" s="292">
        <v>0</v>
      </c>
      <c r="I1274" s="139">
        <f t="shared" si="120"/>
        <v>128</v>
      </c>
      <c r="J1274" s="266">
        <f t="shared" si="121"/>
        <v>0.67720000000000002</v>
      </c>
      <c r="K1274" s="136">
        <f t="shared" si="116"/>
        <v>0</v>
      </c>
      <c r="L1274" s="136">
        <f t="shared" si="117"/>
        <v>13.4</v>
      </c>
      <c r="M1274" s="136">
        <f t="shared" si="118"/>
        <v>13.4</v>
      </c>
      <c r="O1274" s="134"/>
      <c r="P1274" s="259"/>
    </row>
    <row r="1275" spans="1:16">
      <c r="A1275" s="134">
        <v>503</v>
      </c>
      <c r="B1275" s="134" t="s">
        <v>3413</v>
      </c>
      <c r="C1275" s="129" t="s">
        <v>3414</v>
      </c>
      <c r="D1275" s="292">
        <v>188</v>
      </c>
      <c r="E1275" s="292">
        <v>0</v>
      </c>
      <c r="F1275" s="139">
        <f t="shared" si="119"/>
        <v>188</v>
      </c>
      <c r="G1275" s="292">
        <v>132</v>
      </c>
      <c r="H1275" s="292">
        <v>0</v>
      </c>
      <c r="I1275" s="139">
        <f t="shared" si="120"/>
        <v>132</v>
      </c>
      <c r="J1275" s="266">
        <f t="shared" si="121"/>
        <v>0.70209999999999995</v>
      </c>
      <c r="K1275" s="136">
        <f t="shared" si="116"/>
        <v>0</v>
      </c>
      <c r="L1275" s="136">
        <f t="shared" si="117"/>
        <v>13.9</v>
      </c>
      <c r="M1275" s="136">
        <f t="shared" si="118"/>
        <v>13.9</v>
      </c>
      <c r="O1275" s="134"/>
      <c r="P1275" s="259"/>
    </row>
    <row r="1276" spans="1:16">
      <c r="A1276" s="134">
        <v>503</v>
      </c>
      <c r="B1276" s="134" t="s">
        <v>3415</v>
      </c>
      <c r="C1276" s="129" t="s">
        <v>3416</v>
      </c>
      <c r="D1276" s="292">
        <v>260</v>
      </c>
      <c r="E1276" s="292">
        <v>0</v>
      </c>
      <c r="F1276" s="139">
        <f t="shared" si="119"/>
        <v>260</v>
      </c>
      <c r="G1276" s="292">
        <v>195</v>
      </c>
      <c r="H1276" s="292">
        <v>0</v>
      </c>
      <c r="I1276" s="139">
        <f t="shared" si="120"/>
        <v>195</v>
      </c>
      <c r="J1276" s="266">
        <f t="shared" si="121"/>
        <v>0.75</v>
      </c>
      <c r="K1276" s="136">
        <f t="shared" si="116"/>
        <v>0</v>
      </c>
      <c r="L1276" s="136">
        <f t="shared" si="117"/>
        <v>20.5</v>
      </c>
      <c r="M1276" s="136">
        <f t="shared" si="118"/>
        <v>20.5</v>
      </c>
      <c r="O1276" s="134"/>
      <c r="P1276" s="259"/>
    </row>
    <row r="1277" spans="1:16">
      <c r="A1277" s="134">
        <v>504</v>
      </c>
      <c r="B1277" s="134" t="s">
        <v>3417</v>
      </c>
      <c r="C1277" s="129" t="s">
        <v>3418</v>
      </c>
      <c r="D1277" s="292">
        <v>184</v>
      </c>
      <c r="E1277" s="292">
        <v>0</v>
      </c>
      <c r="F1277" s="139">
        <f t="shared" si="119"/>
        <v>184</v>
      </c>
      <c r="G1277" s="292">
        <v>85</v>
      </c>
      <c r="H1277" s="292">
        <v>0</v>
      </c>
      <c r="I1277" s="139">
        <f t="shared" si="120"/>
        <v>85</v>
      </c>
      <c r="J1277" s="266">
        <f t="shared" si="121"/>
        <v>0.46200000000000002</v>
      </c>
      <c r="K1277" s="136">
        <f t="shared" si="116"/>
        <v>6.7</v>
      </c>
      <c r="L1277" s="136">
        <f t="shared" si="117"/>
        <v>0</v>
      </c>
      <c r="M1277" s="136">
        <f t="shared" si="118"/>
        <v>6.7</v>
      </c>
      <c r="O1277" s="134"/>
      <c r="P1277" s="259"/>
    </row>
    <row r="1278" spans="1:16">
      <c r="A1278" s="134">
        <v>504</v>
      </c>
      <c r="B1278" s="134" t="s">
        <v>3419</v>
      </c>
      <c r="C1278" s="129" t="s">
        <v>3420</v>
      </c>
      <c r="D1278" s="292">
        <v>119</v>
      </c>
      <c r="E1278" s="292">
        <v>0</v>
      </c>
      <c r="F1278" s="139">
        <f t="shared" si="119"/>
        <v>119</v>
      </c>
      <c r="G1278" s="292">
        <v>64</v>
      </c>
      <c r="H1278" s="292">
        <v>0</v>
      </c>
      <c r="I1278" s="139">
        <f t="shared" si="120"/>
        <v>64</v>
      </c>
      <c r="J1278" s="266">
        <f t="shared" si="121"/>
        <v>0.53779999999999994</v>
      </c>
      <c r="K1278" s="136">
        <f t="shared" si="116"/>
        <v>0</v>
      </c>
      <c r="L1278" s="136">
        <f t="shared" si="117"/>
        <v>6.7</v>
      </c>
      <c r="M1278" s="136">
        <f t="shared" si="118"/>
        <v>6.7</v>
      </c>
      <c r="O1278" s="134"/>
      <c r="P1278" s="259"/>
    </row>
    <row r="1279" spans="1:16">
      <c r="A1279" s="134">
        <v>504</v>
      </c>
      <c r="B1279" s="134" t="s">
        <v>3421</v>
      </c>
      <c r="C1279" s="129" t="s">
        <v>3422</v>
      </c>
      <c r="D1279" s="292">
        <v>192</v>
      </c>
      <c r="E1279" s="292">
        <v>0</v>
      </c>
      <c r="F1279" s="139">
        <f t="shared" si="119"/>
        <v>192</v>
      </c>
      <c r="G1279" s="292">
        <v>101</v>
      </c>
      <c r="H1279" s="292">
        <v>0</v>
      </c>
      <c r="I1279" s="139">
        <f t="shared" si="120"/>
        <v>101</v>
      </c>
      <c r="J1279" s="266">
        <f t="shared" si="121"/>
        <v>0.52600000000000002</v>
      </c>
      <c r="K1279" s="136">
        <f t="shared" si="116"/>
        <v>0</v>
      </c>
      <c r="L1279" s="136">
        <f t="shared" si="117"/>
        <v>10.6</v>
      </c>
      <c r="M1279" s="136">
        <f t="shared" si="118"/>
        <v>10.6</v>
      </c>
      <c r="P1279" s="259"/>
    </row>
    <row r="1280" spans="1:16">
      <c r="A1280" s="134">
        <v>505</v>
      </c>
      <c r="B1280" s="134" t="s">
        <v>3423</v>
      </c>
      <c r="C1280" s="129" t="s">
        <v>3424</v>
      </c>
      <c r="D1280" s="292">
        <v>125</v>
      </c>
      <c r="E1280" s="292">
        <v>0</v>
      </c>
      <c r="F1280" s="139">
        <f t="shared" si="119"/>
        <v>125</v>
      </c>
      <c r="G1280" s="292">
        <v>50</v>
      </c>
      <c r="H1280" s="292">
        <v>0</v>
      </c>
      <c r="I1280" s="139">
        <f t="shared" si="120"/>
        <v>50</v>
      </c>
      <c r="J1280" s="266">
        <f t="shared" si="121"/>
        <v>0.4</v>
      </c>
      <c r="K1280" s="136">
        <f t="shared" si="116"/>
        <v>1.8</v>
      </c>
      <c r="L1280" s="136">
        <f t="shared" si="117"/>
        <v>0</v>
      </c>
      <c r="M1280" s="136">
        <f t="shared" si="118"/>
        <v>1.8</v>
      </c>
      <c r="P1280" s="259"/>
    </row>
    <row r="1281" spans="1:16">
      <c r="A1281" s="134">
        <v>505</v>
      </c>
      <c r="B1281" s="134" t="s">
        <v>3425</v>
      </c>
      <c r="C1281" s="129" t="s">
        <v>3426</v>
      </c>
      <c r="D1281" s="292">
        <v>67</v>
      </c>
      <c r="E1281" s="292">
        <v>0</v>
      </c>
      <c r="F1281" s="139">
        <f t="shared" si="119"/>
        <v>67</v>
      </c>
      <c r="G1281" s="292">
        <v>23</v>
      </c>
      <c r="H1281" s="292">
        <v>0</v>
      </c>
      <c r="I1281" s="139">
        <f t="shared" si="120"/>
        <v>23</v>
      </c>
      <c r="J1281" s="266">
        <f t="shared" si="121"/>
        <v>0.34329999999999999</v>
      </c>
      <c r="K1281" s="136">
        <f t="shared" si="116"/>
        <v>0</v>
      </c>
      <c r="L1281" s="136">
        <f t="shared" si="117"/>
        <v>0</v>
      </c>
      <c r="M1281" s="136">
        <f t="shared" si="118"/>
        <v>0</v>
      </c>
      <c r="P1281" s="259"/>
    </row>
    <row r="1282" spans="1:16">
      <c r="A1282" s="134">
        <v>505</v>
      </c>
      <c r="B1282" s="134" t="s">
        <v>3427</v>
      </c>
      <c r="C1282" s="129" t="s">
        <v>3428</v>
      </c>
      <c r="D1282" s="292">
        <v>51</v>
      </c>
      <c r="E1282" s="292">
        <v>0</v>
      </c>
      <c r="F1282" s="139">
        <f t="shared" si="119"/>
        <v>51</v>
      </c>
      <c r="G1282" s="292">
        <v>15</v>
      </c>
      <c r="H1282" s="292">
        <v>0</v>
      </c>
      <c r="I1282" s="139">
        <f t="shared" si="120"/>
        <v>15</v>
      </c>
      <c r="J1282" s="266">
        <f t="shared" si="121"/>
        <v>0.29409999999999997</v>
      </c>
      <c r="K1282" s="136">
        <f t="shared" si="116"/>
        <v>0</v>
      </c>
      <c r="L1282" s="136">
        <f t="shared" si="117"/>
        <v>0</v>
      </c>
      <c r="M1282" s="136">
        <f t="shared" si="118"/>
        <v>0</v>
      </c>
      <c r="P1282" s="259"/>
    </row>
    <row r="1283" spans="1:16">
      <c r="A1283" s="134">
        <v>505</v>
      </c>
      <c r="B1283" s="134" t="s">
        <v>3429</v>
      </c>
      <c r="C1283" s="129" t="s">
        <v>3430</v>
      </c>
      <c r="D1283" s="292">
        <v>64</v>
      </c>
      <c r="E1283" s="292">
        <v>0</v>
      </c>
      <c r="F1283" s="139">
        <f t="shared" si="119"/>
        <v>64</v>
      </c>
      <c r="G1283" s="292">
        <v>46</v>
      </c>
      <c r="H1283" s="292">
        <v>0</v>
      </c>
      <c r="I1283" s="139">
        <f t="shared" si="120"/>
        <v>46</v>
      </c>
      <c r="J1283" s="266">
        <f t="shared" si="121"/>
        <v>0.71879999999999999</v>
      </c>
      <c r="K1283" s="136">
        <f t="shared" si="116"/>
        <v>0</v>
      </c>
      <c r="L1283" s="136">
        <f t="shared" si="117"/>
        <v>4.8</v>
      </c>
      <c r="M1283" s="136">
        <f t="shared" si="118"/>
        <v>4.8</v>
      </c>
      <c r="P1283" s="259"/>
    </row>
    <row r="1284" spans="1:16">
      <c r="A1284" s="134">
        <v>505</v>
      </c>
      <c r="B1284" s="134" t="s">
        <v>3431</v>
      </c>
      <c r="C1284" s="129" t="s">
        <v>3432</v>
      </c>
      <c r="D1284" s="292">
        <v>81</v>
      </c>
      <c r="E1284" s="292">
        <v>0</v>
      </c>
      <c r="F1284" s="139">
        <f t="shared" si="119"/>
        <v>81</v>
      </c>
      <c r="G1284" s="292">
        <v>54</v>
      </c>
      <c r="H1284" s="292">
        <v>0</v>
      </c>
      <c r="I1284" s="139">
        <f t="shared" si="120"/>
        <v>54</v>
      </c>
      <c r="J1284" s="266">
        <f t="shared" si="121"/>
        <v>0.66669999999999996</v>
      </c>
      <c r="K1284" s="136">
        <f t="shared" si="116"/>
        <v>0</v>
      </c>
      <c r="L1284" s="136">
        <f t="shared" si="117"/>
        <v>5.7</v>
      </c>
      <c r="M1284" s="136">
        <f t="shared" si="118"/>
        <v>5.7</v>
      </c>
    </row>
    <row r="1285" spans="1:16">
      <c r="A1285" s="134">
        <v>506</v>
      </c>
      <c r="B1285" s="134" t="s">
        <v>3433</v>
      </c>
      <c r="C1285" s="129" t="s">
        <v>3434</v>
      </c>
      <c r="D1285" s="292">
        <v>201</v>
      </c>
      <c r="E1285" s="292">
        <v>0</v>
      </c>
      <c r="F1285" s="139">
        <f t="shared" si="119"/>
        <v>201</v>
      </c>
      <c r="G1285" s="292">
        <v>99</v>
      </c>
      <c r="H1285" s="292">
        <v>0</v>
      </c>
      <c r="I1285" s="139">
        <f t="shared" si="120"/>
        <v>99</v>
      </c>
      <c r="J1285" s="266">
        <f t="shared" si="121"/>
        <v>0.49249999999999999</v>
      </c>
      <c r="K1285" s="136">
        <f t="shared" ref="K1285:K1346" si="122">IF(AND((J1285-35%)&gt;0,J1285&lt;50%),I1285*(J1285-35%)*0.7,0)</f>
        <v>9.9</v>
      </c>
      <c r="L1285" s="136">
        <f t="shared" ref="L1285:L1346" si="123">IF(J1285&gt;=50%,I1285*10.5%,0)</f>
        <v>0</v>
      </c>
      <c r="M1285" s="136">
        <f t="shared" ref="M1285:M1346" si="124">MAX(K1285,L1285)</f>
        <v>9.9</v>
      </c>
    </row>
    <row r="1286" spans="1:16">
      <c r="A1286" s="134">
        <v>506</v>
      </c>
      <c r="B1286" s="134" t="s">
        <v>3435</v>
      </c>
      <c r="C1286" s="129" t="s">
        <v>3436</v>
      </c>
      <c r="D1286" s="292">
        <v>507</v>
      </c>
      <c r="E1286" s="292">
        <v>0</v>
      </c>
      <c r="F1286" s="139">
        <f t="shared" ref="F1286:F1346" si="125">D1286+E1286</f>
        <v>507</v>
      </c>
      <c r="G1286" s="292">
        <v>221</v>
      </c>
      <c r="H1286" s="292">
        <v>0</v>
      </c>
      <c r="I1286" s="139">
        <f t="shared" ref="I1286:I1346" si="126">G1286+H1286</f>
        <v>221</v>
      </c>
      <c r="J1286" s="266">
        <f t="shared" ref="J1286:J1346" si="127">IF(ISERROR(I1286/F1286),0,I1286/F1286)</f>
        <v>0.43590000000000001</v>
      </c>
      <c r="K1286" s="136">
        <f t="shared" si="122"/>
        <v>13.3</v>
      </c>
      <c r="L1286" s="136">
        <f t="shared" si="123"/>
        <v>0</v>
      </c>
      <c r="M1286" s="136">
        <f t="shared" si="124"/>
        <v>13.3</v>
      </c>
    </row>
    <row r="1287" spans="1:16">
      <c r="A1287" s="134">
        <v>506</v>
      </c>
      <c r="B1287" s="134" t="s">
        <v>4087</v>
      </c>
      <c r="C1287" s="129" t="s">
        <v>4088</v>
      </c>
      <c r="D1287" s="292">
        <v>0</v>
      </c>
      <c r="E1287" s="292">
        <v>0</v>
      </c>
      <c r="F1287" s="139">
        <f t="shared" si="125"/>
        <v>0</v>
      </c>
      <c r="G1287" s="292">
        <v>0</v>
      </c>
      <c r="H1287" s="292">
        <v>0</v>
      </c>
      <c r="I1287" s="139">
        <f t="shared" si="126"/>
        <v>0</v>
      </c>
      <c r="J1287" s="266">
        <f t="shared" si="127"/>
        <v>0</v>
      </c>
      <c r="K1287" s="136">
        <f t="shared" si="122"/>
        <v>0</v>
      </c>
      <c r="L1287" s="136">
        <f t="shared" si="123"/>
        <v>0</v>
      </c>
      <c r="M1287" s="136">
        <f t="shared" si="124"/>
        <v>0</v>
      </c>
    </row>
    <row r="1288" spans="1:16">
      <c r="A1288" s="134">
        <v>506</v>
      </c>
      <c r="B1288" s="134" t="s">
        <v>3437</v>
      </c>
      <c r="C1288" s="129" t="s">
        <v>3438</v>
      </c>
      <c r="D1288" s="292">
        <v>99</v>
      </c>
      <c r="E1288" s="292">
        <v>0</v>
      </c>
      <c r="F1288" s="139">
        <f t="shared" si="125"/>
        <v>99</v>
      </c>
      <c r="G1288" s="292">
        <v>56</v>
      </c>
      <c r="H1288" s="292">
        <v>0</v>
      </c>
      <c r="I1288" s="139">
        <f t="shared" si="126"/>
        <v>56</v>
      </c>
      <c r="J1288" s="266">
        <f t="shared" si="127"/>
        <v>0.56569999999999998</v>
      </c>
      <c r="K1288" s="136">
        <f t="shared" si="122"/>
        <v>0</v>
      </c>
      <c r="L1288" s="136">
        <f t="shared" si="123"/>
        <v>5.9</v>
      </c>
      <c r="M1288" s="136">
        <f t="shared" si="124"/>
        <v>5.9</v>
      </c>
    </row>
    <row r="1289" spans="1:16">
      <c r="A1289" s="134">
        <v>506</v>
      </c>
      <c r="B1289" s="134" t="s">
        <v>3439</v>
      </c>
      <c r="C1289" s="129" t="s">
        <v>3440</v>
      </c>
      <c r="D1289" s="292">
        <v>179</v>
      </c>
      <c r="E1289" s="292">
        <v>0</v>
      </c>
      <c r="F1289" s="139">
        <f t="shared" si="125"/>
        <v>179</v>
      </c>
      <c r="G1289" s="292">
        <v>80</v>
      </c>
      <c r="H1289" s="292">
        <v>0</v>
      </c>
      <c r="I1289" s="139">
        <f t="shared" si="126"/>
        <v>80</v>
      </c>
      <c r="J1289" s="266">
        <f t="shared" si="127"/>
        <v>0.44690000000000002</v>
      </c>
      <c r="K1289" s="136">
        <f t="shared" si="122"/>
        <v>5.4</v>
      </c>
      <c r="L1289" s="136">
        <f t="shared" si="123"/>
        <v>0</v>
      </c>
      <c r="M1289" s="136">
        <f t="shared" si="124"/>
        <v>5.4</v>
      </c>
    </row>
    <row r="1290" spans="1:16">
      <c r="A1290" s="134">
        <v>506</v>
      </c>
      <c r="B1290" s="134" t="s">
        <v>3441</v>
      </c>
      <c r="C1290" s="129" t="s">
        <v>3442</v>
      </c>
      <c r="D1290" s="292">
        <v>323</v>
      </c>
      <c r="E1290" s="292">
        <v>0</v>
      </c>
      <c r="F1290" s="139">
        <f t="shared" si="125"/>
        <v>323</v>
      </c>
      <c r="G1290" s="292">
        <v>199</v>
      </c>
      <c r="H1290" s="292">
        <v>0</v>
      </c>
      <c r="I1290" s="139">
        <f t="shared" si="126"/>
        <v>199</v>
      </c>
      <c r="J1290" s="266">
        <f t="shared" si="127"/>
        <v>0.61609999999999998</v>
      </c>
      <c r="K1290" s="136">
        <f t="shared" si="122"/>
        <v>0</v>
      </c>
      <c r="L1290" s="136">
        <f t="shared" si="123"/>
        <v>20.9</v>
      </c>
      <c r="M1290" s="136">
        <f t="shared" si="124"/>
        <v>20.9</v>
      </c>
    </row>
    <row r="1291" spans="1:16">
      <c r="A1291" s="134">
        <v>506</v>
      </c>
      <c r="B1291" s="134" t="s">
        <v>3443</v>
      </c>
      <c r="C1291" s="129" t="s">
        <v>3444</v>
      </c>
      <c r="D1291" s="292">
        <v>134</v>
      </c>
      <c r="E1291" s="292">
        <v>0</v>
      </c>
      <c r="F1291" s="139">
        <f t="shared" si="125"/>
        <v>134</v>
      </c>
      <c r="G1291" s="292">
        <v>64</v>
      </c>
      <c r="H1291" s="292">
        <v>0</v>
      </c>
      <c r="I1291" s="139">
        <f t="shared" si="126"/>
        <v>64</v>
      </c>
      <c r="J1291" s="266">
        <f t="shared" si="127"/>
        <v>0.47760000000000002</v>
      </c>
      <c r="K1291" s="136">
        <f t="shared" si="122"/>
        <v>5.7</v>
      </c>
      <c r="L1291" s="136">
        <f t="shared" si="123"/>
        <v>0</v>
      </c>
      <c r="M1291" s="136">
        <f t="shared" si="124"/>
        <v>5.7</v>
      </c>
    </row>
    <row r="1292" spans="1:16">
      <c r="A1292" s="134">
        <v>507</v>
      </c>
      <c r="B1292" s="134" t="s">
        <v>3445</v>
      </c>
      <c r="C1292" s="129" t="s">
        <v>3446</v>
      </c>
      <c r="D1292" s="292">
        <v>128</v>
      </c>
      <c r="E1292" s="292">
        <v>0</v>
      </c>
      <c r="F1292" s="139">
        <f t="shared" si="125"/>
        <v>128</v>
      </c>
      <c r="G1292" s="292">
        <v>76</v>
      </c>
      <c r="H1292" s="292">
        <v>0</v>
      </c>
      <c r="I1292" s="139">
        <f t="shared" si="126"/>
        <v>76</v>
      </c>
      <c r="J1292" s="266">
        <f t="shared" si="127"/>
        <v>0.59379999999999999</v>
      </c>
      <c r="K1292" s="136">
        <f t="shared" si="122"/>
        <v>0</v>
      </c>
      <c r="L1292" s="136">
        <f t="shared" si="123"/>
        <v>8</v>
      </c>
      <c r="M1292" s="136">
        <f t="shared" si="124"/>
        <v>8</v>
      </c>
    </row>
    <row r="1293" spans="1:16">
      <c r="A1293" s="134">
        <v>507</v>
      </c>
      <c r="B1293" s="134" t="s">
        <v>3447</v>
      </c>
      <c r="C1293" s="129" t="s">
        <v>3448</v>
      </c>
      <c r="D1293" s="292">
        <v>114</v>
      </c>
      <c r="E1293" s="292">
        <v>0</v>
      </c>
      <c r="F1293" s="139">
        <f t="shared" si="125"/>
        <v>114</v>
      </c>
      <c r="G1293" s="292">
        <v>66</v>
      </c>
      <c r="H1293" s="292">
        <v>0</v>
      </c>
      <c r="I1293" s="139">
        <f t="shared" si="126"/>
        <v>66</v>
      </c>
      <c r="J1293" s="266">
        <f t="shared" si="127"/>
        <v>0.57889999999999997</v>
      </c>
      <c r="K1293" s="136">
        <f t="shared" si="122"/>
        <v>0</v>
      </c>
      <c r="L1293" s="136">
        <f t="shared" si="123"/>
        <v>6.9</v>
      </c>
      <c r="M1293" s="136">
        <f t="shared" si="124"/>
        <v>6.9</v>
      </c>
    </row>
    <row r="1294" spans="1:16">
      <c r="A1294" s="134">
        <v>508</v>
      </c>
      <c r="B1294" s="134" t="s">
        <v>3449</v>
      </c>
      <c r="C1294" s="129" t="s">
        <v>1417</v>
      </c>
      <c r="D1294" s="292">
        <v>222</v>
      </c>
      <c r="E1294" s="292">
        <v>0</v>
      </c>
      <c r="F1294" s="139">
        <f t="shared" si="125"/>
        <v>222</v>
      </c>
      <c r="G1294" s="292">
        <v>135</v>
      </c>
      <c r="H1294" s="292">
        <v>0</v>
      </c>
      <c r="I1294" s="139">
        <f t="shared" si="126"/>
        <v>135</v>
      </c>
      <c r="J1294" s="266">
        <f t="shared" si="127"/>
        <v>0.60809999999999997</v>
      </c>
      <c r="K1294" s="136">
        <f t="shared" si="122"/>
        <v>0</v>
      </c>
      <c r="L1294" s="136">
        <f t="shared" si="123"/>
        <v>14.2</v>
      </c>
      <c r="M1294" s="136">
        <f t="shared" si="124"/>
        <v>14.2</v>
      </c>
    </row>
    <row r="1295" spans="1:16">
      <c r="A1295" s="134">
        <v>508</v>
      </c>
      <c r="B1295" s="134" t="s">
        <v>3450</v>
      </c>
      <c r="C1295" s="129" t="s">
        <v>2030</v>
      </c>
      <c r="D1295" s="292">
        <v>232</v>
      </c>
      <c r="E1295" s="292">
        <v>0</v>
      </c>
      <c r="F1295" s="139">
        <f t="shared" si="125"/>
        <v>232</v>
      </c>
      <c r="G1295" s="292">
        <v>129</v>
      </c>
      <c r="H1295" s="292">
        <v>0</v>
      </c>
      <c r="I1295" s="139">
        <f t="shared" si="126"/>
        <v>129</v>
      </c>
      <c r="J1295" s="266">
        <f t="shared" si="127"/>
        <v>0.55600000000000005</v>
      </c>
      <c r="K1295" s="136">
        <f t="shared" si="122"/>
        <v>0</v>
      </c>
      <c r="L1295" s="136">
        <f t="shared" si="123"/>
        <v>13.5</v>
      </c>
      <c r="M1295" s="136">
        <f t="shared" si="124"/>
        <v>13.5</v>
      </c>
    </row>
    <row r="1296" spans="1:16">
      <c r="A1296" s="134">
        <v>508</v>
      </c>
      <c r="B1296" s="134" t="s">
        <v>4089</v>
      </c>
      <c r="C1296" s="129" t="s">
        <v>4090</v>
      </c>
      <c r="D1296" s="292">
        <v>0</v>
      </c>
      <c r="E1296" s="292">
        <v>0</v>
      </c>
      <c r="F1296" s="139">
        <f t="shared" si="125"/>
        <v>0</v>
      </c>
      <c r="G1296" s="292">
        <v>0</v>
      </c>
      <c r="H1296" s="292">
        <v>0</v>
      </c>
      <c r="I1296" s="139">
        <f t="shared" si="126"/>
        <v>0</v>
      </c>
      <c r="J1296" s="266">
        <f t="shared" si="127"/>
        <v>0</v>
      </c>
      <c r="K1296" s="136">
        <f t="shared" si="122"/>
        <v>0</v>
      </c>
      <c r="L1296" s="136">
        <f t="shared" si="123"/>
        <v>0</v>
      </c>
      <c r="M1296" s="136">
        <f t="shared" si="124"/>
        <v>0</v>
      </c>
    </row>
    <row r="1297" spans="1:13">
      <c r="A1297" s="134">
        <v>508</v>
      </c>
      <c r="B1297" s="134" t="s">
        <v>3451</v>
      </c>
      <c r="C1297" s="129" t="s">
        <v>3452</v>
      </c>
      <c r="D1297" s="292">
        <v>371</v>
      </c>
      <c r="E1297" s="292">
        <v>0</v>
      </c>
      <c r="F1297" s="139">
        <f t="shared" si="125"/>
        <v>371</v>
      </c>
      <c r="G1297" s="292">
        <v>193</v>
      </c>
      <c r="H1297" s="292">
        <v>0</v>
      </c>
      <c r="I1297" s="139">
        <f t="shared" si="126"/>
        <v>193</v>
      </c>
      <c r="J1297" s="266">
        <f t="shared" si="127"/>
        <v>0.5202</v>
      </c>
      <c r="K1297" s="136">
        <f t="shared" si="122"/>
        <v>0</v>
      </c>
      <c r="L1297" s="136">
        <f t="shared" si="123"/>
        <v>20.3</v>
      </c>
      <c r="M1297" s="136">
        <f t="shared" si="124"/>
        <v>20.3</v>
      </c>
    </row>
    <row r="1298" spans="1:13">
      <c r="A1298" s="134">
        <v>509</v>
      </c>
      <c r="B1298" s="134" t="s">
        <v>3453</v>
      </c>
      <c r="C1298" s="129" t="s">
        <v>3454</v>
      </c>
      <c r="D1298" s="292">
        <v>94</v>
      </c>
      <c r="E1298" s="292">
        <v>0</v>
      </c>
      <c r="F1298" s="139">
        <f t="shared" si="125"/>
        <v>94</v>
      </c>
      <c r="G1298" s="292">
        <v>35</v>
      </c>
      <c r="H1298" s="292">
        <v>0</v>
      </c>
      <c r="I1298" s="139">
        <f t="shared" si="126"/>
        <v>35</v>
      </c>
      <c r="J1298" s="266">
        <f t="shared" si="127"/>
        <v>0.37230000000000002</v>
      </c>
      <c r="K1298" s="136">
        <f t="shared" si="122"/>
        <v>0.5</v>
      </c>
      <c r="L1298" s="136">
        <f t="shared" si="123"/>
        <v>0</v>
      </c>
      <c r="M1298" s="136">
        <f t="shared" si="124"/>
        <v>0.5</v>
      </c>
    </row>
    <row r="1299" spans="1:13">
      <c r="A1299" s="134">
        <v>509</v>
      </c>
      <c r="B1299" s="134" t="s">
        <v>3455</v>
      </c>
      <c r="C1299" s="129" t="s">
        <v>3456</v>
      </c>
      <c r="D1299" s="292">
        <v>113</v>
      </c>
      <c r="E1299" s="292">
        <v>0</v>
      </c>
      <c r="F1299" s="139">
        <f t="shared" si="125"/>
        <v>113</v>
      </c>
      <c r="G1299" s="292">
        <v>39</v>
      </c>
      <c r="H1299" s="292">
        <v>0</v>
      </c>
      <c r="I1299" s="139">
        <f t="shared" si="126"/>
        <v>39</v>
      </c>
      <c r="J1299" s="266">
        <f t="shared" si="127"/>
        <v>0.34510000000000002</v>
      </c>
      <c r="K1299" s="136">
        <f t="shared" si="122"/>
        <v>0</v>
      </c>
      <c r="L1299" s="136">
        <f t="shared" si="123"/>
        <v>0</v>
      </c>
      <c r="M1299" s="136">
        <f t="shared" si="124"/>
        <v>0</v>
      </c>
    </row>
    <row r="1300" spans="1:13">
      <c r="A1300" s="134">
        <v>511</v>
      </c>
      <c r="B1300" s="134" t="s">
        <v>3457</v>
      </c>
      <c r="C1300" s="129" t="s">
        <v>3458</v>
      </c>
      <c r="D1300" s="292">
        <v>121</v>
      </c>
      <c r="E1300" s="292">
        <v>0</v>
      </c>
      <c r="F1300" s="139">
        <f t="shared" si="125"/>
        <v>121</v>
      </c>
      <c r="G1300" s="292">
        <v>58</v>
      </c>
      <c r="H1300" s="292">
        <v>0</v>
      </c>
      <c r="I1300" s="139">
        <f t="shared" si="126"/>
        <v>58</v>
      </c>
      <c r="J1300" s="266">
        <f t="shared" si="127"/>
        <v>0.4793</v>
      </c>
      <c r="K1300" s="136">
        <f t="shared" si="122"/>
        <v>5.2</v>
      </c>
      <c r="L1300" s="136">
        <f t="shared" si="123"/>
        <v>0</v>
      </c>
      <c r="M1300" s="136">
        <f t="shared" si="124"/>
        <v>5.2</v>
      </c>
    </row>
    <row r="1301" spans="1:13">
      <c r="A1301" s="134">
        <v>511</v>
      </c>
      <c r="B1301" s="134" t="s">
        <v>3459</v>
      </c>
      <c r="C1301" s="129" t="s">
        <v>3460</v>
      </c>
      <c r="D1301" s="292">
        <v>37</v>
      </c>
      <c r="E1301" s="292">
        <v>0</v>
      </c>
      <c r="F1301" s="139">
        <f t="shared" si="125"/>
        <v>37</v>
      </c>
      <c r="G1301" s="292">
        <v>11</v>
      </c>
      <c r="H1301" s="292">
        <v>0</v>
      </c>
      <c r="I1301" s="139">
        <f t="shared" si="126"/>
        <v>11</v>
      </c>
      <c r="J1301" s="266">
        <f t="shared" si="127"/>
        <v>0.29730000000000001</v>
      </c>
      <c r="K1301" s="136">
        <f t="shared" si="122"/>
        <v>0</v>
      </c>
      <c r="L1301" s="136">
        <f t="shared" si="123"/>
        <v>0</v>
      </c>
      <c r="M1301" s="136">
        <f t="shared" si="124"/>
        <v>0</v>
      </c>
    </row>
    <row r="1302" spans="1:13">
      <c r="A1302" s="134">
        <v>512</v>
      </c>
      <c r="B1302" s="134" t="s">
        <v>3461</v>
      </c>
      <c r="C1302" s="129" t="s">
        <v>3462</v>
      </c>
      <c r="D1302" s="292">
        <v>282</v>
      </c>
      <c r="E1302" s="292">
        <v>0</v>
      </c>
      <c r="F1302" s="139">
        <f t="shared" si="125"/>
        <v>282</v>
      </c>
      <c r="G1302" s="292">
        <v>112</v>
      </c>
      <c r="H1302" s="292">
        <v>0</v>
      </c>
      <c r="I1302" s="139">
        <f t="shared" si="126"/>
        <v>112</v>
      </c>
      <c r="J1302" s="266">
        <f t="shared" si="127"/>
        <v>0.3972</v>
      </c>
      <c r="K1302" s="136">
        <f t="shared" si="122"/>
        <v>3.7</v>
      </c>
      <c r="L1302" s="136">
        <f t="shared" si="123"/>
        <v>0</v>
      </c>
      <c r="M1302" s="136">
        <f t="shared" si="124"/>
        <v>3.7</v>
      </c>
    </row>
    <row r="1303" spans="1:13">
      <c r="A1303" s="134">
        <v>512</v>
      </c>
      <c r="B1303" s="134" t="s">
        <v>3463</v>
      </c>
      <c r="C1303" s="129" t="s">
        <v>3464</v>
      </c>
      <c r="D1303" s="292">
        <v>493</v>
      </c>
      <c r="E1303" s="292">
        <v>0</v>
      </c>
      <c r="F1303" s="139">
        <f t="shared" si="125"/>
        <v>493</v>
      </c>
      <c r="G1303" s="292">
        <v>329</v>
      </c>
      <c r="H1303" s="292">
        <v>0</v>
      </c>
      <c r="I1303" s="139">
        <f t="shared" si="126"/>
        <v>329</v>
      </c>
      <c r="J1303" s="266">
        <f t="shared" si="127"/>
        <v>0.6673</v>
      </c>
      <c r="K1303" s="136">
        <f t="shared" si="122"/>
        <v>0</v>
      </c>
      <c r="L1303" s="136">
        <f t="shared" si="123"/>
        <v>34.5</v>
      </c>
      <c r="M1303" s="136">
        <f t="shared" si="124"/>
        <v>34.5</v>
      </c>
    </row>
    <row r="1304" spans="1:13">
      <c r="A1304" s="134">
        <v>512</v>
      </c>
      <c r="B1304" s="134" t="s">
        <v>3465</v>
      </c>
      <c r="C1304" s="129" t="s">
        <v>3466</v>
      </c>
      <c r="D1304" s="292">
        <v>463</v>
      </c>
      <c r="E1304" s="292">
        <v>0</v>
      </c>
      <c r="F1304" s="139">
        <f t="shared" si="125"/>
        <v>463</v>
      </c>
      <c r="G1304" s="292">
        <v>34</v>
      </c>
      <c r="H1304" s="292">
        <v>0</v>
      </c>
      <c r="I1304" s="139">
        <f t="shared" si="126"/>
        <v>34</v>
      </c>
      <c r="J1304" s="266">
        <f t="shared" si="127"/>
        <v>7.3400000000000007E-2</v>
      </c>
      <c r="K1304" s="136">
        <f t="shared" si="122"/>
        <v>0</v>
      </c>
      <c r="L1304" s="136">
        <f t="shared" si="123"/>
        <v>0</v>
      </c>
      <c r="M1304" s="136">
        <f t="shared" si="124"/>
        <v>0</v>
      </c>
    </row>
    <row r="1305" spans="1:13">
      <c r="A1305" s="134">
        <v>512</v>
      </c>
      <c r="B1305" s="134" t="s">
        <v>3467</v>
      </c>
      <c r="C1305" s="129" t="s">
        <v>3468</v>
      </c>
      <c r="D1305" s="292">
        <v>401</v>
      </c>
      <c r="E1305" s="292">
        <v>0</v>
      </c>
      <c r="F1305" s="139">
        <f t="shared" si="125"/>
        <v>401</v>
      </c>
      <c r="G1305" s="292">
        <v>160</v>
      </c>
      <c r="H1305" s="292">
        <v>0</v>
      </c>
      <c r="I1305" s="139">
        <f t="shared" si="126"/>
        <v>160</v>
      </c>
      <c r="J1305" s="266">
        <f t="shared" si="127"/>
        <v>0.39900000000000002</v>
      </c>
      <c r="K1305" s="136">
        <f t="shared" si="122"/>
        <v>5.5</v>
      </c>
      <c r="L1305" s="136">
        <f t="shared" si="123"/>
        <v>0</v>
      </c>
      <c r="M1305" s="136">
        <f t="shared" si="124"/>
        <v>5.5</v>
      </c>
    </row>
    <row r="1306" spans="1:13">
      <c r="A1306" s="134">
        <v>512</v>
      </c>
      <c r="B1306" s="134" t="s">
        <v>3469</v>
      </c>
      <c r="C1306" s="129" t="s">
        <v>1423</v>
      </c>
      <c r="D1306" s="292">
        <v>665</v>
      </c>
      <c r="E1306" s="292">
        <v>0</v>
      </c>
      <c r="F1306" s="139">
        <f t="shared" si="125"/>
        <v>665</v>
      </c>
      <c r="G1306" s="292">
        <v>93</v>
      </c>
      <c r="H1306" s="292">
        <v>0</v>
      </c>
      <c r="I1306" s="139">
        <f t="shared" si="126"/>
        <v>93</v>
      </c>
      <c r="J1306" s="266">
        <f t="shared" si="127"/>
        <v>0.13980000000000001</v>
      </c>
      <c r="K1306" s="136">
        <f t="shared" si="122"/>
        <v>0</v>
      </c>
      <c r="L1306" s="136">
        <f t="shared" si="123"/>
        <v>0</v>
      </c>
      <c r="M1306" s="136">
        <f t="shared" si="124"/>
        <v>0</v>
      </c>
    </row>
    <row r="1307" spans="1:13">
      <c r="A1307" s="134">
        <v>512</v>
      </c>
      <c r="B1307" s="134" t="s">
        <v>3470</v>
      </c>
      <c r="C1307" s="129" t="s">
        <v>3471</v>
      </c>
      <c r="D1307" s="292">
        <v>364</v>
      </c>
      <c r="E1307" s="292">
        <v>0</v>
      </c>
      <c r="F1307" s="139">
        <f t="shared" si="125"/>
        <v>364</v>
      </c>
      <c r="G1307" s="292">
        <v>166</v>
      </c>
      <c r="H1307" s="292">
        <v>0</v>
      </c>
      <c r="I1307" s="139">
        <f t="shared" si="126"/>
        <v>166</v>
      </c>
      <c r="J1307" s="266">
        <f t="shared" si="127"/>
        <v>0.45600000000000002</v>
      </c>
      <c r="K1307" s="136">
        <f t="shared" si="122"/>
        <v>12.3</v>
      </c>
      <c r="L1307" s="136">
        <f t="shared" si="123"/>
        <v>0</v>
      </c>
      <c r="M1307" s="136">
        <f t="shared" si="124"/>
        <v>12.3</v>
      </c>
    </row>
    <row r="1308" spans="1:13">
      <c r="A1308" s="134">
        <v>512</v>
      </c>
      <c r="B1308" s="134" t="s">
        <v>3472</v>
      </c>
      <c r="C1308" s="129" t="s">
        <v>3473</v>
      </c>
      <c r="D1308" s="292">
        <v>551</v>
      </c>
      <c r="E1308" s="292">
        <v>0</v>
      </c>
      <c r="F1308" s="139">
        <f t="shared" si="125"/>
        <v>551</v>
      </c>
      <c r="G1308" s="292">
        <v>234</v>
      </c>
      <c r="H1308" s="292">
        <v>0</v>
      </c>
      <c r="I1308" s="139">
        <f t="shared" si="126"/>
        <v>234</v>
      </c>
      <c r="J1308" s="266">
        <f t="shared" si="127"/>
        <v>0.42470000000000002</v>
      </c>
      <c r="K1308" s="136">
        <f t="shared" si="122"/>
        <v>12.2</v>
      </c>
      <c r="L1308" s="136">
        <f t="shared" si="123"/>
        <v>0</v>
      </c>
      <c r="M1308" s="136">
        <f t="shared" si="124"/>
        <v>12.2</v>
      </c>
    </row>
    <row r="1309" spans="1:13">
      <c r="A1309" s="134">
        <v>512</v>
      </c>
      <c r="B1309" s="134" t="s">
        <v>3474</v>
      </c>
      <c r="C1309" s="129" t="s">
        <v>3475</v>
      </c>
      <c r="D1309" s="292">
        <v>433</v>
      </c>
      <c r="E1309" s="292">
        <v>0</v>
      </c>
      <c r="F1309" s="139">
        <f t="shared" si="125"/>
        <v>433</v>
      </c>
      <c r="G1309" s="292">
        <v>37</v>
      </c>
      <c r="H1309" s="292">
        <v>0</v>
      </c>
      <c r="I1309" s="139">
        <f t="shared" si="126"/>
        <v>37</v>
      </c>
      <c r="J1309" s="266">
        <f t="shared" si="127"/>
        <v>8.5500000000000007E-2</v>
      </c>
      <c r="K1309" s="136">
        <f t="shared" si="122"/>
        <v>0</v>
      </c>
      <c r="L1309" s="136">
        <f t="shared" si="123"/>
        <v>0</v>
      </c>
      <c r="M1309" s="136">
        <f t="shared" si="124"/>
        <v>0</v>
      </c>
    </row>
    <row r="1310" spans="1:13">
      <c r="A1310" s="134">
        <v>512</v>
      </c>
      <c r="B1310" s="134" t="s">
        <v>3476</v>
      </c>
      <c r="C1310" s="129" t="s">
        <v>3477</v>
      </c>
      <c r="D1310" s="292">
        <v>407</v>
      </c>
      <c r="E1310" s="292">
        <v>0</v>
      </c>
      <c r="F1310" s="139">
        <f t="shared" si="125"/>
        <v>407</v>
      </c>
      <c r="G1310" s="292">
        <v>66</v>
      </c>
      <c r="H1310" s="292">
        <v>0</v>
      </c>
      <c r="I1310" s="139">
        <f t="shared" si="126"/>
        <v>66</v>
      </c>
      <c r="J1310" s="266">
        <f t="shared" si="127"/>
        <v>0.16220000000000001</v>
      </c>
      <c r="K1310" s="136">
        <f t="shared" si="122"/>
        <v>0</v>
      </c>
      <c r="L1310" s="136">
        <f t="shared" si="123"/>
        <v>0</v>
      </c>
      <c r="M1310" s="136">
        <f t="shared" si="124"/>
        <v>0</v>
      </c>
    </row>
    <row r="1311" spans="1:13">
      <c r="A1311" s="134">
        <v>512</v>
      </c>
      <c r="B1311" s="134" t="s">
        <v>3478</v>
      </c>
      <c r="C1311" s="129" t="s">
        <v>3479</v>
      </c>
      <c r="D1311" s="292">
        <v>367</v>
      </c>
      <c r="E1311" s="292">
        <v>0</v>
      </c>
      <c r="F1311" s="139">
        <f t="shared" si="125"/>
        <v>367</v>
      </c>
      <c r="G1311" s="292">
        <v>270</v>
      </c>
      <c r="H1311" s="292">
        <v>0</v>
      </c>
      <c r="I1311" s="139">
        <f t="shared" si="126"/>
        <v>270</v>
      </c>
      <c r="J1311" s="266">
        <f t="shared" si="127"/>
        <v>0.73570000000000002</v>
      </c>
      <c r="K1311" s="136">
        <f t="shared" si="122"/>
        <v>0</v>
      </c>
      <c r="L1311" s="136">
        <f t="shared" si="123"/>
        <v>28.4</v>
      </c>
      <c r="M1311" s="136">
        <f t="shared" si="124"/>
        <v>28.4</v>
      </c>
    </row>
    <row r="1312" spans="1:13">
      <c r="A1312" s="134">
        <v>512</v>
      </c>
      <c r="B1312" s="134" t="s">
        <v>3480</v>
      </c>
      <c r="C1312" s="129" t="s">
        <v>3481</v>
      </c>
      <c r="D1312" s="292">
        <v>573</v>
      </c>
      <c r="E1312" s="292">
        <v>0</v>
      </c>
      <c r="F1312" s="139">
        <f t="shared" si="125"/>
        <v>573</v>
      </c>
      <c r="G1312" s="292">
        <v>32</v>
      </c>
      <c r="H1312" s="292">
        <v>0</v>
      </c>
      <c r="I1312" s="139">
        <f t="shared" si="126"/>
        <v>32</v>
      </c>
      <c r="J1312" s="266">
        <f t="shared" si="127"/>
        <v>5.5800000000000002E-2</v>
      </c>
      <c r="K1312" s="136">
        <f t="shared" si="122"/>
        <v>0</v>
      </c>
      <c r="L1312" s="136">
        <f t="shared" si="123"/>
        <v>0</v>
      </c>
      <c r="M1312" s="136">
        <f t="shared" si="124"/>
        <v>0</v>
      </c>
    </row>
    <row r="1313" spans="1:13">
      <c r="A1313" s="134">
        <v>512</v>
      </c>
      <c r="B1313" s="134" t="s">
        <v>3482</v>
      </c>
      <c r="C1313" s="129" t="s">
        <v>3483</v>
      </c>
      <c r="D1313" s="292">
        <v>386</v>
      </c>
      <c r="E1313" s="292">
        <v>0</v>
      </c>
      <c r="F1313" s="139">
        <f t="shared" si="125"/>
        <v>386</v>
      </c>
      <c r="G1313" s="292">
        <v>198</v>
      </c>
      <c r="H1313" s="292">
        <v>0</v>
      </c>
      <c r="I1313" s="139">
        <f t="shared" si="126"/>
        <v>198</v>
      </c>
      <c r="J1313" s="266">
        <f t="shared" si="127"/>
        <v>0.51300000000000001</v>
      </c>
      <c r="K1313" s="136">
        <f t="shared" si="122"/>
        <v>0</v>
      </c>
      <c r="L1313" s="136">
        <f t="shared" si="123"/>
        <v>20.8</v>
      </c>
      <c r="M1313" s="136">
        <f t="shared" si="124"/>
        <v>20.8</v>
      </c>
    </row>
    <row r="1314" spans="1:13">
      <c r="A1314" s="134">
        <v>512</v>
      </c>
      <c r="B1314" s="134" t="s">
        <v>3484</v>
      </c>
      <c r="C1314" s="129" t="s">
        <v>3485</v>
      </c>
      <c r="D1314" s="292">
        <v>306</v>
      </c>
      <c r="E1314" s="292">
        <v>0</v>
      </c>
      <c r="F1314" s="139">
        <f t="shared" si="125"/>
        <v>306</v>
      </c>
      <c r="G1314" s="292">
        <v>98</v>
      </c>
      <c r="H1314" s="292">
        <v>0</v>
      </c>
      <c r="I1314" s="139">
        <f t="shared" si="126"/>
        <v>98</v>
      </c>
      <c r="J1314" s="266">
        <f t="shared" si="127"/>
        <v>0.32029999999999997</v>
      </c>
      <c r="K1314" s="136">
        <f t="shared" si="122"/>
        <v>0</v>
      </c>
      <c r="L1314" s="136">
        <f t="shared" si="123"/>
        <v>0</v>
      </c>
      <c r="M1314" s="136">
        <f t="shared" si="124"/>
        <v>0</v>
      </c>
    </row>
    <row r="1315" spans="1:13">
      <c r="A1315" s="134">
        <v>512</v>
      </c>
      <c r="B1315" s="134" t="s">
        <v>3486</v>
      </c>
      <c r="C1315" s="129" t="s">
        <v>3487</v>
      </c>
      <c r="D1315" s="292">
        <v>343</v>
      </c>
      <c r="E1315" s="292">
        <v>0</v>
      </c>
      <c r="F1315" s="139">
        <f t="shared" si="125"/>
        <v>343</v>
      </c>
      <c r="G1315" s="292">
        <v>27</v>
      </c>
      <c r="H1315" s="292">
        <v>0</v>
      </c>
      <c r="I1315" s="139">
        <f t="shared" si="126"/>
        <v>27</v>
      </c>
      <c r="J1315" s="266">
        <f t="shared" si="127"/>
        <v>7.8700000000000006E-2</v>
      </c>
      <c r="K1315" s="136">
        <f t="shared" si="122"/>
        <v>0</v>
      </c>
      <c r="L1315" s="136">
        <f t="shared" si="123"/>
        <v>0</v>
      </c>
      <c r="M1315" s="136">
        <f t="shared" si="124"/>
        <v>0</v>
      </c>
    </row>
    <row r="1316" spans="1:13">
      <c r="A1316" s="134">
        <v>512</v>
      </c>
      <c r="B1316" s="134" t="s">
        <v>3488</v>
      </c>
      <c r="C1316" s="129" t="s">
        <v>3489</v>
      </c>
      <c r="D1316" s="292">
        <v>411</v>
      </c>
      <c r="E1316" s="292">
        <v>0</v>
      </c>
      <c r="F1316" s="139">
        <f t="shared" si="125"/>
        <v>411</v>
      </c>
      <c r="G1316" s="292">
        <v>101</v>
      </c>
      <c r="H1316" s="292">
        <v>0</v>
      </c>
      <c r="I1316" s="139">
        <f t="shared" si="126"/>
        <v>101</v>
      </c>
      <c r="J1316" s="266">
        <f t="shared" si="127"/>
        <v>0.2457</v>
      </c>
      <c r="K1316" s="136">
        <f t="shared" si="122"/>
        <v>0</v>
      </c>
      <c r="L1316" s="136">
        <f t="shared" si="123"/>
        <v>0</v>
      </c>
      <c r="M1316" s="136">
        <f t="shared" si="124"/>
        <v>0</v>
      </c>
    </row>
    <row r="1317" spans="1:13">
      <c r="A1317" s="134">
        <v>512</v>
      </c>
      <c r="B1317" s="134" t="s">
        <v>4091</v>
      </c>
      <c r="C1317" s="129" t="s">
        <v>4092</v>
      </c>
      <c r="D1317" s="292">
        <v>2</v>
      </c>
      <c r="E1317" s="292">
        <v>0</v>
      </c>
      <c r="F1317" s="139">
        <f t="shared" si="125"/>
        <v>2</v>
      </c>
      <c r="G1317" s="292">
        <v>0</v>
      </c>
      <c r="H1317" s="292">
        <v>0</v>
      </c>
      <c r="I1317" s="139">
        <f t="shared" si="126"/>
        <v>0</v>
      </c>
      <c r="J1317" s="266">
        <f t="shared" si="127"/>
        <v>0</v>
      </c>
      <c r="K1317" s="136">
        <f t="shared" si="122"/>
        <v>0</v>
      </c>
      <c r="L1317" s="136">
        <f t="shared" si="123"/>
        <v>0</v>
      </c>
      <c r="M1317" s="136">
        <f t="shared" si="124"/>
        <v>0</v>
      </c>
    </row>
    <row r="1318" spans="1:13">
      <c r="A1318" s="134">
        <v>512</v>
      </c>
      <c r="B1318" s="134" t="s">
        <v>3490</v>
      </c>
      <c r="C1318" s="129" t="s">
        <v>3491</v>
      </c>
      <c r="D1318" s="292">
        <v>500</v>
      </c>
      <c r="E1318" s="292">
        <v>0</v>
      </c>
      <c r="F1318" s="139">
        <f t="shared" si="125"/>
        <v>500</v>
      </c>
      <c r="G1318" s="292">
        <v>392</v>
      </c>
      <c r="H1318" s="292">
        <v>0</v>
      </c>
      <c r="I1318" s="139">
        <f t="shared" si="126"/>
        <v>392</v>
      </c>
      <c r="J1318" s="266">
        <f t="shared" si="127"/>
        <v>0.78400000000000003</v>
      </c>
      <c r="K1318" s="136">
        <f t="shared" si="122"/>
        <v>0</v>
      </c>
      <c r="L1318" s="136">
        <f t="shared" si="123"/>
        <v>41.2</v>
      </c>
      <c r="M1318" s="136">
        <f t="shared" si="124"/>
        <v>41.2</v>
      </c>
    </row>
    <row r="1319" spans="1:13">
      <c r="A1319" s="134">
        <v>512</v>
      </c>
      <c r="B1319" s="134" t="s">
        <v>3492</v>
      </c>
      <c r="C1319" s="129" t="s">
        <v>3493</v>
      </c>
      <c r="D1319" s="292">
        <v>417</v>
      </c>
      <c r="E1319" s="292">
        <v>0</v>
      </c>
      <c r="F1319" s="139">
        <f t="shared" si="125"/>
        <v>417</v>
      </c>
      <c r="G1319" s="292">
        <v>202</v>
      </c>
      <c r="H1319" s="292">
        <v>0</v>
      </c>
      <c r="I1319" s="139">
        <f t="shared" si="126"/>
        <v>202</v>
      </c>
      <c r="J1319" s="266">
        <f t="shared" si="127"/>
        <v>0.4844</v>
      </c>
      <c r="K1319" s="136">
        <f t="shared" si="122"/>
        <v>19</v>
      </c>
      <c r="L1319" s="136">
        <f t="shared" si="123"/>
        <v>0</v>
      </c>
      <c r="M1319" s="136">
        <f t="shared" si="124"/>
        <v>19</v>
      </c>
    </row>
    <row r="1320" spans="1:13">
      <c r="A1320" s="134">
        <v>512</v>
      </c>
      <c r="B1320" s="134" t="s">
        <v>3494</v>
      </c>
      <c r="C1320" s="129" t="s">
        <v>3495</v>
      </c>
      <c r="D1320" s="292">
        <v>478</v>
      </c>
      <c r="E1320" s="292">
        <v>0</v>
      </c>
      <c r="F1320" s="139">
        <f t="shared" si="125"/>
        <v>478</v>
      </c>
      <c r="G1320" s="292">
        <v>131</v>
      </c>
      <c r="H1320" s="292">
        <v>0</v>
      </c>
      <c r="I1320" s="139">
        <f t="shared" si="126"/>
        <v>131</v>
      </c>
      <c r="J1320" s="266">
        <f t="shared" si="127"/>
        <v>0.27410000000000001</v>
      </c>
      <c r="K1320" s="136">
        <f t="shared" si="122"/>
        <v>0</v>
      </c>
      <c r="L1320" s="136">
        <f t="shared" si="123"/>
        <v>0</v>
      </c>
      <c r="M1320" s="136">
        <f t="shared" si="124"/>
        <v>0</v>
      </c>
    </row>
    <row r="1321" spans="1:13">
      <c r="A1321" s="134">
        <v>512</v>
      </c>
      <c r="B1321" s="134" t="s">
        <v>3496</v>
      </c>
      <c r="C1321" s="129" t="s">
        <v>3497</v>
      </c>
      <c r="D1321" s="292">
        <v>497</v>
      </c>
      <c r="E1321" s="292">
        <v>0</v>
      </c>
      <c r="F1321" s="139">
        <f t="shared" si="125"/>
        <v>497</v>
      </c>
      <c r="G1321" s="292">
        <v>81</v>
      </c>
      <c r="H1321" s="292">
        <v>0</v>
      </c>
      <c r="I1321" s="139">
        <f t="shared" si="126"/>
        <v>81</v>
      </c>
      <c r="J1321" s="266">
        <f t="shared" si="127"/>
        <v>0.16300000000000001</v>
      </c>
      <c r="K1321" s="136">
        <f t="shared" si="122"/>
        <v>0</v>
      </c>
      <c r="L1321" s="136">
        <f t="shared" si="123"/>
        <v>0</v>
      </c>
      <c r="M1321" s="136">
        <f t="shared" si="124"/>
        <v>0</v>
      </c>
    </row>
    <row r="1322" spans="1:13">
      <c r="A1322" s="134">
        <v>512</v>
      </c>
      <c r="B1322" s="134" t="s">
        <v>3498</v>
      </c>
      <c r="C1322" s="129" t="s">
        <v>3499</v>
      </c>
      <c r="D1322" s="292">
        <v>433</v>
      </c>
      <c r="E1322" s="292">
        <v>0</v>
      </c>
      <c r="F1322" s="139">
        <f t="shared" si="125"/>
        <v>433</v>
      </c>
      <c r="G1322" s="292">
        <v>251</v>
      </c>
      <c r="H1322" s="292">
        <v>0</v>
      </c>
      <c r="I1322" s="139">
        <f t="shared" si="126"/>
        <v>251</v>
      </c>
      <c r="J1322" s="266">
        <f t="shared" si="127"/>
        <v>0.57969999999999999</v>
      </c>
      <c r="K1322" s="136">
        <f t="shared" si="122"/>
        <v>0</v>
      </c>
      <c r="L1322" s="136">
        <f t="shared" si="123"/>
        <v>26.4</v>
      </c>
      <c r="M1322" s="136">
        <f t="shared" si="124"/>
        <v>26.4</v>
      </c>
    </row>
    <row r="1323" spans="1:13">
      <c r="A1323" s="134">
        <v>512</v>
      </c>
      <c r="B1323" s="134" t="s">
        <v>3500</v>
      </c>
      <c r="C1323" s="129" t="s">
        <v>3501</v>
      </c>
      <c r="D1323" s="292">
        <v>510</v>
      </c>
      <c r="E1323" s="292">
        <v>0</v>
      </c>
      <c r="F1323" s="139">
        <f t="shared" si="125"/>
        <v>510</v>
      </c>
      <c r="G1323" s="292">
        <v>110</v>
      </c>
      <c r="H1323" s="292">
        <v>0</v>
      </c>
      <c r="I1323" s="139">
        <f t="shared" si="126"/>
        <v>110</v>
      </c>
      <c r="J1323" s="266">
        <f t="shared" si="127"/>
        <v>0.2157</v>
      </c>
      <c r="K1323" s="136">
        <f t="shared" si="122"/>
        <v>0</v>
      </c>
      <c r="L1323" s="136">
        <f t="shared" si="123"/>
        <v>0</v>
      </c>
      <c r="M1323" s="136">
        <f t="shared" si="124"/>
        <v>0</v>
      </c>
    </row>
    <row r="1324" spans="1:13">
      <c r="A1324" s="134">
        <v>512</v>
      </c>
      <c r="B1324" s="134" t="s">
        <v>3502</v>
      </c>
      <c r="C1324" s="129" t="s">
        <v>3503</v>
      </c>
      <c r="D1324" s="292">
        <v>374</v>
      </c>
      <c r="E1324" s="292">
        <v>0</v>
      </c>
      <c r="F1324" s="139">
        <f t="shared" si="125"/>
        <v>374</v>
      </c>
      <c r="G1324" s="292">
        <v>170</v>
      </c>
      <c r="H1324" s="292">
        <v>0</v>
      </c>
      <c r="I1324" s="139">
        <f t="shared" si="126"/>
        <v>170</v>
      </c>
      <c r="J1324" s="266">
        <f t="shared" si="127"/>
        <v>0.45450000000000002</v>
      </c>
      <c r="K1324" s="136">
        <f t="shared" si="122"/>
        <v>12.4</v>
      </c>
      <c r="L1324" s="136">
        <f t="shared" si="123"/>
        <v>0</v>
      </c>
      <c r="M1324" s="136">
        <f t="shared" si="124"/>
        <v>12.4</v>
      </c>
    </row>
    <row r="1325" spans="1:13">
      <c r="A1325" s="134">
        <v>512</v>
      </c>
      <c r="B1325" s="134" t="s">
        <v>3504</v>
      </c>
      <c r="C1325" s="129" t="s">
        <v>3505</v>
      </c>
      <c r="D1325" s="292">
        <v>400</v>
      </c>
      <c r="E1325" s="292">
        <v>0</v>
      </c>
      <c r="F1325" s="139">
        <f t="shared" si="125"/>
        <v>400</v>
      </c>
      <c r="G1325" s="292">
        <v>176</v>
      </c>
      <c r="H1325" s="292">
        <v>0</v>
      </c>
      <c r="I1325" s="139">
        <f t="shared" si="126"/>
        <v>176</v>
      </c>
      <c r="J1325" s="266">
        <f t="shared" si="127"/>
        <v>0.44</v>
      </c>
      <c r="K1325" s="136">
        <f t="shared" si="122"/>
        <v>11.1</v>
      </c>
      <c r="L1325" s="136">
        <f t="shared" si="123"/>
        <v>0</v>
      </c>
      <c r="M1325" s="136">
        <f t="shared" si="124"/>
        <v>11.1</v>
      </c>
    </row>
    <row r="1326" spans="1:13">
      <c r="A1326" s="134">
        <v>512</v>
      </c>
      <c r="B1326" s="134" t="s">
        <v>3506</v>
      </c>
      <c r="C1326" s="129" t="s">
        <v>3507</v>
      </c>
      <c r="D1326" s="292">
        <v>458</v>
      </c>
      <c r="E1326" s="292">
        <v>0</v>
      </c>
      <c r="F1326" s="139">
        <f t="shared" si="125"/>
        <v>458</v>
      </c>
      <c r="G1326" s="292">
        <v>31</v>
      </c>
      <c r="H1326" s="292">
        <v>0</v>
      </c>
      <c r="I1326" s="139">
        <f t="shared" si="126"/>
        <v>31</v>
      </c>
      <c r="J1326" s="266">
        <f t="shared" si="127"/>
        <v>6.7699999999999996E-2</v>
      </c>
      <c r="K1326" s="136">
        <f t="shared" si="122"/>
        <v>0</v>
      </c>
      <c r="L1326" s="136">
        <f t="shared" si="123"/>
        <v>0</v>
      </c>
      <c r="M1326" s="136">
        <f t="shared" si="124"/>
        <v>0</v>
      </c>
    </row>
    <row r="1327" spans="1:13">
      <c r="A1327" s="134">
        <v>512</v>
      </c>
      <c r="B1327" s="134" t="s">
        <v>3508</v>
      </c>
      <c r="C1327" s="129" t="s">
        <v>3509</v>
      </c>
      <c r="D1327" s="292">
        <v>410</v>
      </c>
      <c r="E1327" s="292">
        <v>0</v>
      </c>
      <c r="F1327" s="139">
        <f t="shared" si="125"/>
        <v>410</v>
      </c>
      <c r="G1327" s="292">
        <v>121</v>
      </c>
      <c r="H1327" s="292">
        <v>0</v>
      </c>
      <c r="I1327" s="139">
        <f t="shared" si="126"/>
        <v>121</v>
      </c>
      <c r="J1327" s="266">
        <f t="shared" si="127"/>
        <v>0.29509999999999997</v>
      </c>
      <c r="K1327" s="136">
        <f t="shared" si="122"/>
        <v>0</v>
      </c>
      <c r="L1327" s="136">
        <f t="shared" si="123"/>
        <v>0</v>
      </c>
      <c r="M1327" s="136">
        <f t="shared" si="124"/>
        <v>0</v>
      </c>
    </row>
    <row r="1328" spans="1:13">
      <c r="A1328" s="134">
        <v>512</v>
      </c>
      <c r="B1328" s="134" t="s">
        <v>3510</v>
      </c>
      <c r="C1328" s="129" t="s">
        <v>3511</v>
      </c>
      <c r="D1328" s="292">
        <v>459</v>
      </c>
      <c r="E1328" s="292">
        <v>0</v>
      </c>
      <c r="F1328" s="139">
        <f t="shared" si="125"/>
        <v>459</v>
      </c>
      <c r="G1328" s="292">
        <v>169</v>
      </c>
      <c r="H1328" s="292">
        <v>0</v>
      </c>
      <c r="I1328" s="139">
        <f t="shared" si="126"/>
        <v>169</v>
      </c>
      <c r="J1328" s="266">
        <f t="shared" si="127"/>
        <v>0.36820000000000003</v>
      </c>
      <c r="K1328" s="136">
        <f t="shared" si="122"/>
        <v>2.2000000000000002</v>
      </c>
      <c r="L1328" s="136">
        <f t="shared" si="123"/>
        <v>0</v>
      </c>
      <c r="M1328" s="136">
        <f t="shared" si="124"/>
        <v>2.2000000000000002</v>
      </c>
    </row>
    <row r="1329" spans="1:13">
      <c r="A1329" s="134">
        <v>512</v>
      </c>
      <c r="B1329" s="134" t="s">
        <v>3512</v>
      </c>
      <c r="C1329" s="129" t="s">
        <v>3513</v>
      </c>
      <c r="D1329" s="292">
        <v>340</v>
      </c>
      <c r="E1329" s="292">
        <v>0</v>
      </c>
      <c r="F1329" s="139">
        <f t="shared" si="125"/>
        <v>340</v>
      </c>
      <c r="G1329" s="292">
        <v>143</v>
      </c>
      <c r="H1329" s="292">
        <v>0</v>
      </c>
      <c r="I1329" s="139">
        <f t="shared" si="126"/>
        <v>143</v>
      </c>
      <c r="J1329" s="266">
        <f t="shared" si="127"/>
        <v>0.42059999999999997</v>
      </c>
      <c r="K1329" s="136">
        <f t="shared" si="122"/>
        <v>7.1</v>
      </c>
      <c r="L1329" s="136">
        <f t="shared" si="123"/>
        <v>0</v>
      </c>
      <c r="M1329" s="136">
        <f t="shared" si="124"/>
        <v>7.1</v>
      </c>
    </row>
    <row r="1330" spans="1:13">
      <c r="A1330" s="134">
        <v>512</v>
      </c>
      <c r="B1330" s="134" t="s">
        <v>3514</v>
      </c>
      <c r="C1330" s="129" t="s">
        <v>3515</v>
      </c>
      <c r="D1330" s="292">
        <v>464</v>
      </c>
      <c r="E1330" s="292">
        <v>0</v>
      </c>
      <c r="F1330" s="139">
        <f t="shared" si="125"/>
        <v>464</v>
      </c>
      <c r="G1330" s="292">
        <v>238</v>
      </c>
      <c r="H1330" s="292">
        <v>0</v>
      </c>
      <c r="I1330" s="139">
        <f t="shared" si="126"/>
        <v>238</v>
      </c>
      <c r="J1330" s="266">
        <f t="shared" si="127"/>
        <v>0.51290000000000002</v>
      </c>
      <c r="K1330" s="136">
        <f t="shared" si="122"/>
        <v>0</v>
      </c>
      <c r="L1330" s="136">
        <f t="shared" si="123"/>
        <v>25</v>
      </c>
      <c r="M1330" s="136">
        <f t="shared" si="124"/>
        <v>25</v>
      </c>
    </row>
    <row r="1331" spans="1:13">
      <c r="A1331" s="134">
        <v>512</v>
      </c>
      <c r="B1331" s="134" t="s">
        <v>3516</v>
      </c>
      <c r="C1331" s="129" t="s">
        <v>3517</v>
      </c>
      <c r="D1331" s="292">
        <v>289</v>
      </c>
      <c r="E1331" s="292">
        <v>0</v>
      </c>
      <c r="F1331" s="139">
        <f t="shared" si="125"/>
        <v>289</v>
      </c>
      <c r="G1331" s="292">
        <v>129</v>
      </c>
      <c r="H1331" s="292">
        <v>0</v>
      </c>
      <c r="I1331" s="139">
        <f t="shared" si="126"/>
        <v>129</v>
      </c>
      <c r="J1331" s="266">
        <f t="shared" si="127"/>
        <v>0.44640000000000002</v>
      </c>
      <c r="K1331" s="136">
        <f t="shared" si="122"/>
        <v>8.6999999999999993</v>
      </c>
      <c r="L1331" s="136">
        <f t="shared" si="123"/>
        <v>0</v>
      </c>
      <c r="M1331" s="136">
        <f t="shared" si="124"/>
        <v>8.6999999999999993</v>
      </c>
    </row>
    <row r="1332" spans="1:13">
      <c r="A1332" s="134">
        <v>512</v>
      </c>
      <c r="B1332" s="134" t="s">
        <v>3518</v>
      </c>
      <c r="C1332" s="129" t="s">
        <v>3519</v>
      </c>
      <c r="D1332" s="292">
        <v>316</v>
      </c>
      <c r="E1332" s="292">
        <v>0</v>
      </c>
      <c r="F1332" s="139">
        <f t="shared" si="125"/>
        <v>316</v>
      </c>
      <c r="G1332" s="292">
        <v>94</v>
      </c>
      <c r="H1332" s="292">
        <v>0</v>
      </c>
      <c r="I1332" s="139">
        <f t="shared" si="126"/>
        <v>94</v>
      </c>
      <c r="J1332" s="266">
        <f t="shared" si="127"/>
        <v>0.29749999999999999</v>
      </c>
      <c r="K1332" s="136">
        <f t="shared" si="122"/>
        <v>0</v>
      </c>
      <c r="L1332" s="136">
        <f t="shared" si="123"/>
        <v>0</v>
      </c>
      <c r="M1332" s="136">
        <f t="shared" si="124"/>
        <v>0</v>
      </c>
    </row>
    <row r="1333" spans="1:13">
      <c r="A1333" s="134">
        <v>512</v>
      </c>
      <c r="B1333" s="134" t="s">
        <v>3520</v>
      </c>
      <c r="C1333" s="129" t="s">
        <v>2439</v>
      </c>
      <c r="D1333" s="292">
        <v>397</v>
      </c>
      <c r="E1333" s="292">
        <v>0</v>
      </c>
      <c r="F1333" s="139">
        <f t="shared" si="125"/>
        <v>397</v>
      </c>
      <c r="G1333" s="292">
        <v>103</v>
      </c>
      <c r="H1333" s="292">
        <v>0</v>
      </c>
      <c r="I1333" s="139">
        <f t="shared" si="126"/>
        <v>103</v>
      </c>
      <c r="J1333" s="266">
        <f t="shared" si="127"/>
        <v>0.25940000000000002</v>
      </c>
      <c r="K1333" s="136">
        <f t="shared" si="122"/>
        <v>0</v>
      </c>
      <c r="L1333" s="136">
        <f t="shared" si="123"/>
        <v>0</v>
      </c>
      <c r="M1333" s="136">
        <f t="shared" si="124"/>
        <v>0</v>
      </c>
    </row>
    <row r="1334" spans="1:13">
      <c r="A1334" s="134">
        <v>512</v>
      </c>
      <c r="B1334" s="134" t="s">
        <v>3521</v>
      </c>
      <c r="C1334" s="129" t="s">
        <v>1463</v>
      </c>
      <c r="D1334" s="292">
        <v>279</v>
      </c>
      <c r="E1334" s="292">
        <v>0</v>
      </c>
      <c r="F1334" s="139">
        <f t="shared" si="125"/>
        <v>279</v>
      </c>
      <c r="G1334" s="292">
        <v>64</v>
      </c>
      <c r="H1334" s="292">
        <v>0</v>
      </c>
      <c r="I1334" s="139">
        <f t="shared" si="126"/>
        <v>64</v>
      </c>
      <c r="J1334" s="266">
        <f t="shared" si="127"/>
        <v>0.22939999999999999</v>
      </c>
      <c r="K1334" s="136">
        <f t="shared" si="122"/>
        <v>0</v>
      </c>
      <c r="L1334" s="136">
        <f t="shared" si="123"/>
        <v>0</v>
      </c>
      <c r="M1334" s="136">
        <f t="shared" si="124"/>
        <v>0</v>
      </c>
    </row>
    <row r="1335" spans="1:13">
      <c r="A1335" s="134">
        <v>512</v>
      </c>
      <c r="B1335" s="134" t="s">
        <v>3522</v>
      </c>
      <c r="C1335" s="129" t="s">
        <v>3523</v>
      </c>
      <c r="D1335" s="292">
        <v>414</v>
      </c>
      <c r="E1335" s="292">
        <v>0</v>
      </c>
      <c r="F1335" s="139">
        <f t="shared" si="125"/>
        <v>414</v>
      </c>
      <c r="G1335" s="292">
        <v>50</v>
      </c>
      <c r="H1335" s="292">
        <v>0</v>
      </c>
      <c r="I1335" s="139">
        <f t="shared" si="126"/>
        <v>50</v>
      </c>
      <c r="J1335" s="266">
        <f t="shared" si="127"/>
        <v>0.1208</v>
      </c>
      <c r="K1335" s="136">
        <f t="shared" si="122"/>
        <v>0</v>
      </c>
      <c r="L1335" s="136">
        <f t="shared" si="123"/>
        <v>0</v>
      </c>
      <c r="M1335" s="136">
        <f t="shared" si="124"/>
        <v>0</v>
      </c>
    </row>
    <row r="1336" spans="1:13">
      <c r="A1336" s="134">
        <v>512</v>
      </c>
      <c r="B1336" s="134" t="s">
        <v>3524</v>
      </c>
      <c r="C1336" s="129" t="s">
        <v>3525</v>
      </c>
      <c r="D1336" s="292">
        <v>320</v>
      </c>
      <c r="E1336" s="292">
        <v>0</v>
      </c>
      <c r="F1336" s="139">
        <f t="shared" si="125"/>
        <v>320</v>
      </c>
      <c r="G1336" s="292">
        <v>15</v>
      </c>
      <c r="H1336" s="292">
        <v>0</v>
      </c>
      <c r="I1336" s="139">
        <f t="shared" si="126"/>
        <v>15</v>
      </c>
      <c r="J1336" s="266">
        <f t="shared" si="127"/>
        <v>4.6899999999999997E-2</v>
      </c>
      <c r="K1336" s="136">
        <f t="shared" si="122"/>
        <v>0</v>
      </c>
      <c r="L1336" s="136">
        <f t="shared" si="123"/>
        <v>0</v>
      </c>
      <c r="M1336" s="136">
        <f t="shared" si="124"/>
        <v>0</v>
      </c>
    </row>
    <row r="1337" spans="1:13">
      <c r="A1337" s="134">
        <v>512</v>
      </c>
      <c r="B1337" s="134" t="s">
        <v>3526</v>
      </c>
      <c r="C1337" s="129" t="s">
        <v>3527</v>
      </c>
      <c r="D1337" s="292">
        <v>752</v>
      </c>
      <c r="E1337" s="292">
        <v>0</v>
      </c>
      <c r="F1337" s="139">
        <f t="shared" si="125"/>
        <v>752</v>
      </c>
      <c r="G1337" s="292">
        <v>370</v>
      </c>
      <c r="H1337" s="292">
        <v>0</v>
      </c>
      <c r="I1337" s="139">
        <f t="shared" si="126"/>
        <v>370</v>
      </c>
      <c r="J1337" s="266">
        <f t="shared" si="127"/>
        <v>0.49199999999999999</v>
      </c>
      <c r="K1337" s="136">
        <f t="shared" si="122"/>
        <v>36.799999999999997</v>
      </c>
      <c r="L1337" s="136">
        <f t="shared" si="123"/>
        <v>0</v>
      </c>
      <c r="M1337" s="136">
        <f t="shared" si="124"/>
        <v>36.799999999999997</v>
      </c>
    </row>
    <row r="1338" spans="1:13">
      <c r="A1338" s="134">
        <v>512</v>
      </c>
      <c r="B1338" s="134" t="s">
        <v>3528</v>
      </c>
      <c r="C1338" s="129" t="s">
        <v>3529</v>
      </c>
      <c r="D1338" s="292">
        <v>738</v>
      </c>
      <c r="E1338" s="292">
        <v>0</v>
      </c>
      <c r="F1338" s="139">
        <f t="shared" si="125"/>
        <v>738</v>
      </c>
      <c r="G1338" s="292">
        <v>337</v>
      </c>
      <c r="H1338" s="292">
        <v>0</v>
      </c>
      <c r="I1338" s="139">
        <f t="shared" si="126"/>
        <v>337</v>
      </c>
      <c r="J1338" s="266">
        <f t="shared" si="127"/>
        <v>0.45660000000000001</v>
      </c>
      <c r="K1338" s="136">
        <f t="shared" si="122"/>
        <v>25.1</v>
      </c>
      <c r="L1338" s="136">
        <f t="shared" si="123"/>
        <v>0</v>
      </c>
      <c r="M1338" s="136">
        <f t="shared" si="124"/>
        <v>25.1</v>
      </c>
    </row>
    <row r="1339" spans="1:13">
      <c r="A1339" s="134">
        <v>512</v>
      </c>
      <c r="B1339" s="134" t="s">
        <v>3530</v>
      </c>
      <c r="C1339" s="129" t="s">
        <v>3531</v>
      </c>
      <c r="D1339" s="292">
        <v>866</v>
      </c>
      <c r="E1339" s="292">
        <v>0</v>
      </c>
      <c r="F1339" s="139">
        <f t="shared" si="125"/>
        <v>866</v>
      </c>
      <c r="G1339" s="292">
        <v>92</v>
      </c>
      <c r="H1339" s="292">
        <v>0</v>
      </c>
      <c r="I1339" s="139">
        <f t="shared" si="126"/>
        <v>92</v>
      </c>
      <c r="J1339" s="266">
        <f t="shared" si="127"/>
        <v>0.1062</v>
      </c>
      <c r="K1339" s="136">
        <f t="shared" si="122"/>
        <v>0</v>
      </c>
      <c r="L1339" s="136">
        <f t="shared" si="123"/>
        <v>0</v>
      </c>
      <c r="M1339" s="136">
        <f t="shared" si="124"/>
        <v>0</v>
      </c>
    </row>
    <row r="1340" spans="1:13">
      <c r="A1340" s="134">
        <v>512</v>
      </c>
      <c r="B1340" s="134" t="s">
        <v>3532</v>
      </c>
      <c r="C1340" s="129" t="s">
        <v>3533</v>
      </c>
      <c r="D1340" s="292">
        <v>770</v>
      </c>
      <c r="E1340" s="292">
        <v>0</v>
      </c>
      <c r="F1340" s="139">
        <f t="shared" si="125"/>
        <v>770</v>
      </c>
      <c r="G1340" s="292">
        <v>246</v>
      </c>
      <c r="H1340" s="292">
        <v>0</v>
      </c>
      <c r="I1340" s="139">
        <f t="shared" si="126"/>
        <v>246</v>
      </c>
      <c r="J1340" s="266">
        <f t="shared" si="127"/>
        <v>0.31950000000000001</v>
      </c>
      <c r="K1340" s="136">
        <f t="shared" si="122"/>
        <v>0</v>
      </c>
      <c r="L1340" s="136">
        <f t="shared" si="123"/>
        <v>0</v>
      </c>
      <c r="M1340" s="136">
        <f t="shared" si="124"/>
        <v>0</v>
      </c>
    </row>
    <row r="1341" spans="1:13">
      <c r="A1341" s="134">
        <v>512</v>
      </c>
      <c r="B1341" s="134" t="s">
        <v>3534</v>
      </c>
      <c r="C1341" s="129" t="s">
        <v>3535</v>
      </c>
      <c r="D1341" s="292">
        <v>744</v>
      </c>
      <c r="E1341" s="292">
        <v>0</v>
      </c>
      <c r="F1341" s="139">
        <f t="shared" si="125"/>
        <v>744</v>
      </c>
      <c r="G1341" s="292">
        <v>267</v>
      </c>
      <c r="H1341" s="292">
        <v>0</v>
      </c>
      <c r="I1341" s="139">
        <f t="shared" si="126"/>
        <v>267</v>
      </c>
      <c r="J1341" s="266">
        <f t="shared" si="127"/>
        <v>0.3589</v>
      </c>
      <c r="K1341" s="136">
        <f t="shared" si="122"/>
        <v>1.7</v>
      </c>
      <c r="L1341" s="136">
        <f t="shared" si="123"/>
        <v>0</v>
      </c>
      <c r="M1341" s="136">
        <f t="shared" si="124"/>
        <v>1.7</v>
      </c>
    </row>
    <row r="1342" spans="1:13">
      <c r="A1342" s="134">
        <v>512</v>
      </c>
      <c r="B1342" s="134" t="s">
        <v>3536</v>
      </c>
      <c r="C1342" s="129" t="s">
        <v>3537</v>
      </c>
      <c r="D1342" s="292">
        <v>1671</v>
      </c>
      <c r="E1342" s="292">
        <v>0</v>
      </c>
      <c r="F1342" s="139">
        <f t="shared" si="125"/>
        <v>1671</v>
      </c>
      <c r="G1342" s="292">
        <v>169</v>
      </c>
      <c r="H1342" s="292">
        <v>0</v>
      </c>
      <c r="I1342" s="139">
        <f t="shared" si="126"/>
        <v>169</v>
      </c>
      <c r="J1342" s="266">
        <f t="shared" si="127"/>
        <v>0.1011</v>
      </c>
      <c r="K1342" s="136">
        <f t="shared" si="122"/>
        <v>0</v>
      </c>
      <c r="L1342" s="136">
        <f t="shared" si="123"/>
        <v>0</v>
      </c>
      <c r="M1342" s="136">
        <f t="shared" si="124"/>
        <v>0</v>
      </c>
    </row>
    <row r="1343" spans="1:13">
      <c r="A1343" s="134">
        <v>512</v>
      </c>
      <c r="B1343" s="134" t="s">
        <v>3538</v>
      </c>
      <c r="C1343" s="129" t="s">
        <v>3539</v>
      </c>
      <c r="D1343" s="292">
        <v>1507</v>
      </c>
      <c r="E1343" s="292">
        <v>0</v>
      </c>
      <c r="F1343" s="139">
        <f t="shared" si="125"/>
        <v>1507</v>
      </c>
      <c r="G1343" s="292">
        <v>696</v>
      </c>
      <c r="H1343" s="292">
        <v>0</v>
      </c>
      <c r="I1343" s="139">
        <f t="shared" si="126"/>
        <v>696</v>
      </c>
      <c r="J1343" s="266">
        <f t="shared" si="127"/>
        <v>0.46179999999999999</v>
      </c>
      <c r="K1343" s="136">
        <f t="shared" si="122"/>
        <v>54.5</v>
      </c>
      <c r="L1343" s="136">
        <f t="shared" si="123"/>
        <v>0</v>
      </c>
      <c r="M1343" s="136">
        <f t="shared" si="124"/>
        <v>54.5</v>
      </c>
    </row>
    <row r="1344" spans="1:13">
      <c r="A1344" s="134">
        <v>512</v>
      </c>
      <c r="B1344" s="134" t="s">
        <v>3540</v>
      </c>
      <c r="C1344" s="129" t="s">
        <v>3541</v>
      </c>
      <c r="D1344" s="292">
        <v>1619</v>
      </c>
      <c r="E1344" s="292">
        <v>0</v>
      </c>
      <c r="F1344" s="139">
        <f t="shared" si="125"/>
        <v>1619</v>
      </c>
      <c r="G1344" s="292">
        <v>536</v>
      </c>
      <c r="H1344" s="292">
        <v>0</v>
      </c>
      <c r="I1344" s="139">
        <f t="shared" si="126"/>
        <v>536</v>
      </c>
      <c r="J1344" s="266">
        <f t="shared" si="127"/>
        <v>0.33110000000000001</v>
      </c>
      <c r="K1344" s="136">
        <f t="shared" si="122"/>
        <v>0</v>
      </c>
      <c r="L1344" s="136">
        <f t="shared" si="123"/>
        <v>0</v>
      </c>
      <c r="M1344" s="136">
        <f t="shared" si="124"/>
        <v>0</v>
      </c>
    </row>
    <row r="1345" spans="1:13">
      <c r="A1345" s="134">
        <v>512</v>
      </c>
      <c r="B1345" s="134" t="s">
        <v>3542</v>
      </c>
      <c r="C1345" s="129" t="s">
        <v>3543</v>
      </c>
      <c r="D1345" s="292">
        <v>1594</v>
      </c>
      <c r="E1345" s="292">
        <v>0</v>
      </c>
      <c r="F1345" s="139">
        <f t="shared" si="125"/>
        <v>1594</v>
      </c>
      <c r="G1345" s="292">
        <v>471</v>
      </c>
      <c r="H1345" s="292">
        <v>0</v>
      </c>
      <c r="I1345" s="139">
        <f t="shared" si="126"/>
        <v>471</v>
      </c>
      <c r="J1345" s="266">
        <f t="shared" si="127"/>
        <v>0.29549999999999998</v>
      </c>
      <c r="K1345" s="136">
        <f t="shared" si="122"/>
        <v>0</v>
      </c>
      <c r="L1345" s="136">
        <f t="shared" si="123"/>
        <v>0</v>
      </c>
      <c r="M1345" s="136">
        <f t="shared" si="124"/>
        <v>0</v>
      </c>
    </row>
    <row r="1346" spans="1:13">
      <c r="A1346" s="134">
        <v>512</v>
      </c>
      <c r="B1346" s="134" t="s">
        <v>3544</v>
      </c>
      <c r="C1346" s="129" t="s">
        <v>3545</v>
      </c>
      <c r="D1346" s="292">
        <v>1618</v>
      </c>
      <c r="E1346" s="292">
        <v>0</v>
      </c>
      <c r="F1346" s="139">
        <f t="shared" si="125"/>
        <v>1618</v>
      </c>
      <c r="G1346" s="292">
        <v>728</v>
      </c>
      <c r="H1346" s="292">
        <v>0</v>
      </c>
      <c r="I1346" s="139">
        <f t="shared" si="126"/>
        <v>728</v>
      </c>
      <c r="J1346" s="266">
        <f t="shared" si="127"/>
        <v>0.44990000000000002</v>
      </c>
      <c r="K1346" s="136">
        <f t="shared" si="122"/>
        <v>50.9</v>
      </c>
      <c r="L1346" s="136">
        <f t="shared" si="123"/>
        <v>0</v>
      </c>
      <c r="M1346" s="136">
        <f t="shared" si="124"/>
        <v>50.9</v>
      </c>
    </row>
    <row r="1347" spans="1:13">
      <c r="D1347" s="139"/>
      <c r="E1347" s="139"/>
      <c r="F1347" s="139"/>
      <c r="G1347" s="139"/>
      <c r="H1347" s="139"/>
      <c r="I1347" s="139"/>
      <c r="J1347" s="266"/>
      <c r="K1347" s="136"/>
      <c r="L1347" s="136"/>
      <c r="M1347" s="136"/>
    </row>
  </sheetData>
  <autoFilter ref="A4:M1347" xr:uid="{00000000-0001-0000-0A00-000000000000}"/>
  <sortState xmlns:xlrd2="http://schemas.microsoft.com/office/spreadsheetml/2017/richdata2" ref="A5:M1283">
    <sortCondition descending="1" sortBy="cellColor" ref="C5:C1283" dxfId="1"/>
  </sortState>
  <mergeCells count="3">
    <mergeCell ref="O3:X3"/>
    <mergeCell ref="A1:C1"/>
    <mergeCell ref="A2:C2"/>
  </mergeCells>
  <printOptions gridLines="1"/>
  <pageMargins left="0.2" right="0.2" top="0.5" bottom="0.5" header="0.3" footer="0.3"/>
  <pageSetup scale="70" orientation="landscape"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660BA-FE0D-4C91-BD62-7A6ACD8F0459}">
  <sheetPr codeName="Sheet8"/>
  <dimension ref="A1:S293"/>
  <sheetViews>
    <sheetView workbookViewId="0">
      <pane xSplit="1" ySplit="6" topLeftCell="B7" activePane="bottomRight" state="frozen"/>
      <selection pane="topRight" activeCell="B1" sqref="B1"/>
      <selection pane="bottomLeft" activeCell="A2" sqref="A2"/>
      <selection pane="bottomRight" activeCell="A7" sqref="A7"/>
    </sheetView>
  </sheetViews>
  <sheetFormatPr defaultColWidth="8.88671875" defaultRowHeight="15"/>
  <cols>
    <col min="1" max="1" width="9.5546875" style="255" customWidth="1"/>
    <col min="2" max="2" width="34.44140625" style="255" customWidth="1"/>
    <col min="3" max="3" width="14" style="255" customWidth="1"/>
    <col min="4" max="5" width="17.44140625" style="255" customWidth="1"/>
    <col min="6" max="6" width="14.44140625" style="255" bestFit="1" customWidth="1"/>
    <col min="7" max="9" width="12.44140625" style="255" customWidth="1"/>
    <col min="10" max="10" width="9.33203125" style="255" bestFit="1" customWidth="1"/>
    <col min="11" max="11" width="14.44140625" style="255" bestFit="1" customWidth="1"/>
    <col min="12" max="12" width="24.5546875" style="255" bestFit="1" customWidth="1"/>
    <col min="13" max="13" width="11.33203125" style="255" customWidth="1"/>
    <col min="14" max="14" width="12.6640625" style="255" customWidth="1"/>
    <col min="15" max="16384" width="8.88671875" style="255"/>
  </cols>
  <sheetData>
    <row r="1" spans="1:19">
      <c r="D1" s="257" t="s">
        <v>4106</v>
      </c>
      <c r="E1" s="257" t="s">
        <v>905</v>
      </c>
    </row>
    <row r="2" spans="1:19">
      <c r="D2" s="257" t="s">
        <v>3952</v>
      </c>
      <c r="E2" s="257" t="s">
        <v>3952</v>
      </c>
      <c r="F2" s="304" t="s">
        <v>3955</v>
      </c>
      <c r="G2" s="257"/>
      <c r="H2" s="257"/>
      <c r="I2" s="257"/>
      <c r="J2" s="257"/>
      <c r="K2" s="257"/>
      <c r="L2" s="257"/>
      <c r="M2" s="257"/>
      <c r="N2" s="257"/>
      <c r="O2" s="257"/>
      <c r="P2" s="257"/>
      <c r="Q2" s="257"/>
      <c r="R2" s="257"/>
      <c r="S2" s="257"/>
    </row>
    <row r="3" spans="1:19">
      <c r="D3" s="257" t="s">
        <v>3949</v>
      </c>
      <c r="E3" s="257" t="s">
        <v>3949</v>
      </c>
      <c r="F3" s="257"/>
      <c r="G3" s="257"/>
      <c r="H3" s="257"/>
      <c r="I3" s="257"/>
      <c r="J3" s="257"/>
      <c r="K3" s="257"/>
      <c r="L3" s="257"/>
      <c r="M3" s="257"/>
      <c r="N3" s="257"/>
      <c r="O3" s="257"/>
      <c r="P3" s="257"/>
      <c r="Q3" s="257"/>
      <c r="R3" s="257"/>
      <c r="S3" s="257"/>
    </row>
    <row r="4" spans="1:19">
      <c r="D4" s="257" t="s">
        <v>3950</v>
      </c>
      <c r="E4" s="257" t="s">
        <v>3950</v>
      </c>
      <c r="F4" s="257" t="s">
        <v>3954</v>
      </c>
      <c r="G4" s="371" t="s">
        <v>3959</v>
      </c>
      <c r="H4" s="371"/>
      <c r="I4" s="371"/>
      <c r="J4" s="371"/>
      <c r="K4" s="257" t="s">
        <v>3956</v>
      </c>
      <c r="L4" s="257" t="s">
        <v>3960</v>
      </c>
      <c r="M4" s="257"/>
      <c r="N4" s="257"/>
      <c r="O4" s="257"/>
      <c r="P4" s="257"/>
      <c r="Q4" s="257"/>
      <c r="R4" s="257"/>
      <c r="S4" s="257"/>
    </row>
    <row r="5" spans="1:19">
      <c r="D5" s="257" t="s">
        <v>3951</v>
      </c>
      <c r="E5" s="257" t="s">
        <v>3951</v>
      </c>
      <c r="F5" s="257" t="s">
        <v>3957</v>
      </c>
      <c r="G5" s="371" t="s">
        <v>3958</v>
      </c>
      <c r="H5" s="371"/>
      <c r="I5" s="371"/>
      <c r="J5" s="371"/>
      <c r="K5" s="257" t="s">
        <v>3957</v>
      </c>
      <c r="L5" s="257" t="s">
        <v>3961</v>
      </c>
      <c r="M5" s="257"/>
      <c r="N5" s="257"/>
      <c r="O5" s="257"/>
      <c r="P5" s="257"/>
      <c r="Q5" s="257"/>
      <c r="R5" s="257"/>
      <c r="S5" s="257"/>
    </row>
    <row r="6" spans="1:19" ht="60.6" thickBot="1">
      <c r="A6" s="298" t="s">
        <v>170</v>
      </c>
      <c r="B6" s="298" t="s">
        <v>172</v>
      </c>
      <c r="C6" s="306" t="s">
        <v>171</v>
      </c>
      <c r="D6" s="307">
        <v>45107</v>
      </c>
      <c r="E6" s="307"/>
      <c r="F6" s="257" t="s">
        <v>3953</v>
      </c>
      <c r="G6" s="308" t="s">
        <v>2</v>
      </c>
      <c r="H6" s="309" t="s">
        <v>3</v>
      </c>
      <c r="I6" s="309" t="s">
        <v>133</v>
      </c>
      <c r="J6" s="311" t="s">
        <v>173</v>
      </c>
      <c r="K6" s="257" t="s">
        <v>3964</v>
      </c>
      <c r="L6" s="257" t="s">
        <v>3962</v>
      </c>
      <c r="M6" s="310" t="s">
        <v>4104</v>
      </c>
      <c r="N6" s="310" t="s">
        <v>4105</v>
      </c>
      <c r="O6" s="257" t="s">
        <v>3963</v>
      </c>
      <c r="P6" s="257"/>
      <c r="Q6" s="257"/>
      <c r="R6" s="257"/>
      <c r="S6" s="257"/>
    </row>
    <row r="7" spans="1:19" ht="15.6" thickBot="1">
      <c r="A7" s="315"/>
      <c r="B7" s="315"/>
      <c r="C7" s="312" t="s">
        <v>189</v>
      </c>
      <c r="D7" s="313">
        <f>SUM(D8:D293)</f>
        <v>17</v>
      </c>
      <c r="E7" s="313">
        <f>SUM(E8:E293)</f>
        <v>25</v>
      </c>
      <c r="F7" s="314"/>
      <c r="G7" s="317"/>
      <c r="H7" s="318"/>
      <c r="I7" s="318"/>
      <c r="J7" s="319"/>
      <c r="K7" s="314"/>
      <c r="L7" s="314"/>
      <c r="M7" s="316">
        <f>SUM(M8:M293)</f>
        <v>54094.8</v>
      </c>
      <c r="N7" s="316">
        <f t="shared" ref="N7:O7" si="0">SUM(N8:N293)</f>
        <v>54147.8</v>
      </c>
      <c r="O7" s="316">
        <f t="shared" si="0"/>
        <v>53</v>
      </c>
      <c r="P7" s="257"/>
      <c r="Q7" s="257"/>
      <c r="R7" s="257"/>
      <c r="S7" s="257"/>
    </row>
    <row r="8" spans="1:19" ht="15.6" thickTop="1">
      <c r="A8" s="255" t="s">
        <v>190</v>
      </c>
      <c r="B8" s="255" t="s">
        <v>3685</v>
      </c>
      <c r="C8" s="255" t="s">
        <v>4</v>
      </c>
      <c r="D8" s="255">
        <v>0</v>
      </c>
      <c r="E8" s="320">
        <f>IF(ISNA(VLOOKUP($A8,'Audit Values'!$A:$BZ,2,FALSE)),0,VLOOKUP($A8,'Audit Values'!$A:$BZ,78,FALSE))</f>
        <v>0</v>
      </c>
      <c r="F8" s="299">
        <v>0.44086799999999998</v>
      </c>
      <c r="G8" s="301">
        <f>IF('2024 Legal Max'!BQ5&gt;0,1.014331, 0)</f>
        <v>0</v>
      </c>
      <c r="H8" s="299">
        <f>'2024 Legal Max'!BT5</f>
        <v>0</v>
      </c>
      <c r="I8" s="299">
        <f>'2024 Legal Max'!BX5</f>
        <v>0.440529</v>
      </c>
      <c r="J8" s="302">
        <f>IF('2024 Legal Max'!BZ5&gt;0,0.03504,0)</f>
        <v>0</v>
      </c>
      <c r="K8" s="299">
        <f>MAX(G8,H8,I8,J8)</f>
        <v>0.440529</v>
      </c>
      <c r="L8" s="299">
        <f>IF((E8=1),MAX(F8,K8),K8)</f>
        <v>0.440529</v>
      </c>
      <c r="M8" s="303">
        <f>MAX('2024 Legal Max'!BQ5,'2024 Legal Max'!BU5,'2024 Legal Max'!BY5,'2024 Legal Max'!BZ5)</f>
        <v>188.8</v>
      </c>
      <c r="N8" s="303">
        <f>'2024 Legal Max'!U5*'Low-High ENRL- 2023 HSubSB 113'!L8</f>
        <v>188.8</v>
      </c>
      <c r="O8" s="303">
        <f t="shared" ref="O8:O71" si="1">N8-M8</f>
        <v>0</v>
      </c>
    </row>
    <row r="9" spans="1:19">
      <c r="A9" s="255" t="s">
        <v>191</v>
      </c>
      <c r="B9" s="255" t="s">
        <v>1019</v>
      </c>
      <c r="C9" s="255" t="s">
        <v>5</v>
      </c>
      <c r="D9" s="255">
        <v>0</v>
      </c>
      <c r="E9" s="320">
        <f>IF(ISNA(VLOOKUP($A9,'Audit Values'!$A:$BZ,2,FALSE)),0,VLOOKUP($A9,'Audit Values'!$A:$BZ,78,FALSE))</f>
        <v>0</v>
      </c>
      <c r="F9" s="299">
        <v>0.36952099999999999</v>
      </c>
      <c r="G9" s="301">
        <f>IF('2024 Legal Max'!BQ6&gt;0,1.014331, 0)</f>
        <v>0</v>
      </c>
      <c r="H9" s="299">
        <f>'2024 Legal Max'!BT6</f>
        <v>0</v>
      </c>
      <c r="I9" s="299">
        <f>'2024 Legal Max'!BX6</f>
        <v>0.37053999999999998</v>
      </c>
      <c r="J9" s="302">
        <f>IF('2024 Legal Max'!BZ6&gt;0,0.03504,0)</f>
        <v>0</v>
      </c>
      <c r="K9" s="299">
        <f t="shared" ref="K9:K72" si="2">MAX(G9,H9,I9,J9)</f>
        <v>0.37053999999999998</v>
      </c>
      <c r="L9" s="299">
        <f t="shared" ref="L9:L72" si="3">IF((E9=1),MAX(F9,K9),K9)</f>
        <v>0.37053999999999998</v>
      </c>
      <c r="M9" s="303">
        <f>MAX('2024 Legal Max'!BQ6,'2024 Legal Max'!BU6,'2024 Legal Max'!BY6,'2024 Legal Max'!BZ6)</f>
        <v>235.1</v>
      </c>
      <c r="N9" s="303">
        <f>'2024 Legal Max'!U6*'Low-High ENRL- 2023 HSubSB 113'!L9</f>
        <v>235.1</v>
      </c>
      <c r="O9" s="303">
        <f t="shared" si="1"/>
        <v>0</v>
      </c>
    </row>
    <row r="10" spans="1:19">
      <c r="A10" s="255" t="s">
        <v>192</v>
      </c>
      <c r="B10" s="255" t="s">
        <v>3686</v>
      </c>
      <c r="C10" s="255" t="s">
        <v>6</v>
      </c>
      <c r="D10" s="255">
        <v>0</v>
      </c>
      <c r="E10" s="320">
        <f>IF(ISNA(VLOOKUP($A10,'Audit Values'!$A:$BZ,2,FALSE)),0,VLOOKUP($A10,'Audit Values'!$A:$BZ,78,FALSE))</f>
        <v>0</v>
      </c>
      <c r="F10" s="299">
        <v>0.89557900000000001</v>
      </c>
      <c r="G10" s="301">
        <f>IF('2024 Legal Max'!BQ7&gt;0,1.014331, 0)</f>
        <v>0</v>
      </c>
      <c r="H10" s="299">
        <f>'2024 Legal Max'!BT7</f>
        <v>0.88974699999999995</v>
      </c>
      <c r="I10" s="299">
        <f>'2024 Legal Max'!BX7</f>
        <v>0</v>
      </c>
      <c r="J10" s="302">
        <f>IF('2024 Legal Max'!BZ7&gt;0,0.03504,0)</f>
        <v>0</v>
      </c>
      <c r="K10" s="299">
        <f t="shared" si="2"/>
        <v>0.88974699999999995</v>
      </c>
      <c r="L10" s="299">
        <f t="shared" si="3"/>
        <v>0.88974699999999995</v>
      </c>
      <c r="M10" s="303">
        <f>MAX('2024 Legal Max'!BQ7,'2024 Legal Max'!BU7,'2024 Legal Max'!BY7,'2024 Legal Max'!BZ7)</f>
        <v>130.80000000000001</v>
      </c>
      <c r="N10" s="303">
        <f>'2024 Legal Max'!U7*'Low-High ENRL- 2023 HSubSB 113'!L10</f>
        <v>130.80000000000001</v>
      </c>
      <c r="O10" s="303">
        <f t="shared" si="1"/>
        <v>0</v>
      </c>
    </row>
    <row r="11" spans="1:19">
      <c r="A11" s="255" t="s">
        <v>193</v>
      </c>
      <c r="B11" s="255" t="s">
        <v>3687</v>
      </c>
      <c r="C11" s="255" t="s">
        <v>51</v>
      </c>
      <c r="D11" s="255">
        <v>0</v>
      </c>
      <c r="E11" s="320">
        <f>IF(ISNA(VLOOKUP($A11,'Audit Values'!$A:$BZ,2,FALSE)),0,VLOOKUP($A11,'Audit Values'!$A:$BZ,78,FALSE))</f>
        <v>0</v>
      </c>
      <c r="F11" s="299">
        <v>0.46349600000000002</v>
      </c>
      <c r="G11" s="301">
        <f>IF('2024 Legal Max'!BQ8&gt;0,1.014331, 0)</f>
        <v>0</v>
      </c>
      <c r="H11" s="299">
        <f>'2024 Legal Max'!BT8</f>
        <v>0</v>
      </c>
      <c r="I11" s="299">
        <f>'2024 Legal Max'!BX8</f>
        <v>0.45887499999999998</v>
      </c>
      <c r="J11" s="302">
        <f>IF('2024 Legal Max'!BZ8&gt;0,0.03504,0)</f>
        <v>0</v>
      </c>
      <c r="K11" s="299">
        <f t="shared" si="2"/>
        <v>0.45887499999999998</v>
      </c>
      <c r="L11" s="299">
        <f t="shared" si="3"/>
        <v>0.45887499999999998</v>
      </c>
      <c r="M11" s="303">
        <f>MAX('2024 Legal Max'!BQ8,'2024 Legal Max'!BU8,'2024 Legal Max'!BY8,'2024 Legal Max'!BZ8)</f>
        <v>171.8</v>
      </c>
      <c r="N11" s="303">
        <f>'2024 Legal Max'!U8*'Low-High ENRL- 2023 HSubSB 113'!L11</f>
        <v>171.8</v>
      </c>
      <c r="O11" s="303">
        <f t="shared" si="1"/>
        <v>0</v>
      </c>
    </row>
    <row r="12" spans="1:19">
      <c r="A12" s="255" t="s">
        <v>194</v>
      </c>
      <c r="B12" s="255" t="s">
        <v>3688</v>
      </c>
      <c r="C12" s="255" t="s">
        <v>47</v>
      </c>
      <c r="D12" s="255">
        <v>0</v>
      </c>
      <c r="E12" s="320">
        <f>IF(ISNA(VLOOKUP($A12,'Audit Values'!$A:$BZ,2,FALSE)),0,VLOOKUP($A12,'Audit Values'!$A:$BZ,78,FALSE))</f>
        <v>0</v>
      </c>
      <c r="F12" s="299">
        <v>0.98384799999999994</v>
      </c>
      <c r="G12" s="301">
        <f>IF('2024 Legal Max'!BQ9&gt;0,1.014331, 0)</f>
        <v>0</v>
      </c>
      <c r="H12" s="299">
        <f>'2024 Legal Max'!BT9</f>
        <v>0.97722100000000001</v>
      </c>
      <c r="I12" s="299">
        <f>'2024 Legal Max'!BX9</f>
        <v>0</v>
      </c>
      <c r="J12" s="302">
        <f>IF('2024 Legal Max'!BZ9&gt;0,0.03504,0)</f>
        <v>0</v>
      </c>
      <c r="K12" s="299">
        <f t="shared" si="2"/>
        <v>0.97722100000000001</v>
      </c>
      <c r="L12" s="299">
        <f t="shared" si="3"/>
        <v>0.97722100000000001</v>
      </c>
      <c r="M12" s="303">
        <f>MAX('2024 Legal Max'!BQ9,'2024 Legal Max'!BU9,'2024 Legal Max'!BY9,'2024 Legal Max'!BZ9)</f>
        <v>111.4</v>
      </c>
      <c r="N12" s="303">
        <f>'2024 Legal Max'!U9*'Low-High ENRL- 2023 HSubSB 113'!L12</f>
        <v>111.4</v>
      </c>
      <c r="O12" s="303">
        <f t="shared" si="1"/>
        <v>0</v>
      </c>
    </row>
    <row r="13" spans="1:19">
      <c r="A13" s="255" t="s">
        <v>195</v>
      </c>
      <c r="B13" s="255" t="s">
        <v>3689</v>
      </c>
      <c r="C13" s="255" t="s">
        <v>7</v>
      </c>
      <c r="D13" s="255">
        <v>0</v>
      </c>
      <c r="E13" s="320">
        <f>IF(ISNA(VLOOKUP($A13,'Audit Values'!$A:$BZ,2,FALSE)),0,VLOOKUP($A13,'Audit Values'!$A:$BZ,78,FALSE))</f>
        <v>0</v>
      </c>
      <c r="F13" s="299">
        <v>0.45734599999999997</v>
      </c>
      <c r="G13" s="301">
        <f>IF('2024 Legal Max'!BQ10&gt;0,1.014331, 0)</f>
        <v>0</v>
      </c>
      <c r="H13" s="299">
        <f>'2024 Legal Max'!BT10</f>
        <v>0</v>
      </c>
      <c r="I13" s="299">
        <f>'2024 Legal Max'!BX10</f>
        <v>0.45598699999999998</v>
      </c>
      <c r="J13" s="302">
        <f>IF('2024 Legal Max'!BZ10&gt;0,0.03504,0)</f>
        <v>0</v>
      </c>
      <c r="K13" s="299">
        <f t="shared" si="2"/>
        <v>0.45598699999999998</v>
      </c>
      <c r="L13" s="299">
        <f t="shared" si="3"/>
        <v>0.45598699999999998</v>
      </c>
      <c r="M13" s="303">
        <f>MAX('2024 Legal Max'!BQ10,'2024 Legal Max'!BU10,'2024 Legal Max'!BY10,'2024 Legal Max'!BZ10)</f>
        <v>174.6</v>
      </c>
      <c r="N13" s="303">
        <f>'2024 Legal Max'!U10*'Low-High ENRL- 2023 HSubSB 113'!L13</f>
        <v>174.6</v>
      </c>
      <c r="O13" s="303">
        <f t="shared" si="1"/>
        <v>0</v>
      </c>
    </row>
    <row r="14" spans="1:19">
      <c r="A14" s="255" t="s">
        <v>196</v>
      </c>
      <c r="B14" s="255" t="s">
        <v>3690</v>
      </c>
      <c r="C14" s="255" t="s">
        <v>19</v>
      </c>
      <c r="D14" s="255">
        <v>0</v>
      </c>
      <c r="E14" s="320">
        <f>IF(ISNA(VLOOKUP($A14,'Audit Values'!$A:$BZ,2,FALSE)),0,VLOOKUP($A14,'Audit Values'!$A:$BZ,78,FALSE))</f>
        <v>0</v>
      </c>
      <c r="F14" s="299">
        <v>0.46054</v>
      </c>
      <c r="G14" s="301">
        <f>IF('2024 Legal Max'!BQ11&gt;0,1.014331, 0)</f>
        <v>0</v>
      </c>
      <c r="H14" s="299">
        <f>'2024 Legal Max'!BT11</f>
        <v>0</v>
      </c>
      <c r="I14" s="299">
        <f>'2024 Legal Max'!BX11</f>
        <v>0.46753899999999998</v>
      </c>
      <c r="J14" s="302">
        <f>IF('2024 Legal Max'!BZ11&gt;0,0.03504,0)</f>
        <v>0</v>
      </c>
      <c r="K14" s="299">
        <f t="shared" si="2"/>
        <v>0.46753899999999998</v>
      </c>
      <c r="L14" s="299">
        <f t="shared" si="3"/>
        <v>0.46753899999999998</v>
      </c>
      <c r="M14" s="303">
        <f>MAX('2024 Legal Max'!BQ11,'2024 Legal Max'!BU11,'2024 Legal Max'!BY11,'2024 Legal Max'!BZ11)</f>
        <v>163.19999999999999</v>
      </c>
      <c r="N14" s="303">
        <f>'2024 Legal Max'!U11*'Low-High ENRL- 2023 HSubSB 113'!L14</f>
        <v>163.19999999999999</v>
      </c>
      <c r="O14" s="303">
        <f t="shared" si="1"/>
        <v>0</v>
      </c>
    </row>
    <row r="15" spans="1:19">
      <c r="A15" s="255" t="s">
        <v>197</v>
      </c>
      <c r="B15" s="255" t="s">
        <v>3691</v>
      </c>
      <c r="C15" s="255" t="s">
        <v>98</v>
      </c>
      <c r="D15" s="255">
        <v>0</v>
      </c>
      <c r="E15" s="320">
        <f>IF(ISNA(VLOOKUP($A15,'Audit Values'!$A:$BZ,2,FALSE)),0,VLOOKUP($A15,'Audit Values'!$A:$BZ,78,FALSE))</f>
        <v>0</v>
      </c>
      <c r="F15" s="299">
        <v>0.41562500000000002</v>
      </c>
      <c r="G15" s="301">
        <f>IF('2024 Legal Max'!BQ12&gt;0,1.014331, 0)</f>
        <v>0</v>
      </c>
      <c r="H15" s="299">
        <f>'2024 Legal Max'!BT12</f>
        <v>0</v>
      </c>
      <c r="I15" s="299">
        <f>'2024 Legal Max'!BX12</f>
        <v>0.41528500000000002</v>
      </c>
      <c r="J15" s="302">
        <f>IF('2024 Legal Max'!BZ12&gt;0,0.03504,0)</f>
        <v>0</v>
      </c>
      <c r="K15" s="299">
        <f t="shared" si="2"/>
        <v>0.41528500000000002</v>
      </c>
      <c r="L15" s="299">
        <f t="shared" si="3"/>
        <v>0.41528500000000002</v>
      </c>
      <c r="M15" s="303">
        <f>MAX('2024 Legal Max'!BQ12,'2024 Legal Max'!BU12,'2024 Legal Max'!BY12,'2024 Legal Max'!BZ12)</f>
        <v>208.8</v>
      </c>
      <c r="N15" s="303">
        <f>'2024 Legal Max'!U12*'Low-High ENRL- 2023 HSubSB 113'!L15</f>
        <v>208.8</v>
      </c>
      <c r="O15" s="303">
        <f t="shared" si="1"/>
        <v>0</v>
      </c>
    </row>
    <row r="16" spans="1:19">
      <c r="A16" s="255" t="s">
        <v>198</v>
      </c>
      <c r="B16" s="255" t="s">
        <v>3692</v>
      </c>
      <c r="C16" s="255" t="s">
        <v>53</v>
      </c>
      <c r="D16" s="255">
        <v>0</v>
      </c>
      <c r="E16" s="320">
        <f>IF(ISNA(VLOOKUP($A16,'Audit Values'!$A:$BZ,2,FALSE)),0,VLOOKUP($A16,'Audit Values'!$A:$BZ,78,FALSE))</f>
        <v>0</v>
      </c>
      <c r="F16" s="299">
        <v>0.79962299999999997</v>
      </c>
      <c r="G16" s="301">
        <f>IF('2024 Legal Max'!BQ13&gt;0,1.014331, 0)</f>
        <v>0</v>
      </c>
      <c r="H16" s="299">
        <f>'2024 Legal Max'!BT13</f>
        <v>0.80757500000000004</v>
      </c>
      <c r="I16" s="299">
        <f>'2024 Legal Max'!BX13</f>
        <v>0</v>
      </c>
      <c r="J16" s="302">
        <f>IF('2024 Legal Max'!BZ13&gt;0,0.03504,0)</f>
        <v>0</v>
      </c>
      <c r="K16" s="299">
        <f t="shared" si="2"/>
        <v>0.80757500000000004</v>
      </c>
      <c r="L16" s="299">
        <f t="shared" si="3"/>
        <v>0.80757500000000004</v>
      </c>
      <c r="M16" s="303">
        <f>MAX('2024 Legal Max'!BQ13,'2024 Legal Max'!BU13,'2024 Legal Max'!BY13,'2024 Legal Max'!BZ13)</f>
        <v>143.69999999999999</v>
      </c>
      <c r="N16" s="303">
        <f>'2024 Legal Max'!U13*'Low-High ENRL- 2023 HSubSB 113'!L16</f>
        <v>143.69999999999999</v>
      </c>
      <c r="O16" s="303">
        <f t="shared" si="1"/>
        <v>0</v>
      </c>
    </row>
    <row r="17" spans="1:15">
      <c r="A17" s="255" t="s">
        <v>199</v>
      </c>
      <c r="B17" s="255" t="s">
        <v>3693</v>
      </c>
      <c r="C17" s="255" t="s">
        <v>92</v>
      </c>
      <c r="D17" s="255">
        <v>0</v>
      </c>
      <c r="E17" s="320">
        <f>IF(ISNA(VLOOKUP($A17,'Audit Values'!$A:$BZ,2,FALSE)),0,VLOOKUP($A17,'Audit Values'!$A:$BZ,78,FALSE))</f>
        <v>0</v>
      </c>
      <c r="F17" s="299">
        <v>0.47181899999999999</v>
      </c>
      <c r="G17" s="301">
        <f>IF('2024 Legal Max'!BQ14&gt;0,1.014331, 0)</f>
        <v>0</v>
      </c>
      <c r="H17" s="299">
        <f>'2024 Legal Max'!BT14</f>
        <v>0</v>
      </c>
      <c r="I17" s="299">
        <f>'2024 Legal Max'!BX14</f>
        <v>0.46407300000000001</v>
      </c>
      <c r="J17" s="302">
        <f>IF('2024 Legal Max'!BZ14&gt;0,0.03504,0)</f>
        <v>0</v>
      </c>
      <c r="K17" s="299">
        <f t="shared" si="2"/>
        <v>0.46407300000000001</v>
      </c>
      <c r="L17" s="299">
        <f t="shared" si="3"/>
        <v>0.46407300000000001</v>
      </c>
      <c r="M17" s="303">
        <f>MAX('2024 Legal Max'!BQ14,'2024 Legal Max'!BU14,'2024 Legal Max'!BY14,'2024 Legal Max'!BZ14)</f>
        <v>166.7</v>
      </c>
      <c r="N17" s="303">
        <f>'2024 Legal Max'!U14*'Low-High ENRL- 2023 HSubSB 113'!L17</f>
        <v>166.7</v>
      </c>
      <c r="O17" s="303">
        <f t="shared" si="1"/>
        <v>0</v>
      </c>
    </row>
    <row r="18" spans="1:15">
      <c r="A18" s="255" t="s">
        <v>200</v>
      </c>
      <c r="B18" s="255" t="s">
        <v>3694</v>
      </c>
      <c r="C18" s="255" t="s">
        <v>54</v>
      </c>
      <c r="D18" s="255">
        <v>0</v>
      </c>
      <c r="E18" s="320">
        <f>IF(ISNA(VLOOKUP($A18,'Audit Values'!$A:$BZ,2,FALSE)),0,VLOOKUP($A18,'Audit Values'!$A:$BZ,78,FALSE))</f>
        <v>0</v>
      </c>
      <c r="F18" s="299">
        <v>0.431118</v>
      </c>
      <c r="G18" s="301">
        <f>IF('2024 Legal Max'!BQ15&gt;0,1.014331, 0)</f>
        <v>0</v>
      </c>
      <c r="H18" s="299">
        <f>'2024 Legal Max'!BT15</f>
        <v>0</v>
      </c>
      <c r="I18" s="299">
        <f>'2024 Legal Max'!BX15</f>
        <v>0.42116300000000001</v>
      </c>
      <c r="J18" s="302">
        <f>IF('2024 Legal Max'!BZ15&gt;0,0.03504,0)</f>
        <v>0</v>
      </c>
      <c r="K18" s="299">
        <f t="shared" si="2"/>
        <v>0.42116300000000001</v>
      </c>
      <c r="L18" s="299">
        <f t="shared" si="3"/>
        <v>0.42116300000000001</v>
      </c>
      <c r="M18" s="303">
        <f>MAX('2024 Legal Max'!BQ15,'2024 Legal Max'!BU15,'2024 Legal Max'!BY15,'2024 Legal Max'!BZ15)</f>
        <v>204.5</v>
      </c>
      <c r="N18" s="303">
        <f>'2024 Legal Max'!U15*'Low-High ENRL- 2023 HSubSB 113'!L18</f>
        <v>204.5</v>
      </c>
      <c r="O18" s="303">
        <f t="shared" si="1"/>
        <v>0</v>
      </c>
    </row>
    <row r="19" spans="1:15">
      <c r="A19" s="255" t="s">
        <v>201</v>
      </c>
      <c r="B19" s="255" t="s">
        <v>3695</v>
      </c>
      <c r="C19" s="255" t="s">
        <v>100</v>
      </c>
      <c r="D19" s="255">
        <v>0</v>
      </c>
      <c r="E19" s="320">
        <f>IF(ISNA(VLOOKUP($A19,'Audit Values'!$A:$BZ,2,FALSE)),0,VLOOKUP($A19,'Audit Values'!$A:$BZ,78,FALSE))</f>
        <v>0</v>
      </c>
      <c r="F19" s="299">
        <v>0.227438</v>
      </c>
      <c r="G19" s="301">
        <f>IF('2024 Legal Max'!BQ16&gt;0,1.014331, 0)</f>
        <v>0</v>
      </c>
      <c r="H19" s="299">
        <f>'2024 Legal Max'!BT16</f>
        <v>0</v>
      </c>
      <c r="I19" s="299">
        <f>'2024 Legal Max'!BX16</f>
        <v>0.23171900000000001</v>
      </c>
      <c r="J19" s="302">
        <f>IF('2024 Legal Max'!BZ16&gt;0,0.03504,0)</f>
        <v>0</v>
      </c>
      <c r="K19" s="299">
        <f t="shared" si="2"/>
        <v>0.23171900000000001</v>
      </c>
      <c r="L19" s="299">
        <f t="shared" si="3"/>
        <v>0.23171900000000001</v>
      </c>
      <c r="M19" s="303">
        <f>MAX('2024 Legal Max'!BQ16,'2024 Legal Max'!BU16,'2024 Legal Max'!BY16,'2024 Legal Max'!BZ16)</f>
        <v>241.7</v>
      </c>
      <c r="N19" s="303">
        <f>'2024 Legal Max'!U16*'Low-High ENRL- 2023 HSubSB 113'!L19</f>
        <v>241.7</v>
      </c>
      <c r="O19" s="303">
        <f t="shared" si="1"/>
        <v>0</v>
      </c>
    </row>
    <row r="20" spans="1:15">
      <c r="A20" s="255" t="s">
        <v>202</v>
      </c>
      <c r="B20" s="255" t="s">
        <v>3696</v>
      </c>
      <c r="C20" s="255" t="s">
        <v>92</v>
      </c>
      <c r="D20" s="255">
        <v>0</v>
      </c>
      <c r="E20" s="320">
        <f>IF(ISNA(VLOOKUP($A20,'Audit Values'!$A:$BZ,2,FALSE)),0,VLOOKUP($A20,'Audit Values'!$A:$BZ,78,FALSE))</f>
        <v>0</v>
      </c>
      <c r="F20" s="299">
        <v>0.38616899999999998</v>
      </c>
      <c r="G20" s="301">
        <f>IF('2024 Legal Max'!BQ17&gt;0,1.014331, 0)</f>
        <v>0</v>
      </c>
      <c r="H20" s="299">
        <f>'2024 Legal Max'!BT17</f>
        <v>0</v>
      </c>
      <c r="I20" s="299">
        <f>'2024 Legal Max'!BX17</f>
        <v>0.38100499999999998</v>
      </c>
      <c r="J20" s="302">
        <f>IF('2024 Legal Max'!BZ17&gt;0,0.03504,0)</f>
        <v>0</v>
      </c>
      <c r="K20" s="299">
        <f t="shared" si="2"/>
        <v>0.38100499999999998</v>
      </c>
      <c r="L20" s="299">
        <f t="shared" si="3"/>
        <v>0.38100499999999998</v>
      </c>
      <c r="M20" s="303">
        <f>MAX('2024 Legal Max'!BQ17,'2024 Legal Max'!BU17,'2024 Legal Max'!BY17,'2024 Legal Max'!BZ17)</f>
        <v>230</v>
      </c>
      <c r="N20" s="303">
        <f>'2024 Legal Max'!U17*'Low-High ENRL- 2023 HSubSB 113'!L20</f>
        <v>230</v>
      </c>
      <c r="O20" s="303">
        <f t="shared" si="1"/>
        <v>0</v>
      </c>
    </row>
    <row r="21" spans="1:15">
      <c r="A21" s="255" t="s">
        <v>203</v>
      </c>
      <c r="B21" s="255" t="s">
        <v>3697</v>
      </c>
      <c r="C21" s="255" t="s">
        <v>100</v>
      </c>
      <c r="D21" s="255">
        <v>1</v>
      </c>
      <c r="E21" s="320">
        <f>IF(ISNA(VLOOKUP($A21,'Audit Values'!$A:$BZ,2,FALSE)),0,VLOOKUP($A21,'Audit Values'!$A:$BZ,78,FALSE))</f>
        <v>1</v>
      </c>
      <c r="F21" s="299">
        <v>0.363066</v>
      </c>
      <c r="G21" s="301">
        <f>IF('2024 Legal Max'!BQ18&gt;0,1.014331, 0)</f>
        <v>0</v>
      </c>
      <c r="H21" s="299">
        <f>'2024 Legal Max'!BT18</f>
        <v>0</v>
      </c>
      <c r="I21" s="299">
        <f>'2024 Legal Max'!BX18</f>
        <v>0.34455000000000002</v>
      </c>
      <c r="J21" s="302">
        <f>IF('2024 Legal Max'!BZ18&gt;0,0.03504,0)</f>
        <v>0</v>
      </c>
      <c r="K21" s="299">
        <f t="shared" si="2"/>
        <v>0.34455000000000002</v>
      </c>
      <c r="L21" s="299">
        <f t="shared" si="3"/>
        <v>0.363066</v>
      </c>
      <c r="M21" s="303">
        <f>MAX('2024 Legal Max'!BQ18,'2024 Legal Max'!BU18,'2024 Legal Max'!BY18,'2024 Legal Max'!BZ18)</f>
        <v>245</v>
      </c>
      <c r="N21" s="303">
        <f>'2024 Legal Max'!U18*'Low-High ENRL- 2023 HSubSB 113'!L21</f>
        <v>258.10000000000002</v>
      </c>
      <c r="O21" s="303">
        <f t="shared" si="1"/>
        <v>13.1</v>
      </c>
    </row>
    <row r="22" spans="1:15">
      <c r="A22" s="255" t="s">
        <v>204</v>
      </c>
      <c r="B22" s="255" t="s">
        <v>3698</v>
      </c>
      <c r="C22" s="255" t="s">
        <v>8</v>
      </c>
      <c r="D22" s="255">
        <v>0</v>
      </c>
      <c r="E22" s="320">
        <f>IF(ISNA(VLOOKUP($A22,'Audit Values'!$A:$BZ,2,FALSE)),0,VLOOKUP($A22,'Audit Values'!$A:$BZ,78,FALSE))</f>
        <v>0</v>
      </c>
      <c r="F22" s="299">
        <v>0.64455499999999999</v>
      </c>
      <c r="G22" s="301">
        <f>IF('2024 Legal Max'!BQ19&gt;0,1.014331, 0)</f>
        <v>0</v>
      </c>
      <c r="H22" s="299">
        <f>'2024 Legal Max'!BT19</f>
        <v>0.64588000000000001</v>
      </c>
      <c r="I22" s="299">
        <f>'2024 Legal Max'!BX19</f>
        <v>0</v>
      </c>
      <c r="J22" s="302">
        <f>IF('2024 Legal Max'!BZ19&gt;0,0.03504,0)</f>
        <v>0</v>
      </c>
      <c r="K22" s="299">
        <f t="shared" si="2"/>
        <v>0.64588000000000001</v>
      </c>
      <c r="L22" s="299">
        <f t="shared" si="3"/>
        <v>0.64588000000000001</v>
      </c>
      <c r="M22" s="303">
        <f>MAX('2024 Legal Max'!BQ19,'2024 Legal Max'!BU19,'2024 Legal Max'!BY19,'2024 Legal Max'!BZ19)</f>
        <v>154.4</v>
      </c>
      <c r="N22" s="303">
        <f>'2024 Legal Max'!U19*'Low-High ENRL- 2023 HSubSB 113'!L22</f>
        <v>154.4</v>
      </c>
      <c r="O22" s="303">
        <f t="shared" si="1"/>
        <v>0</v>
      </c>
    </row>
    <row r="23" spans="1:15">
      <c r="A23" s="255" t="s">
        <v>205</v>
      </c>
      <c r="B23" s="255" t="s">
        <v>3699</v>
      </c>
      <c r="C23" s="255" t="s">
        <v>9</v>
      </c>
      <c r="D23" s="255">
        <v>0</v>
      </c>
      <c r="E23" s="320">
        <f>IF(ISNA(VLOOKUP($A23,'Audit Values'!$A:$BZ,2,FALSE)),0,VLOOKUP($A23,'Audit Values'!$A:$BZ,78,FALSE))</f>
        <v>0</v>
      </c>
      <c r="F23" s="300">
        <v>3.5040000000000002E-2</v>
      </c>
      <c r="G23" s="301">
        <f>IF('2024 Legal Max'!BQ20&gt;0,1.014331, 0)</f>
        <v>0</v>
      </c>
      <c r="H23" s="299">
        <f>'2024 Legal Max'!BT20</f>
        <v>0</v>
      </c>
      <c r="I23" s="299">
        <f>'2024 Legal Max'!BX20</f>
        <v>0</v>
      </c>
      <c r="J23" s="302">
        <f>IF('2024 Legal Max'!BZ20&gt;0,0.03504,0)</f>
        <v>3.5040000000000002E-2</v>
      </c>
      <c r="K23" s="299">
        <f t="shared" si="2"/>
        <v>3.5040000000000002E-2</v>
      </c>
      <c r="L23" s="299">
        <f t="shared" si="3"/>
        <v>3.5040000000000002E-2</v>
      </c>
      <c r="M23" s="303">
        <f>MAX('2024 Legal Max'!BQ20,'2024 Legal Max'!BU20,'2024 Legal Max'!BY20,'2024 Legal Max'!BZ20)</f>
        <v>132.1</v>
      </c>
      <c r="N23" s="303">
        <f>'2024 Legal Max'!U20*'Low-High ENRL- 2023 HSubSB 113'!L23</f>
        <v>132.1</v>
      </c>
      <c r="O23" s="303">
        <f t="shared" si="1"/>
        <v>0</v>
      </c>
    </row>
    <row r="24" spans="1:15">
      <c r="A24" s="255" t="s">
        <v>206</v>
      </c>
      <c r="B24" s="255" t="s">
        <v>3700</v>
      </c>
      <c r="C24" s="255" t="s">
        <v>9</v>
      </c>
      <c r="D24" s="255">
        <v>0</v>
      </c>
      <c r="E24" s="320">
        <f>IF(ISNA(VLOOKUP($A24,'Audit Values'!$A:$BZ,2,FALSE)),0,VLOOKUP($A24,'Audit Values'!$A:$BZ,78,FALSE))</f>
        <v>0</v>
      </c>
      <c r="F24" s="300">
        <v>3.5040000000000002E-2</v>
      </c>
      <c r="G24" s="301">
        <f>IF('2024 Legal Max'!BQ21&gt;0,1.014331, 0)</f>
        <v>0</v>
      </c>
      <c r="H24" s="299">
        <f>'2024 Legal Max'!BT21</f>
        <v>0</v>
      </c>
      <c r="I24" s="299">
        <f>'2024 Legal Max'!BX21</f>
        <v>0</v>
      </c>
      <c r="J24" s="302">
        <f>IF('2024 Legal Max'!BZ21&gt;0,0.03504,0)</f>
        <v>3.5040000000000002E-2</v>
      </c>
      <c r="K24" s="299">
        <f t="shared" si="2"/>
        <v>3.5040000000000002E-2</v>
      </c>
      <c r="L24" s="299">
        <f t="shared" si="3"/>
        <v>3.5040000000000002E-2</v>
      </c>
      <c r="M24" s="303">
        <f>MAX('2024 Legal Max'!BQ21,'2024 Legal Max'!BU21,'2024 Legal Max'!BY21,'2024 Legal Max'!BZ21)</f>
        <v>93.2</v>
      </c>
      <c r="N24" s="303">
        <f>'2024 Legal Max'!U21*'Low-High ENRL- 2023 HSubSB 113'!L24</f>
        <v>93.2</v>
      </c>
      <c r="O24" s="303">
        <f t="shared" si="1"/>
        <v>0</v>
      </c>
    </row>
    <row r="25" spans="1:15">
      <c r="A25" s="255" t="s">
        <v>207</v>
      </c>
      <c r="B25" s="255" t="s">
        <v>3701</v>
      </c>
      <c r="C25" s="255" t="s">
        <v>9</v>
      </c>
      <c r="D25" s="255">
        <v>0</v>
      </c>
      <c r="E25" s="320">
        <f>IF(ISNA(VLOOKUP($A25,'Audit Values'!$A:$BZ,2,FALSE)),0,VLOOKUP($A25,'Audit Values'!$A:$BZ,78,FALSE))</f>
        <v>0</v>
      </c>
      <c r="F25" s="300">
        <v>3.5040000000000002E-2</v>
      </c>
      <c r="G25" s="301">
        <f>IF('2024 Legal Max'!BQ22&gt;0,1.014331, 0)</f>
        <v>0</v>
      </c>
      <c r="H25" s="299">
        <f>'2024 Legal Max'!BT22</f>
        <v>0</v>
      </c>
      <c r="I25" s="299">
        <f>'2024 Legal Max'!BX22</f>
        <v>0</v>
      </c>
      <c r="J25" s="302">
        <f>IF('2024 Legal Max'!BZ22&gt;0,0.03504,0)</f>
        <v>3.5040000000000002E-2</v>
      </c>
      <c r="K25" s="299">
        <f t="shared" si="2"/>
        <v>3.5040000000000002E-2</v>
      </c>
      <c r="L25" s="299">
        <f t="shared" si="3"/>
        <v>3.5040000000000002E-2</v>
      </c>
      <c r="M25" s="303">
        <f>MAX('2024 Legal Max'!BQ22,'2024 Legal Max'!BU22,'2024 Legal Max'!BY22,'2024 Legal Max'!BZ22)</f>
        <v>84.8</v>
      </c>
      <c r="N25" s="303">
        <f>'2024 Legal Max'!U22*'Low-High ENRL- 2023 HSubSB 113'!L25</f>
        <v>84.8</v>
      </c>
      <c r="O25" s="303">
        <f t="shared" si="1"/>
        <v>0</v>
      </c>
    </row>
    <row r="26" spans="1:15">
      <c r="A26" s="255" t="s">
        <v>208</v>
      </c>
      <c r="B26" s="255" t="s">
        <v>3702</v>
      </c>
      <c r="C26" s="255" t="s">
        <v>10</v>
      </c>
      <c r="D26" s="255">
        <v>0</v>
      </c>
      <c r="E26" s="320">
        <f>IF(ISNA(VLOOKUP($A26,'Audit Values'!$A:$BZ,2,FALSE)),0,VLOOKUP($A26,'Audit Values'!$A:$BZ,78,FALSE))</f>
        <v>0</v>
      </c>
      <c r="F26" s="299">
        <v>0.41182000000000002</v>
      </c>
      <c r="G26" s="301">
        <f>IF('2024 Legal Max'!BQ23&gt;0,1.014331, 0)</f>
        <v>0</v>
      </c>
      <c r="H26" s="299">
        <f>'2024 Legal Max'!BT23</f>
        <v>0</v>
      </c>
      <c r="I26" s="299">
        <f>'2024 Legal Max'!BX23</f>
        <v>0.41131000000000001</v>
      </c>
      <c r="J26" s="302">
        <f>IF('2024 Legal Max'!BZ23&gt;0,0.03504,0)</f>
        <v>0</v>
      </c>
      <c r="K26" s="299">
        <f t="shared" si="2"/>
        <v>0.41131000000000001</v>
      </c>
      <c r="L26" s="299">
        <f t="shared" si="3"/>
        <v>0.41131000000000001</v>
      </c>
      <c r="M26" s="303">
        <f>MAX('2024 Legal Max'!BQ23,'2024 Legal Max'!BU23,'2024 Legal Max'!BY23,'2024 Legal Max'!BZ23)</f>
        <v>211.6</v>
      </c>
      <c r="N26" s="303">
        <f>'2024 Legal Max'!U23*'Low-High ENRL- 2023 HSubSB 113'!L26</f>
        <v>211.6</v>
      </c>
      <c r="O26" s="303">
        <f t="shared" si="1"/>
        <v>0</v>
      </c>
    </row>
    <row r="27" spans="1:15">
      <c r="A27" s="255" t="s">
        <v>209</v>
      </c>
      <c r="B27" s="255" t="s">
        <v>3703</v>
      </c>
      <c r="C27" s="255" t="s">
        <v>10</v>
      </c>
      <c r="D27" s="255">
        <v>1</v>
      </c>
      <c r="E27" s="320">
        <f>IF(ISNA(VLOOKUP($A27,'Audit Values'!$A:$BZ,2,FALSE)),0,VLOOKUP($A27,'Audit Values'!$A:$BZ,78,FALSE))</f>
        <v>0</v>
      </c>
      <c r="F27" s="299">
        <v>0.42744799999999999</v>
      </c>
      <c r="G27" s="301">
        <f>IF('2024 Legal Max'!BQ24&gt;0,1.014331, 0)</f>
        <v>0</v>
      </c>
      <c r="H27" s="299">
        <f>'2024 Legal Max'!BT24</f>
        <v>0</v>
      </c>
      <c r="I27" s="299">
        <f>'2024 Legal Max'!BX24</f>
        <v>0.426429</v>
      </c>
      <c r="J27" s="302">
        <f>IF('2024 Legal Max'!BZ24&gt;0,0.03504,0)</f>
        <v>0</v>
      </c>
      <c r="K27" s="299">
        <f t="shared" si="2"/>
        <v>0.426429</v>
      </c>
      <c r="L27" s="299">
        <f t="shared" si="3"/>
        <v>0.426429</v>
      </c>
      <c r="M27" s="303">
        <f>MAX('2024 Legal Max'!BQ24,'2024 Legal Max'!BU24,'2024 Legal Max'!BY24,'2024 Legal Max'!BZ24)</f>
        <v>200.4</v>
      </c>
      <c r="N27" s="303">
        <f>'2024 Legal Max'!U24*'Low-High ENRL- 2023 HSubSB 113'!L27</f>
        <v>200.4</v>
      </c>
      <c r="O27" s="303">
        <f t="shared" si="1"/>
        <v>0</v>
      </c>
    </row>
    <row r="28" spans="1:15">
      <c r="A28" s="255" t="s">
        <v>210</v>
      </c>
      <c r="B28" s="255" t="s">
        <v>3704</v>
      </c>
      <c r="C28" s="255" t="s">
        <v>11</v>
      </c>
      <c r="D28" s="255">
        <v>0</v>
      </c>
      <c r="E28" s="320">
        <f>IF(ISNA(VLOOKUP($A28,'Audit Values'!$A:$BZ,2,FALSE)),0,VLOOKUP($A28,'Audit Values'!$A:$BZ,78,FALSE))</f>
        <v>0</v>
      </c>
      <c r="F28" s="299">
        <v>9.2217999999999994E-2</v>
      </c>
      <c r="G28" s="301">
        <f>IF('2024 Legal Max'!BQ25&gt;0,1.014331, 0)</f>
        <v>0</v>
      </c>
      <c r="H28" s="299">
        <f>'2024 Legal Max'!BT25</f>
        <v>0</v>
      </c>
      <c r="I28" s="299">
        <f>'2024 Legal Max'!BX25</f>
        <v>5.0803000000000001E-2</v>
      </c>
      <c r="J28" s="302">
        <f>IF('2024 Legal Max'!BZ25&gt;0,0.03504,0)</f>
        <v>0</v>
      </c>
      <c r="K28" s="299">
        <f t="shared" si="2"/>
        <v>5.0803000000000001E-2</v>
      </c>
      <c r="L28" s="299">
        <f t="shared" si="3"/>
        <v>5.0803000000000001E-2</v>
      </c>
      <c r="M28" s="303">
        <f>MAX('2024 Legal Max'!BQ25,'2024 Legal Max'!BU25,'2024 Legal Max'!BY25,'2024 Legal Max'!BZ25)</f>
        <v>80</v>
      </c>
      <c r="N28" s="303">
        <f>'2024 Legal Max'!U25*'Low-High ENRL- 2023 HSubSB 113'!L28</f>
        <v>80</v>
      </c>
      <c r="O28" s="303">
        <f t="shared" si="1"/>
        <v>0</v>
      </c>
    </row>
    <row r="29" spans="1:15">
      <c r="A29" s="255" t="s">
        <v>211</v>
      </c>
      <c r="B29" s="255" t="s">
        <v>12</v>
      </c>
      <c r="C29" s="255" t="s">
        <v>12</v>
      </c>
      <c r="D29" s="255">
        <v>0</v>
      </c>
      <c r="E29" s="320">
        <f>IF(ISNA(VLOOKUP($A29,'Audit Values'!$A:$BZ,2,FALSE)),0,VLOOKUP($A29,'Audit Values'!$A:$BZ,78,FALSE))</f>
        <v>0</v>
      </c>
      <c r="F29" s="299">
        <v>0.45962199999999998</v>
      </c>
      <c r="G29" s="301">
        <f>IF('2024 Legal Max'!BQ26&gt;0,1.014331, 0)</f>
        <v>0</v>
      </c>
      <c r="H29" s="299">
        <f>'2024 Legal Max'!BT26</f>
        <v>0</v>
      </c>
      <c r="I29" s="299">
        <f>'2024 Legal Max'!BX26</f>
        <v>0.45996199999999998</v>
      </c>
      <c r="J29" s="302">
        <f>IF('2024 Legal Max'!BZ26&gt;0,0.03504,0)</f>
        <v>0</v>
      </c>
      <c r="K29" s="299">
        <f t="shared" si="2"/>
        <v>0.45996199999999998</v>
      </c>
      <c r="L29" s="299">
        <f t="shared" si="3"/>
        <v>0.45996199999999998</v>
      </c>
      <c r="M29" s="303">
        <f>MAX('2024 Legal Max'!BQ26,'2024 Legal Max'!BU26,'2024 Legal Max'!BY26,'2024 Legal Max'!BZ26)</f>
        <v>170.8</v>
      </c>
      <c r="N29" s="303">
        <f>'2024 Legal Max'!U26*'Low-High ENRL- 2023 HSubSB 113'!L29</f>
        <v>170.8</v>
      </c>
      <c r="O29" s="303">
        <f t="shared" si="1"/>
        <v>0</v>
      </c>
    </row>
    <row r="30" spans="1:15">
      <c r="A30" s="255" t="s">
        <v>212</v>
      </c>
      <c r="B30" s="255" t="s">
        <v>3705</v>
      </c>
      <c r="C30" s="255" t="s">
        <v>13</v>
      </c>
      <c r="D30" s="255">
        <v>0</v>
      </c>
      <c r="E30" s="320">
        <f>IF(ISNA(VLOOKUP($A30,'Audit Values'!$A:$BZ,2,FALSE)),0,VLOOKUP($A30,'Audit Values'!$A:$BZ,78,FALSE))</f>
        <v>0</v>
      </c>
      <c r="F30" s="299">
        <v>0.929508</v>
      </c>
      <c r="G30" s="301">
        <f>IF('2024 Legal Max'!BQ27&gt;0,1.014331, 0)</f>
        <v>0</v>
      </c>
      <c r="H30" s="299">
        <f>'2024 Legal Max'!BT27</f>
        <v>0.924207</v>
      </c>
      <c r="I30" s="299">
        <f>'2024 Legal Max'!BX27</f>
        <v>0</v>
      </c>
      <c r="J30" s="302">
        <f>IF('2024 Legal Max'!BZ27&gt;0,0.03504,0)</f>
        <v>0</v>
      </c>
      <c r="K30" s="299">
        <f t="shared" si="2"/>
        <v>0.924207</v>
      </c>
      <c r="L30" s="299">
        <f t="shared" si="3"/>
        <v>0.924207</v>
      </c>
      <c r="M30" s="303">
        <f>MAX('2024 Legal Max'!BQ27,'2024 Legal Max'!BU27,'2024 Legal Max'!BY27,'2024 Legal Max'!BZ27)</f>
        <v>123.8</v>
      </c>
      <c r="N30" s="303">
        <f>'2024 Legal Max'!U27*'Low-High ENRL- 2023 HSubSB 113'!L30</f>
        <v>123.8</v>
      </c>
      <c r="O30" s="303">
        <f t="shared" si="1"/>
        <v>0</v>
      </c>
    </row>
    <row r="31" spans="1:15">
      <c r="A31" s="255" t="s">
        <v>213</v>
      </c>
      <c r="B31" s="255" t="s">
        <v>3706</v>
      </c>
      <c r="C31" s="255" t="s">
        <v>13</v>
      </c>
      <c r="D31" s="255">
        <v>0</v>
      </c>
      <c r="E31" s="320">
        <f>IF(ISNA(VLOOKUP($A31,'Audit Values'!$A:$BZ,2,FALSE)),0,VLOOKUP($A31,'Audit Values'!$A:$BZ,78,FALSE))</f>
        <v>0</v>
      </c>
      <c r="F31" s="299">
        <v>0.24551300000000001</v>
      </c>
      <c r="G31" s="301">
        <f>IF('2024 Legal Max'!BQ28&gt;0,1.014331, 0)</f>
        <v>0</v>
      </c>
      <c r="H31" s="299">
        <f>'2024 Legal Max'!BT28</f>
        <v>0</v>
      </c>
      <c r="I31" s="299">
        <f>'2024 Legal Max'!BX28</f>
        <v>0.246532</v>
      </c>
      <c r="J31" s="302">
        <f>IF('2024 Legal Max'!BZ28&gt;0,0.03504,0)</f>
        <v>0</v>
      </c>
      <c r="K31" s="299">
        <f t="shared" si="2"/>
        <v>0.246532</v>
      </c>
      <c r="L31" s="299">
        <f t="shared" si="3"/>
        <v>0.246532</v>
      </c>
      <c r="M31" s="303">
        <f>MAX('2024 Legal Max'!BQ28,'2024 Legal Max'!BU28,'2024 Legal Max'!BY28,'2024 Legal Max'!BZ28)</f>
        <v>246.4</v>
      </c>
      <c r="N31" s="303">
        <f>'2024 Legal Max'!U28*'Low-High ENRL- 2023 HSubSB 113'!L31</f>
        <v>246.4</v>
      </c>
      <c r="O31" s="303">
        <f t="shared" si="1"/>
        <v>0</v>
      </c>
    </row>
    <row r="32" spans="1:15">
      <c r="A32" s="255" t="s">
        <v>214</v>
      </c>
      <c r="B32" s="255" t="s">
        <v>3707</v>
      </c>
      <c r="C32" s="255" t="s">
        <v>14</v>
      </c>
      <c r="D32" s="255">
        <v>0</v>
      </c>
      <c r="E32" s="320">
        <f>IF(ISNA(VLOOKUP($A32,'Audit Values'!$A:$BZ,2,FALSE)),0,VLOOKUP($A32,'Audit Values'!$A:$BZ,78,FALSE))</f>
        <v>0</v>
      </c>
      <c r="F32" s="299">
        <v>0.36072199999999999</v>
      </c>
      <c r="G32" s="301">
        <f>IF('2024 Legal Max'!BQ29&gt;0,1.014331, 0)</f>
        <v>0</v>
      </c>
      <c r="H32" s="299">
        <f>'2024 Legal Max'!BT29</f>
        <v>0</v>
      </c>
      <c r="I32" s="299">
        <f>'2024 Legal Max'!BX29</f>
        <v>0.36326999999999998</v>
      </c>
      <c r="J32" s="302">
        <f>IF('2024 Legal Max'!BZ29&gt;0,0.03504,0)</f>
        <v>0</v>
      </c>
      <c r="K32" s="299">
        <f t="shared" si="2"/>
        <v>0.36326999999999998</v>
      </c>
      <c r="L32" s="299">
        <f t="shared" si="3"/>
        <v>0.36326999999999998</v>
      </c>
      <c r="M32" s="303">
        <f>MAX('2024 Legal Max'!BQ29,'2024 Legal Max'!BU29,'2024 Legal Max'!BY29,'2024 Legal Max'!BZ29)</f>
        <v>238.3</v>
      </c>
      <c r="N32" s="303">
        <f>'2024 Legal Max'!U29*'Low-High ENRL- 2023 HSubSB 113'!L32</f>
        <v>238.3</v>
      </c>
      <c r="O32" s="303">
        <f t="shared" si="1"/>
        <v>0</v>
      </c>
    </row>
    <row r="33" spans="1:15">
      <c r="A33" s="255" t="s">
        <v>215</v>
      </c>
      <c r="B33" s="255" t="s">
        <v>3708</v>
      </c>
      <c r="C33" s="255" t="s">
        <v>14</v>
      </c>
      <c r="D33" s="255">
        <v>0</v>
      </c>
      <c r="E33" s="320">
        <f>IF(ISNA(VLOOKUP($A33,'Audit Values'!$A:$BZ,2,FALSE)),0,VLOOKUP($A33,'Audit Values'!$A:$BZ,78,FALSE))</f>
        <v>0</v>
      </c>
      <c r="F33" s="299">
        <v>0.89001200000000003</v>
      </c>
      <c r="G33" s="301">
        <f>IF('2024 Legal Max'!BQ30&gt;0,1.014331, 0)</f>
        <v>0</v>
      </c>
      <c r="H33" s="299">
        <f>'2024 Legal Max'!BT30</f>
        <v>0.90141000000000004</v>
      </c>
      <c r="I33" s="299">
        <f>'2024 Legal Max'!BX30</f>
        <v>0</v>
      </c>
      <c r="J33" s="302">
        <f>IF('2024 Legal Max'!BZ30&gt;0,0.03504,0)</f>
        <v>0</v>
      </c>
      <c r="K33" s="299">
        <f t="shared" si="2"/>
        <v>0.90141000000000004</v>
      </c>
      <c r="L33" s="299">
        <f t="shared" si="3"/>
        <v>0.90141000000000004</v>
      </c>
      <c r="M33" s="303">
        <f>MAX('2024 Legal Max'!BQ30,'2024 Legal Max'!BU30,'2024 Legal Max'!BY30,'2024 Legal Max'!BZ30)</f>
        <v>128.5</v>
      </c>
      <c r="N33" s="303">
        <f>'2024 Legal Max'!U30*'Low-High ENRL- 2023 HSubSB 113'!L33</f>
        <v>128.5</v>
      </c>
      <c r="O33" s="303">
        <f t="shared" si="1"/>
        <v>0</v>
      </c>
    </row>
    <row r="34" spans="1:15">
      <c r="A34" s="255" t="s">
        <v>216</v>
      </c>
      <c r="B34" s="255" t="s">
        <v>3709</v>
      </c>
      <c r="C34" s="255" t="s">
        <v>15</v>
      </c>
      <c r="D34" s="255">
        <v>0</v>
      </c>
      <c r="E34" s="320">
        <f>IF(ISNA(VLOOKUP($A34,'Audit Values'!$A:$BZ,2,FALSE)),0,VLOOKUP($A34,'Audit Values'!$A:$BZ,78,FALSE))</f>
        <v>0</v>
      </c>
      <c r="F34" s="299">
        <v>6.6669000000000006E-2</v>
      </c>
      <c r="G34" s="301">
        <f>IF('2024 Legal Max'!BQ31&gt;0,1.014331, 0)</f>
        <v>0</v>
      </c>
      <c r="H34" s="299">
        <f>'2024 Legal Max'!BT31</f>
        <v>0</v>
      </c>
      <c r="I34" s="299">
        <f>'2024 Legal Max'!BX31</f>
        <v>9.2116000000000003E-2</v>
      </c>
      <c r="J34" s="302">
        <f>IF('2024 Legal Max'!BZ31&gt;0,0.03504,0)</f>
        <v>0</v>
      </c>
      <c r="K34" s="299">
        <f t="shared" si="2"/>
        <v>9.2116000000000003E-2</v>
      </c>
      <c r="L34" s="299">
        <f t="shared" si="3"/>
        <v>9.2116000000000003E-2</v>
      </c>
      <c r="M34" s="303">
        <f>MAX('2024 Legal Max'!BQ31,'2024 Legal Max'!BU31,'2024 Legal Max'!BY31,'2024 Legal Max'!BZ31)</f>
        <v>133.9</v>
      </c>
      <c r="N34" s="303">
        <f>'2024 Legal Max'!U31*'Low-High ENRL- 2023 HSubSB 113'!L34</f>
        <v>133.9</v>
      </c>
      <c r="O34" s="303">
        <f t="shared" si="1"/>
        <v>0</v>
      </c>
    </row>
    <row r="35" spans="1:15">
      <c r="A35" s="255" t="s">
        <v>217</v>
      </c>
      <c r="B35" s="255" t="s">
        <v>3710</v>
      </c>
      <c r="C35" s="255" t="s">
        <v>16</v>
      </c>
      <c r="D35" s="255">
        <v>0</v>
      </c>
      <c r="E35" s="320">
        <f>IF(ISNA(VLOOKUP($A35,'Audit Values'!$A:$BZ,2,FALSE)),0,VLOOKUP($A35,'Audit Values'!$A:$BZ,78,FALSE))</f>
        <v>0</v>
      </c>
      <c r="F35" s="299">
        <v>0.374278</v>
      </c>
      <c r="G35" s="301">
        <f>IF('2024 Legal Max'!BQ32&gt;0,1.014331, 0)</f>
        <v>0</v>
      </c>
      <c r="H35" s="299">
        <f>'2024 Legal Max'!BT32</f>
        <v>0</v>
      </c>
      <c r="I35" s="299">
        <f>'2024 Legal Max'!BX32</f>
        <v>0.37312200000000001</v>
      </c>
      <c r="J35" s="302">
        <f>IF('2024 Legal Max'!BZ32&gt;0,0.03504,0)</f>
        <v>0</v>
      </c>
      <c r="K35" s="299">
        <f t="shared" si="2"/>
        <v>0.37312200000000001</v>
      </c>
      <c r="L35" s="299">
        <f t="shared" si="3"/>
        <v>0.37312200000000001</v>
      </c>
      <c r="M35" s="303">
        <f>MAX('2024 Legal Max'!BQ32,'2024 Legal Max'!BU32,'2024 Legal Max'!BY32,'2024 Legal Max'!BZ32)</f>
        <v>233.9</v>
      </c>
      <c r="N35" s="303">
        <f>'2024 Legal Max'!U32*'Low-High ENRL- 2023 HSubSB 113'!L35</f>
        <v>233.9</v>
      </c>
      <c r="O35" s="303">
        <f t="shared" si="1"/>
        <v>0</v>
      </c>
    </row>
    <row r="36" spans="1:15">
      <c r="A36" s="255" t="s">
        <v>218</v>
      </c>
      <c r="B36" s="255" t="s">
        <v>3711</v>
      </c>
      <c r="C36" s="255" t="s">
        <v>16</v>
      </c>
      <c r="D36" s="255">
        <v>0</v>
      </c>
      <c r="E36" s="320">
        <f>IF(ISNA(VLOOKUP($A36,'Audit Values'!$A:$BZ,2,FALSE)),0,VLOOKUP($A36,'Audit Values'!$A:$BZ,78,FALSE))</f>
        <v>0</v>
      </c>
      <c r="F36" s="299">
        <v>0.68961700000000004</v>
      </c>
      <c r="G36" s="301">
        <f>IF('2024 Legal Max'!BQ33&gt;0,1.014331, 0)</f>
        <v>0</v>
      </c>
      <c r="H36" s="299">
        <f>'2024 Legal Max'!BT33</f>
        <v>0.68564099999999994</v>
      </c>
      <c r="I36" s="299">
        <f>'2024 Legal Max'!BX33</f>
        <v>0</v>
      </c>
      <c r="J36" s="302">
        <f>IF('2024 Legal Max'!BZ33&gt;0,0.03504,0)</f>
        <v>0</v>
      </c>
      <c r="K36" s="299">
        <f t="shared" si="2"/>
        <v>0.68564099999999994</v>
      </c>
      <c r="L36" s="299">
        <f t="shared" si="3"/>
        <v>0.68564099999999994</v>
      </c>
      <c r="M36" s="303">
        <f>MAX('2024 Legal Max'!BQ33,'2024 Legal Max'!BU33,'2024 Legal Max'!BY33,'2024 Legal Max'!BZ33)</f>
        <v>153.6</v>
      </c>
      <c r="N36" s="303">
        <f>'2024 Legal Max'!U33*'Low-High ENRL- 2023 HSubSB 113'!L36</f>
        <v>153.6</v>
      </c>
      <c r="O36" s="303">
        <f t="shared" si="1"/>
        <v>0</v>
      </c>
    </row>
    <row r="37" spans="1:15">
      <c r="A37" s="255" t="s">
        <v>219</v>
      </c>
      <c r="B37" s="255" t="s">
        <v>3712</v>
      </c>
      <c r="C37" s="255" t="s">
        <v>17</v>
      </c>
      <c r="D37" s="255">
        <v>0</v>
      </c>
      <c r="E37" s="320">
        <f>IF(ISNA(VLOOKUP($A37,'Audit Values'!$A:$BZ,2,FALSE)),0,VLOOKUP($A37,'Audit Values'!$A:$BZ,78,FALSE))</f>
        <v>0</v>
      </c>
      <c r="F37" s="299">
        <v>0.99180000000000001</v>
      </c>
      <c r="G37" s="301">
        <f>IF('2024 Legal Max'!BQ34&gt;0,1.014331, 0)</f>
        <v>1.0143310000000001</v>
      </c>
      <c r="H37" s="299">
        <f>'2024 Legal Max'!BT34</f>
        <v>0</v>
      </c>
      <c r="I37" s="299">
        <f>'2024 Legal Max'!BX34</f>
        <v>0</v>
      </c>
      <c r="J37" s="302">
        <f>IF('2024 Legal Max'!BZ34&gt;0,0.03504,0)</f>
        <v>0</v>
      </c>
      <c r="K37" s="299">
        <f t="shared" si="2"/>
        <v>1.0143310000000001</v>
      </c>
      <c r="L37" s="299">
        <f t="shared" si="3"/>
        <v>1.0143310000000001</v>
      </c>
      <c r="M37" s="303">
        <f>MAX('2024 Legal Max'!BQ34,'2024 Legal Max'!BU34,'2024 Legal Max'!BY34,'2024 Legal Max'!BZ34)</f>
        <v>96.9</v>
      </c>
      <c r="N37" s="303">
        <f>'2024 Legal Max'!U34*'Low-High ENRL- 2023 HSubSB 113'!L37</f>
        <v>96.9</v>
      </c>
      <c r="O37" s="303">
        <f t="shared" si="1"/>
        <v>0</v>
      </c>
    </row>
    <row r="38" spans="1:15">
      <c r="A38" s="255" t="s">
        <v>220</v>
      </c>
      <c r="B38" s="255" t="s">
        <v>3713</v>
      </c>
      <c r="C38" s="255" t="s">
        <v>17</v>
      </c>
      <c r="D38" s="255">
        <v>0</v>
      </c>
      <c r="E38" s="320">
        <f>IF(ISNA(VLOOKUP($A38,'Audit Values'!$A:$BZ,2,FALSE)),0,VLOOKUP($A38,'Audit Values'!$A:$BZ,78,FALSE))</f>
        <v>0</v>
      </c>
      <c r="F38" s="299">
        <v>0.446712</v>
      </c>
      <c r="G38" s="301">
        <f>IF('2024 Legal Max'!BQ35&gt;0,1.014331, 0)</f>
        <v>0</v>
      </c>
      <c r="H38" s="299">
        <f>'2024 Legal Max'!BT35</f>
        <v>0</v>
      </c>
      <c r="I38" s="299">
        <f>'2024 Legal Max'!BX35</f>
        <v>0.44599899999999998</v>
      </c>
      <c r="J38" s="302">
        <f>IF('2024 Legal Max'!BZ35&gt;0,0.03504,0)</f>
        <v>0</v>
      </c>
      <c r="K38" s="299">
        <f t="shared" si="2"/>
        <v>0.44599899999999998</v>
      </c>
      <c r="L38" s="299">
        <f t="shared" si="3"/>
        <v>0.44599899999999998</v>
      </c>
      <c r="M38" s="303">
        <f>MAX('2024 Legal Max'!BQ35,'2024 Legal Max'!BU35,'2024 Legal Max'!BY35,'2024 Legal Max'!BZ35)</f>
        <v>183.9</v>
      </c>
      <c r="N38" s="303">
        <f>'2024 Legal Max'!U35*'Low-High ENRL- 2023 HSubSB 113'!L38</f>
        <v>183.9</v>
      </c>
      <c r="O38" s="303">
        <f t="shared" si="1"/>
        <v>0</v>
      </c>
    </row>
    <row r="39" spans="1:15">
      <c r="A39" s="255" t="s">
        <v>221</v>
      </c>
      <c r="B39" s="255" t="s">
        <v>3714</v>
      </c>
      <c r="C39" s="255" t="s">
        <v>18</v>
      </c>
      <c r="D39" s="255">
        <v>0</v>
      </c>
      <c r="E39" s="320">
        <f>IF(ISNA(VLOOKUP($A39,'Audit Values'!$A:$BZ,2,FALSE)),0,VLOOKUP($A39,'Audit Values'!$A:$BZ,78,FALSE))</f>
        <v>0</v>
      </c>
      <c r="F39" s="299">
        <v>0.61619199999999996</v>
      </c>
      <c r="G39" s="301">
        <f>IF('2024 Legal Max'!BQ36&gt;0,1.014331, 0)</f>
        <v>0</v>
      </c>
      <c r="H39" s="299">
        <f>'2024 Legal Max'!BT36</f>
        <v>0.62334900000000004</v>
      </c>
      <c r="I39" s="299">
        <f>'2024 Legal Max'!BX36</f>
        <v>0</v>
      </c>
      <c r="J39" s="302">
        <f>IF('2024 Legal Max'!BZ36&gt;0,0.03504,0)</f>
        <v>0</v>
      </c>
      <c r="K39" s="299">
        <f t="shared" si="2"/>
        <v>0.62334900000000004</v>
      </c>
      <c r="L39" s="299">
        <f t="shared" si="3"/>
        <v>0.62334900000000004</v>
      </c>
      <c r="M39" s="303">
        <f>MAX('2024 Legal Max'!BQ36,'2024 Legal Max'!BU36,'2024 Legal Max'!BY36,'2024 Legal Max'!BZ36)</f>
        <v>154.30000000000001</v>
      </c>
      <c r="N39" s="303">
        <f>'2024 Legal Max'!U36*'Low-High ENRL- 2023 HSubSB 113'!L39</f>
        <v>154.30000000000001</v>
      </c>
      <c r="O39" s="303">
        <f t="shared" si="1"/>
        <v>0</v>
      </c>
    </row>
    <row r="40" spans="1:15">
      <c r="A40" s="255" t="s">
        <v>222</v>
      </c>
      <c r="B40" s="255" t="s">
        <v>3715</v>
      </c>
      <c r="C40" s="255" t="s">
        <v>18</v>
      </c>
      <c r="D40" s="255">
        <v>1</v>
      </c>
      <c r="E40" s="320">
        <f>IF(ISNA(VLOOKUP($A40,'Audit Values'!$A:$BZ,2,FALSE)),0,VLOOKUP($A40,'Audit Values'!$A:$BZ,78,FALSE))</f>
        <v>0</v>
      </c>
      <c r="F40" s="299">
        <v>0.757741</v>
      </c>
      <c r="G40" s="301">
        <f>IF('2024 Legal Max'!BQ37&gt;0,1.014331, 0)</f>
        <v>0</v>
      </c>
      <c r="H40" s="299">
        <f>'2024 Legal Max'!BT37</f>
        <v>0.75244</v>
      </c>
      <c r="I40" s="299">
        <f>'2024 Legal Max'!BX37</f>
        <v>0</v>
      </c>
      <c r="J40" s="302">
        <f>IF('2024 Legal Max'!BZ37&gt;0,0.03504,0)</f>
        <v>0</v>
      </c>
      <c r="K40" s="299">
        <f t="shared" si="2"/>
        <v>0.75244</v>
      </c>
      <c r="L40" s="299">
        <f t="shared" si="3"/>
        <v>0.75244</v>
      </c>
      <c r="M40" s="303">
        <f>MAX('2024 Legal Max'!BQ37,'2024 Legal Max'!BU37,'2024 Legal Max'!BY37,'2024 Legal Max'!BZ37)</f>
        <v>149.6</v>
      </c>
      <c r="N40" s="303">
        <f>'2024 Legal Max'!U37*'Low-High ENRL- 2023 HSubSB 113'!L40</f>
        <v>149.6</v>
      </c>
      <c r="O40" s="303">
        <f t="shared" si="1"/>
        <v>0</v>
      </c>
    </row>
    <row r="41" spans="1:15">
      <c r="A41" s="255" t="s">
        <v>223</v>
      </c>
      <c r="B41" s="255" t="s">
        <v>3716</v>
      </c>
      <c r="C41" s="255" t="s">
        <v>19</v>
      </c>
      <c r="D41" s="255">
        <v>0</v>
      </c>
      <c r="E41" s="320">
        <f>IF(ISNA(VLOOKUP($A41,'Audit Values'!$A:$BZ,2,FALSE)),0,VLOOKUP($A41,'Audit Values'!$A:$BZ,78,FALSE))</f>
        <v>0</v>
      </c>
      <c r="F41" s="299">
        <v>0.45850099999999999</v>
      </c>
      <c r="G41" s="301">
        <f>IF('2024 Legal Max'!BQ38&gt;0,1.014331, 0)</f>
        <v>0</v>
      </c>
      <c r="H41" s="299">
        <f>'2024 Legal Max'!BT38</f>
        <v>0</v>
      </c>
      <c r="I41" s="299">
        <f>'2024 Legal Max'!BX38</f>
        <v>0.45921499999999998</v>
      </c>
      <c r="J41" s="302">
        <f>IF('2024 Legal Max'!BZ38&gt;0,0.03504,0)</f>
        <v>0</v>
      </c>
      <c r="K41" s="299">
        <f t="shared" si="2"/>
        <v>0.45921499999999998</v>
      </c>
      <c r="L41" s="299">
        <f t="shared" si="3"/>
        <v>0.45921499999999998</v>
      </c>
      <c r="M41" s="303">
        <f>MAX('2024 Legal Max'!BQ38,'2024 Legal Max'!BU38,'2024 Legal Max'!BY38,'2024 Legal Max'!BZ38)</f>
        <v>171.5</v>
      </c>
      <c r="N41" s="303">
        <f>'2024 Legal Max'!U38*'Low-High ENRL- 2023 HSubSB 113'!L41</f>
        <v>171.5</v>
      </c>
      <c r="O41" s="303">
        <f t="shared" si="1"/>
        <v>0</v>
      </c>
    </row>
    <row r="42" spans="1:15">
      <c r="A42" s="255" t="s">
        <v>224</v>
      </c>
      <c r="B42" s="255" t="s">
        <v>3717</v>
      </c>
      <c r="C42" s="255" t="s">
        <v>19</v>
      </c>
      <c r="D42" s="255">
        <v>0</v>
      </c>
      <c r="E42" s="320">
        <f>IF(ISNA(VLOOKUP($A42,'Audit Values'!$A:$BZ,2,FALSE)),0,VLOOKUP($A42,'Audit Values'!$A:$BZ,78,FALSE))</f>
        <v>0</v>
      </c>
      <c r="F42" s="299">
        <v>0.50989799999999996</v>
      </c>
      <c r="G42" s="301">
        <f>IF('2024 Legal Max'!BQ39&gt;0,1.014331, 0)</f>
        <v>0</v>
      </c>
      <c r="H42" s="299">
        <f>'2024 Legal Max'!BT39</f>
        <v>0.49691000000000002</v>
      </c>
      <c r="I42" s="299">
        <f>'2024 Legal Max'!BX39</f>
        <v>0</v>
      </c>
      <c r="J42" s="302">
        <f>IF('2024 Legal Max'!BZ39&gt;0,0.03504,0)</f>
        <v>0</v>
      </c>
      <c r="K42" s="299">
        <f t="shared" si="2"/>
        <v>0.49691000000000002</v>
      </c>
      <c r="L42" s="299">
        <f t="shared" si="3"/>
        <v>0.49691000000000002</v>
      </c>
      <c r="M42" s="303">
        <f>MAX('2024 Legal Max'!BQ39,'2024 Legal Max'!BU39,'2024 Legal Max'!BY39,'2024 Legal Max'!BZ39)</f>
        <v>146.69999999999999</v>
      </c>
      <c r="N42" s="303">
        <f>'2024 Legal Max'!U39*'Low-High ENRL- 2023 HSubSB 113'!L42</f>
        <v>146.69999999999999</v>
      </c>
      <c r="O42" s="303">
        <f t="shared" si="1"/>
        <v>0</v>
      </c>
    </row>
    <row r="43" spans="1:15">
      <c r="A43" s="255" t="s">
        <v>225</v>
      </c>
      <c r="B43" s="255" t="s">
        <v>3718</v>
      </c>
      <c r="C43" s="255" t="s">
        <v>20</v>
      </c>
      <c r="D43" s="255">
        <v>0</v>
      </c>
      <c r="E43" s="320">
        <f>IF(ISNA(VLOOKUP($A43,'Audit Values'!$A:$BZ,2,FALSE)),0,VLOOKUP($A43,'Audit Values'!$A:$BZ,78,FALSE))</f>
        <v>0</v>
      </c>
      <c r="F43" s="299">
        <v>0.96529299999999996</v>
      </c>
      <c r="G43" s="301">
        <f>IF('2024 Legal Max'!BQ40&gt;0,1.014331, 0)</f>
        <v>1.0143310000000001</v>
      </c>
      <c r="H43" s="299">
        <f>'2024 Legal Max'!BT40</f>
        <v>0</v>
      </c>
      <c r="I43" s="299">
        <f>'2024 Legal Max'!BX40</f>
        <v>0</v>
      </c>
      <c r="J43" s="302">
        <f>IF('2024 Legal Max'!BZ40&gt;0,0.03504,0)</f>
        <v>0</v>
      </c>
      <c r="K43" s="299">
        <f t="shared" si="2"/>
        <v>1.0143310000000001</v>
      </c>
      <c r="L43" s="299">
        <f t="shared" si="3"/>
        <v>1.0143310000000001</v>
      </c>
      <c r="M43" s="303">
        <f>MAX('2024 Legal Max'!BQ40,'2024 Legal Max'!BU40,'2024 Legal Max'!BY40,'2024 Legal Max'!BZ40)</f>
        <v>98.4</v>
      </c>
      <c r="N43" s="303">
        <f>'2024 Legal Max'!U40*'Low-High ENRL- 2023 HSubSB 113'!L43</f>
        <v>98.4</v>
      </c>
      <c r="O43" s="303">
        <f t="shared" si="1"/>
        <v>0</v>
      </c>
    </row>
    <row r="44" spans="1:15">
      <c r="A44" s="255" t="s">
        <v>226</v>
      </c>
      <c r="B44" s="255" t="s">
        <v>20</v>
      </c>
      <c r="C44" s="255" t="s">
        <v>20</v>
      </c>
      <c r="D44" s="255">
        <v>0</v>
      </c>
      <c r="E44" s="320">
        <f>IF(ISNA(VLOOKUP($A44,'Audit Values'!$A:$BZ,2,FALSE)),0,VLOOKUP($A44,'Audit Values'!$A:$BZ,78,FALSE))</f>
        <v>0</v>
      </c>
      <c r="F44" s="299">
        <v>0.46227200000000002</v>
      </c>
      <c r="G44" s="301">
        <f>IF('2024 Legal Max'!BQ41&gt;0,1.014331, 0)</f>
        <v>0</v>
      </c>
      <c r="H44" s="299">
        <f>'2024 Legal Max'!BT41</f>
        <v>0</v>
      </c>
      <c r="I44" s="299">
        <f>'2024 Legal Max'!BX41</f>
        <v>0.46023399999999998</v>
      </c>
      <c r="J44" s="302">
        <f>IF('2024 Legal Max'!BZ41&gt;0,0.03504,0)</f>
        <v>0</v>
      </c>
      <c r="K44" s="299">
        <f t="shared" si="2"/>
        <v>0.46023399999999998</v>
      </c>
      <c r="L44" s="299">
        <f t="shared" si="3"/>
        <v>0.46023399999999998</v>
      </c>
      <c r="M44" s="303">
        <f>MAX('2024 Legal Max'!BQ41,'2024 Legal Max'!BU41,'2024 Legal Max'!BY41,'2024 Legal Max'!BZ41)</f>
        <v>170.5</v>
      </c>
      <c r="N44" s="303">
        <f>'2024 Legal Max'!U41*'Low-High ENRL- 2023 HSubSB 113'!L44</f>
        <v>170.5</v>
      </c>
      <c r="O44" s="303">
        <f t="shared" si="1"/>
        <v>0</v>
      </c>
    </row>
    <row r="45" spans="1:15">
      <c r="A45" s="255" t="s">
        <v>227</v>
      </c>
      <c r="B45" s="255" t="s">
        <v>3719</v>
      </c>
      <c r="C45" s="255" t="s">
        <v>21</v>
      </c>
      <c r="D45" s="255">
        <v>0</v>
      </c>
      <c r="E45" s="320">
        <f>IF(ISNA(VLOOKUP($A45,'Audit Values'!$A:$BZ,2,FALSE)),0,VLOOKUP($A45,'Audit Values'!$A:$BZ,78,FALSE))</f>
        <v>0</v>
      </c>
      <c r="F45" s="299">
        <v>0.50141599999999997</v>
      </c>
      <c r="G45" s="301">
        <f>IF('2024 Legal Max'!BQ42&gt;0,1.014331, 0)</f>
        <v>0</v>
      </c>
      <c r="H45" s="299">
        <f>'2024 Legal Max'!BT42</f>
        <v>0.51864600000000005</v>
      </c>
      <c r="I45" s="299">
        <f>'2024 Legal Max'!BX42</f>
        <v>0</v>
      </c>
      <c r="J45" s="302">
        <f>IF('2024 Legal Max'!BZ42&gt;0,0.03504,0)</f>
        <v>0</v>
      </c>
      <c r="K45" s="299">
        <f t="shared" si="2"/>
        <v>0.51864600000000005</v>
      </c>
      <c r="L45" s="299">
        <f t="shared" si="3"/>
        <v>0.51864600000000005</v>
      </c>
      <c r="M45" s="303">
        <f>MAX('2024 Legal Max'!BQ42,'2024 Legal Max'!BU42,'2024 Legal Max'!BY42,'2024 Legal Max'!BZ42)</f>
        <v>148.9</v>
      </c>
      <c r="N45" s="303">
        <f>'2024 Legal Max'!U42*'Low-High ENRL- 2023 HSubSB 113'!L45</f>
        <v>148.9</v>
      </c>
      <c r="O45" s="303">
        <f t="shared" si="1"/>
        <v>0</v>
      </c>
    </row>
    <row r="46" spans="1:15">
      <c r="A46" s="255" t="s">
        <v>228</v>
      </c>
      <c r="B46" s="255" t="s">
        <v>3720</v>
      </c>
      <c r="C46" s="255" t="s">
        <v>22</v>
      </c>
      <c r="D46" s="255">
        <v>0</v>
      </c>
      <c r="E46" s="320">
        <f>IF(ISNA(VLOOKUP($A46,'Audit Values'!$A:$BZ,2,FALSE)),0,VLOOKUP($A46,'Audit Values'!$A:$BZ,78,FALSE))</f>
        <v>0</v>
      </c>
      <c r="F46" s="300">
        <v>3.5040000000000002E-2</v>
      </c>
      <c r="G46" s="301">
        <f>IF('2024 Legal Max'!BQ43&gt;0,1.014331, 0)</f>
        <v>0</v>
      </c>
      <c r="H46" s="299">
        <f>'2024 Legal Max'!BT43</f>
        <v>0</v>
      </c>
      <c r="I46" s="299">
        <f>'2024 Legal Max'!BX43</f>
        <v>0</v>
      </c>
      <c r="J46" s="302">
        <f>IF('2024 Legal Max'!BZ43&gt;0,0.03504,0)</f>
        <v>3.5040000000000002E-2</v>
      </c>
      <c r="K46" s="299">
        <f t="shared" si="2"/>
        <v>3.5040000000000002E-2</v>
      </c>
      <c r="L46" s="299">
        <f t="shared" si="3"/>
        <v>3.5040000000000002E-2</v>
      </c>
      <c r="M46" s="303">
        <f>MAX('2024 Legal Max'!BQ43,'2024 Legal Max'!BU43,'2024 Legal Max'!BY43,'2024 Legal Max'!BZ43)</f>
        <v>764.7</v>
      </c>
      <c r="N46" s="303">
        <f>'2024 Legal Max'!U43*'Low-High ENRL- 2023 HSubSB 113'!L46</f>
        <v>764.7</v>
      </c>
      <c r="O46" s="303">
        <f t="shared" si="1"/>
        <v>0</v>
      </c>
    </row>
    <row r="47" spans="1:15">
      <c r="A47" s="255" t="s">
        <v>229</v>
      </c>
      <c r="B47" s="255" t="s">
        <v>3721</v>
      </c>
      <c r="C47" s="255" t="s">
        <v>22</v>
      </c>
      <c r="D47" s="255">
        <v>0</v>
      </c>
      <c r="E47" s="320">
        <f>IF(ISNA(VLOOKUP($A47,'Audit Values'!$A:$BZ,2,FALSE)),0,VLOOKUP($A47,'Audit Values'!$A:$BZ,78,FALSE))</f>
        <v>0</v>
      </c>
      <c r="F47" s="300">
        <v>3.5040000000000002E-2</v>
      </c>
      <c r="G47" s="301">
        <f>IF('2024 Legal Max'!BQ44&gt;0,1.014331, 0)</f>
        <v>0</v>
      </c>
      <c r="H47" s="299">
        <f>'2024 Legal Max'!BT44</f>
        <v>0</v>
      </c>
      <c r="I47" s="299">
        <f>'2024 Legal Max'!BX44</f>
        <v>0</v>
      </c>
      <c r="J47" s="302">
        <f>IF('2024 Legal Max'!BZ44&gt;0,0.03504,0)</f>
        <v>3.5040000000000002E-2</v>
      </c>
      <c r="K47" s="299">
        <f t="shared" si="2"/>
        <v>3.5040000000000002E-2</v>
      </c>
      <c r="L47" s="299">
        <f t="shared" si="3"/>
        <v>3.5040000000000002E-2</v>
      </c>
      <c r="M47" s="303">
        <f>MAX('2024 Legal Max'!BQ44,'2024 Legal Max'!BU44,'2024 Legal Max'!BY44,'2024 Legal Max'!BZ44)</f>
        <v>128.69999999999999</v>
      </c>
      <c r="N47" s="303">
        <f>'2024 Legal Max'!U44*'Low-High ENRL- 2023 HSubSB 113'!L47</f>
        <v>128.69999999999999</v>
      </c>
      <c r="O47" s="303">
        <f t="shared" si="1"/>
        <v>0</v>
      </c>
    </row>
    <row r="48" spans="1:15">
      <c r="A48" s="255" t="s">
        <v>230</v>
      </c>
      <c r="B48" s="255" t="s">
        <v>3722</v>
      </c>
      <c r="C48" s="255" t="s">
        <v>22</v>
      </c>
      <c r="D48" s="255">
        <v>0</v>
      </c>
      <c r="E48" s="320">
        <f>IF(ISNA(VLOOKUP($A48,'Audit Values'!$A:$BZ,2,FALSE)),0,VLOOKUP($A48,'Audit Values'!$A:$BZ,78,FALSE))</f>
        <v>0</v>
      </c>
      <c r="F48" s="300">
        <v>3.5040000000000002E-2</v>
      </c>
      <c r="G48" s="301">
        <f>IF('2024 Legal Max'!BQ45&gt;0,1.014331, 0)</f>
        <v>0</v>
      </c>
      <c r="H48" s="299">
        <f>'2024 Legal Max'!BT45</f>
        <v>0</v>
      </c>
      <c r="I48" s="299">
        <f>'2024 Legal Max'!BX45</f>
        <v>0</v>
      </c>
      <c r="J48" s="302">
        <f>IF('2024 Legal Max'!BZ45&gt;0,0.03504,0)</f>
        <v>3.5040000000000002E-2</v>
      </c>
      <c r="K48" s="299">
        <f t="shared" si="2"/>
        <v>3.5040000000000002E-2</v>
      </c>
      <c r="L48" s="299">
        <f t="shared" si="3"/>
        <v>3.5040000000000002E-2</v>
      </c>
      <c r="M48" s="303">
        <f>MAX('2024 Legal Max'!BQ45,'2024 Legal Max'!BU45,'2024 Legal Max'!BY45,'2024 Legal Max'!BZ45)</f>
        <v>202.6</v>
      </c>
      <c r="N48" s="303">
        <f>'2024 Legal Max'!U45*'Low-High ENRL- 2023 HSubSB 113'!L48</f>
        <v>202.6</v>
      </c>
      <c r="O48" s="303">
        <f t="shared" si="1"/>
        <v>0</v>
      </c>
    </row>
    <row r="49" spans="1:15">
      <c r="A49" s="255" t="s">
        <v>231</v>
      </c>
      <c r="B49" s="255" t="s">
        <v>3723</v>
      </c>
      <c r="C49" s="255" t="s">
        <v>22</v>
      </c>
      <c r="D49" s="255">
        <v>0</v>
      </c>
      <c r="E49" s="320">
        <f>IF(ISNA(VLOOKUP($A49,'Audit Values'!$A:$BZ,2,FALSE)),0,VLOOKUP($A49,'Audit Values'!$A:$BZ,78,FALSE))</f>
        <v>0</v>
      </c>
      <c r="F49" s="300">
        <v>3.5040000000000002E-2</v>
      </c>
      <c r="G49" s="301">
        <f>IF('2024 Legal Max'!BQ46&gt;0,1.014331, 0)</f>
        <v>0</v>
      </c>
      <c r="H49" s="299">
        <f>'2024 Legal Max'!BT46</f>
        <v>0</v>
      </c>
      <c r="I49" s="299">
        <f>'2024 Legal Max'!BX46</f>
        <v>0</v>
      </c>
      <c r="J49" s="302">
        <f>IF('2024 Legal Max'!BZ46&gt;0,0.03504,0)</f>
        <v>3.5040000000000002E-2</v>
      </c>
      <c r="K49" s="299">
        <f t="shared" si="2"/>
        <v>3.5040000000000002E-2</v>
      </c>
      <c r="L49" s="299">
        <f t="shared" si="3"/>
        <v>3.5040000000000002E-2</v>
      </c>
      <c r="M49" s="303">
        <f>MAX('2024 Legal Max'!BQ46,'2024 Legal Max'!BU46,'2024 Legal Max'!BY46,'2024 Legal Max'!BZ46)</f>
        <v>255.4</v>
      </c>
      <c r="N49" s="303">
        <f>'2024 Legal Max'!U46*'Low-High ENRL- 2023 HSubSB 113'!L49</f>
        <v>255.4</v>
      </c>
      <c r="O49" s="303">
        <f t="shared" si="1"/>
        <v>0</v>
      </c>
    </row>
    <row r="50" spans="1:15">
      <c r="A50" s="255" t="s">
        <v>232</v>
      </c>
      <c r="B50" s="255" t="s">
        <v>3724</v>
      </c>
      <c r="C50" s="255" t="s">
        <v>22</v>
      </c>
      <c r="D50" s="255">
        <v>0</v>
      </c>
      <c r="E50" s="320">
        <f>IF(ISNA(VLOOKUP($A50,'Audit Values'!$A:$BZ,2,FALSE)),0,VLOOKUP($A50,'Audit Values'!$A:$BZ,78,FALSE))</f>
        <v>0</v>
      </c>
      <c r="F50" s="300">
        <v>3.5040000000000002E-2</v>
      </c>
      <c r="G50" s="301">
        <f>IF('2024 Legal Max'!BQ47&gt;0,1.014331, 0)</f>
        <v>0</v>
      </c>
      <c r="H50" s="299">
        <f>'2024 Legal Max'!BT47</f>
        <v>0</v>
      </c>
      <c r="I50" s="299">
        <f>'2024 Legal Max'!BX47</f>
        <v>0</v>
      </c>
      <c r="J50" s="302">
        <f>IF('2024 Legal Max'!BZ47&gt;0,0.03504,0)</f>
        <v>3.5040000000000002E-2</v>
      </c>
      <c r="K50" s="299">
        <f t="shared" si="2"/>
        <v>3.5040000000000002E-2</v>
      </c>
      <c r="L50" s="299">
        <f t="shared" si="3"/>
        <v>3.5040000000000002E-2</v>
      </c>
      <c r="M50" s="303">
        <f>MAX('2024 Legal Max'!BQ47,'2024 Legal Max'!BU47,'2024 Legal Max'!BY47,'2024 Legal Max'!BZ47)</f>
        <v>986.8</v>
      </c>
      <c r="N50" s="303">
        <f>'2024 Legal Max'!U47*'Low-High ENRL- 2023 HSubSB 113'!L50</f>
        <v>986.8</v>
      </c>
      <c r="O50" s="303">
        <f t="shared" si="1"/>
        <v>0</v>
      </c>
    </row>
    <row r="51" spans="1:15">
      <c r="A51" s="255" t="s">
        <v>233</v>
      </c>
      <c r="B51" s="255" t="s">
        <v>3725</v>
      </c>
      <c r="C51" s="255" t="s">
        <v>23</v>
      </c>
      <c r="D51" s="255">
        <v>0</v>
      </c>
      <c r="E51" s="320">
        <f>IF(ISNA(VLOOKUP($A51,'Audit Values'!$A:$BZ,2,FALSE)),0,VLOOKUP($A51,'Audit Values'!$A:$BZ,78,FALSE))</f>
        <v>0</v>
      </c>
      <c r="F51" s="300">
        <v>3.5040000000000002E-2</v>
      </c>
      <c r="G51" s="301">
        <f>IF('2024 Legal Max'!BQ48&gt;0,1.014331, 0)</f>
        <v>0</v>
      </c>
      <c r="H51" s="299">
        <f>'2024 Legal Max'!BT48</f>
        <v>0</v>
      </c>
      <c r="I51" s="299">
        <f>'2024 Legal Max'!BX48</f>
        <v>0</v>
      </c>
      <c r="J51" s="302">
        <f>IF('2024 Legal Max'!BZ48&gt;0,0.03504,0)</f>
        <v>3.5040000000000002E-2</v>
      </c>
      <c r="K51" s="299">
        <f t="shared" si="2"/>
        <v>3.5040000000000002E-2</v>
      </c>
      <c r="L51" s="299">
        <f t="shared" si="3"/>
        <v>3.5040000000000002E-2</v>
      </c>
      <c r="M51" s="303">
        <f>MAX('2024 Legal Max'!BQ48,'2024 Legal Max'!BU48,'2024 Legal Max'!BY48,'2024 Legal Max'!BZ48)</f>
        <v>62</v>
      </c>
      <c r="N51" s="303">
        <f>'2024 Legal Max'!U48*'Low-High ENRL- 2023 HSubSB 113'!L51</f>
        <v>62</v>
      </c>
      <c r="O51" s="303">
        <f t="shared" si="1"/>
        <v>0</v>
      </c>
    </row>
    <row r="52" spans="1:15">
      <c r="A52" s="255" t="s">
        <v>234</v>
      </c>
      <c r="B52" s="255" t="s">
        <v>3726</v>
      </c>
      <c r="C52" s="255" t="s">
        <v>23</v>
      </c>
      <c r="D52" s="255">
        <v>0</v>
      </c>
      <c r="E52" s="320">
        <f>IF(ISNA(VLOOKUP($A52,'Audit Values'!$A:$BZ,2,FALSE)),0,VLOOKUP($A52,'Audit Values'!$A:$BZ,78,FALSE))</f>
        <v>0</v>
      </c>
      <c r="F52" s="299">
        <v>0.428977</v>
      </c>
      <c r="G52" s="301">
        <f>IF('2024 Legal Max'!BQ49&gt;0,1.014331, 0)</f>
        <v>0</v>
      </c>
      <c r="H52" s="299">
        <f>'2024 Legal Max'!BT49</f>
        <v>0</v>
      </c>
      <c r="I52" s="299">
        <f>'2024 Legal Max'!BX49</f>
        <v>0.430336</v>
      </c>
      <c r="J52" s="302">
        <f>IF('2024 Legal Max'!BZ49&gt;0,0.03504,0)</f>
        <v>0</v>
      </c>
      <c r="K52" s="299">
        <f t="shared" si="2"/>
        <v>0.430336</v>
      </c>
      <c r="L52" s="299">
        <f t="shared" si="3"/>
        <v>0.430336</v>
      </c>
      <c r="M52" s="303">
        <f>MAX('2024 Legal Max'!BQ49,'2024 Legal Max'!BU49,'2024 Legal Max'!BY49,'2024 Legal Max'!BZ49)</f>
        <v>197.3</v>
      </c>
      <c r="N52" s="303">
        <f>'2024 Legal Max'!U49*'Low-High ENRL- 2023 HSubSB 113'!L52</f>
        <v>197.3</v>
      </c>
      <c r="O52" s="303">
        <f t="shared" si="1"/>
        <v>0</v>
      </c>
    </row>
    <row r="53" spans="1:15">
      <c r="A53" s="255" t="s">
        <v>235</v>
      </c>
      <c r="B53" s="255" t="s">
        <v>3727</v>
      </c>
      <c r="C53" s="255" t="s">
        <v>24</v>
      </c>
      <c r="D53" s="255">
        <v>0</v>
      </c>
      <c r="E53" s="320">
        <f>IF(ISNA(VLOOKUP($A53,'Audit Values'!$A:$BZ,2,FALSE)),0,VLOOKUP($A53,'Audit Values'!$A:$BZ,78,FALSE))</f>
        <v>0</v>
      </c>
      <c r="F53" s="299">
        <v>0.43543199999999999</v>
      </c>
      <c r="G53" s="301">
        <f>IF('2024 Legal Max'!BQ50&gt;0,1.014331, 0)</f>
        <v>0</v>
      </c>
      <c r="H53" s="299">
        <f>'2024 Legal Max'!BT50</f>
        <v>0</v>
      </c>
      <c r="I53" s="299">
        <f>'2024 Legal Max'!BX50</f>
        <v>0.43526199999999998</v>
      </c>
      <c r="J53" s="302">
        <f>IF('2024 Legal Max'!BZ50&gt;0,0.03504,0)</f>
        <v>0</v>
      </c>
      <c r="K53" s="299">
        <f t="shared" si="2"/>
        <v>0.43526199999999998</v>
      </c>
      <c r="L53" s="299">
        <f t="shared" si="3"/>
        <v>0.43526199999999998</v>
      </c>
      <c r="M53" s="303">
        <f>MAX('2024 Legal Max'!BQ50,'2024 Legal Max'!BU50,'2024 Legal Max'!BY50,'2024 Legal Max'!BZ50)</f>
        <v>193.3</v>
      </c>
      <c r="N53" s="303">
        <f>'2024 Legal Max'!U50*'Low-High ENRL- 2023 HSubSB 113'!L53</f>
        <v>193.3</v>
      </c>
      <c r="O53" s="303">
        <f t="shared" si="1"/>
        <v>0</v>
      </c>
    </row>
    <row r="54" spans="1:15">
      <c r="A54" s="255" t="s">
        <v>236</v>
      </c>
      <c r="B54" s="255" t="s">
        <v>3728</v>
      </c>
      <c r="C54" s="255" t="s">
        <v>25</v>
      </c>
      <c r="D54" s="255">
        <v>0</v>
      </c>
      <c r="E54" s="320">
        <f>IF(ISNA(VLOOKUP($A54,'Audit Values'!$A:$BZ,2,FALSE)),0,VLOOKUP($A54,'Audit Values'!$A:$BZ,78,FALSE))</f>
        <v>0</v>
      </c>
      <c r="F54" s="299">
        <v>0.37087999999999999</v>
      </c>
      <c r="G54" s="301">
        <f>IF('2024 Legal Max'!BQ51&gt;0,1.014331, 0)</f>
        <v>0</v>
      </c>
      <c r="H54" s="299">
        <f>'2024 Legal Max'!BT51</f>
        <v>0</v>
      </c>
      <c r="I54" s="299">
        <f>'2024 Legal Max'!BX51</f>
        <v>0.37087999999999999</v>
      </c>
      <c r="J54" s="302">
        <f>IF('2024 Legal Max'!BZ51&gt;0,0.03504,0)</f>
        <v>0</v>
      </c>
      <c r="K54" s="299">
        <f t="shared" si="2"/>
        <v>0.37087999999999999</v>
      </c>
      <c r="L54" s="299">
        <f t="shared" si="3"/>
        <v>0.37087999999999999</v>
      </c>
      <c r="M54" s="303">
        <f>MAX('2024 Legal Max'!BQ51,'2024 Legal Max'!BU51,'2024 Legal Max'!BY51,'2024 Legal Max'!BZ51)</f>
        <v>235</v>
      </c>
      <c r="N54" s="303">
        <f>'2024 Legal Max'!U51*'Low-High ENRL- 2023 HSubSB 113'!L54</f>
        <v>235</v>
      </c>
      <c r="O54" s="303">
        <f t="shared" si="1"/>
        <v>0</v>
      </c>
    </row>
    <row r="55" spans="1:15">
      <c r="A55" s="255" t="s">
        <v>237</v>
      </c>
      <c r="B55" s="255" t="s">
        <v>3729</v>
      </c>
      <c r="C55" s="255" t="s">
        <v>25</v>
      </c>
      <c r="D55" s="255">
        <v>0</v>
      </c>
      <c r="E55" s="320">
        <f>IF(ISNA(VLOOKUP($A55,'Audit Values'!$A:$BZ,2,FALSE)),0,VLOOKUP($A55,'Audit Values'!$A:$BZ,78,FALSE))</f>
        <v>0</v>
      </c>
      <c r="F55" s="299">
        <v>0.38514999999999999</v>
      </c>
      <c r="G55" s="301">
        <f>IF('2024 Legal Max'!BQ52&gt;0,1.014331, 0)</f>
        <v>0</v>
      </c>
      <c r="H55" s="299">
        <f>'2024 Legal Max'!BT52</f>
        <v>0</v>
      </c>
      <c r="I55" s="299">
        <f>'2024 Legal Max'!BX52</f>
        <v>0.38531900000000002</v>
      </c>
      <c r="J55" s="302">
        <f>IF('2024 Legal Max'!BZ52&gt;0,0.03504,0)</f>
        <v>0</v>
      </c>
      <c r="K55" s="299">
        <f t="shared" si="2"/>
        <v>0.38531900000000002</v>
      </c>
      <c r="L55" s="299">
        <f t="shared" si="3"/>
        <v>0.38531900000000002</v>
      </c>
      <c r="M55" s="303">
        <f>MAX('2024 Legal Max'!BQ52,'2024 Legal Max'!BU52,'2024 Legal Max'!BY52,'2024 Legal Max'!BZ52)</f>
        <v>227.7</v>
      </c>
      <c r="N55" s="303">
        <f>'2024 Legal Max'!U52*'Low-High ENRL- 2023 HSubSB 113'!L55</f>
        <v>227.7</v>
      </c>
      <c r="O55" s="303">
        <f t="shared" si="1"/>
        <v>0</v>
      </c>
    </row>
    <row r="56" spans="1:15">
      <c r="A56" s="255" t="s">
        <v>238</v>
      </c>
      <c r="B56" s="255" t="s">
        <v>3730</v>
      </c>
      <c r="C56" s="255" t="s">
        <v>26</v>
      </c>
      <c r="D56" s="255">
        <v>0</v>
      </c>
      <c r="E56" s="320">
        <f>IF(ISNA(VLOOKUP($A56,'Audit Values'!$A:$BZ,2,FALSE)),0,VLOOKUP($A56,'Audit Values'!$A:$BZ,78,FALSE))</f>
        <v>0</v>
      </c>
      <c r="F56" s="299">
        <v>0.72672700000000001</v>
      </c>
      <c r="G56" s="301">
        <f>IF('2024 Legal Max'!BQ53&gt;0,1.014331, 0)</f>
        <v>0</v>
      </c>
      <c r="H56" s="299">
        <f>'2024 Legal Max'!BT53</f>
        <v>0.79166999999999998</v>
      </c>
      <c r="I56" s="299">
        <f>'2024 Legal Max'!BX53</f>
        <v>0</v>
      </c>
      <c r="J56" s="302">
        <f>IF('2024 Legal Max'!BZ53&gt;0,0.03504,0)</f>
        <v>0</v>
      </c>
      <c r="K56" s="299">
        <f t="shared" si="2"/>
        <v>0.79166999999999998</v>
      </c>
      <c r="L56" s="299">
        <f t="shared" si="3"/>
        <v>0.79166999999999998</v>
      </c>
      <c r="M56" s="303">
        <f>MAX('2024 Legal Max'!BQ53,'2024 Legal Max'!BU53,'2024 Legal Max'!BY53,'2024 Legal Max'!BZ53)</f>
        <v>145.69999999999999</v>
      </c>
      <c r="N56" s="303">
        <f>'2024 Legal Max'!U53*'Low-High ENRL- 2023 HSubSB 113'!L56</f>
        <v>145.69999999999999</v>
      </c>
      <c r="O56" s="303">
        <f t="shared" si="1"/>
        <v>0</v>
      </c>
    </row>
    <row r="57" spans="1:15">
      <c r="A57" s="255" t="s">
        <v>239</v>
      </c>
      <c r="B57" s="255" t="s">
        <v>3731</v>
      </c>
      <c r="C57" s="255" t="s">
        <v>26</v>
      </c>
      <c r="D57" s="255">
        <v>0</v>
      </c>
      <c r="E57" s="320">
        <f>IF(ISNA(VLOOKUP($A57,'Audit Values'!$A:$BZ,2,FALSE)),0,VLOOKUP($A57,'Audit Values'!$A:$BZ,78,FALSE))</f>
        <v>0</v>
      </c>
      <c r="F57" s="299">
        <v>1.0077039999999999</v>
      </c>
      <c r="G57" s="301">
        <f>IF('2024 Legal Max'!BQ54&gt;0,1.014331, 0)</f>
        <v>0</v>
      </c>
      <c r="H57" s="299">
        <f>'2024 Legal Max'!BT54</f>
        <v>0.99975199999999997</v>
      </c>
      <c r="I57" s="299">
        <f>'2024 Legal Max'!BX54</f>
        <v>0</v>
      </c>
      <c r="J57" s="302">
        <f>IF('2024 Legal Max'!BZ54&gt;0,0.03504,0)</f>
        <v>0</v>
      </c>
      <c r="K57" s="299">
        <f t="shared" si="2"/>
        <v>0.99975199999999997</v>
      </c>
      <c r="L57" s="299">
        <f t="shared" si="3"/>
        <v>0.99975199999999997</v>
      </c>
      <c r="M57" s="303">
        <f>MAX('2024 Legal Max'!BQ54,'2024 Legal Max'!BU54,'2024 Legal Max'!BY54,'2024 Legal Max'!BZ54)</f>
        <v>105.5</v>
      </c>
      <c r="N57" s="303">
        <f>'2024 Legal Max'!U54*'Low-High ENRL- 2023 HSubSB 113'!L57</f>
        <v>105.5</v>
      </c>
      <c r="O57" s="303">
        <f t="shared" si="1"/>
        <v>0</v>
      </c>
    </row>
    <row r="58" spans="1:15">
      <c r="A58" s="255" t="s">
        <v>240</v>
      </c>
      <c r="B58" s="255" t="s">
        <v>3732</v>
      </c>
      <c r="C58" s="255" t="s">
        <v>27</v>
      </c>
      <c r="D58" s="255">
        <v>0</v>
      </c>
      <c r="E58" s="320">
        <f>IF(ISNA(VLOOKUP($A58,'Audit Values'!$A:$BZ,2,FALSE)),0,VLOOKUP($A58,'Audit Values'!$A:$BZ,78,FALSE))</f>
        <v>0</v>
      </c>
      <c r="F58" s="299">
        <v>0.430506</v>
      </c>
      <c r="G58" s="301">
        <f>IF('2024 Legal Max'!BQ55&gt;0,1.014331, 0)</f>
        <v>0</v>
      </c>
      <c r="H58" s="299">
        <f>'2024 Legal Max'!BT55</f>
        <v>0</v>
      </c>
      <c r="I58" s="299">
        <f>'2024 Legal Max'!BX55</f>
        <v>0.43064200000000002</v>
      </c>
      <c r="J58" s="302">
        <f>IF('2024 Legal Max'!BZ55&gt;0,0.03504,0)</f>
        <v>0</v>
      </c>
      <c r="K58" s="299">
        <f t="shared" si="2"/>
        <v>0.43064200000000002</v>
      </c>
      <c r="L58" s="299">
        <f t="shared" si="3"/>
        <v>0.43064200000000002</v>
      </c>
      <c r="M58" s="303">
        <f>MAX('2024 Legal Max'!BQ55,'2024 Legal Max'!BU55,'2024 Legal Max'!BY55,'2024 Legal Max'!BZ55)</f>
        <v>197.1</v>
      </c>
      <c r="N58" s="303">
        <f>'2024 Legal Max'!U55*'Low-High ENRL- 2023 HSubSB 113'!L58</f>
        <v>197.1</v>
      </c>
      <c r="O58" s="303">
        <f t="shared" si="1"/>
        <v>0</v>
      </c>
    </row>
    <row r="59" spans="1:15">
      <c r="A59" s="255" t="s">
        <v>241</v>
      </c>
      <c r="B59" s="255" t="s">
        <v>3733</v>
      </c>
      <c r="C59" s="255" t="s">
        <v>27</v>
      </c>
      <c r="D59" s="255">
        <v>0</v>
      </c>
      <c r="E59" s="320">
        <f>IF(ISNA(VLOOKUP($A59,'Audit Values'!$A:$BZ,2,FALSE)),0,VLOOKUP($A59,'Audit Values'!$A:$BZ,78,FALSE))</f>
        <v>0</v>
      </c>
      <c r="F59" s="299">
        <v>0.31550099999999998</v>
      </c>
      <c r="G59" s="301">
        <f>IF('2024 Legal Max'!BQ56&gt;0,1.014331, 0)</f>
        <v>0</v>
      </c>
      <c r="H59" s="299">
        <f>'2024 Legal Max'!BT56</f>
        <v>0</v>
      </c>
      <c r="I59" s="299">
        <f>'2024 Legal Max'!BX56</f>
        <v>0.31414199999999998</v>
      </c>
      <c r="J59" s="302">
        <f>IF('2024 Legal Max'!BZ56&gt;0,0.03504,0)</f>
        <v>0</v>
      </c>
      <c r="K59" s="299">
        <f t="shared" si="2"/>
        <v>0.31414199999999998</v>
      </c>
      <c r="L59" s="299">
        <f t="shared" si="3"/>
        <v>0.31414199999999998</v>
      </c>
      <c r="M59" s="303">
        <f>MAX('2024 Legal Max'!BQ56,'2024 Legal Max'!BU56,'2024 Legal Max'!BY56,'2024 Legal Max'!BZ56)</f>
        <v>251.5</v>
      </c>
      <c r="N59" s="303">
        <f>'2024 Legal Max'!U56*'Low-High ENRL- 2023 HSubSB 113'!L59</f>
        <v>251.5</v>
      </c>
      <c r="O59" s="303">
        <f t="shared" si="1"/>
        <v>0</v>
      </c>
    </row>
    <row r="60" spans="1:15">
      <c r="A60" s="255" t="s">
        <v>242</v>
      </c>
      <c r="B60" s="255" t="s">
        <v>3734</v>
      </c>
      <c r="C60" s="255" t="s">
        <v>27</v>
      </c>
      <c r="D60" s="255">
        <v>0</v>
      </c>
      <c r="E60" s="320">
        <f>IF(ISNA(VLOOKUP($A60,'Audit Values'!$A:$BZ,2,FALSE)),0,VLOOKUP($A60,'Audit Values'!$A:$BZ,78,FALSE))</f>
        <v>0</v>
      </c>
      <c r="F60" s="299">
        <v>0.81685200000000002</v>
      </c>
      <c r="G60" s="301">
        <f>IF('2024 Legal Max'!BQ57&gt;0,1.014331, 0)</f>
        <v>0</v>
      </c>
      <c r="H60" s="299">
        <f>'2024 Legal Max'!BT57</f>
        <v>0.85131100000000004</v>
      </c>
      <c r="I60" s="299">
        <f>'2024 Legal Max'!BX57</f>
        <v>0</v>
      </c>
      <c r="J60" s="302">
        <f>IF('2024 Legal Max'!BZ57&gt;0,0.03504,0)</f>
        <v>0</v>
      </c>
      <c r="K60" s="299">
        <f t="shared" si="2"/>
        <v>0.85131100000000004</v>
      </c>
      <c r="L60" s="299">
        <f t="shared" si="3"/>
        <v>0.85131100000000004</v>
      </c>
      <c r="M60" s="303">
        <f>MAX('2024 Legal Max'!BQ57,'2024 Legal Max'!BU57,'2024 Legal Max'!BY57,'2024 Legal Max'!BZ57)</f>
        <v>137.5</v>
      </c>
      <c r="N60" s="303">
        <f>'2024 Legal Max'!U57*'Low-High ENRL- 2023 HSubSB 113'!L60</f>
        <v>137.5</v>
      </c>
      <c r="O60" s="303">
        <f t="shared" si="1"/>
        <v>0</v>
      </c>
    </row>
    <row r="61" spans="1:15">
      <c r="A61" s="255" t="s">
        <v>243</v>
      </c>
      <c r="B61" s="255" t="s">
        <v>3735</v>
      </c>
      <c r="C61" s="255" t="s">
        <v>28</v>
      </c>
      <c r="D61" s="255">
        <v>0</v>
      </c>
      <c r="E61" s="320">
        <f>IF(ISNA(VLOOKUP($A61,'Audit Values'!$A:$BZ,2,FALSE)),0,VLOOKUP($A61,'Audit Values'!$A:$BZ,78,FALSE))</f>
        <v>0</v>
      </c>
      <c r="F61" s="299">
        <v>0.43084600000000001</v>
      </c>
      <c r="G61" s="301">
        <f>IF('2024 Legal Max'!BQ58&gt;0,1.014331, 0)</f>
        <v>0</v>
      </c>
      <c r="H61" s="299">
        <f>'2024 Legal Max'!BT58</f>
        <v>0</v>
      </c>
      <c r="I61" s="299">
        <f>'2024 Legal Max'!BX58</f>
        <v>0.43305399999999999</v>
      </c>
      <c r="J61" s="302">
        <f>IF('2024 Legal Max'!BZ58&gt;0,0.03504,0)</f>
        <v>0</v>
      </c>
      <c r="K61" s="299">
        <f t="shared" si="2"/>
        <v>0.43305399999999999</v>
      </c>
      <c r="L61" s="299">
        <f t="shared" si="3"/>
        <v>0.43305399999999999</v>
      </c>
      <c r="M61" s="303">
        <f>MAX('2024 Legal Max'!BQ58,'2024 Legal Max'!BU58,'2024 Legal Max'!BY58,'2024 Legal Max'!BZ58)</f>
        <v>195.1</v>
      </c>
      <c r="N61" s="303">
        <f>'2024 Legal Max'!U58*'Low-High ENRL- 2023 HSubSB 113'!L61</f>
        <v>195.1</v>
      </c>
      <c r="O61" s="303">
        <f t="shared" si="1"/>
        <v>0</v>
      </c>
    </row>
    <row r="62" spans="1:15">
      <c r="A62" s="255" t="s">
        <v>244</v>
      </c>
      <c r="B62" s="255" t="s">
        <v>29</v>
      </c>
      <c r="C62" s="255" t="s">
        <v>28</v>
      </c>
      <c r="D62" s="255">
        <v>0</v>
      </c>
      <c r="E62" s="320">
        <f>IF(ISNA(VLOOKUP($A62,'Audit Values'!$A:$BZ,2,FALSE)),0,VLOOKUP($A62,'Audit Values'!$A:$BZ,78,FALSE))</f>
        <v>0</v>
      </c>
      <c r="F62" s="299">
        <v>0.43332599999999999</v>
      </c>
      <c r="G62" s="301">
        <f>IF('2024 Legal Max'!BQ59&gt;0,1.014331, 0)</f>
        <v>0</v>
      </c>
      <c r="H62" s="299">
        <f>'2024 Legal Max'!BT59</f>
        <v>0</v>
      </c>
      <c r="I62" s="299">
        <f>'2024 Legal Max'!BX59</f>
        <v>0.43543199999999999</v>
      </c>
      <c r="J62" s="302">
        <f>IF('2024 Legal Max'!BZ59&gt;0,0.03504,0)</f>
        <v>0</v>
      </c>
      <c r="K62" s="299">
        <f t="shared" si="2"/>
        <v>0.43543199999999999</v>
      </c>
      <c r="L62" s="299">
        <f t="shared" si="3"/>
        <v>0.43543199999999999</v>
      </c>
      <c r="M62" s="303">
        <f>MAX('2024 Legal Max'!BQ59,'2024 Legal Max'!BU59,'2024 Legal Max'!BY59,'2024 Legal Max'!BZ59)</f>
        <v>193.1</v>
      </c>
      <c r="N62" s="303">
        <f>'2024 Legal Max'!U59*'Low-High ENRL- 2023 HSubSB 113'!L62</f>
        <v>193.1</v>
      </c>
      <c r="O62" s="303">
        <f t="shared" si="1"/>
        <v>0</v>
      </c>
    </row>
    <row r="63" spans="1:15">
      <c r="A63" s="255" t="s">
        <v>245</v>
      </c>
      <c r="B63" s="255" t="s">
        <v>3736</v>
      </c>
      <c r="C63" s="255" t="s">
        <v>28</v>
      </c>
      <c r="D63" s="255">
        <v>0</v>
      </c>
      <c r="E63" s="320">
        <f>IF(ISNA(VLOOKUP($A63,'Audit Values'!$A:$BZ,2,FALSE)),0,VLOOKUP($A63,'Audit Values'!$A:$BZ,78,FALSE))</f>
        <v>0</v>
      </c>
      <c r="F63" s="299">
        <v>0.25383699999999998</v>
      </c>
      <c r="G63" s="301">
        <f>IF('2024 Legal Max'!BQ60&gt;0,1.014331, 0)</f>
        <v>0</v>
      </c>
      <c r="H63" s="299">
        <f>'2024 Legal Max'!BT60</f>
        <v>0</v>
      </c>
      <c r="I63" s="299">
        <f>'2024 Legal Max'!BX60</f>
        <v>0.24925</v>
      </c>
      <c r="J63" s="302">
        <f>IF('2024 Legal Max'!BZ60&gt;0,0.03504,0)</f>
        <v>0</v>
      </c>
      <c r="K63" s="299">
        <f t="shared" si="2"/>
        <v>0.24925</v>
      </c>
      <c r="L63" s="299">
        <f t="shared" si="3"/>
        <v>0.24925</v>
      </c>
      <c r="M63" s="303">
        <f>MAX('2024 Legal Max'!BQ60,'2024 Legal Max'!BU60,'2024 Legal Max'!BY60,'2024 Legal Max'!BZ60)</f>
        <v>247.1</v>
      </c>
      <c r="N63" s="303">
        <f>'2024 Legal Max'!U60*'Low-High ENRL- 2023 HSubSB 113'!L63</f>
        <v>247.1</v>
      </c>
      <c r="O63" s="303">
        <f t="shared" si="1"/>
        <v>0</v>
      </c>
    </row>
    <row r="64" spans="1:15">
      <c r="A64" s="255" t="s">
        <v>246</v>
      </c>
      <c r="B64" s="255" t="s">
        <v>3737</v>
      </c>
      <c r="C64" s="255" t="s">
        <v>28</v>
      </c>
      <c r="D64" s="255">
        <v>0</v>
      </c>
      <c r="E64" s="320">
        <f>IF(ISNA(VLOOKUP($A64,'Audit Values'!$A:$BZ,2,FALSE)),0,VLOOKUP($A64,'Audit Values'!$A:$BZ,78,FALSE))</f>
        <v>0</v>
      </c>
      <c r="F64" s="299">
        <v>0.26827600000000001</v>
      </c>
      <c r="G64" s="301">
        <f>IF('2024 Legal Max'!BQ61&gt;0,1.014331, 0)</f>
        <v>0</v>
      </c>
      <c r="H64" s="299">
        <f>'2024 Legal Max'!BT61</f>
        <v>0</v>
      </c>
      <c r="I64" s="299">
        <f>'2024 Legal Max'!BX61</f>
        <v>0.27065400000000001</v>
      </c>
      <c r="J64" s="302">
        <f>IF('2024 Legal Max'!BZ61&gt;0,0.03504,0)</f>
        <v>0</v>
      </c>
      <c r="K64" s="299">
        <f t="shared" si="2"/>
        <v>0.27065400000000001</v>
      </c>
      <c r="L64" s="299">
        <f t="shared" si="3"/>
        <v>0.27065400000000001</v>
      </c>
      <c r="M64" s="303">
        <f>MAX('2024 Legal Max'!BQ61,'2024 Legal Max'!BU61,'2024 Legal Max'!BY61,'2024 Legal Max'!BZ61)</f>
        <v>251.3</v>
      </c>
      <c r="N64" s="303">
        <f>'2024 Legal Max'!U61*'Low-High ENRL- 2023 HSubSB 113'!L64</f>
        <v>251.3</v>
      </c>
      <c r="O64" s="303">
        <f t="shared" si="1"/>
        <v>0</v>
      </c>
    </row>
    <row r="65" spans="1:15">
      <c r="A65" s="255" t="s">
        <v>247</v>
      </c>
      <c r="B65" s="255" t="s">
        <v>3738</v>
      </c>
      <c r="C65" s="255" t="s">
        <v>28</v>
      </c>
      <c r="D65" s="255">
        <v>0</v>
      </c>
      <c r="E65" s="320">
        <f>IF(ISNA(VLOOKUP($A65,'Audit Values'!$A:$BZ,2,FALSE)),0,VLOOKUP($A65,'Audit Values'!$A:$BZ,78,FALSE))</f>
        <v>0</v>
      </c>
      <c r="F65" s="300">
        <v>3.5040000000000002E-2</v>
      </c>
      <c r="G65" s="301">
        <f>IF('2024 Legal Max'!BQ62&gt;0,1.014331, 0)</f>
        <v>0</v>
      </c>
      <c r="H65" s="299">
        <f>'2024 Legal Max'!BT62</f>
        <v>0</v>
      </c>
      <c r="I65" s="299">
        <f>'2024 Legal Max'!BX62</f>
        <v>0</v>
      </c>
      <c r="J65" s="302">
        <f>IF('2024 Legal Max'!BZ62&gt;0,0.03504,0)</f>
        <v>3.5040000000000002E-2</v>
      </c>
      <c r="K65" s="299">
        <f t="shared" si="2"/>
        <v>3.5040000000000002E-2</v>
      </c>
      <c r="L65" s="299">
        <f t="shared" si="3"/>
        <v>3.5040000000000002E-2</v>
      </c>
      <c r="M65" s="303">
        <f>MAX('2024 Legal Max'!BQ62,'2024 Legal Max'!BU62,'2024 Legal Max'!BY62,'2024 Legal Max'!BZ62)</f>
        <v>112.5</v>
      </c>
      <c r="N65" s="303">
        <f>'2024 Legal Max'!U62*'Low-High ENRL- 2023 HSubSB 113'!L65</f>
        <v>112.5</v>
      </c>
      <c r="O65" s="303">
        <f t="shared" si="1"/>
        <v>0</v>
      </c>
    </row>
    <row r="66" spans="1:15">
      <c r="A66" s="255" t="s">
        <v>248</v>
      </c>
      <c r="B66" s="255" t="s">
        <v>3739</v>
      </c>
      <c r="C66" s="255" t="s">
        <v>30</v>
      </c>
      <c r="D66" s="255">
        <v>0</v>
      </c>
      <c r="E66" s="320">
        <f>IF(ISNA(VLOOKUP($A66,'Audit Values'!$A:$BZ,2,FALSE)),0,VLOOKUP($A66,'Audit Values'!$A:$BZ,78,FALSE))</f>
        <v>0</v>
      </c>
      <c r="F66" s="299">
        <v>0.46668900000000002</v>
      </c>
      <c r="G66" s="301">
        <f>IF('2024 Legal Max'!BQ63&gt;0,1.014331, 0)</f>
        <v>0</v>
      </c>
      <c r="H66" s="299">
        <f>'2024 Legal Max'!BT63</f>
        <v>0</v>
      </c>
      <c r="I66" s="299">
        <f>'2024 Legal Max'!BX63</f>
        <v>0.47382400000000002</v>
      </c>
      <c r="J66" s="302">
        <f>IF('2024 Legal Max'!BZ63&gt;0,0.03504,0)</f>
        <v>0</v>
      </c>
      <c r="K66" s="299">
        <f t="shared" si="2"/>
        <v>0.47382400000000002</v>
      </c>
      <c r="L66" s="299">
        <f t="shared" si="3"/>
        <v>0.47382400000000002</v>
      </c>
      <c r="M66" s="303">
        <f>MAX('2024 Legal Max'!BQ63,'2024 Legal Max'!BU63,'2024 Legal Max'!BY63,'2024 Legal Max'!BZ63)</f>
        <v>156.6</v>
      </c>
      <c r="N66" s="303">
        <f>'2024 Legal Max'!U63*'Low-High ENRL- 2023 HSubSB 113'!L66</f>
        <v>156.6</v>
      </c>
      <c r="O66" s="303">
        <f t="shared" si="1"/>
        <v>0</v>
      </c>
    </row>
    <row r="67" spans="1:15">
      <c r="A67" s="255" t="s">
        <v>249</v>
      </c>
      <c r="B67" s="255" t="s">
        <v>3740</v>
      </c>
      <c r="C67" s="255" t="s">
        <v>30</v>
      </c>
      <c r="D67" s="255">
        <v>0</v>
      </c>
      <c r="E67" s="320">
        <f>IF(ISNA(VLOOKUP($A67,'Audit Values'!$A:$BZ,2,FALSE)),0,VLOOKUP($A67,'Audit Values'!$A:$BZ,78,FALSE))</f>
        <v>0</v>
      </c>
      <c r="F67" s="299">
        <v>0.413553</v>
      </c>
      <c r="G67" s="301">
        <f>IF('2024 Legal Max'!BQ64&gt;0,1.014331, 0)</f>
        <v>0</v>
      </c>
      <c r="H67" s="299">
        <f>'2024 Legal Max'!BT64</f>
        <v>0</v>
      </c>
      <c r="I67" s="299">
        <f>'2024 Legal Max'!BX64</f>
        <v>0.41304299999999999</v>
      </c>
      <c r="J67" s="302">
        <f>IF('2024 Legal Max'!BZ64&gt;0,0.03504,0)</f>
        <v>0</v>
      </c>
      <c r="K67" s="299">
        <f t="shared" si="2"/>
        <v>0.41304299999999999</v>
      </c>
      <c r="L67" s="299">
        <f t="shared" si="3"/>
        <v>0.41304299999999999</v>
      </c>
      <c r="M67" s="303">
        <f>MAX('2024 Legal Max'!BQ64,'2024 Legal Max'!BU64,'2024 Legal Max'!BY64,'2024 Legal Max'!BZ64)</f>
        <v>210.4</v>
      </c>
      <c r="N67" s="303">
        <f>'2024 Legal Max'!U64*'Low-High ENRL- 2023 HSubSB 113'!L67</f>
        <v>210.4</v>
      </c>
      <c r="O67" s="303">
        <f t="shared" si="1"/>
        <v>0</v>
      </c>
    </row>
    <row r="68" spans="1:15">
      <c r="A68" s="255" t="s">
        <v>250</v>
      </c>
      <c r="B68" s="255" t="s">
        <v>3741</v>
      </c>
      <c r="C68" s="255" t="s">
        <v>30</v>
      </c>
      <c r="D68" s="255">
        <v>0</v>
      </c>
      <c r="E68" s="320">
        <f>IF(ISNA(VLOOKUP($A68,'Audit Values'!$A:$BZ,2,FALSE)),0,VLOOKUP($A68,'Audit Values'!$A:$BZ,78,FALSE))</f>
        <v>0</v>
      </c>
      <c r="F68" s="300">
        <v>3.5040000000000002E-2</v>
      </c>
      <c r="G68" s="301">
        <f>IF('2024 Legal Max'!BQ65&gt;0,1.014331, 0)</f>
        <v>0</v>
      </c>
      <c r="H68" s="299">
        <f>'2024 Legal Max'!BT65</f>
        <v>0</v>
      </c>
      <c r="I68" s="299">
        <f>'2024 Legal Max'!BX65</f>
        <v>0</v>
      </c>
      <c r="J68" s="302">
        <f>IF('2024 Legal Max'!BZ65&gt;0,0.03504,0)</f>
        <v>3.5040000000000002E-2</v>
      </c>
      <c r="K68" s="299">
        <f t="shared" si="2"/>
        <v>3.5040000000000002E-2</v>
      </c>
      <c r="L68" s="299">
        <f t="shared" si="3"/>
        <v>3.5040000000000002E-2</v>
      </c>
      <c r="M68" s="303">
        <f>MAX('2024 Legal Max'!BQ65,'2024 Legal Max'!BU65,'2024 Legal Max'!BY65,'2024 Legal Max'!BZ65)</f>
        <v>147.5</v>
      </c>
      <c r="N68" s="303">
        <f>'2024 Legal Max'!U65*'Low-High ENRL- 2023 HSubSB 113'!L68</f>
        <v>147.5</v>
      </c>
      <c r="O68" s="303">
        <f t="shared" si="1"/>
        <v>0</v>
      </c>
    </row>
    <row r="69" spans="1:15">
      <c r="A69" s="255" t="s">
        <v>251</v>
      </c>
      <c r="B69" s="255" t="s">
        <v>3742</v>
      </c>
      <c r="C69" s="255" t="s">
        <v>31</v>
      </c>
      <c r="D69" s="255">
        <v>0</v>
      </c>
      <c r="E69" s="320">
        <f>IF(ISNA(VLOOKUP($A69,'Audit Values'!$A:$BZ,2,FALSE)),0,VLOOKUP($A69,'Audit Values'!$A:$BZ,78,FALSE))</f>
        <v>0</v>
      </c>
      <c r="F69" s="299">
        <v>0.42880699999999999</v>
      </c>
      <c r="G69" s="301">
        <f>IF('2024 Legal Max'!BQ66&gt;0,1.014331, 0)</f>
        <v>0</v>
      </c>
      <c r="H69" s="299">
        <f>'2024 Legal Max'!BT66</f>
        <v>0</v>
      </c>
      <c r="I69" s="299">
        <f>'2024 Legal Max'!BX66</f>
        <v>0.42982599999999999</v>
      </c>
      <c r="J69" s="302">
        <f>IF('2024 Legal Max'!BZ66&gt;0,0.03504,0)</f>
        <v>0</v>
      </c>
      <c r="K69" s="299">
        <f t="shared" si="2"/>
        <v>0.42982599999999999</v>
      </c>
      <c r="L69" s="299">
        <f t="shared" si="3"/>
        <v>0.42982599999999999</v>
      </c>
      <c r="M69" s="303">
        <f>MAX('2024 Legal Max'!BQ66,'2024 Legal Max'!BU66,'2024 Legal Max'!BY66,'2024 Legal Max'!BZ66)</f>
        <v>197.7</v>
      </c>
      <c r="N69" s="303">
        <f>'2024 Legal Max'!U66*'Low-High ENRL- 2023 HSubSB 113'!L69</f>
        <v>197.7</v>
      </c>
      <c r="O69" s="303">
        <f t="shared" si="1"/>
        <v>0</v>
      </c>
    </row>
    <row r="70" spans="1:15">
      <c r="A70" s="255" t="s">
        <v>252</v>
      </c>
      <c r="B70" s="255" t="s">
        <v>3743</v>
      </c>
      <c r="C70" s="255" t="s">
        <v>31</v>
      </c>
      <c r="D70" s="255">
        <v>0</v>
      </c>
      <c r="E70" s="320">
        <f>IF(ISNA(VLOOKUP($A70,'Audit Values'!$A:$BZ,2,FALSE)),0,VLOOKUP($A70,'Audit Values'!$A:$BZ,78,FALSE))</f>
        <v>0</v>
      </c>
      <c r="F70" s="299">
        <v>0.71400399999999997</v>
      </c>
      <c r="G70" s="301">
        <f>IF('2024 Legal Max'!BQ67&gt;0,1.014331, 0)</f>
        <v>0</v>
      </c>
      <c r="H70" s="299">
        <f>'2024 Legal Max'!BT67</f>
        <v>0.71532899999999999</v>
      </c>
      <c r="I70" s="299">
        <f>'2024 Legal Max'!BX67</f>
        <v>0</v>
      </c>
      <c r="J70" s="302">
        <f>IF('2024 Legal Max'!BZ67&gt;0,0.03504,0)</f>
        <v>0</v>
      </c>
      <c r="K70" s="299">
        <f t="shared" si="2"/>
        <v>0.71532899999999999</v>
      </c>
      <c r="L70" s="299">
        <f t="shared" si="3"/>
        <v>0.71532899999999999</v>
      </c>
      <c r="M70" s="303">
        <f>MAX('2024 Legal Max'!BQ67,'2024 Legal Max'!BU67,'2024 Legal Max'!BY67,'2024 Legal Max'!BZ67)</f>
        <v>152.19999999999999</v>
      </c>
      <c r="N70" s="303">
        <f>'2024 Legal Max'!U67*'Low-High ENRL- 2023 HSubSB 113'!L70</f>
        <v>152.19999999999999</v>
      </c>
      <c r="O70" s="303">
        <f t="shared" si="1"/>
        <v>0</v>
      </c>
    </row>
    <row r="71" spans="1:15">
      <c r="A71" s="255" t="s">
        <v>253</v>
      </c>
      <c r="B71" s="255" t="s">
        <v>3744</v>
      </c>
      <c r="C71" s="255" t="s">
        <v>32</v>
      </c>
      <c r="D71" s="255">
        <v>0</v>
      </c>
      <c r="E71" s="320">
        <f>IF(ISNA(VLOOKUP($A71,'Audit Values'!$A:$BZ,2,FALSE)),0,VLOOKUP($A71,'Audit Values'!$A:$BZ,78,FALSE))</f>
        <v>0</v>
      </c>
      <c r="F71" s="299">
        <v>0.63103600000000004</v>
      </c>
      <c r="G71" s="301">
        <f>IF('2024 Legal Max'!BQ68&gt;0,1.014331, 0)</f>
        <v>0</v>
      </c>
      <c r="H71" s="299">
        <f>'2024 Legal Max'!BT68</f>
        <v>0.59551699999999996</v>
      </c>
      <c r="I71" s="299">
        <f>'2024 Legal Max'!BX68</f>
        <v>0</v>
      </c>
      <c r="J71" s="302">
        <f>IF('2024 Legal Max'!BZ68&gt;0,0.03504,0)</f>
        <v>0</v>
      </c>
      <c r="K71" s="299">
        <f t="shared" si="2"/>
        <v>0.59551699999999996</v>
      </c>
      <c r="L71" s="299">
        <f t="shared" si="3"/>
        <v>0.59551699999999996</v>
      </c>
      <c r="M71" s="303">
        <f>MAX('2024 Legal Max'!BQ68,'2024 Legal Max'!BU68,'2024 Legal Max'!BY68,'2024 Legal Max'!BZ68)</f>
        <v>153.6</v>
      </c>
      <c r="N71" s="303">
        <f>'2024 Legal Max'!U68*'Low-High ENRL- 2023 HSubSB 113'!L71</f>
        <v>153.6</v>
      </c>
      <c r="O71" s="303">
        <f t="shared" si="1"/>
        <v>0</v>
      </c>
    </row>
    <row r="72" spans="1:15">
      <c r="A72" s="255" t="s">
        <v>254</v>
      </c>
      <c r="B72" s="255" t="s">
        <v>3745</v>
      </c>
      <c r="C72" s="255" t="s">
        <v>32</v>
      </c>
      <c r="D72" s="255">
        <v>0</v>
      </c>
      <c r="E72" s="320">
        <f>IF(ISNA(VLOOKUP($A72,'Audit Values'!$A:$BZ,2,FALSE)),0,VLOOKUP($A72,'Audit Values'!$A:$BZ,78,FALSE))</f>
        <v>0</v>
      </c>
      <c r="F72" s="299">
        <v>0.20732500000000001</v>
      </c>
      <c r="G72" s="301">
        <f>IF('2024 Legal Max'!BQ69&gt;0,1.014331, 0)</f>
        <v>0</v>
      </c>
      <c r="H72" s="299">
        <f>'2024 Legal Max'!BT69</f>
        <v>0</v>
      </c>
      <c r="I72" s="299">
        <f>'2024 Legal Max'!BX69</f>
        <v>0.21466399999999999</v>
      </c>
      <c r="J72" s="302">
        <f>IF('2024 Legal Max'!BZ69&gt;0,0.03504,0)</f>
        <v>0</v>
      </c>
      <c r="K72" s="299">
        <f t="shared" si="2"/>
        <v>0.21466399999999999</v>
      </c>
      <c r="L72" s="299">
        <f t="shared" si="3"/>
        <v>0.21466399999999999</v>
      </c>
      <c r="M72" s="303">
        <f>MAX('2024 Legal Max'!BQ69,'2024 Legal Max'!BU69,'2024 Legal Max'!BY69,'2024 Legal Max'!BZ69)</f>
        <v>234.7</v>
      </c>
      <c r="N72" s="303">
        <f>'2024 Legal Max'!U69*'Low-High ENRL- 2023 HSubSB 113'!L72</f>
        <v>234.7</v>
      </c>
      <c r="O72" s="303">
        <f t="shared" ref="O72:O135" si="4">N72-M72</f>
        <v>0</v>
      </c>
    </row>
    <row r="73" spans="1:15">
      <c r="A73" s="255" t="s">
        <v>255</v>
      </c>
      <c r="B73" s="255" t="s">
        <v>3746</v>
      </c>
      <c r="C73" s="255" t="s">
        <v>32</v>
      </c>
      <c r="D73" s="255">
        <v>0</v>
      </c>
      <c r="E73" s="320">
        <f>IF(ISNA(VLOOKUP($A73,'Audit Values'!$A:$BZ,2,FALSE)),0,VLOOKUP($A73,'Audit Values'!$A:$BZ,78,FALSE))</f>
        <v>0</v>
      </c>
      <c r="F73" s="299">
        <v>0.36918099999999998</v>
      </c>
      <c r="G73" s="301">
        <f>IF('2024 Legal Max'!BQ70&gt;0,1.014331, 0)</f>
        <v>0</v>
      </c>
      <c r="H73" s="299">
        <f>'2024 Legal Max'!BT70</f>
        <v>0</v>
      </c>
      <c r="I73" s="299">
        <f>'2024 Legal Max'!BX70</f>
        <v>0.36952099999999999</v>
      </c>
      <c r="J73" s="302">
        <f>IF('2024 Legal Max'!BZ70&gt;0,0.03504,0)</f>
        <v>0</v>
      </c>
      <c r="K73" s="299">
        <f t="shared" ref="K73:K136" si="5">MAX(G73,H73,I73,J73)</f>
        <v>0.36952099999999999</v>
      </c>
      <c r="L73" s="299">
        <f t="shared" ref="L73:L136" si="6">IF((E73=1),MAX(F73,K73),K73)</f>
        <v>0.36952099999999999</v>
      </c>
      <c r="M73" s="303">
        <f>MAX('2024 Legal Max'!BQ70,'2024 Legal Max'!BU70,'2024 Legal Max'!BY70,'2024 Legal Max'!BZ70)</f>
        <v>235.6</v>
      </c>
      <c r="N73" s="303">
        <f>'2024 Legal Max'!U70*'Low-High ENRL- 2023 HSubSB 113'!L73</f>
        <v>235.6</v>
      </c>
      <c r="O73" s="303">
        <f t="shared" si="4"/>
        <v>0</v>
      </c>
    </row>
    <row r="74" spans="1:15">
      <c r="A74" s="255" t="s">
        <v>256</v>
      </c>
      <c r="B74" s="255" t="s">
        <v>34</v>
      </c>
      <c r="C74" s="255" t="s">
        <v>33</v>
      </c>
      <c r="D74" s="255">
        <v>0</v>
      </c>
      <c r="E74" s="320">
        <f>IF(ISNA(VLOOKUP($A74,'Audit Values'!$A:$BZ,2,FALSE)),0,VLOOKUP($A74,'Audit Values'!$A:$BZ,78,FALSE))</f>
        <v>0</v>
      </c>
      <c r="F74" s="300">
        <v>3.5040000000000002E-2</v>
      </c>
      <c r="G74" s="301">
        <f>IF('2024 Legal Max'!BQ71&gt;0,1.014331, 0)</f>
        <v>0</v>
      </c>
      <c r="H74" s="299">
        <f>'2024 Legal Max'!BT71</f>
        <v>0</v>
      </c>
      <c r="I74" s="299">
        <f>'2024 Legal Max'!BX71</f>
        <v>0</v>
      </c>
      <c r="J74" s="302">
        <f>IF('2024 Legal Max'!BZ71&gt;0,0.03504,0)</f>
        <v>3.5040000000000002E-2</v>
      </c>
      <c r="K74" s="299">
        <f t="shared" si="5"/>
        <v>3.5040000000000002E-2</v>
      </c>
      <c r="L74" s="299">
        <f t="shared" si="6"/>
        <v>3.5040000000000002E-2</v>
      </c>
      <c r="M74" s="303">
        <f>MAX('2024 Legal Max'!BQ71,'2024 Legal Max'!BU71,'2024 Legal Max'!BY71,'2024 Legal Max'!BZ71)</f>
        <v>1550.4</v>
      </c>
      <c r="N74" s="303">
        <f>'2024 Legal Max'!U71*'Low-High ENRL- 2023 HSubSB 113'!L74</f>
        <v>1550.4</v>
      </c>
      <c r="O74" s="303">
        <f t="shared" si="4"/>
        <v>0</v>
      </c>
    </row>
    <row r="75" spans="1:15">
      <c r="A75" s="255" t="s">
        <v>257</v>
      </c>
      <c r="B75" s="255" t="s">
        <v>3747</v>
      </c>
      <c r="C75" s="255" t="s">
        <v>33</v>
      </c>
      <c r="D75" s="255">
        <v>0</v>
      </c>
      <c r="E75" s="320">
        <f>IF(ISNA(VLOOKUP($A75,'Audit Values'!$A:$BZ,2,FALSE)),0,VLOOKUP($A75,'Audit Values'!$A:$BZ,78,FALSE))</f>
        <v>0</v>
      </c>
      <c r="F75" s="300">
        <v>3.5040000000000002E-2</v>
      </c>
      <c r="G75" s="301">
        <f>IF('2024 Legal Max'!BQ72&gt;0,1.014331, 0)</f>
        <v>0</v>
      </c>
      <c r="H75" s="299">
        <f>'2024 Legal Max'!BT72</f>
        <v>0</v>
      </c>
      <c r="I75" s="299">
        <f>'2024 Legal Max'!BX72</f>
        <v>0</v>
      </c>
      <c r="J75" s="302">
        <f>IF('2024 Legal Max'!BZ72&gt;0,0.03504,0)</f>
        <v>3.5040000000000002E-2</v>
      </c>
      <c r="K75" s="299">
        <f t="shared" si="5"/>
        <v>3.5040000000000002E-2</v>
      </c>
      <c r="L75" s="299">
        <f t="shared" si="6"/>
        <v>3.5040000000000002E-2</v>
      </c>
      <c r="M75" s="303">
        <f>MAX('2024 Legal Max'!BQ72,'2024 Legal Max'!BU72,'2024 Legal Max'!BY72,'2024 Legal Max'!BZ72)</f>
        <v>240.8</v>
      </c>
      <c r="N75" s="303">
        <f>'2024 Legal Max'!U72*'Low-High ENRL- 2023 HSubSB 113'!L75</f>
        <v>240.8</v>
      </c>
      <c r="O75" s="303">
        <f t="shared" si="4"/>
        <v>0</v>
      </c>
    </row>
    <row r="76" spans="1:15">
      <c r="A76" s="255" t="s">
        <v>258</v>
      </c>
      <c r="B76" s="255" t="s">
        <v>3748</v>
      </c>
      <c r="C76" s="255" t="s">
        <v>33</v>
      </c>
      <c r="D76" s="255">
        <v>0</v>
      </c>
      <c r="E76" s="320">
        <f>IF(ISNA(VLOOKUP($A76,'Audit Values'!$A:$BZ,2,FALSE)),0,VLOOKUP($A76,'Audit Values'!$A:$BZ,78,FALSE))</f>
        <v>0</v>
      </c>
      <c r="F76" s="300">
        <v>3.5040000000000002E-2</v>
      </c>
      <c r="G76" s="301">
        <f>IF('2024 Legal Max'!BQ73&gt;0,1.014331, 0)</f>
        <v>0</v>
      </c>
      <c r="H76" s="299">
        <f>'2024 Legal Max'!BT73</f>
        <v>0</v>
      </c>
      <c r="I76" s="299">
        <f>'2024 Legal Max'!BX73</f>
        <v>0</v>
      </c>
      <c r="J76" s="302">
        <f>IF('2024 Legal Max'!BZ73&gt;0,0.03504,0)</f>
        <v>3.5040000000000002E-2</v>
      </c>
      <c r="K76" s="299">
        <f t="shared" si="5"/>
        <v>3.5040000000000002E-2</v>
      </c>
      <c r="L76" s="299">
        <f t="shared" si="6"/>
        <v>3.5040000000000002E-2</v>
      </c>
      <c r="M76" s="303">
        <f>MAX('2024 Legal Max'!BQ73,'2024 Legal Max'!BU73,'2024 Legal Max'!BY73,'2024 Legal Max'!BZ73)</f>
        <v>195</v>
      </c>
      <c r="N76" s="303">
        <f>'2024 Legal Max'!U73*'Low-High ENRL- 2023 HSubSB 113'!L76</f>
        <v>195</v>
      </c>
      <c r="O76" s="303">
        <f t="shared" si="4"/>
        <v>0</v>
      </c>
    </row>
    <row r="77" spans="1:15">
      <c r="A77" s="255" t="s">
        <v>259</v>
      </c>
      <c r="B77" s="255" t="s">
        <v>3749</v>
      </c>
      <c r="C77" s="255" t="s">
        <v>33</v>
      </c>
      <c r="D77" s="255">
        <v>0</v>
      </c>
      <c r="E77" s="320">
        <f>IF(ISNA(VLOOKUP($A77,'Audit Values'!$A:$BZ,2,FALSE)),0,VLOOKUP($A77,'Audit Values'!$A:$BZ,78,FALSE))</f>
        <v>0</v>
      </c>
      <c r="F77" s="300">
        <v>3.5040000000000002E-2</v>
      </c>
      <c r="G77" s="301">
        <f>IF('2024 Legal Max'!BQ74&gt;0,1.014331, 0)</f>
        <v>0</v>
      </c>
      <c r="H77" s="299">
        <f>'2024 Legal Max'!BT74</f>
        <v>0</v>
      </c>
      <c r="I77" s="299">
        <f>'2024 Legal Max'!BX74</f>
        <v>0</v>
      </c>
      <c r="J77" s="302">
        <f>IF('2024 Legal Max'!BZ74&gt;0,0.03504,0)</f>
        <v>3.5040000000000002E-2</v>
      </c>
      <c r="K77" s="299">
        <f t="shared" si="5"/>
        <v>3.5040000000000002E-2</v>
      </c>
      <c r="L77" s="299">
        <f t="shared" si="6"/>
        <v>3.5040000000000002E-2</v>
      </c>
      <c r="M77" s="303">
        <f>MAX('2024 Legal Max'!BQ74,'2024 Legal Max'!BU74,'2024 Legal Max'!BY74,'2024 Legal Max'!BZ74)</f>
        <v>107.5</v>
      </c>
      <c r="N77" s="303">
        <f>'2024 Legal Max'!U74*'Low-High ENRL- 2023 HSubSB 113'!L77</f>
        <v>107.5</v>
      </c>
      <c r="O77" s="303">
        <f t="shared" si="4"/>
        <v>0</v>
      </c>
    </row>
    <row r="78" spans="1:15">
      <c r="A78" s="255" t="s">
        <v>260</v>
      </c>
      <c r="B78" s="255" t="s">
        <v>3750</v>
      </c>
      <c r="C78" s="255" t="s">
        <v>33</v>
      </c>
      <c r="D78" s="255">
        <v>0</v>
      </c>
      <c r="E78" s="320">
        <f>IF(ISNA(VLOOKUP($A78,'Audit Values'!$A:$BZ,2,FALSE)),0,VLOOKUP($A78,'Audit Values'!$A:$BZ,78,FALSE))</f>
        <v>0</v>
      </c>
      <c r="F78" s="300">
        <v>3.5040000000000002E-2</v>
      </c>
      <c r="G78" s="301">
        <f>IF('2024 Legal Max'!BQ75&gt;0,1.014331, 0)</f>
        <v>0</v>
      </c>
      <c r="H78" s="299">
        <f>'2024 Legal Max'!BT75</f>
        <v>0</v>
      </c>
      <c r="I78" s="299">
        <f>'2024 Legal Max'!BX75</f>
        <v>0</v>
      </c>
      <c r="J78" s="302">
        <f>IF('2024 Legal Max'!BZ75&gt;0,0.03504,0)</f>
        <v>3.5040000000000002E-2</v>
      </c>
      <c r="K78" s="299">
        <f t="shared" si="5"/>
        <v>3.5040000000000002E-2</v>
      </c>
      <c r="L78" s="299">
        <f t="shared" si="6"/>
        <v>3.5040000000000002E-2</v>
      </c>
      <c r="M78" s="303">
        <f>MAX('2024 Legal Max'!BQ75,'2024 Legal Max'!BU75,'2024 Legal Max'!BY75,'2024 Legal Max'!BZ75)</f>
        <v>62.3</v>
      </c>
      <c r="N78" s="303">
        <f>'2024 Legal Max'!U75*'Low-High ENRL- 2023 HSubSB 113'!L78</f>
        <v>62.3</v>
      </c>
      <c r="O78" s="303">
        <f t="shared" si="4"/>
        <v>0</v>
      </c>
    </row>
    <row r="79" spans="1:15">
      <c r="A79" s="255" t="s">
        <v>261</v>
      </c>
      <c r="B79" s="255" t="s">
        <v>3751</v>
      </c>
      <c r="C79" s="255" t="s">
        <v>33</v>
      </c>
      <c r="D79" s="255">
        <v>0</v>
      </c>
      <c r="E79" s="320">
        <f>IF(ISNA(VLOOKUP($A79,'Audit Values'!$A:$BZ,2,FALSE)),0,VLOOKUP($A79,'Audit Values'!$A:$BZ,78,FALSE))</f>
        <v>0</v>
      </c>
      <c r="F79" s="299">
        <v>0.210315</v>
      </c>
      <c r="G79" s="301">
        <f>IF('2024 Legal Max'!BQ76&gt;0,1.014331, 0)</f>
        <v>0</v>
      </c>
      <c r="H79" s="299">
        <f>'2024 Legal Max'!BT76</f>
        <v>0</v>
      </c>
      <c r="I79" s="299">
        <f>'2024 Legal Max'!BX76</f>
        <v>0.20929600000000001</v>
      </c>
      <c r="J79" s="302">
        <f>IF('2024 Legal Max'!BZ76&gt;0,0.03504,0)</f>
        <v>0</v>
      </c>
      <c r="K79" s="299">
        <f t="shared" si="5"/>
        <v>0.20929600000000001</v>
      </c>
      <c r="L79" s="299">
        <f t="shared" si="6"/>
        <v>0.20929600000000001</v>
      </c>
      <c r="M79" s="303">
        <f>MAX('2024 Legal Max'!BQ76,'2024 Legal Max'!BU76,'2024 Legal Max'!BY76,'2024 Legal Max'!BZ76)</f>
        <v>232.1</v>
      </c>
      <c r="N79" s="303">
        <f>'2024 Legal Max'!U76*'Low-High ENRL- 2023 HSubSB 113'!L79</f>
        <v>232.1</v>
      </c>
      <c r="O79" s="303">
        <f t="shared" si="4"/>
        <v>0</v>
      </c>
    </row>
    <row r="80" spans="1:15">
      <c r="A80" s="255" t="s">
        <v>262</v>
      </c>
      <c r="B80" s="255" t="s">
        <v>3752</v>
      </c>
      <c r="C80" s="255" t="s">
        <v>33</v>
      </c>
      <c r="D80" s="255">
        <v>0</v>
      </c>
      <c r="E80" s="320">
        <f>IF(ISNA(VLOOKUP($A80,'Audit Values'!$A:$BZ,2,FALSE)),0,VLOOKUP($A80,'Audit Values'!$A:$BZ,78,FALSE))</f>
        <v>0</v>
      </c>
      <c r="F80" s="300">
        <v>3.5040000000000002E-2</v>
      </c>
      <c r="G80" s="301">
        <f>IF('2024 Legal Max'!BQ77&gt;0,1.014331, 0)</f>
        <v>0</v>
      </c>
      <c r="H80" s="299">
        <f>'2024 Legal Max'!BT77</f>
        <v>0</v>
      </c>
      <c r="I80" s="299">
        <f>'2024 Legal Max'!BX77</f>
        <v>0</v>
      </c>
      <c r="J80" s="302">
        <f>IF('2024 Legal Max'!BZ77&gt;0,0.03504,0)</f>
        <v>3.5040000000000002E-2</v>
      </c>
      <c r="K80" s="299">
        <f t="shared" si="5"/>
        <v>3.5040000000000002E-2</v>
      </c>
      <c r="L80" s="299">
        <f t="shared" si="6"/>
        <v>3.5040000000000002E-2</v>
      </c>
      <c r="M80" s="303">
        <f>MAX('2024 Legal Max'!BQ77,'2024 Legal Max'!BU77,'2024 Legal Max'!BY77,'2024 Legal Max'!BZ77)</f>
        <v>209.5</v>
      </c>
      <c r="N80" s="303">
        <f>'2024 Legal Max'!U77*'Low-High ENRL- 2023 HSubSB 113'!L80</f>
        <v>209.5</v>
      </c>
      <c r="O80" s="303">
        <f t="shared" si="4"/>
        <v>0</v>
      </c>
    </row>
    <row r="81" spans="1:15">
      <c r="A81" s="255" t="s">
        <v>263</v>
      </c>
      <c r="B81" s="255" t="s">
        <v>3753</v>
      </c>
      <c r="C81" s="255" t="s">
        <v>33</v>
      </c>
      <c r="D81" s="255">
        <v>0</v>
      </c>
      <c r="E81" s="320">
        <f>IF(ISNA(VLOOKUP($A81,'Audit Values'!$A:$BZ,2,FALSE)),0,VLOOKUP($A81,'Audit Values'!$A:$BZ,78,FALSE))</f>
        <v>0</v>
      </c>
      <c r="F81" s="300">
        <v>3.5040000000000002E-2</v>
      </c>
      <c r="G81" s="301">
        <f>IF('2024 Legal Max'!BQ78&gt;0,1.014331, 0)</f>
        <v>0</v>
      </c>
      <c r="H81" s="299">
        <f>'2024 Legal Max'!BT78</f>
        <v>0</v>
      </c>
      <c r="I81" s="299">
        <f>'2024 Legal Max'!BX78</f>
        <v>0</v>
      </c>
      <c r="J81" s="302">
        <f>IF('2024 Legal Max'!BZ78&gt;0,0.03504,0)</f>
        <v>3.5040000000000002E-2</v>
      </c>
      <c r="K81" s="299">
        <f t="shared" si="5"/>
        <v>3.5040000000000002E-2</v>
      </c>
      <c r="L81" s="299">
        <f t="shared" si="6"/>
        <v>3.5040000000000002E-2</v>
      </c>
      <c r="M81" s="303">
        <f>MAX('2024 Legal Max'!BQ78,'2024 Legal Max'!BU78,'2024 Legal Max'!BY78,'2024 Legal Max'!BZ78)</f>
        <v>257.39999999999998</v>
      </c>
      <c r="N81" s="303">
        <f>'2024 Legal Max'!U78*'Low-High ENRL- 2023 HSubSB 113'!L81</f>
        <v>257.39999999999998</v>
      </c>
      <c r="O81" s="303">
        <f t="shared" si="4"/>
        <v>0</v>
      </c>
    </row>
    <row r="82" spans="1:15">
      <c r="A82" s="255" t="s">
        <v>264</v>
      </c>
      <c r="B82" s="255" t="s">
        <v>3754</v>
      </c>
      <c r="C82" s="255" t="s">
        <v>33</v>
      </c>
      <c r="D82" s="255">
        <v>0</v>
      </c>
      <c r="E82" s="320">
        <f>IF(ISNA(VLOOKUP($A82,'Audit Values'!$A:$BZ,2,FALSE)),0,VLOOKUP($A82,'Audit Values'!$A:$BZ,78,FALSE))</f>
        <v>0</v>
      </c>
      <c r="F82" s="300">
        <v>3.5040000000000002E-2</v>
      </c>
      <c r="G82" s="301">
        <f>IF('2024 Legal Max'!BQ79&gt;0,1.014331, 0)</f>
        <v>0</v>
      </c>
      <c r="H82" s="299">
        <f>'2024 Legal Max'!BT79</f>
        <v>0</v>
      </c>
      <c r="I82" s="299">
        <f>'2024 Legal Max'!BX79</f>
        <v>0</v>
      </c>
      <c r="J82" s="302">
        <f>IF('2024 Legal Max'!BZ79&gt;0,0.03504,0)</f>
        <v>3.5040000000000002E-2</v>
      </c>
      <c r="K82" s="299">
        <f t="shared" si="5"/>
        <v>3.5040000000000002E-2</v>
      </c>
      <c r="L82" s="299">
        <f t="shared" si="6"/>
        <v>3.5040000000000002E-2</v>
      </c>
      <c r="M82" s="303">
        <f>MAX('2024 Legal Max'!BQ79,'2024 Legal Max'!BU79,'2024 Legal Max'!BY79,'2024 Legal Max'!BZ79)</f>
        <v>66</v>
      </c>
      <c r="N82" s="303">
        <f>'2024 Legal Max'!U79*'Low-High ENRL- 2023 HSubSB 113'!L82</f>
        <v>66</v>
      </c>
      <c r="O82" s="303">
        <f t="shared" si="4"/>
        <v>0</v>
      </c>
    </row>
    <row r="83" spans="1:15">
      <c r="A83" s="255" t="s">
        <v>265</v>
      </c>
      <c r="B83" s="255" t="s">
        <v>3755</v>
      </c>
      <c r="C83" s="255" t="s">
        <v>33</v>
      </c>
      <c r="D83" s="255">
        <v>0</v>
      </c>
      <c r="E83" s="320">
        <f>IF(ISNA(VLOOKUP($A83,'Audit Values'!$A:$BZ,2,FALSE)),0,VLOOKUP($A83,'Audit Values'!$A:$BZ,78,FALSE))</f>
        <v>0</v>
      </c>
      <c r="F83" s="299">
        <v>0.318525</v>
      </c>
      <c r="G83" s="301">
        <f>IF('2024 Legal Max'!BQ80&gt;0,1.014331, 0)</f>
        <v>0</v>
      </c>
      <c r="H83" s="299">
        <f>'2024 Legal Max'!BT80</f>
        <v>0</v>
      </c>
      <c r="I83" s="299">
        <f>'2024 Legal Max'!BX80</f>
        <v>0.31431199999999998</v>
      </c>
      <c r="J83" s="302">
        <f>IF('2024 Legal Max'!BZ80&gt;0,0.03504,0)</f>
        <v>0</v>
      </c>
      <c r="K83" s="299">
        <f t="shared" si="5"/>
        <v>0.31431199999999998</v>
      </c>
      <c r="L83" s="299">
        <f t="shared" si="6"/>
        <v>0.31431199999999998</v>
      </c>
      <c r="M83" s="303">
        <f>MAX('2024 Legal Max'!BQ80,'2024 Legal Max'!BU80,'2024 Legal Max'!BY80,'2024 Legal Max'!BZ80)</f>
        <v>251.4</v>
      </c>
      <c r="N83" s="303">
        <f>'2024 Legal Max'!U80*'Low-High ENRL- 2023 HSubSB 113'!L83</f>
        <v>251.4</v>
      </c>
      <c r="O83" s="303">
        <f t="shared" si="4"/>
        <v>0</v>
      </c>
    </row>
    <row r="84" spans="1:15">
      <c r="A84" s="255" t="s">
        <v>266</v>
      </c>
      <c r="B84" s="255" t="s">
        <v>3756</v>
      </c>
      <c r="C84" s="255" t="s">
        <v>35</v>
      </c>
      <c r="D84" s="255">
        <v>0</v>
      </c>
      <c r="E84" s="320">
        <f>IF(ISNA(VLOOKUP($A84,'Audit Values'!$A:$BZ,2,FALSE)),0,VLOOKUP($A84,'Audit Values'!$A:$BZ,78,FALSE))</f>
        <v>0</v>
      </c>
      <c r="F84" s="299">
        <v>1.0143310000000001</v>
      </c>
      <c r="G84" s="301">
        <f>IF('2024 Legal Max'!BQ81&gt;0,1.014331, 0)</f>
        <v>1.0143310000000001</v>
      </c>
      <c r="H84" s="299">
        <f>'2024 Legal Max'!BT81</f>
        <v>0</v>
      </c>
      <c r="I84" s="299">
        <f>'2024 Legal Max'!BX81</f>
        <v>0</v>
      </c>
      <c r="J84" s="302">
        <f>IF('2024 Legal Max'!BZ81&gt;0,0.03504,0)</f>
        <v>0</v>
      </c>
      <c r="K84" s="299">
        <f t="shared" si="5"/>
        <v>1.0143310000000001</v>
      </c>
      <c r="L84" s="299">
        <f t="shared" si="6"/>
        <v>1.0143310000000001</v>
      </c>
      <c r="M84" s="303">
        <f>MAX('2024 Legal Max'!BQ81,'2024 Legal Max'!BU81,'2024 Legal Max'!BY81,'2024 Legal Max'!BZ81)</f>
        <v>88.8</v>
      </c>
      <c r="N84" s="303">
        <f>'2024 Legal Max'!U81*'Low-High ENRL- 2023 HSubSB 113'!L84</f>
        <v>88.8</v>
      </c>
      <c r="O84" s="303">
        <f t="shared" si="4"/>
        <v>0</v>
      </c>
    </row>
    <row r="85" spans="1:15">
      <c r="A85" s="255" t="s">
        <v>267</v>
      </c>
      <c r="B85" s="255" t="s">
        <v>3757</v>
      </c>
      <c r="C85" s="255" t="s">
        <v>35</v>
      </c>
      <c r="D85" s="255">
        <v>0</v>
      </c>
      <c r="E85" s="320">
        <f>IF(ISNA(VLOOKUP($A85,'Audit Values'!$A:$BZ,2,FALSE)),0,VLOOKUP($A85,'Audit Values'!$A:$BZ,78,FALSE))</f>
        <v>0</v>
      </c>
      <c r="F85" s="299">
        <v>0.47012100000000001</v>
      </c>
      <c r="G85" s="301">
        <f>IF('2024 Legal Max'!BQ82&gt;0,1.014331, 0)</f>
        <v>0</v>
      </c>
      <c r="H85" s="299">
        <f>'2024 Legal Max'!BT82</f>
        <v>0</v>
      </c>
      <c r="I85" s="299">
        <f>'2024 Legal Max'!BX82</f>
        <v>0.45377899999999999</v>
      </c>
      <c r="J85" s="302">
        <f>IF('2024 Legal Max'!BZ82&gt;0,0.03504,0)</f>
        <v>0</v>
      </c>
      <c r="K85" s="299">
        <f t="shared" si="5"/>
        <v>0.45377899999999999</v>
      </c>
      <c r="L85" s="299">
        <f t="shared" si="6"/>
        <v>0.45377899999999999</v>
      </c>
      <c r="M85" s="303">
        <f>MAX('2024 Legal Max'!BQ82,'2024 Legal Max'!BU82,'2024 Legal Max'!BY82,'2024 Legal Max'!BZ82)</f>
        <v>176.7</v>
      </c>
      <c r="N85" s="303">
        <f>'2024 Legal Max'!U82*'Low-High ENRL- 2023 HSubSB 113'!L85</f>
        <v>176.7</v>
      </c>
      <c r="O85" s="303">
        <f t="shared" si="4"/>
        <v>0</v>
      </c>
    </row>
    <row r="86" spans="1:15">
      <c r="A86" s="255" t="s">
        <v>268</v>
      </c>
      <c r="B86" s="255" t="s">
        <v>3758</v>
      </c>
      <c r="C86" s="255" t="s">
        <v>35</v>
      </c>
      <c r="D86" s="255">
        <v>0</v>
      </c>
      <c r="E86" s="320">
        <f>IF(ISNA(VLOOKUP($A86,'Audit Values'!$A:$BZ,2,FALSE)),0,VLOOKUP($A86,'Audit Values'!$A:$BZ,78,FALSE))</f>
        <v>0</v>
      </c>
      <c r="F86" s="299">
        <v>0.47229500000000002</v>
      </c>
      <c r="G86" s="301">
        <f>IF('2024 Legal Max'!BQ83&gt;0,1.014331, 0)</f>
        <v>0</v>
      </c>
      <c r="H86" s="299">
        <f>'2024 Legal Max'!BT83</f>
        <v>0</v>
      </c>
      <c r="I86" s="299">
        <f>'2024 Legal Max'!BX83</f>
        <v>0.47909000000000002</v>
      </c>
      <c r="J86" s="302">
        <f>IF('2024 Legal Max'!BZ83&gt;0,0.03504,0)</f>
        <v>0</v>
      </c>
      <c r="K86" s="299">
        <f t="shared" si="5"/>
        <v>0.47909000000000002</v>
      </c>
      <c r="L86" s="299">
        <f t="shared" si="6"/>
        <v>0.47909000000000002</v>
      </c>
      <c r="M86" s="303">
        <f>MAX('2024 Legal Max'!BQ83,'2024 Legal Max'!BU83,'2024 Legal Max'!BY83,'2024 Legal Max'!BZ83)</f>
        <v>150.9</v>
      </c>
      <c r="N86" s="303">
        <f>'2024 Legal Max'!U83*'Low-High ENRL- 2023 HSubSB 113'!L86</f>
        <v>150.9</v>
      </c>
      <c r="O86" s="303">
        <f t="shared" si="4"/>
        <v>0</v>
      </c>
    </row>
    <row r="87" spans="1:15">
      <c r="A87" s="255" t="s">
        <v>269</v>
      </c>
      <c r="B87" s="255" t="s">
        <v>3759</v>
      </c>
      <c r="C87" s="255" t="s">
        <v>36</v>
      </c>
      <c r="D87" s="255">
        <v>0</v>
      </c>
      <c r="E87" s="320">
        <f>IF(ISNA(VLOOKUP($A87,'Audit Values'!$A:$BZ,2,FALSE)),0,VLOOKUP($A87,'Audit Values'!$A:$BZ,78,FALSE))</f>
        <v>0</v>
      </c>
      <c r="F87" s="299">
        <v>0.48153600000000002</v>
      </c>
      <c r="G87" s="301">
        <f>IF('2024 Legal Max'!BQ84&gt;0,1.014331, 0)</f>
        <v>0</v>
      </c>
      <c r="H87" s="299">
        <f>'2024 Legal Max'!BT84</f>
        <v>0</v>
      </c>
      <c r="I87" s="299">
        <f>'2024 Legal Max'!BX84</f>
        <v>0.48208000000000001</v>
      </c>
      <c r="J87" s="302">
        <f>IF('2024 Legal Max'!BZ84&gt;0,0.03504,0)</f>
        <v>0</v>
      </c>
      <c r="K87" s="299">
        <f t="shared" si="5"/>
        <v>0.48208000000000001</v>
      </c>
      <c r="L87" s="299">
        <f t="shared" si="6"/>
        <v>0.48208000000000001</v>
      </c>
      <c r="M87" s="303">
        <f>MAX('2024 Legal Max'!BQ84,'2024 Legal Max'!BU84,'2024 Legal Max'!BY84,'2024 Legal Max'!BZ84)</f>
        <v>147.6</v>
      </c>
      <c r="N87" s="303">
        <f>'2024 Legal Max'!U84*'Low-High ENRL- 2023 HSubSB 113'!L87</f>
        <v>147.6</v>
      </c>
      <c r="O87" s="303">
        <f t="shared" si="4"/>
        <v>0</v>
      </c>
    </row>
    <row r="88" spans="1:15">
      <c r="A88" s="255" t="s">
        <v>270</v>
      </c>
      <c r="B88" s="255" t="s">
        <v>3760</v>
      </c>
      <c r="C88" s="255" t="s">
        <v>36</v>
      </c>
      <c r="D88" s="255">
        <v>0</v>
      </c>
      <c r="E88" s="320">
        <f>IF(ISNA(VLOOKUP($A88,'Audit Values'!$A:$BZ,2,FALSE)),0,VLOOKUP($A88,'Audit Values'!$A:$BZ,78,FALSE))</f>
        <v>0</v>
      </c>
      <c r="F88" s="299">
        <v>0.32083499999999998</v>
      </c>
      <c r="G88" s="301">
        <f>IF('2024 Legal Max'!BQ85&gt;0,1.014331, 0)</f>
        <v>0</v>
      </c>
      <c r="H88" s="299">
        <f>'2024 Legal Max'!BT85</f>
        <v>0</v>
      </c>
      <c r="I88" s="299">
        <f>'2024 Legal Max'!BX85</f>
        <v>0.313666</v>
      </c>
      <c r="J88" s="302">
        <f>IF('2024 Legal Max'!BZ85&gt;0,0.03504,0)</f>
        <v>0</v>
      </c>
      <c r="K88" s="299">
        <f t="shared" si="5"/>
        <v>0.313666</v>
      </c>
      <c r="L88" s="299">
        <f t="shared" si="6"/>
        <v>0.313666</v>
      </c>
      <c r="M88" s="303">
        <f>MAX('2024 Legal Max'!BQ85,'2024 Legal Max'!BU85,'2024 Legal Max'!BY85,'2024 Legal Max'!BZ85)</f>
        <v>251.5</v>
      </c>
      <c r="N88" s="303">
        <f>'2024 Legal Max'!U85*'Low-High ENRL- 2023 HSubSB 113'!L88</f>
        <v>251.5</v>
      </c>
      <c r="O88" s="303">
        <f t="shared" si="4"/>
        <v>0</v>
      </c>
    </row>
    <row r="89" spans="1:15">
      <c r="A89" s="255" t="s">
        <v>271</v>
      </c>
      <c r="B89" s="255" t="s">
        <v>3761</v>
      </c>
      <c r="C89" s="255" t="s">
        <v>37</v>
      </c>
      <c r="D89" s="255">
        <v>0</v>
      </c>
      <c r="E89" s="320">
        <f>IF(ISNA(VLOOKUP($A89,'Audit Values'!$A:$BZ,2,FALSE)),0,VLOOKUP($A89,'Audit Values'!$A:$BZ,78,FALSE))</f>
        <v>0</v>
      </c>
      <c r="F89" s="299">
        <v>0.44426599999999999</v>
      </c>
      <c r="G89" s="301">
        <f>IF('2024 Legal Max'!BQ86&gt;0,1.014331, 0)</f>
        <v>0</v>
      </c>
      <c r="H89" s="299">
        <f>'2024 Legal Max'!BT86</f>
        <v>0</v>
      </c>
      <c r="I89" s="299">
        <f>'2024 Legal Max'!BX86</f>
        <v>0.44141200000000003</v>
      </c>
      <c r="J89" s="302">
        <f>IF('2024 Legal Max'!BZ86&gt;0,0.03504,0)</f>
        <v>0</v>
      </c>
      <c r="K89" s="299">
        <f t="shared" si="5"/>
        <v>0.44141200000000003</v>
      </c>
      <c r="L89" s="299">
        <f t="shared" si="6"/>
        <v>0.44141200000000003</v>
      </c>
      <c r="M89" s="303">
        <f>MAX('2024 Legal Max'!BQ86,'2024 Legal Max'!BU86,'2024 Legal Max'!BY86,'2024 Legal Max'!BZ86)</f>
        <v>188</v>
      </c>
      <c r="N89" s="303">
        <f>'2024 Legal Max'!U86*'Low-High ENRL- 2023 HSubSB 113'!L89</f>
        <v>188</v>
      </c>
      <c r="O89" s="303">
        <f t="shared" si="4"/>
        <v>0</v>
      </c>
    </row>
    <row r="90" spans="1:15">
      <c r="A90" s="255" t="s">
        <v>272</v>
      </c>
      <c r="B90" s="255" t="s">
        <v>3762</v>
      </c>
      <c r="C90" s="255" t="s">
        <v>37</v>
      </c>
      <c r="D90" s="255">
        <v>0</v>
      </c>
      <c r="E90" s="320">
        <f>IF(ISNA(VLOOKUP($A90,'Audit Values'!$A:$BZ,2,FALSE)),0,VLOOKUP($A90,'Audit Values'!$A:$BZ,78,FALSE))</f>
        <v>0</v>
      </c>
      <c r="F90" s="299">
        <v>1.0143310000000001</v>
      </c>
      <c r="G90" s="301">
        <f>IF('2024 Legal Max'!BQ87&gt;0,1.014331, 0)</f>
        <v>1.0143310000000001</v>
      </c>
      <c r="H90" s="299">
        <f>'2024 Legal Max'!BT87</f>
        <v>0</v>
      </c>
      <c r="I90" s="299">
        <f>'2024 Legal Max'!BX87</f>
        <v>0</v>
      </c>
      <c r="J90" s="302">
        <f>IF('2024 Legal Max'!BZ87&gt;0,0.03504,0)</f>
        <v>0</v>
      </c>
      <c r="K90" s="299">
        <f t="shared" si="5"/>
        <v>1.0143310000000001</v>
      </c>
      <c r="L90" s="299">
        <f t="shared" si="6"/>
        <v>1.0143310000000001</v>
      </c>
      <c r="M90" s="303">
        <f>MAX('2024 Legal Max'!BQ87,'2024 Legal Max'!BU87,'2024 Legal Max'!BY87,'2024 Legal Max'!BZ87)</f>
        <v>74.400000000000006</v>
      </c>
      <c r="N90" s="303">
        <f>'2024 Legal Max'!U87*'Low-High ENRL- 2023 HSubSB 113'!L90</f>
        <v>74.400000000000006</v>
      </c>
      <c r="O90" s="303">
        <f t="shared" si="4"/>
        <v>0</v>
      </c>
    </row>
    <row r="91" spans="1:15">
      <c r="A91" s="255" t="s">
        <v>273</v>
      </c>
      <c r="B91" s="255" t="s">
        <v>3763</v>
      </c>
      <c r="C91" s="255" t="s">
        <v>38</v>
      </c>
      <c r="D91" s="255">
        <v>0</v>
      </c>
      <c r="E91" s="320">
        <f>IF(ISNA(VLOOKUP($A91,'Audit Values'!$A:$BZ,2,FALSE)),0,VLOOKUP($A91,'Audit Values'!$A:$BZ,78,FALSE))</f>
        <v>0</v>
      </c>
      <c r="F91" s="299">
        <v>0.45160400000000001</v>
      </c>
      <c r="G91" s="301">
        <f>IF('2024 Legal Max'!BQ88&gt;0,1.014331, 0)</f>
        <v>0</v>
      </c>
      <c r="H91" s="299">
        <f>'2024 Legal Max'!BT88</f>
        <v>0</v>
      </c>
      <c r="I91" s="299">
        <f>'2024 Legal Max'!BX88</f>
        <v>0.45394899999999999</v>
      </c>
      <c r="J91" s="302">
        <f>IF('2024 Legal Max'!BZ88&gt;0,0.03504,0)</f>
        <v>0</v>
      </c>
      <c r="K91" s="299">
        <f t="shared" si="5"/>
        <v>0.45394899999999999</v>
      </c>
      <c r="L91" s="299">
        <f t="shared" si="6"/>
        <v>0.45394899999999999</v>
      </c>
      <c r="M91" s="303">
        <f>MAX('2024 Legal Max'!BQ88,'2024 Legal Max'!BU88,'2024 Legal Max'!BY88,'2024 Legal Max'!BZ88)</f>
        <v>176.6</v>
      </c>
      <c r="N91" s="303">
        <f>'2024 Legal Max'!U88*'Low-High ENRL- 2023 HSubSB 113'!L91</f>
        <v>176.6</v>
      </c>
      <c r="O91" s="303">
        <f t="shared" si="4"/>
        <v>0</v>
      </c>
    </row>
    <row r="92" spans="1:15">
      <c r="A92" s="255" t="s">
        <v>274</v>
      </c>
      <c r="B92" s="255" t="s">
        <v>3764</v>
      </c>
      <c r="C92" s="255" t="s">
        <v>39</v>
      </c>
      <c r="D92" s="255">
        <v>0</v>
      </c>
      <c r="E92" s="320">
        <f>IF(ISNA(VLOOKUP($A92,'Audit Values'!$A:$BZ,2,FALSE)),0,VLOOKUP($A92,'Audit Values'!$A:$BZ,78,FALSE))</f>
        <v>0</v>
      </c>
      <c r="F92" s="299">
        <v>0.45955400000000002</v>
      </c>
      <c r="G92" s="301">
        <f>IF('2024 Legal Max'!BQ89&gt;0,1.014331, 0)</f>
        <v>0</v>
      </c>
      <c r="H92" s="299">
        <f>'2024 Legal Max'!BT89</f>
        <v>0</v>
      </c>
      <c r="I92" s="299">
        <f>'2024 Legal Max'!BX89</f>
        <v>0.45989400000000002</v>
      </c>
      <c r="J92" s="302">
        <f>IF('2024 Legal Max'!BZ89&gt;0,0.03504,0)</f>
        <v>0</v>
      </c>
      <c r="K92" s="299">
        <f t="shared" si="5"/>
        <v>0.45989400000000002</v>
      </c>
      <c r="L92" s="299">
        <f t="shared" si="6"/>
        <v>0.45989400000000002</v>
      </c>
      <c r="M92" s="303">
        <f>MAX('2024 Legal Max'!BQ89,'2024 Legal Max'!BU89,'2024 Legal Max'!BY89,'2024 Legal Max'!BZ89)</f>
        <v>170.9</v>
      </c>
      <c r="N92" s="303">
        <f>'2024 Legal Max'!U89*'Low-High ENRL- 2023 HSubSB 113'!L92</f>
        <v>170.9</v>
      </c>
      <c r="O92" s="303">
        <f t="shared" si="4"/>
        <v>0</v>
      </c>
    </row>
    <row r="93" spans="1:15">
      <c r="A93" s="255" t="s">
        <v>275</v>
      </c>
      <c r="B93" s="255" t="s">
        <v>3765</v>
      </c>
      <c r="C93" s="255" t="s">
        <v>39</v>
      </c>
      <c r="D93" s="255">
        <v>0</v>
      </c>
      <c r="E93" s="320">
        <f>IF(ISNA(VLOOKUP($A93,'Audit Values'!$A:$BZ,2,FALSE)),0,VLOOKUP($A93,'Audit Values'!$A:$BZ,78,FALSE))</f>
        <v>0</v>
      </c>
      <c r="F93" s="299">
        <v>0.97642600000000002</v>
      </c>
      <c r="G93" s="301">
        <f>IF('2024 Legal Max'!BQ90&gt;0,1.014331, 0)</f>
        <v>0</v>
      </c>
      <c r="H93" s="299">
        <f>'2024 Legal Max'!BT90</f>
        <v>1.0143310000000001</v>
      </c>
      <c r="I93" s="299">
        <f>'2024 Legal Max'!BX90</f>
        <v>0</v>
      </c>
      <c r="J93" s="302">
        <f>IF('2024 Legal Max'!BZ90&gt;0,0.03504,0)</f>
        <v>0</v>
      </c>
      <c r="K93" s="299">
        <f t="shared" si="5"/>
        <v>1.0143310000000001</v>
      </c>
      <c r="L93" s="299">
        <f t="shared" si="6"/>
        <v>1.0143310000000001</v>
      </c>
      <c r="M93" s="303">
        <f>MAX('2024 Legal Max'!BQ90,'2024 Legal Max'!BU90,'2024 Legal Max'!BY90,'2024 Legal Max'!BZ90)</f>
        <v>101.4</v>
      </c>
      <c r="N93" s="303">
        <f>'2024 Legal Max'!U90*'Low-High ENRL- 2023 HSubSB 113'!L93</f>
        <v>101.4</v>
      </c>
      <c r="O93" s="303">
        <f t="shared" si="4"/>
        <v>0</v>
      </c>
    </row>
    <row r="94" spans="1:15">
      <c r="A94" s="255" t="s">
        <v>276</v>
      </c>
      <c r="B94" s="255" t="s">
        <v>3766</v>
      </c>
      <c r="C94" s="255" t="s">
        <v>40</v>
      </c>
      <c r="D94" s="255">
        <v>0</v>
      </c>
      <c r="E94" s="320">
        <f>IF(ISNA(VLOOKUP($A94,'Audit Values'!$A:$BZ,2,FALSE)),0,VLOOKUP($A94,'Audit Values'!$A:$BZ,78,FALSE))</f>
        <v>0</v>
      </c>
      <c r="F94" s="299">
        <v>0.466451</v>
      </c>
      <c r="G94" s="301">
        <f>IF('2024 Legal Max'!BQ91&gt;0,1.014331, 0)</f>
        <v>0</v>
      </c>
      <c r="H94" s="299">
        <f>'2024 Legal Max'!BT91</f>
        <v>0</v>
      </c>
      <c r="I94" s="299">
        <f>'2024 Legal Max'!BX91</f>
        <v>0.46227200000000002</v>
      </c>
      <c r="J94" s="302">
        <f>IF('2024 Legal Max'!BZ91&gt;0,0.03504,0)</f>
        <v>0</v>
      </c>
      <c r="K94" s="299">
        <f t="shared" si="5"/>
        <v>0.46227200000000002</v>
      </c>
      <c r="L94" s="299">
        <f t="shared" si="6"/>
        <v>0.46227200000000002</v>
      </c>
      <c r="M94" s="303">
        <f>MAX('2024 Legal Max'!BQ91,'2024 Legal Max'!BU91,'2024 Legal Max'!BY91,'2024 Legal Max'!BZ91)</f>
        <v>168.5</v>
      </c>
      <c r="N94" s="303">
        <f>'2024 Legal Max'!U91*'Low-High ENRL- 2023 HSubSB 113'!L94</f>
        <v>168.5</v>
      </c>
      <c r="O94" s="303">
        <f t="shared" si="4"/>
        <v>0</v>
      </c>
    </row>
    <row r="95" spans="1:15">
      <c r="A95" s="255" t="s">
        <v>277</v>
      </c>
      <c r="B95" s="255" t="s">
        <v>3767</v>
      </c>
      <c r="C95" s="255" t="s">
        <v>41</v>
      </c>
      <c r="D95" s="255">
        <v>0</v>
      </c>
      <c r="E95" s="320">
        <f>IF(ISNA(VLOOKUP($A95,'Audit Values'!$A:$BZ,2,FALSE)),0,VLOOKUP($A95,'Audit Values'!$A:$BZ,78,FALSE))</f>
        <v>0</v>
      </c>
      <c r="F95" s="299">
        <v>0.91625400000000001</v>
      </c>
      <c r="G95" s="301">
        <f>IF('2024 Legal Max'!BQ92&gt;0,1.014331, 0)</f>
        <v>0</v>
      </c>
      <c r="H95" s="299">
        <f>'2024 Legal Max'!BT92</f>
        <v>0.92022999999999999</v>
      </c>
      <c r="I95" s="299">
        <f>'2024 Legal Max'!BX92</f>
        <v>0</v>
      </c>
      <c r="J95" s="302">
        <f>IF('2024 Legal Max'!BZ92&gt;0,0.03504,0)</f>
        <v>0</v>
      </c>
      <c r="K95" s="299">
        <f t="shared" si="5"/>
        <v>0.92022999999999999</v>
      </c>
      <c r="L95" s="299">
        <f t="shared" si="6"/>
        <v>0.92022999999999999</v>
      </c>
      <c r="M95" s="303">
        <f>MAX('2024 Legal Max'!BQ92,'2024 Legal Max'!BU92,'2024 Legal Max'!BY92,'2024 Legal Max'!BZ92)</f>
        <v>124.7</v>
      </c>
      <c r="N95" s="303">
        <f>'2024 Legal Max'!U92*'Low-High ENRL- 2023 HSubSB 113'!L95</f>
        <v>124.7</v>
      </c>
      <c r="O95" s="303">
        <f t="shared" si="4"/>
        <v>0</v>
      </c>
    </row>
    <row r="96" spans="1:15">
      <c r="A96" s="255" t="s">
        <v>278</v>
      </c>
      <c r="B96" s="255" t="s">
        <v>3768</v>
      </c>
      <c r="C96" s="255" t="s">
        <v>41</v>
      </c>
      <c r="D96" s="255">
        <v>0</v>
      </c>
      <c r="E96" s="320">
        <f>IF(ISNA(VLOOKUP($A96,'Audit Values'!$A:$BZ,2,FALSE)),0,VLOOKUP($A96,'Audit Values'!$A:$BZ,78,FALSE))</f>
        <v>0</v>
      </c>
      <c r="F96" s="299">
        <v>0.45860299999999998</v>
      </c>
      <c r="G96" s="301">
        <f>IF('2024 Legal Max'!BQ93&gt;0,1.014331, 0)</f>
        <v>0</v>
      </c>
      <c r="H96" s="299">
        <f>'2024 Legal Max'!BT93</f>
        <v>0</v>
      </c>
      <c r="I96" s="299">
        <f>'2024 Legal Max'!BX93</f>
        <v>0.45843299999999998</v>
      </c>
      <c r="J96" s="302">
        <f>IF('2024 Legal Max'!BZ93&gt;0,0.03504,0)</f>
        <v>0</v>
      </c>
      <c r="K96" s="299">
        <f t="shared" si="5"/>
        <v>0.45843299999999998</v>
      </c>
      <c r="L96" s="299">
        <f t="shared" si="6"/>
        <v>0.45843299999999998</v>
      </c>
      <c r="M96" s="303">
        <f>MAX('2024 Legal Max'!BQ93,'2024 Legal Max'!BU93,'2024 Legal Max'!BY93,'2024 Legal Max'!BZ93)</f>
        <v>172.3</v>
      </c>
      <c r="N96" s="303">
        <f>'2024 Legal Max'!U93*'Low-High ENRL- 2023 HSubSB 113'!L96</f>
        <v>172.3</v>
      </c>
      <c r="O96" s="303">
        <f t="shared" si="4"/>
        <v>0</v>
      </c>
    </row>
    <row r="97" spans="1:15">
      <c r="A97" s="255" t="s">
        <v>279</v>
      </c>
      <c r="B97" s="255" t="s">
        <v>3769</v>
      </c>
      <c r="C97" s="255" t="s">
        <v>42</v>
      </c>
      <c r="D97" s="255">
        <v>0</v>
      </c>
      <c r="E97" s="320">
        <f>IF(ISNA(VLOOKUP($A97,'Audit Values'!$A:$BZ,2,FALSE)),0,VLOOKUP($A97,'Audit Values'!$A:$BZ,78,FALSE))</f>
        <v>0</v>
      </c>
      <c r="F97" s="299">
        <v>0.37631599999999998</v>
      </c>
      <c r="G97" s="301">
        <f>IF('2024 Legal Max'!BQ94&gt;0,1.014331, 0)</f>
        <v>0</v>
      </c>
      <c r="H97" s="299">
        <f>'2024 Legal Max'!BT94</f>
        <v>0</v>
      </c>
      <c r="I97" s="299">
        <f>'2024 Legal Max'!BX94</f>
        <v>0.37648599999999999</v>
      </c>
      <c r="J97" s="302">
        <f>IF('2024 Legal Max'!BZ94&gt;0,0.03504,0)</f>
        <v>0</v>
      </c>
      <c r="K97" s="299">
        <f t="shared" si="5"/>
        <v>0.37648599999999999</v>
      </c>
      <c r="L97" s="299">
        <f t="shared" si="6"/>
        <v>0.37648599999999999</v>
      </c>
      <c r="M97" s="303">
        <f>MAX('2024 Legal Max'!BQ94,'2024 Legal Max'!BU94,'2024 Legal Max'!BY94,'2024 Legal Max'!BZ94)</f>
        <v>232.3</v>
      </c>
      <c r="N97" s="303">
        <f>'2024 Legal Max'!U94*'Low-High ENRL- 2023 HSubSB 113'!L97</f>
        <v>232.3</v>
      </c>
      <c r="O97" s="303">
        <f t="shared" si="4"/>
        <v>0</v>
      </c>
    </row>
    <row r="98" spans="1:15">
      <c r="A98" s="255" t="s">
        <v>280</v>
      </c>
      <c r="B98" s="255" t="s">
        <v>3770</v>
      </c>
      <c r="C98" s="255" t="s">
        <v>42</v>
      </c>
      <c r="D98" s="255">
        <v>0</v>
      </c>
      <c r="E98" s="320">
        <f>IF(ISNA(VLOOKUP($A98,'Audit Values'!$A:$BZ,2,FALSE)),0,VLOOKUP($A98,'Audit Values'!$A:$BZ,78,FALSE))</f>
        <v>0</v>
      </c>
      <c r="F98" s="299">
        <v>0.41511500000000001</v>
      </c>
      <c r="G98" s="301">
        <f>IF('2024 Legal Max'!BQ95&gt;0,1.014331, 0)</f>
        <v>0</v>
      </c>
      <c r="H98" s="299">
        <f>'2024 Legal Max'!BT95</f>
        <v>0</v>
      </c>
      <c r="I98" s="299">
        <f>'2024 Legal Max'!BX95</f>
        <v>0.40916999999999998</v>
      </c>
      <c r="J98" s="302">
        <f>IF('2024 Legal Max'!BZ95&gt;0,0.03504,0)</f>
        <v>0</v>
      </c>
      <c r="K98" s="299">
        <f t="shared" si="5"/>
        <v>0.40916999999999998</v>
      </c>
      <c r="L98" s="299">
        <f t="shared" si="6"/>
        <v>0.40916999999999998</v>
      </c>
      <c r="M98" s="303">
        <f>MAX('2024 Legal Max'!BQ95,'2024 Legal Max'!BU95,'2024 Legal Max'!BY95,'2024 Legal Max'!BZ95)</f>
        <v>213.1</v>
      </c>
      <c r="N98" s="303">
        <f>'2024 Legal Max'!U95*'Low-High ENRL- 2023 HSubSB 113'!L98</f>
        <v>213.1</v>
      </c>
      <c r="O98" s="303">
        <f t="shared" si="4"/>
        <v>0</v>
      </c>
    </row>
    <row r="99" spans="1:15">
      <c r="A99" s="255" t="s">
        <v>281</v>
      </c>
      <c r="B99" s="255" t="s">
        <v>3771</v>
      </c>
      <c r="C99" s="255" t="s">
        <v>42</v>
      </c>
      <c r="D99" s="255">
        <v>0</v>
      </c>
      <c r="E99" s="320">
        <f>IF(ISNA(VLOOKUP($A99,'Audit Values'!$A:$BZ,2,FALSE)),0,VLOOKUP($A99,'Audit Values'!$A:$BZ,78,FALSE))</f>
        <v>0</v>
      </c>
      <c r="F99" s="299">
        <v>0.32994000000000001</v>
      </c>
      <c r="G99" s="301">
        <f>IF('2024 Legal Max'!BQ96&gt;0,1.014331, 0)</f>
        <v>0</v>
      </c>
      <c r="H99" s="299">
        <f>'2024 Legal Max'!BT96</f>
        <v>0</v>
      </c>
      <c r="I99" s="299">
        <f>'2024 Legal Max'!BX96</f>
        <v>0.31855899999999998</v>
      </c>
      <c r="J99" s="302">
        <f>IF('2024 Legal Max'!BZ96&gt;0,0.03504,0)</f>
        <v>0</v>
      </c>
      <c r="K99" s="299">
        <f t="shared" si="5"/>
        <v>0.31855899999999998</v>
      </c>
      <c r="L99" s="299">
        <f t="shared" si="6"/>
        <v>0.31855899999999998</v>
      </c>
      <c r="M99" s="303">
        <f>MAX('2024 Legal Max'!BQ96,'2024 Legal Max'!BU96,'2024 Legal Max'!BY96,'2024 Legal Max'!BZ96)</f>
        <v>250.9</v>
      </c>
      <c r="N99" s="303">
        <f>'2024 Legal Max'!U96*'Low-High ENRL- 2023 HSubSB 113'!L99</f>
        <v>250.9</v>
      </c>
      <c r="O99" s="303">
        <f t="shared" si="4"/>
        <v>0</v>
      </c>
    </row>
    <row r="100" spans="1:15">
      <c r="A100" s="255" t="s">
        <v>282</v>
      </c>
      <c r="B100" s="255" t="s">
        <v>25</v>
      </c>
      <c r="C100" s="255" t="s">
        <v>42</v>
      </c>
      <c r="D100" s="255">
        <v>0</v>
      </c>
      <c r="E100" s="320">
        <f>IF(ISNA(VLOOKUP($A100,'Audit Values'!$A:$BZ,2,FALSE)),0,VLOOKUP($A100,'Audit Values'!$A:$BZ,78,FALSE))</f>
        <v>0</v>
      </c>
      <c r="F100" s="300">
        <v>3.5040000000000002E-2</v>
      </c>
      <c r="G100" s="301">
        <f>IF('2024 Legal Max'!BQ97&gt;0,1.014331, 0)</f>
        <v>0</v>
      </c>
      <c r="H100" s="299">
        <f>'2024 Legal Max'!BT97</f>
        <v>0</v>
      </c>
      <c r="I100" s="299">
        <f>'2024 Legal Max'!BX97</f>
        <v>0</v>
      </c>
      <c r="J100" s="302">
        <f>IF('2024 Legal Max'!BZ97&gt;0,0.03504,0)</f>
        <v>3.5040000000000002E-2</v>
      </c>
      <c r="K100" s="299">
        <f t="shared" si="5"/>
        <v>3.5040000000000002E-2</v>
      </c>
      <c r="L100" s="299">
        <f t="shared" si="6"/>
        <v>3.5040000000000002E-2</v>
      </c>
      <c r="M100" s="303">
        <f>MAX('2024 Legal Max'!BQ97,'2024 Legal Max'!BU97,'2024 Legal Max'!BY97,'2024 Legal Max'!BZ97)</f>
        <v>78.8</v>
      </c>
      <c r="N100" s="303">
        <f>'2024 Legal Max'!U97*'Low-High ENRL- 2023 HSubSB 113'!L100</f>
        <v>78.8</v>
      </c>
      <c r="O100" s="303">
        <f t="shared" si="4"/>
        <v>0</v>
      </c>
    </row>
    <row r="101" spans="1:15">
      <c r="A101" s="255" t="s">
        <v>283</v>
      </c>
      <c r="B101" s="255" t="s">
        <v>3772</v>
      </c>
      <c r="C101" s="255" t="s">
        <v>43</v>
      </c>
      <c r="D101" s="255">
        <v>0</v>
      </c>
      <c r="E101" s="320">
        <f>IF(ISNA(VLOOKUP($A101,'Audit Values'!$A:$BZ,2,FALSE)),0,VLOOKUP($A101,'Audit Values'!$A:$BZ,78,FALSE))</f>
        <v>0</v>
      </c>
      <c r="F101" s="299">
        <v>1.0143310000000001</v>
      </c>
      <c r="G101" s="301">
        <f>IF('2024 Legal Max'!BQ98&gt;0,1.014331, 0)</f>
        <v>1.0143310000000001</v>
      </c>
      <c r="H101" s="299">
        <f>'2024 Legal Max'!BT98</f>
        <v>0</v>
      </c>
      <c r="I101" s="299">
        <f>'2024 Legal Max'!BX98</f>
        <v>0</v>
      </c>
      <c r="J101" s="302">
        <f>IF('2024 Legal Max'!BZ98&gt;0,0.03504,0)</f>
        <v>0</v>
      </c>
      <c r="K101" s="299">
        <f t="shared" si="5"/>
        <v>1.0143310000000001</v>
      </c>
      <c r="L101" s="299">
        <f t="shared" si="6"/>
        <v>1.0143310000000001</v>
      </c>
      <c r="M101" s="303">
        <f>MAX('2024 Legal Max'!BQ98,'2024 Legal Max'!BU98,'2024 Legal Max'!BY98,'2024 Legal Max'!BZ98)</f>
        <v>64.900000000000006</v>
      </c>
      <c r="N101" s="303">
        <f>'2024 Legal Max'!U98*'Low-High ENRL- 2023 HSubSB 113'!L101</f>
        <v>64.900000000000006</v>
      </c>
      <c r="O101" s="303">
        <f t="shared" si="4"/>
        <v>0</v>
      </c>
    </row>
    <row r="102" spans="1:15">
      <c r="A102" s="255" t="s">
        <v>284</v>
      </c>
      <c r="B102" s="255" t="s">
        <v>3773</v>
      </c>
      <c r="C102" s="255" t="s">
        <v>43</v>
      </c>
      <c r="D102" s="255">
        <v>0</v>
      </c>
      <c r="E102" s="320">
        <f>IF(ISNA(VLOOKUP($A102,'Audit Values'!$A:$BZ,2,FALSE)),0,VLOOKUP($A102,'Audit Values'!$A:$BZ,78,FALSE))</f>
        <v>0</v>
      </c>
      <c r="F102" s="299">
        <v>0.99577599999999999</v>
      </c>
      <c r="G102" s="301">
        <f>IF('2024 Legal Max'!BQ99&gt;0,1.014331, 0)</f>
        <v>0</v>
      </c>
      <c r="H102" s="299">
        <f>'2024 Legal Max'!BT99</f>
        <v>0.98914899999999994</v>
      </c>
      <c r="I102" s="299">
        <f>'2024 Legal Max'!BX99</f>
        <v>0</v>
      </c>
      <c r="J102" s="302">
        <f>IF('2024 Legal Max'!BZ99&gt;0,0.03504,0)</f>
        <v>0</v>
      </c>
      <c r="K102" s="299">
        <f t="shared" si="5"/>
        <v>0.98914899999999994</v>
      </c>
      <c r="L102" s="299">
        <f t="shared" si="6"/>
        <v>0.98914899999999994</v>
      </c>
      <c r="M102" s="303">
        <f>MAX('2024 Legal Max'!BQ99,'2024 Legal Max'!BU99,'2024 Legal Max'!BY99,'2024 Legal Max'!BZ99)</f>
        <v>108.3</v>
      </c>
      <c r="N102" s="303">
        <f>'2024 Legal Max'!U99*'Low-High ENRL- 2023 HSubSB 113'!L102</f>
        <v>108.3</v>
      </c>
      <c r="O102" s="303">
        <f t="shared" si="4"/>
        <v>0</v>
      </c>
    </row>
    <row r="103" spans="1:15">
      <c r="A103" s="255" t="s">
        <v>285</v>
      </c>
      <c r="B103" s="255" t="s">
        <v>3774</v>
      </c>
      <c r="C103" s="255" t="s">
        <v>43</v>
      </c>
      <c r="D103" s="255">
        <v>0</v>
      </c>
      <c r="E103" s="320">
        <f>IF(ISNA(VLOOKUP($A103,'Audit Values'!$A:$BZ,2,FALSE)),0,VLOOKUP($A103,'Audit Values'!$A:$BZ,78,FALSE))</f>
        <v>0</v>
      </c>
      <c r="F103" s="299">
        <v>0.481298</v>
      </c>
      <c r="G103" s="301">
        <f>IF('2024 Legal Max'!BQ100&gt;0,1.014331, 0)</f>
        <v>0</v>
      </c>
      <c r="H103" s="299">
        <f>'2024 Legal Max'!BT100</f>
        <v>0</v>
      </c>
      <c r="I103" s="299">
        <f>'2024 Legal Max'!BX100</f>
        <v>0.48027900000000001</v>
      </c>
      <c r="J103" s="302">
        <f>IF('2024 Legal Max'!BZ100&gt;0,0.03504,0)</f>
        <v>0</v>
      </c>
      <c r="K103" s="299">
        <f t="shared" si="5"/>
        <v>0.48027900000000001</v>
      </c>
      <c r="L103" s="299">
        <f t="shared" si="6"/>
        <v>0.48027900000000001</v>
      </c>
      <c r="M103" s="303">
        <f>MAX('2024 Legal Max'!BQ100,'2024 Legal Max'!BU100,'2024 Legal Max'!BY100,'2024 Legal Max'!BZ100)</f>
        <v>149.6</v>
      </c>
      <c r="N103" s="303">
        <f>'2024 Legal Max'!U100*'Low-High ENRL- 2023 HSubSB 113'!L103</f>
        <v>149.6</v>
      </c>
      <c r="O103" s="303">
        <f t="shared" si="4"/>
        <v>0</v>
      </c>
    </row>
    <row r="104" spans="1:15">
      <c r="A104" s="255" t="s">
        <v>286</v>
      </c>
      <c r="B104" s="255" t="s">
        <v>3775</v>
      </c>
      <c r="C104" s="255" t="s">
        <v>44</v>
      </c>
      <c r="D104" s="255">
        <v>0</v>
      </c>
      <c r="E104" s="320">
        <f>IF(ISNA(VLOOKUP($A104,'Audit Values'!$A:$BZ,2,FALSE)),0,VLOOKUP($A104,'Audit Values'!$A:$BZ,78,FALSE))</f>
        <v>0</v>
      </c>
      <c r="F104" s="299">
        <v>0.459928</v>
      </c>
      <c r="G104" s="301">
        <f>IF('2024 Legal Max'!BQ101&gt;0,1.014331, 0)</f>
        <v>0</v>
      </c>
      <c r="H104" s="299">
        <f>'2024 Legal Max'!BT101</f>
        <v>0</v>
      </c>
      <c r="I104" s="299">
        <f>'2024 Legal Max'!BX101</f>
        <v>0.45690399999999998</v>
      </c>
      <c r="J104" s="302">
        <f>IF('2024 Legal Max'!BZ101&gt;0,0.03504,0)</f>
        <v>0</v>
      </c>
      <c r="K104" s="299">
        <f t="shared" si="5"/>
        <v>0.45690399999999998</v>
      </c>
      <c r="L104" s="299">
        <f t="shared" si="6"/>
        <v>0.45690399999999998</v>
      </c>
      <c r="M104" s="303">
        <f>MAX('2024 Legal Max'!BQ101,'2024 Legal Max'!BU101,'2024 Legal Max'!BY101,'2024 Legal Max'!BZ101)</f>
        <v>173.8</v>
      </c>
      <c r="N104" s="303">
        <f>'2024 Legal Max'!U101*'Low-High ENRL- 2023 HSubSB 113'!L104</f>
        <v>173.8</v>
      </c>
      <c r="O104" s="303">
        <f t="shared" si="4"/>
        <v>0</v>
      </c>
    </row>
    <row r="105" spans="1:15">
      <c r="A105" s="255" t="s">
        <v>287</v>
      </c>
      <c r="B105" s="255" t="s">
        <v>3776</v>
      </c>
      <c r="C105" s="255" t="s">
        <v>6</v>
      </c>
      <c r="D105" s="255">
        <v>0</v>
      </c>
      <c r="E105" s="320">
        <f>IF(ISNA(VLOOKUP($A105,'Audit Values'!$A:$BZ,2,FALSE)),0,VLOOKUP($A105,'Audit Values'!$A:$BZ,78,FALSE))</f>
        <v>0</v>
      </c>
      <c r="F105" s="299">
        <v>0.53057399999999999</v>
      </c>
      <c r="G105" s="301">
        <f>IF('2024 Legal Max'!BQ102&gt;0,1.014331, 0)</f>
        <v>0</v>
      </c>
      <c r="H105" s="299">
        <f>'2024 Legal Max'!BT102</f>
        <v>0.48683700000000002</v>
      </c>
      <c r="I105" s="299">
        <f>'2024 Legal Max'!BX102</f>
        <v>0</v>
      </c>
      <c r="J105" s="302">
        <f>IF('2024 Legal Max'!BZ102&gt;0,0.03504,0)</f>
        <v>0</v>
      </c>
      <c r="K105" s="299">
        <f t="shared" si="5"/>
        <v>0.48683700000000002</v>
      </c>
      <c r="L105" s="299">
        <f t="shared" si="6"/>
        <v>0.48683700000000002</v>
      </c>
      <c r="M105" s="303">
        <f>MAX('2024 Legal Max'!BQ102,'2024 Legal Max'!BU102,'2024 Legal Max'!BY102,'2024 Legal Max'!BZ102)</f>
        <v>145.6</v>
      </c>
      <c r="N105" s="303">
        <f>'2024 Legal Max'!U102*'Low-High ENRL- 2023 HSubSB 113'!L105</f>
        <v>145.6</v>
      </c>
      <c r="O105" s="303">
        <f t="shared" si="4"/>
        <v>0</v>
      </c>
    </row>
    <row r="106" spans="1:15">
      <c r="A106" s="255" t="s">
        <v>288</v>
      </c>
      <c r="B106" s="255" t="s">
        <v>45</v>
      </c>
      <c r="C106" s="255" t="s">
        <v>45</v>
      </c>
      <c r="D106" s="255">
        <v>0</v>
      </c>
      <c r="E106" s="320">
        <f>IF(ISNA(VLOOKUP($A106,'Audit Values'!$A:$BZ,2,FALSE)),0,VLOOKUP($A106,'Audit Values'!$A:$BZ,78,FALSE))</f>
        <v>1</v>
      </c>
      <c r="F106" s="299">
        <v>0.47790100000000002</v>
      </c>
      <c r="G106" s="301">
        <f>IF('2024 Legal Max'!BQ103&gt;0,1.014331, 0)</f>
        <v>0</v>
      </c>
      <c r="H106" s="299">
        <f>'2024 Legal Max'!BT103</f>
        <v>0</v>
      </c>
      <c r="I106" s="299">
        <f>'2024 Legal Max'!BX103</f>
        <v>0.47739100000000001</v>
      </c>
      <c r="J106" s="302">
        <f>IF('2024 Legal Max'!BZ103&gt;0,0.03504,0)</f>
        <v>0</v>
      </c>
      <c r="K106" s="299">
        <f t="shared" si="5"/>
        <v>0.47739100000000001</v>
      </c>
      <c r="L106" s="299">
        <f t="shared" si="6"/>
        <v>0.47790100000000002</v>
      </c>
      <c r="M106" s="303">
        <f>MAX('2024 Legal Max'!BQ103,'2024 Legal Max'!BU103,'2024 Legal Max'!BY103,'2024 Legal Max'!BZ103)</f>
        <v>152.80000000000001</v>
      </c>
      <c r="N106" s="303">
        <f>'2024 Legal Max'!U103*'Low-High ENRL- 2023 HSubSB 113'!L106</f>
        <v>152.9</v>
      </c>
      <c r="O106" s="303">
        <f t="shared" si="4"/>
        <v>0.1</v>
      </c>
    </row>
    <row r="107" spans="1:15">
      <c r="A107" s="255" t="s">
        <v>289</v>
      </c>
      <c r="B107" s="255" t="s">
        <v>3777</v>
      </c>
      <c r="C107" s="255" t="s">
        <v>45</v>
      </c>
      <c r="D107" s="255">
        <v>1</v>
      </c>
      <c r="E107" s="320">
        <f>IF(ISNA(VLOOKUP($A107,'Audit Values'!$A:$BZ,2,FALSE)),0,VLOOKUP($A107,'Audit Values'!$A:$BZ,78,FALSE))</f>
        <v>1</v>
      </c>
      <c r="F107" s="299">
        <v>0.66019399999999995</v>
      </c>
      <c r="G107" s="301">
        <f>IF('2024 Legal Max'!BQ104&gt;0,1.014331, 0)</f>
        <v>0</v>
      </c>
      <c r="H107" s="299">
        <f>'2024 Legal Max'!BT104</f>
        <v>0.63289200000000001</v>
      </c>
      <c r="I107" s="299">
        <f>'2024 Legal Max'!BX104</f>
        <v>0</v>
      </c>
      <c r="J107" s="302">
        <f>IF('2024 Legal Max'!BZ104&gt;0,0.03504,0)</f>
        <v>0</v>
      </c>
      <c r="K107" s="299">
        <f t="shared" si="5"/>
        <v>0.63289200000000001</v>
      </c>
      <c r="L107" s="299">
        <f t="shared" si="6"/>
        <v>0.66019399999999995</v>
      </c>
      <c r="M107" s="303">
        <f>MAX('2024 Legal Max'!BQ104,'2024 Legal Max'!BU104,'2024 Legal Max'!BY104,'2024 Legal Max'!BZ104)</f>
        <v>154.4</v>
      </c>
      <c r="N107" s="303">
        <f>'2024 Legal Max'!U104*'Low-High ENRL- 2023 HSubSB 113'!L107</f>
        <v>161</v>
      </c>
      <c r="O107" s="303">
        <f t="shared" si="4"/>
        <v>6.6</v>
      </c>
    </row>
    <row r="108" spans="1:15">
      <c r="A108" s="255" t="s">
        <v>290</v>
      </c>
      <c r="B108" s="255" t="s">
        <v>3778</v>
      </c>
      <c r="C108" s="255" t="s">
        <v>46</v>
      </c>
      <c r="D108" s="255">
        <v>0</v>
      </c>
      <c r="E108" s="320">
        <f>IF(ISNA(VLOOKUP($A108,'Audit Values'!$A:$BZ,2,FALSE)),0,VLOOKUP($A108,'Audit Values'!$A:$BZ,78,FALSE))</f>
        <v>0</v>
      </c>
      <c r="F108" s="299">
        <v>0.47943000000000002</v>
      </c>
      <c r="G108" s="301">
        <f>IF('2024 Legal Max'!BQ105&gt;0,1.014331, 0)</f>
        <v>0</v>
      </c>
      <c r="H108" s="299">
        <f>'2024 Legal Max'!BT105</f>
        <v>0</v>
      </c>
      <c r="I108" s="299">
        <f>'2024 Legal Max'!BX105</f>
        <v>0.48061900000000002</v>
      </c>
      <c r="J108" s="302">
        <f>IF('2024 Legal Max'!BZ105&gt;0,0.03504,0)</f>
        <v>0</v>
      </c>
      <c r="K108" s="299">
        <f t="shared" si="5"/>
        <v>0.48061900000000002</v>
      </c>
      <c r="L108" s="299">
        <f t="shared" si="6"/>
        <v>0.48061900000000002</v>
      </c>
      <c r="M108" s="303">
        <f>MAX('2024 Legal Max'!BQ105,'2024 Legal Max'!BU105,'2024 Legal Max'!BY105,'2024 Legal Max'!BZ105)</f>
        <v>149.19999999999999</v>
      </c>
      <c r="N108" s="303">
        <f>'2024 Legal Max'!U105*'Low-High ENRL- 2023 HSubSB 113'!L108</f>
        <v>149.19999999999999</v>
      </c>
      <c r="O108" s="303">
        <f t="shared" si="4"/>
        <v>0</v>
      </c>
    </row>
    <row r="109" spans="1:15">
      <c r="A109" s="255" t="s">
        <v>291</v>
      </c>
      <c r="B109" s="255" t="s">
        <v>3779</v>
      </c>
      <c r="C109" s="255" t="s">
        <v>47</v>
      </c>
      <c r="D109" s="255">
        <v>0</v>
      </c>
      <c r="E109" s="320">
        <f>IF(ISNA(VLOOKUP($A109,'Audit Values'!$A:$BZ,2,FALSE)),0,VLOOKUP($A109,'Audit Values'!$A:$BZ,78,FALSE))</f>
        <v>0</v>
      </c>
      <c r="F109" s="299">
        <v>0.51917599999999997</v>
      </c>
      <c r="G109" s="301">
        <f>IF('2024 Legal Max'!BQ106&gt;0,1.014331, 0)</f>
        <v>0</v>
      </c>
      <c r="H109" s="299">
        <f>'2024 Legal Max'!BT106</f>
        <v>0.53057399999999999</v>
      </c>
      <c r="I109" s="299">
        <f>'2024 Legal Max'!BX106</f>
        <v>0</v>
      </c>
      <c r="J109" s="302">
        <f>IF('2024 Legal Max'!BZ106&gt;0,0.03504,0)</f>
        <v>0</v>
      </c>
      <c r="K109" s="299">
        <f t="shared" si="5"/>
        <v>0.53057399999999999</v>
      </c>
      <c r="L109" s="299">
        <f t="shared" si="6"/>
        <v>0.53057399999999999</v>
      </c>
      <c r="M109" s="303">
        <f>MAX('2024 Legal Max'!BQ106,'2024 Legal Max'!BU106,'2024 Legal Max'!BY106,'2024 Legal Max'!BZ106)</f>
        <v>149.9</v>
      </c>
      <c r="N109" s="303">
        <f>'2024 Legal Max'!U106*'Low-High ENRL- 2023 HSubSB 113'!L109</f>
        <v>149.9</v>
      </c>
      <c r="O109" s="303">
        <f t="shared" si="4"/>
        <v>0</v>
      </c>
    </row>
    <row r="110" spans="1:15">
      <c r="A110" s="255" t="s">
        <v>292</v>
      </c>
      <c r="B110" s="255" t="s">
        <v>3780</v>
      </c>
      <c r="C110" s="255" t="s">
        <v>48</v>
      </c>
      <c r="D110" s="255">
        <v>0</v>
      </c>
      <c r="E110" s="320">
        <f>IF(ISNA(VLOOKUP($A110,'Audit Values'!$A:$BZ,2,FALSE)),0,VLOOKUP($A110,'Audit Values'!$A:$BZ,78,FALSE))</f>
        <v>0</v>
      </c>
      <c r="F110" s="300">
        <v>3.5040000000000002E-2</v>
      </c>
      <c r="G110" s="301">
        <f>IF('2024 Legal Max'!BQ107&gt;0,1.014331, 0)</f>
        <v>0</v>
      </c>
      <c r="H110" s="299">
        <f>'2024 Legal Max'!BT107</f>
        <v>0</v>
      </c>
      <c r="I110" s="299">
        <f>'2024 Legal Max'!BX107</f>
        <v>0</v>
      </c>
      <c r="J110" s="302">
        <f>IF('2024 Legal Max'!BZ107&gt;0,0.03504,0)</f>
        <v>3.5040000000000002E-2</v>
      </c>
      <c r="K110" s="299">
        <f t="shared" si="5"/>
        <v>3.5040000000000002E-2</v>
      </c>
      <c r="L110" s="299">
        <f t="shared" si="6"/>
        <v>3.5040000000000002E-2</v>
      </c>
      <c r="M110" s="303">
        <f>MAX('2024 Legal Max'!BQ107,'2024 Legal Max'!BU107,'2024 Legal Max'!BY107,'2024 Legal Max'!BZ107)</f>
        <v>230.8</v>
      </c>
      <c r="N110" s="303">
        <f>'2024 Legal Max'!U107*'Low-High ENRL- 2023 HSubSB 113'!L110</f>
        <v>230.8</v>
      </c>
      <c r="O110" s="303">
        <f t="shared" si="4"/>
        <v>0</v>
      </c>
    </row>
    <row r="111" spans="1:15">
      <c r="A111" s="255" t="s">
        <v>293</v>
      </c>
      <c r="B111" s="255" t="s">
        <v>3781</v>
      </c>
      <c r="C111" s="255" t="s">
        <v>48</v>
      </c>
      <c r="D111" s="255">
        <v>0</v>
      </c>
      <c r="E111" s="320">
        <f>IF(ISNA(VLOOKUP($A111,'Audit Values'!$A:$BZ,2,FALSE)),0,VLOOKUP($A111,'Audit Values'!$A:$BZ,78,FALSE))</f>
        <v>0</v>
      </c>
      <c r="F111" s="299">
        <v>0.356373</v>
      </c>
      <c r="G111" s="301">
        <f>IF('2024 Legal Max'!BQ108&gt;0,1.014331, 0)</f>
        <v>0</v>
      </c>
      <c r="H111" s="299">
        <f>'2024 Legal Max'!BT108</f>
        <v>0</v>
      </c>
      <c r="I111" s="299">
        <f>'2024 Legal Max'!BX108</f>
        <v>0.35559099999999999</v>
      </c>
      <c r="J111" s="302">
        <f>IF('2024 Legal Max'!BZ108&gt;0,0.03504,0)</f>
        <v>0</v>
      </c>
      <c r="K111" s="299">
        <f t="shared" si="5"/>
        <v>0.35559099999999999</v>
      </c>
      <c r="L111" s="299">
        <f t="shared" si="6"/>
        <v>0.35559099999999999</v>
      </c>
      <c r="M111" s="303">
        <f>MAX('2024 Legal Max'!BQ108,'2024 Legal Max'!BU108,'2024 Legal Max'!BY108,'2024 Legal Max'!BZ108)</f>
        <v>241.3</v>
      </c>
      <c r="N111" s="303">
        <f>'2024 Legal Max'!U108*'Low-High ENRL- 2023 HSubSB 113'!L111</f>
        <v>241.3</v>
      </c>
      <c r="O111" s="303">
        <f t="shared" si="4"/>
        <v>0</v>
      </c>
    </row>
    <row r="112" spans="1:15">
      <c r="A112" s="255" t="s">
        <v>294</v>
      </c>
      <c r="B112" s="255" t="s">
        <v>3782</v>
      </c>
      <c r="C112" s="255" t="s">
        <v>48</v>
      </c>
      <c r="D112" s="255">
        <v>0</v>
      </c>
      <c r="E112" s="320">
        <f>IF(ISNA(VLOOKUP($A112,'Audit Values'!$A:$BZ,2,FALSE)),0,VLOOKUP($A112,'Audit Values'!$A:$BZ,78,FALSE))</f>
        <v>0</v>
      </c>
      <c r="F112" s="299">
        <v>0.429147</v>
      </c>
      <c r="G112" s="301">
        <f>IF('2024 Legal Max'!BQ109&gt;0,1.014331, 0)</f>
        <v>0</v>
      </c>
      <c r="H112" s="299">
        <f>'2024 Legal Max'!BT109</f>
        <v>0</v>
      </c>
      <c r="I112" s="299">
        <f>'2024 Legal Max'!BX109</f>
        <v>0.44375599999999998</v>
      </c>
      <c r="J112" s="302">
        <f>IF('2024 Legal Max'!BZ109&gt;0,0.03504,0)</f>
        <v>0</v>
      </c>
      <c r="K112" s="299">
        <f t="shared" si="5"/>
        <v>0.44375599999999998</v>
      </c>
      <c r="L112" s="299">
        <f t="shared" si="6"/>
        <v>0.44375599999999998</v>
      </c>
      <c r="M112" s="303">
        <f>MAX('2024 Legal Max'!BQ109,'2024 Legal Max'!BU109,'2024 Legal Max'!BY109,'2024 Legal Max'!BZ109)</f>
        <v>185.9</v>
      </c>
      <c r="N112" s="303">
        <f>'2024 Legal Max'!U109*'Low-High ENRL- 2023 HSubSB 113'!L112</f>
        <v>185.9</v>
      </c>
      <c r="O112" s="303">
        <f t="shared" si="4"/>
        <v>0</v>
      </c>
    </row>
    <row r="113" spans="1:15">
      <c r="A113" s="255" t="s">
        <v>295</v>
      </c>
      <c r="B113" s="255" t="s">
        <v>3783</v>
      </c>
      <c r="C113" s="255" t="s">
        <v>49</v>
      </c>
      <c r="D113" s="255">
        <v>0</v>
      </c>
      <c r="E113" s="320">
        <f>IF(ISNA(VLOOKUP($A113,'Audit Values'!$A:$BZ,2,FALSE)),0,VLOOKUP($A113,'Audit Values'!$A:$BZ,78,FALSE))</f>
        <v>0</v>
      </c>
      <c r="F113" s="300">
        <v>3.5040000000000002E-2</v>
      </c>
      <c r="G113" s="301">
        <f>IF('2024 Legal Max'!BQ110&gt;0,1.014331, 0)</f>
        <v>0</v>
      </c>
      <c r="H113" s="299">
        <f>'2024 Legal Max'!BT110</f>
        <v>0</v>
      </c>
      <c r="I113" s="299">
        <f>'2024 Legal Max'!BX110</f>
        <v>0</v>
      </c>
      <c r="J113" s="302">
        <f>IF('2024 Legal Max'!BZ110&gt;0,0.03504,0)</f>
        <v>3.5040000000000002E-2</v>
      </c>
      <c r="K113" s="299">
        <f t="shared" si="5"/>
        <v>3.5040000000000002E-2</v>
      </c>
      <c r="L113" s="299">
        <f t="shared" si="6"/>
        <v>3.5040000000000002E-2</v>
      </c>
      <c r="M113" s="303">
        <f>MAX('2024 Legal Max'!BQ110,'2024 Legal Max'!BU110,'2024 Legal Max'!BY110,'2024 Legal Max'!BZ110)</f>
        <v>138</v>
      </c>
      <c r="N113" s="303">
        <f>'2024 Legal Max'!U110*'Low-High ENRL- 2023 HSubSB 113'!L113</f>
        <v>138</v>
      </c>
      <c r="O113" s="303">
        <f t="shared" si="4"/>
        <v>0</v>
      </c>
    </row>
    <row r="114" spans="1:15">
      <c r="A114" s="255" t="s">
        <v>296</v>
      </c>
      <c r="B114" s="255" t="s">
        <v>3784</v>
      </c>
      <c r="C114" s="255" t="s">
        <v>49</v>
      </c>
      <c r="D114" s="255">
        <v>1</v>
      </c>
      <c r="E114" s="320">
        <f>IF(ISNA(VLOOKUP($A114,'Audit Values'!$A:$BZ,2,FALSE)),0,VLOOKUP($A114,'Audit Values'!$A:$BZ,78,FALSE))</f>
        <v>1</v>
      </c>
      <c r="F114" s="299">
        <v>0.243203</v>
      </c>
      <c r="G114" s="301">
        <f>IF('2024 Legal Max'!BQ111&gt;0,1.014331, 0)</f>
        <v>0</v>
      </c>
      <c r="H114" s="299">
        <f>'2024 Legal Max'!BT111</f>
        <v>0</v>
      </c>
      <c r="I114" s="299">
        <f>'2024 Legal Max'!BX111</f>
        <v>0.25784600000000002</v>
      </c>
      <c r="J114" s="302">
        <f>IF('2024 Legal Max'!BZ111&gt;0,0.03504,0)</f>
        <v>0</v>
      </c>
      <c r="K114" s="299">
        <f t="shared" si="5"/>
        <v>0.25784600000000002</v>
      </c>
      <c r="L114" s="299">
        <f t="shared" si="6"/>
        <v>0.25784600000000002</v>
      </c>
      <c r="M114" s="303">
        <f>MAX('2024 Legal Max'!BQ111,'2024 Legal Max'!BU111,'2024 Legal Max'!BY111,'2024 Legal Max'!BZ111)</f>
        <v>249.1</v>
      </c>
      <c r="N114" s="303">
        <f>'2024 Legal Max'!U111*'Low-High ENRL- 2023 HSubSB 113'!L114</f>
        <v>249.1</v>
      </c>
      <c r="O114" s="303">
        <f t="shared" si="4"/>
        <v>0</v>
      </c>
    </row>
    <row r="115" spans="1:15">
      <c r="A115" s="255" t="s">
        <v>297</v>
      </c>
      <c r="B115" s="255" t="s">
        <v>3785</v>
      </c>
      <c r="C115" s="255" t="s">
        <v>49</v>
      </c>
      <c r="D115" s="255">
        <v>0</v>
      </c>
      <c r="E115" s="320">
        <f>IF(ISNA(VLOOKUP($A115,'Audit Values'!$A:$BZ,2,FALSE)),0,VLOOKUP($A115,'Audit Values'!$A:$BZ,78,FALSE))</f>
        <v>0</v>
      </c>
      <c r="F115" s="299">
        <v>0.56741900000000001</v>
      </c>
      <c r="G115" s="301">
        <f>IF('2024 Legal Max'!BQ112&gt;0,1.014331, 0)</f>
        <v>0</v>
      </c>
      <c r="H115" s="299">
        <f>'2024 Legal Max'!BT112</f>
        <v>0.56370799999999999</v>
      </c>
      <c r="I115" s="299">
        <f>'2024 Legal Max'!BX112</f>
        <v>0</v>
      </c>
      <c r="J115" s="302">
        <f>IF('2024 Legal Max'!BZ112&gt;0,0.03504,0)</f>
        <v>0</v>
      </c>
      <c r="K115" s="299">
        <f t="shared" si="5"/>
        <v>0.56370799999999999</v>
      </c>
      <c r="L115" s="299">
        <f t="shared" si="6"/>
        <v>0.56370799999999999</v>
      </c>
      <c r="M115" s="303">
        <f>MAX('2024 Legal Max'!BQ112,'2024 Legal Max'!BU112,'2024 Legal Max'!BY112,'2024 Legal Max'!BZ112)</f>
        <v>152.19999999999999</v>
      </c>
      <c r="N115" s="303">
        <f>'2024 Legal Max'!U112*'Low-High ENRL- 2023 HSubSB 113'!L115</f>
        <v>152.19999999999999</v>
      </c>
      <c r="O115" s="303">
        <f t="shared" si="4"/>
        <v>0</v>
      </c>
    </row>
    <row r="116" spans="1:15">
      <c r="A116" s="255" t="s">
        <v>298</v>
      </c>
      <c r="B116" s="255" t="s">
        <v>3786</v>
      </c>
      <c r="C116" s="255" t="s">
        <v>49</v>
      </c>
      <c r="D116" s="255">
        <v>0</v>
      </c>
      <c r="E116" s="320">
        <f>IF(ISNA(VLOOKUP($A116,'Audit Values'!$A:$BZ,2,FALSE)),0,VLOOKUP($A116,'Audit Values'!$A:$BZ,78,FALSE))</f>
        <v>1</v>
      </c>
      <c r="F116" s="299">
        <v>0.48092499999999999</v>
      </c>
      <c r="G116" s="301">
        <f>IF('2024 Legal Max'!BQ113&gt;0,1.014331, 0)</f>
        <v>0</v>
      </c>
      <c r="H116" s="299">
        <f>'2024 Legal Max'!BT113</f>
        <v>0</v>
      </c>
      <c r="I116" s="299">
        <f>'2024 Legal Max'!BX113</f>
        <v>0.48007499999999997</v>
      </c>
      <c r="J116" s="302">
        <f>IF('2024 Legal Max'!BZ113&gt;0,0.03504,0)</f>
        <v>0</v>
      </c>
      <c r="K116" s="299">
        <f t="shared" si="5"/>
        <v>0.48007499999999997</v>
      </c>
      <c r="L116" s="299">
        <f t="shared" si="6"/>
        <v>0.48092499999999999</v>
      </c>
      <c r="M116" s="303">
        <f>MAX('2024 Legal Max'!BQ113,'2024 Legal Max'!BU113,'2024 Legal Max'!BY113,'2024 Legal Max'!BZ113)</f>
        <v>149.80000000000001</v>
      </c>
      <c r="N116" s="303">
        <f>'2024 Legal Max'!U113*'Low-High ENRL- 2023 HSubSB 113'!L116</f>
        <v>150.1</v>
      </c>
      <c r="O116" s="303">
        <f t="shared" si="4"/>
        <v>0.3</v>
      </c>
    </row>
    <row r="117" spans="1:15">
      <c r="A117" s="255" t="s">
        <v>299</v>
      </c>
      <c r="B117" s="255" t="s">
        <v>3787</v>
      </c>
      <c r="C117" s="255" t="s">
        <v>49</v>
      </c>
      <c r="D117" s="255">
        <v>0</v>
      </c>
      <c r="E117" s="320">
        <f>IF(ISNA(VLOOKUP($A117,'Audit Values'!$A:$BZ,2,FALSE)),0,VLOOKUP($A117,'Audit Values'!$A:$BZ,78,FALSE))</f>
        <v>1</v>
      </c>
      <c r="F117" s="299">
        <v>0.33503699999999997</v>
      </c>
      <c r="G117" s="301">
        <f>IF('2024 Legal Max'!BQ114&gt;0,1.014331, 0)</f>
        <v>0</v>
      </c>
      <c r="H117" s="299">
        <f>'2024 Legal Max'!BT114</f>
        <v>0</v>
      </c>
      <c r="I117" s="299">
        <f>'2024 Legal Max'!BX114</f>
        <v>0.33248899999999998</v>
      </c>
      <c r="J117" s="302">
        <f>IF('2024 Legal Max'!BZ114&gt;0,0.03504,0)</f>
        <v>0</v>
      </c>
      <c r="K117" s="299">
        <f t="shared" si="5"/>
        <v>0.33248899999999998</v>
      </c>
      <c r="L117" s="299">
        <f t="shared" si="6"/>
        <v>0.33503699999999997</v>
      </c>
      <c r="M117" s="303">
        <f>MAX('2024 Legal Max'!BQ114,'2024 Legal Max'!BU114,'2024 Legal Max'!BY114,'2024 Legal Max'!BZ114)</f>
        <v>248.2</v>
      </c>
      <c r="N117" s="303">
        <f>'2024 Legal Max'!U114*'Low-High ENRL- 2023 HSubSB 113'!L117</f>
        <v>250.1</v>
      </c>
      <c r="O117" s="303">
        <f t="shared" si="4"/>
        <v>1.9</v>
      </c>
    </row>
    <row r="118" spans="1:15">
      <c r="A118" s="255" t="s">
        <v>300</v>
      </c>
      <c r="B118" s="255" t="s">
        <v>3788</v>
      </c>
      <c r="C118" s="255" t="s">
        <v>49</v>
      </c>
      <c r="D118" s="255">
        <v>0</v>
      </c>
      <c r="E118" s="320">
        <f>IF(ISNA(VLOOKUP($A118,'Audit Values'!$A:$BZ,2,FALSE)),0,VLOOKUP($A118,'Audit Values'!$A:$BZ,78,FALSE))</f>
        <v>0</v>
      </c>
      <c r="F118" s="300">
        <v>3.5040000000000002E-2</v>
      </c>
      <c r="G118" s="301">
        <f>IF('2024 Legal Max'!BQ115&gt;0,1.014331, 0)</f>
        <v>0</v>
      </c>
      <c r="H118" s="299">
        <f>'2024 Legal Max'!BT115</f>
        <v>0</v>
      </c>
      <c r="I118" s="299">
        <f>'2024 Legal Max'!BX115</f>
        <v>0</v>
      </c>
      <c r="J118" s="302">
        <f>IF('2024 Legal Max'!BZ115&gt;0,0.03504,0)</f>
        <v>3.5040000000000002E-2</v>
      </c>
      <c r="K118" s="299">
        <f t="shared" si="5"/>
        <v>3.5040000000000002E-2</v>
      </c>
      <c r="L118" s="299">
        <f t="shared" si="6"/>
        <v>3.5040000000000002E-2</v>
      </c>
      <c r="M118" s="303">
        <f>MAX('2024 Legal Max'!BQ115,'2024 Legal Max'!BU115,'2024 Legal Max'!BY115,'2024 Legal Max'!BZ115)</f>
        <v>79</v>
      </c>
      <c r="N118" s="303">
        <f>'2024 Legal Max'!U115*'Low-High ENRL- 2023 HSubSB 113'!L118</f>
        <v>79</v>
      </c>
      <c r="O118" s="303">
        <f t="shared" si="4"/>
        <v>0</v>
      </c>
    </row>
    <row r="119" spans="1:15">
      <c r="A119" s="255" t="s">
        <v>301</v>
      </c>
      <c r="B119" s="255" t="s">
        <v>3789</v>
      </c>
      <c r="C119" s="255" t="s">
        <v>50</v>
      </c>
      <c r="D119" s="255">
        <v>0</v>
      </c>
      <c r="E119" s="320">
        <f>IF(ISNA(VLOOKUP($A119,'Audit Values'!$A:$BZ,2,FALSE)),0,VLOOKUP($A119,'Audit Values'!$A:$BZ,78,FALSE))</f>
        <v>0</v>
      </c>
      <c r="F119" s="299">
        <v>0.95071399999999995</v>
      </c>
      <c r="G119" s="301">
        <f>IF('2024 Legal Max'!BQ116&gt;0,1.014331, 0)</f>
        <v>0</v>
      </c>
      <c r="H119" s="299">
        <f>'2024 Legal Max'!BT116</f>
        <v>0.97297999999999996</v>
      </c>
      <c r="I119" s="299">
        <f>'2024 Legal Max'!BX116</f>
        <v>0</v>
      </c>
      <c r="J119" s="302">
        <f>IF('2024 Legal Max'!BZ116&gt;0,0.03504,0)</f>
        <v>0</v>
      </c>
      <c r="K119" s="299">
        <f t="shared" si="5"/>
        <v>0.97297999999999996</v>
      </c>
      <c r="L119" s="299">
        <f t="shared" si="6"/>
        <v>0.97297999999999996</v>
      </c>
      <c r="M119" s="303">
        <f>MAX('2024 Legal Max'!BQ116,'2024 Legal Max'!BU116,'2024 Legal Max'!BY116,'2024 Legal Max'!BZ116)</f>
        <v>112.5</v>
      </c>
      <c r="N119" s="303">
        <f>'2024 Legal Max'!U116*'Low-High ENRL- 2023 HSubSB 113'!L119</f>
        <v>112.5</v>
      </c>
      <c r="O119" s="303">
        <f t="shared" si="4"/>
        <v>0</v>
      </c>
    </row>
    <row r="120" spans="1:15">
      <c r="A120" s="255" t="s">
        <v>302</v>
      </c>
      <c r="B120" s="255" t="s">
        <v>3790</v>
      </c>
      <c r="C120" s="255" t="s">
        <v>50</v>
      </c>
      <c r="D120" s="255">
        <v>0</v>
      </c>
      <c r="E120" s="320">
        <f>IF(ISNA(VLOOKUP($A120,'Audit Values'!$A:$BZ,2,FALSE)),0,VLOOKUP($A120,'Audit Values'!$A:$BZ,78,FALSE))</f>
        <v>0</v>
      </c>
      <c r="F120" s="299">
        <v>0.26131100000000002</v>
      </c>
      <c r="G120" s="301">
        <f>IF('2024 Legal Max'!BQ117&gt;0,1.014331, 0)</f>
        <v>0</v>
      </c>
      <c r="H120" s="299">
        <f>'2024 Legal Max'!BT117</f>
        <v>0</v>
      </c>
      <c r="I120" s="299">
        <f>'2024 Legal Max'!BX117</f>
        <v>0.26334999999999997</v>
      </c>
      <c r="J120" s="302">
        <f>IF('2024 Legal Max'!BZ117&gt;0,0.03504,0)</f>
        <v>0</v>
      </c>
      <c r="K120" s="299">
        <f t="shared" si="5"/>
        <v>0.26334999999999997</v>
      </c>
      <c r="L120" s="299">
        <f t="shared" si="6"/>
        <v>0.26334999999999997</v>
      </c>
      <c r="M120" s="303">
        <f>MAX('2024 Legal Max'!BQ117,'2024 Legal Max'!BU117,'2024 Legal Max'!BY117,'2024 Legal Max'!BZ117)</f>
        <v>250.2</v>
      </c>
      <c r="N120" s="303">
        <f>'2024 Legal Max'!U117*'Low-High ENRL- 2023 HSubSB 113'!L120</f>
        <v>250.2</v>
      </c>
      <c r="O120" s="303">
        <f t="shared" si="4"/>
        <v>0</v>
      </c>
    </row>
    <row r="121" spans="1:15">
      <c r="A121" s="255" t="s">
        <v>303</v>
      </c>
      <c r="B121" s="255" t="s">
        <v>3791</v>
      </c>
      <c r="C121" s="255" t="s">
        <v>50</v>
      </c>
      <c r="D121" s="255">
        <v>0</v>
      </c>
      <c r="E121" s="320">
        <f>IF(ISNA(VLOOKUP($A121,'Audit Values'!$A:$BZ,2,FALSE)),0,VLOOKUP($A121,'Audit Values'!$A:$BZ,78,FALSE))</f>
        <v>0</v>
      </c>
      <c r="F121" s="299">
        <v>0.83275600000000005</v>
      </c>
      <c r="G121" s="301">
        <f>IF('2024 Legal Max'!BQ118&gt;0,1.014331, 0)</f>
        <v>0</v>
      </c>
      <c r="H121" s="299">
        <f>'2024 Legal Max'!BT118</f>
        <v>0.83010600000000001</v>
      </c>
      <c r="I121" s="299">
        <f>'2024 Legal Max'!BX118</f>
        <v>0</v>
      </c>
      <c r="J121" s="302">
        <f>IF('2024 Legal Max'!BZ118&gt;0,0.03504,0)</f>
        <v>0</v>
      </c>
      <c r="K121" s="299">
        <f t="shared" si="5"/>
        <v>0.83010600000000001</v>
      </c>
      <c r="L121" s="299">
        <f t="shared" si="6"/>
        <v>0.83010600000000001</v>
      </c>
      <c r="M121" s="303">
        <f>MAX('2024 Legal Max'!BQ118,'2024 Legal Max'!BU118,'2024 Legal Max'!BY118,'2024 Legal Max'!BZ118)</f>
        <v>140.69999999999999</v>
      </c>
      <c r="N121" s="303">
        <f>'2024 Legal Max'!U118*'Low-High ENRL- 2023 HSubSB 113'!L121</f>
        <v>140.69999999999999</v>
      </c>
      <c r="O121" s="303">
        <f t="shared" si="4"/>
        <v>0</v>
      </c>
    </row>
    <row r="122" spans="1:15">
      <c r="A122" s="255" t="s">
        <v>304</v>
      </c>
      <c r="B122" s="255" t="s">
        <v>3792</v>
      </c>
      <c r="C122" s="255" t="s">
        <v>52</v>
      </c>
      <c r="D122" s="255">
        <v>0</v>
      </c>
      <c r="E122" s="320">
        <f>IF(ISNA(VLOOKUP($A122,'Audit Values'!$A:$BZ,2,FALSE)),0,VLOOKUP($A122,'Audit Values'!$A:$BZ,78,FALSE))</f>
        <v>0</v>
      </c>
      <c r="F122" s="299">
        <v>3.9354E-2</v>
      </c>
      <c r="G122" s="301">
        <f>IF('2024 Legal Max'!BQ119&gt;0,1.014331, 0)</f>
        <v>0</v>
      </c>
      <c r="H122" s="299">
        <f>'2024 Legal Max'!BT119</f>
        <v>0</v>
      </c>
      <c r="I122" s="299">
        <f>'2024 Legal Max'!BX119</f>
        <v>3.9354E-2</v>
      </c>
      <c r="J122" s="302">
        <f>IF('2024 Legal Max'!BZ119&gt;0,0.03504,0)</f>
        <v>0</v>
      </c>
      <c r="K122" s="299">
        <f t="shared" si="5"/>
        <v>3.9354E-2</v>
      </c>
      <c r="L122" s="299">
        <f t="shared" si="6"/>
        <v>3.9354E-2</v>
      </c>
      <c r="M122" s="303">
        <f>MAX('2024 Legal Max'!BQ119,'2024 Legal Max'!BU119,'2024 Legal Max'!BY119,'2024 Legal Max'!BZ119)</f>
        <v>63.3</v>
      </c>
      <c r="N122" s="303">
        <f>'2024 Legal Max'!U119*'Low-High ENRL- 2023 HSubSB 113'!L122</f>
        <v>63.3</v>
      </c>
      <c r="O122" s="303">
        <f t="shared" si="4"/>
        <v>0</v>
      </c>
    </row>
    <row r="123" spans="1:15">
      <c r="A123" s="255" t="s">
        <v>305</v>
      </c>
      <c r="B123" s="255" t="s">
        <v>3793</v>
      </c>
      <c r="C123" s="255" t="s">
        <v>52</v>
      </c>
      <c r="D123" s="255">
        <v>1</v>
      </c>
      <c r="E123" s="320">
        <f>IF(ISNA(VLOOKUP($A123,'Audit Values'!$A:$BZ,2,FALSE)),0,VLOOKUP($A123,'Audit Values'!$A:$BZ,78,FALSE))</f>
        <v>1</v>
      </c>
      <c r="F123" s="299">
        <v>0.23114199999999999</v>
      </c>
      <c r="G123" s="301">
        <f>IF('2024 Legal Max'!BQ120&gt;0,1.014331, 0)</f>
        <v>0</v>
      </c>
      <c r="H123" s="299">
        <f>'2024 Legal Max'!BT120</f>
        <v>0</v>
      </c>
      <c r="I123" s="299">
        <f>'2024 Legal Max'!BX120</f>
        <v>0.235151</v>
      </c>
      <c r="J123" s="302">
        <f>IF('2024 Legal Max'!BZ120&gt;0,0.03504,0)</f>
        <v>0</v>
      </c>
      <c r="K123" s="299">
        <f t="shared" si="5"/>
        <v>0.235151</v>
      </c>
      <c r="L123" s="299">
        <f t="shared" si="6"/>
        <v>0.235151</v>
      </c>
      <c r="M123" s="303">
        <f>MAX('2024 Legal Max'!BQ120,'2024 Legal Max'!BU120,'2024 Legal Max'!BY120,'2024 Legal Max'!BZ120)</f>
        <v>242.9</v>
      </c>
      <c r="N123" s="303">
        <f>'2024 Legal Max'!U120*'Low-High ENRL- 2023 HSubSB 113'!L123</f>
        <v>242.9</v>
      </c>
      <c r="O123" s="303">
        <f t="shared" si="4"/>
        <v>0</v>
      </c>
    </row>
    <row r="124" spans="1:15">
      <c r="A124" s="255" t="s">
        <v>306</v>
      </c>
      <c r="B124" s="255" t="s">
        <v>3794</v>
      </c>
      <c r="C124" s="255" t="s">
        <v>52</v>
      </c>
      <c r="D124" s="255">
        <v>1</v>
      </c>
      <c r="E124" s="320">
        <f>IF(ISNA(VLOOKUP($A124,'Audit Values'!$A:$BZ,2,FALSE)),0,VLOOKUP($A124,'Audit Values'!$A:$BZ,78,FALSE))</f>
        <v>1</v>
      </c>
      <c r="F124" s="299">
        <v>0.482657</v>
      </c>
      <c r="G124" s="301">
        <f>IF('2024 Legal Max'!BQ121&gt;0,1.014331, 0)</f>
        <v>0</v>
      </c>
      <c r="H124" s="299">
        <f>'2024 Legal Max'!BT121</f>
        <v>0</v>
      </c>
      <c r="I124" s="299">
        <f>'2024 Legal Max'!BX121</f>
        <v>0.48238599999999998</v>
      </c>
      <c r="J124" s="302">
        <f>IF('2024 Legal Max'!BZ121&gt;0,0.03504,0)</f>
        <v>0</v>
      </c>
      <c r="K124" s="299">
        <f t="shared" si="5"/>
        <v>0.48238599999999998</v>
      </c>
      <c r="L124" s="299">
        <f t="shared" si="6"/>
        <v>0.482657</v>
      </c>
      <c r="M124" s="303">
        <f>MAX('2024 Legal Max'!BQ121,'2024 Legal Max'!BU121,'2024 Legal Max'!BY121,'2024 Legal Max'!BZ121)</f>
        <v>147.30000000000001</v>
      </c>
      <c r="N124" s="303">
        <f>'2024 Legal Max'!U121*'Low-High ENRL- 2023 HSubSB 113'!L124</f>
        <v>147.4</v>
      </c>
      <c r="O124" s="303">
        <f t="shared" si="4"/>
        <v>0.1</v>
      </c>
    </row>
    <row r="125" spans="1:15">
      <c r="A125" s="255" t="s">
        <v>307</v>
      </c>
      <c r="B125" s="255" t="s">
        <v>3795</v>
      </c>
      <c r="C125" s="255" t="s">
        <v>52</v>
      </c>
      <c r="D125" s="255">
        <v>0</v>
      </c>
      <c r="E125" s="320">
        <f>IF(ISNA(VLOOKUP($A125,'Audit Values'!$A:$BZ,2,FALSE)),0,VLOOKUP($A125,'Audit Values'!$A:$BZ,78,FALSE))</f>
        <v>0</v>
      </c>
      <c r="F125" s="299">
        <v>0.17093800000000001</v>
      </c>
      <c r="G125" s="301">
        <f>IF('2024 Legal Max'!BQ122&gt;0,1.014331, 0)</f>
        <v>0</v>
      </c>
      <c r="H125" s="299">
        <f>'2024 Legal Max'!BT122</f>
        <v>0</v>
      </c>
      <c r="I125" s="299">
        <f>'2024 Legal Max'!BX122</f>
        <v>0.14188999999999999</v>
      </c>
      <c r="J125" s="302">
        <f>IF('2024 Legal Max'!BZ122&gt;0,0.03504,0)</f>
        <v>0</v>
      </c>
      <c r="K125" s="299">
        <f t="shared" si="5"/>
        <v>0.14188999999999999</v>
      </c>
      <c r="L125" s="299">
        <f t="shared" si="6"/>
        <v>0.14188999999999999</v>
      </c>
      <c r="M125" s="303">
        <f>MAX('2024 Legal Max'!BQ122,'2024 Legal Max'!BU122,'2024 Legal Max'!BY122,'2024 Legal Max'!BZ122)</f>
        <v>185.5</v>
      </c>
      <c r="N125" s="303">
        <f>'2024 Legal Max'!U122*'Low-High ENRL- 2023 HSubSB 113'!L125</f>
        <v>185.5</v>
      </c>
      <c r="O125" s="303">
        <f t="shared" si="4"/>
        <v>0</v>
      </c>
    </row>
    <row r="126" spans="1:15">
      <c r="A126" s="255" t="s">
        <v>308</v>
      </c>
      <c r="B126" s="255" t="s">
        <v>3796</v>
      </c>
      <c r="C126" s="255" t="s">
        <v>53</v>
      </c>
      <c r="D126" s="255">
        <v>0</v>
      </c>
      <c r="E126" s="320">
        <f>IF(ISNA(VLOOKUP($A126,'Audit Values'!$A:$BZ,2,FALSE)),0,VLOOKUP($A126,'Audit Values'!$A:$BZ,78,FALSE))</f>
        <v>0</v>
      </c>
      <c r="F126" s="299">
        <v>0.38786799999999999</v>
      </c>
      <c r="G126" s="301">
        <f>IF('2024 Legal Max'!BQ123&gt;0,1.014331, 0)</f>
        <v>0</v>
      </c>
      <c r="H126" s="299">
        <f>'2024 Legal Max'!BT123</f>
        <v>0</v>
      </c>
      <c r="I126" s="299">
        <f>'2024 Legal Max'!BX123</f>
        <v>0.39313399999999998</v>
      </c>
      <c r="J126" s="302">
        <f>IF('2024 Legal Max'!BZ123&gt;0,0.03504,0)</f>
        <v>0</v>
      </c>
      <c r="K126" s="299">
        <f t="shared" si="5"/>
        <v>0.39313399999999998</v>
      </c>
      <c r="L126" s="299">
        <f t="shared" si="6"/>
        <v>0.39313399999999998</v>
      </c>
      <c r="M126" s="303">
        <f>MAX('2024 Legal Max'!BQ123,'2024 Legal Max'!BU123,'2024 Legal Max'!BY123,'2024 Legal Max'!BZ123)</f>
        <v>223.3</v>
      </c>
      <c r="N126" s="303">
        <f>'2024 Legal Max'!U123*'Low-High ENRL- 2023 HSubSB 113'!L126</f>
        <v>223.3</v>
      </c>
      <c r="O126" s="303">
        <f t="shared" si="4"/>
        <v>0</v>
      </c>
    </row>
    <row r="127" spans="1:15">
      <c r="A127" s="255" t="s">
        <v>309</v>
      </c>
      <c r="B127" s="255" t="s">
        <v>37</v>
      </c>
      <c r="C127" s="255" t="s">
        <v>53</v>
      </c>
      <c r="D127" s="255">
        <v>0</v>
      </c>
      <c r="E127" s="320">
        <f>IF(ISNA(VLOOKUP($A127,'Audit Values'!$A:$BZ,2,FALSE)),0,VLOOKUP($A127,'Audit Values'!$A:$BZ,78,FALSE))</f>
        <v>0</v>
      </c>
      <c r="F127" s="299">
        <v>0.91864000000000001</v>
      </c>
      <c r="G127" s="301">
        <f>IF('2024 Legal Max'!BQ124&gt;0,1.014331, 0)</f>
        <v>0</v>
      </c>
      <c r="H127" s="299">
        <f>'2024 Legal Max'!BT124</f>
        <v>0.93878499999999998</v>
      </c>
      <c r="I127" s="299">
        <f>'2024 Legal Max'!BX124</f>
        <v>0</v>
      </c>
      <c r="J127" s="302">
        <f>IF('2024 Legal Max'!BZ124&gt;0,0.03504,0)</f>
        <v>0</v>
      </c>
      <c r="K127" s="299">
        <f t="shared" si="5"/>
        <v>0.93878499999999998</v>
      </c>
      <c r="L127" s="299">
        <f t="shared" si="6"/>
        <v>0.93878499999999998</v>
      </c>
      <c r="M127" s="303">
        <f>MAX('2024 Legal Max'!BQ124,'2024 Legal Max'!BU124,'2024 Legal Max'!BY124,'2024 Legal Max'!BZ124)</f>
        <v>120.6</v>
      </c>
      <c r="N127" s="303">
        <f>'2024 Legal Max'!U124*'Low-High ENRL- 2023 HSubSB 113'!L127</f>
        <v>120.6</v>
      </c>
      <c r="O127" s="303">
        <f t="shared" si="4"/>
        <v>0</v>
      </c>
    </row>
    <row r="128" spans="1:15">
      <c r="A128" s="255" t="s">
        <v>310</v>
      </c>
      <c r="B128" s="255" t="s">
        <v>54</v>
      </c>
      <c r="C128" s="255" t="s">
        <v>54</v>
      </c>
      <c r="D128" s="255">
        <v>0</v>
      </c>
      <c r="E128" s="320">
        <f>IF(ISNA(VLOOKUP($A128,'Audit Values'!$A:$BZ,2,FALSE)),0,VLOOKUP($A128,'Audit Values'!$A:$BZ,78,FALSE))</f>
        <v>1</v>
      </c>
      <c r="F128" s="299">
        <v>0.37081199999999997</v>
      </c>
      <c r="G128" s="301">
        <f>IF('2024 Legal Max'!BQ125&gt;0,1.014331, 0)</f>
        <v>0</v>
      </c>
      <c r="H128" s="299">
        <f>'2024 Legal Max'!BT125</f>
        <v>0</v>
      </c>
      <c r="I128" s="299">
        <f>'2024 Legal Max'!BX125</f>
        <v>0.36761899999999997</v>
      </c>
      <c r="J128" s="302">
        <f>IF('2024 Legal Max'!BZ125&gt;0,0.03504,0)</f>
        <v>0</v>
      </c>
      <c r="K128" s="299">
        <f t="shared" si="5"/>
        <v>0.36761899999999997</v>
      </c>
      <c r="L128" s="299">
        <f t="shared" si="6"/>
        <v>0.37081199999999997</v>
      </c>
      <c r="M128" s="303">
        <f>MAX('2024 Legal Max'!BQ125,'2024 Legal Max'!BU125,'2024 Legal Max'!BY125,'2024 Legal Max'!BZ125)</f>
        <v>236.4</v>
      </c>
      <c r="N128" s="303">
        <f>'2024 Legal Max'!U125*'Low-High ENRL- 2023 HSubSB 113'!L128</f>
        <v>238.5</v>
      </c>
      <c r="O128" s="303">
        <f t="shared" si="4"/>
        <v>2.1</v>
      </c>
    </row>
    <row r="129" spans="1:15">
      <c r="A129" s="255" t="s">
        <v>311</v>
      </c>
      <c r="B129" s="255" t="s">
        <v>55</v>
      </c>
      <c r="C129" s="255" t="s">
        <v>55</v>
      </c>
      <c r="D129" s="255">
        <v>0</v>
      </c>
      <c r="E129" s="320">
        <f>IF(ISNA(VLOOKUP($A129,'Audit Values'!$A:$BZ,2,FALSE)),0,VLOOKUP($A129,'Audit Values'!$A:$BZ,78,FALSE))</f>
        <v>0</v>
      </c>
      <c r="F129" s="299">
        <v>0.44497900000000001</v>
      </c>
      <c r="G129" s="301">
        <f>IF('2024 Legal Max'!BQ126&gt;0,1.014331, 0)</f>
        <v>0</v>
      </c>
      <c r="H129" s="299">
        <f>'2024 Legal Max'!BT126</f>
        <v>0</v>
      </c>
      <c r="I129" s="299">
        <f>'2024 Legal Max'!BX126</f>
        <v>0.45326899999999998</v>
      </c>
      <c r="J129" s="302">
        <f>IF('2024 Legal Max'!BZ126&gt;0,0.03504,0)</f>
        <v>0</v>
      </c>
      <c r="K129" s="299">
        <f t="shared" si="5"/>
        <v>0.45326899999999998</v>
      </c>
      <c r="L129" s="299">
        <f t="shared" si="6"/>
        <v>0.45326899999999998</v>
      </c>
      <c r="M129" s="303">
        <f>MAX('2024 Legal Max'!BQ126,'2024 Legal Max'!BU126,'2024 Legal Max'!BY126,'2024 Legal Max'!BZ126)</f>
        <v>177.2</v>
      </c>
      <c r="N129" s="303">
        <f>'2024 Legal Max'!U126*'Low-High ENRL- 2023 HSubSB 113'!L129</f>
        <v>177.2</v>
      </c>
      <c r="O129" s="303">
        <f t="shared" si="4"/>
        <v>0</v>
      </c>
    </row>
    <row r="130" spans="1:15">
      <c r="A130" s="255" t="s">
        <v>312</v>
      </c>
      <c r="B130" s="255" t="s">
        <v>3797</v>
      </c>
      <c r="C130" s="255" t="s">
        <v>55</v>
      </c>
      <c r="D130" s="255">
        <v>0</v>
      </c>
      <c r="E130" s="320">
        <f>IF(ISNA(VLOOKUP($A130,'Audit Values'!$A:$BZ,2,FALSE)),0,VLOOKUP($A130,'Audit Values'!$A:$BZ,78,FALSE))</f>
        <v>0</v>
      </c>
      <c r="F130" s="299">
        <v>0.434923</v>
      </c>
      <c r="G130" s="301">
        <f>IF('2024 Legal Max'!BQ127&gt;0,1.014331, 0)</f>
        <v>0</v>
      </c>
      <c r="H130" s="299">
        <f>'2024 Legal Max'!BT127</f>
        <v>0</v>
      </c>
      <c r="I130" s="299">
        <f>'2024 Legal Max'!BX127</f>
        <v>0.434141</v>
      </c>
      <c r="J130" s="302">
        <f>IF('2024 Legal Max'!BZ127&gt;0,0.03504,0)</f>
        <v>0</v>
      </c>
      <c r="K130" s="299">
        <f t="shared" si="5"/>
        <v>0.434141</v>
      </c>
      <c r="L130" s="299">
        <f t="shared" si="6"/>
        <v>0.434141</v>
      </c>
      <c r="M130" s="303">
        <f>MAX('2024 Legal Max'!BQ127,'2024 Legal Max'!BU127,'2024 Legal Max'!BY127,'2024 Legal Max'!BZ127)</f>
        <v>194.2</v>
      </c>
      <c r="N130" s="303">
        <f>'2024 Legal Max'!U127*'Low-High ENRL- 2023 HSubSB 113'!L130</f>
        <v>194.2</v>
      </c>
      <c r="O130" s="303">
        <f t="shared" si="4"/>
        <v>0</v>
      </c>
    </row>
    <row r="131" spans="1:15">
      <c r="A131" s="255" t="s">
        <v>313</v>
      </c>
      <c r="B131" s="255" t="s">
        <v>3798</v>
      </c>
      <c r="C131" s="255" t="s">
        <v>56</v>
      </c>
      <c r="D131" s="255">
        <v>0</v>
      </c>
      <c r="E131" s="320">
        <f>IF(ISNA(VLOOKUP($A131,'Audit Values'!$A:$BZ,2,FALSE)),0,VLOOKUP($A131,'Audit Values'!$A:$BZ,78,FALSE))</f>
        <v>0</v>
      </c>
      <c r="F131" s="299">
        <v>0.301979</v>
      </c>
      <c r="G131" s="301">
        <f>IF('2024 Legal Max'!BQ128&gt;0,1.014331, 0)</f>
        <v>0</v>
      </c>
      <c r="H131" s="299">
        <f>'2024 Legal Max'!BT128</f>
        <v>0</v>
      </c>
      <c r="I131" s="299">
        <f>'2024 Legal Max'!BX128</f>
        <v>0.29644100000000001</v>
      </c>
      <c r="J131" s="302">
        <f>IF('2024 Legal Max'!BZ128&gt;0,0.03504,0)</f>
        <v>0</v>
      </c>
      <c r="K131" s="299">
        <f t="shared" si="5"/>
        <v>0.29644100000000001</v>
      </c>
      <c r="L131" s="299">
        <f t="shared" si="6"/>
        <v>0.29644100000000001</v>
      </c>
      <c r="M131" s="303">
        <f>MAX('2024 Legal Max'!BQ128,'2024 Legal Max'!BU128,'2024 Legal Max'!BY128,'2024 Legal Max'!BZ128)</f>
        <v>252.7</v>
      </c>
      <c r="N131" s="303">
        <f>'2024 Legal Max'!U128*'Low-High ENRL- 2023 HSubSB 113'!L131</f>
        <v>252.7</v>
      </c>
      <c r="O131" s="303">
        <f t="shared" si="4"/>
        <v>0</v>
      </c>
    </row>
    <row r="132" spans="1:15">
      <c r="A132" s="255" t="s">
        <v>314</v>
      </c>
      <c r="B132" s="255" t="s">
        <v>3799</v>
      </c>
      <c r="C132" s="255" t="s">
        <v>56</v>
      </c>
      <c r="D132" s="255">
        <v>0</v>
      </c>
      <c r="E132" s="320">
        <f>IF(ISNA(VLOOKUP($A132,'Audit Values'!$A:$BZ,2,FALSE)),0,VLOOKUP($A132,'Audit Values'!$A:$BZ,78,FALSE))</f>
        <v>0</v>
      </c>
      <c r="F132" s="299">
        <v>0.71214900000000003</v>
      </c>
      <c r="G132" s="301">
        <f>IF('2024 Legal Max'!BQ129&gt;0,1.014331, 0)</f>
        <v>0</v>
      </c>
      <c r="H132" s="299">
        <f>'2024 Legal Max'!BT129</f>
        <v>0.706847</v>
      </c>
      <c r="I132" s="299">
        <f>'2024 Legal Max'!BX129</f>
        <v>0</v>
      </c>
      <c r="J132" s="302">
        <f>IF('2024 Legal Max'!BZ129&gt;0,0.03504,0)</f>
        <v>0</v>
      </c>
      <c r="K132" s="299">
        <f t="shared" si="5"/>
        <v>0.706847</v>
      </c>
      <c r="L132" s="299">
        <f t="shared" si="6"/>
        <v>0.706847</v>
      </c>
      <c r="M132" s="303">
        <f>MAX('2024 Legal Max'!BQ129,'2024 Legal Max'!BU129,'2024 Legal Max'!BY129,'2024 Legal Max'!BZ129)</f>
        <v>152.69999999999999</v>
      </c>
      <c r="N132" s="303">
        <f>'2024 Legal Max'!U129*'Low-High ENRL- 2023 HSubSB 113'!L132</f>
        <v>152.69999999999999</v>
      </c>
      <c r="O132" s="303">
        <f t="shared" si="4"/>
        <v>0</v>
      </c>
    </row>
    <row r="133" spans="1:15">
      <c r="A133" s="255" t="s">
        <v>315</v>
      </c>
      <c r="B133" s="255" t="s">
        <v>3800</v>
      </c>
      <c r="C133" s="255" t="s">
        <v>57</v>
      </c>
      <c r="D133" s="255">
        <v>0</v>
      </c>
      <c r="E133" s="320">
        <f>IF(ISNA(VLOOKUP($A133,'Audit Values'!$A:$BZ,2,FALSE)),0,VLOOKUP($A133,'Audit Values'!$A:$BZ,78,FALSE))</f>
        <v>0</v>
      </c>
      <c r="F133" s="299">
        <v>0.208039</v>
      </c>
      <c r="G133" s="301">
        <f>IF('2024 Legal Max'!BQ130&gt;0,1.014331, 0)</f>
        <v>0</v>
      </c>
      <c r="H133" s="299">
        <f>'2024 Legal Max'!BT130</f>
        <v>0</v>
      </c>
      <c r="I133" s="299">
        <f>'2024 Legal Max'!BX130</f>
        <v>0.20651</v>
      </c>
      <c r="J133" s="302">
        <f>IF('2024 Legal Max'!BZ130&gt;0,0.03504,0)</f>
        <v>0</v>
      </c>
      <c r="K133" s="299">
        <f t="shared" si="5"/>
        <v>0.20651</v>
      </c>
      <c r="L133" s="299">
        <f t="shared" si="6"/>
        <v>0.20651</v>
      </c>
      <c r="M133" s="303">
        <f>MAX('2024 Legal Max'!BQ130,'2024 Legal Max'!BU130,'2024 Legal Max'!BY130,'2024 Legal Max'!BZ130)</f>
        <v>230.7</v>
      </c>
      <c r="N133" s="303">
        <f>'2024 Legal Max'!U130*'Low-High ENRL- 2023 HSubSB 113'!L133</f>
        <v>230.7</v>
      </c>
      <c r="O133" s="303">
        <f t="shared" si="4"/>
        <v>0</v>
      </c>
    </row>
    <row r="134" spans="1:15">
      <c r="A134" s="255" t="s">
        <v>316</v>
      </c>
      <c r="B134" s="255" t="s">
        <v>3801</v>
      </c>
      <c r="C134" s="255" t="s">
        <v>57</v>
      </c>
      <c r="D134" s="255">
        <v>0</v>
      </c>
      <c r="E134" s="320">
        <f>IF(ISNA(VLOOKUP($A134,'Audit Values'!$A:$BZ,2,FALSE)),0,VLOOKUP($A134,'Audit Values'!$A:$BZ,78,FALSE))</f>
        <v>0</v>
      </c>
      <c r="F134" s="299">
        <v>0.86589099999999997</v>
      </c>
      <c r="G134" s="301">
        <f>IF('2024 Legal Max'!BQ131&gt;0,1.014331, 0)</f>
        <v>0</v>
      </c>
      <c r="H134" s="299">
        <f>'2024 Legal Max'!BT131</f>
        <v>0.86986699999999995</v>
      </c>
      <c r="I134" s="299">
        <f>'2024 Legal Max'!BX131</f>
        <v>0</v>
      </c>
      <c r="J134" s="302">
        <f>IF('2024 Legal Max'!BZ131&gt;0,0.03504,0)</f>
        <v>0</v>
      </c>
      <c r="K134" s="299">
        <f t="shared" si="5"/>
        <v>0.86986699999999995</v>
      </c>
      <c r="L134" s="299">
        <f t="shared" si="6"/>
        <v>0.86986699999999995</v>
      </c>
      <c r="M134" s="303">
        <f>MAX('2024 Legal Max'!BQ131,'2024 Legal Max'!BU131,'2024 Legal Max'!BY131,'2024 Legal Max'!BZ131)</f>
        <v>134.4</v>
      </c>
      <c r="N134" s="303">
        <f>'2024 Legal Max'!U131*'Low-High ENRL- 2023 HSubSB 113'!L134</f>
        <v>134.4</v>
      </c>
      <c r="O134" s="303">
        <f t="shared" si="4"/>
        <v>0</v>
      </c>
    </row>
    <row r="135" spans="1:15">
      <c r="A135" s="255" t="s">
        <v>317</v>
      </c>
      <c r="B135" s="255" t="s">
        <v>3802</v>
      </c>
      <c r="C135" s="255" t="s">
        <v>58</v>
      </c>
      <c r="D135" s="255">
        <v>1</v>
      </c>
      <c r="E135" s="320">
        <f>IF(ISNA(VLOOKUP($A135,'Audit Values'!$A:$BZ,2,FALSE)),0,VLOOKUP($A135,'Audit Values'!$A:$BZ,78,FALSE))</f>
        <v>1</v>
      </c>
      <c r="F135" s="299">
        <v>0.46376699999999998</v>
      </c>
      <c r="G135" s="301">
        <f>IF('2024 Legal Max'!BQ132&gt;0,1.014331, 0)</f>
        <v>0</v>
      </c>
      <c r="H135" s="299">
        <f>'2024 Legal Max'!BT132</f>
        <v>0</v>
      </c>
      <c r="I135" s="299">
        <f>'2024 Legal Max'!BX132</f>
        <v>0.45687</v>
      </c>
      <c r="J135" s="302">
        <f>IF('2024 Legal Max'!BZ132&gt;0,0.03504,0)</f>
        <v>0</v>
      </c>
      <c r="K135" s="299">
        <f t="shared" si="5"/>
        <v>0.45687</v>
      </c>
      <c r="L135" s="299">
        <f t="shared" si="6"/>
        <v>0.46376699999999998</v>
      </c>
      <c r="M135" s="303">
        <f>MAX('2024 Legal Max'!BQ132,'2024 Legal Max'!BU132,'2024 Legal Max'!BY132,'2024 Legal Max'!BZ132)</f>
        <v>173.8</v>
      </c>
      <c r="N135" s="303">
        <f>'2024 Legal Max'!U132*'Low-High ENRL- 2023 HSubSB 113'!L135</f>
        <v>176.4</v>
      </c>
      <c r="O135" s="303">
        <f t="shared" si="4"/>
        <v>2.6</v>
      </c>
    </row>
    <row r="136" spans="1:15">
      <c r="A136" s="255" t="s">
        <v>318</v>
      </c>
      <c r="B136" s="255" t="s">
        <v>3803</v>
      </c>
      <c r="C136" s="255" t="s">
        <v>58</v>
      </c>
      <c r="D136" s="255">
        <v>1</v>
      </c>
      <c r="E136" s="320">
        <f>IF(ISNA(VLOOKUP($A136,'Audit Values'!$A:$BZ,2,FALSE)),0,VLOOKUP($A136,'Audit Values'!$A:$BZ,78,FALSE))</f>
        <v>1</v>
      </c>
      <c r="F136" s="299">
        <v>0.23899000000000001</v>
      </c>
      <c r="G136" s="301">
        <f>IF('2024 Legal Max'!BQ133&gt;0,1.014331, 0)</f>
        <v>0</v>
      </c>
      <c r="H136" s="299">
        <f>'2024 Legal Max'!BT133</f>
        <v>0</v>
      </c>
      <c r="I136" s="299">
        <f>'2024 Legal Max'!BX133</f>
        <v>0.24004300000000001</v>
      </c>
      <c r="J136" s="302">
        <f>IF('2024 Legal Max'!BZ133&gt;0,0.03504,0)</f>
        <v>0</v>
      </c>
      <c r="K136" s="299">
        <f t="shared" si="5"/>
        <v>0.24004300000000001</v>
      </c>
      <c r="L136" s="299">
        <f t="shared" si="6"/>
        <v>0.24004300000000001</v>
      </c>
      <c r="M136" s="303">
        <f>MAX('2024 Legal Max'!BQ133,'2024 Legal Max'!BU133,'2024 Legal Max'!BY133,'2024 Legal Max'!BZ133)</f>
        <v>244.5</v>
      </c>
      <c r="N136" s="303">
        <f>'2024 Legal Max'!U133*'Low-High ENRL- 2023 HSubSB 113'!L136</f>
        <v>244.5</v>
      </c>
      <c r="O136" s="303">
        <f t="shared" ref="O136:O199" si="7">N136-M136</f>
        <v>0</v>
      </c>
    </row>
    <row r="137" spans="1:15">
      <c r="A137" s="255" t="s">
        <v>319</v>
      </c>
      <c r="B137" s="255" t="s">
        <v>3804</v>
      </c>
      <c r="C137" s="255" t="s">
        <v>58</v>
      </c>
      <c r="D137" s="255">
        <v>0</v>
      </c>
      <c r="E137" s="320">
        <f>IF(ISNA(VLOOKUP($A137,'Audit Values'!$A:$BZ,2,FALSE)),0,VLOOKUP($A137,'Audit Values'!$A:$BZ,78,FALSE))</f>
        <v>0</v>
      </c>
      <c r="F137" s="299">
        <v>0.30989499999999998</v>
      </c>
      <c r="G137" s="301">
        <f>IF('2024 Legal Max'!BQ134&gt;0,1.014331, 0)</f>
        <v>0</v>
      </c>
      <c r="H137" s="299">
        <f>'2024 Legal Max'!BT134</f>
        <v>0</v>
      </c>
      <c r="I137" s="299">
        <f>'2024 Legal Max'!BX134</f>
        <v>0.30395</v>
      </c>
      <c r="J137" s="302">
        <f>IF('2024 Legal Max'!BZ134&gt;0,0.03504,0)</f>
        <v>0</v>
      </c>
      <c r="K137" s="299">
        <f t="shared" ref="K137:K200" si="8">MAX(G137,H137,I137,J137)</f>
        <v>0.30395</v>
      </c>
      <c r="L137" s="299">
        <f t="shared" ref="L137:L200" si="9">IF((E137=1),MAX(F137,K137),K137)</f>
        <v>0.30395</v>
      </c>
      <c r="M137" s="303">
        <f>MAX('2024 Legal Max'!BQ134,'2024 Legal Max'!BU134,'2024 Legal Max'!BY134,'2024 Legal Max'!BZ134)</f>
        <v>252.4</v>
      </c>
      <c r="N137" s="303">
        <f>'2024 Legal Max'!U134*'Low-High ENRL- 2023 HSubSB 113'!L137</f>
        <v>252.4</v>
      </c>
      <c r="O137" s="303">
        <f t="shared" si="7"/>
        <v>0</v>
      </c>
    </row>
    <row r="138" spans="1:15">
      <c r="A138" s="255" t="s">
        <v>320</v>
      </c>
      <c r="B138" s="255" t="s">
        <v>3805</v>
      </c>
      <c r="C138" s="255" t="s">
        <v>59</v>
      </c>
      <c r="D138" s="255">
        <v>0</v>
      </c>
      <c r="E138" s="320">
        <f>IF(ISNA(VLOOKUP($A138,'Audit Values'!$A:$BZ,2,FALSE)),0,VLOOKUP($A138,'Audit Values'!$A:$BZ,78,FALSE))</f>
        <v>0</v>
      </c>
      <c r="F138" s="299">
        <v>0.45547700000000002</v>
      </c>
      <c r="G138" s="301">
        <f>IF('2024 Legal Max'!BQ135&gt;0,1.014331, 0)</f>
        <v>0</v>
      </c>
      <c r="H138" s="299">
        <f>'2024 Legal Max'!BT135</f>
        <v>0</v>
      </c>
      <c r="I138" s="299">
        <f>'2024 Legal Max'!BX135</f>
        <v>0.45530799999999999</v>
      </c>
      <c r="J138" s="302">
        <f>IF('2024 Legal Max'!BZ135&gt;0,0.03504,0)</f>
        <v>0</v>
      </c>
      <c r="K138" s="299">
        <f t="shared" si="8"/>
        <v>0.45530799999999999</v>
      </c>
      <c r="L138" s="299">
        <f t="shared" si="9"/>
        <v>0.45530799999999999</v>
      </c>
      <c r="M138" s="303">
        <f>MAX('2024 Legal Max'!BQ135,'2024 Legal Max'!BU135,'2024 Legal Max'!BY135,'2024 Legal Max'!BZ135)</f>
        <v>175.3</v>
      </c>
      <c r="N138" s="303">
        <f>'2024 Legal Max'!U135*'Low-High ENRL- 2023 HSubSB 113'!L138</f>
        <v>175.3</v>
      </c>
      <c r="O138" s="303">
        <f t="shared" si="7"/>
        <v>0</v>
      </c>
    </row>
    <row r="139" spans="1:15">
      <c r="A139" s="255" t="s">
        <v>321</v>
      </c>
      <c r="B139" s="255" t="s">
        <v>3806</v>
      </c>
      <c r="C139" s="255" t="s">
        <v>59</v>
      </c>
      <c r="D139" s="255">
        <v>0</v>
      </c>
      <c r="E139" s="320">
        <f>IF(ISNA(VLOOKUP($A139,'Audit Values'!$A:$BZ,2,FALSE)),0,VLOOKUP($A139,'Audit Values'!$A:$BZ,78,FALSE))</f>
        <v>0</v>
      </c>
      <c r="F139" s="299">
        <v>0.43645200000000001</v>
      </c>
      <c r="G139" s="301">
        <f>IF('2024 Legal Max'!BQ136&gt;0,1.014331, 0)</f>
        <v>0</v>
      </c>
      <c r="H139" s="299">
        <f>'2024 Legal Max'!BT136</f>
        <v>0</v>
      </c>
      <c r="I139" s="299">
        <f>'2024 Legal Max'!BX136</f>
        <v>0.43865999999999999</v>
      </c>
      <c r="J139" s="302">
        <f>IF('2024 Legal Max'!BZ136&gt;0,0.03504,0)</f>
        <v>0</v>
      </c>
      <c r="K139" s="299">
        <f t="shared" si="8"/>
        <v>0.43865999999999999</v>
      </c>
      <c r="L139" s="299">
        <f t="shared" si="9"/>
        <v>0.43865999999999999</v>
      </c>
      <c r="M139" s="303">
        <f>MAX('2024 Legal Max'!BQ136,'2024 Legal Max'!BU136,'2024 Legal Max'!BY136,'2024 Legal Max'!BZ136)</f>
        <v>190.4</v>
      </c>
      <c r="N139" s="303">
        <f>'2024 Legal Max'!U136*'Low-High ENRL- 2023 HSubSB 113'!L139</f>
        <v>190.4</v>
      </c>
      <c r="O139" s="303">
        <f t="shared" si="7"/>
        <v>0</v>
      </c>
    </row>
    <row r="140" spans="1:15">
      <c r="A140" s="255" t="s">
        <v>322</v>
      </c>
      <c r="B140" s="255" t="s">
        <v>3807</v>
      </c>
      <c r="C140" s="255" t="s">
        <v>59</v>
      </c>
      <c r="D140" s="255">
        <v>0</v>
      </c>
      <c r="E140" s="320">
        <f>IF(ISNA(VLOOKUP($A140,'Audit Values'!$A:$BZ,2,FALSE)),0,VLOOKUP($A140,'Audit Values'!$A:$BZ,78,FALSE))</f>
        <v>0</v>
      </c>
      <c r="F140" s="299">
        <v>0.305309</v>
      </c>
      <c r="G140" s="301">
        <f>IF('2024 Legal Max'!BQ137&gt;0,1.014331, 0)</f>
        <v>0</v>
      </c>
      <c r="H140" s="299">
        <f>'2024 Legal Max'!BT137</f>
        <v>0</v>
      </c>
      <c r="I140" s="299">
        <f>'2024 Legal Max'!BX137</f>
        <v>0.30836599999999997</v>
      </c>
      <c r="J140" s="302">
        <f>IF('2024 Legal Max'!BZ137&gt;0,0.03504,0)</f>
        <v>0</v>
      </c>
      <c r="K140" s="299">
        <f t="shared" si="8"/>
        <v>0.30836599999999997</v>
      </c>
      <c r="L140" s="299">
        <f t="shared" si="9"/>
        <v>0.30836599999999997</v>
      </c>
      <c r="M140" s="303">
        <f>MAX('2024 Legal Max'!BQ137,'2024 Legal Max'!BU137,'2024 Legal Max'!BY137,'2024 Legal Max'!BZ137)</f>
        <v>252.1</v>
      </c>
      <c r="N140" s="303">
        <f>'2024 Legal Max'!U137*'Low-High ENRL- 2023 HSubSB 113'!L140</f>
        <v>252.1</v>
      </c>
      <c r="O140" s="303">
        <f t="shared" si="7"/>
        <v>0</v>
      </c>
    </row>
    <row r="141" spans="1:15">
      <c r="A141" s="255" t="s">
        <v>323</v>
      </c>
      <c r="B141" s="255" t="s">
        <v>3808</v>
      </c>
      <c r="C141" s="255" t="s">
        <v>59</v>
      </c>
      <c r="D141" s="255">
        <v>0</v>
      </c>
      <c r="E141" s="320">
        <f>IF(ISNA(VLOOKUP($A141,'Audit Values'!$A:$BZ,2,FALSE)),0,VLOOKUP($A141,'Audit Values'!$A:$BZ,78,FALSE))</f>
        <v>0</v>
      </c>
      <c r="F141" s="299">
        <v>0.38786799999999999</v>
      </c>
      <c r="G141" s="301">
        <f>IF('2024 Legal Max'!BQ138&gt;0,1.014331, 0)</f>
        <v>0</v>
      </c>
      <c r="H141" s="299">
        <f>'2024 Legal Max'!BT138</f>
        <v>0</v>
      </c>
      <c r="I141" s="299">
        <f>'2024 Legal Max'!BX138</f>
        <v>0.38871699999999998</v>
      </c>
      <c r="J141" s="302">
        <f>IF('2024 Legal Max'!BZ138&gt;0,0.03504,0)</f>
        <v>0</v>
      </c>
      <c r="K141" s="299">
        <f t="shared" si="8"/>
        <v>0.38871699999999998</v>
      </c>
      <c r="L141" s="299">
        <f t="shared" si="9"/>
        <v>0.38871699999999998</v>
      </c>
      <c r="M141" s="303">
        <f>MAX('2024 Legal Max'!BQ138,'2024 Legal Max'!BU138,'2024 Legal Max'!BY138,'2024 Legal Max'!BZ138)</f>
        <v>225.8</v>
      </c>
      <c r="N141" s="303">
        <f>'2024 Legal Max'!U138*'Low-High ENRL- 2023 HSubSB 113'!L141</f>
        <v>225.8</v>
      </c>
      <c r="O141" s="303">
        <f t="shared" si="7"/>
        <v>0</v>
      </c>
    </row>
    <row r="142" spans="1:15">
      <c r="A142" s="255" t="s">
        <v>324</v>
      </c>
      <c r="B142" s="255" t="s">
        <v>3809</v>
      </c>
      <c r="C142" s="255" t="s">
        <v>59</v>
      </c>
      <c r="D142" s="255">
        <v>0</v>
      </c>
      <c r="E142" s="320">
        <f>IF(ISNA(VLOOKUP($A142,'Audit Values'!$A:$BZ,2,FALSE)),0,VLOOKUP($A142,'Audit Values'!$A:$BZ,78,FALSE))</f>
        <v>0</v>
      </c>
      <c r="F142" s="299">
        <v>0.431695</v>
      </c>
      <c r="G142" s="301">
        <f>IF('2024 Legal Max'!BQ139&gt;0,1.014331, 0)</f>
        <v>0</v>
      </c>
      <c r="H142" s="299">
        <f>'2024 Legal Max'!BT139</f>
        <v>0</v>
      </c>
      <c r="I142" s="299">
        <f>'2024 Legal Max'!BX139</f>
        <v>0.43560199999999999</v>
      </c>
      <c r="J142" s="302">
        <f>IF('2024 Legal Max'!BZ139&gt;0,0.03504,0)</f>
        <v>0</v>
      </c>
      <c r="K142" s="299">
        <f t="shared" si="8"/>
        <v>0.43560199999999999</v>
      </c>
      <c r="L142" s="299">
        <f t="shared" si="9"/>
        <v>0.43560199999999999</v>
      </c>
      <c r="M142" s="303">
        <f>MAX('2024 Legal Max'!BQ139,'2024 Legal Max'!BU139,'2024 Legal Max'!BY139,'2024 Legal Max'!BZ139)</f>
        <v>193</v>
      </c>
      <c r="N142" s="303">
        <f>'2024 Legal Max'!U139*'Low-High ENRL- 2023 HSubSB 113'!L142</f>
        <v>193</v>
      </c>
      <c r="O142" s="303">
        <f t="shared" si="7"/>
        <v>0</v>
      </c>
    </row>
    <row r="143" spans="1:15">
      <c r="A143" s="255" t="s">
        <v>325</v>
      </c>
      <c r="B143" s="255" t="s">
        <v>3810</v>
      </c>
      <c r="C143" s="255" t="s">
        <v>59</v>
      </c>
      <c r="D143" s="255">
        <v>0</v>
      </c>
      <c r="E143" s="320">
        <f>IF(ISNA(VLOOKUP($A143,'Audit Values'!$A:$BZ,2,FALSE)),0,VLOOKUP($A143,'Audit Values'!$A:$BZ,78,FALSE))</f>
        <v>0</v>
      </c>
      <c r="F143" s="299">
        <v>0.33534199999999997</v>
      </c>
      <c r="G143" s="301">
        <f>IF('2024 Legal Max'!BQ140&gt;0,1.014331, 0)</f>
        <v>0</v>
      </c>
      <c r="H143" s="299">
        <f>'2024 Legal Max'!BT140</f>
        <v>0</v>
      </c>
      <c r="I143" s="299">
        <f>'2024 Legal Max'!BX140</f>
        <v>0.336532</v>
      </c>
      <c r="J143" s="302">
        <f>IF('2024 Legal Max'!BZ140&gt;0,0.03504,0)</f>
        <v>0</v>
      </c>
      <c r="K143" s="299">
        <f t="shared" si="8"/>
        <v>0.336532</v>
      </c>
      <c r="L143" s="299">
        <f t="shared" si="9"/>
        <v>0.336532</v>
      </c>
      <c r="M143" s="303">
        <f>MAX('2024 Legal Max'!BQ140,'2024 Legal Max'!BU140,'2024 Legal Max'!BY140,'2024 Legal Max'!BZ140)</f>
        <v>247.2</v>
      </c>
      <c r="N143" s="303">
        <f>'2024 Legal Max'!U140*'Low-High ENRL- 2023 HSubSB 113'!L143</f>
        <v>247.2</v>
      </c>
      <c r="O143" s="303">
        <f t="shared" si="7"/>
        <v>0</v>
      </c>
    </row>
    <row r="144" spans="1:15">
      <c r="A144" s="255" t="s">
        <v>326</v>
      </c>
      <c r="B144" s="255" t="s">
        <v>3811</v>
      </c>
      <c r="C144" s="255" t="s">
        <v>60</v>
      </c>
      <c r="D144" s="255">
        <v>0</v>
      </c>
      <c r="E144" s="320">
        <f>IF(ISNA(VLOOKUP($A144,'Audit Values'!$A:$BZ,2,FALSE)),0,VLOOKUP($A144,'Audit Values'!$A:$BZ,78,FALSE))</f>
        <v>1</v>
      </c>
      <c r="F144" s="299">
        <v>0.46668900000000002</v>
      </c>
      <c r="G144" s="301">
        <f>IF('2024 Legal Max'!BQ141&gt;0,1.014331, 0)</f>
        <v>0</v>
      </c>
      <c r="H144" s="299">
        <f>'2024 Legal Max'!BT141</f>
        <v>0</v>
      </c>
      <c r="I144" s="299">
        <f>'2024 Legal Max'!BX141</f>
        <v>0.46617999999999998</v>
      </c>
      <c r="J144" s="302">
        <f>IF('2024 Legal Max'!BZ141&gt;0,0.03504,0)</f>
        <v>0</v>
      </c>
      <c r="K144" s="299">
        <f t="shared" si="8"/>
        <v>0.46617999999999998</v>
      </c>
      <c r="L144" s="299">
        <f t="shared" si="9"/>
        <v>0.46668900000000002</v>
      </c>
      <c r="M144" s="303">
        <f>MAX('2024 Legal Max'!BQ141,'2024 Legal Max'!BU141,'2024 Legal Max'!BY141,'2024 Legal Max'!BZ141)</f>
        <v>164.6</v>
      </c>
      <c r="N144" s="303">
        <f>'2024 Legal Max'!U141*'Low-High ENRL- 2023 HSubSB 113'!L144</f>
        <v>164.7</v>
      </c>
      <c r="O144" s="303">
        <f t="shared" si="7"/>
        <v>0.1</v>
      </c>
    </row>
    <row r="145" spans="1:15">
      <c r="A145" s="255" t="s">
        <v>327</v>
      </c>
      <c r="B145" s="255" t="s">
        <v>3812</v>
      </c>
      <c r="C145" s="255" t="s">
        <v>61</v>
      </c>
      <c r="D145" s="255">
        <v>0</v>
      </c>
      <c r="E145" s="320">
        <f>IF(ISNA(VLOOKUP($A145,'Audit Values'!$A:$BZ,2,FALSE)),0,VLOOKUP($A145,'Audit Values'!$A:$BZ,78,FALSE))</f>
        <v>0</v>
      </c>
      <c r="F145" s="300">
        <v>3.5040000000000002E-2</v>
      </c>
      <c r="G145" s="301">
        <f>IF('2024 Legal Max'!BQ142&gt;0,1.014331, 0)</f>
        <v>0</v>
      </c>
      <c r="H145" s="299">
        <f>'2024 Legal Max'!BT142</f>
        <v>0</v>
      </c>
      <c r="I145" s="299">
        <f>'2024 Legal Max'!BX142</f>
        <v>0</v>
      </c>
      <c r="J145" s="302">
        <f>IF('2024 Legal Max'!BZ142&gt;0,0.03504,0)</f>
        <v>3.5040000000000002E-2</v>
      </c>
      <c r="K145" s="299">
        <f t="shared" si="8"/>
        <v>3.5040000000000002E-2</v>
      </c>
      <c r="L145" s="299">
        <f t="shared" si="9"/>
        <v>3.5040000000000002E-2</v>
      </c>
      <c r="M145" s="303">
        <f>MAX('2024 Legal Max'!BQ142,'2024 Legal Max'!BU142,'2024 Legal Max'!BY142,'2024 Legal Max'!BZ142)</f>
        <v>130.6</v>
      </c>
      <c r="N145" s="303">
        <f>'2024 Legal Max'!U142*'Low-High ENRL- 2023 HSubSB 113'!L145</f>
        <v>130.6</v>
      </c>
      <c r="O145" s="303">
        <f t="shared" si="7"/>
        <v>0</v>
      </c>
    </row>
    <row r="146" spans="1:15">
      <c r="A146" s="255" t="s">
        <v>328</v>
      </c>
      <c r="B146" s="255" t="s">
        <v>3813</v>
      </c>
      <c r="C146" s="255" t="s">
        <v>60</v>
      </c>
      <c r="D146" s="255">
        <v>0</v>
      </c>
      <c r="E146" s="320">
        <f>IF(ISNA(VLOOKUP($A146,'Audit Values'!$A:$BZ,2,FALSE)),0,VLOOKUP($A146,'Audit Values'!$A:$BZ,78,FALSE))</f>
        <v>0</v>
      </c>
      <c r="F146" s="299">
        <v>0.39568199999999998</v>
      </c>
      <c r="G146" s="301">
        <f>IF('2024 Legal Max'!BQ143&gt;0,1.014331, 0)</f>
        <v>0</v>
      </c>
      <c r="H146" s="299">
        <f>'2024 Legal Max'!BT143</f>
        <v>0</v>
      </c>
      <c r="I146" s="299">
        <f>'2024 Legal Max'!BX143</f>
        <v>0.39897700000000003</v>
      </c>
      <c r="J146" s="302">
        <f>IF('2024 Legal Max'!BZ143&gt;0,0.03504,0)</f>
        <v>0</v>
      </c>
      <c r="K146" s="299">
        <f t="shared" si="8"/>
        <v>0.39897700000000003</v>
      </c>
      <c r="L146" s="299">
        <f t="shared" si="9"/>
        <v>0.39897700000000003</v>
      </c>
      <c r="M146" s="303">
        <f>MAX('2024 Legal Max'!BQ143,'2024 Legal Max'!BU143,'2024 Legal Max'!BY143,'2024 Legal Max'!BZ143)</f>
        <v>219.8</v>
      </c>
      <c r="N146" s="303">
        <f>'2024 Legal Max'!U143*'Low-High ENRL- 2023 HSubSB 113'!L146</f>
        <v>219.8</v>
      </c>
      <c r="O146" s="303">
        <f t="shared" si="7"/>
        <v>0</v>
      </c>
    </row>
    <row r="147" spans="1:15">
      <c r="A147" s="255" t="s">
        <v>329</v>
      </c>
      <c r="B147" s="255" t="s">
        <v>3814</v>
      </c>
      <c r="C147" s="255" t="s">
        <v>62</v>
      </c>
      <c r="D147" s="255">
        <v>0</v>
      </c>
      <c r="E147" s="320">
        <f>IF(ISNA(VLOOKUP($A147,'Audit Values'!$A:$BZ,2,FALSE)),0,VLOOKUP($A147,'Audit Values'!$A:$BZ,78,FALSE))</f>
        <v>1</v>
      </c>
      <c r="F147" s="299">
        <v>0.51732</v>
      </c>
      <c r="G147" s="301">
        <f>IF('2024 Legal Max'!BQ144&gt;0,1.014331, 0)</f>
        <v>0</v>
      </c>
      <c r="H147" s="299">
        <f>'2024 Legal Max'!BT144</f>
        <v>0.51466900000000004</v>
      </c>
      <c r="I147" s="299">
        <f>'2024 Legal Max'!BX144</f>
        <v>0</v>
      </c>
      <c r="J147" s="302">
        <f>IF('2024 Legal Max'!BZ144&gt;0,0.03504,0)</f>
        <v>0</v>
      </c>
      <c r="K147" s="299">
        <f t="shared" si="8"/>
        <v>0.51466900000000004</v>
      </c>
      <c r="L147" s="299">
        <f t="shared" si="9"/>
        <v>0.51732</v>
      </c>
      <c r="M147" s="303">
        <f>MAX('2024 Legal Max'!BQ144,'2024 Legal Max'!BU144,'2024 Legal Max'!BY144,'2024 Legal Max'!BZ144)</f>
        <v>148.5</v>
      </c>
      <c r="N147" s="303">
        <f>'2024 Legal Max'!U144*'Low-High ENRL- 2023 HSubSB 113'!L147</f>
        <v>149.19999999999999</v>
      </c>
      <c r="O147" s="303">
        <f t="shared" si="7"/>
        <v>0.7</v>
      </c>
    </row>
    <row r="148" spans="1:15">
      <c r="A148" s="255" t="s">
        <v>330</v>
      </c>
      <c r="B148" s="255" t="s">
        <v>3815</v>
      </c>
      <c r="C148" s="255" t="s">
        <v>63</v>
      </c>
      <c r="D148" s="255">
        <v>0</v>
      </c>
      <c r="E148" s="320">
        <f>IF(ISNA(VLOOKUP($A148,'Audit Values'!$A:$BZ,2,FALSE)),0,VLOOKUP($A148,'Audit Values'!$A:$BZ,78,FALSE))</f>
        <v>1</v>
      </c>
      <c r="F148" s="299">
        <v>0.15126700000000001</v>
      </c>
      <c r="G148" s="301">
        <f>IF('2024 Legal Max'!BQ145&gt;0,1.014331, 0)</f>
        <v>0</v>
      </c>
      <c r="H148" s="299">
        <f>'2024 Legal Max'!BT145</f>
        <v>0</v>
      </c>
      <c r="I148" s="299">
        <f>'2024 Legal Max'!BX145</f>
        <v>0.148447</v>
      </c>
      <c r="J148" s="302">
        <f>IF('2024 Legal Max'!BZ145&gt;0,0.03504,0)</f>
        <v>0</v>
      </c>
      <c r="K148" s="299">
        <f t="shared" si="8"/>
        <v>0.148447</v>
      </c>
      <c r="L148" s="299">
        <f t="shared" si="9"/>
        <v>0.15126700000000001</v>
      </c>
      <c r="M148" s="303">
        <f>MAX('2024 Legal Max'!BQ145,'2024 Legal Max'!BU145,'2024 Legal Max'!BY145,'2024 Legal Max'!BZ145)</f>
        <v>191.2</v>
      </c>
      <c r="N148" s="303">
        <f>'2024 Legal Max'!U145*'Low-High ENRL- 2023 HSubSB 113'!L148</f>
        <v>194.9</v>
      </c>
      <c r="O148" s="303">
        <f t="shared" si="7"/>
        <v>3.7</v>
      </c>
    </row>
    <row r="149" spans="1:15">
      <c r="A149" s="255" t="s">
        <v>331</v>
      </c>
      <c r="B149" s="255" t="s">
        <v>64</v>
      </c>
      <c r="C149" s="255" t="s">
        <v>64</v>
      </c>
      <c r="D149" s="255">
        <v>0</v>
      </c>
      <c r="E149" s="320">
        <f>IF(ISNA(VLOOKUP($A149,'Audit Values'!$A:$BZ,2,FALSE)),0,VLOOKUP($A149,'Audit Values'!$A:$BZ,78,FALSE))</f>
        <v>0</v>
      </c>
      <c r="F149" s="299">
        <v>0.587565</v>
      </c>
      <c r="G149" s="301">
        <f>IF('2024 Legal Max'!BQ146&gt;0,1.014331, 0)</f>
        <v>0</v>
      </c>
      <c r="H149" s="299">
        <f>'2024 Legal Max'!BT146</f>
        <v>0.59021500000000005</v>
      </c>
      <c r="I149" s="299">
        <f>'2024 Legal Max'!BX146</f>
        <v>0</v>
      </c>
      <c r="J149" s="302">
        <f>IF('2024 Legal Max'!BZ146&gt;0,0.03504,0)</f>
        <v>0</v>
      </c>
      <c r="K149" s="299">
        <f t="shared" si="8"/>
        <v>0.59021500000000005</v>
      </c>
      <c r="L149" s="299">
        <f t="shared" si="9"/>
        <v>0.59021500000000005</v>
      </c>
      <c r="M149" s="303">
        <f>MAX('2024 Legal Max'!BQ146,'2024 Legal Max'!BU146,'2024 Legal Max'!BY146,'2024 Legal Max'!BZ146)</f>
        <v>153.5</v>
      </c>
      <c r="N149" s="303">
        <f>'2024 Legal Max'!U146*'Low-High ENRL- 2023 HSubSB 113'!L149</f>
        <v>153.5</v>
      </c>
      <c r="O149" s="303">
        <f t="shared" si="7"/>
        <v>0</v>
      </c>
    </row>
    <row r="150" spans="1:15">
      <c r="A150" s="255" t="s">
        <v>332</v>
      </c>
      <c r="B150" s="255" t="s">
        <v>3816</v>
      </c>
      <c r="C150" s="255" t="s">
        <v>64</v>
      </c>
      <c r="D150" s="255">
        <v>0</v>
      </c>
      <c r="E150" s="320">
        <f>IF(ISNA(VLOOKUP($A150,'Audit Values'!$A:$BZ,2,FALSE)),0,VLOOKUP($A150,'Audit Values'!$A:$BZ,78,FALSE))</f>
        <v>0</v>
      </c>
      <c r="F150" s="299">
        <v>0.47943000000000002</v>
      </c>
      <c r="G150" s="301">
        <f>IF('2024 Legal Max'!BQ147&gt;0,1.014331, 0)</f>
        <v>0</v>
      </c>
      <c r="H150" s="299">
        <f>'2024 Legal Max'!BT147</f>
        <v>0</v>
      </c>
      <c r="I150" s="299">
        <f>'2024 Legal Max'!BX147</f>
        <v>0.48112899999999997</v>
      </c>
      <c r="J150" s="302">
        <f>IF('2024 Legal Max'!BZ147&gt;0,0.03504,0)</f>
        <v>0</v>
      </c>
      <c r="K150" s="299">
        <f t="shared" si="8"/>
        <v>0.48112899999999997</v>
      </c>
      <c r="L150" s="299">
        <f t="shared" si="9"/>
        <v>0.48112899999999997</v>
      </c>
      <c r="M150" s="303">
        <f>MAX('2024 Legal Max'!BQ147,'2024 Legal Max'!BU147,'2024 Legal Max'!BY147,'2024 Legal Max'!BZ147)</f>
        <v>148.69999999999999</v>
      </c>
      <c r="N150" s="303">
        <f>'2024 Legal Max'!U147*'Low-High ENRL- 2023 HSubSB 113'!L150</f>
        <v>148.69999999999999</v>
      </c>
      <c r="O150" s="303">
        <f t="shared" si="7"/>
        <v>0</v>
      </c>
    </row>
    <row r="151" spans="1:15">
      <c r="A151" s="255" t="s">
        <v>333</v>
      </c>
      <c r="B151" s="255" t="s">
        <v>3817</v>
      </c>
      <c r="C151" s="255" t="s">
        <v>64</v>
      </c>
      <c r="D151" s="255">
        <v>0</v>
      </c>
      <c r="E151" s="320">
        <f>IF(ISNA(VLOOKUP($A151,'Audit Values'!$A:$BZ,2,FALSE)),0,VLOOKUP($A151,'Audit Values'!$A:$BZ,78,FALSE))</f>
        <v>0</v>
      </c>
      <c r="F151" s="299">
        <v>0.78239300000000001</v>
      </c>
      <c r="G151" s="301">
        <f>IF('2024 Legal Max'!BQ148&gt;0,1.014331, 0)</f>
        <v>0</v>
      </c>
      <c r="H151" s="299">
        <f>'2024 Legal Max'!BT148</f>
        <v>0.77178999999999998</v>
      </c>
      <c r="I151" s="299">
        <f>'2024 Legal Max'!BX148</f>
        <v>0</v>
      </c>
      <c r="J151" s="302">
        <f>IF('2024 Legal Max'!BZ148&gt;0,0.03504,0)</f>
        <v>0</v>
      </c>
      <c r="K151" s="299">
        <f t="shared" si="8"/>
        <v>0.77178999999999998</v>
      </c>
      <c r="L151" s="299">
        <f t="shared" si="9"/>
        <v>0.77178999999999998</v>
      </c>
      <c r="M151" s="303">
        <f>MAX('2024 Legal Max'!BQ148,'2024 Legal Max'!BU148,'2024 Legal Max'!BY148,'2024 Legal Max'!BZ148)</f>
        <v>147.80000000000001</v>
      </c>
      <c r="N151" s="303">
        <f>'2024 Legal Max'!U148*'Low-High ENRL- 2023 HSubSB 113'!L151</f>
        <v>147.80000000000001</v>
      </c>
      <c r="O151" s="303">
        <f t="shared" si="7"/>
        <v>0</v>
      </c>
    </row>
    <row r="152" spans="1:15">
      <c r="A152" s="255" t="s">
        <v>334</v>
      </c>
      <c r="B152" s="255" t="s">
        <v>3818</v>
      </c>
      <c r="C152" s="255" t="s">
        <v>65</v>
      </c>
      <c r="D152" s="255">
        <v>0</v>
      </c>
      <c r="E152" s="320">
        <f>IF(ISNA(VLOOKUP($A152,'Audit Values'!$A:$BZ,2,FALSE)),0,VLOOKUP($A152,'Audit Values'!$A:$BZ,78,FALSE))</f>
        <v>0</v>
      </c>
      <c r="F152" s="299">
        <v>0.28645300000000001</v>
      </c>
      <c r="G152" s="301">
        <f>IF('2024 Legal Max'!BQ149&gt;0,1.014331, 0)</f>
        <v>0</v>
      </c>
      <c r="H152" s="299">
        <f>'2024 Legal Max'!BT149</f>
        <v>0</v>
      </c>
      <c r="I152" s="299">
        <f>'2024 Legal Max'!BX149</f>
        <v>0.283055</v>
      </c>
      <c r="J152" s="302">
        <f>IF('2024 Legal Max'!BZ149&gt;0,0.03504,0)</f>
        <v>0</v>
      </c>
      <c r="K152" s="299">
        <f t="shared" si="8"/>
        <v>0.283055</v>
      </c>
      <c r="L152" s="299">
        <f t="shared" si="9"/>
        <v>0.283055</v>
      </c>
      <c r="M152" s="303">
        <f>MAX('2024 Legal Max'!BQ149,'2024 Legal Max'!BU149,'2024 Legal Max'!BY149,'2024 Legal Max'!BZ149)</f>
        <v>252.5</v>
      </c>
      <c r="N152" s="303">
        <f>'2024 Legal Max'!U149*'Low-High ENRL- 2023 HSubSB 113'!L152</f>
        <v>252.5</v>
      </c>
      <c r="O152" s="303">
        <f t="shared" si="7"/>
        <v>0</v>
      </c>
    </row>
    <row r="153" spans="1:15">
      <c r="A153" s="255" t="s">
        <v>335</v>
      </c>
      <c r="B153" s="255" t="s">
        <v>3819</v>
      </c>
      <c r="C153" s="255" t="s">
        <v>66</v>
      </c>
      <c r="D153" s="255">
        <v>0</v>
      </c>
      <c r="E153" s="320">
        <f>IF(ISNA(VLOOKUP($A153,'Audit Values'!$A:$BZ,2,FALSE)),0,VLOOKUP($A153,'Audit Values'!$A:$BZ,78,FALSE))</f>
        <v>0</v>
      </c>
      <c r="F153" s="299">
        <v>9.4969999999999999E-2</v>
      </c>
      <c r="G153" s="301">
        <f>IF('2024 Legal Max'!BQ150&gt;0,1.014331, 0)</f>
        <v>0</v>
      </c>
      <c r="H153" s="299">
        <f>'2024 Legal Max'!BT150</f>
        <v>0</v>
      </c>
      <c r="I153" s="299">
        <f>'2024 Legal Max'!BX150</f>
        <v>8.9398000000000005E-2</v>
      </c>
      <c r="J153" s="302">
        <f>IF('2024 Legal Max'!BZ150&gt;0,0.03504,0)</f>
        <v>0</v>
      </c>
      <c r="K153" s="299">
        <f t="shared" si="8"/>
        <v>8.9398000000000005E-2</v>
      </c>
      <c r="L153" s="299">
        <f t="shared" si="9"/>
        <v>8.9398000000000005E-2</v>
      </c>
      <c r="M153" s="303">
        <f>MAX('2024 Legal Max'!BQ150,'2024 Legal Max'!BU150,'2024 Legal Max'!BY150,'2024 Legal Max'!BZ150)</f>
        <v>130.69999999999999</v>
      </c>
      <c r="N153" s="303">
        <f>'2024 Legal Max'!U150*'Low-High ENRL- 2023 HSubSB 113'!L153</f>
        <v>130.69999999999999</v>
      </c>
      <c r="O153" s="303">
        <f t="shared" si="7"/>
        <v>0</v>
      </c>
    </row>
    <row r="154" spans="1:15">
      <c r="A154" s="255" t="s">
        <v>336</v>
      </c>
      <c r="B154" s="255" t="s">
        <v>3820</v>
      </c>
      <c r="C154" s="255" t="s">
        <v>67</v>
      </c>
      <c r="D154" s="255">
        <v>0</v>
      </c>
      <c r="E154" s="320">
        <f>IF(ISNA(VLOOKUP($A154,'Audit Values'!$A:$BZ,2,FALSE)),0,VLOOKUP($A154,'Audit Values'!$A:$BZ,78,FALSE))</f>
        <v>1</v>
      </c>
      <c r="F154" s="299">
        <v>0.445795</v>
      </c>
      <c r="G154" s="301">
        <f>IF('2024 Legal Max'!BQ151&gt;0,1.014331, 0)</f>
        <v>0</v>
      </c>
      <c r="H154" s="299">
        <f>'2024 Legal Max'!BT151</f>
        <v>0</v>
      </c>
      <c r="I154" s="299">
        <f>'2024 Legal Max'!BX151</f>
        <v>0.44049500000000003</v>
      </c>
      <c r="J154" s="302">
        <f>IF('2024 Legal Max'!BZ151&gt;0,0.03504,0)</f>
        <v>0</v>
      </c>
      <c r="K154" s="299">
        <f t="shared" si="8"/>
        <v>0.44049500000000003</v>
      </c>
      <c r="L154" s="299">
        <f t="shared" si="9"/>
        <v>0.445795</v>
      </c>
      <c r="M154" s="303">
        <f>MAX('2024 Legal Max'!BQ151,'2024 Legal Max'!BU151,'2024 Legal Max'!BY151,'2024 Legal Max'!BZ151)</f>
        <v>188.8</v>
      </c>
      <c r="N154" s="303">
        <f>'2024 Legal Max'!U151*'Low-High ENRL- 2023 HSubSB 113'!L154</f>
        <v>191.1</v>
      </c>
      <c r="O154" s="303">
        <f t="shared" si="7"/>
        <v>2.2999999999999998</v>
      </c>
    </row>
    <row r="155" spans="1:15">
      <c r="A155" s="255" t="s">
        <v>337</v>
      </c>
      <c r="B155" s="255" t="s">
        <v>3821</v>
      </c>
      <c r="C155" s="255" t="s">
        <v>66</v>
      </c>
      <c r="D155" s="255">
        <v>0</v>
      </c>
      <c r="E155" s="320">
        <f>IF(ISNA(VLOOKUP($A155,'Audit Values'!$A:$BZ,2,FALSE)),0,VLOOKUP($A155,'Audit Values'!$A:$BZ,78,FALSE))</f>
        <v>0</v>
      </c>
      <c r="F155" s="299">
        <v>0.44966800000000001</v>
      </c>
      <c r="G155" s="301">
        <f>IF('2024 Legal Max'!BQ152&gt;0,1.014331, 0)</f>
        <v>0</v>
      </c>
      <c r="H155" s="299">
        <f>'2024 Legal Max'!BT152</f>
        <v>0</v>
      </c>
      <c r="I155" s="299">
        <f>'2024 Legal Max'!BX152</f>
        <v>0.45275900000000002</v>
      </c>
      <c r="J155" s="302">
        <f>IF('2024 Legal Max'!BZ152&gt;0,0.03504,0)</f>
        <v>0</v>
      </c>
      <c r="K155" s="299">
        <f t="shared" si="8"/>
        <v>0.45275900000000002</v>
      </c>
      <c r="L155" s="299">
        <f t="shared" si="9"/>
        <v>0.45275900000000002</v>
      </c>
      <c r="M155" s="303">
        <f>MAX('2024 Legal Max'!BQ152,'2024 Legal Max'!BU152,'2024 Legal Max'!BY152,'2024 Legal Max'!BZ152)</f>
        <v>177.7</v>
      </c>
      <c r="N155" s="303">
        <f>'2024 Legal Max'!U152*'Low-High ENRL- 2023 HSubSB 113'!L155</f>
        <v>177.7</v>
      </c>
      <c r="O155" s="303">
        <f t="shared" si="7"/>
        <v>0</v>
      </c>
    </row>
    <row r="156" spans="1:15">
      <c r="A156" s="255" t="s">
        <v>338</v>
      </c>
      <c r="B156" s="255" t="s">
        <v>3822</v>
      </c>
      <c r="C156" s="255" t="s">
        <v>66</v>
      </c>
      <c r="D156" s="255">
        <v>0</v>
      </c>
      <c r="E156" s="320">
        <f>IF(ISNA(VLOOKUP($A156,'Audit Values'!$A:$BZ,2,FALSE)),0,VLOOKUP($A156,'Audit Values'!$A:$BZ,78,FALSE))</f>
        <v>0</v>
      </c>
      <c r="F156" s="299">
        <v>0.39000800000000002</v>
      </c>
      <c r="G156" s="301">
        <f>IF('2024 Legal Max'!BQ153&gt;0,1.014331, 0)</f>
        <v>0</v>
      </c>
      <c r="H156" s="299">
        <f>'2024 Legal Max'!BT153</f>
        <v>0</v>
      </c>
      <c r="I156" s="299">
        <f>'2024 Legal Max'!BX153</f>
        <v>0.38983800000000002</v>
      </c>
      <c r="J156" s="302">
        <f>IF('2024 Legal Max'!BZ153&gt;0,0.03504,0)</f>
        <v>0</v>
      </c>
      <c r="K156" s="299">
        <f t="shared" si="8"/>
        <v>0.38983800000000002</v>
      </c>
      <c r="L156" s="299">
        <f t="shared" si="9"/>
        <v>0.38983800000000002</v>
      </c>
      <c r="M156" s="303">
        <f>MAX('2024 Legal Max'!BQ153,'2024 Legal Max'!BU153,'2024 Legal Max'!BY153,'2024 Legal Max'!BZ153)</f>
        <v>225.2</v>
      </c>
      <c r="N156" s="303">
        <f>'2024 Legal Max'!U153*'Low-High ENRL- 2023 HSubSB 113'!L156</f>
        <v>225.2</v>
      </c>
      <c r="O156" s="303">
        <f t="shared" si="7"/>
        <v>0</v>
      </c>
    </row>
    <row r="157" spans="1:15">
      <c r="A157" s="255" t="s">
        <v>339</v>
      </c>
      <c r="B157" s="255" t="s">
        <v>3823</v>
      </c>
      <c r="C157" s="255" t="s">
        <v>66</v>
      </c>
      <c r="D157" s="255">
        <v>0</v>
      </c>
      <c r="E157" s="320">
        <f>IF(ISNA(VLOOKUP($A157,'Audit Values'!$A:$BZ,2,FALSE)),0,VLOOKUP($A157,'Audit Values'!$A:$BZ,78,FALSE))</f>
        <v>0</v>
      </c>
      <c r="F157" s="299">
        <v>0.45755000000000001</v>
      </c>
      <c r="G157" s="301">
        <f>IF('2024 Legal Max'!BQ154&gt;0,1.014331, 0)</f>
        <v>0</v>
      </c>
      <c r="H157" s="299">
        <f>'2024 Legal Max'!BT154</f>
        <v>0</v>
      </c>
      <c r="I157" s="299">
        <f>'2024 Legal Max'!BX154</f>
        <v>0.45490000000000003</v>
      </c>
      <c r="J157" s="302">
        <f>IF('2024 Legal Max'!BZ154&gt;0,0.03504,0)</f>
        <v>0</v>
      </c>
      <c r="K157" s="299">
        <f t="shared" si="8"/>
        <v>0.45490000000000003</v>
      </c>
      <c r="L157" s="299">
        <f t="shared" si="9"/>
        <v>0.45490000000000003</v>
      </c>
      <c r="M157" s="303">
        <f>MAX('2024 Legal Max'!BQ154,'2024 Legal Max'!BU154,'2024 Legal Max'!BY154,'2024 Legal Max'!BZ154)</f>
        <v>175.7</v>
      </c>
      <c r="N157" s="303">
        <f>'2024 Legal Max'!U154*'Low-High ENRL- 2023 HSubSB 113'!L157</f>
        <v>175.7</v>
      </c>
      <c r="O157" s="303">
        <f t="shared" si="7"/>
        <v>0</v>
      </c>
    </row>
    <row r="158" spans="1:15">
      <c r="A158" s="255" t="s">
        <v>340</v>
      </c>
      <c r="B158" s="255" t="s">
        <v>3824</v>
      </c>
      <c r="C158" s="255" t="s">
        <v>66</v>
      </c>
      <c r="D158" s="255">
        <v>0</v>
      </c>
      <c r="E158" s="320">
        <f>IF(ISNA(VLOOKUP($A158,'Audit Values'!$A:$BZ,2,FALSE)),0,VLOOKUP($A158,'Audit Values'!$A:$BZ,78,FALSE))</f>
        <v>0</v>
      </c>
      <c r="F158" s="299">
        <v>0.84733599999999998</v>
      </c>
      <c r="G158" s="301">
        <f>IF('2024 Legal Max'!BQ155&gt;0,1.014331, 0)</f>
        <v>0</v>
      </c>
      <c r="H158" s="299">
        <f>'2024 Legal Max'!BT155</f>
        <v>0.84468500000000002</v>
      </c>
      <c r="I158" s="299">
        <f>'2024 Legal Max'!BX155</f>
        <v>0</v>
      </c>
      <c r="J158" s="302">
        <f>IF('2024 Legal Max'!BZ155&gt;0,0.03504,0)</f>
        <v>0</v>
      </c>
      <c r="K158" s="299">
        <f t="shared" si="8"/>
        <v>0.84468500000000002</v>
      </c>
      <c r="L158" s="299">
        <f t="shared" si="9"/>
        <v>0.84468500000000002</v>
      </c>
      <c r="M158" s="303">
        <f>MAX('2024 Legal Max'!BQ155,'2024 Legal Max'!BU155,'2024 Legal Max'!BY155,'2024 Legal Max'!BZ155)</f>
        <v>138.5</v>
      </c>
      <c r="N158" s="303">
        <f>'2024 Legal Max'!U155*'Low-High ENRL- 2023 HSubSB 113'!L158</f>
        <v>138.5</v>
      </c>
      <c r="O158" s="303">
        <f t="shared" si="7"/>
        <v>0</v>
      </c>
    </row>
    <row r="159" spans="1:15">
      <c r="A159" s="255" t="s">
        <v>341</v>
      </c>
      <c r="B159" s="255" t="s">
        <v>3825</v>
      </c>
      <c r="C159" s="255" t="s">
        <v>66</v>
      </c>
      <c r="D159" s="255">
        <v>0</v>
      </c>
      <c r="E159" s="320">
        <f>IF(ISNA(VLOOKUP($A159,'Audit Values'!$A:$BZ,2,FALSE)),0,VLOOKUP($A159,'Audit Values'!$A:$BZ,78,FALSE))</f>
        <v>0</v>
      </c>
      <c r="F159" s="299">
        <v>0.66867699999999997</v>
      </c>
      <c r="G159" s="301">
        <f>IF('2024 Legal Max'!BQ156&gt;0,1.014331, 0)</f>
        <v>0</v>
      </c>
      <c r="H159" s="299">
        <f>'2024 Legal Max'!BT156</f>
        <v>0.67132700000000001</v>
      </c>
      <c r="I159" s="299">
        <f>'2024 Legal Max'!BX156</f>
        <v>0</v>
      </c>
      <c r="J159" s="302">
        <f>IF('2024 Legal Max'!BZ156&gt;0,0.03504,0)</f>
        <v>0</v>
      </c>
      <c r="K159" s="299">
        <f t="shared" si="8"/>
        <v>0.67132700000000001</v>
      </c>
      <c r="L159" s="299">
        <f t="shared" si="9"/>
        <v>0.67132700000000001</v>
      </c>
      <c r="M159" s="303">
        <f>MAX('2024 Legal Max'!BQ156,'2024 Legal Max'!BU156,'2024 Legal Max'!BY156,'2024 Legal Max'!BZ156)</f>
        <v>154</v>
      </c>
      <c r="N159" s="303">
        <f>'2024 Legal Max'!U156*'Low-High ENRL- 2023 HSubSB 113'!L159</f>
        <v>154</v>
      </c>
      <c r="O159" s="303">
        <f t="shared" si="7"/>
        <v>0</v>
      </c>
    </row>
    <row r="160" spans="1:15">
      <c r="A160" s="255" t="s">
        <v>342</v>
      </c>
      <c r="B160" s="255" t="s">
        <v>807</v>
      </c>
      <c r="C160" s="255" t="s">
        <v>68</v>
      </c>
      <c r="D160" s="255">
        <v>0</v>
      </c>
      <c r="E160" s="320">
        <f>IF(ISNA(VLOOKUP($A160,'Audit Values'!$A:$BZ,2,FALSE)),0,VLOOKUP($A160,'Audit Values'!$A:$BZ,78,FALSE))</f>
        <v>0</v>
      </c>
      <c r="F160" s="299">
        <v>0.33014399999999999</v>
      </c>
      <c r="G160" s="301">
        <f>IF('2024 Legal Max'!BQ157&gt;0,1.014331, 0)</f>
        <v>0</v>
      </c>
      <c r="H160" s="299">
        <f>'2024 Legal Max'!BT157</f>
        <v>0</v>
      </c>
      <c r="I160" s="299">
        <f>'2024 Legal Max'!BX157</f>
        <v>0.32073299999999999</v>
      </c>
      <c r="J160" s="302">
        <f>IF('2024 Legal Max'!BZ157&gt;0,0.03504,0)</f>
        <v>0</v>
      </c>
      <c r="K160" s="299">
        <f t="shared" si="8"/>
        <v>0.32073299999999999</v>
      </c>
      <c r="L160" s="299">
        <f t="shared" si="9"/>
        <v>0.32073299999999999</v>
      </c>
      <c r="M160" s="303">
        <f>MAX('2024 Legal Max'!BQ157,'2024 Legal Max'!BU157,'2024 Legal Max'!BY157,'2024 Legal Max'!BZ157)</f>
        <v>250.5</v>
      </c>
      <c r="N160" s="303">
        <f>'2024 Legal Max'!U157*'Low-High ENRL- 2023 HSubSB 113'!L160</f>
        <v>250.5</v>
      </c>
      <c r="O160" s="303">
        <f t="shared" si="7"/>
        <v>0</v>
      </c>
    </row>
    <row r="161" spans="1:15">
      <c r="A161" s="255" t="s">
        <v>343</v>
      </c>
      <c r="B161" s="255" t="s">
        <v>3826</v>
      </c>
      <c r="C161" s="255" t="s">
        <v>60</v>
      </c>
      <c r="D161" s="255">
        <v>0</v>
      </c>
      <c r="E161" s="320">
        <f>IF(ISNA(VLOOKUP($A161,'Audit Values'!$A:$BZ,2,FALSE)),0,VLOOKUP($A161,'Audit Values'!$A:$BZ,78,FALSE))</f>
        <v>0</v>
      </c>
      <c r="F161" s="299">
        <v>0.29532000000000003</v>
      </c>
      <c r="G161" s="301">
        <f>IF('2024 Legal Max'!BQ158&gt;0,1.014331, 0)</f>
        <v>0</v>
      </c>
      <c r="H161" s="299">
        <f>'2024 Legal Max'!BT158</f>
        <v>0</v>
      </c>
      <c r="I161" s="299">
        <f>'2024 Legal Max'!BX158</f>
        <v>0.29328199999999999</v>
      </c>
      <c r="J161" s="302">
        <f>IF('2024 Legal Max'!BZ158&gt;0,0.03504,0)</f>
        <v>0</v>
      </c>
      <c r="K161" s="299">
        <f t="shared" si="8"/>
        <v>0.29328199999999999</v>
      </c>
      <c r="L161" s="299">
        <f t="shared" si="9"/>
        <v>0.29328199999999999</v>
      </c>
      <c r="M161" s="303">
        <f>MAX('2024 Legal Max'!BQ158,'2024 Legal Max'!BU158,'2024 Legal Max'!BY158,'2024 Legal Max'!BZ158)</f>
        <v>252.8</v>
      </c>
      <c r="N161" s="303">
        <f>'2024 Legal Max'!U158*'Low-High ENRL- 2023 HSubSB 113'!L161</f>
        <v>252.8</v>
      </c>
      <c r="O161" s="303">
        <f t="shared" si="7"/>
        <v>0</v>
      </c>
    </row>
    <row r="162" spans="1:15">
      <c r="A162" s="255" t="s">
        <v>344</v>
      </c>
      <c r="B162" s="255" t="s">
        <v>3827</v>
      </c>
      <c r="C162" s="255" t="s">
        <v>69</v>
      </c>
      <c r="D162" s="255">
        <v>0</v>
      </c>
      <c r="E162" s="320">
        <f>IF(ISNA(VLOOKUP($A162,'Audit Values'!$A:$BZ,2,FALSE)),0,VLOOKUP($A162,'Audit Values'!$A:$BZ,78,FALSE))</f>
        <v>0</v>
      </c>
      <c r="F162" s="299">
        <v>0.26453900000000002</v>
      </c>
      <c r="G162" s="301">
        <f>IF('2024 Legal Max'!BQ159&gt;0,1.014331, 0)</f>
        <v>0</v>
      </c>
      <c r="H162" s="299">
        <f>'2024 Legal Max'!BT159</f>
        <v>0</v>
      </c>
      <c r="I162" s="299">
        <f>'2024 Legal Max'!BX159</f>
        <v>0.26318000000000003</v>
      </c>
      <c r="J162" s="302">
        <f>IF('2024 Legal Max'!BZ159&gt;0,0.03504,0)</f>
        <v>0</v>
      </c>
      <c r="K162" s="299">
        <f t="shared" si="8"/>
        <v>0.26318000000000003</v>
      </c>
      <c r="L162" s="299">
        <f t="shared" si="9"/>
        <v>0.26318000000000003</v>
      </c>
      <c r="M162" s="303">
        <f>MAX('2024 Legal Max'!BQ159,'2024 Legal Max'!BU159,'2024 Legal Max'!BY159,'2024 Legal Max'!BZ159)</f>
        <v>250.2</v>
      </c>
      <c r="N162" s="303">
        <f>'2024 Legal Max'!U159*'Low-High ENRL- 2023 HSubSB 113'!L162</f>
        <v>250.2</v>
      </c>
      <c r="O162" s="303">
        <f t="shared" si="7"/>
        <v>0</v>
      </c>
    </row>
    <row r="163" spans="1:15">
      <c r="A163" s="255" t="s">
        <v>345</v>
      </c>
      <c r="B163" s="255" t="s">
        <v>3828</v>
      </c>
      <c r="C163" s="255" t="s">
        <v>70</v>
      </c>
      <c r="D163" s="255">
        <v>0</v>
      </c>
      <c r="E163" s="320">
        <f>IF(ISNA(VLOOKUP($A163,'Audit Values'!$A:$BZ,2,FALSE)),0,VLOOKUP($A163,'Audit Values'!$A:$BZ,78,FALSE))</f>
        <v>0</v>
      </c>
      <c r="F163" s="299">
        <v>0.33187699999999998</v>
      </c>
      <c r="G163" s="301">
        <f>IF('2024 Legal Max'!BQ160&gt;0,1.014331, 0)</f>
        <v>0</v>
      </c>
      <c r="H163" s="299">
        <f>'2024 Legal Max'!BT160</f>
        <v>0</v>
      </c>
      <c r="I163" s="299">
        <f>'2024 Legal Max'!BX160</f>
        <v>0.32501400000000003</v>
      </c>
      <c r="J163" s="302">
        <f>IF('2024 Legal Max'!BZ160&gt;0,0.03504,0)</f>
        <v>0</v>
      </c>
      <c r="K163" s="299">
        <f t="shared" si="8"/>
        <v>0.32501400000000003</v>
      </c>
      <c r="L163" s="299">
        <f t="shared" si="9"/>
        <v>0.32501400000000003</v>
      </c>
      <c r="M163" s="303">
        <f>MAX('2024 Legal Max'!BQ160,'2024 Legal Max'!BU160,'2024 Legal Max'!BY160,'2024 Legal Max'!BZ160)</f>
        <v>249.8</v>
      </c>
      <c r="N163" s="303">
        <f>'2024 Legal Max'!U160*'Low-High ENRL- 2023 HSubSB 113'!L163</f>
        <v>249.8</v>
      </c>
      <c r="O163" s="303">
        <f t="shared" si="7"/>
        <v>0</v>
      </c>
    </row>
    <row r="164" spans="1:15">
      <c r="A164" s="255" t="s">
        <v>346</v>
      </c>
      <c r="B164" s="255" t="s">
        <v>3829</v>
      </c>
      <c r="C164" s="255" t="s">
        <v>71</v>
      </c>
      <c r="D164" s="255">
        <v>0</v>
      </c>
      <c r="E164" s="320">
        <f>IF(ISNA(VLOOKUP($A164,'Audit Values'!$A:$BZ,2,FALSE)),0,VLOOKUP($A164,'Audit Values'!$A:$BZ,78,FALSE))</f>
        <v>0</v>
      </c>
      <c r="F164" s="299">
        <v>0.26980500000000002</v>
      </c>
      <c r="G164" s="301">
        <f>IF('2024 Legal Max'!BQ161&gt;0,1.014331, 0)</f>
        <v>0</v>
      </c>
      <c r="H164" s="299">
        <f>'2024 Legal Max'!BT161</f>
        <v>0</v>
      </c>
      <c r="I164" s="299">
        <f>'2024 Legal Max'!BX161</f>
        <v>0.26946500000000001</v>
      </c>
      <c r="J164" s="302">
        <f>IF('2024 Legal Max'!BZ161&gt;0,0.03504,0)</f>
        <v>0</v>
      </c>
      <c r="K164" s="299">
        <f t="shared" si="8"/>
        <v>0.26946500000000001</v>
      </c>
      <c r="L164" s="299">
        <f t="shared" si="9"/>
        <v>0.26946500000000001</v>
      </c>
      <c r="M164" s="303">
        <f>MAX('2024 Legal Max'!BQ161,'2024 Legal Max'!BU161,'2024 Legal Max'!BY161,'2024 Legal Max'!BZ161)</f>
        <v>251.1</v>
      </c>
      <c r="N164" s="303">
        <f>'2024 Legal Max'!U161*'Low-High ENRL- 2023 HSubSB 113'!L164</f>
        <v>251.1</v>
      </c>
      <c r="O164" s="303">
        <f t="shared" si="7"/>
        <v>0</v>
      </c>
    </row>
    <row r="165" spans="1:15">
      <c r="A165" s="255" t="s">
        <v>347</v>
      </c>
      <c r="B165" s="255" t="s">
        <v>72</v>
      </c>
      <c r="C165" s="255" t="s">
        <v>72</v>
      </c>
      <c r="D165" s="255">
        <v>0</v>
      </c>
      <c r="E165" s="320">
        <f>IF(ISNA(VLOOKUP($A165,'Audit Values'!$A:$BZ,2,FALSE)),0,VLOOKUP($A165,'Audit Values'!$A:$BZ,78,FALSE))</f>
        <v>0</v>
      </c>
      <c r="F165" s="299">
        <v>0.45055099999999998</v>
      </c>
      <c r="G165" s="301">
        <f>IF('2024 Legal Max'!BQ162&gt;0,1.014331, 0)</f>
        <v>0</v>
      </c>
      <c r="H165" s="299">
        <f>'2024 Legal Max'!BT162</f>
        <v>0</v>
      </c>
      <c r="I165" s="299">
        <f>'2024 Legal Max'!BX162</f>
        <v>0.45428800000000003</v>
      </c>
      <c r="J165" s="302">
        <f>IF('2024 Legal Max'!BZ162&gt;0,0.03504,0)</f>
        <v>0</v>
      </c>
      <c r="K165" s="299">
        <f t="shared" si="8"/>
        <v>0.45428800000000003</v>
      </c>
      <c r="L165" s="299">
        <f t="shared" si="9"/>
        <v>0.45428800000000003</v>
      </c>
      <c r="M165" s="303">
        <f>MAX('2024 Legal Max'!BQ162,'2024 Legal Max'!BU162,'2024 Legal Max'!BY162,'2024 Legal Max'!BZ162)</f>
        <v>176.3</v>
      </c>
      <c r="N165" s="303">
        <f>'2024 Legal Max'!U162*'Low-High ENRL- 2023 HSubSB 113'!L165</f>
        <v>176.3</v>
      </c>
      <c r="O165" s="303">
        <f t="shared" si="7"/>
        <v>0</v>
      </c>
    </row>
    <row r="166" spans="1:15">
      <c r="A166" s="255" t="s">
        <v>348</v>
      </c>
      <c r="B166" s="255" t="s">
        <v>3830</v>
      </c>
      <c r="C166" s="255" t="s">
        <v>73</v>
      </c>
      <c r="D166" s="255">
        <v>0</v>
      </c>
      <c r="E166" s="320">
        <f>IF(ISNA(VLOOKUP($A166,'Audit Values'!$A:$BZ,2,FALSE)),0,VLOOKUP($A166,'Audit Values'!$A:$BZ,78,FALSE))</f>
        <v>0</v>
      </c>
      <c r="F166" s="299">
        <v>0.23572799999999999</v>
      </c>
      <c r="G166" s="301">
        <f>IF('2024 Legal Max'!BQ163&gt;0,1.014331, 0)</f>
        <v>0</v>
      </c>
      <c r="H166" s="299">
        <f>'2024 Legal Max'!BT163</f>
        <v>0</v>
      </c>
      <c r="I166" s="299">
        <f>'2024 Legal Max'!BX163</f>
        <v>0.23752899999999999</v>
      </c>
      <c r="J166" s="302">
        <f>IF('2024 Legal Max'!BZ163&gt;0,0.03504,0)</f>
        <v>0</v>
      </c>
      <c r="K166" s="299">
        <f t="shared" si="8"/>
        <v>0.23752899999999999</v>
      </c>
      <c r="L166" s="299">
        <f t="shared" si="9"/>
        <v>0.23752899999999999</v>
      </c>
      <c r="M166" s="303">
        <f>MAX('2024 Legal Max'!BQ163,'2024 Legal Max'!BU163,'2024 Legal Max'!BY163,'2024 Legal Max'!BZ163)</f>
        <v>243.7</v>
      </c>
      <c r="N166" s="303">
        <f>'2024 Legal Max'!U163*'Low-High ENRL- 2023 HSubSB 113'!L166</f>
        <v>243.7</v>
      </c>
      <c r="O166" s="303">
        <f t="shared" si="7"/>
        <v>0</v>
      </c>
    </row>
    <row r="167" spans="1:15">
      <c r="A167" s="255" t="s">
        <v>349</v>
      </c>
      <c r="B167" s="255" t="s">
        <v>3831</v>
      </c>
      <c r="C167" s="255" t="s">
        <v>73</v>
      </c>
      <c r="D167" s="255">
        <v>0</v>
      </c>
      <c r="E167" s="320">
        <f>IF(ISNA(VLOOKUP($A167,'Audit Values'!$A:$BZ,2,FALSE)),0,VLOOKUP($A167,'Audit Values'!$A:$BZ,78,FALSE))</f>
        <v>0</v>
      </c>
      <c r="F167" s="300">
        <v>3.5040000000000002E-2</v>
      </c>
      <c r="G167" s="301">
        <f>IF('2024 Legal Max'!BQ164&gt;0,1.014331, 0)</f>
        <v>0</v>
      </c>
      <c r="H167" s="299">
        <f>'2024 Legal Max'!BT164</f>
        <v>0</v>
      </c>
      <c r="I167" s="299">
        <f>'2024 Legal Max'!BX164</f>
        <v>0</v>
      </c>
      <c r="J167" s="302">
        <f>IF('2024 Legal Max'!BZ164&gt;0,0.03504,0)</f>
        <v>3.5040000000000002E-2</v>
      </c>
      <c r="K167" s="299">
        <f t="shared" si="8"/>
        <v>3.5040000000000002E-2</v>
      </c>
      <c r="L167" s="299">
        <f t="shared" si="9"/>
        <v>3.5040000000000002E-2</v>
      </c>
      <c r="M167" s="303">
        <f>MAX('2024 Legal Max'!BQ164,'2024 Legal Max'!BU164,'2024 Legal Max'!BY164,'2024 Legal Max'!BZ164)</f>
        <v>62.1</v>
      </c>
      <c r="N167" s="303">
        <f>'2024 Legal Max'!U164*'Low-High ENRL- 2023 HSubSB 113'!L167</f>
        <v>62.1</v>
      </c>
      <c r="O167" s="303">
        <f t="shared" si="7"/>
        <v>0</v>
      </c>
    </row>
    <row r="168" spans="1:15">
      <c r="A168" s="255" t="s">
        <v>350</v>
      </c>
      <c r="B168" s="255" t="s">
        <v>3832</v>
      </c>
      <c r="C168" s="255" t="s">
        <v>74</v>
      </c>
      <c r="D168" s="255">
        <v>0</v>
      </c>
      <c r="E168" s="320">
        <f>IF(ISNA(VLOOKUP($A168,'Audit Values'!$A:$BZ,2,FALSE)),0,VLOOKUP($A168,'Audit Values'!$A:$BZ,78,FALSE))</f>
        <v>0</v>
      </c>
      <c r="F168" s="299">
        <v>0.76251199999999997</v>
      </c>
      <c r="G168" s="301">
        <f>IF('2024 Legal Max'!BQ165&gt;0,1.014331, 0)</f>
        <v>0</v>
      </c>
      <c r="H168" s="299">
        <f>'2024 Legal Max'!BT165</f>
        <v>0.80889999999999995</v>
      </c>
      <c r="I168" s="299">
        <f>'2024 Legal Max'!BX165</f>
        <v>0</v>
      </c>
      <c r="J168" s="302">
        <f>IF('2024 Legal Max'!BZ165&gt;0,0.03504,0)</f>
        <v>0</v>
      </c>
      <c r="K168" s="299">
        <f t="shared" si="8"/>
        <v>0.80889999999999995</v>
      </c>
      <c r="L168" s="299">
        <f t="shared" si="9"/>
        <v>0.80889999999999995</v>
      </c>
      <c r="M168" s="303">
        <f>MAX('2024 Legal Max'!BQ165,'2024 Legal Max'!BU165,'2024 Legal Max'!BY165,'2024 Legal Max'!BZ165)</f>
        <v>143.6</v>
      </c>
      <c r="N168" s="303">
        <f>'2024 Legal Max'!U165*'Low-High ENRL- 2023 HSubSB 113'!L168</f>
        <v>143.6</v>
      </c>
      <c r="O168" s="303">
        <f t="shared" si="7"/>
        <v>0</v>
      </c>
    </row>
    <row r="169" spans="1:15">
      <c r="A169" s="255" t="s">
        <v>351</v>
      </c>
      <c r="B169" s="255" t="s">
        <v>3833</v>
      </c>
      <c r="C169" s="255" t="s">
        <v>5</v>
      </c>
      <c r="D169" s="255">
        <v>0</v>
      </c>
      <c r="E169" s="320">
        <f>IF(ISNA(VLOOKUP($A169,'Audit Values'!$A:$BZ,2,FALSE)),0,VLOOKUP($A169,'Audit Values'!$A:$BZ,78,FALSE))</f>
        <v>0</v>
      </c>
      <c r="F169" s="299">
        <v>0.78239300000000001</v>
      </c>
      <c r="G169" s="301">
        <f>IF('2024 Legal Max'!BQ166&gt;0,1.014331, 0)</f>
        <v>0</v>
      </c>
      <c r="H169" s="299">
        <f>'2024 Legal Max'!BT166</f>
        <v>0.77178999999999998</v>
      </c>
      <c r="I169" s="299">
        <f>'2024 Legal Max'!BX166</f>
        <v>0</v>
      </c>
      <c r="J169" s="302">
        <f>IF('2024 Legal Max'!BZ166&gt;0,0.03504,0)</f>
        <v>0</v>
      </c>
      <c r="K169" s="299">
        <f t="shared" si="8"/>
        <v>0.77178999999999998</v>
      </c>
      <c r="L169" s="299">
        <f t="shared" si="9"/>
        <v>0.77178999999999998</v>
      </c>
      <c r="M169" s="303">
        <f>MAX('2024 Legal Max'!BQ166,'2024 Legal Max'!BU166,'2024 Legal Max'!BY166,'2024 Legal Max'!BZ166)</f>
        <v>147.80000000000001</v>
      </c>
      <c r="N169" s="303">
        <f>'2024 Legal Max'!U166*'Low-High ENRL- 2023 HSubSB 113'!L169</f>
        <v>147.80000000000001</v>
      </c>
      <c r="O169" s="303">
        <f t="shared" si="7"/>
        <v>0</v>
      </c>
    </row>
    <row r="170" spans="1:15">
      <c r="A170" s="255" t="s">
        <v>352</v>
      </c>
      <c r="B170" s="255" t="s">
        <v>3834</v>
      </c>
      <c r="C170" s="255" t="s">
        <v>61</v>
      </c>
      <c r="D170" s="255">
        <v>0</v>
      </c>
      <c r="E170" s="320">
        <f>IF(ISNA(VLOOKUP($A170,'Audit Values'!$A:$BZ,2,FALSE)),0,VLOOKUP($A170,'Audit Values'!$A:$BZ,78,FALSE))</f>
        <v>0</v>
      </c>
      <c r="F170" s="299">
        <v>0.35083500000000001</v>
      </c>
      <c r="G170" s="301">
        <f>IF('2024 Legal Max'!BQ167&gt;0,1.014331, 0)</f>
        <v>0</v>
      </c>
      <c r="H170" s="299">
        <f>'2024 Legal Max'!BT167</f>
        <v>0</v>
      </c>
      <c r="I170" s="299">
        <f>'2024 Legal Max'!BX167</f>
        <v>0.350665</v>
      </c>
      <c r="J170" s="302">
        <f>IF('2024 Legal Max'!BZ167&gt;0,0.03504,0)</f>
        <v>0</v>
      </c>
      <c r="K170" s="299">
        <f t="shared" si="8"/>
        <v>0.350665</v>
      </c>
      <c r="L170" s="299">
        <f t="shared" si="9"/>
        <v>0.350665</v>
      </c>
      <c r="M170" s="303">
        <f>MAX('2024 Legal Max'!BQ167,'2024 Legal Max'!BU167,'2024 Legal Max'!BY167,'2024 Legal Max'!BZ167)</f>
        <v>243</v>
      </c>
      <c r="N170" s="303">
        <f>'2024 Legal Max'!U167*'Low-High ENRL- 2023 HSubSB 113'!L170</f>
        <v>243</v>
      </c>
      <c r="O170" s="303">
        <f t="shared" si="7"/>
        <v>0</v>
      </c>
    </row>
    <row r="171" spans="1:15">
      <c r="A171" s="255" t="s">
        <v>353</v>
      </c>
      <c r="B171" s="255" t="s">
        <v>3835</v>
      </c>
      <c r="C171" s="255" t="s">
        <v>74</v>
      </c>
      <c r="D171" s="255">
        <v>0</v>
      </c>
      <c r="E171" s="320">
        <f>IF(ISNA(VLOOKUP($A171,'Audit Values'!$A:$BZ,2,FALSE)),0,VLOOKUP($A171,'Audit Values'!$A:$BZ,78,FALSE))</f>
        <v>0</v>
      </c>
      <c r="F171" s="300">
        <v>3.5040000000000002E-2</v>
      </c>
      <c r="G171" s="301">
        <f>IF('2024 Legal Max'!BQ168&gt;0,1.014331, 0)</f>
        <v>0</v>
      </c>
      <c r="H171" s="299">
        <f>'2024 Legal Max'!BT168</f>
        <v>0</v>
      </c>
      <c r="I171" s="299">
        <f>'2024 Legal Max'!BX168</f>
        <v>0</v>
      </c>
      <c r="J171" s="302">
        <f>IF('2024 Legal Max'!BZ168&gt;0,0.03504,0)</f>
        <v>3.5040000000000002E-2</v>
      </c>
      <c r="K171" s="299">
        <f t="shared" si="8"/>
        <v>3.5040000000000002E-2</v>
      </c>
      <c r="L171" s="299">
        <f t="shared" si="9"/>
        <v>3.5040000000000002E-2</v>
      </c>
      <c r="M171" s="303">
        <f>MAX('2024 Legal Max'!BQ168,'2024 Legal Max'!BU168,'2024 Legal Max'!BY168,'2024 Legal Max'!BZ168)</f>
        <v>108.2</v>
      </c>
      <c r="N171" s="303">
        <f>'2024 Legal Max'!U168*'Low-High ENRL- 2023 HSubSB 113'!L171</f>
        <v>108.2</v>
      </c>
      <c r="O171" s="303">
        <f t="shared" si="7"/>
        <v>0</v>
      </c>
    </row>
    <row r="172" spans="1:15">
      <c r="A172" s="255" t="s">
        <v>354</v>
      </c>
      <c r="B172" s="255" t="s">
        <v>3836</v>
      </c>
      <c r="C172" s="255" t="s">
        <v>75</v>
      </c>
      <c r="D172" s="255">
        <v>0</v>
      </c>
      <c r="E172" s="320">
        <f>IF(ISNA(VLOOKUP($A172,'Audit Values'!$A:$BZ,2,FALSE)),0,VLOOKUP($A172,'Audit Values'!$A:$BZ,78,FALSE))</f>
        <v>0</v>
      </c>
      <c r="F172" s="299">
        <v>0.45850099999999999</v>
      </c>
      <c r="G172" s="301">
        <f>IF('2024 Legal Max'!BQ169&gt;0,1.014331, 0)</f>
        <v>0</v>
      </c>
      <c r="H172" s="299">
        <f>'2024 Legal Max'!BT169</f>
        <v>0</v>
      </c>
      <c r="I172" s="299">
        <f>'2024 Legal Max'!BX169</f>
        <v>0.45653100000000002</v>
      </c>
      <c r="J172" s="302">
        <f>IF('2024 Legal Max'!BZ169&gt;0,0.03504,0)</f>
        <v>0</v>
      </c>
      <c r="K172" s="299">
        <f t="shared" si="8"/>
        <v>0.45653100000000002</v>
      </c>
      <c r="L172" s="299">
        <f t="shared" si="9"/>
        <v>0.45653100000000002</v>
      </c>
      <c r="M172" s="303">
        <f>MAX('2024 Legal Max'!BQ169,'2024 Legal Max'!BU169,'2024 Legal Max'!BY169,'2024 Legal Max'!BZ169)</f>
        <v>174.1</v>
      </c>
      <c r="N172" s="303">
        <f>'2024 Legal Max'!U169*'Low-High ENRL- 2023 HSubSB 113'!L172</f>
        <v>174.1</v>
      </c>
      <c r="O172" s="303">
        <f t="shared" si="7"/>
        <v>0</v>
      </c>
    </row>
    <row r="173" spans="1:15">
      <c r="A173" s="255" t="s">
        <v>355</v>
      </c>
      <c r="B173" s="255" t="s">
        <v>3837</v>
      </c>
      <c r="C173" s="255" t="s">
        <v>10</v>
      </c>
      <c r="D173" s="255">
        <v>0</v>
      </c>
      <c r="E173" s="320">
        <f>IF(ISNA(VLOOKUP($A173,'Audit Values'!$A:$BZ,2,FALSE)),0,VLOOKUP($A173,'Audit Values'!$A:$BZ,78,FALSE))</f>
        <v>0</v>
      </c>
      <c r="F173" s="300">
        <v>3.5040000000000002E-2</v>
      </c>
      <c r="G173" s="301">
        <f>IF('2024 Legal Max'!BQ170&gt;0,1.014331, 0)</f>
        <v>0</v>
      </c>
      <c r="H173" s="299">
        <f>'2024 Legal Max'!BT170</f>
        <v>0</v>
      </c>
      <c r="I173" s="299">
        <f>'2024 Legal Max'!BX170</f>
        <v>0</v>
      </c>
      <c r="J173" s="302">
        <f>IF('2024 Legal Max'!BZ170&gt;0,0.03504,0)</f>
        <v>3.5040000000000002E-2</v>
      </c>
      <c r="K173" s="299">
        <f t="shared" si="8"/>
        <v>3.5040000000000002E-2</v>
      </c>
      <c r="L173" s="299">
        <f t="shared" si="9"/>
        <v>3.5040000000000002E-2</v>
      </c>
      <c r="M173" s="303">
        <f>MAX('2024 Legal Max'!BQ170,'2024 Legal Max'!BU170,'2024 Legal Max'!BY170,'2024 Legal Max'!BZ170)</f>
        <v>70.400000000000006</v>
      </c>
      <c r="N173" s="303">
        <f>'2024 Legal Max'!U170*'Low-High ENRL- 2023 HSubSB 113'!L173</f>
        <v>70.400000000000006</v>
      </c>
      <c r="O173" s="303">
        <f t="shared" si="7"/>
        <v>0</v>
      </c>
    </row>
    <row r="174" spans="1:15">
      <c r="A174" s="255" t="s">
        <v>356</v>
      </c>
      <c r="B174" s="255" t="s">
        <v>3838</v>
      </c>
      <c r="C174" s="255" t="s">
        <v>76</v>
      </c>
      <c r="D174" s="255">
        <v>0</v>
      </c>
      <c r="E174" s="320">
        <f>IF(ISNA(VLOOKUP($A174,'Audit Values'!$A:$BZ,2,FALSE)),0,VLOOKUP($A174,'Audit Values'!$A:$BZ,78,FALSE))</f>
        <v>0</v>
      </c>
      <c r="F174" s="299">
        <v>0.42238599999999998</v>
      </c>
      <c r="G174" s="301">
        <f>IF('2024 Legal Max'!BQ171&gt;0,1.014331, 0)</f>
        <v>0</v>
      </c>
      <c r="H174" s="299">
        <f>'2024 Legal Max'!BT171</f>
        <v>0</v>
      </c>
      <c r="I174" s="299">
        <f>'2024 Legal Max'!BX171</f>
        <v>0.42558000000000001</v>
      </c>
      <c r="J174" s="302">
        <f>IF('2024 Legal Max'!BZ171&gt;0,0.03504,0)</f>
        <v>0</v>
      </c>
      <c r="K174" s="299">
        <f t="shared" si="8"/>
        <v>0.42558000000000001</v>
      </c>
      <c r="L174" s="299">
        <f t="shared" si="9"/>
        <v>0.42558000000000001</v>
      </c>
      <c r="M174" s="303">
        <f>MAX('2024 Legal Max'!BQ171,'2024 Legal Max'!BU171,'2024 Legal Max'!BY171,'2024 Legal Max'!BZ171)</f>
        <v>201.1</v>
      </c>
      <c r="N174" s="303">
        <f>'2024 Legal Max'!U171*'Low-High ENRL- 2023 HSubSB 113'!L174</f>
        <v>201.1</v>
      </c>
      <c r="O174" s="303">
        <f t="shared" si="7"/>
        <v>0</v>
      </c>
    </row>
    <row r="175" spans="1:15">
      <c r="A175" s="255" t="s">
        <v>357</v>
      </c>
      <c r="B175" s="255" t="s">
        <v>3839</v>
      </c>
      <c r="C175" s="255" t="s">
        <v>77</v>
      </c>
      <c r="D175" s="255">
        <v>1</v>
      </c>
      <c r="E175" s="320">
        <f>IF(ISNA(VLOOKUP($A175,'Audit Values'!$A:$BZ,2,FALSE)),0,VLOOKUP($A175,'Audit Values'!$A:$BZ,78,FALSE))</f>
        <v>1</v>
      </c>
      <c r="F175" s="299">
        <v>0.42473</v>
      </c>
      <c r="G175" s="301">
        <f>IF('2024 Legal Max'!BQ172&gt;0,1.014331, 0)</f>
        <v>0</v>
      </c>
      <c r="H175" s="299">
        <f>'2024 Legal Max'!BT172</f>
        <v>0</v>
      </c>
      <c r="I175" s="299">
        <f>'2024 Legal Max'!BX172</f>
        <v>0.418105</v>
      </c>
      <c r="J175" s="302">
        <f>IF('2024 Legal Max'!BZ172&gt;0,0.03504,0)</f>
        <v>0</v>
      </c>
      <c r="K175" s="299">
        <f t="shared" si="8"/>
        <v>0.418105</v>
      </c>
      <c r="L175" s="299">
        <f t="shared" si="9"/>
        <v>0.42473</v>
      </c>
      <c r="M175" s="303">
        <f>MAX('2024 Legal Max'!BQ172,'2024 Legal Max'!BU172,'2024 Legal Max'!BY172,'2024 Legal Max'!BZ172)</f>
        <v>206.8</v>
      </c>
      <c r="N175" s="303">
        <f>'2024 Legal Max'!U172*'Low-High ENRL- 2023 HSubSB 113'!L175</f>
        <v>210</v>
      </c>
      <c r="O175" s="303">
        <f t="shared" si="7"/>
        <v>3.2</v>
      </c>
    </row>
    <row r="176" spans="1:15">
      <c r="A176" s="255" t="s">
        <v>358</v>
      </c>
      <c r="B176" s="255" t="s">
        <v>3840</v>
      </c>
      <c r="C176" s="255" t="s">
        <v>78</v>
      </c>
      <c r="D176" s="255">
        <v>0</v>
      </c>
      <c r="E176" s="320">
        <f>IF(ISNA(VLOOKUP($A176,'Audit Values'!$A:$BZ,2,FALSE)),0,VLOOKUP($A176,'Audit Values'!$A:$BZ,78,FALSE))</f>
        <v>0</v>
      </c>
      <c r="F176" s="299">
        <v>0.35711999999999999</v>
      </c>
      <c r="G176" s="301">
        <f>IF('2024 Legal Max'!BQ173&gt;0,1.014331, 0)</f>
        <v>0</v>
      </c>
      <c r="H176" s="299">
        <f>'2024 Legal Max'!BT173</f>
        <v>0</v>
      </c>
      <c r="I176" s="299">
        <f>'2024 Legal Max'!BX173</f>
        <v>0.357018</v>
      </c>
      <c r="J176" s="302">
        <f>IF('2024 Legal Max'!BZ173&gt;0,0.03504,0)</f>
        <v>0</v>
      </c>
      <c r="K176" s="299">
        <f t="shared" si="8"/>
        <v>0.357018</v>
      </c>
      <c r="L176" s="299">
        <f t="shared" si="9"/>
        <v>0.357018</v>
      </c>
      <c r="M176" s="303">
        <f>MAX('2024 Legal Max'!BQ173,'2024 Legal Max'!BU173,'2024 Legal Max'!BY173,'2024 Legal Max'!BZ173)</f>
        <v>240.7</v>
      </c>
      <c r="N176" s="303">
        <f>'2024 Legal Max'!U173*'Low-High ENRL- 2023 HSubSB 113'!L176</f>
        <v>240.7</v>
      </c>
      <c r="O176" s="303">
        <f t="shared" si="7"/>
        <v>0</v>
      </c>
    </row>
    <row r="177" spans="1:15">
      <c r="A177" s="255" t="s">
        <v>359</v>
      </c>
      <c r="B177" s="255" t="s">
        <v>3841</v>
      </c>
      <c r="C177" s="255" t="s">
        <v>79</v>
      </c>
      <c r="D177" s="255">
        <v>0</v>
      </c>
      <c r="E177" s="320">
        <f>IF(ISNA(VLOOKUP($A177,'Audit Values'!$A:$BZ,2,FALSE)),0,VLOOKUP($A177,'Audit Values'!$A:$BZ,78,FALSE))</f>
        <v>0</v>
      </c>
      <c r="F177" s="299">
        <v>0.14352000000000001</v>
      </c>
      <c r="G177" s="301">
        <f>IF('2024 Legal Max'!BQ174&gt;0,1.014331, 0)</f>
        <v>0</v>
      </c>
      <c r="H177" s="299">
        <f>'2024 Legal Max'!BT174</f>
        <v>0</v>
      </c>
      <c r="I177" s="299">
        <f>'2024 Legal Max'!BX174</f>
        <v>0.14216100000000001</v>
      </c>
      <c r="J177" s="302">
        <f>IF('2024 Legal Max'!BZ174&gt;0,0.03504,0)</f>
        <v>0</v>
      </c>
      <c r="K177" s="299">
        <f t="shared" si="8"/>
        <v>0.14216100000000001</v>
      </c>
      <c r="L177" s="299">
        <f t="shared" si="9"/>
        <v>0.14216100000000001</v>
      </c>
      <c r="M177" s="303">
        <f>MAX('2024 Legal Max'!BQ174,'2024 Legal Max'!BU174,'2024 Legal Max'!BY174,'2024 Legal Max'!BZ174)</f>
        <v>185.8</v>
      </c>
      <c r="N177" s="303">
        <f>'2024 Legal Max'!U174*'Low-High ENRL- 2023 HSubSB 113'!L177</f>
        <v>185.8</v>
      </c>
      <c r="O177" s="303">
        <f t="shared" si="7"/>
        <v>0</v>
      </c>
    </row>
    <row r="178" spans="1:15">
      <c r="A178" s="255" t="s">
        <v>360</v>
      </c>
      <c r="B178" s="255" t="s">
        <v>3842</v>
      </c>
      <c r="C178" s="255" t="s">
        <v>70</v>
      </c>
      <c r="D178" s="255">
        <v>1</v>
      </c>
      <c r="E178" s="320">
        <f>IF(ISNA(VLOOKUP($A178,'Audit Values'!$A:$BZ,2,FALSE)),0,VLOOKUP($A178,'Audit Values'!$A:$BZ,78,FALSE))</f>
        <v>1</v>
      </c>
      <c r="F178" s="299">
        <v>0.38467400000000002</v>
      </c>
      <c r="G178" s="301">
        <f>IF('2024 Legal Max'!BQ175&gt;0,1.014331, 0)</f>
        <v>0</v>
      </c>
      <c r="H178" s="299">
        <f>'2024 Legal Max'!BT175</f>
        <v>0</v>
      </c>
      <c r="I178" s="299">
        <f>'2024 Legal Max'!BX175</f>
        <v>0.38178600000000001</v>
      </c>
      <c r="J178" s="302">
        <f>IF('2024 Legal Max'!BZ175&gt;0,0.03504,0)</f>
        <v>0</v>
      </c>
      <c r="K178" s="299">
        <f t="shared" si="8"/>
        <v>0.38178600000000001</v>
      </c>
      <c r="L178" s="299">
        <f t="shared" si="9"/>
        <v>0.38467400000000002</v>
      </c>
      <c r="M178" s="303">
        <f>MAX('2024 Legal Max'!BQ175,'2024 Legal Max'!BU175,'2024 Legal Max'!BY175,'2024 Legal Max'!BZ175)</f>
        <v>229.6</v>
      </c>
      <c r="N178" s="303">
        <f>'2024 Legal Max'!U175*'Low-High ENRL- 2023 HSubSB 113'!L178</f>
        <v>231.3</v>
      </c>
      <c r="O178" s="303">
        <f t="shared" si="7"/>
        <v>1.7</v>
      </c>
    </row>
    <row r="179" spans="1:15">
      <c r="A179" s="255" t="s">
        <v>361</v>
      </c>
      <c r="B179" s="255" t="s">
        <v>3843</v>
      </c>
      <c r="C179" s="255" t="s">
        <v>80</v>
      </c>
      <c r="D179" s="255">
        <v>0</v>
      </c>
      <c r="E179" s="320">
        <f>IF(ISNA(VLOOKUP($A179,'Audit Values'!$A:$BZ,2,FALSE)),0,VLOOKUP($A179,'Audit Values'!$A:$BZ,78,FALSE))</f>
        <v>0</v>
      </c>
      <c r="F179" s="299">
        <v>0.47433399999999998</v>
      </c>
      <c r="G179" s="301">
        <f>IF('2024 Legal Max'!BQ176&gt;0,1.014331, 0)</f>
        <v>0</v>
      </c>
      <c r="H179" s="299">
        <f>'2024 Legal Max'!BT176</f>
        <v>0</v>
      </c>
      <c r="I179" s="299">
        <f>'2024 Legal Max'!BX176</f>
        <v>0.47484300000000002</v>
      </c>
      <c r="J179" s="302">
        <f>IF('2024 Legal Max'!BZ176&gt;0,0.03504,0)</f>
        <v>0</v>
      </c>
      <c r="K179" s="299">
        <f t="shared" si="8"/>
        <v>0.47484300000000002</v>
      </c>
      <c r="L179" s="299">
        <f t="shared" si="9"/>
        <v>0.47484300000000002</v>
      </c>
      <c r="M179" s="303">
        <f>MAX('2024 Legal Max'!BQ176,'2024 Legal Max'!BU176,'2024 Legal Max'!BY176,'2024 Legal Max'!BZ176)</f>
        <v>155.5</v>
      </c>
      <c r="N179" s="303">
        <f>'2024 Legal Max'!U176*'Low-High ENRL- 2023 HSubSB 113'!L179</f>
        <v>155.5</v>
      </c>
      <c r="O179" s="303">
        <f t="shared" si="7"/>
        <v>0</v>
      </c>
    </row>
    <row r="180" spans="1:15">
      <c r="A180" s="255" t="s">
        <v>362</v>
      </c>
      <c r="B180" s="255" t="s">
        <v>81</v>
      </c>
      <c r="C180" s="255" t="s">
        <v>81</v>
      </c>
      <c r="D180" s="255">
        <v>0</v>
      </c>
      <c r="E180" s="320">
        <f>IF(ISNA(VLOOKUP($A180,'Audit Values'!$A:$BZ,2,FALSE)),0,VLOOKUP($A180,'Audit Values'!$A:$BZ,78,FALSE))</f>
        <v>1</v>
      </c>
      <c r="F180" s="299">
        <v>0.20610200000000001</v>
      </c>
      <c r="G180" s="301">
        <f>IF('2024 Legal Max'!BQ177&gt;0,1.014331, 0)</f>
        <v>0</v>
      </c>
      <c r="H180" s="299">
        <f>'2024 Legal Max'!BT177</f>
        <v>0</v>
      </c>
      <c r="I180" s="299">
        <f>'2024 Legal Max'!BX177</f>
        <v>0.20474300000000001</v>
      </c>
      <c r="J180" s="302">
        <f>IF('2024 Legal Max'!BZ177&gt;0,0.03504,0)</f>
        <v>0</v>
      </c>
      <c r="K180" s="299">
        <f t="shared" si="8"/>
        <v>0.20474300000000001</v>
      </c>
      <c r="L180" s="299">
        <f t="shared" si="9"/>
        <v>0.20610200000000001</v>
      </c>
      <c r="M180" s="303">
        <f>MAX('2024 Legal Max'!BQ177,'2024 Legal Max'!BU177,'2024 Legal Max'!BY177,'2024 Legal Max'!BZ177)</f>
        <v>229.8</v>
      </c>
      <c r="N180" s="303">
        <f>'2024 Legal Max'!U177*'Low-High ENRL- 2023 HSubSB 113'!L180</f>
        <v>231.3</v>
      </c>
      <c r="O180" s="303">
        <f t="shared" si="7"/>
        <v>1.5</v>
      </c>
    </row>
    <row r="181" spans="1:15">
      <c r="A181" s="255" t="s">
        <v>363</v>
      </c>
      <c r="B181" s="255" t="s">
        <v>3844</v>
      </c>
      <c r="C181" s="255" t="s">
        <v>78</v>
      </c>
      <c r="D181" s="255">
        <v>0</v>
      </c>
      <c r="E181" s="320">
        <f>IF(ISNA(VLOOKUP($A181,'Audit Values'!$A:$BZ,2,FALSE)),0,VLOOKUP($A181,'Audit Values'!$A:$BZ,78,FALSE))</f>
        <v>0</v>
      </c>
      <c r="F181" s="300">
        <v>3.5040000000000002E-2</v>
      </c>
      <c r="G181" s="301">
        <f>IF('2024 Legal Max'!BQ178&gt;0,1.014331, 0)</f>
        <v>0</v>
      </c>
      <c r="H181" s="299">
        <f>'2024 Legal Max'!BT178</f>
        <v>0</v>
      </c>
      <c r="I181" s="299">
        <f>'2024 Legal Max'!BX178</f>
        <v>0</v>
      </c>
      <c r="J181" s="302">
        <f>IF('2024 Legal Max'!BZ178&gt;0,0.03504,0)</f>
        <v>3.5040000000000002E-2</v>
      </c>
      <c r="K181" s="299">
        <f t="shared" si="8"/>
        <v>3.5040000000000002E-2</v>
      </c>
      <c r="L181" s="299">
        <f t="shared" si="9"/>
        <v>3.5040000000000002E-2</v>
      </c>
      <c r="M181" s="303">
        <f>MAX('2024 Legal Max'!BQ178,'2024 Legal Max'!BU178,'2024 Legal Max'!BY178,'2024 Legal Max'!BZ178)</f>
        <v>233.4</v>
      </c>
      <c r="N181" s="303">
        <f>'2024 Legal Max'!U178*'Low-High ENRL- 2023 HSubSB 113'!L181</f>
        <v>233.4</v>
      </c>
      <c r="O181" s="303">
        <f t="shared" si="7"/>
        <v>0</v>
      </c>
    </row>
    <row r="182" spans="1:15">
      <c r="A182" s="255" t="s">
        <v>364</v>
      </c>
      <c r="B182" s="255" t="s">
        <v>3720</v>
      </c>
      <c r="C182" s="255" t="s">
        <v>78</v>
      </c>
      <c r="D182" s="255">
        <v>0</v>
      </c>
      <c r="E182" s="320">
        <f>IF(ISNA(VLOOKUP($A182,'Audit Values'!$A:$BZ,2,FALSE)),0,VLOOKUP($A182,'Audit Values'!$A:$BZ,78,FALSE))</f>
        <v>0</v>
      </c>
      <c r="F182" s="299">
        <v>0.65780899999999998</v>
      </c>
      <c r="G182" s="301">
        <f>IF('2024 Legal Max'!BQ179&gt;0,1.014331, 0)</f>
        <v>0</v>
      </c>
      <c r="H182" s="299">
        <f>'2024 Legal Max'!BT179</f>
        <v>0.61937299999999995</v>
      </c>
      <c r="I182" s="299">
        <f>'2024 Legal Max'!BX179</f>
        <v>0</v>
      </c>
      <c r="J182" s="302">
        <f>IF('2024 Legal Max'!BZ179&gt;0,0.03504,0)</f>
        <v>0</v>
      </c>
      <c r="K182" s="299">
        <f t="shared" si="8"/>
        <v>0.61937299999999995</v>
      </c>
      <c r="L182" s="299">
        <f t="shared" si="9"/>
        <v>0.61937299999999995</v>
      </c>
      <c r="M182" s="303">
        <f>MAX('2024 Legal Max'!BQ179,'2024 Legal Max'!BU179,'2024 Legal Max'!BY179,'2024 Legal Max'!BZ179)</f>
        <v>154.19999999999999</v>
      </c>
      <c r="N182" s="303">
        <f>'2024 Legal Max'!U179*'Low-High ENRL- 2023 HSubSB 113'!L182</f>
        <v>154.19999999999999</v>
      </c>
      <c r="O182" s="303">
        <f t="shared" si="7"/>
        <v>0</v>
      </c>
    </row>
    <row r="183" spans="1:15">
      <c r="A183" s="255" t="s">
        <v>365</v>
      </c>
      <c r="B183" s="255" t="s">
        <v>3845</v>
      </c>
      <c r="C183" s="255" t="s">
        <v>10</v>
      </c>
      <c r="D183" s="255">
        <v>0</v>
      </c>
      <c r="E183" s="320">
        <f>IF(ISNA(VLOOKUP($A183,'Audit Values'!$A:$BZ,2,FALSE)),0,VLOOKUP($A183,'Audit Values'!$A:$BZ,78,FALSE))</f>
        <v>0</v>
      </c>
      <c r="F183" s="300">
        <v>3.5040000000000002E-2</v>
      </c>
      <c r="G183" s="301">
        <f>IF('2024 Legal Max'!BQ180&gt;0,1.014331, 0)</f>
        <v>0</v>
      </c>
      <c r="H183" s="299">
        <f>'2024 Legal Max'!BT180</f>
        <v>0</v>
      </c>
      <c r="I183" s="299">
        <f>'2024 Legal Max'!BX180</f>
        <v>0</v>
      </c>
      <c r="J183" s="302">
        <f>IF('2024 Legal Max'!BZ180&gt;0,0.03504,0)</f>
        <v>3.5040000000000002E-2</v>
      </c>
      <c r="K183" s="299">
        <f t="shared" si="8"/>
        <v>3.5040000000000002E-2</v>
      </c>
      <c r="L183" s="299">
        <f t="shared" si="9"/>
        <v>3.5040000000000002E-2</v>
      </c>
      <c r="M183" s="303">
        <f>MAX('2024 Legal Max'!BQ180,'2024 Legal Max'!BU180,'2024 Legal Max'!BY180,'2024 Legal Max'!BZ180)</f>
        <v>196.9</v>
      </c>
      <c r="N183" s="303">
        <f>'2024 Legal Max'!U180*'Low-High ENRL- 2023 HSubSB 113'!L183</f>
        <v>196.9</v>
      </c>
      <c r="O183" s="303">
        <f t="shared" si="7"/>
        <v>0</v>
      </c>
    </row>
    <row r="184" spans="1:15">
      <c r="A184" s="255" t="s">
        <v>366</v>
      </c>
      <c r="B184" s="255" t="s">
        <v>3846</v>
      </c>
      <c r="C184" s="255" t="s">
        <v>82</v>
      </c>
      <c r="D184" s="255">
        <v>0</v>
      </c>
      <c r="E184" s="320">
        <f>IF(ISNA(VLOOKUP($A184,'Audit Values'!$A:$BZ,2,FALSE)),0,VLOOKUP($A184,'Audit Values'!$A:$BZ,78,FALSE))</f>
        <v>0</v>
      </c>
      <c r="F184" s="299">
        <v>0.67238799999999999</v>
      </c>
      <c r="G184" s="301">
        <f>IF('2024 Legal Max'!BQ181&gt;0,1.014331, 0)</f>
        <v>0</v>
      </c>
      <c r="H184" s="299">
        <f>'2024 Legal Max'!BT181</f>
        <v>0.67371300000000001</v>
      </c>
      <c r="I184" s="299">
        <f>'2024 Legal Max'!BX181</f>
        <v>0</v>
      </c>
      <c r="J184" s="302">
        <f>IF('2024 Legal Max'!BZ181&gt;0,0.03504,0)</f>
        <v>0</v>
      </c>
      <c r="K184" s="299">
        <f t="shared" si="8"/>
        <v>0.67371300000000001</v>
      </c>
      <c r="L184" s="299">
        <f t="shared" si="9"/>
        <v>0.67371300000000001</v>
      </c>
      <c r="M184" s="303">
        <f>MAX('2024 Legal Max'!BQ181,'2024 Legal Max'!BU181,'2024 Legal Max'!BY181,'2024 Legal Max'!BZ181)</f>
        <v>153.9</v>
      </c>
      <c r="N184" s="303">
        <f>'2024 Legal Max'!U181*'Low-High ENRL- 2023 HSubSB 113'!L184</f>
        <v>153.9</v>
      </c>
      <c r="O184" s="303">
        <f t="shared" si="7"/>
        <v>0</v>
      </c>
    </row>
    <row r="185" spans="1:15">
      <c r="A185" s="255" t="s">
        <v>367</v>
      </c>
      <c r="B185" s="255" t="s">
        <v>3847</v>
      </c>
      <c r="C185" s="255" t="s">
        <v>83</v>
      </c>
      <c r="D185" s="255">
        <v>0</v>
      </c>
      <c r="E185" s="320">
        <f>IF(ISNA(VLOOKUP($A185,'Audit Values'!$A:$BZ,2,FALSE)),0,VLOOKUP($A185,'Audit Values'!$A:$BZ,78,FALSE))</f>
        <v>0</v>
      </c>
      <c r="F185" s="299">
        <v>0.83938299999999999</v>
      </c>
      <c r="G185" s="301">
        <f>IF('2024 Legal Max'!BQ182&gt;0,1.014331, 0)</f>
        <v>0</v>
      </c>
      <c r="H185" s="299">
        <f>'2024 Legal Max'!BT182</f>
        <v>0.86986699999999995</v>
      </c>
      <c r="I185" s="299">
        <f>'2024 Legal Max'!BX182</f>
        <v>0</v>
      </c>
      <c r="J185" s="302">
        <f>IF('2024 Legal Max'!BZ182&gt;0,0.03504,0)</f>
        <v>0</v>
      </c>
      <c r="K185" s="299">
        <f t="shared" si="8"/>
        <v>0.86986699999999995</v>
      </c>
      <c r="L185" s="299">
        <f t="shared" si="9"/>
        <v>0.86986699999999995</v>
      </c>
      <c r="M185" s="303">
        <f>MAX('2024 Legal Max'!BQ182,'2024 Legal Max'!BU182,'2024 Legal Max'!BY182,'2024 Legal Max'!BZ182)</f>
        <v>134.4</v>
      </c>
      <c r="N185" s="303">
        <f>'2024 Legal Max'!U182*'Low-High ENRL- 2023 HSubSB 113'!L185</f>
        <v>134.4</v>
      </c>
      <c r="O185" s="303">
        <f t="shared" si="7"/>
        <v>0</v>
      </c>
    </row>
    <row r="186" spans="1:15">
      <c r="A186" s="255" t="s">
        <v>368</v>
      </c>
      <c r="B186" s="255" t="s">
        <v>84</v>
      </c>
      <c r="C186" s="255" t="s">
        <v>84</v>
      </c>
      <c r="D186" s="255">
        <v>0</v>
      </c>
      <c r="E186" s="320">
        <f>IF(ISNA(VLOOKUP($A186,'Audit Values'!$A:$BZ,2,FALSE)),0,VLOOKUP($A186,'Audit Values'!$A:$BZ,78,FALSE))</f>
        <v>0</v>
      </c>
      <c r="F186" s="299">
        <v>0.45693800000000001</v>
      </c>
      <c r="G186" s="301">
        <f>IF('2024 Legal Max'!BQ183&gt;0,1.014331, 0)</f>
        <v>0</v>
      </c>
      <c r="H186" s="299">
        <f>'2024 Legal Max'!BT183</f>
        <v>0</v>
      </c>
      <c r="I186" s="299">
        <f>'2024 Legal Max'!BX183</f>
        <v>0.47151399999999999</v>
      </c>
      <c r="J186" s="302">
        <f>IF('2024 Legal Max'!BZ183&gt;0,0.03504,0)</f>
        <v>0</v>
      </c>
      <c r="K186" s="299">
        <f t="shared" si="8"/>
        <v>0.47151399999999999</v>
      </c>
      <c r="L186" s="299">
        <f t="shared" si="9"/>
        <v>0.47151399999999999</v>
      </c>
      <c r="M186" s="303">
        <f>MAX('2024 Legal Max'!BQ183,'2024 Legal Max'!BU183,'2024 Legal Max'!BY183,'2024 Legal Max'!BZ183)</f>
        <v>159</v>
      </c>
      <c r="N186" s="303">
        <f>'2024 Legal Max'!U183*'Low-High ENRL- 2023 HSubSB 113'!L186</f>
        <v>159</v>
      </c>
      <c r="O186" s="303">
        <f t="shared" si="7"/>
        <v>0</v>
      </c>
    </row>
    <row r="187" spans="1:15">
      <c r="A187" s="255" t="s">
        <v>369</v>
      </c>
      <c r="B187" s="255" t="s">
        <v>3848</v>
      </c>
      <c r="C187" s="255" t="s">
        <v>82</v>
      </c>
      <c r="D187" s="255">
        <v>0</v>
      </c>
      <c r="E187" s="320">
        <f>IF(ISNA(VLOOKUP($A187,'Audit Values'!$A:$BZ,2,FALSE)),0,VLOOKUP($A187,'Audit Values'!$A:$BZ,78,FALSE))</f>
        <v>0</v>
      </c>
      <c r="F187" s="299">
        <v>0.38718799999999998</v>
      </c>
      <c r="G187" s="301">
        <f>IF('2024 Legal Max'!BQ184&gt;0,1.014331, 0)</f>
        <v>0</v>
      </c>
      <c r="H187" s="299">
        <f>'2024 Legal Max'!BT184</f>
        <v>0</v>
      </c>
      <c r="I187" s="299">
        <f>'2024 Legal Max'!BX184</f>
        <v>0.39177499999999998</v>
      </c>
      <c r="J187" s="302">
        <f>IF('2024 Legal Max'!BZ184&gt;0,0.03504,0)</f>
        <v>0</v>
      </c>
      <c r="K187" s="299">
        <f t="shared" si="8"/>
        <v>0.39177499999999998</v>
      </c>
      <c r="L187" s="299">
        <f t="shared" si="9"/>
        <v>0.39177499999999998</v>
      </c>
      <c r="M187" s="303">
        <f>MAX('2024 Legal Max'!BQ184,'2024 Legal Max'!BU184,'2024 Legal Max'!BY184,'2024 Legal Max'!BZ184)</f>
        <v>224.1</v>
      </c>
      <c r="N187" s="303">
        <f>'2024 Legal Max'!U184*'Low-High ENRL- 2023 HSubSB 113'!L187</f>
        <v>224.1</v>
      </c>
      <c r="O187" s="303">
        <f t="shared" si="7"/>
        <v>0</v>
      </c>
    </row>
    <row r="188" spans="1:15">
      <c r="A188" s="255" t="s">
        <v>370</v>
      </c>
      <c r="B188" s="255" t="s">
        <v>85</v>
      </c>
      <c r="C188" s="255" t="s">
        <v>82</v>
      </c>
      <c r="D188" s="255">
        <v>0</v>
      </c>
      <c r="E188" s="320">
        <f>IF(ISNA(VLOOKUP($A188,'Audit Values'!$A:$BZ,2,FALSE)),0,VLOOKUP($A188,'Audit Values'!$A:$BZ,78,FALSE))</f>
        <v>0</v>
      </c>
      <c r="F188" s="299">
        <v>1.0143310000000001</v>
      </c>
      <c r="G188" s="301">
        <f>IF('2024 Legal Max'!BQ185&gt;0,1.014331, 0)</f>
        <v>1.0143310000000001</v>
      </c>
      <c r="H188" s="299">
        <f>'2024 Legal Max'!BT185</f>
        <v>0</v>
      </c>
      <c r="I188" s="299">
        <f>'2024 Legal Max'!BX185</f>
        <v>0</v>
      </c>
      <c r="J188" s="302">
        <f>IF('2024 Legal Max'!BZ185&gt;0,0.03504,0)</f>
        <v>0</v>
      </c>
      <c r="K188" s="299">
        <f t="shared" si="8"/>
        <v>1.0143310000000001</v>
      </c>
      <c r="L188" s="299">
        <f t="shared" si="9"/>
        <v>1.0143310000000001</v>
      </c>
      <c r="M188" s="303">
        <f>MAX('2024 Legal Max'!BQ185,'2024 Legal Max'!BU185,'2024 Legal Max'!BY185,'2024 Legal Max'!BZ185)</f>
        <v>100.9</v>
      </c>
      <c r="N188" s="303">
        <f>'2024 Legal Max'!U185*'Low-High ENRL- 2023 HSubSB 113'!L188</f>
        <v>100.9</v>
      </c>
      <c r="O188" s="303">
        <f t="shared" si="7"/>
        <v>0</v>
      </c>
    </row>
    <row r="189" spans="1:15">
      <c r="A189" s="255" t="s">
        <v>371</v>
      </c>
      <c r="B189" s="255" t="s">
        <v>3849</v>
      </c>
      <c r="C189" s="255" t="s">
        <v>86</v>
      </c>
      <c r="D189" s="255">
        <v>0</v>
      </c>
      <c r="E189" s="320">
        <f>IF(ISNA(VLOOKUP($A189,'Audit Values'!$A:$BZ,2,FALSE)),0,VLOOKUP($A189,'Audit Values'!$A:$BZ,78,FALSE))</f>
        <v>0</v>
      </c>
      <c r="F189" s="299">
        <v>0.47453699999999999</v>
      </c>
      <c r="G189" s="301">
        <f>IF('2024 Legal Max'!BQ186&gt;0,1.014331, 0)</f>
        <v>0</v>
      </c>
      <c r="H189" s="299">
        <f>'2024 Legal Max'!BT186</f>
        <v>0</v>
      </c>
      <c r="I189" s="299">
        <f>'2024 Legal Max'!BX186</f>
        <v>0.470223</v>
      </c>
      <c r="J189" s="302">
        <f>IF('2024 Legal Max'!BZ186&gt;0,0.03504,0)</f>
        <v>0</v>
      </c>
      <c r="K189" s="299">
        <f t="shared" si="8"/>
        <v>0.470223</v>
      </c>
      <c r="L189" s="299">
        <f t="shared" si="9"/>
        <v>0.470223</v>
      </c>
      <c r="M189" s="303">
        <f>MAX('2024 Legal Max'!BQ186,'2024 Legal Max'!BU186,'2024 Legal Max'!BY186,'2024 Legal Max'!BZ186)</f>
        <v>160.4</v>
      </c>
      <c r="N189" s="303">
        <f>'2024 Legal Max'!U186*'Low-High ENRL- 2023 HSubSB 113'!L189</f>
        <v>160.4</v>
      </c>
      <c r="O189" s="303">
        <f t="shared" si="7"/>
        <v>0</v>
      </c>
    </row>
    <row r="190" spans="1:15">
      <c r="A190" s="255" t="s">
        <v>372</v>
      </c>
      <c r="B190" s="255" t="s">
        <v>3850</v>
      </c>
      <c r="C190" s="255" t="s">
        <v>87</v>
      </c>
      <c r="D190" s="255">
        <v>0</v>
      </c>
      <c r="E190" s="320">
        <f>IF(ISNA(VLOOKUP($A190,'Audit Values'!$A:$BZ,2,FALSE)),0,VLOOKUP($A190,'Audit Values'!$A:$BZ,78,FALSE))</f>
        <v>0</v>
      </c>
      <c r="F190" s="299">
        <v>0.46244200000000002</v>
      </c>
      <c r="G190" s="301">
        <f>IF('2024 Legal Max'!BQ187&gt;0,1.014331, 0)</f>
        <v>0</v>
      </c>
      <c r="H190" s="299">
        <f>'2024 Legal Max'!BT187</f>
        <v>0</v>
      </c>
      <c r="I190" s="299">
        <f>'2024 Legal Max'!BX187</f>
        <v>0.46550000000000002</v>
      </c>
      <c r="J190" s="302">
        <f>IF('2024 Legal Max'!BZ187&gt;0,0.03504,0)</f>
        <v>0</v>
      </c>
      <c r="K190" s="299">
        <f t="shared" si="8"/>
        <v>0.46550000000000002</v>
      </c>
      <c r="L190" s="299">
        <f t="shared" si="9"/>
        <v>0.46550000000000002</v>
      </c>
      <c r="M190" s="303">
        <f>MAX('2024 Legal Max'!BQ187,'2024 Legal Max'!BU187,'2024 Legal Max'!BY187,'2024 Legal Max'!BZ187)</f>
        <v>165.3</v>
      </c>
      <c r="N190" s="303">
        <f>'2024 Legal Max'!U187*'Low-High ENRL- 2023 HSubSB 113'!L190</f>
        <v>165.3</v>
      </c>
      <c r="O190" s="303">
        <f t="shared" si="7"/>
        <v>0</v>
      </c>
    </row>
    <row r="191" spans="1:15">
      <c r="A191" s="255" t="s">
        <v>373</v>
      </c>
      <c r="B191" s="255" t="s">
        <v>3851</v>
      </c>
      <c r="C191" s="255" t="s">
        <v>10</v>
      </c>
      <c r="D191" s="255">
        <v>0</v>
      </c>
      <c r="E191" s="320">
        <f>IF(ISNA(VLOOKUP($A191,'Audit Values'!$A:$BZ,2,FALSE)),0,VLOOKUP($A191,'Audit Values'!$A:$BZ,78,FALSE))</f>
        <v>0</v>
      </c>
      <c r="F191" s="299">
        <v>5.1583999999999998E-2</v>
      </c>
      <c r="G191" s="301">
        <f>IF('2024 Legal Max'!BQ188&gt;0,1.014331, 0)</f>
        <v>0</v>
      </c>
      <c r="H191" s="299">
        <f>'2024 Legal Max'!BT188</f>
        <v>0</v>
      </c>
      <c r="I191" s="299">
        <f>'2024 Legal Max'!BX188</f>
        <v>4.5298999999999999E-2</v>
      </c>
      <c r="J191" s="302">
        <f>IF('2024 Legal Max'!BZ188&gt;0,0.03504,0)</f>
        <v>0</v>
      </c>
      <c r="K191" s="299">
        <f t="shared" si="8"/>
        <v>4.5298999999999999E-2</v>
      </c>
      <c r="L191" s="299">
        <f t="shared" si="9"/>
        <v>4.5298999999999999E-2</v>
      </c>
      <c r="M191" s="303">
        <f>MAX('2024 Legal Max'!BQ188,'2024 Legal Max'!BU188,'2024 Legal Max'!BY188,'2024 Legal Max'!BZ188)</f>
        <v>72.099999999999994</v>
      </c>
      <c r="N191" s="303">
        <f>'2024 Legal Max'!U188*'Low-High ENRL- 2023 HSubSB 113'!L191</f>
        <v>72.099999999999994</v>
      </c>
      <c r="O191" s="303">
        <f t="shared" si="7"/>
        <v>0</v>
      </c>
    </row>
    <row r="192" spans="1:15">
      <c r="A192" s="255" t="s">
        <v>374</v>
      </c>
      <c r="B192" s="255" t="s">
        <v>3852</v>
      </c>
      <c r="C192" s="255" t="s">
        <v>88</v>
      </c>
      <c r="D192" s="255">
        <v>0</v>
      </c>
      <c r="E192" s="320">
        <f>IF(ISNA(VLOOKUP($A192,'Audit Values'!$A:$BZ,2,FALSE)),0,VLOOKUP($A192,'Audit Values'!$A:$BZ,78,FALSE))</f>
        <v>0</v>
      </c>
      <c r="F192" s="299">
        <v>0.52394700000000005</v>
      </c>
      <c r="G192" s="301">
        <f>IF('2024 Legal Max'!BQ189&gt;0,1.014331, 0)</f>
        <v>0</v>
      </c>
      <c r="H192" s="299">
        <f>'2024 Legal Max'!BT189</f>
        <v>0.50512699999999999</v>
      </c>
      <c r="I192" s="299">
        <f>'2024 Legal Max'!BX189</f>
        <v>0</v>
      </c>
      <c r="J192" s="302">
        <f>IF('2024 Legal Max'!BZ189&gt;0,0.03504,0)</f>
        <v>0</v>
      </c>
      <c r="K192" s="299">
        <f t="shared" si="8"/>
        <v>0.50512699999999999</v>
      </c>
      <c r="L192" s="299">
        <f t="shared" si="9"/>
        <v>0.50512699999999999</v>
      </c>
      <c r="M192" s="303">
        <f>MAX('2024 Legal Max'!BQ189,'2024 Legal Max'!BU189,'2024 Legal Max'!BY189,'2024 Legal Max'!BZ189)</f>
        <v>147.5</v>
      </c>
      <c r="N192" s="303">
        <f>'2024 Legal Max'!U189*'Low-High ENRL- 2023 HSubSB 113'!L192</f>
        <v>147.5</v>
      </c>
      <c r="O192" s="303">
        <f t="shared" si="7"/>
        <v>0</v>
      </c>
    </row>
    <row r="193" spans="1:15">
      <c r="A193" s="255" t="s">
        <v>375</v>
      </c>
      <c r="B193" s="255" t="s">
        <v>3853</v>
      </c>
      <c r="C193" s="255" t="s">
        <v>10</v>
      </c>
      <c r="D193" s="255">
        <v>0</v>
      </c>
      <c r="E193" s="320">
        <f>IF(ISNA(VLOOKUP($A193,'Audit Values'!$A:$BZ,2,FALSE)),0,VLOOKUP($A193,'Audit Values'!$A:$BZ,78,FALSE))</f>
        <v>0</v>
      </c>
      <c r="F193" s="299">
        <v>0.37733499999999998</v>
      </c>
      <c r="G193" s="301">
        <f>IF('2024 Legal Max'!BQ190&gt;0,1.014331, 0)</f>
        <v>0</v>
      </c>
      <c r="H193" s="299">
        <f>'2024 Legal Max'!BT190</f>
        <v>0</v>
      </c>
      <c r="I193" s="299">
        <f>'2024 Legal Max'!BX190</f>
        <v>0.37400600000000001</v>
      </c>
      <c r="J193" s="302">
        <f>IF('2024 Legal Max'!BZ190&gt;0,0.03504,0)</f>
        <v>0</v>
      </c>
      <c r="K193" s="299">
        <f t="shared" si="8"/>
        <v>0.37400600000000001</v>
      </c>
      <c r="L193" s="299">
        <f t="shared" si="9"/>
        <v>0.37400600000000001</v>
      </c>
      <c r="M193" s="303">
        <f>MAX('2024 Legal Max'!BQ190,'2024 Legal Max'!BU190,'2024 Legal Max'!BY190,'2024 Legal Max'!BZ190)</f>
        <v>233.5</v>
      </c>
      <c r="N193" s="303">
        <f>'2024 Legal Max'!U190*'Low-High ENRL- 2023 HSubSB 113'!L193</f>
        <v>233.5</v>
      </c>
      <c r="O193" s="303">
        <f t="shared" si="7"/>
        <v>0</v>
      </c>
    </row>
    <row r="194" spans="1:15">
      <c r="A194" s="255" t="s">
        <v>376</v>
      </c>
      <c r="B194" s="255" t="s">
        <v>2627</v>
      </c>
      <c r="C194" s="255" t="s">
        <v>89</v>
      </c>
      <c r="D194" s="255">
        <v>0</v>
      </c>
      <c r="E194" s="320">
        <f>IF(ISNA(VLOOKUP($A194,'Audit Values'!$A:$BZ,2,FALSE)),0,VLOOKUP($A194,'Audit Values'!$A:$BZ,78,FALSE))</f>
        <v>0</v>
      </c>
      <c r="F194" s="299">
        <v>0.83938299999999999</v>
      </c>
      <c r="G194" s="301">
        <f>IF('2024 Legal Max'!BQ191&gt;0,1.014331, 0)</f>
        <v>0</v>
      </c>
      <c r="H194" s="299">
        <f>'2024 Legal Max'!BT191</f>
        <v>0.81155100000000002</v>
      </c>
      <c r="I194" s="299">
        <f>'2024 Legal Max'!BX191</f>
        <v>0</v>
      </c>
      <c r="J194" s="302">
        <f>IF('2024 Legal Max'!BZ191&gt;0,0.03504,0)</f>
        <v>0</v>
      </c>
      <c r="K194" s="299">
        <f t="shared" si="8"/>
        <v>0.81155100000000002</v>
      </c>
      <c r="L194" s="299">
        <f t="shared" si="9"/>
        <v>0.81155100000000002</v>
      </c>
      <c r="M194" s="303">
        <f>MAX('2024 Legal Max'!BQ191,'2024 Legal Max'!BU191,'2024 Legal Max'!BY191,'2024 Legal Max'!BZ191)</f>
        <v>143.19999999999999</v>
      </c>
      <c r="N194" s="303">
        <f>'2024 Legal Max'!U191*'Low-High ENRL- 2023 HSubSB 113'!L194</f>
        <v>143.19999999999999</v>
      </c>
      <c r="O194" s="303">
        <f t="shared" si="7"/>
        <v>0</v>
      </c>
    </row>
    <row r="195" spans="1:15">
      <c r="A195" s="255" t="s">
        <v>377</v>
      </c>
      <c r="B195" s="255" t="s">
        <v>3854</v>
      </c>
      <c r="C195" s="255" t="s">
        <v>89</v>
      </c>
      <c r="D195" s="255">
        <v>1</v>
      </c>
      <c r="E195" s="320">
        <f>IF(ISNA(VLOOKUP($A195,'Audit Values'!$A:$BZ,2,FALSE)),0,VLOOKUP($A195,'Audit Values'!$A:$BZ,78,FALSE))</f>
        <v>0</v>
      </c>
      <c r="F195" s="299">
        <v>0.74130700000000005</v>
      </c>
      <c r="G195" s="301">
        <f>IF('2024 Legal Max'!BQ192&gt;0,1.014331, 0)</f>
        <v>0</v>
      </c>
      <c r="H195" s="299">
        <f>'2024 Legal Max'!BT192</f>
        <v>0.73202900000000004</v>
      </c>
      <c r="I195" s="299">
        <f>'2024 Legal Max'!BX192</f>
        <v>0</v>
      </c>
      <c r="J195" s="302">
        <f>IF('2024 Legal Max'!BZ192&gt;0,0.03504,0)</f>
        <v>0</v>
      </c>
      <c r="K195" s="299">
        <f t="shared" si="8"/>
        <v>0.73202900000000004</v>
      </c>
      <c r="L195" s="299">
        <f t="shared" si="9"/>
        <v>0.73202900000000004</v>
      </c>
      <c r="M195" s="303">
        <f>MAX('2024 Legal Max'!BQ192,'2024 Legal Max'!BU192,'2024 Legal Max'!BY192,'2024 Legal Max'!BZ192)</f>
        <v>151.19999999999999</v>
      </c>
      <c r="N195" s="303">
        <f>'2024 Legal Max'!U192*'Low-High ENRL- 2023 HSubSB 113'!L195</f>
        <v>151.19999999999999</v>
      </c>
      <c r="O195" s="303">
        <f t="shared" si="7"/>
        <v>0</v>
      </c>
    </row>
    <row r="196" spans="1:15">
      <c r="A196" s="255" t="s">
        <v>378</v>
      </c>
      <c r="B196" s="255" t="s">
        <v>3855</v>
      </c>
      <c r="C196" s="255" t="s">
        <v>90</v>
      </c>
      <c r="D196" s="255">
        <v>0</v>
      </c>
      <c r="E196" s="320">
        <f>IF(ISNA(VLOOKUP($A196,'Audit Values'!$A:$BZ,2,FALSE)),0,VLOOKUP($A196,'Audit Values'!$A:$BZ,78,FALSE))</f>
        <v>0</v>
      </c>
      <c r="F196" s="299">
        <v>0.962642</v>
      </c>
      <c r="G196" s="301">
        <f>IF('2024 Legal Max'!BQ193&gt;0,1.014331, 0)</f>
        <v>0</v>
      </c>
      <c r="H196" s="299">
        <f>'2024 Legal Max'!BT193</f>
        <v>0.96131699999999998</v>
      </c>
      <c r="I196" s="299">
        <f>'2024 Legal Max'!BX193</f>
        <v>0</v>
      </c>
      <c r="J196" s="302">
        <f>IF('2024 Legal Max'!BZ193&gt;0,0.03504,0)</f>
        <v>0</v>
      </c>
      <c r="K196" s="299">
        <f t="shared" si="8"/>
        <v>0.96131699999999998</v>
      </c>
      <c r="L196" s="299">
        <f t="shared" si="9"/>
        <v>0.96131699999999998</v>
      </c>
      <c r="M196" s="303">
        <f>MAX('2024 Legal Max'!BQ193,'2024 Legal Max'!BU193,'2024 Legal Max'!BY193,'2024 Legal Max'!BZ193)</f>
        <v>115.4</v>
      </c>
      <c r="N196" s="303">
        <f>'2024 Legal Max'!U193*'Low-High ENRL- 2023 HSubSB 113'!L196</f>
        <v>115.4</v>
      </c>
      <c r="O196" s="303">
        <f t="shared" si="7"/>
        <v>0</v>
      </c>
    </row>
    <row r="197" spans="1:15">
      <c r="A197" s="255" t="s">
        <v>379</v>
      </c>
      <c r="B197" s="255" t="s">
        <v>3856</v>
      </c>
      <c r="C197" s="255" t="s">
        <v>91</v>
      </c>
      <c r="D197" s="255">
        <v>0</v>
      </c>
      <c r="E197" s="320">
        <f>IF(ISNA(VLOOKUP($A197,'Audit Values'!$A:$BZ,2,FALSE)),0,VLOOKUP($A197,'Audit Values'!$A:$BZ,78,FALSE))</f>
        <v>1</v>
      </c>
      <c r="F197" s="299">
        <v>0.31842300000000001</v>
      </c>
      <c r="G197" s="301">
        <f>IF('2024 Legal Max'!BQ194&gt;0,1.014331, 0)</f>
        <v>0</v>
      </c>
      <c r="H197" s="299">
        <f>'2024 Legal Max'!BT194</f>
        <v>0</v>
      </c>
      <c r="I197" s="299">
        <f>'2024 Legal Max'!BX194</f>
        <v>0.31550099999999998</v>
      </c>
      <c r="J197" s="302">
        <f>IF('2024 Legal Max'!BZ194&gt;0,0.03504,0)</f>
        <v>0</v>
      </c>
      <c r="K197" s="299">
        <f t="shared" si="8"/>
        <v>0.31550099999999998</v>
      </c>
      <c r="L197" s="299">
        <f t="shared" si="9"/>
        <v>0.31842300000000001</v>
      </c>
      <c r="M197" s="303">
        <f>MAX('2024 Legal Max'!BQ194,'2024 Legal Max'!BU194,'2024 Legal Max'!BY194,'2024 Legal Max'!BZ194)</f>
        <v>251.3</v>
      </c>
      <c r="N197" s="303">
        <f>'2024 Legal Max'!U194*'Low-High ENRL- 2023 HSubSB 113'!L197</f>
        <v>253.6</v>
      </c>
      <c r="O197" s="303">
        <f t="shared" si="7"/>
        <v>2.2999999999999998</v>
      </c>
    </row>
    <row r="198" spans="1:15">
      <c r="A198" s="255" t="s">
        <v>380</v>
      </c>
      <c r="B198" s="255" t="s">
        <v>3857</v>
      </c>
      <c r="C198" s="255" t="s">
        <v>76</v>
      </c>
      <c r="D198" s="255">
        <v>0</v>
      </c>
      <c r="E198" s="320">
        <f>IF(ISNA(VLOOKUP($A198,'Audit Values'!$A:$BZ,2,FALSE)),0,VLOOKUP($A198,'Audit Values'!$A:$BZ,78,FALSE))</f>
        <v>0</v>
      </c>
      <c r="F198" s="299">
        <v>0.87384300000000004</v>
      </c>
      <c r="G198" s="301">
        <f>IF('2024 Legal Max'!BQ195&gt;0,1.014331, 0)</f>
        <v>0</v>
      </c>
      <c r="H198" s="299">
        <f>'2024 Legal Max'!BT195</f>
        <v>0.89902499999999996</v>
      </c>
      <c r="I198" s="299">
        <f>'2024 Legal Max'!BX195</f>
        <v>0</v>
      </c>
      <c r="J198" s="302">
        <f>IF('2024 Legal Max'!BZ195&gt;0,0.03504,0)</f>
        <v>0</v>
      </c>
      <c r="K198" s="299">
        <f t="shared" si="8"/>
        <v>0.89902499999999996</v>
      </c>
      <c r="L198" s="299">
        <f t="shared" si="9"/>
        <v>0.89902499999999996</v>
      </c>
      <c r="M198" s="303">
        <f>MAX('2024 Legal Max'!BQ195,'2024 Legal Max'!BU195,'2024 Legal Max'!BY195,'2024 Legal Max'!BZ195)</f>
        <v>129</v>
      </c>
      <c r="N198" s="303">
        <f>'2024 Legal Max'!U195*'Low-High ENRL- 2023 HSubSB 113'!L198</f>
        <v>129</v>
      </c>
      <c r="O198" s="303">
        <f t="shared" si="7"/>
        <v>0</v>
      </c>
    </row>
    <row r="199" spans="1:15">
      <c r="A199" s="255" t="s">
        <v>381</v>
      </c>
      <c r="B199" s="255" t="s">
        <v>3858</v>
      </c>
      <c r="C199" s="255" t="s">
        <v>10</v>
      </c>
      <c r="D199" s="255">
        <v>0</v>
      </c>
      <c r="E199" s="320">
        <f>IF(ISNA(VLOOKUP($A199,'Audit Values'!$A:$BZ,2,FALSE)),0,VLOOKUP($A199,'Audit Values'!$A:$BZ,78,FALSE))</f>
        <v>0</v>
      </c>
      <c r="F199" s="300">
        <v>3.5040000000000002E-2</v>
      </c>
      <c r="G199" s="301">
        <f>IF('2024 Legal Max'!BQ196&gt;0,1.014331, 0)</f>
        <v>0</v>
      </c>
      <c r="H199" s="299">
        <f>'2024 Legal Max'!BT196</f>
        <v>0</v>
      </c>
      <c r="I199" s="299">
        <f>'2024 Legal Max'!BX196</f>
        <v>0</v>
      </c>
      <c r="J199" s="302">
        <f>IF('2024 Legal Max'!BZ196&gt;0,0.03504,0)</f>
        <v>3.5040000000000002E-2</v>
      </c>
      <c r="K199" s="299">
        <f t="shared" si="8"/>
        <v>3.5040000000000002E-2</v>
      </c>
      <c r="L199" s="299">
        <f t="shared" si="9"/>
        <v>3.5040000000000002E-2</v>
      </c>
      <c r="M199" s="303">
        <f>MAX('2024 Legal Max'!BQ196,'2024 Legal Max'!BU196,'2024 Legal Max'!BY196,'2024 Legal Max'!BZ196)</f>
        <v>69.400000000000006</v>
      </c>
      <c r="N199" s="303">
        <f>'2024 Legal Max'!U196*'Low-High ENRL- 2023 HSubSB 113'!L199</f>
        <v>69.400000000000006</v>
      </c>
      <c r="O199" s="303">
        <f t="shared" si="7"/>
        <v>0</v>
      </c>
    </row>
    <row r="200" spans="1:15">
      <c r="A200" s="255" t="s">
        <v>382</v>
      </c>
      <c r="B200" s="255" t="s">
        <v>3859</v>
      </c>
      <c r="C200" s="255" t="s">
        <v>88</v>
      </c>
      <c r="D200" s="255">
        <v>0</v>
      </c>
      <c r="E200" s="320">
        <f>IF(ISNA(VLOOKUP($A200,'Audit Values'!$A:$BZ,2,FALSE)),0,VLOOKUP($A200,'Audit Values'!$A:$BZ,78,FALSE))</f>
        <v>0</v>
      </c>
      <c r="F200" s="299">
        <v>0.72195600000000004</v>
      </c>
      <c r="G200" s="301">
        <f>IF('2024 Legal Max'!BQ197&gt;0,1.014331, 0)</f>
        <v>0</v>
      </c>
      <c r="H200" s="299">
        <f>'2024 Legal Max'!BT197</f>
        <v>0.73706499999999997</v>
      </c>
      <c r="I200" s="299">
        <f>'2024 Legal Max'!BX197</f>
        <v>0</v>
      </c>
      <c r="J200" s="302">
        <f>IF('2024 Legal Max'!BZ197&gt;0,0.03504,0)</f>
        <v>0</v>
      </c>
      <c r="K200" s="299">
        <f t="shared" si="8"/>
        <v>0.73706499999999997</v>
      </c>
      <c r="L200" s="299">
        <f t="shared" si="9"/>
        <v>0.73706499999999997</v>
      </c>
      <c r="M200" s="303">
        <f>MAX('2024 Legal Max'!BQ197,'2024 Legal Max'!BU197,'2024 Legal Max'!BY197,'2024 Legal Max'!BZ197)</f>
        <v>150.80000000000001</v>
      </c>
      <c r="N200" s="303">
        <f>'2024 Legal Max'!U197*'Low-High ENRL- 2023 HSubSB 113'!L200</f>
        <v>150.80000000000001</v>
      </c>
      <c r="O200" s="303">
        <f t="shared" ref="O200:O263" si="10">N200-M200</f>
        <v>0</v>
      </c>
    </row>
    <row r="201" spans="1:15">
      <c r="A201" s="255" t="s">
        <v>383</v>
      </c>
      <c r="B201" s="255" t="s">
        <v>3860</v>
      </c>
      <c r="C201" s="255" t="s">
        <v>29</v>
      </c>
      <c r="D201" s="255">
        <v>0</v>
      </c>
      <c r="E201" s="320">
        <f>IF(ISNA(VLOOKUP($A201,'Audit Values'!$A:$BZ,2,FALSE)),0,VLOOKUP($A201,'Audit Values'!$A:$BZ,78,FALSE))</f>
        <v>0</v>
      </c>
      <c r="F201" s="299">
        <v>0.36242000000000002</v>
      </c>
      <c r="G201" s="301">
        <f>IF('2024 Legal Max'!BQ198&gt;0,1.014331, 0)</f>
        <v>0</v>
      </c>
      <c r="H201" s="299">
        <f>'2024 Legal Max'!BT198</f>
        <v>0</v>
      </c>
      <c r="I201" s="299">
        <f>'2024 Legal Max'!BX198</f>
        <v>0.35508200000000001</v>
      </c>
      <c r="J201" s="302">
        <f>IF('2024 Legal Max'!BZ198&gt;0,0.03504,0)</f>
        <v>0</v>
      </c>
      <c r="K201" s="299">
        <f t="shared" ref="K201:K264" si="11">MAX(G201,H201,I201,J201)</f>
        <v>0.35508200000000001</v>
      </c>
      <c r="L201" s="299">
        <f t="shared" ref="L201:L264" si="12">IF((E201=1),MAX(F201,K201),K201)</f>
        <v>0.35508200000000001</v>
      </c>
      <c r="M201" s="303">
        <f>MAX('2024 Legal Max'!BQ198,'2024 Legal Max'!BU198,'2024 Legal Max'!BY198,'2024 Legal Max'!BZ198)</f>
        <v>241.5</v>
      </c>
      <c r="N201" s="303">
        <f>'2024 Legal Max'!U198*'Low-High ENRL- 2023 HSubSB 113'!L201</f>
        <v>241.5</v>
      </c>
      <c r="O201" s="303">
        <f t="shared" si="10"/>
        <v>0</v>
      </c>
    </row>
    <row r="202" spans="1:15">
      <c r="A202" s="255" t="s">
        <v>384</v>
      </c>
      <c r="B202" s="255" t="s">
        <v>3861</v>
      </c>
      <c r="C202" s="255" t="s">
        <v>76</v>
      </c>
      <c r="D202" s="255">
        <v>0</v>
      </c>
      <c r="E202" s="320">
        <f>IF(ISNA(VLOOKUP($A202,'Audit Values'!$A:$BZ,2,FALSE)),0,VLOOKUP($A202,'Audit Values'!$A:$BZ,78,FALSE))</f>
        <v>1</v>
      </c>
      <c r="F202" s="299">
        <v>0.32936300000000002</v>
      </c>
      <c r="G202" s="301">
        <f>IF('2024 Legal Max'!BQ199&gt;0,1.014331, 0)</f>
        <v>0</v>
      </c>
      <c r="H202" s="299">
        <f>'2024 Legal Max'!BT199</f>
        <v>0</v>
      </c>
      <c r="I202" s="299">
        <f>'2024 Legal Max'!BX199</f>
        <v>0.328513</v>
      </c>
      <c r="J202" s="302">
        <f>IF('2024 Legal Max'!BZ199&gt;0,0.03504,0)</f>
        <v>0</v>
      </c>
      <c r="K202" s="299">
        <f t="shared" si="11"/>
        <v>0.328513</v>
      </c>
      <c r="L202" s="299">
        <f t="shared" si="12"/>
        <v>0.32936300000000002</v>
      </c>
      <c r="M202" s="303">
        <f>MAX('2024 Legal Max'!BQ199,'2024 Legal Max'!BU199,'2024 Legal Max'!BY199,'2024 Legal Max'!BZ199)</f>
        <v>249.1</v>
      </c>
      <c r="N202" s="303">
        <f>'2024 Legal Max'!U199*'Low-High ENRL- 2023 HSubSB 113'!L202</f>
        <v>249.7</v>
      </c>
      <c r="O202" s="303">
        <f t="shared" si="10"/>
        <v>0.6</v>
      </c>
    </row>
    <row r="203" spans="1:15">
      <c r="A203" s="255" t="s">
        <v>385</v>
      </c>
      <c r="B203" s="255" t="s">
        <v>3862</v>
      </c>
      <c r="C203" s="255" t="s">
        <v>90</v>
      </c>
      <c r="D203" s="255">
        <v>1</v>
      </c>
      <c r="E203" s="320">
        <f>IF(ISNA(VLOOKUP($A203,'Audit Values'!$A:$BZ,2,FALSE)),0,VLOOKUP($A203,'Audit Values'!$A:$BZ,78,FALSE))</f>
        <v>1</v>
      </c>
      <c r="F203" s="299">
        <v>0.31084699999999998</v>
      </c>
      <c r="G203" s="301">
        <f>IF('2024 Legal Max'!BQ200&gt;0,1.014331, 0)</f>
        <v>0</v>
      </c>
      <c r="H203" s="299">
        <f>'2024 Legal Max'!BT200</f>
        <v>0</v>
      </c>
      <c r="I203" s="299">
        <f>'2024 Legal Max'!BX200</f>
        <v>0.31363200000000002</v>
      </c>
      <c r="J203" s="302">
        <f>IF('2024 Legal Max'!BZ200&gt;0,0.03504,0)</f>
        <v>0</v>
      </c>
      <c r="K203" s="299">
        <f t="shared" si="11"/>
        <v>0.31363200000000002</v>
      </c>
      <c r="L203" s="299">
        <f t="shared" si="12"/>
        <v>0.31363200000000002</v>
      </c>
      <c r="M203" s="303">
        <f>MAX('2024 Legal Max'!BQ200,'2024 Legal Max'!BU200,'2024 Legal Max'!BY200,'2024 Legal Max'!BZ200)</f>
        <v>251.5</v>
      </c>
      <c r="N203" s="303">
        <f>'2024 Legal Max'!U200*'Low-High ENRL- 2023 HSubSB 113'!L203</f>
        <v>251.5</v>
      </c>
      <c r="O203" s="303">
        <f t="shared" si="10"/>
        <v>0</v>
      </c>
    </row>
    <row r="204" spans="1:15">
      <c r="A204" s="255" t="s">
        <v>386</v>
      </c>
      <c r="B204" s="255" t="s">
        <v>3863</v>
      </c>
      <c r="C204" s="255" t="s">
        <v>89</v>
      </c>
      <c r="D204" s="255">
        <v>0</v>
      </c>
      <c r="E204" s="320">
        <f>IF(ISNA(VLOOKUP($A204,'Audit Values'!$A:$BZ,2,FALSE)),0,VLOOKUP($A204,'Audit Values'!$A:$BZ,78,FALSE))</f>
        <v>0</v>
      </c>
      <c r="F204" s="299">
        <v>0.418105</v>
      </c>
      <c r="G204" s="301">
        <f>IF('2024 Legal Max'!BQ201&gt;0,1.014331, 0)</f>
        <v>0</v>
      </c>
      <c r="H204" s="299">
        <f>'2024 Legal Max'!BT201</f>
        <v>0</v>
      </c>
      <c r="I204" s="299">
        <f>'2024 Legal Max'!BX201</f>
        <v>0.41487800000000002</v>
      </c>
      <c r="J204" s="302">
        <f>IF('2024 Legal Max'!BZ201&gt;0,0.03504,0)</f>
        <v>0</v>
      </c>
      <c r="K204" s="299">
        <f t="shared" si="11"/>
        <v>0.41487800000000002</v>
      </c>
      <c r="L204" s="299">
        <f t="shared" si="12"/>
        <v>0.41487800000000002</v>
      </c>
      <c r="M204" s="303">
        <f>MAX('2024 Legal Max'!BQ201,'2024 Legal Max'!BU201,'2024 Legal Max'!BY201,'2024 Legal Max'!BZ201)</f>
        <v>209.1</v>
      </c>
      <c r="N204" s="303">
        <f>'2024 Legal Max'!U201*'Low-High ENRL- 2023 HSubSB 113'!L204</f>
        <v>209.1</v>
      </c>
      <c r="O204" s="303">
        <f t="shared" si="10"/>
        <v>0</v>
      </c>
    </row>
    <row r="205" spans="1:15">
      <c r="A205" s="255" t="s">
        <v>387</v>
      </c>
      <c r="B205" s="255" t="s">
        <v>3864</v>
      </c>
      <c r="C205" s="255" t="s">
        <v>77</v>
      </c>
      <c r="D205" s="255">
        <v>0</v>
      </c>
      <c r="E205" s="320">
        <f>IF(ISNA(VLOOKUP($A205,'Audit Values'!$A:$BZ,2,FALSE)),0,VLOOKUP($A205,'Audit Values'!$A:$BZ,78,FALSE))</f>
        <v>0</v>
      </c>
      <c r="F205" s="299">
        <v>4.5537000000000001E-2</v>
      </c>
      <c r="G205" s="301">
        <f>IF('2024 Legal Max'!BQ202&gt;0,1.014331, 0)</f>
        <v>0</v>
      </c>
      <c r="H205" s="299">
        <f>'2024 Legal Max'!BT202</f>
        <v>0</v>
      </c>
      <c r="I205" s="299">
        <f>'2024 Legal Max'!BX202</f>
        <v>6.5820000000000004E-2</v>
      </c>
      <c r="J205" s="302">
        <f>IF('2024 Legal Max'!BZ202&gt;0,0.03504,0)</f>
        <v>0</v>
      </c>
      <c r="K205" s="299">
        <f t="shared" si="11"/>
        <v>6.5820000000000004E-2</v>
      </c>
      <c r="L205" s="299">
        <f t="shared" si="12"/>
        <v>6.5820000000000004E-2</v>
      </c>
      <c r="M205" s="303">
        <f>MAX('2024 Legal Max'!BQ202,'2024 Legal Max'!BU202,'2024 Legal Max'!BY202,'2024 Legal Max'!BZ202)</f>
        <v>100.8</v>
      </c>
      <c r="N205" s="303">
        <f>'2024 Legal Max'!U202*'Low-High ENRL- 2023 HSubSB 113'!L205</f>
        <v>100.8</v>
      </c>
      <c r="O205" s="303">
        <f t="shared" si="10"/>
        <v>0</v>
      </c>
    </row>
    <row r="206" spans="1:15">
      <c r="A206" s="255" t="s">
        <v>388</v>
      </c>
      <c r="B206" s="255" t="s">
        <v>3865</v>
      </c>
      <c r="C206" s="255" t="s">
        <v>89</v>
      </c>
      <c r="D206" s="255">
        <v>0</v>
      </c>
      <c r="E206" s="320">
        <f>IF(ISNA(VLOOKUP($A206,'Audit Values'!$A:$BZ,2,FALSE)),0,VLOOKUP($A206,'Audit Values'!$A:$BZ,78,FALSE))</f>
        <v>0</v>
      </c>
      <c r="F206" s="299">
        <v>0.39024599999999998</v>
      </c>
      <c r="G206" s="301">
        <f>IF('2024 Legal Max'!BQ203&gt;0,1.014331, 0)</f>
        <v>0</v>
      </c>
      <c r="H206" s="299">
        <f>'2024 Legal Max'!BT203</f>
        <v>0</v>
      </c>
      <c r="I206" s="299">
        <f>'2024 Legal Max'!BX203</f>
        <v>0.38379099999999999</v>
      </c>
      <c r="J206" s="302">
        <f>IF('2024 Legal Max'!BZ203&gt;0,0.03504,0)</f>
        <v>0</v>
      </c>
      <c r="K206" s="299">
        <f t="shared" si="11"/>
        <v>0.38379099999999999</v>
      </c>
      <c r="L206" s="299">
        <f t="shared" si="12"/>
        <v>0.38379099999999999</v>
      </c>
      <c r="M206" s="303">
        <f>MAX('2024 Legal Max'!BQ203,'2024 Legal Max'!BU203,'2024 Legal Max'!BY203,'2024 Legal Max'!BZ203)</f>
        <v>228.5</v>
      </c>
      <c r="N206" s="303">
        <f>'2024 Legal Max'!U203*'Low-High ENRL- 2023 HSubSB 113'!L206</f>
        <v>228.5</v>
      </c>
      <c r="O206" s="303">
        <f t="shared" si="10"/>
        <v>0</v>
      </c>
    </row>
    <row r="207" spans="1:15">
      <c r="A207" s="255" t="s">
        <v>389</v>
      </c>
      <c r="B207" s="255" t="s">
        <v>3866</v>
      </c>
      <c r="C207" s="255" t="s">
        <v>89</v>
      </c>
      <c r="D207" s="255">
        <v>1</v>
      </c>
      <c r="E207" s="320">
        <f>IF(ISNA(VLOOKUP($A207,'Audit Values'!$A:$BZ,2,FALSE)),0,VLOOKUP($A207,'Audit Values'!$A:$BZ,78,FALSE))</f>
        <v>0</v>
      </c>
      <c r="F207" s="299">
        <v>0.51466900000000004</v>
      </c>
      <c r="G207" s="301">
        <f>IF('2024 Legal Max'!BQ204&gt;0,1.014331, 0)</f>
        <v>0</v>
      </c>
      <c r="H207" s="299">
        <f>'2024 Legal Max'!BT204</f>
        <v>0.51334400000000002</v>
      </c>
      <c r="I207" s="299">
        <f>'2024 Legal Max'!BX204</f>
        <v>0</v>
      </c>
      <c r="J207" s="302">
        <f>IF('2024 Legal Max'!BZ204&gt;0,0.03504,0)</f>
        <v>0</v>
      </c>
      <c r="K207" s="299">
        <f t="shared" si="11"/>
        <v>0.51334400000000002</v>
      </c>
      <c r="L207" s="299">
        <f t="shared" si="12"/>
        <v>0.51334400000000002</v>
      </c>
      <c r="M207" s="303">
        <f>MAX('2024 Legal Max'!BQ204,'2024 Legal Max'!BU204,'2024 Legal Max'!BY204,'2024 Legal Max'!BZ204)</f>
        <v>148.4</v>
      </c>
      <c r="N207" s="303">
        <f>'2024 Legal Max'!U204*'Low-High ENRL- 2023 HSubSB 113'!L207</f>
        <v>148.4</v>
      </c>
      <c r="O207" s="303">
        <f t="shared" si="10"/>
        <v>0</v>
      </c>
    </row>
    <row r="208" spans="1:15">
      <c r="A208" s="255" t="s">
        <v>390</v>
      </c>
      <c r="B208" s="255" t="s">
        <v>3867</v>
      </c>
      <c r="C208" s="255" t="s">
        <v>93</v>
      </c>
      <c r="D208" s="255">
        <v>0</v>
      </c>
      <c r="E208" s="320">
        <f>IF(ISNA(VLOOKUP($A208,'Audit Values'!$A:$BZ,2,FALSE)),0,VLOOKUP($A208,'Audit Values'!$A:$BZ,78,FALSE))</f>
        <v>0</v>
      </c>
      <c r="F208" s="299">
        <v>0.44256699999999999</v>
      </c>
      <c r="G208" s="301">
        <f>IF('2024 Legal Max'!BQ205&gt;0,1.014331, 0)</f>
        <v>0</v>
      </c>
      <c r="H208" s="299">
        <f>'2024 Legal Max'!BT205</f>
        <v>0</v>
      </c>
      <c r="I208" s="299">
        <f>'2024 Legal Max'!BX205</f>
        <v>0.44368800000000003</v>
      </c>
      <c r="J208" s="302">
        <f>IF('2024 Legal Max'!BZ205&gt;0,0.03504,0)</f>
        <v>0</v>
      </c>
      <c r="K208" s="299">
        <f t="shared" si="11"/>
        <v>0.44368800000000003</v>
      </c>
      <c r="L208" s="299">
        <f t="shared" si="12"/>
        <v>0.44368800000000003</v>
      </c>
      <c r="M208" s="303">
        <f>MAX('2024 Legal Max'!BQ205,'2024 Legal Max'!BU205,'2024 Legal Max'!BY205,'2024 Legal Max'!BZ205)</f>
        <v>186</v>
      </c>
      <c r="N208" s="303">
        <f>'2024 Legal Max'!U205*'Low-High ENRL- 2023 HSubSB 113'!L208</f>
        <v>186</v>
      </c>
      <c r="O208" s="303">
        <f t="shared" si="10"/>
        <v>0</v>
      </c>
    </row>
    <row r="209" spans="1:15">
      <c r="A209" s="255" t="s">
        <v>391</v>
      </c>
      <c r="B209" s="255" t="s">
        <v>3868</v>
      </c>
      <c r="C209" s="255" t="s">
        <v>4</v>
      </c>
      <c r="D209" s="255">
        <v>0</v>
      </c>
      <c r="E209" s="320">
        <f>IF(ISNA(VLOOKUP($A209,'Audit Values'!$A:$BZ,2,FALSE)),0,VLOOKUP($A209,'Audit Values'!$A:$BZ,78,FALSE))</f>
        <v>0</v>
      </c>
      <c r="F209" s="300">
        <v>3.5040000000000002E-2</v>
      </c>
      <c r="G209" s="301">
        <f>IF('2024 Legal Max'!BQ206&gt;0,1.014331, 0)</f>
        <v>0</v>
      </c>
      <c r="H209" s="299">
        <f>'2024 Legal Max'!BT206</f>
        <v>0</v>
      </c>
      <c r="I209" s="299">
        <f>'2024 Legal Max'!BX206</f>
        <v>0</v>
      </c>
      <c r="J209" s="302">
        <f>IF('2024 Legal Max'!BZ206&gt;0,0.03504,0)</f>
        <v>3.5040000000000002E-2</v>
      </c>
      <c r="K209" s="299">
        <f t="shared" si="11"/>
        <v>3.5040000000000002E-2</v>
      </c>
      <c r="L209" s="299">
        <f t="shared" si="12"/>
        <v>3.5040000000000002E-2</v>
      </c>
      <c r="M209" s="303">
        <f>MAX('2024 Legal Max'!BQ206,'2024 Legal Max'!BU206,'2024 Legal Max'!BY206,'2024 Legal Max'!BZ206)</f>
        <v>60.8</v>
      </c>
      <c r="N209" s="303">
        <f>'2024 Legal Max'!U206*'Low-High ENRL- 2023 HSubSB 113'!L209</f>
        <v>60.8</v>
      </c>
      <c r="O209" s="303">
        <f t="shared" si="10"/>
        <v>0</v>
      </c>
    </row>
    <row r="210" spans="1:15">
      <c r="A210" s="255" t="s">
        <v>392</v>
      </c>
      <c r="B210" s="255" t="s">
        <v>3869</v>
      </c>
      <c r="C210" s="255" t="s">
        <v>94</v>
      </c>
      <c r="D210" s="255">
        <v>0</v>
      </c>
      <c r="E210" s="320">
        <f>IF(ISNA(VLOOKUP($A210,'Audit Values'!$A:$BZ,2,FALSE)),0,VLOOKUP($A210,'Audit Values'!$A:$BZ,78,FALSE))</f>
        <v>1</v>
      </c>
      <c r="F210" s="299">
        <v>0.26603399999999999</v>
      </c>
      <c r="G210" s="301">
        <f>IF('2024 Legal Max'!BQ207&gt;0,1.014331, 0)</f>
        <v>0</v>
      </c>
      <c r="H210" s="299">
        <f>'2024 Legal Max'!BT207</f>
        <v>0</v>
      </c>
      <c r="I210" s="299">
        <f>'2024 Legal Max'!BX207</f>
        <v>0.27795900000000001</v>
      </c>
      <c r="J210" s="302">
        <f>IF('2024 Legal Max'!BZ207&gt;0,0.03504,0)</f>
        <v>0</v>
      </c>
      <c r="K210" s="299">
        <f t="shared" si="11"/>
        <v>0.27795900000000001</v>
      </c>
      <c r="L210" s="299">
        <f t="shared" si="12"/>
        <v>0.27795900000000001</v>
      </c>
      <c r="M210" s="303">
        <f>MAX('2024 Legal Max'!BQ207,'2024 Legal Max'!BU207,'2024 Legal Max'!BY207,'2024 Legal Max'!BZ207)</f>
        <v>252.1</v>
      </c>
      <c r="N210" s="303">
        <f>'2024 Legal Max'!U207*'Low-High ENRL- 2023 HSubSB 113'!L210</f>
        <v>252.1</v>
      </c>
      <c r="O210" s="303">
        <f t="shared" si="10"/>
        <v>0</v>
      </c>
    </row>
    <row r="211" spans="1:15">
      <c r="A211" s="255" t="s">
        <v>393</v>
      </c>
      <c r="B211" s="255" t="s">
        <v>3870</v>
      </c>
      <c r="C211" s="255" t="s">
        <v>73</v>
      </c>
      <c r="D211" s="255">
        <v>0</v>
      </c>
      <c r="E211" s="320">
        <f>IF(ISNA(VLOOKUP($A211,'Audit Values'!$A:$BZ,2,FALSE)),0,VLOOKUP($A211,'Audit Values'!$A:$BZ,78,FALSE))</f>
        <v>0</v>
      </c>
      <c r="F211" s="300">
        <v>3.5040000000000002E-2</v>
      </c>
      <c r="G211" s="301">
        <f>IF('2024 Legal Max'!BQ208&gt;0,1.014331, 0)</f>
        <v>0</v>
      </c>
      <c r="H211" s="299">
        <f>'2024 Legal Max'!BT208</f>
        <v>0</v>
      </c>
      <c r="I211" s="299">
        <f>'2024 Legal Max'!BX208</f>
        <v>0</v>
      </c>
      <c r="J211" s="302">
        <f>IF('2024 Legal Max'!BZ208&gt;0,0.03504,0)</f>
        <v>3.5040000000000002E-2</v>
      </c>
      <c r="K211" s="299">
        <f t="shared" si="11"/>
        <v>3.5040000000000002E-2</v>
      </c>
      <c r="L211" s="299">
        <f t="shared" si="12"/>
        <v>3.5040000000000002E-2</v>
      </c>
      <c r="M211" s="303">
        <f>MAX('2024 Legal Max'!BQ208,'2024 Legal Max'!BU208,'2024 Legal Max'!BY208,'2024 Legal Max'!BZ208)</f>
        <v>59.4</v>
      </c>
      <c r="N211" s="303">
        <f>'2024 Legal Max'!U208*'Low-High ENRL- 2023 HSubSB 113'!L211</f>
        <v>59.4</v>
      </c>
      <c r="O211" s="303">
        <f t="shared" si="10"/>
        <v>0</v>
      </c>
    </row>
    <row r="212" spans="1:15">
      <c r="A212" s="255" t="s">
        <v>394</v>
      </c>
      <c r="B212" s="255" t="s">
        <v>3871</v>
      </c>
      <c r="C212" s="255" t="s">
        <v>95</v>
      </c>
      <c r="D212" s="255">
        <v>0</v>
      </c>
      <c r="E212" s="320">
        <f>IF(ISNA(VLOOKUP($A212,'Audit Values'!$A:$BZ,2,FALSE)),0,VLOOKUP($A212,'Audit Values'!$A:$BZ,78,FALSE))</f>
        <v>0</v>
      </c>
      <c r="F212" s="299">
        <v>0.32790200000000003</v>
      </c>
      <c r="G212" s="301">
        <f>IF('2024 Legal Max'!BQ209&gt;0,1.014331, 0)</f>
        <v>0</v>
      </c>
      <c r="H212" s="299">
        <f>'2024 Legal Max'!BT209</f>
        <v>0</v>
      </c>
      <c r="I212" s="299">
        <f>'2024 Legal Max'!BX209</f>
        <v>0.32824199999999998</v>
      </c>
      <c r="J212" s="302">
        <f>IF('2024 Legal Max'!BZ209&gt;0,0.03504,0)</f>
        <v>0</v>
      </c>
      <c r="K212" s="299">
        <f t="shared" si="11"/>
        <v>0.32824199999999998</v>
      </c>
      <c r="L212" s="299">
        <f t="shared" si="12"/>
        <v>0.32824199999999998</v>
      </c>
      <c r="M212" s="303">
        <f>MAX('2024 Legal Max'!BQ209,'2024 Legal Max'!BU209,'2024 Legal Max'!BY209,'2024 Legal Max'!BZ209)</f>
        <v>249.1</v>
      </c>
      <c r="N212" s="303">
        <f>'2024 Legal Max'!U209*'Low-High ENRL- 2023 HSubSB 113'!L212</f>
        <v>249.1</v>
      </c>
      <c r="O212" s="303">
        <f t="shared" si="10"/>
        <v>0</v>
      </c>
    </row>
    <row r="213" spans="1:15">
      <c r="A213" s="255" t="s">
        <v>395</v>
      </c>
      <c r="B213" s="255" t="s">
        <v>91</v>
      </c>
      <c r="C213" s="255" t="s">
        <v>91</v>
      </c>
      <c r="D213" s="255">
        <v>0</v>
      </c>
      <c r="E213" s="320">
        <f>IF(ISNA(VLOOKUP($A213,'Audit Values'!$A:$BZ,2,FALSE)),0,VLOOKUP($A213,'Audit Values'!$A:$BZ,78,FALSE))</f>
        <v>0</v>
      </c>
      <c r="F213" s="300">
        <v>3.5040000000000002E-2</v>
      </c>
      <c r="G213" s="301">
        <f>IF('2024 Legal Max'!BQ210&gt;0,1.014331, 0)</f>
        <v>0</v>
      </c>
      <c r="H213" s="299">
        <f>'2024 Legal Max'!BT210</f>
        <v>0</v>
      </c>
      <c r="I213" s="299">
        <f>'2024 Legal Max'!BX210</f>
        <v>0</v>
      </c>
      <c r="J213" s="302">
        <f>IF('2024 Legal Max'!BZ210&gt;0,0.03504,0)</f>
        <v>3.5040000000000002E-2</v>
      </c>
      <c r="K213" s="299">
        <f t="shared" si="11"/>
        <v>3.5040000000000002E-2</v>
      </c>
      <c r="L213" s="299">
        <f t="shared" si="12"/>
        <v>3.5040000000000002E-2</v>
      </c>
      <c r="M213" s="303">
        <f>MAX('2024 Legal Max'!BQ210,'2024 Legal Max'!BU210,'2024 Legal Max'!BY210,'2024 Legal Max'!BZ210)</f>
        <v>78.900000000000006</v>
      </c>
      <c r="N213" s="303">
        <f>'2024 Legal Max'!U210*'Low-High ENRL- 2023 HSubSB 113'!L213</f>
        <v>78.900000000000006</v>
      </c>
      <c r="O213" s="303">
        <f t="shared" si="10"/>
        <v>0</v>
      </c>
    </row>
    <row r="214" spans="1:15">
      <c r="A214" s="255" t="s">
        <v>396</v>
      </c>
      <c r="B214" s="255" t="s">
        <v>3872</v>
      </c>
      <c r="C214" s="255" t="s">
        <v>91</v>
      </c>
      <c r="D214" s="255">
        <v>0</v>
      </c>
      <c r="E214" s="320">
        <f>IF(ISNA(VLOOKUP($A214,'Audit Values'!$A:$BZ,2,FALSE)),0,VLOOKUP($A214,'Audit Values'!$A:$BZ,78,FALSE))</f>
        <v>0</v>
      </c>
      <c r="F214" s="299">
        <v>0.48316700000000001</v>
      </c>
      <c r="G214" s="301">
        <f>IF('2024 Legal Max'!BQ211&gt;0,1.014331, 0)</f>
        <v>0</v>
      </c>
      <c r="H214" s="299">
        <f>'2024 Legal Max'!BT211</f>
        <v>0</v>
      </c>
      <c r="I214" s="299">
        <f>'2024 Legal Max'!BX211</f>
        <v>0.47627000000000003</v>
      </c>
      <c r="J214" s="302">
        <f>IF('2024 Legal Max'!BZ211&gt;0,0.03504,0)</f>
        <v>0</v>
      </c>
      <c r="K214" s="299">
        <f t="shared" si="11"/>
        <v>0.47627000000000003</v>
      </c>
      <c r="L214" s="299">
        <f t="shared" si="12"/>
        <v>0.47627000000000003</v>
      </c>
      <c r="M214" s="303">
        <f>MAX('2024 Legal Max'!BQ211,'2024 Legal Max'!BU211,'2024 Legal Max'!BY211,'2024 Legal Max'!BZ211)</f>
        <v>154</v>
      </c>
      <c r="N214" s="303">
        <f>'2024 Legal Max'!U211*'Low-High ENRL- 2023 HSubSB 113'!L214</f>
        <v>154</v>
      </c>
      <c r="O214" s="303">
        <f t="shared" si="10"/>
        <v>0</v>
      </c>
    </row>
    <row r="215" spans="1:15">
      <c r="A215" s="255" t="s">
        <v>397</v>
      </c>
      <c r="B215" s="255" t="s">
        <v>3873</v>
      </c>
      <c r="C215" s="255" t="s">
        <v>96</v>
      </c>
      <c r="D215" s="255">
        <v>0</v>
      </c>
      <c r="E215" s="320">
        <f>IF(ISNA(VLOOKUP($A215,'Audit Values'!$A:$BZ,2,FALSE)),0,VLOOKUP($A215,'Audit Values'!$A:$BZ,78,FALSE))</f>
        <v>0</v>
      </c>
      <c r="F215" s="299">
        <v>0.355931</v>
      </c>
      <c r="G215" s="301">
        <f>IF('2024 Legal Max'!BQ212&gt;0,1.014331, 0)</f>
        <v>0</v>
      </c>
      <c r="H215" s="299">
        <f>'2024 Legal Max'!BT212</f>
        <v>0</v>
      </c>
      <c r="I215" s="299">
        <f>'2024 Legal Max'!BX212</f>
        <v>0.35423199999999999</v>
      </c>
      <c r="J215" s="302">
        <f>IF('2024 Legal Max'!BZ212&gt;0,0.03504,0)</f>
        <v>0</v>
      </c>
      <c r="K215" s="299">
        <f t="shared" si="11"/>
        <v>0.35423199999999999</v>
      </c>
      <c r="L215" s="299">
        <f t="shared" si="12"/>
        <v>0.35423199999999999</v>
      </c>
      <c r="M215" s="303">
        <f>MAX('2024 Legal Max'!BQ212,'2024 Legal Max'!BU212,'2024 Legal Max'!BY212,'2024 Legal Max'!BZ212)</f>
        <v>241.8</v>
      </c>
      <c r="N215" s="303">
        <f>'2024 Legal Max'!U212*'Low-High ENRL- 2023 HSubSB 113'!L215</f>
        <v>241.8</v>
      </c>
      <c r="O215" s="303">
        <f t="shared" si="10"/>
        <v>0</v>
      </c>
    </row>
    <row r="216" spans="1:15">
      <c r="A216" s="255" t="s">
        <v>398</v>
      </c>
      <c r="B216" s="255" t="s">
        <v>3874</v>
      </c>
      <c r="C216" s="255" t="s">
        <v>96</v>
      </c>
      <c r="D216" s="255">
        <v>0</v>
      </c>
      <c r="E216" s="320">
        <f>IF(ISNA(VLOOKUP($A216,'Audit Values'!$A:$BZ,2,FALSE)),0,VLOOKUP($A216,'Audit Values'!$A:$BZ,78,FALSE))</f>
        <v>0</v>
      </c>
      <c r="F216" s="299">
        <v>0.44069799999999998</v>
      </c>
      <c r="G216" s="301">
        <f>IF('2024 Legal Max'!BQ213&gt;0,1.014331, 0)</f>
        <v>0</v>
      </c>
      <c r="H216" s="299">
        <f>'2024 Legal Max'!BT213</f>
        <v>0</v>
      </c>
      <c r="I216" s="299">
        <f>'2024 Legal Max'!BX213</f>
        <v>0.44086799999999998</v>
      </c>
      <c r="J216" s="302">
        <f>IF('2024 Legal Max'!BZ213&gt;0,0.03504,0)</f>
        <v>0</v>
      </c>
      <c r="K216" s="299">
        <f t="shared" si="11"/>
        <v>0.44086799999999998</v>
      </c>
      <c r="L216" s="299">
        <f t="shared" si="12"/>
        <v>0.44086799999999998</v>
      </c>
      <c r="M216" s="303">
        <f>MAX('2024 Legal Max'!BQ213,'2024 Legal Max'!BU213,'2024 Legal Max'!BY213,'2024 Legal Max'!BZ213)</f>
        <v>188.5</v>
      </c>
      <c r="N216" s="303">
        <f>'2024 Legal Max'!U213*'Low-High ENRL- 2023 HSubSB 113'!L216</f>
        <v>188.5</v>
      </c>
      <c r="O216" s="303">
        <f t="shared" si="10"/>
        <v>0</v>
      </c>
    </row>
    <row r="217" spans="1:15">
      <c r="A217" s="255" t="s">
        <v>399</v>
      </c>
      <c r="B217" s="255" t="s">
        <v>3875</v>
      </c>
      <c r="C217" s="255" t="s">
        <v>97</v>
      </c>
      <c r="D217" s="255">
        <v>0</v>
      </c>
      <c r="E217" s="320">
        <f>IF(ISNA(VLOOKUP($A217,'Audit Values'!$A:$BZ,2,FALSE)),0,VLOOKUP($A217,'Audit Values'!$A:$BZ,78,FALSE))</f>
        <v>0</v>
      </c>
      <c r="F217" s="299">
        <v>0.49213800000000002</v>
      </c>
      <c r="G217" s="301">
        <f>IF('2024 Legal Max'!BQ214&gt;0,1.014331, 0)</f>
        <v>0</v>
      </c>
      <c r="H217" s="299">
        <f>'2024 Legal Max'!BT214</f>
        <v>0.49478899999999998</v>
      </c>
      <c r="I217" s="299">
        <f>'2024 Legal Max'!BX214</f>
        <v>0</v>
      </c>
      <c r="J217" s="302">
        <f>IF('2024 Legal Max'!BZ214&gt;0,0.03504,0)</f>
        <v>0</v>
      </c>
      <c r="K217" s="299">
        <f t="shared" si="11"/>
        <v>0.49478899999999998</v>
      </c>
      <c r="L217" s="299">
        <f t="shared" si="12"/>
        <v>0.49478899999999998</v>
      </c>
      <c r="M217" s="303">
        <f>MAX('2024 Legal Max'!BQ214,'2024 Legal Max'!BU214,'2024 Legal Max'!BY214,'2024 Legal Max'!BZ214)</f>
        <v>146.5</v>
      </c>
      <c r="N217" s="303">
        <f>'2024 Legal Max'!U214*'Low-High ENRL- 2023 HSubSB 113'!L217</f>
        <v>146.5</v>
      </c>
      <c r="O217" s="303">
        <f t="shared" si="10"/>
        <v>0</v>
      </c>
    </row>
    <row r="218" spans="1:15">
      <c r="A218" s="255" t="s">
        <v>400</v>
      </c>
      <c r="B218" s="255" t="s">
        <v>3876</v>
      </c>
      <c r="C218" s="255" t="s">
        <v>91</v>
      </c>
      <c r="D218" s="255">
        <v>0</v>
      </c>
      <c r="E218" s="320">
        <f>IF(ISNA(VLOOKUP($A218,'Audit Values'!$A:$BZ,2,FALSE)),0,VLOOKUP($A218,'Audit Values'!$A:$BZ,78,FALSE))</f>
        <v>0</v>
      </c>
      <c r="F218" s="299">
        <v>0.43353000000000003</v>
      </c>
      <c r="G218" s="301">
        <f>IF('2024 Legal Max'!BQ215&gt;0,1.014331, 0)</f>
        <v>0</v>
      </c>
      <c r="H218" s="299">
        <f>'2024 Legal Max'!BT215</f>
        <v>0</v>
      </c>
      <c r="I218" s="299">
        <f>'2024 Legal Max'!BX215</f>
        <v>0.42877300000000002</v>
      </c>
      <c r="J218" s="302">
        <f>IF('2024 Legal Max'!BZ215&gt;0,0.03504,0)</f>
        <v>0</v>
      </c>
      <c r="K218" s="299">
        <f t="shared" si="11"/>
        <v>0.42877300000000002</v>
      </c>
      <c r="L218" s="299">
        <f t="shared" si="12"/>
        <v>0.42877300000000002</v>
      </c>
      <c r="M218" s="303">
        <f>MAX('2024 Legal Max'!BQ215,'2024 Legal Max'!BU215,'2024 Legal Max'!BY215,'2024 Legal Max'!BZ215)</f>
        <v>198.6</v>
      </c>
      <c r="N218" s="303">
        <f>'2024 Legal Max'!U215*'Low-High ENRL- 2023 HSubSB 113'!L218</f>
        <v>198.6</v>
      </c>
      <c r="O218" s="303">
        <f t="shared" si="10"/>
        <v>0</v>
      </c>
    </row>
    <row r="219" spans="1:15">
      <c r="A219" s="255" t="s">
        <v>401</v>
      </c>
      <c r="B219" s="255" t="s">
        <v>3877</v>
      </c>
      <c r="C219" s="255" t="s">
        <v>98</v>
      </c>
      <c r="D219" s="255">
        <v>0</v>
      </c>
      <c r="E219" s="320">
        <f>IF(ISNA(VLOOKUP($A219,'Audit Values'!$A:$BZ,2,FALSE)),0,VLOOKUP($A219,'Audit Values'!$A:$BZ,78,FALSE))</f>
        <v>0</v>
      </c>
      <c r="F219" s="299">
        <v>0.72540199999999999</v>
      </c>
      <c r="G219" s="301">
        <f>IF('2024 Legal Max'!BQ216&gt;0,1.014331, 0)</f>
        <v>0</v>
      </c>
      <c r="H219" s="299">
        <f>'2024 Legal Max'!BT216</f>
        <v>0.72752300000000003</v>
      </c>
      <c r="I219" s="299">
        <f>'2024 Legal Max'!BX216</f>
        <v>0</v>
      </c>
      <c r="J219" s="302">
        <f>IF('2024 Legal Max'!BZ216&gt;0,0.03504,0)</f>
        <v>0</v>
      </c>
      <c r="K219" s="299">
        <f t="shared" si="11"/>
        <v>0.72752300000000003</v>
      </c>
      <c r="L219" s="299">
        <f t="shared" si="12"/>
        <v>0.72752300000000003</v>
      </c>
      <c r="M219" s="303">
        <f>MAX('2024 Legal Max'!BQ216,'2024 Legal Max'!BU216,'2024 Legal Max'!BY216,'2024 Legal Max'!BZ216)</f>
        <v>151.5</v>
      </c>
      <c r="N219" s="303">
        <f>'2024 Legal Max'!U216*'Low-High ENRL- 2023 HSubSB 113'!L219</f>
        <v>151.5</v>
      </c>
      <c r="O219" s="303">
        <f t="shared" si="10"/>
        <v>0</v>
      </c>
    </row>
    <row r="220" spans="1:15">
      <c r="A220" s="255" t="s">
        <v>402</v>
      </c>
      <c r="B220" s="255" t="s">
        <v>3878</v>
      </c>
      <c r="C220" s="255" t="s">
        <v>67</v>
      </c>
      <c r="D220" s="255">
        <v>0</v>
      </c>
      <c r="E220" s="320">
        <f>IF(ISNA(VLOOKUP($A220,'Audit Values'!$A:$BZ,2,FALSE)),0,VLOOKUP($A220,'Audit Values'!$A:$BZ,78,FALSE))</f>
        <v>0</v>
      </c>
      <c r="F220" s="300">
        <v>3.5040000000000002E-2</v>
      </c>
      <c r="G220" s="301">
        <f>IF('2024 Legal Max'!BQ217&gt;0,1.014331, 0)</f>
        <v>0</v>
      </c>
      <c r="H220" s="299">
        <f>'2024 Legal Max'!BT217</f>
        <v>0</v>
      </c>
      <c r="I220" s="299">
        <f>'2024 Legal Max'!BX217</f>
        <v>0</v>
      </c>
      <c r="J220" s="302">
        <f>IF('2024 Legal Max'!BZ217&gt;0,0.03504,0)</f>
        <v>3.5040000000000002E-2</v>
      </c>
      <c r="K220" s="299">
        <f t="shared" si="11"/>
        <v>3.5040000000000002E-2</v>
      </c>
      <c r="L220" s="299">
        <f t="shared" si="12"/>
        <v>3.5040000000000002E-2</v>
      </c>
      <c r="M220" s="303">
        <f>MAX('2024 Legal Max'!BQ217,'2024 Legal Max'!BU217,'2024 Legal Max'!BY217,'2024 Legal Max'!BZ217)</f>
        <v>98.8</v>
      </c>
      <c r="N220" s="303">
        <f>'2024 Legal Max'!U217*'Low-High ENRL- 2023 HSubSB 113'!L220</f>
        <v>98.8</v>
      </c>
      <c r="O220" s="303">
        <f t="shared" si="10"/>
        <v>0</v>
      </c>
    </row>
    <row r="221" spans="1:15">
      <c r="A221" s="255" t="s">
        <v>403</v>
      </c>
      <c r="B221" s="255" t="s">
        <v>3879</v>
      </c>
      <c r="C221" s="255" t="s">
        <v>92</v>
      </c>
      <c r="D221" s="255">
        <v>0</v>
      </c>
      <c r="E221" s="320">
        <f>IF(ISNA(VLOOKUP($A221,'Audit Values'!$A:$BZ,2,FALSE)),0,VLOOKUP($A221,'Audit Values'!$A:$BZ,78,FALSE))</f>
        <v>0</v>
      </c>
      <c r="F221" s="299">
        <v>0.47630400000000001</v>
      </c>
      <c r="G221" s="301">
        <f>IF('2024 Legal Max'!BQ218&gt;0,1.014331, 0)</f>
        <v>0</v>
      </c>
      <c r="H221" s="299">
        <f>'2024 Legal Max'!BT218</f>
        <v>0</v>
      </c>
      <c r="I221" s="299">
        <f>'2024 Legal Max'!BX218</f>
        <v>0.477663</v>
      </c>
      <c r="J221" s="302">
        <f>IF('2024 Legal Max'!BZ218&gt;0,0.03504,0)</f>
        <v>0</v>
      </c>
      <c r="K221" s="299">
        <f t="shared" si="11"/>
        <v>0.477663</v>
      </c>
      <c r="L221" s="299">
        <f t="shared" si="12"/>
        <v>0.477663</v>
      </c>
      <c r="M221" s="303">
        <f>MAX('2024 Legal Max'!BQ218,'2024 Legal Max'!BU218,'2024 Legal Max'!BY218,'2024 Legal Max'!BZ218)</f>
        <v>152.5</v>
      </c>
      <c r="N221" s="303">
        <f>'2024 Legal Max'!U218*'Low-High ENRL- 2023 HSubSB 113'!L221</f>
        <v>152.5</v>
      </c>
      <c r="O221" s="303">
        <f t="shared" si="10"/>
        <v>0</v>
      </c>
    </row>
    <row r="222" spans="1:15">
      <c r="A222" s="255" t="s">
        <v>404</v>
      </c>
      <c r="B222" s="255" t="s">
        <v>3880</v>
      </c>
      <c r="C222" s="255" t="s">
        <v>94</v>
      </c>
      <c r="D222" s="255">
        <v>0</v>
      </c>
      <c r="E222" s="320">
        <f>IF(ISNA(VLOOKUP($A222,'Audit Values'!$A:$BZ,2,FALSE)),0,VLOOKUP($A222,'Audit Values'!$A:$BZ,78,FALSE))</f>
        <v>0</v>
      </c>
      <c r="F222" s="299">
        <v>0.41572700000000001</v>
      </c>
      <c r="G222" s="301">
        <f>IF('2024 Legal Max'!BQ219&gt;0,1.014331, 0)</f>
        <v>0</v>
      </c>
      <c r="H222" s="299">
        <f>'2024 Legal Max'!BT219</f>
        <v>0</v>
      </c>
      <c r="I222" s="299">
        <f>'2024 Legal Max'!BX219</f>
        <v>0.40927200000000002</v>
      </c>
      <c r="J222" s="302">
        <f>IF('2024 Legal Max'!BZ219&gt;0,0.03504,0)</f>
        <v>0</v>
      </c>
      <c r="K222" s="299">
        <f t="shared" si="11"/>
        <v>0.40927200000000002</v>
      </c>
      <c r="L222" s="299">
        <f t="shared" si="12"/>
        <v>0.40927200000000002</v>
      </c>
      <c r="M222" s="303">
        <f>MAX('2024 Legal Max'!BQ219,'2024 Legal Max'!BU219,'2024 Legal Max'!BY219,'2024 Legal Max'!BZ219)</f>
        <v>213</v>
      </c>
      <c r="N222" s="303">
        <f>'2024 Legal Max'!U219*'Low-High ENRL- 2023 HSubSB 113'!L222</f>
        <v>213</v>
      </c>
      <c r="O222" s="303">
        <f t="shared" si="10"/>
        <v>0</v>
      </c>
    </row>
    <row r="223" spans="1:15">
      <c r="A223" s="255" t="s">
        <v>405</v>
      </c>
      <c r="B223" s="255" t="s">
        <v>3881</v>
      </c>
      <c r="C223" s="255" t="s">
        <v>67</v>
      </c>
      <c r="D223" s="255">
        <v>0</v>
      </c>
      <c r="E223" s="320">
        <f>IF(ISNA(VLOOKUP($A223,'Audit Values'!$A:$BZ,2,FALSE)),0,VLOOKUP($A223,'Audit Values'!$A:$BZ,78,FALSE))</f>
        <v>0</v>
      </c>
      <c r="F223" s="299">
        <v>0.334561</v>
      </c>
      <c r="G223" s="301">
        <f>IF('2024 Legal Max'!BQ220&gt;0,1.014331, 0)</f>
        <v>0</v>
      </c>
      <c r="H223" s="299">
        <f>'2024 Legal Max'!BT220</f>
        <v>0</v>
      </c>
      <c r="I223" s="299">
        <f>'2024 Legal Max'!BX220</f>
        <v>0.33354200000000001</v>
      </c>
      <c r="J223" s="302">
        <f>IF('2024 Legal Max'!BZ220&gt;0,0.03504,0)</f>
        <v>0</v>
      </c>
      <c r="K223" s="299">
        <f t="shared" si="11"/>
        <v>0.33354200000000001</v>
      </c>
      <c r="L223" s="299">
        <f t="shared" si="12"/>
        <v>0.33354200000000001</v>
      </c>
      <c r="M223" s="303">
        <f>MAX('2024 Legal Max'!BQ220,'2024 Legal Max'!BU220,'2024 Legal Max'!BY220,'2024 Legal Max'!BZ220)</f>
        <v>248</v>
      </c>
      <c r="N223" s="303">
        <f>'2024 Legal Max'!U220*'Low-High ENRL- 2023 HSubSB 113'!L223</f>
        <v>248</v>
      </c>
      <c r="O223" s="303">
        <f t="shared" si="10"/>
        <v>0</v>
      </c>
    </row>
    <row r="224" spans="1:15">
      <c r="A224" s="255" t="s">
        <v>406</v>
      </c>
      <c r="B224" s="255" t="s">
        <v>3882</v>
      </c>
      <c r="C224" s="255" t="s">
        <v>84</v>
      </c>
      <c r="D224" s="255">
        <v>0</v>
      </c>
      <c r="E224" s="320">
        <f>IF(ISNA(VLOOKUP($A224,'Audit Values'!$A:$BZ,2,FALSE)),0,VLOOKUP($A224,'Audit Values'!$A:$BZ,78,FALSE))</f>
        <v>0</v>
      </c>
      <c r="F224" s="299">
        <v>0.54780399999999996</v>
      </c>
      <c r="G224" s="301">
        <f>IF('2024 Legal Max'!BQ221&gt;0,1.014331, 0)</f>
        <v>0</v>
      </c>
      <c r="H224" s="299">
        <f>'2024 Legal Max'!BT221</f>
        <v>0.55178000000000005</v>
      </c>
      <c r="I224" s="299">
        <f>'2024 Legal Max'!BX221</f>
        <v>0</v>
      </c>
      <c r="J224" s="302">
        <f>IF('2024 Legal Max'!BZ221&gt;0,0.03504,0)</f>
        <v>0</v>
      </c>
      <c r="K224" s="299">
        <f t="shared" si="11"/>
        <v>0.55178000000000005</v>
      </c>
      <c r="L224" s="299">
        <f t="shared" si="12"/>
        <v>0.55178000000000005</v>
      </c>
      <c r="M224" s="303">
        <f>MAX('2024 Legal Max'!BQ221,'2024 Legal Max'!BU221,'2024 Legal Max'!BY221,'2024 Legal Max'!BZ221)</f>
        <v>151.5</v>
      </c>
      <c r="N224" s="303">
        <f>'2024 Legal Max'!U221*'Low-High ENRL- 2023 HSubSB 113'!L224</f>
        <v>151.5</v>
      </c>
      <c r="O224" s="303">
        <f t="shared" si="10"/>
        <v>0</v>
      </c>
    </row>
    <row r="225" spans="1:15">
      <c r="A225" s="255" t="s">
        <v>407</v>
      </c>
      <c r="B225" s="255" t="s">
        <v>3883</v>
      </c>
      <c r="C225" s="255" t="s">
        <v>96</v>
      </c>
      <c r="D225" s="255">
        <v>0</v>
      </c>
      <c r="E225" s="320">
        <f>IF(ISNA(VLOOKUP($A225,'Audit Values'!$A:$BZ,2,FALSE)),0,VLOOKUP($A225,'Audit Values'!$A:$BZ,78,FALSE))</f>
        <v>0</v>
      </c>
      <c r="F225" s="299">
        <v>0.246532</v>
      </c>
      <c r="G225" s="301">
        <f>IF('2024 Legal Max'!BQ222&gt;0,1.014331, 0)</f>
        <v>0</v>
      </c>
      <c r="H225" s="299">
        <f>'2024 Legal Max'!BT222</f>
        <v>0</v>
      </c>
      <c r="I225" s="299">
        <f>'2024 Legal Max'!BX222</f>
        <v>0.242115</v>
      </c>
      <c r="J225" s="302">
        <f>IF('2024 Legal Max'!BZ222&gt;0,0.03504,0)</f>
        <v>0</v>
      </c>
      <c r="K225" s="299">
        <f t="shared" si="11"/>
        <v>0.242115</v>
      </c>
      <c r="L225" s="299">
        <f t="shared" si="12"/>
        <v>0.242115</v>
      </c>
      <c r="M225" s="303">
        <f>MAX('2024 Legal Max'!BQ222,'2024 Legal Max'!BU222,'2024 Legal Max'!BY222,'2024 Legal Max'!BZ222)</f>
        <v>245.1</v>
      </c>
      <c r="N225" s="303">
        <f>'2024 Legal Max'!U222*'Low-High ENRL- 2023 HSubSB 113'!L225</f>
        <v>245.1</v>
      </c>
      <c r="O225" s="303">
        <f t="shared" si="10"/>
        <v>0</v>
      </c>
    </row>
    <row r="226" spans="1:15">
      <c r="A226" s="255" t="s">
        <v>408</v>
      </c>
      <c r="B226" s="255" t="s">
        <v>3884</v>
      </c>
      <c r="C226" s="255" t="s">
        <v>87</v>
      </c>
      <c r="D226" s="255">
        <v>0</v>
      </c>
      <c r="E226" s="320">
        <f>IF(ISNA(VLOOKUP($A226,'Audit Values'!$A:$BZ,2,FALSE)),0,VLOOKUP($A226,'Audit Values'!$A:$BZ,78,FALSE))</f>
        <v>0</v>
      </c>
      <c r="F226" s="299">
        <v>0.111142</v>
      </c>
      <c r="G226" s="301">
        <f>IF('2024 Legal Max'!BQ223&gt;0,1.014331, 0)</f>
        <v>0</v>
      </c>
      <c r="H226" s="299">
        <f>'2024 Legal Max'!BT223</f>
        <v>0</v>
      </c>
      <c r="I226" s="299">
        <f>'2024 Legal Max'!BX223</f>
        <v>0.108255</v>
      </c>
      <c r="J226" s="302">
        <f>IF('2024 Legal Max'!BZ223&gt;0,0.03504,0)</f>
        <v>0</v>
      </c>
      <c r="K226" s="299">
        <f t="shared" si="11"/>
        <v>0.108255</v>
      </c>
      <c r="L226" s="299">
        <f t="shared" si="12"/>
        <v>0.108255</v>
      </c>
      <c r="M226" s="303">
        <f>MAX('2024 Legal Max'!BQ223,'2024 Legal Max'!BU223,'2024 Legal Max'!BY223,'2024 Legal Max'!BZ223)</f>
        <v>152.30000000000001</v>
      </c>
      <c r="N226" s="303">
        <f>'2024 Legal Max'!U223*'Low-High ENRL- 2023 HSubSB 113'!L226</f>
        <v>152.30000000000001</v>
      </c>
      <c r="O226" s="303">
        <f t="shared" si="10"/>
        <v>0</v>
      </c>
    </row>
    <row r="227" spans="1:15">
      <c r="A227" s="255" t="s">
        <v>409</v>
      </c>
      <c r="B227" s="255" t="s">
        <v>3885</v>
      </c>
      <c r="C227" s="255" t="s">
        <v>99</v>
      </c>
      <c r="D227" s="255">
        <v>0</v>
      </c>
      <c r="E227" s="320">
        <f>IF(ISNA(VLOOKUP($A227,'Audit Values'!$A:$BZ,2,FALSE)),0,VLOOKUP($A227,'Audit Values'!$A:$BZ,78,FALSE))</f>
        <v>0</v>
      </c>
      <c r="F227" s="299">
        <v>0.33333800000000002</v>
      </c>
      <c r="G227" s="301">
        <f>IF('2024 Legal Max'!BQ224&gt;0,1.014331, 0)</f>
        <v>0</v>
      </c>
      <c r="H227" s="299">
        <f>'2024 Legal Max'!BT224</f>
        <v>0</v>
      </c>
      <c r="I227" s="299">
        <f>'2024 Legal Max'!BX224</f>
        <v>0.32990599999999998</v>
      </c>
      <c r="J227" s="302">
        <f>IF('2024 Legal Max'!BZ224&gt;0,0.03504,0)</f>
        <v>0</v>
      </c>
      <c r="K227" s="299">
        <f t="shared" si="11"/>
        <v>0.32990599999999998</v>
      </c>
      <c r="L227" s="299">
        <f t="shared" si="12"/>
        <v>0.32990599999999998</v>
      </c>
      <c r="M227" s="303">
        <f>MAX('2024 Legal Max'!BQ224,'2024 Legal Max'!BU224,'2024 Legal Max'!BY224,'2024 Legal Max'!BZ224)</f>
        <v>248.8</v>
      </c>
      <c r="N227" s="303">
        <f>'2024 Legal Max'!U224*'Low-High ENRL- 2023 HSubSB 113'!L227</f>
        <v>248.8</v>
      </c>
      <c r="O227" s="303">
        <f t="shared" si="10"/>
        <v>0</v>
      </c>
    </row>
    <row r="228" spans="1:15">
      <c r="A228" s="255" t="s">
        <v>410</v>
      </c>
      <c r="B228" s="255" t="s">
        <v>3886</v>
      </c>
      <c r="C228" s="255" t="s">
        <v>61</v>
      </c>
      <c r="D228" s="255">
        <v>1</v>
      </c>
      <c r="E228" s="320">
        <f>IF(ISNA(VLOOKUP($A228,'Audit Values'!$A:$BZ,2,FALSE)),0,VLOOKUP($A228,'Audit Values'!$A:$BZ,78,FALSE))</f>
        <v>0</v>
      </c>
      <c r="F228" s="300">
        <v>3.5040000000000002E-2</v>
      </c>
      <c r="G228" s="301">
        <f>IF('2024 Legal Max'!BQ225&gt;0,1.014331, 0)</f>
        <v>0</v>
      </c>
      <c r="H228" s="299">
        <f>'2024 Legal Max'!BT225</f>
        <v>0</v>
      </c>
      <c r="I228" s="299">
        <f>'2024 Legal Max'!BX225</f>
        <v>0</v>
      </c>
      <c r="J228" s="302">
        <f>IF('2024 Legal Max'!BZ225&gt;0,0.03504,0)</f>
        <v>3.5040000000000002E-2</v>
      </c>
      <c r="K228" s="299">
        <f t="shared" si="11"/>
        <v>3.5040000000000002E-2</v>
      </c>
      <c r="L228" s="299">
        <f t="shared" si="12"/>
        <v>3.5040000000000002E-2</v>
      </c>
      <c r="M228" s="303">
        <f>MAX('2024 Legal Max'!BQ225,'2024 Legal Max'!BU225,'2024 Legal Max'!BY225,'2024 Legal Max'!BZ225)</f>
        <v>209.1</v>
      </c>
      <c r="N228" s="303">
        <f>'2024 Legal Max'!U225*'Low-High ENRL- 2023 HSubSB 113'!L228</f>
        <v>209.1</v>
      </c>
      <c r="O228" s="303">
        <f t="shared" si="10"/>
        <v>0</v>
      </c>
    </row>
    <row r="229" spans="1:15">
      <c r="A229" s="255" t="s">
        <v>411</v>
      </c>
      <c r="B229" s="255" t="s">
        <v>3887</v>
      </c>
      <c r="C229" s="255" t="s">
        <v>81</v>
      </c>
      <c r="D229" s="255">
        <v>0</v>
      </c>
      <c r="E229" s="320">
        <f>IF(ISNA(VLOOKUP($A229,'Audit Values'!$A:$BZ,2,FALSE)),0,VLOOKUP($A229,'Audit Values'!$A:$BZ,78,FALSE))</f>
        <v>0</v>
      </c>
      <c r="F229" s="299">
        <v>0.46244200000000002</v>
      </c>
      <c r="G229" s="301">
        <f>IF('2024 Legal Max'!BQ226&gt;0,1.014331, 0)</f>
        <v>0</v>
      </c>
      <c r="H229" s="299">
        <f>'2024 Legal Max'!BT226</f>
        <v>0</v>
      </c>
      <c r="I229" s="299">
        <f>'2024 Legal Max'!BX226</f>
        <v>0.46346199999999999</v>
      </c>
      <c r="J229" s="302">
        <f>IF('2024 Legal Max'!BZ226&gt;0,0.03504,0)</f>
        <v>0</v>
      </c>
      <c r="K229" s="299">
        <f t="shared" si="11"/>
        <v>0.46346199999999999</v>
      </c>
      <c r="L229" s="299">
        <f t="shared" si="12"/>
        <v>0.46346199999999999</v>
      </c>
      <c r="M229" s="303">
        <f>MAX('2024 Legal Max'!BQ226,'2024 Legal Max'!BU226,'2024 Legal Max'!BY226,'2024 Legal Max'!BZ226)</f>
        <v>167.3</v>
      </c>
      <c r="N229" s="303">
        <f>'2024 Legal Max'!U226*'Low-High ENRL- 2023 HSubSB 113'!L229</f>
        <v>167.3</v>
      </c>
      <c r="O229" s="303">
        <f t="shared" si="10"/>
        <v>0</v>
      </c>
    </row>
    <row r="230" spans="1:15">
      <c r="A230" s="255" t="s">
        <v>412</v>
      </c>
      <c r="B230" s="255" t="s">
        <v>3888</v>
      </c>
      <c r="C230" s="255" t="s">
        <v>74</v>
      </c>
      <c r="D230" s="255">
        <v>1</v>
      </c>
      <c r="E230" s="320">
        <f>IF(ISNA(VLOOKUP($A230,'Audit Values'!$A:$BZ,2,FALSE)),0,VLOOKUP($A230,'Audit Values'!$A:$BZ,78,FALSE))</f>
        <v>0</v>
      </c>
      <c r="F230" s="299">
        <v>0.41759600000000002</v>
      </c>
      <c r="G230" s="301">
        <f>IF('2024 Legal Max'!BQ227&gt;0,1.014331, 0)</f>
        <v>0</v>
      </c>
      <c r="H230" s="299">
        <f>'2024 Legal Max'!BT227</f>
        <v>0</v>
      </c>
      <c r="I230" s="299">
        <f>'2024 Legal Max'!BX227</f>
        <v>0.41725600000000002</v>
      </c>
      <c r="J230" s="302">
        <f>IF('2024 Legal Max'!BZ227&gt;0,0.03504,0)</f>
        <v>0</v>
      </c>
      <c r="K230" s="299">
        <f t="shared" si="11"/>
        <v>0.41725600000000002</v>
      </c>
      <c r="L230" s="299">
        <f t="shared" si="12"/>
        <v>0.41725600000000002</v>
      </c>
      <c r="M230" s="303">
        <f>MAX('2024 Legal Max'!BQ227,'2024 Legal Max'!BU227,'2024 Legal Max'!BY227,'2024 Legal Max'!BZ227)</f>
        <v>207.4</v>
      </c>
      <c r="N230" s="303">
        <f>'2024 Legal Max'!U227*'Low-High ENRL- 2023 HSubSB 113'!L230</f>
        <v>207.4</v>
      </c>
      <c r="O230" s="303">
        <f t="shared" si="10"/>
        <v>0</v>
      </c>
    </row>
    <row r="231" spans="1:15">
      <c r="A231" s="255" t="s">
        <v>413</v>
      </c>
      <c r="B231" s="255" t="s">
        <v>3889</v>
      </c>
      <c r="C231" s="255" t="s">
        <v>74</v>
      </c>
      <c r="D231" s="255">
        <v>0</v>
      </c>
      <c r="E231" s="320">
        <f>IF(ISNA(VLOOKUP($A231,'Audit Values'!$A:$BZ,2,FALSE)),0,VLOOKUP($A231,'Audit Values'!$A:$BZ,78,FALSE))</f>
        <v>0</v>
      </c>
      <c r="F231" s="299">
        <v>0.316996</v>
      </c>
      <c r="G231" s="301">
        <f>IF('2024 Legal Max'!BQ228&gt;0,1.014331, 0)</f>
        <v>0</v>
      </c>
      <c r="H231" s="299">
        <f>'2024 Legal Max'!BT228</f>
        <v>0</v>
      </c>
      <c r="I231" s="299">
        <f>'2024 Legal Max'!BX228</f>
        <v>0.31495800000000002</v>
      </c>
      <c r="J231" s="302">
        <f>IF('2024 Legal Max'!BZ228&gt;0,0.03504,0)</f>
        <v>0</v>
      </c>
      <c r="K231" s="299">
        <f t="shared" si="11"/>
        <v>0.31495800000000002</v>
      </c>
      <c r="L231" s="299">
        <f t="shared" si="12"/>
        <v>0.31495800000000002</v>
      </c>
      <c r="M231" s="303">
        <f>MAX('2024 Legal Max'!BQ228,'2024 Legal Max'!BU228,'2024 Legal Max'!BY228,'2024 Legal Max'!BZ228)</f>
        <v>251.4</v>
      </c>
      <c r="N231" s="303">
        <f>'2024 Legal Max'!U228*'Low-High ENRL- 2023 HSubSB 113'!L231</f>
        <v>251.4</v>
      </c>
      <c r="O231" s="303">
        <f t="shared" si="10"/>
        <v>0</v>
      </c>
    </row>
    <row r="232" spans="1:15">
      <c r="A232" s="255" t="s">
        <v>414</v>
      </c>
      <c r="B232" s="255" t="s">
        <v>3890</v>
      </c>
      <c r="C232" s="255" t="s">
        <v>80</v>
      </c>
      <c r="D232" s="255">
        <v>0</v>
      </c>
      <c r="E232" s="320">
        <f>IF(ISNA(VLOOKUP($A232,'Audit Values'!$A:$BZ,2,FALSE)),0,VLOOKUP($A232,'Audit Values'!$A:$BZ,78,FALSE))</f>
        <v>0</v>
      </c>
      <c r="F232" s="300">
        <v>3.5040000000000002E-2</v>
      </c>
      <c r="G232" s="301">
        <f>IF('2024 Legal Max'!BQ229&gt;0,1.014331, 0)</f>
        <v>0</v>
      </c>
      <c r="H232" s="299">
        <f>'2024 Legal Max'!BT229</f>
        <v>0</v>
      </c>
      <c r="I232" s="299">
        <f>'2024 Legal Max'!BX229</f>
        <v>0</v>
      </c>
      <c r="J232" s="302">
        <f>IF('2024 Legal Max'!BZ229&gt;0,0.03504,0)</f>
        <v>3.5040000000000002E-2</v>
      </c>
      <c r="K232" s="299">
        <f t="shared" si="11"/>
        <v>3.5040000000000002E-2</v>
      </c>
      <c r="L232" s="299">
        <f t="shared" si="12"/>
        <v>3.5040000000000002E-2</v>
      </c>
      <c r="M232" s="303">
        <f>MAX('2024 Legal Max'!BQ229,'2024 Legal Max'!BU229,'2024 Legal Max'!BY229,'2024 Legal Max'!BZ229)</f>
        <v>243.4</v>
      </c>
      <c r="N232" s="303">
        <f>'2024 Legal Max'!U229*'Low-High ENRL- 2023 HSubSB 113'!L232</f>
        <v>243.4</v>
      </c>
      <c r="O232" s="303">
        <f t="shared" si="10"/>
        <v>0</v>
      </c>
    </row>
    <row r="233" spans="1:15">
      <c r="A233" s="255" t="s">
        <v>415</v>
      </c>
      <c r="B233" s="255" t="s">
        <v>3891</v>
      </c>
      <c r="C233" s="255" t="s">
        <v>76</v>
      </c>
      <c r="D233" s="255">
        <v>0</v>
      </c>
      <c r="E233" s="320">
        <f>IF(ISNA(VLOOKUP($A233,'Audit Values'!$A:$BZ,2,FALSE)),0,VLOOKUP($A233,'Audit Values'!$A:$BZ,78,FALSE))</f>
        <v>1</v>
      </c>
      <c r="F233" s="299">
        <v>0.53985099999999997</v>
      </c>
      <c r="G233" s="301">
        <f>IF('2024 Legal Max'!BQ230&gt;0,1.014331, 0)</f>
        <v>0</v>
      </c>
      <c r="H233" s="299">
        <f>'2024 Legal Max'!BT230</f>
        <v>0.54382699999999995</v>
      </c>
      <c r="I233" s="299">
        <f>'2024 Legal Max'!BX230</f>
        <v>0</v>
      </c>
      <c r="J233" s="302">
        <f>IF('2024 Legal Max'!BZ230&gt;0,0.03504,0)</f>
        <v>0</v>
      </c>
      <c r="K233" s="299">
        <f t="shared" si="11"/>
        <v>0.54382699999999995</v>
      </c>
      <c r="L233" s="299">
        <f t="shared" si="12"/>
        <v>0.54382699999999995</v>
      </c>
      <c r="M233" s="303">
        <f>MAX('2024 Legal Max'!BQ230,'2024 Legal Max'!BU230,'2024 Legal Max'!BY230,'2024 Legal Max'!BZ230)</f>
        <v>150.9</v>
      </c>
      <c r="N233" s="303">
        <f>'2024 Legal Max'!U230*'Low-High ENRL- 2023 HSubSB 113'!L233</f>
        <v>150.9</v>
      </c>
      <c r="O233" s="303">
        <f t="shared" si="10"/>
        <v>0</v>
      </c>
    </row>
    <row r="234" spans="1:15">
      <c r="A234" s="255" t="s">
        <v>416</v>
      </c>
      <c r="B234" s="255" t="s">
        <v>3892</v>
      </c>
      <c r="C234" s="255" t="s">
        <v>99</v>
      </c>
      <c r="D234" s="255">
        <v>0</v>
      </c>
      <c r="E234" s="320">
        <f>IF(ISNA(VLOOKUP($A234,'Audit Values'!$A:$BZ,2,FALSE)),0,VLOOKUP($A234,'Audit Values'!$A:$BZ,78,FALSE))</f>
        <v>0</v>
      </c>
      <c r="F234" s="300">
        <v>3.5040000000000002E-2</v>
      </c>
      <c r="G234" s="301">
        <f>IF('2024 Legal Max'!BQ231&gt;0,1.014331, 0)</f>
        <v>0</v>
      </c>
      <c r="H234" s="299">
        <f>'2024 Legal Max'!BT231</f>
        <v>0</v>
      </c>
      <c r="I234" s="299">
        <f>'2024 Legal Max'!BX231</f>
        <v>0</v>
      </c>
      <c r="J234" s="302">
        <f>IF('2024 Legal Max'!BZ231&gt;0,0.03504,0)</f>
        <v>3.5040000000000002E-2</v>
      </c>
      <c r="K234" s="299">
        <f t="shared" si="11"/>
        <v>3.5040000000000002E-2</v>
      </c>
      <c r="L234" s="299">
        <f t="shared" si="12"/>
        <v>3.5040000000000002E-2</v>
      </c>
      <c r="M234" s="303">
        <f>MAX('2024 Legal Max'!BQ231,'2024 Legal Max'!BU231,'2024 Legal Max'!BY231,'2024 Legal Max'!BZ231)</f>
        <v>58.8</v>
      </c>
      <c r="N234" s="303">
        <f>'2024 Legal Max'!U231*'Low-High ENRL- 2023 HSubSB 113'!L234</f>
        <v>58.8</v>
      </c>
      <c r="O234" s="303">
        <f t="shared" si="10"/>
        <v>0</v>
      </c>
    </row>
    <row r="235" spans="1:15">
      <c r="A235" s="255" t="s">
        <v>417</v>
      </c>
      <c r="B235" s="255" t="s">
        <v>3893</v>
      </c>
      <c r="C235" s="255" t="s">
        <v>99</v>
      </c>
      <c r="D235" s="255">
        <v>0</v>
      </c>
      <c r="E235" s="320">
        <f>IF(ISNA(VLOOKUP($A235,'Audit Values'!$A:$BZ,2,FALSE)),0,VLOOKUP($A235,'Audit Values'!$A:$BZ,78,FALSE))</f>
        <v>0</v>
      </c>
      <c r="F235" s="300">
        <v>3.5040000000000002E-2</v>
      </c>
      <c r="G235" s="301">
        <f>IF('2024 Legal Max'!BQ232&gt;0,1.014331, 0)</f>
        <v>0</v>
      </c>
      <c r="H235" s="299">
        <f>'2024 Legal Max'!BT232</f>
        <v>0</v>
      </c>
      <c r="I235" s="299">
        <f>'2024 Legal Max'!BX232</f>
        <v>0</v>
      </c>
      <c r="J235" s="302">
        <f>IF('2024 Legal Max'!BZ232&gt;0,0.03504,0)</f>
        <v>3.5040000000000002E-2</v>
      </c>
      <c r="K235" s="299">
        <f t="shared" si="11"/>
        <v>3.5040000000000002E-2</v>
      </c>
      <c r="L235" s="299">
        <f t="shared" si="12"/>
        <v>3.5040000000000002E-2</v>
      </c>
      <c r="M235" s="303">
        <f>MAX('2024 Legal Max'!BQ232,'2024 Legal Max'!BU232,'2024 Legal Max'!BY232,'2024 Legal Max'!BZ232)</f>
        <v>65.099999999999994</v>
      </c>
      <c r="N235" s="303">
        <f>'2024 Legal Max'!U232*'Low-High ENRL- 2023 HSubSB 113'!L235</f>
        <v>65.099999999999994</v>
      </c>
      <c r="O235" s="303">
        <f t="shared" si="10"/>
        <v>0</v>
      </c>
    </row>
    <row r="236" spans="1:15">
      <c r="A236" s="255" t="s">
        <v>418</v>
      </c>
      <c r="B236" s="255" t="s">
        <v>3894</v>
      </c>
      <c r="C236" s="255" t="s">
        <v>99</v>
      </c>
      <c r="D236" s="255">
        <v>0</v>
      </c>
      <c r="E236" s="320">
        <f>IF(ISNA(VLOOKUP($A236,'Audit Values'!$A:$BZ,2,FALSE)),0,VLOOKUP($A236,'Audit Values'!$A:$BZ,78,FALSE))</f>
        <v>0</v>
      </c>
      <c r="F236" s="299">
        <v>0.33639599999999997</v>
      </c>
      <c r="G236" s="301">
        <f>IF('2024 Legal Max'!BQ233&gt;0,1.014331, 0)</f>
        <v>0</v>
      </c>
      <c r="H236" s="299">
        <f>'2024 Legal Max'!BT233</f>
        <v>0</v>
      </c>
      <c r="I236" s="299">
        <f>'2024 Legal Max'!BX233</f>
        <v>0.34043899999999999</v>
      </c>
      <c r="J236" s="302">
        <f>IF('2024 Legal Max'!BZ233&gt;0,0.03504,0)</f>
        <v>0</v>
      </c>
      <c r="K236" s="299">
        <f t="shared" si="11"/>
        <v>0.34043899999999999</v>
      </c>
      <c r="L236" s="299">
        <f t="shared" si="12"/>
        <v>0.34043899999999999</v>
      </c>
      <c r="M236" s="303">
        <f>MAX('2024 Legal Max'!BQ233,'2024 Legal Max'!BU233,'2024 Legal Max'!BY233,'2024 Legal Max'!BZ233)</f>
        <v>246.2</v>
      </c>
      <c r="N236" s="303">
        <f>'2024 Legal Max'!U233*'Low-High ENRL- 2023 HSubSB 113'!L236</f>
        <v>246.2</v>
      </c>
      <c r="O236" s="303">
        <f t="shared" si="10"/>
        <v>0</v>
      </c>
    </row>
    <row r="237" spans="1:15">
      <c r="A237" s="255" t="s">
        <v>419</v>
      </c>
      <c r="B237" s="255" t="s">
        <v>3895</v>
      </c>
      <c r="C237" s="255" t="s">
        <v>91</v>
      </c>
      <c r="D237" s="255">
        <v>0</v>
      </c>
      <c r="E237" s="320">
        <f>IF(ISNA(VLOOKUP($A237,'Audit Values'!$A:$BZ,2,FALSE)),0,VLOOKUP($A237,'Audit Values'!$A:$BZ,78,FALSE))</f>
        <v>0</v>
      </c>
      <c r="F237" s="299">
        <v>0.447324</v>
      </c>
      <c r="G237" s="301">
        <f>IF('2024 Legal Max'!BQ234&gt;0,1.014331, 0)</f>
        <v>0</v>
      </c>
      <c r="H237" s="299">
        <f>'2024 Legal Max'!BT234</f>
        <v>0</v>
      </c>
      <c r="I237" s="299">
        <f>'2024 Legal Max'!BX234</f>
        <v>0.44681399999999999</v>
      </c>
      <c r="J237" s="302">
        <f>IF('2024 Legal Max'!BZ234&gt;0,0.03504,0)</f>
        <v>0</v>
      </c>
      <c r="K237" s="299">
        <f t="shared" si="11"/>
        <v>0.44681399999999999</v>
      </c>
      <c r="L237" s="299">
        <f t="shared" si="12"/>
        <v>0.44681399999999999</v>
      </c>
      <c r="M237" s="303">
        <f>MAX('2024 Legal Max'!BQ234,'2024 Legal Max'!BU234,'2024 Legal Max'!BY234,'2024 Legal Max'!BZ234)</f>
        <v>183.2</v>
      </c>
      <c r="N237" s="303">
        <f>'2024 Legal Max'!U234*'Low-High ENRL- 2023 HSubSB 113'!L237</f>
        <v>183.2</v>
      </c>
      <c r="O237" s="303">
        <f t="shared" si="10"/>
        <v>0</v>
      </c>
    </row>
    <row r="238" spans="1:15">
      <c r="A238" s="255" t="s">
        <v>420</v>
      </c>
      <c r="B238" s="255" t="s">
        <v>3896</v>
      </c>
      <c r="C238" s="255" t="s">
        <v>11</v>
      </c>
      <c r="D238" s="255">
        <v>0</v>
      </c>
      <c r="E238" s="320">
        <f>IF(ISNA(VLOOKUP($A238,'Audit Values'!$A:$BZ,2,FALSE)),0,VLOOKUP($A238,'Audit Values'!$A:$BZ,78,FALSE))</f>
        <v>0</v>
      </c>
      <c r="F238" s="299">
        <v>0.370031</v>
      </c>
      <c r="G238" s="301">
        <f>IF('2024 Legal Max'!BQ235&gt;0,1.014331, 0)</f>
        <v>0</v>
      </c>
      <c r="H238" s="299">
        <f>'2024 Legal Max'!BT235</f>
        <v>0</v>
      </c>
      <c r="I238" s="299">
        <f>'2024 Legal Max'!BX235</f>
        <v>0.37142399999999998</v>
      </c>
      <c r="J238" s="302">
        <f>IF('2024 Legal Max'!BZ235&gt;0,0.03504,0)</f>
        <v>0</v>
      </c>
      <c r="K238" s="299">
        <f t="shared" si="11"/>
        <v>0.37142399999999998</v>
      </c>
      <c r="L238" s="299">
        <f t="shared" si="12"/>
        <v>0.37142399999999998</v>
      </c>
      <c r="M238" s="303">
        <f>MAX('2024 Legal Max'!BQ235,'2024 Legal Max'!BU235,'2024 Legal Max'!BY235,'2024 Legal Max'!BZ235)</f>
        <v>234.7</v>
      </c>
      <c r="N238" s="303">
        <f>'2024 Legal Max'!U235*'Low-High ENRL- 2023 HSubSB 113'!L238</f>
        <v>234.7</v>
      </c>
      <c r="O238" s="303">
        <f t="shared" si="10"/>
        <v>0</v>
      </c>
    </row>
    <row r="239" spans="1:15">
      <c r="A239" s="255" t="s">
        <v>421</v>
      </c>
      <c r="B239" s="255" t="s">
        <v>3897</v>
      </c>
      <c r="C239" s="255" t="s">
        <v>61</v>
      </c>
      <c r="D239" s="255">
        <v>0</v>
      </c>
      <c r="E239" s="320">
        <f>IF(ISNA(VLOOKUP($A239,'Audit Values'!$A:$BZ,2,FALSE)),0,VLOOKUP($A239,'Audit Values'!$A:$BZ,78,FALSE))</f>
        <v>0</v>
      </c>
      <c r="F239" s="300">
        <v>3.5040000000000002E-2</v>
      </c>
      <c r="G239" s="301">
        <f>IF('2024 Legal Max'!BQ236&gt;0,1.014331, 0)</f>
        <v>0</v>
      </c>
      <c r="H239" s="299">
        <f>'2024 Legal Max'!BT236</f>
        <v>0</v>
      </c>
      <c r="I239" s="299">
        <f>'2024 Legal Max'!BX236</f>
        <v>0</v>
      </c>
      <c r="J239" s="302">
        <f>IF('2024 Legal Max'!BZ236&gt;0,0.03504,0)</f>
        <v>3.5040000000000002E-2</v>
      </c>
      <c r="K239" s="299">
        <f t="shared" si="11"/>
        <v>3.5040000000000002E-2</v>
      </c>
      <c r="L239" s="299">
        <f t="shared" si="12"/>
        <v>3.5040000000000002E-2</v>
      </c>
      <c r="M239" s="303">
        <f>MAX('2024 Legal Max'!BQ236,'2024 Legal Max'!BU236,'2024 Legal Max'!BY236,'2024 Legal Max'!BZ236)</f>
        <v>126.9</v>
      </c>
      <c r="N239" s="303">
        <f>'2024 Legal Max'!U236*'Low-High ENRL- 2023 HSubSB 113'!L239</f>
        <v>126.9</v>
      </c>
      <c r="O239" s="303">
        <f t="shared" si="10"/>
        <v>0</v>
      </c>
    </row>
    <row r="240" spans="1:15">
      <c r="A240" s="255" t="s">
        <v>422</v>
      </c>
      <c r="B240" s="255" t="s">
        <v>3898</v>
      </c>
      <c r="C240" s="255" t="s">
        <v>101</v>
      </c>
      <c r="D240" s="255">
        <v>0</v>
      </c>
      <c r="E240" s="320">
        <f>IF(ISNA(VLOOKUP($A240,'Audit Values'!$A:$BZ,2,FALSE)),0,VLOOKUP($A240,'Audit Values'!$A:$BZ,78,FALSE))</f>
        <v>0</v>
      </c>
      <c r="F240" s="299">
        <v>0.44205699999999998</v>
      </c>
      <c r="G240" s="301">
        <f>IF('2024 Legal Max'!BQ237&gt;0,1.014331, 0)</f>
        <v>0</v>
      </c>
      <c r="H240" s="299">
        <f>'2024 Legal Max'!BT237</f>
        <v>0</v>
      </c>
      <c r="I240" s="299">
        <f>'2024 Legal Max'!BX237</f>
        <v>0.44494499999999998</v>
      </c>
      <c r="J240" s="302">
        <f>IF('2024 Legal Max'!BZ237&gt;0,0.03504,0)</f>
        <v>0</v>
      </c>
      <c r="K240" s="299">
        <f t="shared" si="11"/>
        <v>0.44494499999999998</v>
      </c>
      <c r="L240" s="299">
        <f t="shared" si="12"/>
        <v>0.44494499999999998</v>
      </c>
      <c r="M240" s="303">
        <f>MAX('2024 Legal Max'!BQ237,'2024 Legal Max'!BU237,'2024 Legal Max'!BY237,'2024 Legal Max'!BZ237)</f>
        <v>184.9</v>
      </c>
      <c r="N240" s="303">
        <f>'2024 Legal Max'!U237*'Low-High ENRL- 2023 HSubSB 113'!L240</f>
        <v>184.9</v>
      </c>
      <c r="O240" s="303">
        <f t="shared" si="10"/>
        <v>0</v>
      </c>
    </row>
    <row r="241" spans="1:15">
      <c r="A241" s="255" t="s">
        <v>423</v>
      </c>
      <c r="B241" s="255" t="s">
        <v>11</v>
      </c>
      <c r="C241" s="255" t="s">
        <v>11</v>
      </c>
      <c r="D241" s="255">
        <v>0</v>
      </c>
      <c r="E241" s="320">
        <f>IF(ISNA(VLOOKUP($A241,'Audit Values'!$A:$BZ,2,FALSE)),0,VLOOKUP($A241,'Audit Values'!$A:$BZ,78,FALSE))</f>
        <v>0</v>
      </c>
      <c r="F241" s="300">
        <v>3.5040000000000002E-2</v>
      </c>
      <c r="G241" s="301">
        <f>IF('2024 Legal Max'!BQ238&gt;0,1.014331, 0)</f>
        <v>0</v>
      </c>
      <c r="H241" s="299">
        <f>'2024 Legal Max'!BT238</f>
        <v>0</v>
      </c>
      <c r="I241" s="299">
        <f>'2024 Legal Max'!BX238</f>
        <v>0</v>
      </c>
      <c r="J241" s="302">
        <f>IF('2024 Legal Max'!BZ238&gt;0,0.03504,0)</f>
        <v>3.5040000000000002E-2</v>
      </c>
      <c r="K241" s="299">
        <f t="shared" si="11"/>
        <v>3.5040000000000002E-2</v>
      </c>
      <c r="L241" s="299">
        <f t="shared" si="12"/>
        <v>3.5040000000000002E-2</v>
      </c>
      <c r="M241" s="303">
        <f>MAX('2024 Legal Max'!BQ238,'2024 Legal Max'!BU238,'2024 Legal Max'!BY238,'2024 Legal Max'!BZ238)</f>
        <v>122.4</v>
      </c>
      <c r="N241" s="303">
        <f>'2024 Legal Max'!U238*'Low-High ENRL- 2023 HSubSB 113'!L241</f>
        <v>122.4</v>
      </c>
      <c r="O241" s="303">
        <f t="shared" si="10"/>
        <v>0</v>
      </c>
    </row>
    <row r="242" spans="1:15">
      <c r="A242" s="255" t="s">
        <v>424</v>
      </c>
      <c r="B242" s="255" t="s">
        <v>3899</v>
      </c>
      <c r="C242" s="255" t="s">
        <v>96</v>
      </c>
      <c r="D242" s="255">
        <v>0</v>
      </c>
      <c r="E242" s="320">
        <f>IF(ISNA(VLOOKUP($A242,'Audit Values'!$A:$BZ,2,FALSE)),0,VLOOKUP($A242,'Audit Values'!$A:$BZ,78,FALSE))</f>
        <v>0</v>
      </c>
      <c r="F242" s="299">
        <v>0.57563600000000004</v>
      </c>
      <c r="G242" s="301">
        <f>IF('2024 Legal Max'!BQ239&gt;0,1.014331, 0)</f>
        <v>0</v>
      </c>
      <c r="H242" s="299">
        <f>'2024 Legal Max'!BT239</f>
        <v>0.51917599999999997</v>
      </c>
      <c r="I242" s="299">
        <f>'2024 Legal Max'!BX239</f>
        <v>0</v>
      </c>
      <c r="J242" s="302">
        <f>IF('2024 Legal Max'!BZ239&gt;0,0.03504,0)</f>
        <v>0</v>
      </c>
      <c r="K242" s="299">
        <f t="shared" si="11"/>
        <v>0.51917599999999997</v>
      </c>
      <c r="L242" s="299">
        <f t="shared" si="12"/>
        <v>0.51917599999999997</v>
      </c>
      <c r="M242" s="303">
        <f>MAX('2024 Legal Max'!BQ239,'2024 Legal Max'!BU239,'2024 Legal Max'!BY239,'2024 Legal Max'!BZ239)</f>
        <v>148.9</v>
      </c>
      <c r="N242" s="303">
        <f>'2024 Legal Max'!U239*'Low-High ENRL- 2023 HSubSB 113'!L242</f>
        <v>148.9</v>
      </c>
      <c r="O242" s="303">
        <f t="shared" si="10"/>
        <v>0</v>
      </c>
    </row>
    <row r="243" spans="1:15">
      <c r="A243" s="255" t="s">
        <v>425</v>
      </c>
      <c r="B243" s="255" t="s">
        <v>3900</v>
      </c>
      <c r="C243" s="255" t="s">
        <v>96</v>
      </c>
      <c r="D243" s="255">
        <v>0</v>
      </c>
      <c r="E243" s="320">
        <f>IF(ISNA(VLOOKUP($A243,'Audit Values'!$A:$BZ,2,FALSE)),0,VLOOKUP($A243,'Audit Values'!$A:$BZ,78,FALSE))</f>
        <v>0</v>
      </c>
      <c r="F243" s="299">
        <v>0.72672700000000001</v>
      </c>
      <c r="G243" s="301">
        <f>IF('2024 Legal Max'!BQ240&gt;0,1.014331, 0)</f>
        <v>0</v>
      </c>
      <c r="H243" s="299">
        <f>'2024 Legal Max'!BT240</f>
        <v>0.72805299999999995</v>
      </c>
      <c r="I243" s="299">
        <f>'2024 Legal Max'!BX240</f>
        <v>0</v>
      </c>
      <c r="J243" s="302">
        <f>IF('2024 Legal Max'!BZ240&gt;0,0.03504,0)</f>
        <v>0</v>
      </c>
      <c r="K243" s="299">
        <f t="shared" si="11"/>
        <v>0.72805299999999995</v>
      </c>
      <c r="L243" s="299">
        <f t="shared" si="12"/>
        <v>0.72805299999999995</v>
      </c>
      <c r="M243" s="303">
        <f>MAX('2024 Legal Max'!BQ240,'2024 Legal Max'!BU240,'2024 Legal Max'!BY240,'2024 Legal Max'!BZ240)</f>
        <v>151.4</v>
      </c>
      <c r="N243" s="303">
        <f>'2024 Legal Max'!U240*'Low-High ENRL- 2023 HSubSB 113'!L243</f>
        <v>151.4</v>
      </c>
      <c r="O243" s="303">
        <f t="shared" si="10"/>
        <v>0</v>
      </c>
    </row>
    <row r="244" spans="1:15">
      <c r="A244" s="255" t="s">
        <v>426</v>
      </c>
      <c r="B244" s="255" t="s">
        <v>3901</v>
      </c>
      <c r="C244" s="255" t="s">
        <v>69</v>
      </c>
      <c r="D244" s="255">
        <v>0</v>
      </c>
      <c r="E244" s="320">
        <f>IF(ISNA(VLOOKUP($A244,'Audit Values'!$A:$BZ,2,FALSE)),0,VLOOKUP($A244,'Audit Values'!$A:$BZ,78,FALSE))</f>
        <v>0</v>
      </c>
      <c r="F244" s="300">
        <v>3.5040000000000002E-2</v>
      </c>
      <c r="G244" s="301">
        <f>IF('2024 Legal Max'!BQ241&gt;0,1.014331, 0)</f>
        <v>0</v>
      </c>
      <c r="H244" s="299">
        <f>'2024 Legal Max'!BT241</f>
        <v>0</v>
      </c>
      <c r="I244" s="299">
        <f>'2024 Legal Max'!BX241</f>
        <v>0</v>
      </c>
      <c r="J244" s="302">
        <f>IF('2024 Legal Max'!BZ241&gt;0,0.03504,0)</f>
        <v>3.5040000000000002E-2</v>
      </c>
      <c r="K244" s="299">
        <f t="shared" si="11"/>
        <v>3.5040000000000002E-2</v>
      </c>
      <c r="L244" s="299">
        <f t="shared" si="12"/>
        <v>3.5040000000000002E-2</v>
      </c>
      <c r="M244" s="303">
        <f>MAX('2024 Legal Max'!BQ241,'2024 Legal Max'!BU241,'2024 Legal Max'!BY241,'2024 Legal Max'!BZ241)</f>
        <v>242</v>
      </c>
      <c r="N244" s="303">
        <f>'2024 Legal Max'!U241*'Low-High ENRL- 2023 HSubSB 113'!L244</f>
        <v>242</v>
      </c>
      <c r="O244" s="303">
        <f t="shared" si="10"/>
        <v>0</v>
      </c>
    </row>
    <row r="245" spans="1:15">
      <c r="A245" s="255" t="s">
        <v>427</v>
      </c>
      <c r="B245" s="255" t="s">
        <v>3902</v>
      </c>
      <c r="C245" s="255" t="s">
        <v>11</v>
      </c>
      <c r="D245" s="255">
        <v>0</v>
      </c>
      <c r="E245" s="320">
        <f>IF(ISNA(VLOOKUP($A245,'Audit Values'!$A:$BZ,2,FALSE)),0,VLOOKUP($A245,'Audit Values'!$A:$BZ,78,FALSE))</f>
        <v>0</v>
      </c>
      <c r="F245" s="300">
        <v>3.5040000000000002E-2</v>
      </c>
      <c r="G245" s="301">
        <f>IF('2024 Legal Max'!BQ242&gt;0,1.014331, 0)</f>
        <v>0</v>
      </c>
      <c r="H245" s="299">
        <f>'2024 Legal Max'!BT242</f>
        <v>0</v>
      </c>
      <c r="I245" s="299">
        <f>'2024 Legal Max'!BX242</f>
        <v>0</v>
      </c>
      <c r="J245" s="302">
        <f>IF('2024 Legal Max'!BZ242&gt;0,0.03504,0)</f>
        <v>3.5040000000000002E-2</v>
      </c>
      <c r="K245" s="299">
        <f t="shared" si="11"/>
        <v>3.5040000000000002E-2</v>
      </c>
      <c r="L245" s="299">
        <f t="shared" si="12"/>
        <v>3.5040000000000002E-2</v>
      </c>
      <c r="M245" s="303">
        <f>MAX('2024 Legal Max'!BQ242,'2024 Legal Max'!BU242,'2024 Legal Max'!BY242,'2024 Legal Max'!BZ242)</f>
        <v>97.7</v>
      </c>
      <c r="N245" s="303">
        <f>'2024 Legal Max'!U242*'Low-High ENRL- 2023 HSubSB 113'!L245</f>
        <v>97.7</v>
      </c>
      <c r="O245" s="303">
        <f t="shared" si="10"/>
        <v>0</v>
      </c>
    </row>
    <row r="246" spans="1:15">
      <c r="A246" s="255" t="s">
        <v>428</v>
      </c>
      <c r="B246" s="255" t="s">
        <v>3903</v>
      </c>
      <c r="C246" s="255" t="s">
        <v>80</v>
      </c>
      <c r="D246" s="255">
        <v>0</v>
      </c>
      <c r="E246" s="320">
        <f>IF(ISNA(VLOOKUP($A246,'Audit Values'!$A:$BZ,2,FALSE)),0,VLOOKUP($A246,'Audit Values'!$A:$BZ,78,FALSE))</f>
        <v>0</v>
      </c>
      <c r="F246" s="299">
        <v>0.65754400000000002</v>
      </c>
      <c r="G246" s="301">
        <f>IF('2024 Legal Max'!BQ243&gt;0,1.014331, 0)</f>
        <v>0</v>
      </c>
      <c r="H246" s="299">
        <f>'2024 Legal Max'!BT243</f>
        <v>0.67424300000000004</v>
      </c>
      <c r="I246" s="299">
        <f>'2024 Legal Max'!BX243</f>
        <v>0</v>
      </c>
      <c r="J246" s="302">
        <f>IF('2024 Legal Max'!BZ243&gt;0,0.03504,0)</f>
        <v>0</v>
      </c>
      <c r="K246" s="299">
        <f t="shared" si="11"/>
        <v>0.67424300000000004</v>
      </c>
      <c r="L246" s="299">
        <f t="shared" si="12"/>
        <v>0.67424300000000004</v>
      </c>
      <c r="M246" s="303">
        <f>MAX('2024 Legal Max'!BQ243,'2024 Legal Max'!BU243,'2024 Legal Max'!BY243,'2024 Legal Max'!BZ243)</f>
        <v>153.9</v>
      </c>
      <c r="N246" s="303">
        <f>'2024 Legal Max'!U243*'Low-High ENRL- 2023 HSubSB 113'!L246</f>
        <v>153.9</v>
      </c>
      <c r="O246" s="303">
        <f t="shared" si="10"/>
        <v>0</v>
      </c>
    </row>
    <row r="247" spans="1:15">
      <c r="A247" s="255" t="s">
        <v>429</v>
      </c>
      <c r="B247" s="255" t="s">
        <v>3904</v>
      </c>
      <c r="C247" s="255" t="s">
        <v>74</v>
      </c>
      <c r="D247" s="255">
        <v>1</v>
      </c>
      <c r="E247" s="320">
        <f>IF(ISNA(VLOOKUP($A247,'Audit Values'!$A:$BZ,2,FALSE)),0,VLOOKUP($A247,'Audit Values'!$A:$BZ,78,FALSE))</f>
        <v>0</v>
      </c>
      <c r="F247" s="299">
        <v>0.29817399999999999</v>
      </c>
      <c r="G247" s="301">
        <f>IF('2024 Legal Max'!BQ244&gt;0,1.014331, 0)</f>
        <v>0</v>
      </c>
      <c r="H247" s="299">
        <f>'2024 Legal Max'!BT244</f>
        <v>0</v>
      </c>
      <c r="I247" s="299">
        <f>'2024 Legal Max'!BX244</f>
        <v>0.29239799999999999</v>
      </c>
      <c r="J247" s="302">
        <f>IF('2024 Legal Max'!BZ244&gt;0,0.03504,0)</f>
        <v>0</v>
      </c>
      <c r="K247" s="299">
        <f t="shared" si="11"/>
        <v>0.29239799999999999</v>
      </c>
      <c r="L247" s="299">
        <f t="shared" si="12"/>
        <v>0.29239799999999999</v>
      </c>
      <c r="M247" s="303">
        <f>MAX('2024 Legal Max'!BQ244,'2024 Legal Max'!BU244,'2024 Legal Max'!BY244,'2024 Legal Max'!BZ244)</f>
        <v>252.8</v>
      </c>
      <c r="N247" s="303">
        <f>'2024 Legal Max'!U244*'Low-High ENRL- 2023 HSubSB 113'!L247</f>
        <v>252.8</v>
      </c>
      <c r="O247" s="303">
        <f t="shared" si="10"/>
        <v>0</v>
      </c>
    </row>
    <row r="248" spans="1:15">
      <c r="A248" s="255" t="s">
        <v>430</v>
      </c>
      <c r="B248" s="255" t="s">
        <v>3905</v>
      </c>
      <c r="C248" s="255" t="s">
        <v>83</v>
      </c>
      <c r="D248" s="255">
        <v>0</v>
      </c>
      <c r="E248" s="320">
        <f>IF(ISNA(VLOOKUP($A248,'Audit Values'!$A:$BZ,2,FALSE)),0,VLOOKUP($A248,'Audit Values'!$A:$BZ,78,FALSE))</f>
        <v>0</v>
      </c>
      <c r="F248" s="299">
        <v>0.342171</v>
      </c>
      <c r="G248" s="301">
        <f>IF('2024 Legal Max'!BQ245&gt;0,1.014331, 0)</f>
        <v>0</v>
      </c>
      <c r="H248" s="299">
        <f>'2024 Legal Max'!BT245</f>
        <v>0</v>
      </c>
      <c r="I248" s="299">
        <f>'2024 Legal Max'!BX245</f>
        <v>0.339453</v>
      </c>
      <c r="J248" s="302">
        <f>IF('2024 Legal Max'!BZ245&gt;0,0.03504,0)</f>
        <v>0</v>
      </c>
      <c r="K248" s="299">
        <f t="shared" si="11"/>
        <v>0.339453</v>
      </c>
      <c r="L248" s="299">
        <f t="shared" si="12"/>
        <v>0.339453</v>
      </c>
      <c r="M248" s="303">
        <f>MAX('2024 Legal Max'!BQ245,'2024 Legal Max'!BU245,'2024 Legal Max'!BY245,'2024 Legal Max'!BZ245)</f>
        <v>246.4</v>
      </c>
      <c r="N248" s="303">
        <f>'2024 Legal Max'!U245*'Low-High ENRL- 2023 HSubSB 113'!L248</f>
        <v>246.4</v>
      </c>
      <c r="O248" s="303">
        <f t="shared" si="10"/>
        <v>0</v>
      </c>
    </row>
    <row r="249" spans="1:15">
      <c r="A249" s="255" t="s">
        <v>431</v>
      </c>
      <c r="B249" s="255" t="s">
        <v>3906</v>
      </c>
      <c r="C249" s="255" t="s">
        <v>102</v>
      </c>
      <c r="D249" s="255">
        <v>0</v>
      </c>
      <c r="E249" s="320">
        <f>IF(ISNA(VLOOKUP($A249,'Audit Values'!$A:$BZ,2,FALSE)),0,VLOOKUP($A249,'Audit Values'!$A:$BZ,78,FALSE))</f>
        <v>0</v>
      </c>
      <c r="F249" s="299">
        <v>0.51732</v>
      </c>
      <c r="G249" s="301">
        <f>IF('2024 Legal Max'!BQ246&gt;0,1.014331, 0)</f>
        <v>0</v>
      </c>
      <c r="H249" s="299">
        <f>'2024 Legal Max'!BT246</f>
        <v>0.52924899999999997</v>
      </c>
      <c r="I249" s="299">
        <f>'2024 Legal Max'!BX246</f>
        <v>0</v>
      </c>
      <c r="J249" s="302">
        <f>IF('2024 Legal Max'!BZ246&gt;0,0.03504,0)</f>
        <v>0</v>
      </c>
      <c r="K249" s="299">
        <f t="shared" si="11"/>
        <v>0.52924899999999997</v>
      </c>
      <c r="L249" s="299">
        <f t="shared" si="12"/>
        <v>0.52924899999999997</v>
      </c>
      <c r="M249" s="303">
        <f>MAX('2024 Legal Max'!BQ246,'2024 Legal Max'!BU246,'2024 Legal Max'!BY246,'2024 Legal Max'!BZ246)</f>
        <v>149.80000000000001</v>
      </c>
      <c r="N249" s="303">
        <f>'2024 Legal Max'!U246*'Low-High ENRL- 2023 HSubSB 113'!L249</f>
        <v>149.80000000000001</v>
      </c>
      <c r="O249" s="303">
        <f t="shared" si="10"/>
        <v>0</v>
      </c>
    </row>
    <row r="250" spans="1:15">
      <c r="A250" s="255" t="s">
        <v>432</v>
      </c>
      <c r="B250" s="255" t="s">
        <v>3907</v>
      </c>
      <c r="C250" s="255" t="s">
        <v>102</v>
      </c>
      <c r="D250" s="255">
        <v>0</v>
      </c>
      <c r="E250" s="320">
        <f>IF(ISNA(VLOOKUP($A250,'Audit Values'!$A:$BZ,2,FALSE)),0,VLOOKUP($A250,'Audit Values'!$A:$BZ,78,FALSE))</f>
        <v>0</v>
      </c>
      <c r="F250" s="299">
        <v>0.47195500000000001</v>
      </c>
      <c r="G250" s="301">
        <f>IF('2024 Legal Max'!BQ247&gt;0,1.014331, 0)</f>
        <v>0</v>
      </c>
      <c r="H250" s="299">
        <f>'2024 Legal Max'!BT247</f>
        <v>0</v>
      </c>
      <c r="I250" s="299">
        <f>'2024 Legal Max'!BX247</f>
        <v>0.47552299999999997</v>
      </c>
      <c r="J250" s="302">
        <f>IF('2024 Legal Max'!BZ247&gt;0,0.03504,0)</f>
        <v>0</v>
      </c>
      <c r="K250" s="299">
        <f t="shared" si="11"/>
        <v>0.47552299999999997</v>
      </c>
      <c r="L250" s="299">
        <f t="shared" si="12"/>
        <v>0.47552299999999997</v>
      </c>
      <c r="M250" s="303">
        <f>MAX('2024 Legal Max'!BQ247,'2024 Legal Max'!BU247,'2024 Legal Max'!BY247,'2024 Legal Max'!BZ247)</f>
        <v>154.80000000000001</v>
      </c>
      <c r="N250" s="303">
        <f>'2024 Legal Max'!U247*'Low-High ENRL- 2023 HSubSB 113'!L250</f>
        <v>154.80000000000001</v>
      </c>
      <c r="O250" s="303">
        <f t="shared" si="10"/>
        <v>0</v>
      </c>
    </row>
    <row r="251" spans="1:15">
      <c r="A251" s="255" t="s">
        <v>433</v>
      </c>
      <c r="B251" s="255" t="s">
        <v>3908</v>
      </c>
      <c r="C251" s="255" t="s">
        <v>11</v>
      </c>
      <c r="D251" s="255">
        <v>0</v>
      </c>
      <c r="E251" s="320">
        <f>IF(ISNA(VLOOKUP($A251,'Audit Values'!$A:$BZ,2,FALSE)),0,VLOOKUP($A251,'Audit Values'!$A:$BZ,78,FALSE))</f>
        <v>0</v>
      </c>
      <c r="F251" s="300">
        <v>3.5040000000000002E-2</v>
      </c>
      <c r="G251" s="301">
        <f>IF('2024 Legal Max'!BQ248&gt;0,1.014331, 0)</f>
        <v>0</v>
      </c>
      <c r="H251" s="299">
        <f>'2024 Legal Max'!BT248</f>
        <v>0</v>
      </c>
      <c r="I251" s="299">
        <f>'2024 Legal Max'!BX248</f>
        <v>0</v>
      </c>
      <c r="J251" s="302">
        <f>IF('2024 Legal Max'!BZ248&gt;0,0.03504,0)</f>
        <v>3.5040000000000002E-2</v>
      </c>
      <c r="K251" s="299">
        <f t="shared" si="11"/>
        <v>3.5040000000000002E-2</v>
      </c>
      <c r="L251" s="299">
        <f t="shared" si="12"/>
        <v>3.5040000000000002E-2</v>
      </c>
      <c r="M251" s="303">
        <f>MAX('2024 Legal Max'!BQ248,'2024 Legal Max'!BU248,'2024 Legal Max'!BY248,'2024 Legal Max'!BZ248)</f>
        <v>67</v>
      </c>
      <c r="N251" s="303">
        <f>'2024 Legal Max'!U248*'Low-High ENRL- 2023 HSubSB 113'!L251</f>
        <v>67</v>
      </c>
      <c r="O251" s="303">
        <f t="shared" si="10"/>
        <v>0</v>
      </c>
    </row>
    <row r="252" spans="1:15">
      <c r="A252" s="255" t="s">
        <v>434</v>
      </c>
      <c r="B252" s="255" t="s">
        <v>3909</v>
      </c>
      <c r="C252" s="255" t="s">
        <v>102</v>
      </c>
      <c r="D252" s="255">
        <v>0</v>
      </c>
      <c r="E252" s="320">
        <f>IF(ISNA(VLOOKUP($A252,'Audit Values'!$A:$BZ,2,FALSE)),0,VLOOKUP($A252,'Audit Values'!$A:$BZ,78,FALSE))</f>
        <v>0</v>
      </c>
      <c r="F252" s="300">
        <v>3.5040000000000002E-2</v>
      </c>
      <c r="G252" s="301">
        <f>IF('2024 Legal Max'!BQ249&gt;0,1.014331, 0)</f>
        <v>0</v>
      </c>
      <c r="H252" s="299">
        <f>'2024 Legal Max'!BT249</f>
        <v>0</v>
      </c>
      <c r="I252" s="299">
        <f>'2024 Legal Max'!BX249</f>
        <v>0</v>
      </c>
      <c r="J252" s="302">
        <f>IF('2024 Legal Max'!BZ249&gt;0,0.03504,0)</f>
        <v>3.5040000000000002E-2</v>
      </c>
      <c r="K252" s="299">
        <f t="shared" si="11"/>
        <v>3.5040000000000002E-2</v>
      </c>
      <c r="L252" s="299">
        <f t="shared" si="12"/>
        <v>3.5040000000000002E-2</v>
      </c>
      <c r="M252" s="303">
        <f>MAX('2024 Legal Max'!BQ249,'2024 Legal Max'!BU249,'2024 Legal Max'!BY249,'2024 Legal Max'!BZ249)</f>
        <v>72.400000000000006</v>
      </c>
      <c r="N252" s="303">
        <f>'2024 Legal Max'!U249*'Low-High ENRL- 2023 HSubSB 113'!L252</f>
        <v>72.400000000000006</v>
      </c>
      <c r="O252" s="303">
        <f t="shared" si="10"/>
        <v>0</v>
      </c>
    </row>
    <row r="253" spans="1:15">
      <c r="A253" s="255" t="s">
        <v>435</v>
      </c>
      <c r="B253" s="255" t="s">
        <v>3910</v>
      </c>
      <c r="C253" s="255" t="s">
        <v>103</v>
      </c>
      <c r="D253" s="255">
        <v>0</v>
      </c>
      <c r="E253" s="320">
        <f>IF(ISNA(VLOOKUP($A253,'Audit Values'!$A:$BZ,2,FALSE)),0,VLOOKUP($A253,'Audit Values'!$A:$BZ,78,FALSE))</f>
        <v>0</v>
      </c>
      <c r="F253" s="299">
        <v>0.26426699999999997</v>
      </c>
      <c r="G253" s="301">
        <f>IF('2024 Legal Max'!BQ250&gt;0,1.014331, 0)</f>
        <v>0</v>
      </c>
      <c r="H253" s="299">
        <f>'2024 Legal Max'!BT250</f>
        <v>0</v>
      </c>
      <c r="I253" s="299">
        <f>'2024 Legal Max'!BX250</f>
        <v>0.26698499999999997</v>
      </c>
      <c r="J253" s="302">
        <f>IF('2024 Legal Max'!BZ250&gt;0,0.03504,0)</f>
        <v>0</v>
      </c>
      <c r="K253" s="299">
        <f t="shared" si="11"/>
        <v>0.26698499999999997</v>
      </c>
      <c r="L253" s="299">
        <f t="shared" si="12"/>
        <v>0.26698499999999997</v>
      </c>
      <c r="M253" s="303">
        <f>MAX('2024 Legal Max'!BQ250,'2024 Legal Max'!BU250,'2024 Legal Max'!BY250,'2024 Legal Max'!BZ250)</f>
        <v>250.8</v>
      </c>
      <c r="N253" s="303">
        <f>'2024 Legal Max'!U250*'Low-High ENRL- 2023 HSubSB 113'!L253</f>
        <v>250.8</v>
      </c>
      <c r="O253" s="303">
        <f t="shared" si="10"/>
        <v>0</v>
      </c>
    </row>
    <row r="254" spans="1:15">
      <c r="A254" s="255" t="s">
        <v>436</v>
      </c>
      <c r="B254" s="255" t="s">
        <v>3911</v>
      </c>
      <c r="C254" s="255" t="s">
        <v>34</v>
      </c>
      <c r="D254" s="255">
        <v>0</v>
      </c>
      <c r="E254" s="320">
        <f>IF(ISNA(VLOOKUP($A254,'Audit Values'!$A:$BZ,2,FALSE)),0,VLOOKUP($A254,'Audit Values'!$A:$BZ,78,FALSE))</f>
        <v>0</v>
      </c>
      <c r="F254" s="299">
        <v>0.45218199999999997</v>
      </c>
      <c r="G254" s="301">
        <f>IF('2024 Legal Max'!BQ251&gt;0,1.014331, 0)</f>
        <v>0</v>
      </c>
      <c r="H254" s="299">
        <f>'2024 Legal Max'!BT251</f>
        <v>0</v>
      </c>
      <c r="I254" s="299">
        <f>'2024 Legal Max'!BX251</f>
        <v>0.458671</v>
      </c>
      <c r="J254" s="302">
        <f>IF('2024 Legal Max'!BZ251&gt;0,0.03504,0)</f>
        <v>0</v>
      </c>
      <c r="K254" s="299">
        <f t="shared" si="11"/>
        <v>0.458671</v>
      </c>
      <c r="L254" s="299">
        <f t="shared" si="12"/>
        <v>0.458671</v>
      </c>
      <c r="M254" s="303">
        <f>MAX('2024 Legal Max'!BQ251,'2024 Legal Max'!BU251,'2024 Legal Max'!BY251,'2024 Legal Max'!BZ251)</f>
        <v>172</v>
      </c>
      <c r="N254" s="303">
        <f>'2024 Legal Max'!U251*'Low-High ENRL- 2023 HSubSB 113'!L254</f>
        <v>172</v>
      </c>
      <c r="O254" s="303">
        <f t="shared" si="10"/>
        <v>0</v>
      </c>
    </row>
    <row r="255" spans="1:15">
      <c r="A255" s="255" t="s">
        <v>437</v>
      </c>
      <c r="B255" s="255" t="s">
        <v>3912</v>
      </c>
      <c r="C255" s="255" t="s">
        <v>104</v>
      </c>
      <c r="D255" s="255">
        <v>0</v>
      </c>
      <c r="E255" s="320">
        <f>IF(ISNA(VLOOKUP($A255,'Audit Values'!$A:$BZ,2,FALSE)),0,VLOOKUP($A255,'Audit Values'!$A:$BZ,78,FALSE))</f>
        <v>0</v>
      </c>
      <c r="F255" s="299">
        <v>1.0143310000000001</v>
      </c>
      <c r="G255" s="301">
        <f>IF('2024 Legal Max'!BQ252&gt;0,1.014331, 0)</f>
        <v>1.0143310000000001</v>
      </c>
      <c r="H255" s="299">
        <f>'2024 Legal Max'!BT252</f>
        <v>0</v>
      </c>
      <c r="I255" s="299">
        <f>'2024 Legal Max'!BX252</f>
        <v>0</v>
      </c>
      <c r="J255" s="302">
        <f>IF('2024 Legal Max'!BZ252&gt;0,0.03504,0)</f>
        <v>0</v>
      </c>
      <c r="K255" s="299">
        <f t="shared" si="11"/>
        <v>1.0143310000000001</v>
      </c>
      <c r="L255" s="299">
        <f t="shared" si="12"/>
        <v>1.0143310000000001</v>
      </c>
      <c r="M255" s="303">
        <f>MAX('2024 Legal Max'!BQ252,'2024 Legal Max'!BU252,'2024 Legal Max'!BY252,'2024 Legal Max'!BZ252)</f>
        <v>40.6</v>
      </c>
      <c r="N255" s="303">
        <f>'2024 Legal Max'!U252*'Low-High ENRL- 2023 HSubSB 113'!L255</f>
        <v>40.6</v>
      </c>
      <c r="O255" s="303">
        <f t="shared" si="10"/>
        <v>0</v>
      </c>
    </row>
    <row r="256" spans="1:15">
      <c r="A256" s="255" t="s">
        <v>438</v>
      </c>
      <c r="B256" s="255" t="s">
        <v>3913</v>
      </c>
      <c r="C256" s="255" t="s">
        <v>11</v>
      </c>
      <c r="D256" s="255">
        <v>0</v>
      </c>
      <c r="E256" s="320">
        <f>IF(ISNA(VLOOKUP($A256,'Audit Values'!$A:$BZ,2,FALSE)),0,VLOOKUP($A256,'Audit Values'!$A:$BZ,78,FALSE))</f>
        <v>0</v>
      </c>
      <c r="F256" s="300">
        <v>3.5040000000000002E-2</v>
      </c>
      <c r="G256" s="301">
        <f>IF('2024 Legal Max'!BQ253&gt;0,1.014331, 0)</f>
        <v>0</v>
      </c>
      <c r="H256" s="299">
        <f>'2024 Legal Max'!BT253</f>
        <v>0</v>
      </c>
      <c r="I256" s="299">
        <f>'2024 Legal Max'!BX253</f>
        <v>0</v>
      </c>
      <c r="J256" s="302">
        <f>IF('2024 Legal Max'!BZ253&gt;0,0.03504,0)</f>
        <v>3.5040000000000002E-2</v>
      </c>
      <c r="K256" s="299">
        <f t="shared" si="11"/>
        <v>3.5040000000000002E-2</v>
      </c>
      <c r="L256" s="299">
        <f t="shared" si="12"/>
        <v>3.5040000000000002E-2</v>
      </c>
      <c r="M256" s="303">
        <f>MAX('2024 Legal Max'!BQ253,'2024 Legal Max'!BU253,'2024 Legal Max'!BY253,'2024 Legal Max'!BZ253)</f>
        <v>90.6</v>
      </c>
      <c r="N256" s="303">
        <f>'2024 Legal Max'!U253*'Low-High ENRL- 2023 HSubSB 113'!L256</f>
        <v>90.6</v>
      </c>
      <c r="O256" s="303">
        <f t="shared" si="10"/>
        <v>0</v>
      </c>
    </row>
    <row r="257" spans="1:15">
      <c r="A257" s="255" t="s">
        <v>439</v>
      </c>
      <c r="B257" s="255" t="s">
        <v>3914</v>
      </c>
      <c r="C257" s="255" t="s">
        <v>102</v>
      </c>
      <c r="D257" s="255">
        <v>0</v>
      </c>
      <c r="E257" s="320">
        <f>IF(ISNA(VLOOKUP($A257,'Audit Values'!$A:$BZ,2,FALSE)),0,VLOOKUP($A257,'Audit Values'!$A:$BZ,78,FALSE))</f>
        <v>0</v>
      </c>
      <c r="F257" s="300">
        <v>3.5040000000000002E-2</v>
      </c>
      <c r="G257" s="301">
        <f>IF('2024 Legal Max'!BQ254&gt;0,1.014331, 0)</f>
        <v>0</v>
      </c>
      <c r="H257" s="299">
        <f>'2024 Legal Max'!BT254</f>
        <v>0</v>
      </c>
      <c r="I257" s="299">
        <f>'2024 Legal Max'!BX254</f>
        <v>0</v>
      </c>
      <c r="J257" s="302">
        <f>IF('2024 Legal Max'!BZ254&gt;0,0.03504,0)</f>
        <v>3.5040000000000002E-2</v>
      </c>
      <c r="K257" s="299">
        <f t="shared" si="11"/>
        <v>3.5040000000000002E-2</v>
      </c>
      <c r="L257" s="299">
        <f t="shared" si="12"/>
        <v>3.5040000000000002E-2</v>
      </c>
      <c r="M257" s="303">
        <f>MAX('2024 Legal Max'!BQ254,'2024 Legal Max'!BU254,'2024 Legal Max'!BY254,'2024 Legal Max'!BZ254)</f>
        <v>95.1</v>
      </c>
      <c r="N257" s="303">
        <f>'2024 Legal Max'!U254*'Low-High ENRL- 2023 HSubSB 113'!L257</f>
        <v>95.1</v>
      </c>
      <c r="O257" s="303">
        <f t="shared" si="10"/>
        <v>0</v>
      </c>
    </row>
    <row r="258" spans="1:15">
      <c r="A258" s="255" t="s">
        <v>440</v>
      </c>
      <c r="B258" s="255" t="s">
        <v>3915</v>
      </c>
      <c r="C258" s="255" t="s">
        <v>102</v>
      </c>
      <c r="D258" s="255">
        <v>0</v>
      </c>
      <c r="E258" s="320">
        <f>IF(ISNA(VLOOKUP($A258,'Audit Values'!$A:$BZ,2,FALSE)),0,VLOOKUP($A258,'Audit Values'!$A:$BZ,78,FALSE))</f>
        <v>0</v>
      </c>
      <c r="F258" s="299">
        <v>0.58411800000000003</v>
      </c>
      <c r="G258" s="301">
        <f>IF('2024 Legal Max'!BQ255&gt;0,1.014331, 0)</f>
        <v>0</v>
      </c>
      <c r="H258" s="299">
        <f>'2024 Legal Max'!BT255</f>
        <v>0.58226299999999998</v>
      </c>
      <c r="I258" s="299">
        <f>'2024 Legal Max'!BX255</f>
        <v>0</v>
      </c>
      <c r="J258" s="302">
        <f>IF('2024 Legal Max'!BZ255&gt;0,0.03504,0)</f>
        <v>0</v>
      </c>
      <c r="K258" s="299">
        <f t="shared" si="11"/>
        <v>0.58226299999999998</v>
      </c>
      <c r="L258" s="299">
        <f t="shared" si="12"/>
        <v>0.58226299999999998</v>
      </c>
      <c r="M258" s="303">
        <f>MAX('2024 Legal Max'!BQ255,'2024 Legal Max'!BU255,'2024 Legal Max'!BY255,'2024 Legal Max'!BZ255)</f>
        <v>153.1</v>
      </c>
      <c r="N258" s="303">
        <f>'2024 Legal Max'!U255*'Low-High ENRL- 2023 HSubSB 113'!L258</f>
        <v>153.1</v>
      </c>
      <c r="O258" s="303">
        <f t="shared" si="10"/>
        <v>0</v>
      </c>
    </row>
    <row r="259" spans="1:15">
      <c r="A259" s="255" t="s">
        <v>441</v>
      </c>
      <c r="B259" s="255" t="s">
        <v>3916</v>
      </c>
      <c r="C259" s="255" t="s">
        <v>87</v>
      </c>
      <c r="D259" s="255">
        <v>0</v>
      </c>
      <c r="E259" s="320">
        <f>IF(ISNA(VLOOKUP($A259,'Audit Values'!$A:$BZ,2,FALSE)),0,VLOOKUP($A259,'Audit Values'!$A:$BZ,78,FALSE))</f>
        <v>0</v>
      </c>
      <c r="F259" s="299">
        <v>0.216804</v>
      </c>
      <c r="G259" s="301">
        <f>IF('2024 Legal Max'!BQ256&gt;0,1.014331, 0)</f>
        <v>0</v>
      </c>
      <c r="H259" s="299">
        <f>'2024 Legal Max'!BT256</f>
        <v>0</v>
      </c>
      <c r="I259" s="299">
        <f>'2024 Legal Max'!BX256</f>
        <v>0.20202500000000001</v>
      </c>
      <c r="J259" s="302">
        <f>IF('2024 Legal Max'!BZ256&gt;0,0.03504,0)</f>
        <v>0</v>
      </c>
      <c r="K259" s="299">
        <f t="shared" si="11"/>
        <v>0.20202500000000001</v>
      </c>
      <c r="L259" s="299">
        <f t="shared" si="12"/>
        <v>0.20202500000000001</v>
      </c>
      <c r="M259" s="303">
        <f>MAX('2024 Legal Max'!BQ256,'2024 Legal Max'!BU256,'2024 Legal Max'!BY256,'2024 Legal Max'!BZ256)</f>
        <v>228.4</v>
      </c>
      <c r="N259" s="303">
        <f>'2024 Legal Max'!U256*'Low-High ENRL- 2023 HSubSB 113'!L259</f>
        <v>228.4</v>
      </c>
      <c r="O259" s="303">
        <f t="shared" si="10"/>
        <v>0</v>
      </c>
    </row>
    <row r="260" spans="1:15">
      <c r="A260" s="255" t="s">
        <v>442</v>
      </c>
      <c r="B260" s="255" t="s">
        <v>3917</v>
      </c>
      <c r="C260" s="255" t="s">
        <v>97</v>
      </c>
      <c r="D260" s="255">
        <v>0</v>
      </c>
      <c r="E260" s="320">
        <f>IF(ISNA(VLOOKUP($A260,'Audit Values'!$A:$BZ,2,FALSE)),0,VLOOKUP($A260,'Audit Values'!$A:$BZ,78,FALSE))</f>
        <v>0</v>
      </c>
      <c r="F260" s="299">
        <v>1.0069090000000001</v>
      </c>
      <c r="G260" s="301">
        <f>IF('2024 Legal Max'!BQ257&gt;0,1.014331, 0)</f>
        <v>1.0143310000000001</v>
      </c>
      <c r="H260" s="299">
        <f>'2024 Legal Max'!BT257</f>
        <v>0</v>
      </c>
      <c r="I260" s="299">
        <f>'2024 Legal Max'!BX257</f>
        <v>0</v>
      </c>
      <c r="J260" s="302">
        <f>IF('2024 Legal Max'!BZ257&gt;0,0.03504,0)</f>
        <v>0</v>
      </c>
      <c r="K260" s="299">
        <f t="shared" si="11"/>
        <v>1.0143310000000001</v>
      </c>
      <c r="L260" s="299">
        <f t="shared" si="12"/>
        <v>1.0143310000000001</v>
      </c>
      <c r="M260" s="303">
        <f>MAX('2024 Legal Max'!BQ257,'2024 Legal Max'!BU257,'2024 Legal Max'!BY257,'2024 Legal Max'!BZ257)</f>
        <v>85.7</v>
      </c>
      <c r="N260" s="303">
        <f>'2024 Legal Max'!U257*'Low-High ENRL- 2023 HSubSB 113'!L260</f>
        <v>85.7</v>
      </c>
      <c r="O260" s="303">
        <f t="shared" si="10"/>
        <v>0</v>
      </c>
    </row>
    <row r="261" spans="1:15">
      <c r="A261" s="255" t="s">
        <v>443</v>
      </c>
      <c r="B261" s="255" t="s">
        <v>3918</v>
      </c>
      <c r="C261" s="255" t="s">
        <v>105</v>
      </c>
      <c r="D261" s="255">
        <v>0</v>
      </c>
      <c r="E261" s="320">
        <f>IF(ISNA(VLOOKUP($A261,'Audit Values'!$A:$BZ,2,FALSE)),0,VLOOKUP($A261,'Audit Values'!$A:$BZ,78,FALSE))</f>
        <v>0</v>
      </c>
      <c r="F261" s="300">
        <v>3.5040000000000002E-2</v>
      </c>
      <c r="G261" s="301">
        <f>IF('2024 Legal Max'!BQ258&gt;0,1.014331, 0)</f>
        <v>0</v>
      </c>
      <c r="H261" s="299">
        <f>'2024 Legal Max'!BT258</f>
        <v>0</v>
      </c>
      <c r="I261" s="299">
        <f>'2024 Legal Max'!BX258</f>
        <v>0</v>
      </c>
      <c r="J261" s="302">
        <f>IF('2024 Legal Max'!BZ258&gt;0,0.03504,0)</f>
        <v>3.5040000000000002E-2</v>
      </c>
      <c r="K261" s="299">
        <f t="shared" si="11"/>
        <v>3.5040000000000002E-2</v>
      </c>
      <c r="L261" s="299">
        <f t="shared" si="12"/>
        <v>3.5040000000000002E-2</v>
      </c>
      <c r="M261" s="303">
        <f>MAX('2024 Legal Max'!BQ258,'2024 Legal Max'!BU258,'2024 Legal Max'!BY258,'2024 Legal Max'!BZ258)</f>
        <v>257.10000000000002</v>
      </c>
      <c r="N261" s="303">
        <f>'2024 Legal Max'!U258*'Low-High ENRL- 2023 HSubSB 113'!L261</f>
        <v>257.10000000000002</v>
      </c>
      <c r="O261" s="303">
        <f t="shared" si="10"/>
        <v>0</v>
      </c>
    </row>
    <row r="262" spans="1:15">
      <c r="A262" s="255" t="s">
        <v>444</v>
      </c>
      <c r="B262" s="255" t="s">
        <v>3919</v>
      </c>
      <c r="C262" s="255" t="s">
        <v>5</v>
      </c>
      <c r="D262" s="255">
        <v>0</v>
      </c>
      <c r="E262" s="320">
        <f>IF(ISNA(VLOOKUP($A262,'Audit Values'!$A:$BZ,2,FALSE)),0,VLOOKUP($A262,'Audit Values'!$A:$BZ,78,FALSE))</f>
        <v>0</v>
      </c>
      <c r="F262" s="299">
        <v>1.0143310000000001</v>
      </c>
      <c r="G262" s="301">
        <f>IF('2024 Legal Max'!BQ259&gt;0,1.014331, 0)</f>
        <v>1.0143310000000001</v>
      </c>
      <c r="H262" s="299">
        <f>'2024 Legal Max'!BT259</f>
        <v>0</v>
      </c>
      <c r="I262" s="299">
        <f>'2024 Legal Max'!BX259</f>
        <v>0</v>
      </c>
      <c r="J262" s="302">
        <f>IF('2024 Legal Max'!BZ259&gt;0,0.03504,0)</f>
        <v>0</v>
      </c>
      <c r="K262" s="299">
        <f t="shared" si="11"/>
        <v>1.0143310000000001</v>
      </c>
      <c r="L262" s="299">
        <f t="shared" si="12"/>
        <v>1.0143310000000001</v>
      </c>
      <c r="M262" s="303">
        <f>MAX('2024 Legal Max'!BQ259,'2024 Legal Max'!BU259,'2024 Legal Max'!BY259,'2024 Legal Max'!BZ259)</f>
        <v>98.2</v>
      </c>
      <c r="N262" s="303">
        <f>'2024 Legal Max'!U259*'Low-High ENRL- 2023 HSubSB 113'!L262</f>
        <v>98.2</v>
      </c>
      <c r="O262" s="303">
        <f t="shared" si="10"/>
        <v>0</v>
      </c>
    </row>
    <row r="263" spans="1:15">
      <c r="A263" s="255" t="s">
        <v>445</v>
      </c>
      <c r="B263" s="255" t="s">
        <v>3920</v>
      </c>
      <c r="C263" s="255" t="s">
        <v>5</v>
      </c>
      <c r="D263" s="255">
        <v>0</v>
      </c>
      <c r="E263" s="320">
        <f>IF(ISNA(VLOOKUP($A263,'Audit Values'!$A:$BZ,2,FALSE)),0,VLOOKUP($A263,'Audit Values'!$A:$BZ,78,FALSE))</f>
        <v>0</v>
      </c>
      <c r="F263" s="299">
        <v>0.65648300000000004</v>
      </c>
      <c r="G263" s="301">
        <f>IF('2024 Legal Max'!BQ260&gt;0,1.014331, 0)</f>
        <v>0</v>
      </c>
      <c r="H263" s="299">
        <f>'2024 Legal Max'!BT260</f>
        <v>0.66973700000000003</v>
      </c>
      <c r="I263" s="299">
        <f>'2024 Legal Max'!BX260</f>
        <v>0</v>
      </c>
      <c r="J263" s="302">
        <f>IF('2024 Legal Max'!BZ260&gt;0,0.03504,0)</f>
        <v>0</v>
      </c>
      <c r="K263" s="299">
        <f t="shared" si="11"/>
        <v>0.66973700000000003</v>
      </c>
      <c r="L263" s="299">
        <f t="shared" si="12"/>
        <v>0.66973700000000003</v>
      </c>
      <c r="M263" s="303">
        <f>MAX('2024 Legal Max'!BQ260,'2024 Legal Max'!BU260,'2024 Legal Max'!BY260,'2024 Legal Max'!BZ260)</f>
        <v>154</v>
      </c>
      <c r="N263" s="303">
        <f>'2024 Legal Max'!U260*'Low-High ENRL- 2023 HSubSB 113'!L263</f>
        <v>154</v>
      </c>
      <c r="O263" s="303">
        <f t="shared" si="10"/>
        <v>0</v>
      </c>
    </row>
    <row r="264" spans="1:15">
      <c r="A264" s="255" t="s">
        <v>446</v>
      </c>
      <c r="B264" s="255" t="s">
        <v>3921</v>
      </c>
      <c r="C264" s="255" t="s">
        <v>71</v>
      </c>
      <c r="D264" s="255">
        <v>0</v>
      </c>
      <c r="E264" s="320">
        <f>IF(ISNA(VLOOKUP($A264,'Audit Values'!$A:$BZ,2,FALSE)),0,VLOOKUP($A264,'Audit Values'!$A:$BZ,78,FALSE))</f>
        <v>0</v>
      </c>
      <c r="F264" s="299">
        <v>0.64190400000000003</v>
      </c>
      <c r="G264" s="301">
        <f>IF('2024 Legal Max'!BQ261&gt;0,1.014331, 0)</f>
        <v>0</v>
      </c>
      <c r="H264" s="299">
        <f>'2024 Legal Max'!BT261</f>
        <v>0.64322999999999997</v>
      </c>
      <c r="I264" s="299">
        <f>'2024 Legal Max'!BX261</f>
        <v>0</v>
      </c>
      <c r="J264" s="302">
        <f>IF('2024 Legal Max'!BZ261&gt;0,0.03504,0)</f>
        <v>0</v>
      </c>
      <c r="K264" s="299">
        <f t="shared" si="11"/>
        <v>0.64322999999999997</v>
      </c>
      <c r="L264" s="299">
        <f t="shared" si="12"/>
        <v>0.64322999999999997</v>
      </c>
      <c r="M264" s="303">
        <f>MAX('2024 Legal Max'!BQ261,'2024 Legal Max'!BU261,'2024 Legal Max'!BY261,'2024 Legal Max'!BZ261)</f>
        <v>154.4</v>
      </c>
      <c r="N264" s="303">
        <f>'2024 Legal Max'!U261*'Low-High ENRL- 2023 HSubSB 113'!L264</f>
        <v>154.4</v>
      </c>
      <c r="O264" s="303">
        <f t="shared" ref="O264:O293" si="13">N264-M264</f>
        <v>0</v>
      </c>
    </row>
    <row r="265" spans="1:15">
      <c r="A265" s="255" t="s">
        <v>447</v>
      </c>
      <c r="B265" s="255" t="s">
        <v>3922</v>
      </c>
      <c r="C265" s="255" t="s">
        <v>106</v>
      </c>
      <c r="D265" s="255">
        <v>0</v>
      </c>
      <c r="E265" s="320">
        <f>IF(ISNA(VLOOKUP($A265,'Audit Values'!$A:$BZ,2,FALSE)),0,VLOOKUP($A265,'Audit Values'!$A:$BZ,78,FALSE))</f>
        <v>0</v>
      </c>
      <c r="F265" s="300">
        <v>3.5040000000000002E-2</v>
      </c>
      <c r="G265" s="301">
        <f>IF('2024 Legal Max'!BQ262&gt;0,1.014331, 0)</f>
        <v>0</v>
      </c>
      <c r="H265" s="299">
        <f>'2024 Legal Max'!BT262</f>
        <v>0</v>
      </c>
      <c r="I265" s="299">
        <f>'2024 Legal Max'!BX262</f>
        <v>0</v>
      </c>
      <c r="J265" s="302">
        <f>IF('2024 Legal Max'!BZ262&gt;0,0.03504,0)</f>
        <v>3.5040000000000002E-2</v>
      </c>
      <c r="K265" s="299">
        <f t="shared" ref="K265:K293" si="14">MAX(G265,H265,I265,J265)</f>
        <v>3.5040000000000002E-2</v>
      </c>
      <c r="L265" s="299">
        <f t="shared" ref="L265:L293" si="15">IF((E265=1),MAX(F265,K265),K265)</f>
        <v>3.5040000000000002E-2</v>
      </c>
      <c r="M265" s="303">
        <f>MAX('2024 Legal Max'!BQ262,'2024 Legal Max'!BU262,'2024 Legal Max'!BY262,'2024 Legal Max'!BZ262)</f>
        <v>158.30000000000001</v>
      </c>
      <c r="N265" s="303">
        <f>'2024 Legal Max'!U262*'Low-High ENRL- 2023 HSubSB 113'!L265</f>
        <v>158.30000000000001</v>
      </c>
      <c r="O265" s="303">
        <f t="shared" si="13"/>
        <v>0</v>
      </c>
    </row>
    <row r="266" spans="1:15">
      <c r="A266" s="255" t="s">
        <v>448</v>
      </c>
      <c r="B266" s="255" t="s">
        <v>3923</v>
      </c>
      <c r="C266" s="255" t="s">
        <v>87</v>
      </c>
      <c r="D266" s="255">
        <v>0</v>
      </c>
      <c r="E266" s="320">
        <f>IF(ISNA(VLOOKUP($A266,'Audit Values'!$A:$BZ,2,FALSE)),0,VLOOKUP($A266,'Audit Values'!$A:$BZ,78,FALSE))</f>
        <v>0</v>
      </c>
      <c r="F266" s="299">
        <v>0.58305799999999997</v>
      </c>
      <c r="G266" s="301">
        <f>IF('2024 Legal Max'!BQ263&gt;0,1.014331, 0)</f>
        <v>0</v>
      </c>
      <c r="H266" s="299">
        <f>'2024 Legal Max'!BT263</f>
        <v>0.58305799999999997</v>
      </c>
      <c r="I266" s="299">
        <f>'2024 Legal Max'!BX263</f>
        <v>0</v>
      </c>
      <c r="J266" s="302">
        <f>IF('2024 Legal Max'!BZ263&gt;0,0.03504,0)</f>
        <v>0</v>
      </c>
      <c r="K266" s="299">
        <f t="shared" si="14"/>
        <v>0.58305799999999997</v>
      </c>
      <c r="L266" s="299">
        <f t="shared" si="15"/>
        <v>0.58305799999999997</v>
      </c>
      <c r="M266" s="303">
        <f>MAX('2024 Legal Max'!BQ263,'2024 Legal Max'!BU263,'2024 Legal Max'!BY263,'2024 Legal Max'!BZ263)</f>
        <v>153.19999999999999</v>
      </c>
      <c r="N266" s="303">
        <f>'2024 Legal Max'!U263*'Low-High ENRL- 2023 HSubSB 113'!L266</f>
        <v>153.19999999999999</v>
      </c>
      <c r="O266" s="303">
        <f t="shared" si="13"/>
        <v>0</v>
      </c>
    </row>
    <row r="267" spans="1:15">
      <c r="A267" s="255" t="s">
        <v>449</v>
      </c>
      <c r="B267" s="255" t="s">
        <v>3924</v>
      </c>
      <c r="C267" s="255" t="s">
        <v>104</v>
      </c>
      <c r="D267" s="255">
        <v>0</v>
      </c>
      <c r="E267" s="320">
        <f>IF(ISNA(VLOOKUP($A267,'Audit Values'!$A:$BZ,2,FALSE)),0,VLOOKUP($A267,'Audit Values'!$A:$BZ,78,FALSE))</f>
        <v>0</v>
      </c>
      <c r="F267" s="299">
        <v>0.65038700000000005</v>
      </c>
      <c r="G267" s="301">
        <f>IF('2024 Legal Max'!BQ264&gt;0,1.014331, 0)</f>
        <v>0</v>
      </c>
      <c r="H267" s="299">
        <f>'2024 Legal Max'!BT264</f>
        <v>0.65118200000000004</v>
      </c>
      <c r="I267" s="299">
        <f>'2024 Legal Max'!BX264</f>
        <v>0</v>
      </c>
      <c r="J267" s="302">
        <f>IF('2024 Legal Max'!BZ264&gt;0,0.03504,0)</f>
        <v>0</v>
      </c>
      <c r="K267" s="299">
        <f t="shared" si="14"/>
        <v>0.65118200000000004</v>
      </c>
      <c r="L267" s="299">
        <f t="shared" si="15"/>
        <v>0.65118200000000004</v>
      </c>
      <c r="M267" s="303">
        <f>MAX('2024 Legal Max'!BQ264,'2024 Legal Max'!BU264,'2024 Legal Max'!BY264,'2024 Legal Max'!BZ264)</f>
        <v>154.30000000000001</v>
      </c>
      <c r="N267" s="303">
        <f>'2024 Legal Max'!U264*'Low-High ENRL- 2023 HSubSB 113'!L267</f>
        <v>154.30000000000001</v>
      </c>
      <c r="O267" s="303">
        <f t="shared" si="13"/>
        <v>0</v>
      </c>
    </row>
    <row r="268" spans="1:15">
      <c r="A268" s="255" t="s">
        <v>450</v>
      </c>
      <c r="B268" s="255" t="s">
        <v>3925</v>
      </c>
      <c r="C268" s="255" t="s">
        <v>106</v>
      </c>
      <c r="D268" s="255">
        <v>0</v>
      </c>
      <c r="E268" s="320">
        <f>IF(ISNA(VLOOKUP($A268,'Audit Values'!$A:$BZ,2,FALSE)),0,VLOOKUP($A268,'Audit Values'!$A:$BZ,78,FALSE))</f>
        <v>0</v>
      </c>
      <c r="F268" s="299">
        <v>0.38158199999999998</v>
      </c>
      <c r="G268" s="301">
        <f>IF('2024 Legal Max'!BQ265&gt;0,1.014331, 0)</f>
        <v>0</v>
      </c>
      <c r="H268" s="299">
        <f>'2024 Legal Max'!BT265</f>
        <v>0</v>
      </c>
      <c r="I268" s="299">
        <f>'2024 Legal Max'!BX265</f>
        <v>0.38480999999999999</v>
      </c>
      <c r="J268" s="302">
        <f>IF('2024 Legal Max'!BZ265&gt;0,0.03504,0)</f>
        <v>0</v>
      </c>
      <c r="K268" s="299">
        <f t="shared" si="14"/>
        <v>0.38480999999999999</v>
      </c>
      <c r="L268" s="299">
        <f t="shared" si="15"/>
        <v>0.38480999999999999</v>
      </c>
      <c r="M268" s="303">
        <f>MAX('2024 Legal Max'!BQ265,'2024 Legal Max'!BU265,'2024 Legal Max'!BY265,'2024 Legal Max'!BZ265)</f>
        <v>228</v>
      </c>
      <c r="N268" s="303">
        <f>'2024 Legal Max'!U265*'Low-High ENRL- 2023 HSubSB 113'!L268</f>
        <v>228</v>
      </c>
      <c r="O268" s="303">
        <f t="shared" si="13"/>
        <v>0</v>
      </c>
    </row>
    <row r="269" spans="1:15">
      <c r="A269" s="255" t="s">
        <v>451</v>
      </c>
      <c r="B269" s="255" t="s">
        <v>3926</v>
      </c>
      <c r="C269" s="255" t="s">
        <v>83</v>
      </c>
      <c r="D269" s="255">
        <v>0</v>
      </c>
      <c r="E269" s="320">
        <f>IF(ISNA(VLOOKUP($A269,'Audit Values'!$A:$BZ,2,FALSE)),0,VLOOKUP($A269,'Audit Values'!$A:$BZ,78,FALSE))</f>
        <v>0</v>
      </c>
      <c r="F269" s="299">
        <v>0.369861</v>
      </c>
      <c r="G269" s="301">
        <f>IF('2024 Legal Max'!BQ266&gt;0,1.014331, 0)</f>
        <v>0</v>
      </c>
      <c r="H269" s="299">
        <f>'2024 Legal Max'!BT266</f>
        <v>0</v>
      </c>
      <c r="I269" s="299">
        <f>'2024 Legal Max'!BX266</f>
        <v>0.37036999999999998</v>
      </c>
      <c r="J269" s="302">
        <f>IF('2024 Legal Max'!BZ266&gt;0,0.03504,0)</f>
        <v>0</v>
      </c>
      <c r="K269" s="299">
        <f t="shared" si="14"/>
        <v>0.37036999999999998</v>
      </c>
      <c r="L269" s="299">
        <f t="shared" si="15"/>
        <v>0.37036999999999998</v>
      </c>
      <c r="M269" s="303">
        <f>MAX('2024 Legal Max'!BQ266,'2024 Legal Max'!BU266,'2024 Legal Max'!BY266,'2024 Legal Max'!BZ266)</f>
        <v>235.2</v>
      </c>
      <c r="N269" s="303">
        <f>'2024 Legal Max'!U266*'Low-High ENRL- 2023 HSubSB 113'!L269</f>
        <v>235.2</v>
      </c>
      <c r="O269" s="303">
        <f t="shared" si="13"/>
        <v>0</v>
      </c>
    </row>
    <row r="270" spans="1:15">
      <c r="A270" s="255" t="s">
        <v>452</v>
      </c>
      <c r="B270" s="255" t="s">
        <v>3927</v>
      </c>
      <c r="C270" s="255" t="s">
        <v>87</v>
      </c>
      <c r="D270" s="255">
        <v>0</v>
      </c>
      <c r="E270" s="320">
        <f>IF(ISNA(VLOOKUP($A270,'Audit Values'!$A:$BZ,2,FALSE)),0,VLOOKUP($A270,'Audit Values'!$A:$BZ,78,FALSE))</f>
        <v>0</v>
      </c>
      <c r="F270" s="299">
        <v>0.44409599999999999</v>
      </c>
      <c r="G270" s="301">
        <f>IF('2024 Legal Max'!BQ267&gt;0,1.014331, 0)</f>
        <v>0</v>
      </c>
      <c r="H270" s="299">
        <f>'2024 Legal Max'!BT267</f>
        <v>0</v>
      </c>
      <c r="I270" s="299">
        <f>'2024 Legal Max'!BX267</f>
        <v>0.44494499999999998</v>
      </c>
      <c r="J270" s="302">
        <f>IF('2024 Legal Max'!BZ267&gt;0,0.03504,0)</f>
        <v>0</v>
      </c>
      <c r="K270" s="299">
        <f t="shared" si="14"/>
        <v>0.44494499999999998</v>
      </c>
      <c r="L270" s="299">
        <f t="shared" si="15"/>
        <v>0.44494499999999998</v>
      </c>
      <c r="M270" s="303">
        <f>MAX('2024 Legal Max'!BQ267,'2024 Legal Max'!BU267,'2024 Legal Max'!BY267,'2024 Legal Max'!BZ267)</f>
        <v>184.9</v>
      </c>
      <c r="N270" s="303">
        <f>'2024 Legal Max'!U267*'Low-High ENRL- 2023 HSubSB 113'!L270</f>
        <v>184.9</v>
      </c>
      <c r="O270" s="303">
        <f t="shared" si="13"/>
        <v>0</v>
      </c>
    </row>
    <row r="271" spans="1:15">
      <c r="A271" s="255" t="s">
        <v>453</v>
      </c>
      <c r="B271" s="255" t="s">
        <v>3928</v>
      </c>
      <c r="C271" s="255" t="s">
        <v>84</v>
      </c>
      <c r="D271" s="255">
        <v>0</v>
      </c>
      <c r="E271" s="320">
        <f>IF(ISNA(VLOOKUP($A271,'Audit Values'!$A:$BZ,2,FALSE)),0,VLOOKUP($A271,'Audit Values'!$A:$BZ,78,FALSE))</f>
        <v>0</v>
      </c>
      <c r="F271" s="300">
        <v>3.5040000000000002E-2</v>
      </c>
      <c r="G271" s="301">
        <f>IF('2024 Legal Max'!BQ268&gt;0,1.014331, 0)</f>
        <v>0</v>
      </c>
      <c r="H271" s="299">
        <f>'2024 Legal Max'!BT268</f>
        <v>0</v>
      </c>
      <c r="I271" s="299">
        <f>'2024 Legal Max'!BX268</f>
        <v>0</v>
      </c>
      <c r="J271" s="302">
        <f>IF('2024 Legal Max'!BZ268&gt;0,0.03504,0)</f>
        <v>3.5040000000000002E-2</v>
      </c>
      <c r="K271" s="299">
        <f t="shared" si="14"/>
        <v>3.5040000000000002E-2</v>
      </c>
      <c r="L271" s="299">
        <f t="shared" si="15"/>
        <v>3.5040000000000002E-2</v>
      </c>
      <c r="M271" s="303">
        <f>MAX('2024 Legal Max'!BQ268,'2024 Legal Max'!BU268,'2024 Legal Max'!BY268,'2024 Legal Max'!BZ268)</f>
        <v>110.5</v>
      </c>
      <c r="N271" s="303">
        <f>'2024 Legal Max'!U268*'Low-High ENRL- 2023 HSubSB 113'!L271</f>
        <v>110.5</v>
      </c>
      <c r="O271" s="303">
        <f t="shared" si="13"/>
        <v>0</v>
      </c>
    </row>
    <row r="272" spans="1:15">
      <c r="A272" s="255" t="s">
        <v>454</v>
      </c>
      <c r="B272" s="255" t="s">
        <v>3929</v>
      </c>
      <c r="C272" s="255" t="s">
        <v>10</v>
      </c>
      <c r="D272" s="255">
        <v>0</v>
      </c>
      <c r="E272" s="320">
        <f>IF(ISNA(VLOOKUP($A272,'Audit Values'!$A:$BZ,2,FALSE)),0,VLOOKUP($A272,'Audit Values'!$A:$BZ,78,FALSE))</f>
        <v>0</v>
      </c>
      <c r="F272" s="300">
        <v>3.5040000000000002E-2</v>
      </c>
      <c r="G272" s="301">
        <f>IF('2024 Legal Max'!BQ269&gt;0,1.014331, 0)</f>
        <v>0</v>
      </c>
      <c r="H272" s="299">
        <f>'2024 Legal Max'!BT269</f>
        <v>0</v>
      </c>
      <c r="I272" s="299">
        <f>'2024 Legal Max'!BX269</f>
        <v>0</v>
      </c>
      <c r="J272" s="302">
        <f>IF('2024 Legal Max'!BZ269&gt;0,0.03504,0)</f>
        <v>3.5040000000000002E-2</v>
      </c>
      <c r="K272" s="299">
        <f t="shared" si="14"/>
        <v>3.5040000000000002E-2</v>
      </c>
      <c r="L272" s="299">
        <f t="shared" si="15"/>
        <v>3.5040000000000002E-2</v>
      </c>
      <c r="M272" s="303">
        <f>MAX('2024 Legal Max'!BQ269,'2024 Legal Max'!BU269,'2024 Legal Max'!BY269,'2024 Legal Max'!BZ269)</f>
        <v>62.1</v>
      </c>
      <c r="N272" s="303">
        <f>'2024 Legal Max'!U269*'Low-High ENRL- 2023 HSubSB 113'!L272</f>
        <v>62.1</v>
      </c>
      <c r="O272" s="303">
        <f t="shared" si="13"/>
        <v>0</v>
      </c>
    </row>
    <row r="273" spans="1:15">
      <c r="A273" s="255" t="s">
        <v>455</v>
      </c>
      <c r="B273" s="255" t="s">
        <v>3930</v>
      </c>
      <c r="C273" s="255" t="s">
        <v>63</v>
      </c>
      <c r="D273" s="255">
        <v>0</v>
      </c>
      <c r="E273" s="320">
        <f>IF(ISNA(VLOOKUP($A273,'Audit Values'!$A:$BZ,2,FALSE)),0,VLOOKUP($A273,'Audit Values'!$A:$BZ,78,FALSE))</f>
        <v>0</v>
      </c>
      <c r="F273" s="300">
        <v>3.5040000000000002E-2</v>
      </c>
      <c r="G273" s="301">
        <f>IF('2024 Legal Max'!BQ270&gt;0,1.014331, 0)</f>
        <v>0</v>
      </c>
      <c r="H273" s="299">
        <f>'2024 Legal Max'!BT270</f>
        <v>0</v>
      </c>
      <c r="I273" s="299">
        <f>'2024 Legal Max'!BX270</f>
        <v>0</v>
      </c>
      <c r="J273" s="302">
        <f>IF('2024 Legal Max'!BZ270&gt;0,0.03504,0)</f>
        <v>3.5040000000000002E-2</v>
      </c>
      <c r="K273" s="299">
        <f t="shared" si="14"/>
        <v>3.5040000000000002E-2</v>
      </c>
      <c r="L273" s="299">
        <f t="shared" si="15"/>
        <v>3.5040000000000002E-2</v>
      </c>
      <c r="M273" s="303">
        <f>MAX('2024 Legal Max'!BQ270,'2024 Legal Max'!BU270,'2024 Legal Max'!BY270,'2024 Legal Max'!BZ270)</f>
        <v>57.6</v>
      </c>
      <c r="N273" s="303">
        <f>'2024 Legal Max'!U270*'Low-High ENRL- 2023 HSubSB 113'!L273</f>
        <v>57.6</v>
      </c>
      <c r="O273" s="303">
        <f t="shared" si="13"/>
        <v>0</v>
      </c>
    </row>
    <row r="274" spans="1:15">
      <c r="A274" s="255" t="s">
        <v>456</v>
      </c>
      <c r="B274" s="255" t="s">
        <v>3931</v>
      </c>
      <c r="C274" s="255" t="s">
        <v>10</v>
      </c>
      <c r="D274" s="255">
        <v>0</v>
      </c>
      <c r="E274" s="320">
        <f>IF(ISNA(VLOOKUP($A274,'Audit Values'!$A:$BZ,2,FALSE)),0,VLOOKUP($A274,'Audit Values'!$A:$BZ,78,FALSE))</f>
        <v>0</v>
      </c>
      <c r="F274" s="299">
        <v>0.53322499999999995</v>
      </c>
      <c r="G274" s="301">
        <f>IF('2024 Legal Max'!BQ271&gt;0,1.014331, 0)</f>
        <v>0</v>
      </c>
      <c r="H274" s="299">
        <f>'2024 Legal Max'!BT271</f>
        <v>0.52659800000000001</v>
      </c>
      <c r="I274" s="299">
        <f>'2024 Legal Max'!BX271</f>
        <v>0</v>
      </c>
      <c r="J274" s="302">
        <f>IF('2024 Legal Max'!BZ271&gt;0,0.03504,0)</f>
        <v>0</v>
      </c>
      <c r="K274" s="299">
        <f t="shared" si="14"/>
        <v>0.52659800000000001</v>
      </c>
      <c r="L274" s="299">
        <f t="shared" si="15"/>
        <v>0.52659800000000001</v>
      </c>
      <c r="M274" s="303">
        <f>MAX('2024 Legal Max'!BQ271,'2024 Legal Max'!BU271,'2024 Legal Max'!BY271,'2024 Legal Max'!BZ271)</f>
        <v>149.6</v>
      </c>
      <c r="N274" s="303">
        <f>'2024 Legal Max'!U271*'Low-High ENRL- 2023 HSubSB 113'!L274</f>
        <v>149.6</v>
      </c>
      <c r="O274" s="303">
        <f t="shared" si="13"/>
        <v>0</v>
      </c>
    </row>
    <row r="275" spans="1:15">
      <c r="A275" s="255" t="s">
        <v>457</v>
      </c>
      <c r="B275" s="255" t="s">
        <v>3932</v>
      </c>
      <c r="C275" s="255" t="s">
        <v>29</v>
      </c>
      <c r="D275" s="255">
        <v>0</v>
      </c>
      <c r="E275" s="320">
        <f>IF(ISNA(VLOOKUP($A275,'Audit Values'!$A:$BZ,2,FALSE)),0,VLOOKUP($A275,'Audit Values'!$A:$BZ,78,FALSE))</f>
        <v>0</v>
      </c>
      <c r="F275" s="299">
        <v>0.28315699999999999</v>
      </c>
      <c r="G275" s="301">
        <f>IF('2024 Legal Max'!BQ272&gt;0,1.014331, 0)</f>
        <v>0</v>
      </c>
      <c r="H275" s="299">
        <f>'2024 Legal Max'!BT272</f>
        <v>0</v>
      </c>
      <c r="I275" s="299">
        <f>'2024 Legal Max'!BX272</f>
        <v>0.279997</v>
      </c>
      <c r="J275" s="302">
        <f>IF('2024 Legal Max'!BZ272&gt;0,0.03504,0)</f>
        <v>0</v>
      </c>
      <c r="K275" s="299">
        <f t="shared" si="14"/>
        <v>0.279997</v>
      </c>
      <c r="L275" s="299">
        <f t="shared" si="15"/>
        <v>0.279997</v>
      </c>
      <c r="M275" s="303">
        <f>MAX('2024 Legal Max'!BQ272,'2024 Legal Max'!BU272,'2024 Legal Max'!BY272,'2024 Legal Max'!BZ272)</f>
        <v>252.3</v>
      </c>
      <c r="N275" s="303">
        <f>'2024 Legal Max'!U272*'Low-High ENRL- 2023 HSubSB 113'!L275</f>
        <v>252.3</v>
      </c>
      <c r="O275" s="303">
        <f t="shared" si="13"/>
        <v>0</v>
      </c>
    </row>
    <row r="276" spans="1:15">
      <c r="A276" s="255" t="s">
        <v>458</v>
      </c>
      <c r="B276" s="255" t="s">
        <v>3933</v>
      </c>
      <c r="C276" s="255" t="s">
        <v>85</v>
      </c>
      <c r="D276" s="255">
        <v>0</v>
      </c>
      <c r="E276" s="320">
        <f>IF(ISNA(VLOOKUP($A276,'Audit Values'!$A:$BZ,2,FALSE)),0,VLOOKUP($A276,'Audit Values'!$A:$BZ,78,FALSE))</f>
        <v>0</v>
      </c>
      <c r="F276" s="299">
        <v>0.40111799999999997</v>
      </c>
      <c r="G276" s="301">
        <f>IF('2024 Legal Max'!BQ273&gt;0,1.014331, 0)</f>
        <v>0</v>
      </c>
      <c r="H276" s="299">
        <f>'2024 Legal Max'!BT273</f>
        <v>0</v>
      </c>
      <c r="I276" s="299">
        <f>'2024 Legal Max'!BX273</f>
        <v>0.40145700000000001</v>
      </c>
      <c r="J276" s="302">
        <f>IF('2024 Legal Max'!BZ273&gt;0,0.03504,0)</f>
        <v>0</v>
      </c>
      <c r="K276" s="299">
        <f t="shared" si="14"/>
        <v>0.40145700000000001</v>
      </c>
      <c r="L276" s="299">
        <f t="shared" si="15"/>
        <v>0.40145700000000001</v>
      </c>
      <c r="M276" s="303">
        <f>MAX('2024 Legal Max'!BQ273,'2024 Legal Max'!BU273,'2024 Legal Max'!BY273,'2024 Legal Max'!BZ273)</f>
        <v>218.2</v>
      </c>
      <c r="N276" s="303">
        <f>'2024 Legal Max'!U273*'Low-High ENRL- 2023 HSubSB 113'!L276</f>
        <v>218.2</v>
      </c>
      <c r="O276" s="303">
        <f t="shared" si="13"/>
        <v>0</v>
      </c>
    </row>
    <row r="277" spans="1:15">
      <c r="A277" s="255" t="s">
        <v>459</v>
      </c>
      <c r="B277" s="255" t="s">
        <v>3934</v>
      </c>
      <c r="C277" s="255" t="s">
        <v>107</v>
      </c>
      <c r="D277" s="255">
        <v>0</v>
      </c>
      <c r="E277" s="320">
        <f>IF(ISNA(VLOOKUP($A277,'Audit Values'!$A:$BZ,2,FALSE)),0,VLOOKUP($A277,'Audit Values'!$A:$BZ,78,FALSE))</f>
        <v>0</v>
      </c>
      <c r="F277" s="299">
        <v>0.302421</v>
      </c>
      <c r="G277" s="301">
        <f>IF('2024 Legal Max'!BQ274&gt;0,1.014331, 0)</f>
        <v>0</v>
      </c>
      <c r="H277" s="299">
        <f>'2024 Legal Max'!BT274</f>
        <v>0</v>
      </c>
      <c r="I277" s="299">
        <f>'2024 Legal Max'!BX274</f>
        <v>0.30588599999999999</v>
      </c>
      <c r="J277" s="302">
        <f>IF('2024 Legal Max'!BZ274&gt;0,0.03504,0)</f>
        <v>0</v>
      </c>
      <c r="K277" s="299">
        <f t="shared" si="14"/>
        <v>0.30588599999999999</v>
      </c>
      <c r="L277" s="299">
        <f t="shared" si="15"/>
        <v>0.30588599999999999</v>
      </c>
      <c r="M277" s="303">
        <f>MAX('2024 Legal Max'!BQ274,'2024 Legal Max'!BU274,'2024 Legal Max'!BY274,'2024 Legal Max'!BZ274)</f>
        <v>252.3</v>
      </c>
      <c r="N277" s="303">
        <f>'2024 Legal Max'!U274*'Low-High ENRL- 2023 HSubSB 113'!L277</f>
        <v>252.3</v>
      </c>
      <c r="O277" s="303">
        <f t="shared" si="13"/>
        <v>0</v>
      </c>
    </row>
    <row r="278" spans="1:15">
      <c r="A278" s="255" t="s">
        <v>460</v>
      </c>
      <c r="B278" s="255" t="s">
        <v>3225</v>
      </c>
      <c r="C278" s="255" t="s">
        <v>107</v>
      </c>
      <c r="D278" s="255">
        <v>0</v>
      </c>
      <c r="E278" s="320">
        <f>IF(ISNA(VLOOKUP($A278,'Audit Values'!$A:$BZ,2,FALSE)),0,VLOOKUP($A278,'Audit Values'!$A:$BZ,78,FALSE))</f>
        <v>0</v>
      </c>
      <c r="F278" s="299">
        <v>0.90962699999999996</v>
      </c>
      <c r="G278" s="301">
        <f>IF('2024 Legal Max'!BQ275&gt;0,1.014331, 0)</f>
        <v>0</v>
      </c>
      <c r="H278" s="299">
        <f>'2024 Legal Max'!BT275</f>
        <v>0.91625400000000001</v>
      </c>
      <c r="I278" s="299">
        <f>'2024 Legal Max'!BX275</f>
        <v>0</v>
      </c>
      <c r="J278" s="302">
        <f>IF('2024 Legal Max'!BZ275&gt;0,0.03504,0)</f>
        <v>0</v>
      </c>
      <c r="K278" s="299">
        <f t="shared" si="14"/>
        <v>0.91625400000000001</v>
      </c>
      <c r="L278" s="299">
        <f t="shared" si="15"/>
        <v>0.91625400000000001</v>
      </c>
      <c r="M278" s="303">
        <f>MAX('2024 Legal Max'!BQ275,'2024 Legal Max'!BU275,'2024 Legal Max'!BY275,'2024 Legal Max'!BZ275)</f>
        <v>125.5</v>
      </c>
      <c r="N278" s="303">
        <f>'2024 Legal Max'!U275*'Low-High ENRL- 2023 HSubSB 113'!L278</f>
        <v>125.5</v>
      </c>
      <c r="O278" s="303">
        <f t="shared" si="13"/>
        <v>0</v>
      </c>
    </row>
    <row r="279" spans="1:15">
      <c r="A279" s="255" t="s">
        <v>461</v>
      </c>
      <c r="B279" s="255" t="s">
        <v>3935</v>
      </c>
      <c r="C279" s="255" t="s">
        <v>63</v>
      </c>
      <c r="D279" s="255">
        <v>0</v>
      </c>
      <c r="E279" s="320">
        <f>IF(ISNA(VLOOKUP($A279,'Audit Values'!$A:$BZ,2,FALSE)),0,VLOOKUP($A279,'Audit Values'!$A:$BZ,78,FALSE))</f>
        <v>0</v>
      </c>
      <c r="F279" s="300">
        <v>3.5040000000000002E-2</v>
      </c>
      <c r="G279" s="301">
        <f>IF('2024 Legal Max'!BQ276&gt;0,1.014331, 0)</f>
        <v>0</v>
      </c>
      <c r="H279" s="299">
        <f>'2024 Legal Max'!BT276</f>
        <v>0</v>
      </c>
      <c r="I279" s="299">
        <f>'2024 Legal Max'!BX276</f>
        <v>0</v>
      </c>
      <c r="J279" s="302">
        <f>IF('2024 Legal Max'!BZ276&gt;0,0.03504,0)</f>
        <v>3.5040000000000002E-2</v>
      </c>
      <c r="K279" s="299">
        <f t="shared" si="14"/>
        <v>3.5040000000000002E-2</v>
      </c>
      <c r="L279" s="299">
        <f t="shared" si="15"/>
        <v>3.5040000000000002E-2</v>
      </c>
      <c r="M279" s="303">
        <f>MAX('2024 Legal Max'!BQ276,'2024 Legal Max'!BU276,'2024 Legal Max'!BY276,'2024 Legal Max'!BZ276)</f>
        <v>350.9</v>
      </c>
      <c r="N279" s="303">
        <f>'2024 Legal Max'!U276*'Low-High ENRL- 2023 HSubSB 113'!L279</f>
        <v>350.9</v>
      </c>
      <c r="O279" s="303">
        <f t="shared" si="13"/>
        <v>0</v>
      </c>
    </row>
    <row r="280" spans="1:15">
      <c r="A280" s="255" t="s">
        <v>462</v>
      </c>
      <c r="B280" s="255" t="s">
        <v>3936</v>
      </c>
      <c r="C280" s="255" t="s">
        <v>70</v>
      </c>
      <c r="D280" s="255">
        <v>0</v>
      </c>
      <c r="E280" s="320">
        <f>IF(ISNA(VLOOKUP($A280,'Audit Values'!$A:$BZ,2,FALSE)),0,VLOOKUP($A280,'Audit Values'!$A:$BZ,78,FALSE))</f>
        <v>0</v>
      </c>
      <c r="F280" s="299">
        <v>0.44803700000000002</v>
      </c>
      <c r="G280" s="301">
        <f>IF('2024 Legal Max'!BQ277&gt;0,1.014331, 0)</f>
        <v>0</v>
      </c>
      <c r="H280" s="299">
        <f>'2024 Legal Max'!BT277</f>
        <v>0</v>
      </c>
      <c r="I280" s="299">
        <f>'2024 Legal Max'!BX277</f>
        <v>0.44854699999999997</v>
      </c>
      <c r="J280" s="302">
        <f>IF('2024 Legal Max'!BZ277&gt;0,0.03504,0)</f>
        <v>0</v>
      </c>
      <c r="K280" s="299">
        <f t="shared" si="14"/>
        <v>0.44854699999999997</v>
      </c>
      <c r="L280" s="299">
        <f t="shared" si="15"/>
        <v>0.44854699999999997</v>
      </c>
      <c r="M280" s="303">
        <f>MAX('2024 Legal Max'!BQ277,'2024 Legal Max'!BU277,'2024 Legal Max'!BY277,'2024 Legal Max'!BZ277)</f>
        <v>181.6</v>
      </c>
      <c r="N280" s="303">
        <f>'2024 Legal Max'!U277*'Low-High ENRL- 2023 HSubSB 113'!L280</f>
        <v>181.6</v>
      </c>
      <c r="O280" s="303">
        <f t="shared" si="13"/>
        <v>0</v>
      </c>
    </row>
    <row r="281" spans="1:15">
      <c r="A281" s="255" t="s">
        <v>463</v>
      </c>
      <c r="B281" s="255" t="s">
        <v>3937</v>
      </c>
      <c r="C281" s="255" t="s">
        <v>29</v>
      </c>
      <c r="D281" s="255">
        <v>0</v>
      </c>
      <c r="E281" s="320">
        <f>IF(ISNA(VLOOKUP($A281,'Audit Values'!$A:$BZ,2,FALSE)),0,VLOOKUP($A281,'Audit Values'!$A:$BZ,78,FALSE))</f>
        <v>0</v>
      </c>
      <c r="F281" s="299">
        <v>0.32178600000000002</v>
      </c>
      <c r="G281" s="301">
        <f>IF('2024 Legal Max'!BQ278&gt;0,1.014331, 0)</f>
        <v>0</v>
      </c>
      <c r="H281" s="299">
        <f>'2024 Legal Max'!BT278</f>
        <v>0</v>
      </c>
      <c r="I281" s="299">
        <f>'2024 Legal Max'!BX278</f>
        <v>0.323689</v>
      </c>
      <c r="J281" s="302">
        <f>IF('2024 Legal Max'!BZ278&gt;0,0.03504,0)</f>
        <v>0</v>
      </c>
      <c r="K281" s="299">
        <f t="shared" si="14"/>
        <v>0.323689</v>
      </c>
      <c r="L281" s="299">
        <f t="shared" si="15"/>
        <v>0.323689</v>
      </c>
      <c r="M281" s="303">
        <f>MAX('2024 Legal Max'!BQ278,'2024 Legal Max'!BU278,'2024 Legal Max'!BY278,'2024 Legal Max'!BZ278)</f>
        <v>250</v>
      </c>
      <c r="N281" s="303">
        <f>'2024 Legal Max'!U278*'Low-High ENRL- 2023 HSubSB 113'!L281</f>
        <v>250</v>
      </c>
      <c r="O281" s="303">
        <f t="shared" si="13"/>
        <v>0</v>
      </c>
    </row>
    <row r="282" spans="1:15">
      <c r="A282" s="255" t="s">
        <v>464</v>
      </c>
      <c r="B282" s="255" t="s">
        <v>3938</v>
      </c>
      <c r="C282" s="255" t="s">
        <v>9</v>
      </c>
      <c r="D282" s="255">
        <v>0</v>
      </c>
      <c r="E282" s="320">
        <f>IF(ISNA(VLOOKUP($A282,'Audit Values'!$A:$BZ,2,FALSE)),0,VLOOKUP($A282,'Audit Values'!$A:$BZ,78,FALSE))</f>
        <v>0</v>
      </c>
      <c r="F282" s="300">
        <v>3.5040000000000002E-2</v>
      </c>
      <c r="G282" s="301">
        <f>IF('2024 Legal Max'!BQ279&gt;0,1.014331, 0)</f>
        <v>0</v>
      </c>
      <c r="H282" s="299">
        <f>'2024 Legal Max'!BT279</f>
        <v>0</v>
      </c>
      <c r="I282" s="299">
        <f>'2024 Legal Max'!BX279</f>
        <v>0</v>
      </c>
      <c r="J282" s="302">
        <f>IF('2024 Legal Max'!BZ279&gt;0,0.03504,0)</f>
        <v>3.5040000000000002E-2</v>
      </c>
      <c r="K282" s="299">
        <f t="shared" si="14"/>
        <v>3.5040000000000002E-2</v>
      </c>
      <c r="L282" s="299">
        <f t="shared" si="15"/>
        <v>3.5040000000000002E-2</v>
      </c>
      <c r="M282" s="303">
        <f>MAX('2024 Legal Max'!BQ279,'2024 Legal Max'!BU279,'2024 Legal Max'!BY279,'2024 Legal Max'!BZ279)</f>
        <v>712.8</v>
      </c>
      <c r="N282" s="303">
        <f>'2024 Legal Max'!U279*'Low-High ENRL- 2023 HSubSB 113'!L282</f>
        <v>712.8</v>
      </c>
      <c r="O282" s="303">
        <f t="shared" si="13"/>
        <v>0</v>
      </c>
    </row>
    <row r="283" spans="1:15">
      <c r="A283" s="255" t="s">
        <v>465</v>
      </c>
      <c r="B283" s="255" t="s">
        <v>3939</v>
      </c>
      <c r="C283" s="255" t="s">
        <v>61</v>
      </c>
      <c r="D283" s="255">
        <v>0</v>
      </c>
      <c r="E283" s="320">
        <f>IF(ISNA(VLOOKUP($A283,'Audit Values'!$A:$BZ,2,FALSE)),0,VLOOKUP($A283,'Audit Values'!$A:$BZ,78,FALSE))</f>
        <v>0</v>
      </c>
      <c r="F283" s="300">
        <v>3.5040000000000002E-2</v>
      </c>
      <c r="G283" s="301">
        <f>IF('2024 Legal Max'!BQ280&gt;0,1.014331, 0)</f>
        <v>0</v>
      </c>
      <c r="H283" s="299">
        <f>'2024 Legal Max'!BT280</f>
        <v>0</v>
      </c>
      <c r="I283" s="299">
        <f>'2024 Legal Max'!BX280</f>
        <v>0</v>
      </c>
      <c r="J283" s="302">
        <f>IF('2024 Legal Max'!BZ280&gt;0,0.03504,0)</f>
        <v>3.5040000000000002E-2</v>
      </c>
      <c r="K283" s="299">
        <f t="shared" si="14"/>
        <v>3.5040000000000002E-2</v>
      </c>
      <c r="L283" s="299">
        <f t="shared" si="15"/>
        <v>3.5040000000000002E-2</v>
      </c>
      <c r="M283" s="303">
        <f>MAX('2024 Legal Max'!BQ280,'2024 Legal Max'!BU280,'2024 Legal Max'!BY280,'2024 Legal Max'!BZ280)</f>
        <v>423</v>
      </c>
      <c r="N283" s="303">
        <f>'2024 Legal Max'!U280*'Low-High ENRL- 2023 HSubSB 113'!L283</f>
        <v>423</v>
      </c>
      <c r="O283" s="303">
        <f t="shared" si="13"/>
        <v>0</v>
      </c>
    </row>
    <row r="284" spans="1:15">
      <c r="A284" s="255" t="s">
        <v>466</v>
      </c>
      <c r="B284" s="255" t="s">
        <v>3940</v>
      </c>
      <c r="C284" s="255" t="s">
        <v>62</v>
      </c>
      <c r="D284" s="255">
        <v>0</v>
      </c>
      <c r="E284" s="320">
        <f>IF(ISNA(VLOOKUP($A284,'Audit Values'!$A:$BZ,2,FALSE)),0,VLOOKUP($A284,'Audit Values'!$A:$BZ,78,FALSE))</f>
        <v>1</v>
      </c>
      <c r="F284" s="299">
        <v>0.94806299999999999</v>
      </c>
      <c r="G284" s="301">
        <f>IF('2024 Legal Max'!BQ281&gt;0,1.014331, 0)</f>
        <v>0</v>
      </c>
      <c r="H284" s="299">
        <f>'2024 Legal Max'!BT281</f>
        <v>0.94806299999999999</v>
      </c>
      <c r="I284" s="299">
        <f>'2024 Legal Max'!BX281</f>
        <v>0</v>
      </c>
      <c r="J284" s="302">
        <f>IF('2024 Legal Max'!BZ281&gt;0,0.03504,0)</f>
        <v>0</v>
      </c>
      <c r="K284" s="299">
        <f t="shared" si="14"/>
        <v>0.94806299999999999</v>
      </c>
      <c r="L284" s="299">
        <f t="shared" si="15"/>
        <v>0.94806299999999999</v>
      </c>
      <c r="M284" s="303">
        <f>MAX('2024 Legal Max'!BQ281,'2024 Legal Max'!BU281,'2024 Legal Max'!BY281,'2024 Legal Max'!BZ281)</f>
        <v>118.5</v>
      </c>
      <c r="N284" s="303">
        <f>'2024 Legal Max'!U281*'Low-High ENRL- 2023 HSubSB 113'!L284</f>
        <v>118.5</v>
      </c>
      <c r="O284" s="303">
        <f t="shared" si="13"/>
        <v>0</v>
      </c>
    </row>
    <row r="285" spans="1:15">
      <c r="A285" s="255" t="s">
        <v>467</v>
      </c>
      <c r="B285" s="255" t="s">
        <v>3941</v>
      </c>
      <c r="C285" s="255" t="s">
        <v>108</v>
      </c>
      <c r="D285" s="255">
        <v>0</v>
      </c>
      <c r="E285" s="320">
        <f>IF(ISNA(VLOOKUP($A285,'Audit Values'!$A:$BZ,2,FALSE)),0,VLOOKUP($A285,'Audit Values'!$A:$BZ,78,FALSE))</f>
        <v>1</v>
      </c>
      <c r="F285" s="299">
        <v>0.16064400000000001</v>
      </c>
      <c r="G285" s="301">
        <f>IF('2024 Legal Max'!BQ282&gt;0,1.014331, 0)</f>
        <v>0</v>
      </c>
      <c r="H285" s="299">
        <f>'2024 Legal Max'!BT282</f>
        <v>0</v>
      </c>
      <c r="I285" s="299">
        <f>'2024 Legal Max'!BX282</f>
        <v>0.152728</v>
      </c>
      <c r="J285" s="302">
        <f>IF('2024 Legal Max'!BZ282&gt;0,0.03504,0)</f>
        <v>0</v>
      </c>
      <c r="K285" s="299">
        <f t="shared" si="14"/>
        <v>0.152728</v>
      </c>
      <c r="L285" s="299">
        <f t="shared" si="15"/>
        <v>0.16064400000000001</v>
      </c>
      <c r="M285" s="303">
        <f>MAX('2024 Legal Max'!BQ282,'2024 Legal Max'!BU282,'2024 Legal Max'!BY282,'2024 Legal Max'!BZ282)</f>
        <v>194.8</v>
      </c>
      <c r="N285" s="303">
        <f>'2024 Legal Max'!U282*'Low-High ENRL- 2023 HSubSB 113'!L285</f>
        <v>204.9</v>
      </c>
      <c r="O285" s="303">
        <f t="shared" si="13"/>
        <v>10.1</v>
      </c>
    </row>
    <row r="286" spans="1:15">
      <c r="A286" s="255" t="s">
        <v>468</v>
      </c>
      <c r="B286" s="255" t="s">
        <v>3942</v>
      </c>
      <c r="C286" s="255" t="s">
        <v>108</v>
      </c>
      <c r="D286" s="255">
        <v>0</v>
      </c>
      <c r="E286" s="320">
        <f>IF(ISNA(VLOOKUP($A286,'Audit Values'!$A:$BZ,2,FALSE)),0,VLOOKUP($A286,'Audit Values'!$A:$BZ,78,FALSE))</f>
        <v>0</v>
      </c>
      <c r="F286" s="299">
        <v>0.43831999999999999</v>
      </c>
      <c r="G286" s="301">
        <f>IF('2024 Legal Max'!BQ283&gt;0,1.014331, 0)</f>
        <v>0</v>
      </c>
      <c r="H286" s="299">
        <f>'2024 Legal Max'!BT283</f>
        <v>0</v>
      </c>
      <c r="I286" s="299">
        <f>'2024 Legal Max'!BX283</f>
        <v>0.42099300000000001</v>
      </c>
      <c r="J286" s="302">
        <f>IF('2024 Legal Max'!BZ283&gt;0,0.03504,0)</f>
        <v>0</v>
      </c>
      <c r="K286" s="299">
        <f t="shared" si="14"/>
        <v>0.42099300000000001</v>
      </c>
      <c r="L286" s="299">
        <f t="shared" si="15"/>
        <v>0.42099300000000001</v>
      </c>
      <c r="M286" s="303">
        <f>MAX('2024 Legal Max'!BQ283,'2024 Legal Max'!BU283,'2024 Legal Max'!BY283,'2024 Legal Max'!BZ283)</f>
        <v>204.6</v>
      </c>
      <c r="N286" s="303">
        <f>'2024 Legal Max'!U283*'Low-High ENRL- 2023 HSubSB 113'!L286</f>
        <v>204.6</v>
      </c>
      <c r="O286" s="303">
        <f t="shared" si="13"/>
        <v>0</v>
      </c>
    </row>
    <row r="287" spans="1:15">
      <c r="A287" s="255" t="s">
        <v>469</v>
      </c>
      <c r="B287" s="255" t="s">
        <v>3943</v>
      </c>
      <c r="C287" s="255" t="s">
        <v>108</v>
      </c>
      <c r="D287" s="255">
        <v>0</v>
      </c>
      <c r="E287" s="320">
        <f>IF(ISNA(VLOOKUP($A287,'Audit Values'!$A:$BZ,2,FALSE)),0,VLOOKUP($A287,'Audit Values'!$A:$BZ,78,FALSE))</f>
        <v>0</v>
      </c>
      <c r="F287" s="299">
        <v>0.46305400000000002</v>
      </c>
      <c r="G287" s="301">
        <f>IF('2024 Legal Max'!BQ284&gt;0,1.014331, 0)</f>
        <v>0</v>
      </c>
      <c r="H287" s="299">
        <f>'2024 Legal Max'!BT284</f>
        <v>0</v>
      </c>
      <c r="I287" s="299">
        <f>'2024 Legal Max'!BX284</f>
        <v>0.46091300000000002</v>
      </c>
      <c r="J287" s="302">
        <f>IF('2024 Legal Max'!BZ284&gt;0,0.03504,0)</f>
        <v>0</v>
      </c>
      <c r="K287" s="299">
        <f t="shared" si="14"/>
        <v>0.46091300000000002</v>
      </c>
      <c r="L287" s="299">
        <f t="shared" si="15"/>
        <v>0.46091300000000002</v>
      </c>
      <c r="M287" s="303">
        <f>MAX('2024 Legal Max'!BQ284,'2024 Legal Max'!BU284,'2024 Legal Max'!BY284,'2024 Legal Max'!BZ284)</f>
        <v>169.8</v>
      </c>
      <c r="N287" s="303">
        <f>'2024 Legal Max'!U284*'Low-High ENRL- 2023 HSubSB 113'!L287</f>
        <v>169.8</v>
      </c>
      <c r="O287" s="303">
        <f t="shared" si="13"/>
        <v>0</v>
      </c>
    </row>
    <row r="288" spans="1:15">
      <c r="A288" s="255" t="s">
        <v>470</v>
      </c>
      <c r="B288" s="255" t="s">
        <v>3944</v>
      </c>
      <c r="C288" s="255" t="s">
        <v>108</v>
      </c>
      <c r="D288" s="255">
        <v>0</v>
      </c>
      <c r="E288" s="320">
        <f>IF(ISNA(VLOOKUP($A288,'Audit Values'!$A:$BZ,2,FALSE)),0,VLOOKUP($A288,'Audit Values'!$A:$BZ,78,FALSE))</f>
        <v>0</v>
      </c>
      <c r="F288" s="299">
        <v>7.5638999999999998E-2</v>
      </c>
      <c r="G288" s="301">
        <f>IF('2024 Legal Max'!BQ285&gt;0,1.014331, 0)</f>
        <v>0</v>
      </c>
      <c r="H288" s="299">
        <f>'2024 Legal Max'!BT285</f>
        <v>0</v>
      </c>
      <c r="I288" s="299">
        <f>'2024 Legal Max'!BX285</f>
        <v>7.6147999999999993E-2</v>
      </c>
      <c r="J288" s="302">
        <f>IF('2024 Legal Max'!BZ285&gt;0,0.03504,0)</f>
        <v>0</v>
      </c>
      <c r="K288" s="299">
        <f t="shared" si="14"/>
        <v>7.6147999999999993E-2</v>
      </c>
      <c r="L288" s="299">
        <f t="shared" si="15"/>
        <v>7.6147999999999993E-2</v>
      </c>
      <c r="M288" s="303">
        <f>MAX('2024 Legal Max'!BQ285,'2024 Legal Max'!BU285,'2024 Legal Max'!BY285,'2024 Legal Max'!BZ285)</f>
        <v>114.3</v>
      </c>
      <c r="N288" s="303">
        <f>'2024 Legal Max'!U285*'Low-High ENRL- 2023 HSubSB 113'!L288</f>
        <v>114.3</v>
      </c>
      <c r="O288" s="303">
        <f t="shared" si="13"/>
        <v>0</v>
      </c>
    </row>
    <row r="289" spans="1:15">
      <c r="A289" s="255" t="s">
        <v>471</v>
      </c>
      <c r="B289" s="255" t="s">
        <v>3945</v>
      </c>
      <c r="C289" s="255" t="s">
        <v>75</v>
      </c>
      <c r="D289" s="255">
        <v>0</v>
      </c>
      <c r="E289" s="320">
        <f>IF(ISNA(VLOOKUP($A289,'Audit Values'!$A:$BZ,2,FALSE)),0,VLOOKUP($A289,'Audit Values'!$A:$BZ,78,FALSE))</f>
        <v>0</v>
      </c>
      <c r="F289" s="299">
        <v>0.62069799999999997</v>
      </c>
      <c r="G289" s="301">
        <f>IF('2024 Legal Max'!BQ286&gt;0,1.014331, 0)</f>
        <v>0</v>
      </c>
      <c r="H289" s="299">
        <f>'2024 Legal Max'!BT286</f>
        <v>0.62202400000000002</v>
      </c>
      <c r="I289" s="299">
        <f>'2024 Legal Max'!BX286</f>
        <v>0</v>
      </c>
      <c r="J289" s="302">
        <f>IF('2024 Legal Max'!BZ286&gt;0,0.03504,0)</f>
        <v>0</v>
      </c>
      <c r="K289" s="299">
        <f t="shared" si="14"/>
        <v>0.62202400000000002</v>
      </c>
      <c r="L289" s="299">
        <f t="shared" si="15"/>
        <v>0.62202400000000002</v>
      </c>
      <c r="M289" s="303">
        <f>MAX('2024 Legal Max'!BQ286,'2024 Legal Max'!BU286,'2024 Legal Max'!BY286,'2024 Legal Max'!BZ286)</f>
        <v>154.30000000000001</v>
      </c>
      <c r="N289" s="303">
        <f>'2024 Legal Max'!U286*'Low-High ENRL- 2023 HSubSB 113'!L289</f>
        <v>154.30000000000001</v>
      </c>
      <c r="O289" s="303">
        <f t="shared" si="13"/>
        <v>0</v>
      </c>
    </row>
    <row r="290" spans="1:15">
      <c r="A290" s="255" t="s">
        <v>472</v>
      </c>
      <c r="B290" s="255" t="s">
        <v>3946</v>
      </c>
      <c r="C290" s="255" t="s">
        <v>29</v>
      </c>
      <c r="D290" s="255">
        <v>0</v>
      </c>
      <c r="E290" s="320">
        <f>IF(ISNA(VLOOKUP($A290,'Audit Values'!$A:$BZ,2,FALSE)),0,VLOOKUP($A290,'Audit Values'!$A:$BZ,78,FALSE))</f>
        <v>0</v>
      </c>
      <c r="F290" s="299">
        <v>0.31060900000000002</v>
      </c>
      <c r="G290" s="301">
        <f>IF('2024 Legal Max'!BQ287&gt;0,1.014331, 0)</f>
        <v>0</v>
      </c>
      <c r="H290" s="299">
        <f>'2024 Legal Max'!BT287</f>
        <v>0</v>
      </c>
      <c r="I290" s="299">
        <f>'2024 Legal Max'!BX287</f>
        <v>0.31166199999999999</v>
      </c>
      <c r="J290" s="302">
        <f>IF('2024 Legal Max'!BZ287&gt;0,0.03504,0)</f>
        <v>0</v>
      </c>
      <c r="K290" s="299">
        <f t="shared" si="14"/>
        <v>0.31166199999999999</v>
      </c>
      <c r="L290" s="299">
        <f t="shared" si="15"/>
        <v>0.31166199999999999</v>
      </c>
      <c r="M290" s="303">
        <f>MAX('2024 Legal Max'!BQ287,'2024 Legal Max'!BU287,'2024 Legal Max'!BY287,'2024 Legal Max'!BZ287)</f>
        <v>251.8</v>
      </c>
      <c r="N290" s="303">
        <f>'2024 Legal Max'!U287*'Low-High ENRL- 2023 HSubSB 113'!L290</f>
        <v>251.8</v>
      </c>
      <c r="O290" s="303">
        <f t="shared" si="13"/>
        <v>0</v>
      </c>
    </row>
    <row r="291" spans="1:15">
      <c r="A291" s="255" t="s">
        <v>473</v>
      </c>
      <c r="B291" s="255" t="s">
        <v>3947</v>
      </c>
      <c r="C291" s="255" t="s">
        <v>66</v>
      </c>
      <c r="D291" s="255">
        <v>0</v>
      </c>
      <c r="E291" s="320">
        <f>IF(ISNA(VLOOKUP($A291,'Audit Values'!$A:$BZ,2,FALSE)),0,VLOOKUP($A291,'Audit Values'!$A:$BZ,78,FALSE))</f>
        <v>0</v>
      </c>
      <c r="F291" s="299">
        <v>0.75164399999999998</v>
      </c>
      <c r="G291" s="301">
        <f>IF('2024 Legal Max'!BQ288&gt;0,1.014331, 0)</f>
        <v>0</v>
      </c>
      <c r="H291" s="299">
        <f>'2024 Legal Max'!BT288</f>
        <v>0.74793299999999996</v>
      </c>
      <c r="I291" s="299">
        <f>'2024 Legal Max'!BX288</f>
        <v>0</v>
      </c>
      <c r="J291" s="302">
        <f>IF('2024 Legal Max'!BZ288&gt;0,0.03504,0)</f>
        <v>0</v>
      </c>
      <c r="K291" s="299">
        <f t="shared" si="14"/>
        <v>0.74793299999999996</v>
      </c>
      <c r="L291" s="299">
        <f t="shared" si="15"/>
        <v>0.74793299999999996</v>
      </c>
      <c r="M291" s="303">
        <f>MAX('2024 Legal Max'!BQ288,'2024 Legal Max'!BU288,'2024 Legal Max'!BY288,'2024 Legal Max'!BZ288)</f>
        <v>150</v>
      </c>
      <c r="N291" s="303">
        <f>'2024 Legal Max'!U288*'Low-High ENRL- 2023 HSubSB 113'!L291</f>
        <v>150</v>
      </c>
      <c r="O291" s="303">
        <f t="shared" si="13"/>
        <v>0</v>
      </c>
    </row>
    <row r="292" spans="1:15">
      <c r="A292" s="255" t="s">
        <v>474</v>
      </c>
      <c r="B292" s="255" t="s">
        <v>3948</v>
      </c>
      <c r="C292" s="255" t="s">
        <v>68</v>
      </c>
      <c r="D292" s="255">
        <v>0</v>
      </c>
      <c r="E292" s="320">
        <f>IF(ISNA(VLOOKUP($A292,'Audit Values'!$A:$BZ,2,FALSE)),0,VLOOKUP($A292,'Audit Values'!$A:$BZ,78,FALSE))</f>
        <v>0</v>
      </c>
      <c r="F292" s="299">
        <v>0.84468500000000002</v>
      </c>
      <c r="G292" s="301">
        <f>IF('2024 Legal Max'!BQ289&gt;0,1.014331, 0)</f>
        <v>0</v>
      </c>
      <c r="H292" s="299">
        <f>'2024 Legal Max'!BT289</f>
        <v>0.83646699999999996</v>
      </c>
      <c r="I292" s="299">
        <f>'2024 Legal Max'!BX289</f>
        <v>0</v>
      </c>
      <c r="J292" s="302">
        <f>IF('2024 Legal Max'!BZ289&gt;0,0.03504,0)</f>
        <v>0</v>
      </c>
      <c r="K292" s="299">
        <f t="shared" si="14"/>
        <v>0.83646699999999996</v>
      </c>
      <c r="L292" s="299">
        <f t="shared" si="15"/>
        <v>0.83646699999999996</v>
      </c>
      <c r="M292" s="303">
        <f>MAX('2024 Legal Max'!BQ289,'2024 Legal Max'!BU289,'2024 Legal Max'!BY289,'2024 Legal Max'!BZ289)</f>
        <v>139.80000000000001</v>
      </c>
      <c r="N292" s="303">
        <f>'2024 Legal Max'!U289*'Low-High ENRL- 2023 HSubSB 113'!L292</f>
        <v>139.80000000000001</v>
      </c>
      <c r="O292" s="303">
        <f t="shared" si="13"/>
        <v>0</v>
      </c>
    </row>
    <row r="293" spans="1:15">
      <c r="A293" s="255" t="s">
        <v>475</v>
      </c>
      <c r="B293" s="255" t="s">
        <v>794</v>
      </c>
      <c r="C293" s="255" t="s">
        <v>22</v>
      </c>
      <c r="D293" s="255">
        <v>0</v>
      </c>
      <c r="E293" s="320">
        <f>IF(ISNA(VLOOKUP($A293,'Audit Values'!$A:$BZ,2,FALSE)),0,VLOOKUP($A293,'Audit Values'!$A:$BZ,78,FALSE))</f>
        <v>0</v>
      </c>
      <c r="F293" s="300">
        <v>3.5040000000000002E-2</v>
      </c>
      <c r="G293" s="301">
        <f>IF('2024 Legal Max'!BQ290&gt;0,1.014331, 0)</f>
        <v>0</v>
      </c>
      <c r="H293" s="299">
        <f>'2024 Legal Max'!BT290</f>
        <v>0</v>
      </c>
      <c r="I293" s="299">
        <f>'2024 Legal Max'!BX290</f>
        <v>0</v>
      </c>
      <c r="J293" s="302">
        <f>IF('2024 Legal Max'!BZ290&gt;0,0.03504,0)</f>
        <v>3.5040000000000002E-2</v>
      </c>
      <c r="K293" s="299">
        <f t="shared" si="14"/>
        <v>3.5040000000000002E-2</v>
      </c>
      <c r="L293" s="299">
        <f t="shared" si="15"/>
        <v>3.5040000000000002E-2</v>
      </c>
      <c r="M293" s="303">
        <f>MAX('2024 Legal Max'!BQ290,'2024 Legal Max'!BU290,'2024 Legal Max'!BY290,'2024 Legal Max'!BZ290)</f>
        <v>912.7</v>
      </c>
      <c r="N293" s="303">
        <f>'2024 Legal Max'!U290*'Low-High ENRL- 2023 HSubSB 113'!L293</f>
        <v>912.7</v>
      </c>
      <c r="O293" s="303">
        <f t="shared" si="13"/>
        <v>0</v>
      </c>
    </row>
  </sheetData>
  <autoFilter ref="A6:O293" xr:uid="{D60660BA-FE0D-4C91-BD62-7A6ACD8F0459}"/>
  <mergeCells count="2">
    <mergeCell ref="G5:J5"/>
    <mergeCell ref="G4:J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CD4D-920D-49CF-A080-93D94A131CE9}">
  <sheetPr codeName="Sheet12"/>
  <dimension ref="A1:U289"/>
  <sheetViews>
    <sheetView workbookViewId="0">
      <selection sqref="A1:H1"/>
    </sheetView>
  </sheetViews>
  <sheetFormatPr defaultColWidth="9.109375" defaultRowHeight="13.8"/>
  <cols>
    <col min="1" max="1" width="9.109375" style="105"/>
    <col min="2" max="2" width="12" style="105" customWidth="1"/>
    <col min="3" max="3" width="21.5546875" style="105" customWidth="1"/>
    <col min="4" max="4" width="11" style="105" customWidth="1"/>
    <col min="5" max="5" width="10.44140625" style="105" customWidth="1"/>
    <col min="6" max="6" width="8" style="105" customWidth="1"/>
    <col min="7" max="7" width="8.88671875" style="105" customWidth="1"/>
    <col min="8" max="8" width="9.33203125" style="105" customWidth="1"/>
    <col min="9" max="12" width="9.109375" style="105"/>
    <col min="13" max="13" width="14" style="105" customWidth="1"/>
    <col min="14" max="14" width="23.5546875" style="105" customWidth="1"/>
    <col min="15" max="15" width="9.109375" style="105"/>
    <col min="16" max="16" width="8.33203125" style="105" customWidth="1"/>
    <col min="17" max="17" width="9.44140625" style="105" customWidth="1"/>
    <col min="18" max="18" width="9.109375" style="105"/>
    <col min="19" max="19" width="8.88671875" style="105" customWidth="1"/>
    <col min="20" max="20" width="8.6640625" style="105" customWidth="1"/>
    <col min="21" max="21" width="6.88671875" style="105" customWidth="1"/>
    <col min="22" max="16384" width="9.109375" style="105"/>
  </cols>
  <sheetData>
    <row r="1" spans="1:21" ht="14.4">
      <c r="A1" s="372" t="s">
        <v>936</v>
      </c>
      <c r="B1" s="372"/>
      <c r="C1" s="372"/>
      <c r="D1" s="372"/>
      <c r="E1" s="372"/>
      <c r="F1" s="372"/>
      <c r="G1" s="372"/>
      <c r="H1" s="372"/>
      <c r="L1" s="372" t="s">
        <v>937</v>
      </c>
      <c r="M1" s="372"/>
      <c r="N1" s="372"/>
      <c r="O1" s="372"/>
      <c r="P1" s="372"/>
      <c r="Q1" s="372"/>
      <c r="R1" s="372"/>
      <c r="S1" s="372"/>
      <c r="T1" s="372"/>
      <c r="U1" s="372"/>
    </row>
    <row r="2" spans="1:21" ht="64.5" customHeight="1">
      <c r="A2" s="111" t="s">
        <v>170</v>
      </c>
      <c r="B2" s="111" t="s">
        <v>171</v>
      </c>
      <c r="C2" s="111" t="s">
        <v>172</v>
      </c>
      <c r="D2" s="112" t="s">
        <v>935</v>
      </c>
      <c r="E2" s="112" t="s">
        <v>934</v>
      </c>
      <c r="F2" s="111" t="s">
        <v>905</v>
      </c>
      <c r="G2" s="111" t="s">
        <v>170</v>
      </c>
      <c r="H2" s="112" t="s">
        <v>932</v>
      </c>
      <c r="L2" s="111" t="s">
        <v>170</v>
      </c>
      <c r="M2" s="111" t="s">
        <v>171</v>
      </c>
      <c r="N2" s="111" t="s">
        <v>172</v>
      </c>
      <c r="O2" s="70" t="s">
        <v>943</v>
      </c>
      <c r="P2" s="112" t="s">
        <v>938</v>
      </c>
      <c r="Q2" s="70" t="s">
        <v>940</v>
      </c>
      <c r="R2" s="112" t="s">
        <v>939</v>
      </c>
      <c r="S2" s="112" t="s">
        <v>941</v>
      </c>
      <c r="T2" s="112" t="s">
        <v>942</v>
      </c>
      <c r="U2" s="119" t="s">
        <v>905</v>
      </c>
    </row>
    <row r="3" spans="1:21">
      <c r="A3" s="123"/>
      <c r="B3" s="120"/>
      <c r="C3" s="120" t="s">
        <v>796</v>
      </c>
      <c r="D3" s="121">
        <f>SUM(D4:D289)</f>
        <v>5884.4</v>
      </c>
      <c r="E3" s="122"/>
      <c r="F3" s="122"/>
      <c r="G3" s="122"/>
      <c r="H3" s="124"/>
      <c r="L3" s="123"/>
      <c r="M3" s="120"/>
      <c r="N3" s="120" t="s">
        <v>796</v>
      </c>
      <c r="O3" s="121">
        <f>SUM(O4:O289)</f>
        <v>675783.8</v>
      </c>
      <c r="P3" s="121">
        <f>SUM(P4:P289)</f>
        <v>0</v>
      </c>
      <c r="Q3" s="121">
        <f>SUM(Q4:Q289)</f>
        <v>676043.6</v>
      </c>
      <c r="R3" s="121">
        <f>SUM(R4:R289)</f>
        <v>14219.3</v>
      </c>
      <c r="S3" s="121"/>
      <c r="T3" s="121"/>
      <c r="U3" s="125"/>
    </row>
    <row r="4" spans="1:21">
      <c r="A4" s="113">
        <v>101</v>
      </c>
      <c r="B4" s="105" t="s">
        <v>4</v>
      </c>
      <c r="C4" s="105" t="s">
        <v>511</v>
      </c>
      <c r="D4" s="118">
        <f>IF(ISNA(VLOOKUP($A4,'Audit Values'!$A:$BZ,2,FALSE)),'Preliminary SO66'!AL4,VLOOKUP($A4,'Audit Values'!$A:$BZ,58,FALSE))</f>
        <v>10</v>
      </c>
      <c r="E4" s="118" t="str">
        <f>VLOOKUP(A4,$G$4:$H$299,2,FALSE)</f>
        <v>Yes</v>
      </c>
      <c r="F4" s="114" t="str">
        <f>'2024 Legal Max'!AZ5</f>
        <v>A</v>
      </c>
      <c r="G4" s="113">
        <v>101</v>
      </c>
      <c r="H4" s="115" t="s">
        <v>933</v>
      </c>
      <c r="L4" s="1" t="s">
        <v>190</v>
      </c>
      <c r="M4" s="105" t="s">
        <v>4</v>
      </c>
      <c r="N4" s="105" t="s">
        <v>511</v>
      </c>
      <c r="O4" s="114">
        <f>'Preliminary SO66'!AH4</f>
        <v>820.2</v>
      </c>
      <c r="P4" s="105">
        <f>SUMIF('PreliminaryHD AR - School Level'!$A$5:A390, "=" &amp; L4,'PreliminaryHD AR - School Level'!$M$5:M390)</f>
        <v>0</v>
      </c>
      <c r="Q4" s="114">
        <f>'2024 Legal Max'!AS5</f>
        <v>813.6</v>
      </c>
      <c r="R4" s="105">
        <f>'2024 Legal Max'!AH5</f>
        <v>22</v>
      </c>
      <c r="S4" s="114">
        <f>O4-Q4</f>
        <v>6.6</v>
      </c>
      <c r="T4" s="105">
        <f>P4-R4</f>
        <v>-22</v>
      </c>
      <c r="U4" s="105" t="str">
        <f>'2024 Legal Max'!AZ5</f>
        <v>A</v>
      </c>
    </row>
    <row r="5" spans="1:21">
      <c r="A5" s="113">
        <v>102</v>
      </c>
      <c r="B5" s="105" t="s">
        <v>5</v>
      </c>
      <c r="C5" s="105" t="s">
        <v>801</v>
      </c>
      <c r="D5" s="118">
        <f>'2024 Legal Max'!T6</f>
        <v>8</v>
      </c>
      <c r="E5" s="118" t="str">
        <f t="shared" ref="E5:E68" si="0">VLOOKUP(A5,$G$4:$H$299,2,FALSE)</f>
        <v>Yes</v>
      </c>
      <c r="F5" s="114" t="str">
        <f>'2024 Legal Max'!AZ6</f>
        <v>A</v>
      </c>
      <c r="G5" s="113">
        <v>102</v>
      </c>
      <c r="H5" s="115" t="s">
        <v>933</v>
      </c>
      <c r="L5" s="1" t="s">
        <v>191</v>
      </c>
      <c r="M5" s="105" t="s">
        <v>5</v>
      </c>
      <c r="N5" s="105" t="s">
        <v>801</v>
      </c>
      <c r="O5" s="114">
        <f>'Preliminary SO66'!AH5</f>
        <v>1037.0999999999999</v>
      </c>
      <c r="P5" s="105">
        <f>SUMIF('PreliminaryHD AR - School Level'!$A$5:A391, "=" &amp; L5,'PreliminaryHD AR - School Level'!$M$5:M391)</f>
        <v>0</v>
      </c>
      <c r="Q5" s="114">
        <f>'2024 Legal Max'!AS6</f>
        <v>1037.2</v>
      </c>
      <c r="R5" s="105">
        <f>'2024 Legal Max'!AH6</f>
        <v>0</v>
      </c>
      <c r="U5" s="105" t="str">
        <f>'2024 Legal Max'!AZ6</f>
        <v>A</v>
      </c>
    </row>
    <row r="6" spans="1:21">
      <c r="A6" s="113">
        <v>103</v>
      </c>
      <c r="B6" s="105" t="s">
        <v>6</v>
      </c>
      <c r="C6" s="105" t="s">
        <v>512</v>
      </c>
      <c r="D6" s="118">
        <f>'2024 Legal Max'!T7</f>
        <v>0</v>
      </c>
      <c r="E6" s="118" t="e">
        <f t="shared" si="0"/>
        <v>#N/A</v>
      </c>
      <c r="F6" s="114" t="str">
        <f>'2024 Legal Max'!AZ7</f>
        <v>A</v>
      </c>
      <c r="G6" s="113">
        <v>106</v>
      </c>
      <c r="H6" s="115" t="s">
        <v>933</v>
      </c>
      <c r="L6" s="1" t="s">
        <v>192</v>
      </c>
      <c r="M6" s="105" t="s">
        <v>6</v>
      </c>
      <c r="N6" s="105" t="s">
        <v>512</v>
      </c>
      <c r="O6" s="114">
        <f>'Preliminary SO66'!AH6</f>
        <v>344.4</v>
      </c>
      <c r="P6" s="105">
        <f>SUMIF('PreliminaryHD AR - School Level'!$A$5:A392, "=" &amp; L6,'PreliminaryHD AR - School Level'!$M$5:M392)</f>
        <v>0</v>
      </c>
      <c r="Q6" s="114">
        <f>'2024 Legal Max'!AS7</f>
        <v>342.1</v>
      </c>
      <c r="R6" s="105">
        <f>'2024 Legal Max'!AH7</f>
        <v>4.5999999999999996</v>
      </c>
      <c r="U6" s="105" t="str">
        <f>'2024 Legal Max'!AZ7</f>
        <v>A</v>
      </c>
    </row>
    <row r="7" spans="1:21">
      <c r="A7" s="113">
        <v>105</v>
      </c>
      <c r="B7" s="105" t="s">
        <v>51</v>
      </c>
      <c r="C7" s="105" t="s">
        <v>513</v>
      </c>
      <c r="D7" s="118">
        <f>'2024 Legal Max'!T8</f>
        <v>0</v>
      </c>
      <c r="E7" s="118" t="e">
        <f t="shared" si="0"/>
        <v>#N/A</v>
      </c>
      <c r="F7" s="114" t="str">
        <f>'2024 Legal Max'!AZ8</f>
        <v>A</v>
      </c>
      <c r="G7" s="113">
        <v>107</v>
      </c>
      <c r="H7" s="115" t="s">
        <v>933</v>
      </c>
      <c r="L7" s="1" t="s">
        <v>193</v>
      </c>
      <c r="M7" s="105" t="s">
        <v>51</v>
      </c>
      <c r="N7" s="105" t="s">
        <v>513</v>
      </c>
      <c r="O7" s="114">
        <f>'Preliminary SO66'!AH7</f>
        <v>668.3</v>
      </c>
      <c r="P7" s="105">
        <f>SUMIF('PreliminaryHD AR - School Level'!$A$5:A393, "=" &amp; L7,'PreliminaryHD AR - School Level'!$M$5:M393)</f>
        <v>0</v>
      </c>
      <c r="Q7" s="114">
        <f>'2024 Legal Max'!AS8</f>
        <v>661.2</v>
      </c>
      <c r="R7" s="105">
        <f>'2024 Legal Max'!AH8</f>
        <v>1.1000000000000001</v>
      </c>
      <c r="U7" s="105" t="str">
        <f>'2024 Legal Max'!AZ8</f>
        <v>A</v>
      </c>
    </row>
    <row r="8" spans="1:21">
      <c r="A8" s="113">
        <v>106</v>
      </c>
      <c r="B8" s="105" t="s">
        <v>47</v>
      </c>
      <c r="C8" s="105" t="s">
        <v>514</v>
      </c>
      <c r="D8" s="118">
        <f>'2024 Legal Max'!T9</f>
        <v>6.5</v>
      </c>
      <c r="E8" s="118" t="str">
        <f t="shared" si="0"/>
        <v>Yes</v>
      </c>
      <c r="F8" s="114" t="str">
        <f>'2024 Legal Max'!AZ9</f>
        <v>A</v>
      </c>
      <c r="G8" s="113">
        <v>109</v>
      </c>
      <c r="H8" s="115" t="s">
        <v>933</v>
      </c>
      <c r="L8" s="1" t="s">
        <v>194</v>
      </c>
      <c r="M8" s="105" t="s">
        <v>47</v>
      </c>
      <c r="N8" s="105" t="s">
        <v>514</v>
      </c>
      <c r="O8" s="114">
        <f>'Preliminary SO66'!AH8</f>
        <v>291.3</v>
      </c>
      <c r="P8" s="105">
        <f>SUMIF('PreliminaryHD AR - School Level'!$A$5:A394, "=" &amp; L8,'PreliminaryHD AR - School Level'!$M$5:M394)</f>
        <v>0</v>
      </c>
      <c r="Q8" s="114">
        <f>'2024 Legal Max'!AS9</f>
        <v>290.7</v>
      </c>
      <c r="R8" s="105">
        <f>'2024 Legal Max'!AH9</f>
        <v>8.3000000000000007</v>
      </c>
      <c r="U8" s="105" t="str">
        <f>'2024 Legal Max'!AZ9</f>
        <v>A</v>
      </c>
    </row>
    <row r="9" spans="1:21">
      <c r="A9" s="113">
        <v>107</v>
      </c>
      <c r="B9" s="105" t="s">
        <v>7</v>
      </c>
      <c r="C9" s="105" t="s">
        <v>515</v>
      </c>
      <c r="D9" s="118">
        <f>'2024 Legal Max'!T10</f>
        <v>9</v>
      </c>
      <c r="E9" s="118" t="str">
        <f t="shared" si="0"/>
        <v>Yes</v>
      </c>
      <c r="F9" s="114" t="str">
        <f>'2024 Legal Max'!AZ10</f>
        <v>A</v>
      </c>
      <c r="G9" s="113">
        <v>110</v>
      </c>
      <c r="H9" s="115" t="s">
        <v>933</v>
      </c>
      <c r="L9" s="1" t="s">
        <v>195</v>
      </c>
      <c r="M9" s="105" t="s">
        <v>7</v>
      </c>
      <c r="N9" s="105" t="s">
        <v>515</v>
      </c>
      <c r="O9" s="114">
        <f>'Preliminary SO66'!AH9</f>
        <v>736.9</v>
      </c>
      <c r="P9" s="105">
        <f>SUMIF('PreliminaryHD AR - School Level'!$A$5:A395, "=" &amp; L9,'PreliminaryHD AR - School Level'!$M$5:M395)</f>
        <v>0</v>
      </c>
      <c r="Q9" s="114">
        <f>'2024 Legal Max'!AS10</f>
        <v>709.7</v>
      </c>
      <c r="R9" s="105">
        <f>'2024 Legal Max'!AH10</f>
        <v>11</v>
      </c>
      <c r="U9" s="105" t="str">
        <f>'2024 Legal Max'!AZ10</f>
        <v>A</v>
      </c>
    </row>
    <row r="10" spans="1:21">
      <c r="A10" s="113">
        <v>108</v>
      </c>
      <c r="B10" s="105" t="s">
        <v>19</v>
      </c>
      <c r="C10" s="105" t="s">
        <v>516</v>
      </c>
      <c r="D10" s="118">
        <f>'2024 Legal Max'!T11</f>
        <v>1.5</v>
      </c>
      <c r="E10" s="118" t="e">
        <f t="shared" si="0"/>
        <v>#N/A</v>
      </c>
      <c r="F10" s="114" t="str">
        <f>'2024 Legal Max'!AZ11</f>
        <v>A</v>
      </c>
      <c r="G10" s="113">
        <v>111</v>
      </c>
      <c r="H10" s="115" t="s">
        <v>933</v>
      </c>
      <c r="L10" s="1" t="s">
        <v>196</v>
      </c>
      <c r="M10" s="105" t="s">
        <v>19</v>
      </c>
      <c r="N10" s="105" t="s">
        <v>516</v>
      </c>
      <c r="O10" s="114">
        <f>'Preliminary SO66'!AH10</f>
        <v>650.79999999999995</v>
      </c>
      <c r="P10" s="105">
        <f>SUMIF('PreliminaryHD AR - School Level'!$A$5:A396, "=" &amp; L10,'PreliminaryHD AR - School Level'!$M$5:M396)</f>
        <v>0</v>
      </c>
      <c r="Q10" s="114">
        <f>'2024 Legal Max'!AS11</f>
        <v>647.9</v>
      </c>
      <c r="R10" s="105">
        <f>'2024 Legal Max'!AH11</f>
        <v>7.1</v>
      </c>
      <c r="U10" s="105" t="str">
        <f>'2024 Legal Max'!AZ11</f>
        <v>A</v>
      </c>
    </row>
    <row r="11" spans="1:21">
      <c r="A11" s="113">
        <v>109</v>
      </c>
      <c r="B11" s="105" t="s">
        <v>98</v>
      </c>
      <c r="C11" s="105" t="s">
        <v>517</v>
      </c>
      <c r="D11" s="118">
        <f>'2024 Legal Max'!T12</f>
        <v>4</v>
      </c>
      <c r="E11" s="118" t="str">
        <f t="shared" si="0"/>
        <v>Yes</v>
      </c>
      <c r="F11" s="114" t="str">
        <f>'2024 Legal Max'!AZ12</f>
        <v>A</v>
      </c>
      <c r="G11" s="113">
        <v>112</v>
      </c>
      <c r="H11" s="115" t="s">
        <v>933</v>
      </c>
      <c r="L11" s="1" t="s">
        <v>197</v>
      </c>
      <c r="M11" s="105" t="s">
        <v>98</v>
      </c>
      <c r="N11" s="105" t="s">
        <v>517</v>
      </c>
      <c r="O11" s="114">
        <f>'Preliminary SO66'!AH11</f>
        <v>899.3</v>
      </c>
      <c r="P11" s="105">
        <f>SUMIF('PreliminaryHD AR - School Level'!$A$5:A397, "=" &amp; L11,'PreliminaryHD AR - School Level'!$M$5:M397)</f>
        <v>0</v>
      </c>
      <c r="Q11" s="114">
        <f>'2024 Legal Max'!AS12</f>
        <v>897.4</v>
      </c>
      <c r="R11" s="105">
        <f>'2024 Legal Max'!AH12</f>
        <v>16.100000000000001</v>
      </c>
      <c r="U11" s="105" t="str">
        <f>'2024 Legal Max'!AZ12</f>
        <v>A</v>
      </c>
    </row>
    <row r="12" spans="1:21">
      <c r="A12" s="113">
        <v>110</v>
      </c>
      <c r="B12" s="105" t="s">
        <v>53</v>
      </c>
      <c r="C12" s="105" t="s">
        <v>518</v>
      </c>
      <c r="D12" s="118">
        <f>'2024 Legal Max'!T13</f>
        <v>2</v>
      </c>
      <c r="E12" s="118" t="str">
        <f t="shared" si="0"/>
        <v>Yes</v>
      </c>
      <c r="F12" s="114" t="str">
        <f>'2024 Legal Max'!AZ13</f>
        <v>A</v>
      </c>
      <c r="G12" s="113">
        <v>113</v>
      </c>
      <c r="H12" s="115" t="s">
        <v>933</v>
      </c>
      <c r="L12" s="1" t="s">
        <v>198</v>
      </c>
      <c r="M12" s="105" t="s">
        <v>53</v>
      </c>
      <c r="N12" s="105" t="s">
        <v>518</v>
      </c>
      <c r="O12" s="114">
        <f>'Preliminary SO66'!AH12</f>
        <v>395.2</v>
      </c>
      <c r="P12" s="105">
        <f>SUMIF('PreliminaryHD AR - School Level'!$A$5:A398, "=" &amp; L12,'PreliminaryHD AR - School Level'!$M$5:M398)</f>
        <v>0</v>
      </c>
      <c r="Q12" s="114">
        <f>'2024 Legal Max'!AS13</f>
        <v>386.6</v>
      </c>
      <c r="R12" s="105">
        <f>'2024 Legal Max'!AH13</f>
        <v>0.3</v>
      </c>
      <c r="U12" s="105" t="str">
        <f>'2024 Legal Max'!AZ13</f>
        <v>A</v>
      </c>
    </row>
    <row r="13" spans="1:21">
      <c r="A13" s="113">
        <v>111</v>
      </c>
      <c r="B13" s="105" t="s">
        <v>92</v>
      </c>
      <c r="C13" s="105" t="s">
        <v>519</v>
      </c>
      <c r="D13" s="118">
        <f>'2024 Legal Max'!T14</f>
        <v>5</v>
      </c>
      <c r="E13" s="118" t="str">
        <f t="shared" si="0"/>
        <v>Yes</v>
      </c>
      <c r="F13" s="114" t="str">
        <f>'2024 Legal Max'!AZ14</f>
        <v>A</v>
      </c>
      <c r="G13" s="113">
        <v>114</v>
      </c>
      <c r="H13" s="115" t="s">
        <v>933</v>
      </c>
      <c r="L13" s="1" t="s">
        <v>199</v>
      </c>
      <c r="M13" s="105" t="s">
        <v>92</v>
      </c>
      <c r="N13" s="105" t="s">
        <v>519</v>
      </c>
      <c r="O13" s="114">
        <f>'Preliminary SO66'!AH13</f>
        <v>653.79999999999995</v>
      </c>
      <c r="P13" s="105">
        <f>SUMIF('PreliminaryHD AR - School Level'!$A$5:A399, "=" &amp; L13,'PreliminaryHD AR - School Level'!$M$5:M399)</f>
        <v>0</v>
      </c>
      <c r="Q13" s="114">
        <f>'2024 Legal Max'!AS14</f>
        <v>650</v>
      </c>
      <c r="R13" s="105">
        <f>'2024 Legal Max'!AH14</f>
        <v>1.4</v>
      </c>
      <c r="U13" s="105" t="str">
        <f>'2024 Legal Max'!AZ14</f>
        <v>A</v>
      </c>
    </row>
    <row r="14" spans="1:21">
      <c r="A14" s="113">
        <v>112</v>
      </c>
      <c r="B14" s="105" t="s">
        <v>54</v>
      </c>
      <c r="C14" s="105" t="s">
        <v>520</v>
      </c>
      <c r="D14" s="118">
        <f>'2024 Legal Max'!T15</f>
        <v>9.5</v>
      </c>
      <c r="E14" s="118" t="str">
        <f t="shared" si="0"/>
        <v>Yes</v>
      </c>
      <c r="F14" s="114" t="str">
        <f>'2024 Legal Max'!AZ15</f>
        <v>A</v>
      </c>
      <c r="G14" s="113">
        <v>115</v>
      </c>
      <c r="H14" s="115" t="s">
        <v>933</v>
      </c>
      <c r="L14" s="1" t="s">
        <v>200</v>
      </c>
      <c r="M14" s="105" t="s">
        <v>54</v>
      </c>
      <c r="N14" s="105" t="s">
        <v>520</v>
      </c>
      <c r="O14" s="114">
        <f>'Preliminary SO66'!AH14</f>
        <v>852.8</v>
      </c>
      <c r="P14" s="105">
        <f>SUMIF('PreliminaryHD AR - School Level'!$A$5:A400, "=" &amp; L14,'PreliminaryHD AR - School Level'!$M$5:M400)</f>
        <v>0</v>
      </c>
      <c r="Q14" s="114">
        <f>'2024 Legal Max'!AS15</f>
        <v>854.2</v>
      </c>
      <c r="R14" s="105">
        <f>'2024 Legal Max'!AH15</f>
        <v>6.7</v>
      </c>
      <c r="U14" s="105" t="str">
        <f>'2024 Legal Max'!AZ15</f>
        <v>A</v>
      </c>
    </row>
    <row r="15" spans="1:21">
      <c r="A15" s="113">
        <v>113</v>
      </c>
      <c r="B15" s="105" t="s">
        <v>100</v>
      </c>
      <c r="C15" s="105" t="s">
        <v>521</v>
      </c>
      <c r="D15" s="118">
        <f>'2024 Legal Max'!T16</f>
        <v>10</v>
      </c>
      <c r="E15" s="118" t="str">
        <f t="shared" si="0"/>
        <v>Yes</v>
      </c>
      <c r="F15" s="114" t="str">
        <f>'2024 Legal Max'!AZ16</f>
        <v>A</v>
      </c>
      <c r="G15" s="113">
        <v>200</v>
      </c>
      <c r="H15" s="115" t="s">
        <v>933</v>
      </c>
      <c r="L15" s="1" t="s">
        <v>201</v>
      </c>
      <c r="M15" s="105" t="s">
        <v>100</v>
      </c>
      <c r="N15" s="105" t="s">
        <v>521</v>
      </c>
      <c r="O15" s="114">
        <f>'Preliminary SO66'!AH15</f>
        <v>1499.3</v>
      </c>
      <c r="P15" s="105">
        <f>SUMIF('PreliminaryHD AR - School Level'!$A$5:A401, "=" &amp; L15,'PreliminaryHD AR - School Level'!$M$5:M401)</f>
        <v>0</v>
      </c>
      <c r="Q15" s="114">
        <f>'2024 Legal Max'!AS16</f>
        <v>1498.3</v>
      </c>
      <c r="R15" s="105">
        <f>'2024 Legal Max'!AH16</f>
        <v>0</v>
      </c>
      <c r="U15" s="105" t="str">
        <f>'2024 Legal Max'!AZ16</f>
        <v>A</v>
      </c>
    </row>
    <row r="16" spans="1:21">
      <c r="A16" s="113">
        <v>114</v>
      </c>
      <c r="B16" s="105" t="s">
        <v>92</v>
      </c>
      <c r="C16" s="105" t="s">
        <v>522</v>
      </c>
      <c r="D16" s="118">
        <f>'2024 Legal Max'!T17</f>
        <v>9</v>
      </c>
      <c r="E16" s="118" t="str">
        <f t="shared" si="0"/>
        <v>Yes</v>
      </c>
      <c r="F16" s="114" t="str">
        <f>'2024 Legal Max'!AZ17</f>
        <v>A</v>
      </c>
      <c r="G16" s="113">
        <v>202</v>
      </c>
      <c r="H16" s="115" t="s">
        <v>933</v>
      </c>
      <c r="L16" s="1" t="s">
        <v>202</v>
      </c>
      <c r="M16" s="105" t="s">
        <v>92</v>
      </c>
      <c r="N16" s="105" t="s">
        <v>522</v>
      </c>
      <c r="O16" s="114">
        <f>'Preliminary SO66'!AH16</f>
        <v>1067.7</v>
      </c>
      <c r="P16" s="105">
        <f>SUMIF('PreliminaryHD AR - School Level'!$A$5:A402, "=" &amp; L16,'PreliminaryHD AR - School Level'!$M$5:M402)</f>
        <v>0</v>
      </c>
      <c r="Q16" s="114">
        <f>'2024 Legal Max'!AS17</f>
        <v>1062</v>
      </c>
      <c r="R16" s="105">
        <f>'2024 Legal Max'!AH17</f>
        <v>19</v>
      </c>
      <c r="U16" s="105" t="str">
        <f>'2024 Legal Max'!AZ17</f>
        <v>A</v>
      </c>
    </row>
    <row r="17" spans="1:21">
      <c r="A17" s="113">
        <v>115</v>
      </c>
      <c r="B17" s="105" t="s">
        <v>100</v>
      </c>
      <c r="C17" s="105" t="s">
        <v>523</v>
      </c>
      <c r="D17" s="118">
        <f>'2024 Legal Max'!T18</f>
        <v>19</v>
      </c>
      <c r="E17" s="118" t="str">
        <f t="shared" si="0"/>
        <v>Yes</v>
      </c>
      <c r="F17" s="114" t="str">
        <f>'2024 Legal Max'!AZ18</f>
        <v>A</v>
      </c>
      <c r="G17" s="113">
        <v>203</v>
      </c>
      <c r="H17" s="115" t="s">
        <v>933</v>
      </c>
      <c r="L17" s="1" t="s">
        <v>203</v>
      </c>
      <c r="M17" s="105" t="s">
        <v>100</v>
      </c>
      <c r="N17" s="105" t="s">
        <v>523</v>
      </c>
      <c r="O17" s="114">
        <f>'Preliminary SO66'!AH17</f>
        <v>1106</v>
      </c>
      <c r="P17" s="105">
        <f>SUMIF('PreliminaryHD AR - School Level'!$A$5:A403, "=" &amp; L17,'PreliminaryHD AR - School Level'!$M$5:M403)</f>
        <v>0</v>
      </c>
      <c r="Q17" s="114">
        <f>'2024 Legal Max'!AS18</f>
        <v>1119.5999999999999</v>
      </c>
      <c r="R17" s="105">
        <f>'2024 Legal Max'!AH18</f>
        <v>0</v>
      </c>
      <c r="U17" s="105" t="str">
        <f>'2024 Legal Max'!AZ18</f>
        <v>A</v>
      </c>
    </row>
    <row r="18" spans="1:21">
      <c r="A18" s="113">
        <v>200</v>
      </c>
      <c r="B18" s="105" t="s">
        <v>8</v>
      </c>
      <c r="C18" s="105" t="s">
        <v>524</v>
      </c>
      <c r="D18" s="118">
        <f>'2024 Legal Max'!T19</f>
        <v>2.5</v>
      </c>
      <c r="E18" s="118" t="str">
        <f t="shared" si="0"/>
        <v>Yes</v>
      </c>
      <c r="F18" s="114" t="str">
        <f>'2024 Legal Max'!AZ19</f>
        <v>A</v>
      </c>
      <c r="G18" s="113">
        <v>204</v>
      </c>
      <c r="H18" s="115" t="s">
        <v>933</v>
      </c>
      <c r="L18" s="1" t="s">
        <v>204</v>
      </c>
      <c r="M18" s="105" t="s">
        <v>8</v>
      </c>
      <c r="N18" s="105" t="s">
        <v>524</v>
      </c>
      <c r="O18" s="114">
        <f>'Preliminary SO66'!AH18</f>
        <v>468.9</v>
      </c>
      <c r="P18" s="105">
        <f>SUMIF('PreliminaryHD AR - School Level'!$A$5:A404, "=" &amp; L18,'PreliminaryHD AR - School Level'!$M$5:M404)</f>
        <v>0</v>
      </c>
      <c r="Q18" s="114">
        <f>'2024 Legal Max'!AS19</f>
        <v>468.3</v>
      </c>
      <c r="R18" s="105">
        <f>'2024 Legal Max'!AH19</f>
        <v>0</v>
      </c>
      <c r="U18" s="105" t="str">
        <f>'2024 Legal Max'!AZ19</f>
        <v>A</v>
      </c>
    </row>
    <row r="19" spans="1:21">
      <c r="A19" s="113">
        <v>202</v>
      </c>
      <c r="B19" s="105" t="s">
        <v>9</v>
      </c>
      <c r="C19" s="105" t="s">
        <v>525</v>
      </c>
      <c r="D19" s="118">
        <f>'2024 Legal Max'!T20</f>
        <v>78.5</v>
      </c>
      <c r="E19" s="118" t="str">
        <f t="shared" si="0"/>
        <v>Yes</v>
      </c>
      <c r="F19" s="114" t="str">
        <f>'2024 Legal Max'!AZ20</f>
        <v>A</v>
      </c>
      <c r="G19" s="113">
        <v>206</v>
      </c>
      <c r="H19" s="115" t="s">
        <v>933</v>
      </c>
      <c r="L19" s="1" t="s">
        <v>205</v>
      </c>
      <c r="M19" s="105" t="s">
        <v>9</v>
      </c>
      <c r="N19" s="105" t="s">
        <v>525</v>
      </c>
      <c r="O19" s="114">
        <f>'Preliminary SO66'!AH19</f>
        <v>5903.8</v>
      </c>
      <c r="P19" s="105">
        <f>SUMIF('PreliminaryHD AR - School Level'!$A$5:A405, "=" &amp; L19,'PreliminaryHD AR - School Level'!$M$5:M405)</f>
        <v>0</v>
      </c>
      <c r="Q19" s="114">
        <f>'2024 Legal Max'!AS20</f>
        <v>5870.4</v>
      </c>
      <c r="R19" s="105">
        <f>'2024 Legal Max'!AH20</f>
        <v>281.7</v>
      </c>
      <c r="U19" s="105" t="str">
        <f>'2024 Legal Max'!AZ20</f>
        <v>A</v>
      </c>
    </row>
    <row r="20" spans="1:21">
      <c r="A20" s="113">
        <v>203</v>
      </c>
      <c r="B20" s="105" t="s">
        <v>9</v>
      </c>
      <c r="C20" s="105" t="s">
        <v>526</v>
      </c>
      <c r="D20" s="118">
        <f>'2024 Legal Max'!T21</f>
        <v>20.5</v>
      </c>
      <c r="E20" s="118" t="str">
        <f t="shared" si="0"/>
        <v>Yes</v>
      </c>
      <c r="F20" s="114" t="str">
        <f>'2024 Legal Max'!AZ21</f>
        <v>A</v>
      </c>
      <c r="G20" s="113">
        <v>208</v>
      </c>
      <c r="H20" s="115" t="s">
        <v>933</v>
      </c>
      <c r="L20" s="1" t="s">
        <v>206</v>
      </c>
      <c r="M20" s="105" t="s">
        <v>9</v>
      </c>
      <c r="N20" s="105" t="s">
        <v>526</v>
      </c>
      <c r="O20" s="114">
        <f>'Preliminary SO66'!AH20</f>
        <v>3548.3</v>
      </c>
      <c r="P20" s="105">
        <f>SUMIF('PreliminaryHD AR - School Level'!$A$5:A406, "=" &amp; L20,'PreliminaryHD AR - School Level'!$M$5:M406)</f>
        <v>0</v>
      </c>
      <c r="Q20" s="114">
        <f>'2024 Legal Max'!AS21</f>
        <v>3441.5</v>
      </c>
      <c r="R20" s="105">
        <f>'2024 Legal Max'!AH21</f>
        <v>0</v>
      </c>
      <c r="U20" s="105" t="str">
        <f>'2024 Legal Max'!AZ21</f>
        <v>A</v>
      </c>
    </row>
    <row r="21" spans="1:21">
      <c r="A21" s="113">
        <v>204</v>
      </c>
      <c r="B21" s="105" t="s">
        <v>9</v>
      </c>
      <c r="C21" s="105" t="s">
        <v>527</v>
      </c>
      <c r="D21" s="118">
        <f>'2024 Legal Max'!T22</f>
        <v>15.5</v>
      </c>
      <c r="E21" s="118" t="str">
        <f t="shared" si="0"/>
        <v>Yes</v>
      </c>
      <c r="F21" s="114" t="str">
        <f>'2024 Legal Max'!AZ22</f>
        <v>A</v>
      </c>
      <c r="G21" s="113">
        <v>209</v>
      </c>
      <c r="H21" s="115" t="s">
        <v>933</v>
      </c>
      <c r="L21" s="1" t="s">
        <v>207</v>
      </c>
      <c r="M21" s="105" t="s">
        <v>9</v>
      </c>
      <c r="N21" s="105" t="s">
        <v>527</v>
      </c>
      <c r="O21" s="114">
        <f>'Preliminary SO66'!AH21</f>
        <v>3425.1</v>
      </c>
      <c r="P21" s="105">
        <f>SUMIF('PreliminaryHD AR - School Level'!$A$5:A407, "=" &amp; L21,'PreliminaryHD AR - School Level'!$M$5:M407)</f>
        <v>0</v>
      </c>
      <c r="Q21" s="114">
        <f>'2024 Legal Max'!AS22</f>
        <v>3369.5</v>
      </c>
      <c r="R21" s="105">
        <f>'2024 Legal Max'!AH22</f>
        <v>102.5</v>
      </c>
      <c r="U21" s="105" t="str">
        <f>'2024 Legal Max'!AZ22</f>
        <v>A</v>
      </c>
    </row>
    <row r="22" spans="1:21">
      <c r="A22" s="113">
        <v>205</v>
      </c>
      <c r="B22" s="105" t="s">
        <v>10</v>
      </c>
      <c r="C22" s="105" t="s">
        <v>528</v>
      </c>
      <c r="D22" s="118">
        <f>'2024 Legal Max'!T23</f>
        <v>9.5</v>
      </c>
      <c r="E22" s="118" t="e">
        <f t="shared" si="0"/>
        <v>#N/A</v>
      </c>
      <c r="F22" s="114" t="str">
        <f>'2024 Legal Max'!AZ23</f>
        <v>A</v>
      </c>
      <c r="G22" s="113">
        <v>210</v>
      </c>
      <c r="H22" s="115" t="s">
        <v>933</v>
      </c>
      <c r="L22" s="1" t="s">
        <v>208</v>
      </c>
      <c r="M22" s="105" t="s">
        <v>10</v>
      </c>
      <c r="N22" s="105" t="s">
        <v>528</v>
      </c>
      <c r="O22" s="114">
        <f>'Preliminary SO66'!AH22</f>
        <v>920</v>
      </c>
      <c r="P22" s="105">
        <f>SUMIF('PreliminaryHD AR - School Level'!$A$5:A408, "=" &amp; L22,'PreliminaryHD AR - School Level'!$M$5:M408)</f>
        <v>0</v>
      </c>
      <c r="Q22" s="114">
        <f>'2024 Legal Max'!AS23</f>
        <v>906.4</v>
      </c>
      <c r="R22" s="105">
        <f>'2024 Legal Max'!AH23</f>
        <v>0.9</v>
      </c>
      <c r="U22" s="105" t="str">
        <f>'2024 Legal Max'!AZ23</f>
        <v>A</v>
      </c>
    </row>
    <row r="23" spans="1:21">
      <c r="A23" s="113">
        <v>206</v>
      </c>
      <c r="B23" s="105" t="s">
        <v>10</v>
      </c>
      <c r="C23" s="105" t="s">
        <v>529</v>
      </c>
      <c r="D23" s="118">
        <f>'2024 Legal Max'!T24</f>
        <v>5.5</v>
      </c>
      <c r="E23" s="118" t="str">
        <f t="shared" si="0"/>
        <v>Yes</v>
      </c>
      <c r="F23" s="114" t="str">
        <f>'2024 Legal Max'!AZ24</f>
        <v>A</v>
      </c>
      <c r="G23" s="113">
        <v>212</v>
      </c>
      <c r="H23" s="115" t="s">
        <v>933</v>
      </c>
      <c r="L23" s="1" t="s">
        <v>209</v>
      </c>
      <c r="M23" s="105" t="s">
        <v>10</v>
      </c>
      <c r="N23" s="105" t="s">
        <v>529</v>
      </c>
      <c r="O23" s="114">
        <f>'Preliminary SO66'!AH23</f>
        <v>842</v>
      </c>
      <c r="P23" s="105">
        <f>SUMIF('PreliminaryHD AR - School Level'!$A$5:A409, "=" &amp; L23,'PreliminaryHD AR - School Level'!$M$5:M409)</f>
        <v>0</v>
      </c>
      <c r="Q23" s="114">
        <f>'2024 Legal Max'!AS24</f>
        <v>836</v>
      </c>
      <c r="R23" s="105">
        <f>'2024 Legal Max'!AH24</f>
        <v>3.3</v>
      </c>
      <c r="U23" s="105" t="str">
        <f>'2024 Legal Max'!AZ24</f>
        <v>A</v>
      </c>
    </row>
    <row r="24" spans="1:21">
      <c r="A24" s="113">
        <v>207</v>
      </c>
      <c r="B24" s="105" t="s">
        <v>11</v>
      </c>
      <c r="C24" s="105" t="s">
        <v>530</v>
      </c>
      <c r="D24" s="118">
        <f>'2024 Legal Max'!T25</f>
        <v>0</v>
      </c>
      <c r="E24" s="118" t="e">
        <f t="shared" si="0"/>
        <v>#N/A</v>
      </c>
      <c r="F24" s="114" t="str">
        <f>'2024 Legal Max'!AZ25</f>
        <v>A</v>
      </c>
      <c r="G24" s="113">
        <v>214</v>
      </c>
      <c r="H24" s="115" t="s">
        <v>933</v>
      </c>
      <c r="L24" s="1" t="s">
        <v>210</v>
      </c>
      <c r="M24" s="105" t="s">
        <v>11</v>
      </c>
      <c r="N24" s="105" t="s">
        <v>530</v>
      </c>
      <c r="O24" s="114">
        <f>'Preliminary SO66'!AH24</f>
        <v>1730.5</v>
      </c>
      <c r="P24" s="105">
        <f>SUMIF('PreliminaryHD AR - School Level'!$A$5:A410, "=" &amp; L24,'PreliminaryHD AR - School Level'!$M$5:M410)</f>
        <v>0</v>
      </c>
      <c r="Q24" s="114">
        <f>'2024 Legal Max'!AS25</f>
        <v>1725.3</v>
      </c>
      <c r="R24" s="105">
        <f>'2024 Legal Max'!AH25</f>
        <v>0</v>
      </c>
      <c r="U24" s="105" t="str">
        <f>'2024 Legal Max'!AZ25</f>
        <v>A</v>
      </c>
    </row>
    <row r="25" spans="1:21">
      <c r="A25" s="113">
        <v>208</v>
      </c>
      <c r="B25" s="105" t="s">
        <v>12</v>
      </c>
      <c r="C25" s="105" t="s">
        <v>531</v>
      </c>
      <c r="D25" s="118">
        <f>'2024 Legal Max'!T26</f>
        <v>4.5</v>
      </c>
      <c r="E25" s="118" t="str">
        <f t="shared" si="0"/>
        <v>Yes</v>
      </c>
      <c r="F25" s="114" t="str">
        <f>'2024 Legal Max'!AZ26</f>
        <v>A</v>
      </c>
      <c r="G25" s="113">
        <v>215</v>
      </c>
      <c r="H25" s="115" t="s">
        <v>933</v>
      </c>
      <c r="L25" s="1" t="s">
        <v>211</v>
      </c>
      <c r="M25" s="105" t="s">
        <v>12</v>
      </c>
      <c r="N25" s="105" t="s">
        <v>531</v>
      </c>
      <c r="O25" s="114">
        <f>'Preliminary SO66'!AH25</f>
        <v>649</v>
      </c>
      <c r="P25" s="105">
        <f>SUMIF('PreliminaryHD AR - School Level'!$A$5:A411, "=" &amp; L25,'PreliminaryHD AR - School Level'!$M$5:M411)</f>
        <v>0</v>
      </c>
      <c r="Q25" s="114">
        <f>'2024 Legal Max'!AS26</f>
        <v>651.6</v>
      </c>
      <c r="R25" s="105">
        <f>'2024 Legal Max'!AH26</f>
        <v>2</v>
      </c>
      <c r="U25" s="105" t="str">
        <f>'2024 Legal Max'!AZ26</f>
        <v>A</v>
      </c>
    </row>
    <row r="26" spans="1:21">
      <c r="A26" s="113">
        <v>209</v>
      </c>
      <c r="B26" s="105" t="s">
        <v>13</v>
      </c>
      <c r="C26" s="105" t="s">
        <v>532</v>
      </c>
      <c r="D26" s="118">
        <f>'2024 Legal Max'!T27</f>
        <v>3</v>
      </c>
      <c r="E26" s="118" t="str">
        <f t="shared" si="0"/>
        <v>Yes</v>
      </c>
      <c r="F26" s="114" t="str">
        <f>'2024 Legal Max'!AZ27</f>
        <v>A</v>
      </c>
      <c r="G26" s="113">
        <v>216</v>
      </c>
      <c r="H26" s="115" t="s">
        <v>933</v>
      </c>
      <c r="L26" s="1" t="s">
        <v>212</v>
      </c>
      <c r="M26" s="105" t="s">
        <v>13</v>
      </c>
      <c r="N26" s="105" t="s">
        <v>532</v>
      </c>
      <c r="O26" s="114">
        <f>'Preliminary SO66'!AH26</f>
        <v>311.89999999999998</v>
      </c>
      <c r="P26" s="105">
        <f>SUMIF('PreliminaryHD AR - School Level'!$A$5:A412, "=" &amp; L26,'PreliminaryHD AR - School Level'!$M$5:M412)</f>
        <v>0</v>
      </c>
      <c r="Q26" s="114">
        <f>'2024 Legal Max'!AS27</f>
        <v>310.89999999999998</v>
      </c>
      <c r="R26" s="105">
        <f>'2024 Legal Max'!AH27</f>
        <v>4.7</v>
      </c>
      <c r="U26" s="105" t="str">
        <f>'2024 Legal Max'!AZ27</f>
        <v>A</v>
      </c>
    </row>
    <row r="27" spans="1:21">
      <c r="A27" s="113">
        <v>210</v>
      </c>
      <c r="B27" s="105" t="s">
        <v>13</v>
      </c>
      <c r="C27" s="105" t="s">
        <v>533</v>
      </c>
      <c r="D27" s="118">
        <f>'2024 Legal Max'!T28</f>
        <v>16.5</v>
      </c>
      <c r="E27" s="118" t="str">
        <f t="shared" si="0"/>
        <v>Yes</v>
      </c>
      <c r="F27" s="114" t="str">
        <f>'2024 Legal Max'!AZ28</f>
        <v>A</v>
      </c>
      <c r="G27" s="113">
        <v>217</v>
      </c>
      <c r="H27" s="115" t="s">
        <v>933</v>
      </c>
      <c r="L27" s="1" t="s">
        <v>213</v>
      </c>
      <c r="M27" s="105" t="s">
        <v>13</v>
      </c>
      <c r="N27" s="105" t="s">
        <v>533</v>
      </c>
      <c r="O27" s="114">
        <f>'Preliminary SO66'!AH27</f>
        <v>1622.5</v>
      </c>
      <c r="P27" s="105">
        <f>SUMIF('PreliminaryHD AR - School Level'!$A$5:A413, "=" &amp; L27,'PreliminaryHD AR - School Level'!$M$5:M413)</f>
        <v>0</v>
      </c>
      <c r="Q27" s="114">
        <f>'2024 Legal Max'!AS28</f>
        <v>1615.4</v>
      </c>
      <c r="R27" s="105">
        <f>'2024 Legal Max'!AH28</f>
        <v>36</v>
      </c>
      <c r="U27" s="105" t="str">
        <f>'2024 Legal Max'!AZ28</f>
        <v>A</v>
      </c>
    </row>
    <row r="28" spans="1:21">
      <c r="A28" s="113">
        <v>211</v>
      </c>
      <c r="B28" s="105" t="s">
        <v>14</v>
      </c>
      <c r="C28" s="105" t="s">
        <v>534</v>
      </c>
      <c r="D28" s="118">
        <f>'2024 Legal Max'!T29</f>
        <v>10</v>
      </c>
      <c r="E28" s="118" t="e">
        <f t="shared" si="0"/>
        <v>#N/A</v>
      </c>
      <c r="F28" s="114" t="str">
        <f>'2024 Legal Max'!AZ29</f>
        <v>A</v>
      </c>
      <c r="G28" s="113">
        <v>218</v>
      </c>
      <c r="H28" s="115" t="s">
        <v>933</v>
      </c>
      <c r="L28" s="1" t="s">
        <v>214</v>
      </c>
      <c r="M28" s="105" t="s">
        <v>14</v>
      </c>
      <c r="N28" s="105" t="s">
        <v>534</v>
      </c>
      <c r="O28" s="114">
        <f>'Preliminary SO66'!AH28</f>
        <v>1116.0999999999999</v>
      </c>
      <c r="P28" s="105">
        <f>SUMIF('PreliminaryHD AR - School Level'!$A$5:A413, "=" &amp; L28,'PreliminaryHD AR - School Level'!$M$5:M413)</f>
        <v>0</v>
      </c>
      <c r="Q28" s="114">
        <f>'2024 Legal Max'!AS29</f>
        <v>1107.3</v>
      </c>
      <c r="R28" s="105">
        <f>'2024 Legal Max'!AH29</f>
        <v>20</v>
      </c>
      <c r="U28" s="105" t="str">
        <f>'2024 Legal Max'!AZ29</f>
        <v>A</v>
      </c>
    </row>
    <row r="29" spans="1:21">
      <c r="A29" s="113">
        <v>212</v>
      </c>
      <c r="B29" s="105" t="s">
        <v>14</v>
      </c>
      <c r="C29" s="105" t="s">
        <v>535</v>
      </c>
      <c r="D29" s="118">
        <f>'2024 Legal Max'!T30</f>
        <v>3</v>
      </c>
      <c r="E29" s="118" t="str">
        <f t="shared" si="0"/>
        <v>Yes</v>
      </c>
      <c r="F29" s="114" t="str">
        <f>'2024 Legal Max'!AZ30</f>
        <v>A</v>
      </c>
      <c r="G29" s="113">
        <v>219</v>
      </c>
      <c r="H29" s="115" t="s">
        <v>933</v>
      </c>
      <c r="L29" s="1" t="s">
        <v>215</v>
      </c>
      <c r="M29" s="105" t="s">
        <v>14</v>
      </c>
      <c r="N29" s="105" t="s">
        <v>535</v>
      </c>
      <c r="O29" s="114">
        <f>'Preliminary SO66'!AH29</f>
        <v>346.9</v>
      </c>
      <c r="P29" s="105">
        <f>SUMIF('PreliminaryHD AR - School Level'!$A$5:A414, "=" &amp; L29,'PreliminaryHD AR - School Level'!$M$5:M414)</f>
        <v>0</v>
      </c>
      <c r="Q29" s="114">
        <f>'2024 Legal Max'!AS30</f>
        <v>343.4</v>
      </c>
      <c r="R29" s="105">
        <f>'2024 Legal Max'!AH30</f>
        <v>7.2</v>
      </c>
      <c r="U29" s="105" t="str">
        <f>'2024 Legal Max'!AZ30</f>
        <v>A</v>
      </c>
    </row>
    <row r="30" spans="1:21">
      <c r="A30" s="113">
        <v>214</v>
      </c>
      <c r="B30" s="105" t="s">
        <v>15</v>
      </c>
      <c r="C30" s="105" t="s">
        <v>536</v>
      </c>
      <c r="D30" s="118">
        <f>'2024 Legal Max'!T31</f>
        <v>19.5</v>
      </c>
      <c r="E30" s="118" t="str">
        <f t="shared" si="0"/>
        <v>Yes</v>
      </c>
      <c r="F30" s="114" t="str">
        <f>'2024 Legal Max'!AZ31</f>
        <v>A</v>
      </c>
      <c r="G30" s="113">
        <v>220</v>
      </c>
      <c r="H30" s="115" t="s">
        <v>933</v>
      </c>
      <c r="L30" s="1" t="s">
        <v>216</v>
      </c>
      <c r="M30" s="105" t="s">
        <v>15</v>
      </c>
      <c r="N30" s="105" t="s">
        <v>536</v>
      </c>
      <c r="O30" s="114">
        <f>'Preliminary SO66'!AH30</f>
        <v>2297.1</v>
      </c>
      <c r="P30" s="105">
        <f>SUMIF('PreliminaryHD AR - School Level'!$A$5:A415, "=" &amp; L30,'PreliminaryHD AR - School Level'!$M$5:M415)</f>
        <v>0</v>
      </c>
      <c r="Q30" s="114">
        <f>'2024 Legal Max'!AS31</f>
        <v>2283.1</v>
      </c>
      <c r="R30" s="105">
        <f>'2024 Legal Max'!AH31</f>
        <v>86.9</v>
      </c>
      <c r="U30" s="105" t="str">
        <f>'2024 Legal Max'!AZ31</f>
        <v>A</v>
      </c>
    </row>
    <row r="31" spans="1:21">
      <c r="A31" s="113">
        <v>215</v>
      </c>
      <c r="B31" s="105" t="s">
        <v>16</v>
      </c>
      <c r="C31" s="105" t="s">
        <v>537</v>
      </c>
      <c r="D31" s="118">
        <f>'2024 Legal Max'!T32</f>
        <v>5</v>
      </c>
      <c r="E31" s="118" t="str">
        <f t="shared" si="0"/>
        <v>Yes</v>
      </c>
      <c r="F31" s="114" t="str">
        <f>'2024 Legal Max'!AZ32</f>
        <v>A</v>
      </c>
      <c r="G31" s="113">
        <v>224</v>
      </c>
      <c r="H31" s="115" t="s">
        <v>933</v>
      </c>
      <c r="L31" s="1" t="s">
        <v>217</v>
      </c>
      <c r="M31" s="105" t="s">
        <v>16</v>
      </c>
      <c r="N31" s="105" t="s">
        <v>537</v>
      </c>
      <c r="O31" s="114">
        <f>'Preliminary SO66'!AH31</f>
        <v>1095</v>
      </c>
      <c r="P31" s="105">
        <f>SUMIF('PreliminaryHD AR - School Level'!$A$5:A416, "=" &amp; L31,'PreliminaryHD AR - School Level'!$M$5:M416)</f>
        <v>0</v>
      </c>
      <c r="Q31" s="114">
        <f>'2024 Legal Max'!AS32</f>
        <v>1103</v>
      </c>
      <c r="R31" s="105">
        <f>'2024 Legal Max'!AH32</f>
        <v>32.200000000000003</v>
      </c>
      <c r="U31" s="105" t="str">
        <f>'2024 Legal Max'!AZ32</f>
        <v>A</v>
      </c>
    </row>
    <row r="32" spans="1:21">
      <c r="A32" s="113">
        <v>216</v>
      </c>
      <c r="B32" s="105" t="s">
        <v>16</v>
      </c>
      <c r="C32" s="105" t="s">
        <v>538</v>
      </c>
      <c r="D32" s="118">
        <f>'2024 Legal Max'!T33</f>
        <v>7.5</v>
      </c>
      <c r="E32" s="118" t="str">
        <f t="shared" si="0"/>
        <v>Yes</v>
      </c>
      <c r="F32" s="114" t="str">
        <f>'2024 Legal Max'!AZ33</f>
        <v>A</v>
      </c>
      <c r="G32" s="113">
        <v>225</v>
      </c>
      <c r="H32" s="115" t="s">
        <v>933</v>
      </c>
      <c r="L32" s="1" t="s">
        <v>218</v>
      </c>
      <c r="M32" s="105" t="s">
        <v>16</v>
      </c>
      <c r="N32" s="105" t="s">
        <v>538</v>
      </c>
      <c r="O32" s="114">
        <f>'Preliminary SO66'!AH32</f>
        <v>501</v>
      </c>
      <c r="P32" s="105">
        <f>SUMIF('PreliminaryHD AR - School Level'!$A$5:A417, "=" &amp; L32,'PreliminaryHD AR - School Level'!$M$5:M417)</f>
        <v>0</v>
      </c>
      <c r="Q32" s="114">
        <f>'2024 Legal Max'!AS33</f>
        <v>494.6</v>
      </c>
      <c r="R32" s="105">
        <f>'2024 Legal Max'!AH33</f>
        <v>15.3</v>
      </c>
      <c r="U32" s="105" t="str">
        <f>'2024 Legal Max'!AZ33</f>
        <v>A</v>
      </c>
    </row>
    <row r="33" spans="1:21">
      <c r="A33" s="113">
        <v>217</v>
      </c>
      <c r="B33" s="105" t="s">
        <v>17</v>
      </c>
      <c r="C33" s="105" t="s">
        <v>539</v>
      </c>
      <c r="D33" s="118">
        <f>'2024 Legal Max'!T34</f>
        <v>0</v>
      </c>
      <c r="E33" s="118" t="str">
        <f t="shared" si="0"/>
        <v>Yes</v>
      </c>
      <c r="F33" s="114" t="str">
        <f>'2024 Legal Max'!AZ34</f>
        <v>A</v>
      </c>
      <c r="G33" s="113">
        <v>226</v>
      </c>
      <c r="H33" s="115" t="s">
        <v>933</v>
      </c>
      <c r="L33" s="1" t="s">
        <v>219</v>
      </c>
      <c r="M33" s="105" t="s">
        <v>17</v>
      </c>
      <c r="N33" s="105" t="s">
        <v>539</v>
      </c>
      <c r="O33" s="114">
        <f>'Preliminary SO66'!AH33</f>
        <v>243.4</v>
      </c>
      <c r="P33" s="105">
        <f>SUMIF('PreliminaryHD AR - School Level'!$A$5:A417, "=" &amp; L33,'PreliminaryHD AR - School Level'!$M$5:M417)</f>
        <v>0</v>
      </c>
      <c r="Q33" s="114">
        <f>'2024 Legal Max'!AS34</f>
        <v>243.4</v>
      </c>
      <c r="R33" s="105">
        <f>'2024 Legal Max'!AH34</f>
        <v>6</v>
      </c>
      <c r="U33" s="105" t="str">
        <f>'2024 Legal Max'!AZ34</f>
        <v>A</v>
      </c>
    </row>
    <row r="34" spans="1:21">
      <c r="A34" s="113">
        <v>218</v>
      </c>
      <c r="B34" s="105" t="s">
        <v>17</v>
      </c>
      <c r="C34" s="105" t="s">
        <v>540</v>
      </c>
      <c r="D34" s="118">
        <f>'2024 Legal Max'!T35</f>
        <v>17.899999999999999</v>
      </c>
      <c r="E34" s="118" t="str">
        <f t="shared" si="0"/>
        <v>Yes</v>
      </c>
      <c r="F34" s="114" t="str">
        <f>'2024 Legal Max'!AZ35</f>
        <v>A</v>
      </c>
      <c r="G34" s="113">
        <v>230</v>
      </c>
      <c r="H34" s="115" t="s">
        <v>933</v>
      </c>
      <c r="L34" s="1" t="s">
        <v>220</v>
      </c>
      <c r="M34" s="105" t="s">
        <v>17</v>
      </c>
      <c r="N34" s="105" t="s">
        <v>540</v>
      </c>
      <c r="O34" s="114">
        <f>'Preliminary SO66'!AH34</f>
        <v>746.6</v>
      </c>
      <c r="P34" s="105">
        <f>SUMIF('PreliminaryHD AR - School Level'!$A$5:A418, "=" &amp; L34,'PreliminaryHD AR - School Level'!$M$5:M418)</f>
        <v>0</v>
      </c>
      <c r="Q34" s="114">
        <f>'2024 Legal Max'!AS35</f>
        <v>741</v>
      </c>
      <c r="R34" s="105">
        <f>'2024 Legal Max'!AH35</f>
        <v>15.9</v>
      </c>
      <c r="U34" s="105" t="str">
        <f>'2024 Legal Max'!AZ35</f>
        <v>A</v>
      </c>
    </row>
    <row r="35" spans="1:21">
      <c r="A35" s="113">
        <v>219</v>
      </c>
      <c r="B35" s="105" t="s">
        <v>18</v>
      </c>
      <c r="C35" s="105" t="s">
        <v>541</v>
      </c>
      <c r="D35" s="118">
        <f>'2024 Legal Max'!T36</f>
        <v>2</v>
      </c>
      <c r="E35" s="118" t="str">
        <f t="shared" si="0"/>
        <v>Yes</v>
      </c>
      <c r="F35" s="114" t="str">
        <f>'2024 Legal Max'!AZ36</f>
        <v>A</v>
      </c>
      <c r="G35" s="113">
        <v>232</v>
      </c>
      <c r="H35" s="115" t="s">
        <v>933</v>
      </c>
      <c r="L35" s="1" t="s">
        <v>221</v>
      </c>
      <c r="M35" s="105" t="s">
        <v>18</v>
      </c>
      <c r="N35" s="105" t="s">
        <v>541</v>
      </c>
      <c r="O35" s="114">
        <f>'Preliminary SO66'!AH35</f>
        <v>481.1</v>
      </c>
      <c r="P35" s="105">
        <f>SUMIF('PreliminaryHD AR - School Level'!$A$5:A419, "=" &amp; L35,'PreliminaryHD AR - School Level'!$M$5:M419)</f>
        <v>0</v>
      </c>
      <c r="Q35" s="114">
        <f>'2024 Legal Max'!AS36</f>
        <v>483.4</v>
      </c>
      <c r="R35" s="105">
        <f>'2024 Legal Max'!AH36</f>
        <v>10</v>
      </c>
      <c r="U35" s="105" t="str">
        <f>'2024 Legal Max'!AZ36</f>
        <v>A</v>
      </c>
    </row>
    <row r="36" spans="1:21">
      <c r="A36" s="113">
        <v>220</v>
      </c>
      <c r="B36" s="105" t="s">
        <v>18</v>
      </c>
      <c r="C36" s="105" t="s">
        <v>542</v>
      </c>
      <c r="D36" s="118">
        <f>'2024 Legal Max'!T37</f>
        <v>2</v>
      </c>
      <c r="E36" s="118" t="str">
        <f t="shared" si="0"/>
        <v>Yes</v>
      </c>
      <c r="F36" s="114" t="str">
        <f>'2024 Legal Max'!AZ37</f>
        <v>A</v>
      </c>
      <c r="G36" s="113">
        <v>233</v>
      </c>
      <c r="H36" s="115" t="s">
        <v>933</v>
      </c>
      <c r="L36" s="1" t="s">
        <v>222</v>
      </c>
      <c r="M36" s="105" t="s">
        <v>18</v>
      </c>
      <c r="N36" s="105" t="s">
        <v>542</v>
      </c>
      <c r="O36" s="114">
        <f>'Preliminary SO66'!AH36</f>
        <v>385.4</v>
      </c>
      <c r="P36" s="105">
        <f>SUMIF('PreliminaryHD AR - School Level'!$A$5:A420, "=" &amp; L36,'PreliminaryHD AR - School Level'!$M$5:M420)</f>
        <v>0</v>
      </c>
      <c r="Q36" s="114">
        <f>'2024 Legal Max'!AS37</f>
        <v>406.8</v>
      </c>
      <c r="R36" s="105">
        <f>'2024 Legal Max'!AH37</f>
        <v>3.3</v>
      </c>
      <c r="U36" s="105" t="str">
        <f>'2024 Legal Max'!AZ37</f>
        <v>A</v>
      </c>
    </row>
    <row r="37" spans="1:21">
      <c r="A37" s="113">
        <v>223</v>
      </c>
      <c r="B37" s="105" t="s">
        <v>19</v>
      </c>
      <c r="C37" s="105" t="s">
        <v>543</v>
      </c>
      <c r="D37" s="118">
        <f>'2024 Legal Max'!T38</f>
        <v>16</v>
      </c>
      <c r="E37" s="118" t="e">
        <f t="shared" si="0"/>
        <v>#N/A</v>
      </c>
      <c r="F37" s="114" t="str">
        <f>'2024 Legal Max'!AZ38</f>
        <v>A</v>
      </c>
      <c r="G37" s="113">
        <v>234</v>
      </c>
      <c r="H37" s="115" t="s">
        <v>933</v>
      </c>
      <c r="L37" s="1" t="s">
        <v>223</v>
      </c>
      <c r="M37" s="105" t="s">
        <v>19</v>
      </c>
      <c r="N37" s="105" t="s">
        <v>543</v>
      </c>
      <c r="O37" s="114">
        <f>'Preliminary SO66'!AH37</f>
        <v>648.1</v>
      </c>
      <c r="P37" s="105">
        <f>SUMIF('PreliminaryHD AR - School Level'!$A$5:A421, "=" &amp; L37,'PreliminaryHD AR - School Level'!$M$5:M421)</f>
        <v>0</v>
      </c>
      <c r="Q37" s="114">
        <f>'2024 Legal Max'!AS38</f>
        <v>649.4</v>
      </c>
      <c r="R37" s="105">
        <f>'2024 Legal Max'!AH38</f>
        <v>0</v>
      </c>
      <c r="U37" s="105" t="str">
        <f>'2024 Legal Max'!AZ38</f>
        <v>A</v>
      </c>
    </row>
    <row r="38" spans="1:21">
      <c r="A38" s="113">
        <v>224</v>
      </c>
      <c r="B38" s="105" t="s">
        <v>19</v>
      </c>
      <c r="C38" s="105" t="s">
        <v>544</v>
      </c>
      <c r="D38" s="118">
        <f>'2024 Legal Max'!T39</f>
        <v>3</v>
      </c>
      <c r="E38" s="118" t="str">
        <f t="shared" si="0"/>
        <v>Yes</v>
      </c>
      <c r="F38" s="114" t="str">
        <f>'2024 Legal Max'!AZ39</f>
        <v>A</v>
      </c>
      <c r="G38" s="113">
        <v>235</v>
      </c>
      <c r="H38" s="115" t="s">
        <v>933</v>
      </c>
      <c r="L38" s="1" t="s">
        <v>224</v>
      </c>
      <c r="M38" s="105" t="s">
        <v>19</v>
      </c>
      <c r="N38" s="105" t="s">
        <v>544</v>
      </c>
      <c r="O38" s="114">
        <f>'Preliminary SO66'!AH38</f>
        <v>537.1</v>
      </c>
      <c r="P38" s="105">
        <f>SUMIF('PreliminaryHD AR - School Level'!$A$5:A422, "=" &amp; L38,'PreliminaryHD AR - School Level'!$M$5:M422)</f>
        <v>0</v>
      </c>
      <c r="Q38" s="114">
        <f>'2024 Legal Max'!AS39</f>
        <v>536.79999999999995</v>
      </c>
      <c r="R38" s="105">
        <f>'2024 Legal Max'!AH39</f>
        <v>0</v>
      </c>
      <c r="U38" s="105" t="str">
        <f>'2024 Legal Max'!AZ39</f>
        <v>A</v>
      </c>
    </row>
    <row r="39" spans="1:21">
      <c r="A39" s="113">
        <v>225</v>
      </c>
      <c r="B39" s="105" t="s">
        <v>20</v>
      </c>
      <c r="C39" s="105" t="s">
        <v>545</v>
      </c>
      <c r="D39" s="118">
        <f>'2024 Legal Max'!T40</f>
        <v>1</v>
      </c>
      <c r="E39" s="118" t="str">
        <f t="shared" si="0"/>
        <v>Yes</v>
      </c>
      <c r="F39" s="114" t="str">
        <f>'2024 Legal Max'!AZ40</f>
        <v>A</v>
      </c>
      <c r="G39" s="113">
        <v>240</v>
      </c>
      <c r="H39" s="115" t="s">
        <v>933</v>
      </c>
      <c r="L39" s="1" t="s">
        <v>225</v>
      </c>
      <c r="M39" s="105" t="s">
        <v>20</v>
      </c>
      <c r="N39" s="105" t="s">
        <v>545</v>
      </c>
      <c r="O39" s="114">
        <f>'Preliminary SO66'!AH39</f>
        <v>229</v>
      </c>
      <c r="P39" s="105">
        <f>SUMIF('PreliminaryHD AR - School Level'!$A$5:A423, "=" &amp; L39,'PreliminaryHD AR - School Level'!$M$5:M423)</f>
        <v>0</v>
      </c>
      <c r="Q39" s="114">
        <f>'2024 Legal Max'!AS40</f>
        <v>217.7</v>
      </c>
      <c r="R39" s="105">
        <f>'2024 Legal Max'!AH40</f>
        <v>2.9</v>
      </c>
      <c r="U39" s="105" t="str">
        <f>'2024 Legal Max'!AZ40</f>
        <v>A</v>
      </c>
    </row>
    <row r="40" spans="1:21">
      <c r="A40" s="113">
        <v>226</v>
      </c>
      <c r="B40" s="105" t="s">
        <v>20</v>
      </c>
      <c r="C40" s="105" t="s">
        <v>546</v>
      </c>
      <c r="D40" s="118">
        <f>'2024 Legal Max'!T41</f>
        <v>10</v>
      </c>
      <c r="E40" s="118" t="str">
        <f t="shared" si="0"/>
        <v>Yes</v>
      </c>
      <c r="F40" s="114" t="str">
        <f>'2024 Legal Max'!AZ41</f>
        <v>A</v>
      </c>
      <c r="G40" s="113">
        <v>243</v>
      </c>
      <c r="H40" s="115" t="s">
        <v>933</v>
      </c>
      <c r="L40" s="1" t="s">
        <v>226</v>
      </c>
      <c r="M40" s="105" t="s">
        <v>20</v>
      </c>
      <c r="N40" s="105" t="s">
        <v>546</v>
      </c>
      <c r="O40" s="114">
        <f>'Preliminary SO66'!AH40</f>
        <v>626.20000000000005</v>
      </c>
      <c r="P40" s="105">
        <f>SUMIF('PreliminaryHD AR - School Level'!$A$5:A424, "=" &amp; L40,'PreliminaryHD AR - School Level'!$M$5:M424)</f>
        <v>0</v>
      </c>
      <c r="Q40" s="114">
        <f>'2024 Legal Max'!AS41</f>
        <v>623.20000000000005</v>
      </c>
      <c r="R40" s="105">
        <f>'2024 Legal Max'!AH41</f>
        <v>1.9</v>
      </c>
      <c r="U40" s="105" t="str">
        <f>'2024 Legal Max'!AZ41</f>
        <v>A</v>
      </c>
    </row>
    <row r="41" spans="1:21">
      <c r="A41" s="113">
        <v>227</v>
      </c>
      <c r="B41" s="105" t="s">
        <v>21</v>
      </c>
      <c r="C41" s="105" t="s">
        <v>547</v>
      </c>
      <c r="D41" s="118">
        <f>'2024 Legal Max'!T42</f>
        <v>0</v>
      </c>
      <c r="E41" s="118" t="e">
        <f t="shared" si="0"/>
        <v>#N/A</v>
      </c>
      <c r="F41" s="114" t="str">
        <f>'2024 Legal Max'!AZ42</f>
        <v>A</v>
      </c>
      <c r="G41" s="113">
        <v>244</v>
      </c>
      <c r="H41" s="115" t="s">
        <v>933</v>
      </c>
      <c r="L41" s="1" t="s">
        <v>227</v>
      </c>
      <c r="M41" s="105" t="s">
        <v>21</v>
      </c>
      <c r="N41" s="105" t="s">
        <v>547</v>
      </c>
      <c r="O41" s="114">
        <f>'Preliminary SO66'!AH41</f>
        <v>518.70000000000005</v>
      </c>
      <c r="P41" s="105">
        <f>SUMIF('PreliminaryHD AR - School Level'!$A$5:A425, "=" &amp; L41,'PreliminaryHD AR - School Level'!$M$5:M425)</f>
        <v>0</v>
      </c>
      <c r="Q41" s="114">
        <f>'2024 Legal Max'!AS42</f>
        <v>517.4</v>
      </c>
      <c r="R41" s="105">
        <f>'2024 Legal Max'!AH42</f>
        <v>0</v>
      </c>
      <c r="U41" s="105" t="str">
        <f>'2024 Legal Max'!AZ42</f>
        <v>A</v>
      </c>
    </row>
    <row r="42" spans="1:21">
      <c r="A42" s="113">
        <v>229</v>
      </c>
      <c r="B42" s="105" t="s">
        <v>22</v>
      </c>
      <c r="C42" s="105" t="s">
        <v>548</v>
      </c>
      <c r="D42" s="118">
        <f>'2024 Legal Max'!T43</f>
        <v>0</v>
      </c>
      <c r="E42" s="118" t="e">
        <f t="shared" si="0"/>
        <v>#N/A</v>
      </c>
      <c r="F42" s="114" t="str">
        <f>'2024 Legal Max'!AZ43</f>
        <v>A</v>
      </c>
      <c r="G42" s="113">
        <v>245</v>
      </c>
      <c r="H42" s="115" t="s">
        <v>933</v>
      </c>
      <c r="L42" s="1" t="s">
        <v>228</v>
      </c>
      <c r="M42" s="105" t="s">
        <v>22</v>
      </c>
      <c r="N42" s="105" t="s">
        <v>548</v>
      </c>
      <c r="O42" s="114">
        <f>'Preliminary SO66'!AH42</f>
        <v>27665.200000000001</v>
      </c>
      <c r="P42" s="105">
        <f>SUMIF('PreliminaryHD AR - School Level'!$A$5:A426, "=" &amp; L42,'PreliminaryHD AR - School Level'!$M$5:M426)</f>
        <v>0</v>
      </c>
      <c r="Q42" s="114">
        <f>'2024 Legal Max'!AS43</f>
        <v>27637.599999999999</v>
      </c>
      <c r="R42" s="105">
        <f>'2024 Legal Max'!AH43</f>
        <v>0</v>
      </c>
      <c r="U42" s="105" t="str">
        <f>'2024 Legal Max'!AZ43</f>
        <v>A</v>
      </c>
    </row>
    <row r="43" spans="1:21">
      <c r="A43" s="113">
        <v>230</v>
      </c>
      <c r="B43" s="105" t="s">
        <v>22</v>
      </c>
      <c r="C43" s="105" t="s">
        <v>549</v>
      </c>
      <c r="D43" s="118">
        <f>'2024 Legal Max'!T44</f>
        <v>18.5</v>
      </c>
      <c r="E43" s="118" t="str">
        <f t="shared" si="0"/>
        <v>Yes</v>
      </c>
      <c r="F43" s="114" t="str">
        <f>'2024 Legal Max'!AZ44</f>
        <v>A</v>
      </c>
      <c r="G43" s="113">
        <v>246</v>
      </c>
      <c r="H43" s="115" t="s">
        <v>933</v>
      </c>
      <c r="L43" s="1" t="s">
        <v>229</v>
      </c>
      <c r="M43" s="105" t="s">
        <v>22</v>
      </c>
      <c r="N43" s="105" t="s">
        <v>549</v>
      </c>
      <c r="O43" s="114">
        <f>'Preliminary SO66'!AH43</f>
        <v>5058.3</v>
      </c>
      <c r="P43" s="105">
        <f>SUMIF('PreliminaryHD AR - School Level'!$A$5:A427, "=" &amp; L43,'PreliminaryHD AR - School Level'!$M$5:M427)</f>
        <v>0</v>
      </c>
      <c r="Q43" s="114">
        <f>'2024 Legal Max'!AS44</f>
        <v>5273.7</v>
      </c>
      <c r="R43" s="105">
        <f>'2024 Legal Max'!AH44</f>
        <v>0</v>
      </c>
      <c r="U43" s="105" t="str">
        <f>'2024 Legal Max'!AZ44</f>
        <v>A</v>
      </c>
    </row>
    <row r="44" spans="1:21">
      <c r="A44" s="113">
        <v>231</v>
      </c>
      <c r="B44" s="105" t="s">
        <v>22</v>
      </c>
      <c r="C44" s="105" t="s">
        <v>550</v>
      </c>
      <c r="D44" s="118">
        <f>'2024 Legal Max'!T45</f>
        <v>20.5</v>
      </c>
      <c r="E44" s="118" t="e">
        <f t="shared" si="0"/>
        <v>#N/A</v>
      </c>
      <c r="F44" s="114" t="str">
        <f>'2024 Legal Max'!AZ45</f>
        <v>A</v>
      </c>
      <c r="G44" s="113">
        <v>247</v>
      </c>
      <c r="H44" s="115" t="s">
        <v>933</v>
      </c>
      <c r="L44" s="1" t="s">
        <v>230</v>
      </c>
      <c r="M44" s="105" t="s">
        <v>22</v>
      </c>
      <c r="N44" s="105" t="s">
        <v>550</v>
      </c>
      <c r="O44" s="114">
        <f>'Preliminary SO66'!AH44</f>
        <v>7578.8</v>
      </c>
      <c r="P44" s="105">
        <f>SUMIF('PreliminaryHD AR - School Level'!$A$5:A428, "=" &amp; L44,'PreliminaryHD AR - School Level'!$M$5:M428)</f>
        <v>0</v>
      </c>
      <c r="Q44" s="114">
        <f>'2024 Legal Max'!AS45</f>
        <v>7558.3</v>
      </c>
      <c r="R44" s="105">
        <f>'2024 Legal Max'!AH45</f>
        <v>34.799999999999997</v>
      </c>
      <c r="U44" s="105" t="str">
        <f>'2024 Legal Max'!AZ45</f>
        <v>A</v>
      </c>
    </row>
    <row r="45" spans="1:21">
      <c r="A45" s="113">
        <v>232</v>
      </c>
      <c r="B45" s="105" t="s">
        <v>22</v>
      </c>
      <c r="C45" s="105" t="s">
        <v>551</v>
      </c>
      <c r="D45" s="118">
        <f>'2024 Legal Max'!T46</f>
        <v>32</v>
      </c>
      <c r="E45" s="118" t="str">
        <f t="shared" si="0"/>
        <v>Yes</v>
      </c>
      <c r="F45" s="114" t="str">
        <f>'2024 Legal Max'!AZ46</f>
        <v>A</v>
      </c>
      <c r="G45" s="113">
        <v>248</v>
      </c>
      <c r="H45" s="115" t="s">
        <v>933</v>
      </c>
      <c r="L45" s="1" t="s">
        <v>231</v>
      </c>
      <c r="M45" s="105" t="s">
        <v>22</v>
      </c>
      <c r="N45" s="105" t="s">
        <v>551</v>
      </c>
      <c r="O45" s="114">
        <f>'Preliminary SO66'!AH45</f>
        <v>8986.7999999999993</v>
      </c>
      <c r="P45" s="105">
        <f>SUMIF('PreliminaryHD AR - School Level'!$A$5:A429, "=" &amp; L45,'PreliminaryHD AR - School Level'!$M$5:M429)</f>
        <v>0</v>
      </c>
      <c r="Q45" s="114">
        <f>'2024 Legal Max'!AS46</f>
        <v>9062.2000000000007</v>
      </c>
      <c r="R45" s="105">
        <f>'2024 Legal Max'!AH46</f>
        <v>5.7</v>
      </c>
      <c r="U45" s="105" t="str">
        <f>'2024 Legal Max'!AZ46</f>
        <v>A</v>
      </c>
    </row>
    <row r="46" spans="1:21">
      <c r="A46" s="113">
        <v>233</v>
      </c>
      <c r="B46" s="105" t="s">
        <v>22</v>
      </c>
      <c r="C46" s="105" t="s">
        <v>552</v>
      </c>
      <c r="D46" s="118">
        <f>'2024 Legal Max'!T47</f>
        <v>56</v>
      </c>
      <c r="E46" s="118" t="str">
        <f t="shared" si="0"/>
        <v>Yes</v>
      </c>
      <c r="F46" s="114" t="str">
        <f>'2024 Legal Max'!AZ47</f>
        <v>A</v>
      </c>
      <c r="G46" s="113">
        <v>249</v>
      </c>
      <c r="H46" s="115" t="s">
        <v>933</v>
      </c>
      <c r="L46" s="1" t="s">
        <v>232</v>
      </c>
      <c r="M46" s="105" t="s">
        <v>22</v>
      </c>
      <c r="N46" s="105" t="s">
        <v>552</v>
      </c>
      <c r="O46" s="114">
        <f>'Preliminary SO66'!AH46</f>
        <v>36784.400000000001</v>
      </c>
      <c r="P46" s="105">
        <f>SUMIF('PreliminaryHD AR - School Level'!$A$5:A430, "=" &amp; L46,'PreliminaryHD AR - School Level'!$M$5:M430)</f>
        <v>0</v>
      </c>
      <c r="Q46" s="114">
        <f>'2024 Legal Max'!AS47</f>
        <v>38837</v>
      </c>
      <c r="R46" s="105">
        <f>'2024 Legal Max'!AH47</f>
        <v>259.10000000000002</v>
      </c>
      <c r="U46" s="105" t="str">
        <f>'2024 Legal Max'!AZ47</f>
        <v>A</v>
      </c>
    </row>
    <row r="47" spans="1:21">
      <c r="A47" s="113">
        <v>234</v>
      </c>
      <c r="B47" s="105" t="s">
        <v>23</v>
      </c>
      <c r="C47" s="105" t="s">
        <v>553</v>
      </c>
      <c r="D47" s="118">
        <f>'2024 Legal Max'!T48</f>
        <v>22</v>
      </c>
      <c r="E47" s="118" t="str">
        <f t="shared" si="0"/>
        <v>Yes</v>
      </c>
      <c r="F47" s="114" t="str">
        <f>'2024 Legal Max'!AZ48</f>
        <v>A</v>
      </c>
      <c r="G47" s="113">
        <v>250</v>
      </c>
      <c r="H47" s="115" t="s">
        <v>933</v>
      </c>
      <c r="L47" s="1" t="s">
        <v>233</v>
      </c>
      <c r="M47" s="105" t="s">
        <v>23</v>
      </c>
      <c r="N47" s="105" t="s">
        <v>553</v>
      </c>
      <c r="O47" s="114">
        <f>'Preliminary SO66'!AH47</f>
        <v>2556.9</v>
      </c>
      <c r="P47" s="105">
        <f>SUMIF('PreliminaryHD AR - School Level'!$A$5:A431, "=" &amp; L47,'PreliminaryHD AR - School Level'!$M$5:M431)</f>
        <v>0</v>
      </c>
      <c r="Q47" s="114">
        <f>'2024 Legal Max'!AS48</f>
        <v>2543.4</v>
      </c>
      <c r="R47" s="105">
        <f>'2024 Legal Max'!AH48</f>
        <v>100.8</v>
      </c>
      <c r="U47" s="105" t="str">
        <f>'2024 Legal Max'!AZ48</f>
        <v>A</v>
      </c>
    </row>
    <row r="48" spans="1:21">
      <c r="A48" s="113">
        <v>235</v>
      </c>
      <c r="B48" s="105" t="s">
        <v>23</v>
      </c>
      <c r="C48" s="105" t="s">
        <v>554</v>
      </c>
      <c r="D48" s="118">
        <f>'2024 Legal Max'!T49</f>
        <v>5</v>
      </c>
      <c r="E48" s="118" t="str">
        <f t="shared" si="0"/>
        <v>Yes</v>
      </c>
      <c r="F48" s="114" t="str">
        <f>'2024 Legal Max'!AZ49</f>
        <v>A</v>
      </c>
      <c r="G48" s="113">
        <v>252</v>
      </c>
      <c r="H48" s="115" t="s">
        <v>933</v>
      </c>
      <c r="L48" s="1" t="s">
        <v>234</v>
      </c>
      <c r="M48" s="105" t="s">
        <v>23</v>
      </c>
      <c r="N48" s="105" t="s">
        <v>554</v>
      </c>
      <c r="O48" s="114">
        <f>'Preliminary SO66'!AH48</f>
        <v>885.1</v>
      </c>
      <c r="P48" s="105">
        <f>SUMIF('PreliminaryHD AR - School Level'!$A$5:A432, "=" &amp; L48,'PreliminaryHD AR - School Level'!$M$5:M432)</f>
        <v>0</v>
      </c>
      <c r="Q48" s="114">
        <f>'2024 Legal Max'!AS49</f>
        <v>878.7</v>
      </c>
      <c r="R48" s="105">
        <f>'2024 Legal Max'!AH49</f>
        <v>27.9</v>
      </c>
      <c r="U48" s="105" t="str">
        <f>'2024 Legal Max'!AZ49</f>
        <v>A</v>
      </c>
    </row>
    <row r="49" spans="1:21">
      <c r="A49" s="116">
        <v>237</v>
      </c>
      <c r="B49" s="105" t="s">
        <v>24</v>
      </c>
      <c r="C49" s="105" t="s">
        <v>555</v>
      </c>
      <c r="D49" s="118">
        <f>'2024 Legal Max'!T50</f>
        <v>11</v>
      </c>
      <c r="E49" s="118" t="e">
        <f t="shared" si="0"/>
        <v>#N/A</v>
      </c>
      <c r="F49" s="114" t="str">
        <f>'2024 Legal Max'!AZ50</f>
        <v>A</v>
      </c>
      <c r="G49" s="113">
        <v>253</v>
      </c>
      <c r="H49" s="115" t="s">
        <v>933</v>
      </c>
      <c r="L49" s="1" t="s">
        <v>235</v>
      </c>
      <c r="M49" s="105" t="s">
        <v>24</v>
      </c>
      <c r="N49" s="105" t="s">
        <v>555</v>
      </c>
      <c r="O49" s="114">
        <f>'Preliminary SO66'!AH49</f>
        <v>781.4</v>
      </c>
      <c r="P49" s="105">
        <f>SUMIF('PreliminaryHD AR - School Level'!$A$5:A433, "=" &amp; L49,'PreliminaryHD AR - School Level'!$M$5:M433)</f>
        <v>0</v>
      </c>
      <c r="Q49" s="114">
        <f>'2024 Legal Max'!AS50</f>
        <v>782.5</v>
      </c>
      <c r="R49" s="105">
        <f>'2024 Legal Max'!AH50</f>
        <v>5.0999999999999996</v>
      </c>
      <c r="U49" s="105" t="str">
        <f>'2024 Legal Max'!AZ50</f>
        <v>A</v>
      </c>
    </row>
    <row r="50" spans="1:21">
      <c r="A50" s="113">
        <v>239</v>
      </c>
      <c r="B50" s="105" t="s">
        <v>25</v>
      </c>
      <c r="C50" s="105" t="s">
        <v>556</v>
      </c>
      <c r="D50" s="118">
        <f>'2024 Legal Max'!T51</f>
        <v>0</v>
      </c>
      <c r="E50" s="118" t="e">
        <f t="shared" si="0"/>
        <v>#N/A</v>
      </c>
      <c r="F50" s="114" t="str">
        <f>'2024 Legal Max'!AZ51</f>
        <v>A</v>
      </c>
      <c r="G50" s="113">
        <v>254</v>
      </c>
      <c r="H50" s="115" t="s">
        <v>933</v>
      </c>
      <c r="L50" s="1" t="s">
        <v>236</v>
      </c>
      <c r="M50" s="105" t="s">
        <v>25</v>
      </c>
      <c r="N50" s="105" t="s">
        <v>556</v>
      </c>
      <c r="O50" s="114">
        <f>'Preliminary SO66'!AH50</f>
        <v>1069.5</v>
      </c>
      <c r="P50" s="105">
        <f>SUMIF('PreliminaryHD AR - School Level'!$A$5:A434, "=" &amp; L50,'PreliminaryHD AR - School Level'!$M$5:M434)</f>
        <v>0</v>
      </c>
      <c r="Q50" s="114">
        <f>'2024 Legal Max'!AS51</f>
        <v>1069.3</v>
      </c>
      <c r="R50" s="105">
        <f>'2024 Legal Max'!AH51</f>
        <v>14.9</v>
      </c>
      <c r="U50" s="105" t="str">
        <f>'2024 Legal Max'!AZ51</f>
        <v>A</v>
      </c>
    </row>
    <row r="51" spans="1:21">
      <c r="A51" s="113">
        <v>240</v>
      </c>
      <c r="B51" s="105" t="s">
        <v>25</v>
      </c>
      <c r="C51" s="105" t="s">
        <v>557</v>
      </c>
      <c r="D51" s="118">
        <f>'2024 Legal Max'!T52</f>
        <v>21</v>
      </c>
      <c r="E51" s="118" t="str">
        <f t="shared" si="0"/>
        <v>Yes</v>
      </c>
      <c r="F51" s="114" t="str">
        <f>'2024 Legal Max'!AZ52</f>
        <v>A</v>
      </c>
      <c r="G51" s="113">
        <v>255</v>
      </c>
      <c r="H51" s="115" t="s">
        <v>933</v>
      </c>
      <c r="L51" s="1" t="s">
        <v>237</v>
      </c>
      <c r="M51" s="105" t="s">
        <v>25</v>
      </c>
      <c r="N51" s="105" t="s">
        <v>557</v>
      </c>
      <c r="O51" s="114">
        <f>'Preliminary SO66'!AH51</f>
        <v>1019.9</v>
      </c>
      <c r="P51" s="105">
        <f>SUMIF('PreliminaryHD AR - School Level'!$A$5:A435, "=" &amp; L51,'PreliminaryHD AR - School Level'!$M$5:M435)</f>
        <v>0</v>
      </c>
      <c r="Q51" s="114">
        <f>'2024 Legal Max'!AS52</f>
        <v>1019.1</v>
      </c>
      <c r="R51" s="105">
        <f>'2024 Legal Max'!AH52</f>
        <v>11.5</v>
      </c>
      <c r="U51" s="105" t="str">
        <f>'2024 Legal Max'!AZ52</f>
        <v>A</v>
      </c>
    </row>
    <row r="52" spans="1:21">
      <c r="A52" s="113">
        <v>241</v>
      </c>
      <c r="B52" s="105" t="s">
        <v>26</v>
      </c>
      <c r="C52" s="105" t="s">
        <v>558</v>
      </c>
      <c r="D52" s="118">
        <f>'2024 Legal Max'!T53</f>
        <v>0</v>
      </c>
      <c r="E52" s="118" t="e">
        <f t="shared" si="0"/>
        <v>#N/A</v>
      </c>
      <c r="F52" s="114" t="str">
        <f>'2024 Legal Max'!AZ53</f>
        <v>A</v>
      </c>
      <c r="G52" s="113">
        <v>256</v>
      </c>
      <c r="H52" s="115" t="s">
        <v>933</v>
      </c>
      <c r="L52" s="1" t="s">
        <v>238</v>
      </c>
      <c r="M52" s="105" t="s">
        <v>26</v>
      </c>
      <c r="N52" s="105" t="s">
        <v>558</v>
      </c>
      <c r="O52" s="114">
        <f>'Preliminary SO66'!AH52</f>
        <v>382.5</v>
      </c>
      <c r="P52" s="105">
        <f>SUMIF('PreliminaryHD AR - School Level'!$A$5:A436, "=" &amp; L52,'PreliminaryHD AR - School Level'!$M$5:M436)</f>
        <v>0</v>
      </c>
      <c r="Q52" s="114">
        <f>'2024 Legal Max'!AS53</f>
        <v>378.7</v>
      </c>
      <c r="R52" s="105">
        <f>'2024 Legal Max'!AH53</f>
        <v>0.1</v>
      </c>
      <c r="U52" s="105" t="str">
        <f>'2024 Legal Max'!AZ53</f>
        <v>A</v>
      </c>
    </row>
    <row r="53" spans="1:21">
      <c r="A53" s="113">
        <v>242</v>
      </c>
      <c r="B53" s="105" t="s">
        <v>26</v>
      </c>
      <c r="C53" s="105" t="s">
        <v>559</v>
      </c>
      <c r="D53" s="118">
        <f>'2024 Legal Max'!T54</f>
        <v>0</v>
      </c>
      <c r="E53" s="118" t="e">
        <f t="shared" si="0"/>
        <v>#N/A</v>
      </c>
      <c r="F53" s="114" t="str">
        <f>'2024 Legal Max'!AZ54</f>
        <v>A</v>
      </c>
      <c r="G53" s="113">
        <v>257</v>
      </c>
      <c r="H53" s="115" t="s">
        <v>933</v>
      </c>
      <c r="L53" s="1" t="s">
        <v>239</v>
      </c>
      <c r="M53" s="105" t="s">
        <v>26</v>
      </c>
      <c r="N53" s="105" t="s">
        <v>559</v>
      </c>
      <c r="O53" s="114">
        <f>'Preliminary SO66'!AH53</f>
        <v>247.5</v>
      </c>
      <c r="P53" s="105">
        <f>SUMIF('PreliminaryHD AR - School Level'!$A$5:A437, "=" &amp; L53,'PreliminaryHD AR - School Level'!$M$5:M437)</f>
        <v>0</v>
      </c>
      <c r="Q53" s="114">
        <f>'2024 Legal Max'!AS54</f>
        <v>239.3</v>
      </c>
      <c r="R53" s="105">
        <f>'2024 Legal Max'!AH54</f>
        <v>0</v>
      </c>
      <c r="U53" s="105" t="str">
        <f>'2024 Legal Max'!AZ54</f>
        <v>A</v>
      </c>
    </row>
    <row r="54" spans="1:21">
      <c r="A54" s="113">
        <v>243</v>
      </c>
      <c r="B54" s="105" t="s">
        <v>27</v>
      </c>
      <c r="C54" s="105" t="s">
        <v>560</v>
      </c>
      <c r="D54" s="118">
        <f>'2024 Legal Max'!T55</f>
        <v>10.5</v>
      </c>
      <c r="E54" s="118" t="str">
        <f t="shared" si="0"/>
        <v>Yes</v>
      </c>
      <c r="F54" s="114" t="str">
        <f>'2024 Legal Max'!AZ55</f>
        <v>A</v>
      </c>
      <c r="G54" s="113">
        <v>258</v>
      </c>
      <c r="H54" s="115" t="s">
        <v>933</v>
      </c>
      <c r="L54" s="1" t="s">
        <v>240</v>
      </c>
      <c r="M54" s="105" t="s">
        <v>27</v>
      </c>
      <c r="N54" s="105" t="s">
        <v>560</v>
      </c>
      <c r="O54" s="114">
        <f>'Preliminary SO66'!AH54</f>
        <v>783.4</v>
      </c>
      <c r="P54" s="105">
        <f>SUMIF('PreliminaryHD AR - School Level'!$A$5:A438, "=" &amp; L54,'PreliminaryHD AR - School Level'!$M$5:M438)</f>
        <v>0</v>
      </c>
      <c r="Q54" s="114">
        <f>'2024 Legal Max'!AS55</f>
        <v>772.8</v>
      </c>
      <c r="R54" s="105">
        <f>'2024 Legal Max'!AH55</f>
        <v>4.4000000000000004</v>
      </c>
      <c r="U54" s="105" t="str">
        <f>'2024 Legal Max'!AZ55</f>
        <v>A</v>
      </c>
    </row>
    <row r="55" spans="1:21">
      <c r="A55" s="113">
        <v>244</v>
      </c>
      <c r="B55" s="105" t="s">
        <v>27</v>
      </c>
      <c r="C55" s="105" t="s">
        <v>561</v>
      </c>
      <c r="D55" s="118">
        <f>'2024 Legal Max'!T56</f>
        <v>8.5</v>
      </c>
      <c r="E55" s="118" t="str">
        <f t="shared" si="0"/>
        <v>Yes</v>
      </c>
      <c r="F55" s="114" t="str">
        <f>'2024 Legal Max'!AZ56</f>
        <v>A</v>
      </c>
      <c r="G55" s="113">
        <v>259</v>
      </c>
      <c r="H55" s="115" t="s">
        <v>933</v>
      </c>
      <c r="L55" s="1" t="s">
        <v>241</v>
      </c>
      <c r="M55" s="105" t="s">
        <v>27</v>
      </c>
      <c r="N55" s="105" t="s">
        <v>561</v>
      </c>
      <c r="O55" s="114">
        <f>'Preliminary SO66'!AH55</f>
        <v>1269.8</v>
      </c>
      <c r="P55" s="105">
        <f>SUMIF('PreliminaryHD AR - School Level'!$A$5:A439, "=" &amp; L55,'PreliminaryHD AR - School Level'!$M$5:M439)</f>
        <v>0</v>
      </c>
      <c r="Q55" s="114">
        <f>'2024 Legal Max'!AS56</f>
        <v>1267.2</v>
      </c>
      <c r="R55" s="105">
        <f>'2024 Legal Max'!AH56</f>
        <v>5.8</v>
      </c>
      <c r="U55" s="105" t="str">
        <f>'2024 Legal Max'!AZ56</f>
        <v>A</v>
      </c>
    </row>
    <row r="56" spans="1:21">
      <c r="A56" s="113">
        <v>245</v>
      </c>
      <c r="B56" s="105" t="s">
        <v>27</v>
      </c>
      <c r="C56" s="105" t="s">
        <v>562</v>
      </c>
      <c r="D56" s="118">
        <f>'2024 Legal Max'!T57</f>
        <v>5</v>
      </c>
      <c r="E56" s="118" t="str">
        <f t="shared" si="0"/>
        <v>Yes</v>
      </c>
      <c r="F56" s="114" t="str">
        <f>'2024 Legal Max'!AZ57</f>
        <v>A</v>
      </c>
      <c r="G56" s="113">
        <v>260</v>
      </c>
      <c r="H56" s="115" t="s">
        <v>933</v>
      </c>
      <c r="L56" s="1" t="s">
        <v>242</v>
      </c>
      <c r="M56" s="105" t="s">
        <v>27</v>
      </c>
      <c r="N56" s="105" t="s">
        <v>562</v>
      </c>
      <c r="O56" s="114">
        <f>'Preliminary SO66'!AH56</f>
        <v>385.6</v>
      </c>
      <c r="P56" s="105">
        <f>SUMIF('PreliminaryHD AR - School Level'!$A$5:A440, "=" &amp; L56,'PreliminaryHD AR - School Level'!$M$5:M440)</f>
        <v>0</v>
      </c>
      <c r="Q56" s="114">
        <f>'2024 Legal Max'!AS57</f>
        <v>374.7</v>
      </c>
      <c r="R56" s="105">
        <f>'2024 Legal Max'!AH57</f>
        <v>7.4</v>
      </c>
      <c r="U56" s="105" t="str">
        <f>'2024 Legal Max'!AZ57</f>
        <v>A</v>
      </c>
    </row>
    <row r="57" spans="1:21">
      <c r="A57" s="113">
        <v>246</v>
      </c>
      <c r="B57" s="105" t="s">
        <v>28</v>
      </c>
      <c r="C57" s="105" t="s">
        <v>563</v>
      </c>
      <c r="D57" s="118">
        <f>'2024 Legal Max'!T58</f>
        <v>5</v>
      </c>
      <c r="E57" s="118" t="str">
        <f t="shared" si="0"/>
        <v>Yes</v>
      </c>
      <c r="F57" s="114" t="str">
        <f>'2024 Legal Max'!AZ58</f>
        <v>A</v>
      </c>
      <c r="G57" s="113">
        <v>261</v>
      </c>
      <c r="H57" s="115" t="s">
        <v>933</v>
      </c>
      <c r="L57" s="1" t="s">
        <v>243</v>
      </c>
      <c r="M57" s="105" t="s">
        <v>28</v>
      </c>
      <c r="N57" s="105" t="s">
        <v>563</v>
      </c>
      <c r="O57" s="114">
        <f>'Preliminary SO66'!AH57</f>
        <v>870.9</v>
      </c>
      <c r="P57" s="105">
        <f>SUMIF('PreliminaryHD AR - School Level'!$A$5:A441, "=" &amp; L57,'PreliminaryHD AR - School Level'!$M$5:M441)</f>
        <v>0</v>
      </c>
      <c r="Q57" s="114">
        <f>'2024 Legal Max'!AS58</f>
        <v>860.3</v>
      </c>
      <c r="R57" s="105">
        <f>'2024 Legal Max'!AH58</f>
        <v>31.2</v>
      </c>
      <c r="U57" s="105" t="str">
        <f>'2024 Legal Max'!AZ58</f>
        <v>A</v>
      </c>
    </row>
    <row r="58" spans="1:21">
      <c r="A58" s="113">
        <v>247</v>
      </c>
      <c r="B58" s="105" t="s">
        <v>28</v>
      </c>
      <c r="C58" s="105" t="s">
        <v>564</v>
      </c>
      <c r="D58" s="118">
        <f>'2024 Legal Max'!T59</f>
        <v>7</v>
      </c>
      <c r="E58" s="118" t="str">
        <f t="shared" si="0"/>
        <v>Yes</v>
      </c>
      <c r="F58" s="114" t="str">
        <f>'2024 Legal Max'!AZ59</f>
        <v>A</v>
      </c>
      <c r="G58" s="113">
        <v>262</v>
      </c>
      <c r="H58" s="115" t="s">
        <v>933</v>
      </c>
      <c r="L58" s="1" t="s">
        <v>244</v>
      </c>
      <c r="M58" s="105" t="s">
        <v>28</v>
      </c>
      <c r="N58" s="105" t="s">
        <v>564</v>
      </c>
      <c r="O58" s="114">
        <f>'Preliminary SO66'!AH58</f>
        <v>889.5</v>
      </c>
      <c r="P58" s="105">
        <f>SUMIF('PreliminaryHD AR - School Level'!$A$5:A442, "=" &amp; L58,'PreliminaryHD AR - School Level'!$M$5:M442)</f>
        <v>0</v>
      </c>
      <c r="Q58" s="114">
        <f>'2024 Legal Max'!AS59</f>
        <v>891.3</v>
      </c>
      <c r="R58" s="105">
        <f>'2024 Legal Max'!AH59</f>
        <v>31.6</v>
      </c>
      <c r="U58" s="105" t="str">
        <f>'2024 Legal Max'!AZ59</f>
        <v>A</v>
      </c>
    </row>
    <row r="59" spans="1:21">
      <c r="A59" s="113">
        <v>248</v>
      </c>
      <c r="B59" s="105" t="s">
        <v>28</v>
      </c>
      <c r="C59" s="105" t="s">
        <v>565</v>
      </c>
      <c r="D59" s="118">
        <f>'2024 Legal Max'!T60</f>
        <v>12</v>
      </c>
      <c r="E59" s="118" t="str">
        <f t="shared" si="0"/>
        <v>Yes</v>
      </c>
      <c r="F59" s="114" t="str">
        <f>'2024 Legal Max'!AZ60</f>
        <v>A</v>
      </c>
      <c r="G59" s="113">
        <v>263</v>
      </c>
      <c r="H59" s="115" t="s">
        <v>933</v>
      </c>
      <c r="L59" s="1" t="s">
        <v>245</v>
      </c>
      <c r="M59" s="105" t="s">
        <v>28</v>
      </c>
      <c r="N59" s="105" t="s">
        <v>565</v>
      </c>
      <c r="O59" s="114">
        <f>'Preliminary SO66'!AH59</f>
        <v>1550.8</v>
      </c>
      <c r="P59" s="105">
        <f>SUMIF('PreliminaryHD AR - School Level'!$A$5:A443, "=" &amp; L59,'PreliminaryHD AR - School Level'!$M$5:M443)</f>
        <v>0</v>
      </c>
      <c r="Q59" s="114">
        <f>'2024 Legal Max'!AS60</f>
        <v>1543.4</v>
      </c>
      <c r="R59" s="105">
        <f>'2024 Legal Max'!AH60</f>
        <v>22.1</v>
      </c>
      <c r="U59" s="105" t="str">
        <f>'2024 Legal Max'!AZ60</f>
        <v>A</v>
      </c>
    </row>
    <row r="60" spans="1:21">
      <c r="A60" s="113">
        <v>249</v>
      </c>
      <c r="B60" s="105" t="s">
        <v>28</v>
      </c>
      <c r="C60" s="105" t="s">
        <v>566</v>
      </c>
      <c r="D60" s="118">
        <f>'2024 Legal Max'!T61</f>
        <v>3</v>
      </c>
      <c r="E60" s="118" t="str">
        <f t="shared" si="0"/>
        <v>Yes</v>
      </c>
      <c r="F60" s="114" t="str">
        <f>'2024 Legal Max'!AZ61</f>
        <v>A</v>
      </c>
      <c r="G60" s="113">
        <v>264</v>
      </c>
      <c r="H60" s="115" t="s">
        <v>933</v>
      </c>
      <c r="L60" s="1" t="s">
        <v>246</v>
      </c>
      <c r="M60" s="105" t="s">
        <v>28</v>
      </c>
      <c r="N60" s="105" t="s">
        <v>566</v>
      </c>
      <c r="O60" s="114">
        <f>'Preliminary SO66'!AH60</f>
        <v>1394</v>
      </c>
      <c r="P60" s="105">
        <f>SUMIF('PreliminaryHD AR - School Level'!$A$5:A444, "=" &amp; L60,'PreliminaryHD AR - School Level'!$M$5:M444)</f>
        <v>0</v>
      </c>
      <c r="Q60" s="114">
        <f>'2024 Legal Max'!AS61</f>
        <v>1389.3</v>
      </c>
      <c r="R60" s="105">
        <f>'2024 Legal Max'!AH61</f>
        <v>10.9</v>
      </c>
      <c r="U60" s="105" t="str">
        <f>'2024 Legal Max'!AZ61</f>
        <v>A</v>
      </c>
    </row>
    <row r="61" spans="1:21">
      <c r="A61" s="113">
        <v>250</v>
      </c>
      <c r="B61" s="105" t="s">
        <v>28</v>
      </c>
      <c r="C61" s="105" t="s">
        <v>567</v>
      </c>
      <c r="D61" s="118">
        <f>'2024 Legal Max'!T62</f>
        <v>58</v>
      </c>
      <c r="E61" s="118" t="str">
        <f t="shared" si="0"/>
        <v>Yes</v>
      </c>
      <c r="F61" s="114" t="str">
        <f>'2024 Legal Max'!AZ62</f>
        <v>A</v>
      </c>
      <c r="G61" s="113">
        <v>265</v>
      </c>
      <c r="H61" s="115" t="s">
        <v>933</v>
      </c>
      <c r="L61" s="1" t="s">
        <v>247</v>
      </c>
      <c r="M61" s="105" t="s">
        <v>28</v>
      </c>
      <c r="N61" s="105" t="s">
        <v>567</v>
      </c>
      <c r="O61" s="114">
        <f>'Preliminary SO66'!AH61</f>
        <v>4767.2</v>
      </c>
      <c r="P61" s="105">
        <f>SUMIF('PreliminaryHD AR - School Level'!$A$5:A445, "=" &amp; L61,'PreliminaryHD AR - School Level'!$M$5:M445)</f>
        <v>0</v>
      </c>
      <c r="Q61" s="114">
        <f>'2024 Legal Max'!AS62</f>
        <v>4753.1000000000004</v>
      </c>
      <c r="R61" s="105">
        <f>'2024 Legal Max'!AH62</f>
        <v>216.7</v>
      </c>
      <c r="U61" s="105" t="str">
        <f>'2024 Legal Max'!AZ62</f>
        <v>A</v>
      </c>
    </row>
    <row r="62" spans="1:21">
      <c r="A62" s="113">
        <v>251</v>
      </c>
      <c r="B62" s="105" t="s">
        <v>30</v>
      </c>
      <c r="C62" s="105" t="s">
        <v>568</v>
      </c>
      <c r="D62" s="118">
        <f>'2024 Legal Max'!T63</f>
        <v>6.5</v>
      </c>
      <c r="E62" s="118" t="e">
        <f t="shared" si="0"/>
        <v>#N/A</v>
      </c>
      <c r="F62" s="114" t="str">
        <f>'2024 Legal Max'!AZ63</f>
        <v>A</v>
      </c>
      <c r="G62" s="113">
        <v>266</v>
      </c>
      <c r="H62" s="115" t="s">
        <v>933</v>
      </c>
      <c r="L62" s="1" t="s">
        <v>248</v>
      </c>
      <c r="M62" s="105" t="s">
        <v>30</v>
      </c>
      <c r="N62" s="105" t="s">
        <v>568</v>
      </c>
      <c r="O62" s="114">
        <f>'Preliminary SO66'!AH62</f>
        <v>612.9</v>
      </c>
      <c r="P62" s="105">
        <f>SUMIF('PreliminaryHD AR - School Level'!$A$5:A446, "=" &amp; L62,'PreliminaryHD AR - School Level'!$M$5:M446)</f>
        <v>0</v>
      </c>
      <c r="Q62" s="114">
        <f>'2024 Legal Max'!AS63</f>
        <v>598.1</v>
      </c>
      <c r="R62" s="105">
        <f>'2024 Legal Max'!AH63</f>
        <v>0</v>
      </c>
      <c r="U62" s="105" t="str">
        <f>'2024 Legal Max'!AZ63</f>
        <v>A</v>
      </c>
    </row>
    <row r="63" spans="1:21">
      <c r="A63" s="113">
        <v>252</v>
      </c>
      <c r="B63" s="105" t="s">
        <v>30</v>
      </c>
      <c r="C63" s="105" t="s">
        <v>569</v>
      </c>
      <c r="D63" s="118">
        <f>'2024 Legal Max'!T64</f>
        <v>11.5</v>
      </c>
      <c r="E63" s="118" t="str">
        <f t="shared" si="0"/>
        <v>Yes</v>
      </c>
      <c r="F63" s="114" t="str">
        <f>'2024 Legal Max'!AZ64</f>
        <v>A</v>
      </c>
      <c r="G63" s="113">
        <v>267</v>
      </c>
      <c r="H63" s="115" t="s">
        <v>933</v>
      </c>
      <c r="L63" s="1" t="s">
        <v>249</v>
      </c>
      <c r="M63" s="105" t="s">
        <v>30</v>
      </c>
      <c r="N63" s="105" t="s">
        <v>569</v>
      </c>
      <c r="O63" s="114">
        <f>'Preliminary SO66'!AH63</f>
        <v>870.4</v>
      </c>
      <c r="P63" s="105">
        <f>SUMIF('PreliminaryHD AR - School Level'!$A$5:A447, "=" &amp; L63,'PreliminaryHD AR - School Level'!$M$5:M447)</f>
        <v>0</v>
      </c>
      <c r="Q63" s="114">
        <f>'2024 Legal Max'!AS64</f>
        <v>865.1</v>
      </c>
      <c r="R63" s="105">
        <f>'2024 Legal Max'!AH64</f>
        <v>7.9</v>
      </c>
      <c r="U63" s="105" t="str">
        <f>'2024 Legal Max'!AZ64</f>
        <v>A</v>
      </c>
    </row>
    <row r="64" spans="1:21">
      <c r="A64" s="113">
        <v>253</v>
      </c>
      <c r="B64" s="105" t="s">
        <v>30</v>
      </c>
      <c r="C64" s="105" t="s">
        <v>570</v>
      </c>
      <c r="D64" s="118">
        <f>'2024 Legal Max'!T65</f>
        <v>79</v>
      </c>
      <c r="E64" s="118" t="str">
        <f t="shared" si="0"/>
        <v>Yes</v>
      </c>
      <c r="F64" s="114" t="str">
        <f>'2024 Legal Max'!AZ65</f>
        <v>A</v>
      </c>
      <c r="G64" s="113">
        <v>268</v>
      </c>
      <c r="H64" s="115" t="s">
        <v>933</v>
      </c>
      <c r="L64" s="1" t="s">
        <v>250</v>
      </c>
      <c r="M64" s="105" t="s">
        <v>30</v>
      </c>
      <c r="N64" s="105" t="s">
        <v>570</v>
      </c>
      <c r="O64" s="114">
        <f>'Preliminary SO66'!AH64</f>
        <v>6192.2</v>
      </c>
      <c r="P64" s="105">
        <f>SUMIF('PreliminaryHD AR - School Level'!$A$5:A448, "=" &amp; L64,'PreliminaryHD AR - School Level'!$M$5:M448)</f>
        <v>0</v>
      </c>
      <c r="Q64" s="114">
        <f>'2024 Legal Max'!AS65</f>
        <v>6161.5</v>
      </c>
      <c r="R64" s="105">
        <f>'2024 Legal Max'!AH65</f>
        <v>164.7</v>
      </c>
      <c r="U64" s="105" t="str">
        <f>'2024 Legal Max'!AZ65</f>
        <v>A</v>
      </c>
    </row>
    <row r="65" spans="1:21">
      <c r="A65" s="113">
        <v>254</v>
      </c>
      <c r="B65" s="105" t="s">
        <v>31</v>
      </c>
      <c r="C65" s="105" t="s">
        <v>571</v>
      </c>
      <c r="D65" s="118">
        <f>'2024 Legal Max'!T66</f>
        <v>7.5</v>
      </c>
      <c r="E65" s="118" t="str">
        <f t="shared" si="0"/>
        <v>Yes</v>
      </c>
      <c r="F65" s="114" t="str">
        <f>'2024 Legal Max'!AZ66</f>
        <v>A</v>
      </c>
      <c r="G65" s="113">
        <v>269</v>
      </c>
      <c r="H65" s="115" t="s">
        <v>933</v>
      </c>
      <c r="L65" s="1" t="s">
        <v>251</v>
      </c>
      <c r="M65" s="105" t="s">
        <v>31</v>
      </c>
      <c r="N65" s="105" t="s">
        <v>571</v>
      </c>
      <c r="O65" s="114">
        <f>'Preliminary SO66'!AH65</f>
        <v>813.6</v>
      </c>
      <c r="P65" s="105">
        <f>SUMIF('PreliminaryHD AR - School Level'!$A$5:A449, "=" &amp; L65,'PreliminaryHD AR - School Level'!$M$5:M449)</f>
        <v>0</v>
      </c>
      <c r="Q65" s="114">
        <f>'2024 Legal Max'!AS66</f>
        <v>816.7</v>
      </c>
      <c r="R65" s="105">
        <f>'2024 Legal Max'!AH66</f>
        <v>14.3</v>
      </c>
      <c r="U65" s="105" t="str">
        <f>'2024 Legal Max'!AZ66</f>
        <v>A</v>
      </c>
    </row>
    <row r="66" spans="1:21">
      <c r="A66" s="113">
        <v>255</v>
      </c>
      <c r="B66" s="105" t="s">
        <v>31</v>
      </c>
      <c r="C66" s="105" t="s">
        <v>572</v>
      </c>
      <c r="D66" s="118">
        <f>'2024 Legal Max'!T67</f>
        <v>4.5</v>
      </c>
      <c r="E66" s="118" t="str">
        <f t="shared" si="0"/>
        <v>Yes</v>
      </c>
      <c r="F66" s="114" t="str">
        <f>'2024 Legal Max'!AZ67</f>
        <v>A</v>
      </c>
      <c r="G66" s="113">
        <v>270</v>
      </c>
      <c r="H66" s="115" t="s">
        <v>933</v>
      </c>
      <c r="L66" s="1" t="s">
        <v>252</v>
      </c>
      <c r="M66" s="105" t="s">
        <v>31</v>
      </c>
      <c r="N66" s="105" t="s">
        <v>572</v>
      </c>
      <c r="O66" s="114">
        <f>'Preliminary SO66'!AH66</f>
        <v>456.7</v>
      </c>
      <c r="P66" s="105">
        <f>SUMIF('PreliminaryHD AR - School Level'!$A$5:A450, "=" &amp; L66,'PreliminaryHD AR - School Level'!$M$5:M450)</f>
        <v>0</v>
      </c>
      <c r="Q66" s="114">
        <f>'2024 Legal Max'!AS67</f>
        <v>457</v>
      </c>
      <c r="R66" s="105">
        <f>'2024 Legal Max'!AH67</f>
        <v>11.7</v>
      </c>
      <c r="U66" s="105" t="str">
        <f>'2024 Legal Max'!AZ67</f>
        <v>A</v>
      </c>
    </row>
    <row r="67" spans="1:21">
      <c r="A67" s="113">
        <v>256</v>
      </c>
      <c r="B67" s="105" t="s">
        <v>32</v>
      </c>
      <c r="C67" s="105" t="s">
        <v>573</v>
      </c>
      <c r="D67" s="118">
        <f>'2024 Legal Max'!T68</f>
        <v>3.5</v>
      </c>
      <c r="E67" s="118" t="str">
        <f t="shared" si="0"/>
        <v>Yes</v>
      </c>
      <c r="F67" s="114" t="str">
        <f>'2024 Legal Max'!AZ68</f>
        <v>A</v>
      </c>
      <c r="G67" s="113">
        <v>271</v>
      </c>
      <c r="H67" s="115" t="s">
        <v>933</v>
      </c>
      <c r="L67" s="1" t="s">
        <v>253</v>
      </c>
      <c r="M67" s="105" t="s">
        <v>32</v>
      </c>
      <c r="N67" s="105" t="s">
        <v>573</v>
      </c>
      <c r="O67" s="114">
        <f>'Preliminary SO66'!AH67</f>
        <v>513.29999999999995</v>
      </c>
      <c r="P67" s="105">
        <f>SUMIF('PreliminaryHD AR - School Level'!$A$5:A451, "=" &amp; L67,'PreliminaryHD AR - School Level'!$M$5:M451)</f>
        <v>0</v>
      </c>
      <c r="Q67" s="114">
        <f>'2024 Legal Max'!AS68</f>
        <v>512.1</v>
      </c>
      <c r="R67" s="105">
        <f>'2024 Legal Max'!AH68</f>
        <v>11.1</v>
      </c>
      <c r="U67" s="105" t="str">
        <f>'2024 Legal Max'!AZ68</f>
        <v>A</v>
      </c>
    </row>
    <row r="68" spans="1:21">
      <c r="A68" s="113">
        <v>257</v>
      </c>
      <c r="B68" s="105" t="s">
        <v>32</v>
      </c>
      <c r="C68" s="105" t="s">
        <v>574</v>
      </c>
      <c r="D68" s="118">
        <f>'2024 Legal Max'!T69</f>
        <v>34.5</v>
      </c>
      <c r="E68" s="118" t="str">
        <f t="shared" si="0"/>
        <v>Yes</v>
      </c>
      <c r="F68" s="114" t="str">
        <f>'2024 Legal Max'!AZ69</f>
        <v>A</v>
      </c>
      <c r="G68" s="113">
        <v>272</v>
      </c>
      <c r="H68" s="115" t="s">
        <v>933</v>
      </c>
      <c r="L68" s="1" t="s">
        <v>254</v>
      </c>
      <c r="M68" s="105" t="s">
        <v>32</v>
      </c>
      <c r="N68" s="105" t="s">
        <v>574</v>
      </c>
      <c r="O68" s="114">
        <f>'Preliminary SO66'!AH68</f>
        <v>1793.9</v>
      </c>
      <c r="P68" s="105">
        <f>SUMIF('PreliminaryHD AR - School Level'!$A$5:A452, "=" &amp; L68,'PreliminaryHD AR - School Level'!$M$5:M452)</f>
        <v>0</v>
      </c>
      <c r="Q68" s="114">
        <f>'2024 Legal Max'!AS69</f>
        <v>1772.7</v>
      </c>
      <c r="R68" s="105">
        <f>'2024 Legal Max'!AH69</f>
        <v>63.9</v>
      </c>
      <c r="U68" s="105" t="str">
        <f>'2024 Legal Max'!AZ69</f>
        <v>A</v>
      </c>
    </row>
    <row r="69" spans="1:21">
      <c r="A69" s="113">
        <v>258</v>
      </c>
      <c r="B69" s="105" t="s">
        <v>32</v>
      </c>
      <c r="C69" s="105" t="s">
        <v>575</v>
      </c>
      <c r="D69" s="118">
        <f>'2024 Legal Max'!T70</f>
        <v>7.5</v>
      </c>
      <c r="E69" s="118" t="str">
        <f t="shared" ref="E69:E132" si="1">VLOOKUP(A69,$G$4:$H$299,2,FALSE)</f>
        <v>Yes</v>
      </c>
      <c r="F69" s="114" t="str">
        <f>'2024 Legal Max'!AZ70</f>
        <v>A</v>
      </c>
      <c r="G69" s="113">
        <v>273</v>
      </c>
      <c r="H69" s="115" t="s">
        <v>933</v>
      </c>
      <c r="L69" s="1" t="s">
        <v>255</v>
      </c>
      <c r="M69" s="105" t="s">
        <v>32</v>
      </c>
      <c r="N69" s="105" t="s">
        <v>575</v>
      </c>
      <c r="O69" s="114">
        <f>'Preliminary SO66'!AH69</f>
        <v>1079.8</v>
      </c>
      <c r="P69" s="105">
        <f>SUMIF('PreliminaryHD AR - School Level'!$A$5:A453, "=" &amp; L69,'PreliminaryHD AR - School Level'!$M$5:M453)</f>
        <v>0</v>
      </c>
      <c r="Q69" s="114">
        <f>'2024 Legal Max'!AS70</f>
        <v>1067.8</v>
      </c>
      <c r="R69" s="105">
        <f>'2024 Legal Max'!AH70</f>
        <v>18.7</v>
      </c>
      <c r="U69" s="105" t="str">
        <f>'2024 Legal Max'!AZ70</f>
        <v>A</v>
      </c>
    </row>
    <row r="70" spans="1:21">
      <c r="A70" s="113">
        <v>259</v>
      </c>
      <c r="B70" s="105" t="s">
        <v>33</v>
      </c>
      <c r="C70" s="105" t="s">
        <v>576</v>
      </c>
      <c r="D70" s="118">
        <f>'2024 Legal Max'!T71</f>
        <v>850.5</v>
      </c>
      <c r="E70" s="118" t="str">
        <f t="shared" si="1"/>
        <v>Yes</v>
      </c>
      <c r="F70" s="114" t="str">
        <f>'2024 Legal Max'!AZ71</f>
        <v>A</v>
      </c>
      <c r="G70" s="113">
        <v>281</v>
      </c>
      <c r="H70" s="115" t="s">
        <v>933</v>
      </c>
      <c r="L70" s="1" t="s">
        <v>256</v>
      </c>
      <c r="M70" s="105" t="s">
        <v>33</v>
      </c>
      <c r="N70" s="105" t="s">
        <v>576</v>
      </c>
      <c r="O70" s="114">
        <f>'Preliminary SO66'!AH70</f>
        <v>70141.7</v>
      </c>
      <c r="P70" s="105">
        <f>SUMIF('PreliminaryHD AR - School Level'!$A$5:A454, "=" &amp; L70,'PreliminaryHD AR - School Level'!$M$5:M454)</f>
        <v>0</v>
      </c>
      <c r="Q70" s="114">
        <f>'2024 Legal Max'!AS71</f>
        <v>69740.3</v>
      </c>
      <c r="R70" s="105">
        <f>'2024 Legal Max'!AH71</f>
        <v>3351</v>
      </c>
      <c r="U70" s="105" t="str">
        <f>'2024 Legal Max'!AZ71</f>
        <v>A</v>
      </c>
    </row>
    <row r="71" spans="1:21">
      <c r="A71" s="113">
        <v>260</v>
      </c>
      <c r="B71" s="105" t="s">
        <v>33</v>
      </c>
      <c r="C71" s="105" t="s">
        <v>577</v>
      </c>
      <c r="D71" s="118">
        <f>'2024 Legal Max'!T72</f>
        <v>42.5</v>
      </c>
      <c r="E71" s="118" t="str">
        <f t="shared" si="1"/>
        <v>Yes</v>
      </c>
      <c r="F71" s="114" t="str">
        <f>'2024 Legal Max'!AZ72</f>
        <v>A</v>
      </c>
      <c r="G71" s="113">
        <v>282</v>
      </c>
      <c r="H71" s="115" t="s">
        <v>933</v>
      </c>
      <c r="L71" s="1" t="s">
        <v>257</v>
      </c>
      <c r="M71" s="105" t="s">
        <v>33</v>
      </c>
      <c r="N71" s="105" t="s">
        <v>577</v>
      </c>
      <c r="O71" s="114">
        <f>'Preliminary SO66'!AH71</f>
        <v>9037.2999999999993</v>
      </c>
      <c r="P71" s="105">
        <f>SUMIF('PreliminaryHD AR - School Level'!$A$5:A455, "=" &amp; L71,'PreliminaryHD AR - School Level'!$M$5:M455)</f>
        <v>0</v>
      </c>
      <c r="Q71" s="114">
        <f>'2024 Legal Max'!AS72</f>
        <v>9004.7999999999993</v>
      </c>
      <c r="R71" s="105">
        <f>'2024 Legal Max'!AH72</f>
        <v>107.6</v>
      </c>
      <c r="U71" s="105" t="str">
        <f>'2024 Legal Max'!AZ72</f>
        <v>A</v>
      </c>
    </row>
    <row r="72" spans="1:21">
      <c r="A72" s="113">
        <v>261</v>
      </c>
      <c r="B72" s="105" t="s">
        <v>33</v>
      </c>
      <c r="C72" s="105" t="s">
        <v>578</v>
      </c>
      <c r="D72" s="118">
        <f>'2024 Legal Max'!T73</f>
        <v>88</v>
      </c>
      <c r="E72" s="118" t="str">
        <f t="shared" si="1"/>
        <v>Yes</v>
      </c>
      <c r="F72" s="114" t="str">
        <f>'2024 Legal Max'!AZ73</f>
        <v>A</v>
      </c>
      <c r="G72" s="113">
        <v>283</v>
      </c>
      <c r="H72" s="115" t="s">
        <v>933</v>
      </c>
      <c r="L72" s="1" t="s">
        <v>258</v>
      </c>
      <c r="M72" s="105" t="s">
        <v>33</v>
      </c>
      <c r="N72" s="105" t="s">
        <v>578</v>
      </c>
      <c r="O72" s="114">
        <f>'Preliminary SO66'!AH72</f>
        <v>7867.8</v>
      </c>
      <c r="P72" s="105">
        <f>SUMIF('PreliminaryHD AR - School Level'!$A$5:A456, "=" &amp; L72,'PreliminaryHD AR - School Level'!$M$5:M456)</f>
        <v>0</v>
      </c>
      <c r="Q72" s="114">
        <f>'2024 Legal Max'!AS73</f>
        <v>7843.2</v>
      </c>
      <c r="R72" s="105">
        <f>'2024 Legal Max'!AH73</f>
        <v>253</v>
      </c>
      <c r="U72" s="105" t="str">
        <f>'2024 Legal Max'!AZ73</f>
        <v>A</v>
      </c>
    </row>
    <row r="73" spans="1:21">
      <c r="A73" s="113">
        <v>262</v>
      </c>
      <c r="B73" s="105" t="s">
        <v>33</v>
      </c>
      <c r="C73" s="105" t="s">
        <v>579</v>
      </c>
      <c r="D73" s="118">
        <f>'2024 Legal Max'!T74</f>
        <v>33</v>
      </c>
      <c r="E73" s="118" t="str">
        <f t="shared" si="1"/>
        <v>Yes</v>
      </c>
      <c r="F73" s="114" t="str">
        <f>'2024 Legal Max'!AZ74</f>
        <v>A</v>
      </c>
      <c r="G73" s="113">
        <v>284</v>
      </c>
      <c r="H73" s="115" t="s">
        <v>933</v>
      </c>
      <c r="L73" s="1" t="s">
        <v>259</v>
      </c>
      <c r="M73" s="105" t="s">
        <v>33</v>
      </c>
      <c r="N73" s="105" t="s">
        <v>579</v>
      </c>
      <c r="O73" s="114">
        <f>'Preliminary SO66'!AH73</f>
        <v>4062.1</v>
      </c>
      <c r="P73" s="105">
        <f>SUMIF('PreliminaryHD AR - School Level'!$A$5:A457, "=" &amp; L73,'PreliminaryHD AR - School Level'!$M$5:M457)</f>
        <v>0</v>
      </c>
      <c r="Q73" s="114">
        <f>'2024 Legal Max'!AS74</f>
        <v>4042.4</v>
      </c>
      <c r="R73" s="105">
        <f>'2024 Legal Max'!AH74</f>
        <v>15</v>
      </c>
      <c r="U73" s="105" t="str">
        <f>'2024 Legal Max'!AZ74</f>
        <v>A</v>
      </c>
    </row>
    <row r="74" spans="1:21">
      <c r="A74" s="113">
        <v>263</v>
      </c>
      <c r="B74" s="105" t="s">
        <v>33</v>
      </c>
      <c r="C74" s="105" t="s">
        <v>580</v>
      </c>
      <c r="D74" s="118">
        <f>'2024 Legal Max'!T75</f>
        <v>25.5</v>
      </c>
      <c r="E74" s="118" t="str">
        <f t="shared" si="1"/>
        <v>Yes</v>
      </c>
      <c r="F74" s="114" t="str">
        <f>'2024 Legal Max'!AZ75</f>
        <v>A</v>
      </c>
      <c r="G74" s="113">
        <v>285</v>
      </c>
      <c r="H74" s="115" t="s">
        <v>933</v>
      </c>
      <c r="L74" s="1" t="s">
        <v>260</v>
      </c>
      <c r="M74" s="105" t="s">
        <v>33</v>
      </c>
      <c r="N74" s="105" t="s">
        <v>580</v>
      </c>
      <c r="O74" s="114">
        <f>'Preliminary SO66'!AH74</f>
        <v>2298.4</v>
      </c>
      <c r="P74" s="105">
        <f>SUMIF('PreliminaryHD AR - School Level'!$A$5:A458, "=" &amp; L74,'PreliminaryHD AR - School Level'!$M$5:M458)</f>
        <v>0</v>
      </c>
      <c r="Q74" s="114">
        <f>'2024 Legal Max'!AS75</f>
        <v>2251.6999999999998</v>
      </c>
      <c r="R74" s="105">
        <f>'2024 Legal Max'!AH75</f>
        <v>6.1</v>
      </c>
      <c r="U74" s="105" t="str">
        <f>'2024 Legal Max'!AZ75</f>
        <v>A</v>
      </c>
    </row>
    <row r="75" spans="1:21">
      <c r="A75" s="113">
        <v>264</v>
      </c>
      <c r="B75" s="105" t="s">
        <v>33</v>
      </c>
      <c r="C75" s="105" t="s">
        <v>581</v>
      </c>
      <c r="D75" s="118">
        <f>'2024 Legal Max'!T76</f>
        <v>8</v>
      </c>
      <c r="E75" s="118" t="str">
        <f t="shared" si="1"/>
        <v>Yes</v>
      </c>
      <c r="F75" s="114" t="str">
        <f>'2024 Legal Max'!AZ76</f>
        <v>A</v>
      </c>
      <c r="G75" s="113">
        <v>286</v>
      </c>
      <c r="H75" s="115" t="s">
        <v>933</v>
      </c>
      <c r="L75" s="1" t="s">
        <v>261</v>
      </c>
      <c r="M75" s="105" t="s">
        <v>33</v>
      </c>
      <c r="N75" s="105" t="s">
        <v>581</v>
      </c>
      <c r="O75" s="114">
        <f>'Preliminary SO66'!AH75</f>
        <v>1590.2</v>
      </c>
      <c r="P75" s="105">
        <f>SUMIF('PreliminaryHD AR - School Level'!$A$5:A459, "=" &amp; L75,'PreliminaryHD AR - School Level'!$M$5:M459)</f>
        <v>0</v>
      </c>
      <c r="Q75" s="114">
        <f>'2024 Legal Max'!AS76</f>
        <v>1589.8</v>
      </c>
      <c r="R75" s="105">
        <f>'2024 Legal Max'!AH76</f>
        <v>0</v>
      </c>
      <c r="U75" s="105" t="str">
        <f>'2024 Legal Max'!AZ76</f>
        <v>A</v>
      </c>
    </row>
    <row r="76" spans="1:21">
      <c r="A76" s="113">
        <v>265</v>
      </c>
      <c r="B76" s="105" t="s">
        <v>33</v>
      </c>
      <c r="C76" s="105" t="s">
        <v>582</v>
      </c>
      <c r="D76" s="118">
        <f>'2024 Legal Max'!T77</f>
        <v>29.5</v>
      </c>
      <c r="E76" s="118" t="str">
        <f t="shared" si="1"/>
        <v>Yes</v>
      </c>
      <c r="F76" s="114" t="str">
        <f>'2024 Legal Max'!AZ77</f>
        <v>A</v>
      </c>
      <c r="G76" s="113">
        <v>287</v>
      </c>
      <c r="H76" s="115" t="s">
        <v>933</v>
      </c>
      <c r="L76" s="1" t="s">
        <v>262</v>
      </c>
      <c r="M76" s="105" t="s">
        <v>33</v>
      </c>
      <c r="N76" s="105" t="s">
        <v>582</v>
      </c>
      <c r="O76" s="114">
        <f>'Preliminary SO66'!AH76</f>
        <v>7691.4</v>
      </c>
      <c r="P76" s="105">
        <f>SUMIF('PreliminaryHD AR - School Level'!$A$5:A460, "=" &amp; L76,'PreliminaryHD AR - School Level'!$M$5:M460)</f>
        <v>0</v>
      </c>
      <c r="Q76" s="114">
        <f>'2024 Legal Max'!AS77</f>
        <v>7676</v>
      </c>
      <c r="R76" s="105">
        <f>'2024 Legal Max'!AH77</f>
        <v>0</v>
      </c>
      <c r="U76" s="105" t="str">
        <f>'2024 Legal Max'!AZ77</f>
        <v>A</v>
      </c>
    </row>
    <row r="77" spans="1:21">
      <c r="A77" s="113">
        <v>266</v>
      </c>
      <c r="B77" s="105" t="s">
        <v>33</v>
      </c>
      <c r="C77" s="105" t="s">
        <v>583</v>
      </c>
      <c r="D77" s="118">
        <f>'2024 Legal Max'!T78</f>
        <v>48</v>
      </c>
      <c r="E77" s="118" t="str">
        <f t="shared" si="1"/>
        <v>Yes</v>
      </c>
      <c r="F77" s="114" t="str">
        <f>'2024 Legal Max'!AZ78</f>
        <v>A</v>
      </c>
      <c r="G77" s="113">
        <v>288</v>
      </c>
      <c r="H77" s="115" t="s">
        <v>933</v>
      </c>
      <c r="L77" s="1" t="s">
        <v>263</v>
      </c>
      <c r="M77" s="105" t="s">
        <v>33</v>
      </c>
      <c r="N77" s="105" t="s">
        <v>583</v>
      </c>
      <c r="O77" s="114">
        <f>'Preliminary SO66'!AH77</f>
        <v>9535.2999999999993</v>
      </c>
      <c r="P77" s="105">
        <f>SUMIF('PreliminaryHD AR - School Level'!$A$5:A461, "=" &amp; L77,'PreliminaryHD AR - School Level'!$M$5:M461)</f>
        <v>0</v>
      </c>
      <c r="Q77" s="114">
        <f>'2024 Legal Max'!AS78</f>
        <v>9519.9</v>
      </c>
      <c r="R77" s="105">
        <f>'2024 Legal Max'!AH78</f>
        <v>0</v>
      </c>
      <c r="U77" s="105" t="str">
        <f>'2024 Legal Max'!AZ78</f>
        <v>A</v>
      </c>
    </row>
    <row r="78" spans="1:21">
      <c r="A78" s="113">
        <v>267</v>
      </c>
      <c r="B78" s="105" t="s">
        <v>33</v>
      </c>
      <c r="C78" s="105" t="s">
        <v>584</v>
      </c>
      <c r="D78" s="118">
        <f>'2024 Legal Max'!T79</f>
        <v>46.5</v>
      </c>
      <c r="E78" s="118" t="str">
        <f t="shared" si="1"/>
        <v>Yes</v>
      </c>
      <c r="F78" s="114" t="str">
        <f>'2024 Legal Max'!AZ79</f>
        <v>A</v>
      </c>
      <c r="G78" s="113">
        <v>289</v>
      </c>
      <c r="H78" s="115" t="s">
        <v>933</v>
      </c>
      <c r="L78" s="1" t="s">
        <v>264</v>
      </c>
      <c r="M78" s="105" t="s">
        <v>33</v>
      </c>
      <c r="N78" s="105" t="s">
        <v>584</v>
      </c>
      <c r="O78" s="114">
        <f>'Preliminary SO66'!AH78</f>
        <v>2289.6999999999998</v>
      </c>
      <c r="P78" s="105">
        <f>SUMIF('PreliminaryHD AR - School Level'!$A$5:A462, "=" &amp; L78,'PreliminaryHD AR - School Level'!$M$5:M462)</f>
        <v>0</v>
      </c>
      <c r="Q78" s="114">
        <f>'2024 Legal Max'!AS79</f>
        <v>2274.4</v>
      </c>
      <c r="R78" s="105">
        <f>'2024 Legal Max'!AH79</f>
        <v>0</v>
      </c>
      <c r="U78" s="105" t="str">
        <f>'2024 Legal Max'!AZ79</f>
        <v>A</v>
      </c>
    </row>
    <row r="79" spans="1:21">
      <c r="A79" s="113">
        <v>268</v>
      </c>
      <c r="B79" s="105" t="s">
        <v>33</v>
      </c>
      <c r="C79" s="105" t="s">
        <v>585</v>
      </c>
      <c r="D79" s="118">
        <f>'2024 Legal Max'!T80</f>
        <v>14.5</v>
      </c>
      <c r="E79" s="118" t="str">
        <f t="shared" si="1"/>
        <v>Yes</v>
      </c>
      <c r="F79" s="114" t="str">
        <f>'2024 Legal Max'!AZ80</f>
        <v>A</v>
      </c>
      <c r="G79" s="113">
        <v>290</v>
      </c>
      <c r="H79" s="115" t="s">
        <v>933</v>
      </c>
      <c r="L79" s="1" t="s">
        <v>265</v>
      </c>
      <c r="M79" s="105" t="s">
        <v>33</v>
      </c>
      <c r="N79" s="105" t="s">
        <v>585</v>
      </c>
      <c r="O79" s="114">
        <f>'Preliminary SO66'!AH79</f>
        <v>1210.8</v>
      </c>
      <c r="P79" s="105">
        <f>SUMIF('PreliminaryHD AR - School Level'!$A$5:A463, "=" &amp; L79,'PreliminaryHD AR - School Level'!$M$5:M463)</f>
        <v>0</v>
      </c>
      <c r="Q79" s="114">
        <f>'2024 Legal Max'!AS80</f>
        <v>1214.7</v>
      </c>
      <c r="R79" s="105">
        <f>'2024 Legal Max'!AH80</f>
        <v>0</v>
      </c>
      <c r="U79" s="105" t="str">
        <f>'2024 Legal Max'!AZ80</f>
        <v>A</v>
      </c>
    </row>
    <row r="80" spans="1:21">
      <c r="A80" s="113">
        <v>269</v>
      </c>
      <c r="B80" s="105" t="s">
        <v>35</v>
      </c>
      <c r="C80" s="105" t="s">
        <v>586</v>
      </c>
      <c r="D80" s="118">
        <f>'2024 Legal Max'!T81</f>
        <v>2.5</v>
      </c>
      <c r="E80" s="118" t="str">
        <f t="shared" si="1"/>
        <v>Yes</v>
      </c>
      <c r="F80" s="114" t="str">
        <f>'2024 Legal Max'!AZ81</f>
        <v>A</v>
      </c>
      <c r="G80" s="113">
        <v>291</v>
      </c>
      <c r="H80" s="115" t="s">
        <v>933</v>
      </c>
      <c r="L80" s="1" t="s">
        <v>266</v>
      </c>
      <c r="M80" s="105" t="s">
        <v>35</v>
      </c>
      <c r="N80" s="105" t="s">
        <v>586</v>
      </c>
      <c r="O80" s="114">
        <f>'Preliminary SO66'!AH80</f>
        <v>210.3</v>
      </c>
      <c r="P80" s="105">
        <f>SUMIF('PreliminaryHD AR - School Level'!$A$5:A464, "=" &amp; L80,'PreliminaryHD AR - School Level'!$M$5:M464)</f>
        <v>0</v>
      </c>
      <c r="Q80" s="114">
        <f>'2024 Legal Max'!AS81</f>
        <v>206.6</v>
      </c>
      <c r="R80" s="105">
        <f>'2024 Legal Max'!AH81</f>
        <v>2.2999999999999998</v>
      </c>
      <c r="U80" s="105" t="str">
        <f>'2024 Legal Max'!AZ81</f>
        <v>A</v>
      </c>
    </row>
    <row r="81" spans="1:21">
      <c r="A81" s="113">
        <v>270</v>
      </c>
      <c r="B81" s="105" t="s">
        <v>35</v>
      </c>
      <c r="C81" s="105" t="s">
        <v>587</v>
      </c>
      <c r="D81" s="118">
        <f>'2024 Legal Max'!T82</f>
        <v>9</v>
      </c>
      <c r="E81" s="118" t="str">
        <f t="shared" si="1"/>
        <v>Yes</v>
      </c>
      <c r="F81" s="114" t="str">
        <f>'2024 Legal Max'!AZ82</f>
        <v>A</v>
      </c>
      <c r="G81" s="113">
        <v>293</v>
      </c>
      <c r="H81" s="115" t="s">
        <v>933</v>
      </c>
      <c r="L81" s="1" t="s">
        <v>267</v>
      </c>
      <c r="M81" s="105" t="s">
        <v>35</v>
      </c>
      <c r="N81" s="105" t="s">
        <v>587</v>
      </c>
      <c r="O81" s="114">
        <f>'Preliminary SO66'!AH81</f>
        <v>668.9</v>
      </c>
      <c r="P81" s="105">
        <f>SUMIF('PreliminaryHD AR - School Level'!$A$5:A465, "=" &amp; L81,'PreliminaryHD AR - School Level'!$M$5:M465)</f>
        <v>0</v>
      </c>
      <c r="Q81" s="114">
        <f>'2024 Legal Max'!AS82</f>
        <v>665.6</v>
      </c>
      <c r="R81" s="105">
        <f>'2024 Legal Max'!AH82</f>
        <v>3.5</v>
      </c>
      <c r="U81" s="105" t="str">
        <f>'2024 Legal Max'!AZ82</f>
        <v>A</v>
      </c>
    </row>
    <row r="82" spans="1:21">
      <c r="A82" s="113">
        <v>271</v>
      </c>
      <c r="B82" s="105" t="s">
        <v>35</v>
      </c>
      <c r="C82" s="105" t="s">
        <v>588</v>
      </c>
      <c r="D82" s="118">
        <f>'2024 Legal Max'!T83</f>
        <v>8</v>
      </c>
      <c r="E82" s="118" t="str">
        <f t="shared" si="1"/>
        <v>Yes</v>
      </c>
      <c r="F82" s="114" t="str">
        <f>'2024 Legal Max'!AZ83</f>
        <v>A</v>
      </c>
      <c r="G82" s="113">
        <v>294</v>
      </c>
      <c r="H82" s="115" t="s">
        <v>933</v>
      </c>
      <c r="L82" s="1" t="s">
        <v>268</v>
      </c>
      <c r="M82" s="105" t="s">
        <v>35</v>
      </c>
      <c r="N82" s="105" t="s">
        <v>588</v>
      </c>
      <c r="O82" s="114">
        <f>'Preliminary SO66'!AH82</f>
        <v>575</v>
      </c>
      <c r="P82" s="105">
        <f>SUMIF('PreliminaryHD AR - School Level'!$A$5:A466, "=" &amp; L82,'PreliminaryHD AR - School Level'!$M$5:M466)</f>
        <v>0</v>
      </c>
      <c r="Q82" s="114">
        <f>'2024 Legal Max'!AS83</f>
        <v>569.70000000000005</v>
      </c>
      <c r="R82" s="105">
        <f>'2024 Legal Max'!AH83</f>
        <v>13</v>
      </c>
      <c r="U82" s="105" t="str">
        <f>'2024 Legal Max'!AZ83</f>
        <v>A</v>
      </c>
    </row>
    <row r="83" spans="1:21">
      <c r="A83" s="113">
        <v>272</v>
      </c>
      <c r="B83" s="105" t="s">
        <v>36</v>
      </c>
      <c r="C83" s="105" t="s">
        <v>589</v>
      </c>
      <c r="D83" s="118">
        <f>'2024 Legal Max'!T84</f>
        <v>10.5</v>
      </c>
      <c r="E83" s="118" t="str">
        <f t="shared" si="1"/>
        <v>Yes</v>
      </c>
      <c r="F83" s="114" t="str">
        <f>'2024 Legal Max'!AZ84</f>
        <v>A</v>
      </c>
      <c r="G83" s="113">
        <v>298</v>
      </c>
      <c r="H83" s="115" t="s">
        <v>933</v>
      </c>
      <c r="L83" s="1" t="s">
        <v>269</v>
      </c>
      <c r="M83" s="105" t="s">
        <v>36</v>
      </c>
      <c r="N83" s="105" t="s">
        <v>589</v>
      </c>
      <c r="O83" s="114">
        <f>'Preliminary SO66'!AH83</f>
        <v>587.5</v>
      </c>
      <c r="P83" s="105">
        <f>SUMIF('PreliminaryHD AR - School Level'!$A$5:A467, "=" &amp; L83,'PreliminaryHD AR - School Level'!$M$5:M467)</f>
        <v>0</v>
      </c>
      <c r="Q83" s="114">
        <f>'2024 Legal Max'!AS84</f>
        <v>582</v>
      </c>
      <c r="R83" s="105">
        <f>'2024 Legal Max'!AH84</f>
        <v>11.7</v>
      </c>
      <c r="U83" s="105" t="str">
        <f>'2024 Legal Max'!AZ84</f>
        <v>A</v>
      </c>
    </row>
    <row r="84" spans="1:21">
      <c r="A84" s="113">
        <v>273</v>
      </c>
      <c r="B84" s="105" t="s">
        <v>36</v>
      </c>
      <c r="C84" s="105" t="s">
        <v>590</v>
      </c>
      <c r="D84" s="118">
        <f>'2024 Legal Max'!T85</f>
        <v>30</v>
      </c>
      <c r="E84" s="118" t="str">
        <f t="shared" si="1"/>
        <v>Yes</v>
      </c>
      <c r="F84" s="114" t="str">
        <f>'2024 Legal Max'!AZ85</f>
        <v>A</v>
      </c>
      <c r="G84" s="113">
        <v>299</v>
      </c>
      <c r="H84" s="115" t="s">
        <v>933</v>
      </c>
      <c r="L84" s="1" t="s">
        <v>270</v>
      </c>
      <c r="M84" s="105" t="s">
        <v>36</v>
      </c>
      <c r="N84" s="105" t="s">
        <v>590</v>
      </c>
      <c r="O84" s="114">
        <f>'Preliminary SO66'!AH84</f>
        <v>1269.8</v>
      </c>
      <c r="P84" s="105">
        <f>SUMIF('PreliminaryHD AR - School Level'!$A$5:A468, "=" &amp; L84,'PreliminaryHD AR - School Level'!$M$5:M468)</f>
        <v>0</v>
      </c>
      <c r="Q84" s="114">
        <f>'2024 Legal Max'!AS85</f>
        <v>1265.5</v>
      </c>
      <c r="R84" s="105">
        <f>'2024 Legal Max'!AH85</f>
        <v>0.7</v>
      </c>
      <c r="U84" s="105" t="str">
        <f>'2024 Legal Max'!AZ85</f>
        <v>A</v>
      </c>
    </row>
    <row r="85" spans="1:21">
      <c r="A85" s="113">
        <v>274</v>
      </c>
      <c r="B85" s="105" t="s">
        <v>37</v>
      </c>
      <c r="C85" s="105" t="s">
        <v>591</v>
      </c>
      <c r="D85" s="118">
        <f>'2024 Legal Max'!T86</f>
        <v>0</v>
      </c>
      <c r="E85" s="118" t="e">
        <f t="shared" si="1"/>
        <v>#N/A</v>
      </c>
      <c r="F85" s="114" t="str">
        <f>'2024 Legal Max'!AZ86</f>
        <v>A</v>
      </c>
      <c r="G85" s="113">
        <v>300</v>
      </c>
      <c r="H85" s="115" t="s">
        <v>933</v>
      </c>
      <c r="L85" s="1" t="s">
        <v>271</v>
      </c>
      <c r="M85" s="105" t="s">
        <v>37</v>
      </c>
      <c r="N85" s="105" t="s">
        <v>591</v>
      </c>
      <c r="O85" s="114">
        <f>'Preliminary SO66'!AH85</f>
        <v>717.3</v>
      </c>
      <c r="P85" s="105">
        <f>SUMIF('PreliminaryHD AR - School Level'!$A$5:A469, "=" &amp; L85,'PreliminaryHD AR - School Level'!$M$5:M469)</f>
        <v>0</v>
      </c>
      <c r="Q85" s="114">
        <f>'2024 Legal Max'!AS86</f>
        <v>716.6</v>
      </c>
      <c r="R85" s="105">
        <f>'2024 Legal Max'!AH86</f>
        <v>0</v>
      </c>
      <c r="U85" s="105" t="str">
        <f>'2024 Legal Max'!AZ86</f>
        <v>A</v>
      </c>
    </row>
    <row r="86" spans="1:21">
      <c r="A86" s="113">
        <v>275</v>
      </c>
      <c r="B86" s="105" t="s">
        <v>37</v>
      </c>
      <c r="C86" s="105" t="s">
        <v>592</v>
      </c>
      <c r="D86" s="118">
        <f>'2024 Legal Max'!T87</f>
        <v>0</v>
      </c>
      <c r="E86" s="118" t="e">
        <f t="shared" si="1"/>
        <v>#N/A</v>
      </c>
      <c r="F86" s="114" t="str">
        <f>'2024 Legal Max'!AZ87</f>
        <v>A</v>
      </c>
      <c r="G86" s="113">
        <v>303</v>
      </c>
      <c r="H86" s="115" t="s">
        <v>933</v>
      </c>
      <c r="L86" s="1" t="s">
        <v>272</v>
      </c>
      <c r="M86" s="105" t="s">
        <v>37</v>
      </c>
      <c r="N86" s="105" t="s">
        <v>592</v>
      </c>
      <c r="O86" s="114">
        <f>'Preliminary SO66'!AH86</f>
        <v>176.1</v>
      </c>
      <c r="P86" s="105">
        <f>SUMIF('PreliminaryHD AR - School Level'!$A$5:A470, "=" &amp; L86,'PreliminaryHD AR - School Level'!$M$5:M470)</f>
        <v>0</v>
      </c>
      <c r="Q86" s="114">
        <f>'2024 Legal Max'!AS87</f>
        <v>177</v>
      </c>
      <c r="R86" s="105">
        <f>'2024 Legal Max'!AH87</f>
        <v>2.1</v>
      </c>
      <c r="U86" s="105" t="str">
        <f>'2024 Legal Max'!AZ87</f>
        <v>A</v>
      </c>
    </row>
    <row r="87" spans="1:21">
      <c r="A87" s="113">
        <v>281</v>
      </c>
      <c r="B87" s="105" t="s">
        <v>38</v>
      </c>
      <c r="C87" s="105" t="s">
        <v>593</v>
      </c>
      <c r="D87" s="118">
        <f>'2024 Legal Max'!T88</f>
        <v>5</v>
      </c>
      <c r="E87" s="118" t="str">
        <f t="shared" si="1"/>
        <v>Yes</v>
      </c>
      <c r="F87" s="114" t="str">
        <f>'2024 Legal Max'!AZ88</f>
        <v>A</v>
      </c>
      <c r="G87" s="113">
        <v>305</v>
      </c>
      <c r="H87" s="115" t="s">
        <v>933</v>
      </c>
      <c r="L87" s="1" t="s">
        <v>273</v>
      </c>
      <c r="M87" s="105" t="s">
        <v>38</v>
      </c>
      <c r="N87" s="105" t="s">
        <v>593</v>
      </c>
      <c r="O87" s="114">
        <f>'Preliminary SO66'!AH87</f>
        <v>707.4</v>
      </c>
      <c r="P87" s="105">
        <f>SUMIF('PreliminaryHD AR - School Level'!$A$5:A471, "=" &amp; L87,'PreliminaryHD AR - School Level'!$M$5:M471)</f>
        <v>0</v>
      </c>
      <c r="Q87" s="114">
        <f>'2024 Legal Max'!AS88</f>
        <v>688.7</v>
      </c>
      <c r="R87" s="105">
        <f>'2024 Legal Max'!AH88</f>
        <v>7.3</v>
      </c>
      <c r="U87" s="105" t="str">
        <f>'2024 Legal Max'!AZ88</f>
        <v>A</v>
      </c>
    </row>
    <row r="88" spans="1:21">
      <c r="A88" s="113">
        <v>282</v>
      </c>
      <c r="B88" s="105" t="s">
        <v>39</v>
      </c>
      <c r="C88" s="105" t="s">
        <v>594</v>
      </c>
      <c r="D88" s="118">
        <f>'2024 Legal Max'!T89</f>
        <v>2</v>
      </c>
      <c r="E88" s="118" t="str">
        <f t="shared" si="1"/>
        <v>Yes</v>
      </c>
      <c r="F88" s="114" t="str">
        <f>'2024 Legal Max'!AZ89</f>
        <v>A</v>
      </c>
      <c r="G88" s="113">
        <v>307</v>
      </c>
      <c r="H88" s="115" t="s">
        <v>933</v>
      </c>
      <c r="L88" s="1" t="s">
        <v>274</v>
      </c>
      <c r="M88" s="105" t="s">
        <v>39</v>
      </c>
      <c r="N88" s="105" t="s">
        <v>594</v>
      </c>
      <c r="O88" s="114">
        <f>'Preliminary SO66'!AH88</f>
        <v>717</v>
      </c>
      <c r="P88" s="105">
        <f>SUMIF('PreliminaryHD AR - School Level'!$A$5:A472, "=" &amp; L88,'PreliminaryHD AR - School Level'!$M$5:M472)</f>
        <v>0</v>
      </c>
      <c r="Q88" s="114">
        <f>'2024 Legal Max'!AS89</f>
        <v>710.9</v>
      </c>
      <c r="R88" s="105">
        <f>'2024 Legal Max'!AH89</f>
        <v>16.5</v>
      </c>
      <c r="U88" s="105" t="str">
        <f>'2024 Legal Max'!AZ89</f>
        <v>A</v>
      </c>
    </row>
    <row r="89" spans="1:21">
      <c r="A89" s="113">
        <v>283</v>
      </c>
      <c r="B89" s="105" t="s">
        <v>39</v>
      </c>
      <c r="C89" s="105" t="s">
        <v>595</v>
      </c>
      <c r="D89" s="118">
        <f>'2024 Legal Max'!T90</f>
        <v>2</v>
      </c>
      <c r="E89" s="118" t="str">
        <f t="shared" si="1"/>
        <v>Yes</v>
      </c>
      <c r="F89" s="114" t="str">
        <f>'2024 Legal Max'!AZ90</f>
        <v>A</v>
      </c>
      <c r="G89" s="113">
        <v>308</v>
      </c>
      <c r="H89" s="115" t="s">
        <v>933</v>
      </c>
      <c r="L89" s="1" t="s">
        <v>275</v>
      </c>
      <c r="M89" s="105" t="s">
        <v>39</v>
      </c>
      <c r="N89" s="105" t="s">
        <v>595</v>
      </c>
      <c r="O89" s="114">
        <f>'Preliminary SO66'!AH89</f>
        <v>268.89999999999998</v>
      </c>
      <c r="P89" s="105">
        <f>SUMIF('PreliminaryHD AR - School Level'!$A$5:A473, "=" &amp; L89,'PreliminaryHD AR - School Level'!$M$5:M473)</f>
        <v>0</v>
      </c>
      <c r="Q89" s="114">
        <f>'2024 Legal Max'!AS90</f>
        <v>264.5</v>
      </c>
      <c r="R89" s="105">
        <f>'2024 Legal Max'!AH90</f>
        <v>9.6999999999999993</v>
      </c>
      <c r="U89" s="105" t="str">
        <f>'2024 Legal Max'!AZ90</f>
        <v>A</v>
      </c>
    </row>
    <row r="90" spans="1:21">
      <c r="A90" s="113">
        <v>284</v>
      </c>
      <c r="B90" s="105" t="s">
        <v>40</v>
      </c>
      <c r="C90" s="105" t="s">
        <v>596</v>
      </c>
      <c r="D90" s="118">
        <f>'2024 Legal Max'!T91</f>
        <v>4.5</v>
      </c>
      <c r="E90" s="118" t="str">
        <f t="shared" si="1"/>
        <v>Yes</v>
      </c>
      <c r="F90" s="114" t="str">
        <f>'2024 Legal Max'!AZ91</f>
        <v>A</v>
      </c>
      <c r="G90" s="113">
        <v>309</v>
      </c>
      <c r="H90" s="115" t="s">
        <v>933</v>
      </c>
      <c r="L90" s="1" t="s">
        <v>276</v>
      </c>
      <c r="M90" s="105" t="s">
        <v>40</v>
      </c>
      <c r="N90" s="105" t="s">
        <v>596</v>
      </c>
      <c r="O90" s="114">
        <f>'Preliminary SO66'!AH90</f>
        <v>644.9</v>
      </c>
      <c r="P90" s="105">
        <f>SUMIF('PreliminaryHD AR - School Level'!$A$5:A474, "=" &amp; L90,'PreliminaryHD AR - School Level'!$M$5:M474)</f>
        <v>0</v>
      </c>
      <c r="Q90" s="114">
        <f>'2024 Legal Max'!AS91</f>
        <v>643.20000000000005</v>
      </c>
      <c r="R90" s="105">
        <f>'2024 Legal Max'!AH91</f>
        <v>0.1</v>
      </c>
      <c r="U90" s="105" t="str">
        <f>'2024 Legal Max'!AZ91</f>
        <v>A</v>
      </c>
    </row>
    <row r="91" spans="1:21">
      <c r="A91" s="113">
        <v>285</v>
      </c>
      <c r="B91" s="105" t="s">
        <v>41</v>
      </c>
      <c r="C91" s="105" t="s">
        <v>597</v>
      </c>
      <c r="D91" s="118">
        <f>'2024 Legal Max'!T92</f>
        <v>1</v>
      </c>
      <c r="E91" s="118" t="str">
        <f t="shared" si="1"/>
        <v>Yes</v>
      </c>
      <c r="F91" s="114" t="str">
        <f>'2024 Legal Max'!AZ92</f>
        <v>A</v>
      </c>
      <c r="G91" s="113">
        <v>310</v>
      </c>
      <c r="H91" s="115" t="s">
        <v>933</v>
      </c>
      <c r="L91" s="1" t="s">
        <v>277</v>
      </c>
      <c r="M91" s="105" t="s">
        <v>41</v>
      </c>
      <c r="N91" s="105" t="s">
        <v>597</v>
      </c>
      <c r="O91" s="114">
        <f>'Preliminary SO66'!AH91</f>
        <v>307.3</v>
      </c>
      <c r="P91" s="105">
        <f>SUMIF('PreliminaryHD AR - School Level'!$A$5:A475, "=" &amp; L91,'PreliminaryHD AR - School Level'!$M$5:M475)</f>
        <v>0</v>
      </c>
      <c r="Q91" s="114">
        <f>'2024 Legal Max'!AS92</f>
        <v>307.2</v>
      </c>
      <c r="R91" s="105">
        <f>'2024 Legal Max'!AH92</f>
        <v>6</v>
      </c>
      <c r="U91" s="105" t="str">
        <f>'2024 Legal Max'!AZ92</f>
        <v>A</v>
      </c>
    </row>
    <row r="92" spans="1:21">
      <c r="A92" s="113">
        <v>286</v>
      </c>
      <c r="B92" s="105" t="s">
        <v>41</v>
      </c>
      <c r="C92" s="105" t="s">
        <v>598</v>
      </c>
      <c r="D92" s="118">
        <f>'2024 Legal Max'!T93</f>
        <v>6.5</v>
      </c>
      <c r="E92" s="118" t="str">
        <f t="shared" si="1"/>
        <v>Yes</v>
      </c>
      <c r="F92" s="114" t="str">
        <f>'2024 Legal Max'!AZ93</f>
        <v>A</v>
      </c>
      <c r="G92" s="113">
        <v>311</v>
      </c>
      <c r="H92" s="115" t="s">
        <v>933</v>
      </c>
      <c r="L92" s="1" t="s">
        <v>278</v>
      </c>
      <c r="M92" s="105" t="s">
        <v>41</v>
      </c>
      <c r="N92" s="105" t="s">
        <v>598</v>
      </c>
      <c r="O92" s="114">
        <f>'Preliminary SO66'!AH92</f>
        <v>718.8</v>
      </c>
      <c r="P92" s="105">
        <f>SUMIF('PreliminaryHD AR - School Level'!$A$5:A476, "=" &amp; L92,'PreliminaryHD AR - School Level'!$M$5:M476)</f>
        <v>0</v>
      </c>
      <c r="Q92" s="114">
        <f>'2024 Legal Max'!AS93</f>
        <v>714.1</v>
      </c>
      <c r="R92" s="105">
        <f>'2024 Legal Max'!AH93</f>
        <v>23.3</v>
      </c>
      <c r="U92" s="105" t="str">
        <f>'2024 Legal Max'!AZ93</f>
        <v>A</v>
      </c>
    </row>
    <row r="93" spans="1:21">
      <c r="A93" s="113">
        <v>287</v>
      </c>
      <c r="B93" s="105" t="s">
        <v>42</v>
      </c>
      <c r="C93" s="105" t="s">
        <v>599</v>
      </c>
      <c r="D93" s="118">
        <f>'2024 Legal Max'!T94</f>
        <v>3</v>
      </c>
      <c r="E93" s="118" t="str">
        <f t="shared" si="1"/>
        <v>Yes</v>
      </c>
      <c r="F93" s="114" t="str">
        <f>'2024 Legal Max'!AZ94</f>
        <v>A</v>
      </c>
      <c r="G93" s="113">
        <v>312</v>
      </c>
      <c r="H93" s="115" t="s">
        <v>933</v>
      </c>
      <c r="L93" s="1" t="s">
        <v>279</v>
      </c>
      <c r="M93" s="105" t="s">
        <v>42</v>
      </c>
      <c r="N93" s="105" t="s">
        <v>599</v>
      </c>
      <c r="O93" s="114">
        <f>'Preliminary SO66'!AH93</f>
        <v>1083.3</v>
      </c>
      <c r="P93" s="105">
        <f>SUMIF('PreliminaryHD AR - School Level'!$A$5:A477, "=" &amp; L93,'PreliminaryHD AR - School Level'!$M$5:M477)</f>
        <v>0</v>
      </c>
      <c r="Q93" s="114">
        <f>'2024 Legal Max'!AS94</f>
        <v>1085</v>
      </c>
      <c r="R93" s="105">
        <f>'2024 Legal Max'!AH94</f>
        <v>10.4</v>
      </c>
      <c r="U93" s="105" t="str">
        <f>'2024 Legal Max'!AZ94</f>
        <v>A</v>
      </c>
    </row>
    <row r="94" spans="1:21">
      <c r="A94" s="113">
        <v>288</v>
      </c>
      <c r="B94" s="105" t="s">
        <v>42</v>
      </c>
      <c r="C94" s="105" t="s">
        <v>600</v>
      </c>
      <c r="D94" s="118">
        <f>'2024 Legal Max'!T95</f>
        <v>5.5</v>
      </c>
      <c r="E94" s="118" t="str">
        <f t="shared" si="1"/>
        <v>Yes</v>
      </c>
      <c r="F94" s="114" t="str">
        <f>'2024 Legal Max'!AZ95</f>
        <v>A</v>
      </c>
      <c r="G94" s="113">
        <v>313</v>
      </c>
      <c r="H94" s="115" t="s">
        <v>933</v>
      </c>
      <c r="L94" s="1" t="s">
        <v>280</v>
      </c>
      <c r="M94" s="105" t="s">
        <v>42</v>
      </c>
      <c r="N94" s="105" t="s">
        <v>600</v>
      </c>
      <c r="O94" s="114">
        <f>'Preliminary SO66'!AH94</f>
        <v>971.2</v>
      </c>
      <c r="P94" s="105">
        <f>SUMIF('PreliminaryHD AR - School Level'!$A$5:A478, "=" &amp; L94,'PreliminaryHD AR - School Level'!$M$5:M478)</f>
        <v>0</v>
      </c>
      <c r="Q94" s="114">
        <f>'2024 Legal Max'!AS95</f>
        <v>972.6</v>
      </c>
      <c r="R94" s="105">
        <f>'2024 Legal Max'!AH95</f>
        <v>20.7</v>
      </c>
      <c r="U94" s="105" t="str">
        <f>'2024 Legal Max'!AZ95</f>
        <v>A</v>
      </c>
    </row>
    <row r="95" spans="1:21">
      <c r="A95" s="113">
        <v>289</v>
      </c>
      <c r="B95" s="105" t="s">
        <v>42</v>
      </c>
      <c r="C95" s="105" t="s">
        <v>601</v>
      </c>
      <c r="D95" s="118">
        <f>'2024 Legal Max'!T96</f>
        <v>13</v>
      </c>
      <c r="E95" s="118" t="str">
        <f t="shared" si="1"/>
        <v>Yes</v>
      </c>
      <c r="F95" s="114" t="str">
        <f>'2024 Legal Max'!AZ96</f>
        <v>A</v>
      </c>
      <c r="G95" s="113">
        <v>315</v>
      </c>
      <c r="H95" s="115" t="s">
        <v>933</v>
      </c>
      <c r="L95" s="1" t="s">
        <v>281</v>
      </c>
      <c r="M95" s="105" t="s">
        <v>42</v>
      </c>
      <c r="N95" s="105" t="s">
        <v>601</v>
      </c>
      <c r="O95" s="114">
        <f>'Preliminary SO66'!AH95</f>
        <v>1204.0999999999999</v>
      </c>
      <c r="P95" s="105">
        <f>SUMIF('PreliminaryHD AR - School Level'!$A$5:A479, "=" &amp; L95,'PreliminaryHD AR - School Level'!$M$5:M479)</f>
        <v>0</v>
      </c>
      <c r="Q95" s="114">
        <f>'2024 Legal Max'!AS96</f>
        <v>1203.3</v>
      </c>
      <c r="R95" s="105">
        <f>'2024 Legal Max'!AH96</f>
        <v>0</v>
      </c>
      <c r="U95" s="105" t="str">
        <f>'2024 Legal Max'!AZ96</f>
        <v>A</v>
      </c>
    </row>
    <row r="96" spans="1:21">
      <c r="A96" s="113">
        <v>290</v>
      </c>
      <c r="B96" s="105" t="s">
        <v>42</v>
      </c>
      <c r="C96" s="105" t="s">
        <v>602</v>
      </c>
      <c r="D96" s="118">
        <f>'2024 Legal Max'!T97</f>
        <v>39</v>
      </c>
      <c r="E96" s="118" t="str">
        <f t="shared" si="1"/>
        <v>Yes</v>
      </c>
      <c r="F96" s="114" t="str">
        <f>'2024 Legal Max'!AZ97</f>
        <v>A</v>
      </c>
      <c r="G96" s="113">
        <v>316</v>
      </c>
      <c r="H96" s="115" t="s">
        <v>933</v>
      </c>
      <c r="L96" s="1" t="s">
        <v>282</v>
      </c>
      <c r="M96" s="105" t="s">
        <v>42</v>
      </c>
      <c r="N96" s="105" t="s">
        <v>602</v>
      </c>
      <c r="O96" s="114">
        <f>'Preliminary SO66'!AH96</f>
        <v>3096.4</v>
      </c>
      <c r="P96" s="105">
        <f>SUMIF('PreliminaryHD AR - School Level'!$A$5:A480, "=" &amp; L96,'PreliminaryHD AR - School Level'!$M$5:M480)</f>
        <v>0</v>
      </c>
      <c r="Q96" s="114">
        <f>'2024 Legal Max'!AS97</f>
        <v>3101.8</v>
      </c>
      <c r="R96" s="105">
        <f>'2024 Legal Max'!AH97</f>
        <v>87.7</v>
      </c>
      <c r="U96" s="105" t="str">
        <f>'2024 Legal Max'!AZ97</f>
        <v>A</v>
      </c>
    </row>
    <row r="97" spans="1:21">
      <c r="A97" s="113">
        <v>291</v>
      </c>
      <c r="B97" s="105" t="s">
        <v>43</v>
      </c>
      <c r="C97" s="105" t="s">
        <v>603</v>
      </c>
      <c r="D97" s="118">
        <f>'2024 Legal Max'!T98</f>
        <v>1</v>
      </c>
      <c r="E97" s="118" t="str">
        <f t="shared" si="1"/>
        <v>Yes</v>
      </c>
      <c r="F97" s="114" t="str">
        <f>'2024 Legal Max'!AZ98</f>
        <v>A</v>
      </c>
      <c r="G97" s="113">
        <v>321</v>
      </c>
      <c r="H97" s="115" t="s">
        <v>933</v>
      </c>
      <c r="L97" s="1" t="s">
        <v>283</v>
      </c>
      <c r="M97" s="105" t="s">
        <v>43</v>
      </c>
      <c r="N97" s="105" t="s">
        <v>603</v>
      </c>
      <c r="O97" s="114">
        <f>'Preliminary SO66'!AH97</f>
        <v>151.80000000000001</v>
      </c>
      <c r="P97" s="105">
        <f>SUMIF('PreliminaryHD AR - School Level'!$A$5:A481, "=" &amp; L97,'PreliminaryHD AR - School Level'!$M$5:M481)</f>
        <v>0</v>
      </c>
      <c r="Q97" s="114">
        <f>'2024 Legal Max'!AS98</f>
        <v>152.1</v>
      </c>
      <c r="R97" s="105">
        <f>'2024 Legal Max'!AH98</f>
        <v>0.1</v>
      </c>
      <c r="U97" s="105" t="str">
        <f>'2024 Legal Max'!AZ98</f>
        <v>A</v>
      </c>
    </row>
    <row r="98" spans="1:21">
      <c r="A98" s="113">
        <v>292</v>
      </c>
      <c r="B98" s="105" t="s">
        <v>43</v>
      </c>
      <c r="C98" s="105" t="s">
        <v>604</v>
      </c>
      <c r="D98" s="118">
        <f>'2024 Legal Max'!T99</f>
        <v>0</v>
      </c>
      <c r="E98" s="118" t="e">
        <f t="shared" si="1"/>
        <v>#N/A</v>
      </c>
      <c r="F98" s="114" t="str">
        <f>'2024 Legal Max'!AZ99</f>
        <v>A</v>
      </c>
      <c r="G98" s="113">
        <v>322</v>
      </c>
      <c r="H98" s="115" t="s">
        <v>933</v>
      </c>
      <c r="L98" s="1" t="s">
        <v>284</v>
      </c>
      <c r="M98" s="105" t="s">
        <v>43</v>
      </c>
      <c r="N98" s="105" t="s">
        <v>604</v>
      </c>
      <c r="O98" s="114">
        <f>'Preliminary SO66'!AH98</f>
        <v>273.7</v>
      </c>
      <c r="P98" s="105">
        <f>SUMIF('PreliminaryHD AR - School Level'!$A$5:A482, "=" &amp; L98,'PreliminaryHD AR - School Level'!$M$5:M482)</f>
        <v>0</v>
      </c>
      <c r="Q98" s="114">
        <f>'2024 Legal Max'!AS99</f>
        <v>272.2</v>
      </c>
      <c r="R98" s="105">
        <f>'2024 Legal Max'!AH99</f>
        <v>2.2000000000000002</v>
      </c>
      <c r="U98" s="105" t="str">
        <f>'2024 Legal Max'!AZ99</f>
        <v>A</v>
      </c>
    </row>
    <row r="99" spans="1:21">
      <c r="A99" s="113">
        <v>293</v>
      </c>
      <c r="B99" s="105" t="s">
        <v>43</v>
      </c>
      <c r="C99" s="105" t="s">
        <v>605</v>
      </c>
      <c r="D99" s="118">
        <f>'2024 Legal Max'!T100</f>
        <v>4</v>
      </c>
      <c r="E99" s="118" t="str">
        <f t="shared" si="1"/>
        <v>Yes</v>
      </c>
      <c r="F99" s="114" t="str">
        <f>'2024 Legal Max'!AZ100</f>
        <v>A</v>
      </c>
      <c r="G99" s="117">
        <v>323</v>
      </c>
      <c r="H99" s="115" t="s">
        <v>933</v>
      </c>
      <c r="L99" s="1" t="s">
        <v>285</v>
      </c>
      <c r="M99" s="105" t="s">
        <v>43</v>
      </c>
      <c r="N99" s="105" t="s">
        <v>605</v>
      </c>
      <c r="O99" s="114">
        <f>'Preliminary SO66'!AH99</f>
        <v>535.5</v>
      </c>
      <c r="P99" s="105">
        <f>SUMIF('PreliminaryHD AR - School Level'!$A$5:A483, "=" &amp; L99,'PreliminaryHD AR - School Level'!$M$5:M483)</f>
        <v>0</v>
      </c>
      <c r="Q99" s="114">
        <f>'2024 Legal Max'!AS100</f>
        <v>535.29999999999995</v>
      </c>
      <c r="R99" s="105">
        <f>'2024 Legal Max'!AH100</f>
        <v>0</v>
      </c>
      <c r="U99" s="105" t="str">
        <f>'2024 Legal Max'!AZ100</f>
        <v>A</v>
      </c>
    </row>
    <row r="100" spans="1:21">
      <c r="A100" s="113">
        <v>294</v>
      </c>
      <c r="B100" s="105" t="s">
        <v>44</v>
      </c>
      <c r="C100" s="105" t="s">
        <v>606</v>
      </c>
      <c r="D100" s="118">
        <f>'2024 Legal Max'!T101</f>
        <v>8.5</v>
      </c>
      <c r="E100" s="118" t="str">
        <f t="shared" si="1"/>
        <v>Yes</v>
      </c>
      <c r="F100" s="114" t="str">
        <f>'2024 Legal Max'!AZ101</f>
        <v>A</v>
      </c>
      <c r="G100" s="113">
        <v>326</v>
      </c>
      <c r="H100" s="115" t="s">
        <v>933</v>
      </c>
      <c r="L100" s="1" t="s">
        <v>286</v>
      </c>
      <c r="M100" s="105" t="s">
        <v>44</v>
      </c>
      <c r="N100" s="105" t="s">
        <v>606</v>
      </c>
      <c r="O100" s="114">
        <f>'Preliminary SO66'!AH100</f>
        <v>709.2</v>
      </c>
      <c r="P100" s="105">
        <f>SUMIF('PreliminaryHD AR - School Level'!$A$5:A484, "=" &amp; L100,'PreliminaryHD AR - School Level'!$M$5:M484)</f>
        <v>0</v>
      </c>
      <c r="Q100" s="114">
        <f>'2024 Legal Max'!AS101</f>
        <v>705.4</v>
      </c>
      <c r="R100" s="105">
        <f>'2024 Legal Max'!AH101</f>
        <v>17.3</v>
      </c>
      <c r="U100" s="105" t="str">
        <f>'2024 Legal Max'!AZ101</f>
        <v>A</v>
      </c>
    </row>
    <row r="101" spans="1:21">
      <c r="A101" s="113">
        <v>297</v>
      </c>
      <c r="B101" s="105" t="s">
        <v>6</v>
      </c>
      <c r="C101" s="105" t="s">
        <v>607</v>
      </c>
      <c r="D101" s="118">
        <f>'2024 Legal Max'!T102</f>
        <v>0</v>
      </c>
      <c r="E101" s="118" t="e">
        <f t="shared" si="1"/>
        <v>#N/A</v>
      </c>
      <c r="F101" s="114" t="str">
        <f>'2024 Legal Max'!AZ102</f>
        <v>A</v>
      </c>
      <c r="G101" s="113">
        <v>329</v>
      </c>
      <c r="H101" s="115" t="s">
        <v>933</v>
      </c>
      <c r="L101" s="1" t="s">
        <v>287</v>
      </c>
      <c r="M101" s="105" t="s">
        <v>6</v>
      </c>
      <c r="N101" s="105" t="s">
        <v>607</v>
      </c>
      <c r="O101" s="114">
        <f>'Preliminary SO66'!AH101</f>
        <v>539.20000000000005</v>
      </c>
      <c r="P101" s="105">
        <f>SUMIF('PreliminaryHD AR - School Level'!$A$5:A485, "=" &amp; L101,'PreliminaryHD AR - School Level'!$M$5:M485)</f>
        <v>0</v>
      </c>
      <c r="Q101" s="114">
        <f>'2024 Legal Max'!AS102</f>
        <v>524.9</v>
      </c>
      <c r="R101" s="105">
        <f>'2024 Legal Max'!AH102</f>
        <v>0</v>
      </c>
      <c r="U101" s="105" t="str">
        <f>'2024 Legal Max'!AZ102</f>
        <v>A</v>
      </c>
    </row>
    <row r="102" spans="1:21">
      <c r="A102" s="113">
        <v>298</v>
      </c>
      <c r="B102" s="105" t="s">
        <v>45</v>
      </c>
      <c r="C102" s="105" t="s">
        <v>608</v>
      </c>
      <c r="D102" s="118">
        <f>'2024 Legal Max'!T103</f>
        <v>11.5</v>
      </c>
      <c r="E102" s="118" t="str">
        <f t="shared" si="1"/>
        <v>Yes</v>
      </c>
      <c r="F102" s="114" t="str">
        <f>'2024 Legal Max'!AZ103</f>
        <v>A</v>
      </c>
      <c r="G102" s="113">
        <v>331</v>
      </c>
      <c r="H102" s="115" t="s">
        <v>933</v>
      </c>
      <c r="L102" s="1" t="s">
        <v>288</v>
      </c>
      <c r="M102" s="105" t="s">
        <v>45</v>
      </c>
      <c r="N102" s="105" t="s">
        <v>608</v>
      </c>
      <c r="O102" s="114">
        <f>'Preliminary SO66'!AH102</f>
        <v>604</v>
      </c>
      <c r="P102" s="105">
        <f>SUMIF('PreliminaryHD AR - School Level'!$A$5:A486, "=" &amp; L102,'PreliminaryHD AR - School Level'!$M$5:M486)</f>
        <v>0</v>
      </c>
      <c r="Q102" s="114">
        <f>'2024 Legal Max'!AS103</f>
        <v>604</v>
      </c>
      <c r="R102" s="105">
        <f>'2024 Legal Max'!AH103</f>
        <v>11.8</v>
      </c>
      <c r="U102" s="105" t="str">
        <f>'2024 Legal Max'!AZ103</f>
        <v>A</v>
      </c>
    </row>
    <row r="103" spans="1:21">
      <c r="A103" s="113">
        <v>299</v>
      </c>
      <c r="B103" s="105" t="s">
        <v>45</v>
      </c>
      <c r="C103" s="105" t="s">
        <v>609</v>
      </c>
      <c r="D103" s="118">
        <f>'2024 Legal Max'!T104</f>
        <v>9.5</v>
      </c>
      <c r="E103" s="118" t="str">
        <f t="shared" si="1"/>
        <v>Yes</v>
      </c>
      <c r="F103" s="114" t="str">
        <f>'2024 Legal Max'!AZ104</f>
        <v>A</v>
      </c>
      <c r="G103" s="113">
        <v>332</v>
      </c>
      <c r="H103" s="115" t="s">
        <v>933</v>
      </c>
      <c r="L103" s="1" t="s">
        <v>289</v>
      </c>
      <c r="M103" s="105" t="s">
        <v>45</v>
      </c>
      <c r="N103" s="105" t="s">
        <v>609</v>
      </c>
      <c r="O103" s="114">
        <f>'Preliminary SO66'!AH103</f>
        <v>512.6</v>
      </c>
      <c r="P103" s="105">
        <f>SUMIF('PreliminaryHD AR - School Level'!$A$5:A487, "=" &amp; L103,'PreliminaryHD AR - School Level'!$M$5:M487)</f>
        <v>0</v>
      </c>
      <c r="Q103" s="114">
        <f>'2024 Legal Max'!AS104</f>
        <v>517.9</v>
      </c>
      <c r="R103" s="105">
        <f>'2024 Legal Max'!AH104</f>
        <v>3.9</v>
      </c>
      <c r="U103" s="105" t="str">
        <f>'2024 Legal Max'!AZ104</f>
        <v>A</v>
      </c>
    </row>
    <row r="104" spans="1:21">
      <c r="A104" s="113">
        <v>300</v>
      </c>
      <c r="B104" s="105" t="s">
        <v>46</v>
      </c>
      <c r="C104" s="105" t="s">
        <v>610</v>
      </c>
      <c r="D104" s="118">
        <f>'2024 Legal Max'!T105</f>
        <v>2.5</v>
      </c>
      <c r="E104" s="118" t="str">
        <f t="shared" si="1"/>
        <v>Yes</v>
      </c>
      <c r="F104" s="114" t="str">
        <f>'2024 Legal Max'!AZ105</f>
        <v>A</v>
      </c>
      <c r="G104" s="113">
        <v>333</v>
      </c>
      <c r="H104" s="115" t="s">
        <v>933</v>
      </c>
      <c r="L104" s="1" t="s">
        <v>290</v>
      </c>
      <c r="M104" s="105" t="s">
        <v>46</v>
      </c>
      <c r="N104" s="105" t="s">
        <v>610</v>
      </c>
      <c r="O104" s="114">
        <f>'Preliminary SO66'!AH104</f>
        <v>594</v>
      </c>
      <c r="P104" s="105">
        <f>SUMIF('PreliminaryHD AR - School Level'!$A$5:A488, "=" &amp; L104,'PreliminaryHD AR - School Level'!$M$5:M488)</f>
        <v>0</v>
      </c>
      <c r="Q104" s="114">
        <f>'2024 Legal Max'!AS105</f>
        <v>592</v>
      </c>
      <c r="R104" s="105">
        <f>'2024 Legal Max'!AH105</f>
        <v>6.9</v>
      </c>
      <c r="U104" s="105" t="str">
        <f>'2024 Legal Max'!AZ105</f>
        <v>A</v>
      </c>
    </row>
    <row r="105" spans="1:21">
      <c r="A105" s="113">
        <v>303</v>
      </c>
      <c r="B105" s="105" t="s">
        <v>47</v>
      </c>
      <c r="C105" s="105" t="s">
        <v>611</v>
      </c>
      <c r="D105" s="118">
        <f>'2024 Legal Max'!T106</f>
        <v>13.5</v>
      </c>
      <c r="E105" s="118" t="str">
        <f t="shared" si="1"/>
        <v>Yes</v>
      </c>
      <c r="F105" s="114" t="str">
        <f>'2024 Legal Max'!AZ106</f>
        <v>A</v>
      </c>
      <c r="G105" s="113">
        <v>335</v>
      </c>
      <c r="H105" s="115" t="s">
        <v>933</v>
      </c>
      <c r="L105" s="1" t="s">
        <v>291</v>
      </c>
      <c r="M105" s="105" t="s">
        <v>47</v>
      </c>
      <c r="N105" s="105" t="s">
        <v>611</v>
      </c>
      <c r="O105" s="114">
        <f>'Preliminary SO66'!AH105</f>
        <v>499</v>
      </c>
      <c r="P105" s="105">
        <f>SUMIF('PreliminaryHD AR - School Level'!$A$5:A489, "=" &amp; L105,'PreliminaryHD AR - School Level'!$M$5:M489)</f>
        <v>0</v>
      </c>
      <c r="Q105" s="114">
        <f>'2024 Legal Max'!AS106</f>
        <v>496.5</v>
      </c>
      <c r="R105" s="105">
        <f>'2024 Legal Max'!AH106</f>
        <v>1.1000000000000001</v>
      </c>
      <c r="U105" s="105" t="str">
        <f>'2024 Legal Max'!AZ106</f>
        <v>A</v>
      </c>
    </row>
    <row r="106" spans="1:21">
      <c r="A106" s="113">
        <v>305</v>
      </c>
      <c r="B106" s="105" t="s">
        <v>48</v>
      </c>
      <c r="C106" s="105" t="s">
        <v>612</v>
      </c>
      <c r="D106" s="118">
        <f>'2024 Legal Max'!T107</f>
        <v>69.5</v>
      </c>
      <c r="E106" s="118" t="str">
        <f t="shared" si="1"/>
        <v>Yes</v>
      </c>
      <c r="F106" s="114" t="str">
        <f>'2024 Legal Max'!AZ107</f>
        <v>A</v>
      </c>
      <c r="G106" s="113">
        <v>336</v>
      </c>
      <c r="H106" s="115" t="s">
        <v>933</v>
      </c>
      <c r="L106" s="1" t="s">
        <v>292</v>
      </c>
      <c r="M106" s="105" t="s">
        <v>48</v>
      </c>
      <c r="N106" s="105" t="s">
        <v>612</v>
      </c>
      <c r="O106" s="114">
        <f>'Preliminary SO66'!AH106</f>
        <v>9285.9</v>
      </c>
      <c r="P106" s="105">
        <f>SUMIF('PreliminaryHD AR - School Level'!$A$5:A490, "=" &amp; L106,'PreliminaryHD AR - School Level'!$M$5:M490)</f>
        <v>0</v>
      </c>
      <c r="Q106" s="114">
        <f>'2024 Legal Max'!AS107</f>
        <v>9273.7000000000007</v>
      </c>
      <c r="R106" s="105">
        <f>'2024 Legal Max'!AH107</f>
        <v>291.7</v>
      </c>
      <c r="U106" s="105" t="str">
        <f>'2024 Legal Max'!AZ107</f>
        <v>A</v>
      </c>
    </row>
    <row r="107" spans="1:21">
      <c r="A107" s="113">
        <v>306</v>
      </c>
      <c r="B107" s="105" t="s">
        <v>48</v>
      </c>
      <c r="C107" s="105" t="s">
        <v>613</v>
      </c>
      <c r="D107" s="118">
        <f>'2024 Legal Max'!T108</f>
        <v>0</v>
      </c>
      <c r="E107" s="118" t="e">
        <f t="shared" si="1"/>
        <v>#N/A</v>
      </c>
      <c r="F107" s="114" t="str">
        <f>'2024 Legal Max'!AZ108</f>
        <v>A</v>
      </c>
      <c r="G107" s="113">
        <v>337</v>
      </c>
      <c r="H107" s="115" t="s">
        <v>933</v>
      </c>
      <c r="L107" s="1" t="s">
        <v>293</v>
      </c>
      <c r="M107" s="105" t="s">
        <v>48</v>
      </c>
      <c r="N107" s="105" t="s">
        <v>613</v>
      </c>
      <c r="O107" s="114">
        <f>'Preliminary SO66'!AH107</f>
        <v>1101.2</v>
      </c>
      <c r="P107" s="105">
        <f>SUMIF('PreliminaryHD AR - School Level'!$A$5:A491, "=" &amp; L107,'PreliminaryHD AR - School Level'!$M$5:M491)</f>
        <v>0</v>
      </c>
      <c r="Q107" s="114">
        <f>'2024 Legal Max'!AS108</f>
        <v>1100.7</v>
      </c>
      <c r="R107" s="105">
        <f>'2024 Legal Max'!AH108</f>
        <v>0</v>
      </c>
      <c r="U107" s="105" t="str">
        <f>'2024 Legal Max'!AZ108</f>
        <v>A</v>
      </c>
    </row>
    <row r="108" spans="1:21">
      <c r="A108" s="113">
        <v>307</v>
      </c>
      <c r="B108" s="105" t="s">
        <v>48</v>
      </c>
      <c r="C108" s="105" t="s">
        <v>614</v>
      </c>
      <c r="D108" s="118">
        <f>'2024 Legal Max'!T109</f>
        <v>2</v>
      </c>
      <c r="E108" s="118" t="str">
        <f t="shared" si="1"/>
        <v>Yes</v>
      </c>
      <c r="F108" s="114" t="str">
        <f>'2024 Legal Max'!AZ109</f>
        <v>A</v>
      </c>
      <c r="G108" s="113">
        <v>338</v>
      </c>
      <c r="H108" s="115" t="s">
        <v>933</v>
      </c>
      <c r="L108" s="1" t="s">
        <v>294</v>
      </c>
      <c r="M108" s="105" t="s">
        <v>48</v>
      </c>
      <c r="N108" s="105" t="s">
        <v>614</v>
      </c>
      <c r="O108" s="114">
        <f>'Preliminary SO66'!AH108</f>
        <v>726</v>
      </c>
      <c r="P108" s="105">
        <f>SUMIF('PreliminaryHD AR - School Level'!$A$5:A492, "=" &amp; L108,'PreliminaryHD AR - School Level'!$M$5:M492)</f>
        <v>0</v>
      </c>
      <c r="Q108" s="114">
        <f>'2024 Legal Max'!AS109</f>
        <v>723.9</v>
      </c>
      <c r="R108" s="105">
        <f>'2024 Legal Max'!AH109</f>
        <v>0.5</v>
      </c>
      <c r="U108" s="105" t="str">
        <f>'2024 Legal Max'!AZ109</f>
        <v>A</v>
      </c>
    </row>
    <row r="109" spans="1:21">
      <c r="A109" s="113">
        <v>308</v>
      </c>
      <c r="B109" s="105" t="s">
        <v>49</v>
      </c>
      <c r="C109" s="105" t="s">
        <v>615</v>
      </c>
      <c r="D109" s="118">
        <f>'2024 Legal Max'!T110</f>
        <v>99.5</v>
      </c>
      <c r="E109" s="118" t="str">
        <f t="shared" si="1"/>
        <v>Yes</v>
      </c>
      <c r="F109" s="114" t="str">
        <f>'2024 Legal Max'!AZ110</f>
        <v>A</v>
      </c>
      <c r="G109" s="113">
        <v>339</v>
      </c>
      <c r="H109" s="115" t="s">
        <v>933</v>
      </c>
      <c r="L109" s="1" t="s">
        <v>295</v>
      </c>
      <c r="M109" s="105" t="s">
        <v>49</v>
      </c>
      <c r="N109" s="105" t="s">
        <v>615</v>
      </c>
      <c r="O109" s="114">
        <f>'Preliminary SO66'!AH109</f>
        <v>5603.6</v>
      </c>
      <c r="P109" s="105">
        <f>SUMIF('PreliminaryHD AR - School Level'!$A$5:A493, "=" &amp; L109,'PreliminaryHD AR - School Level'!$M$5:M493)</f>
        <v>0</v>
      </c>
      <c r="Q109" s="114">
        <f>'2024 Legal Max'!AS110</f>
        <v>5598.5</v>
      </c>
      <c r="R109" s="105">
        <f>'2024 Legal Max'!AH110</f>
        <v>225.5</v>
      </c>
      <c r="U109" s="105" t="str">
        <f>'2024 Legal Max'!AZ110</f>
        <v>A</v>
      </c>
    </row>
    <row r="110" spans="1:21">
      <c r="A110" s="113">
        <v>309</v>
      </c>
      <c r="B110" s="105" t="s">
        <v>49</v>
      </c>
      <c r="C110" s="105" t="s">
        <v>616</v>
      </c>
      <c r="D110" s="118">
        <f>'2024 Legal Max'!T111</f>
        <v>11.5</v>
      </c>
      <c r="E110" s="118" t="str">
        <f t="shared" si="1"/>
        <v>Yes</v>
      </c>
      <c r="F110" s="114" t="str">
        <f>'2024 Legal Max'!AZ111</f>
        <v>A</v>
      </c>
      <c r="G110" s="113">
        <v>341</v>
      </c>
      <c r="H110" s="115" t="s">
        <v>933</v>
      </c>
      <c r="L110" s="1" t="s">
        <v>296</v>
      </c>
      <c r="M110" s="105" t="s">
        <v>49</v>
      </c>
      <c r="N110" s="105" t="s">
        <v>616</v>
      </c>
      <c r="O110" s="114">
        <f>'Preliminary SO66'!AH110</f>
        <v>1548.5</v>
      </c>
      <c r="P110" s="105">
        <f>SUMIF('PreliminaryHD AR - School Level'!$A$5:A494, "=" &amp; L110,'PreliminaryHD AR - School Level'!$M$5:M494)</f>
        <v>0</v>
      </c>
      <c r="Q110" s="114">
        <f>'2024 Legal Max'!AS111</f>
        <v>1522.5</v>
      </c>
      <c r="R110" s="105">
        <f>'2024 Legal Max'!AH111</f>
        <v>26.2</v>
      </c>
      <c r="U110" s="105" t="str">
        <f>'2024 Legal Max'!AZ111</f>
        <v>A</v>
      </c>
    </row>
    <row r="111" spans="1:21">
      <c r="A111" s="113">
        <v>310</v>
      </c>
      <c r="B111" s="105" t="s">
        <v>49</v>
      </c>
      <c r="C111" s="105" t="s">
        <v>617</v>
      </c>
      <c r="D111" s="118">
        <f>'2024 Legal Max'!T112</f>
        <v>13.5</v>
      </c>
      <c r="E111" s="118" t="str">
        <f t="shared" si="1"/>
        <v>Yes</v>
      </c>
      <c r="F111" s="114" t="str">
        <f>'2024 Legal Max'!AZ112</f>
        <v>A</v>
      </c>
      <c r="G111" s="113">
        <v>342</v>
      </c>
      <c r="H111" s="115" t="s">
        <v>933</v>
      </c>
      <c r="L111" s="1" t="s">
        <v>297</v>
      </c>
      <c r="M111" s="105" t="s">
        <v>49</v>
      </c>
      <c r="N111" s="105" t="s">
        <v>617</v>
      </c>
      <c r="O111" s="114">
        <f>'Preliminary SO66'!AH111</f>
        <v>558.70000000000005</v>
      </c>
      <c r="P111" s="105">
        <f>SUMIF('PreliminaryHD AR - School Level'!$A$5:A495, "=" &amp; L111,'PreliminaryHD AR - School Level'!$M$5:M495)</f>
        <v>0</v>
      </c>
      <c r="Q111" s="114">
        <f>'2024 Legal Max'!AS112</f>
        <v>559.1</v>
      </c>
      <c r="R111" s="105">
        <f>'2024 Legal Max'!AH112</f>
        <v>8.8000000000000007</v>
      </c>
      <c r="U111" s="105" t="str">
        <f>'2024 Legal Max'!AZ112</f>
        <v>A</v>
      </c>
    </row>
    <row r="112" spans="1:21">
      <c r="A112" s="113">
        <v>311</v>
      </c>
      <c r="B112" s="105" t="s">
        <v>49</v>
      </c>
      <c r="C112" s="105" t="s">
        <v>618</v>
      </c>
      <c r="D112" s="118">
        <f>'2024 Legal Max'!T113</f>
        <v>13</v>
      </c>
      <c r="E112" s="118" t="str">
        <f t="shared" si="1"/>
        <v>Yes</v>
      </c>
      <c r="F112" s="114" t="str">
        <f>'2024 Legal Max'!AZ113</f>
        <v>A</v>
      </c>
      <c r="G112" s="113">
        <v>343</v>
      </c>
      <c r="H112" s="115" t="s">
        <v>933</v>
      </c>
      <c r="L112" s="1" t="s">
        <v>298</v>
      </c>
      <c r="M112" s="105" t="s">
        <v>49</v>
      </c>
      <c r="N112" s="105" t="s">
        <v>618</v>
      </c>
      <c r="O112" s="114">
        <f>'Preliminary SO66'!AH112</f>
        <v>558.1</v>
      </c>
      <c r="P112" s="105">
        <f>SUMIF('PreliminaryHD AR - School Level'!$A$5:A496, "=" &amp; L112,'PreliminaryHD AR - School Level'!$M$5:M496)</f>
        <v>0</v>
      </c>
      <c r="Q112" s="114">
        <f>'2024 Legal Max'!AS113</f>
        <v>558</v>
      </c>
      <c r="R112" s="105">
        <f>'2024 Legal Max'!AH113</f>
        <v>5.0999999999999996</v>
      </c>
      <c r="U112" s="105" t="str">
        <f>'2024 Legal Max'!AZ113</f>
        <v>A</v>
      </c>
    </row>
    <row r="113" spans="1:21">
      <c r="A113" s="113">
        <v>312</v>
      </c>
      <c r="B113" s="105" t="s">
        <v>49</v>
      </c>
      <c r="C113" s="105" t="s">
        <v>619</v>
      </c>
      <c r="D113" s="118">
        <f>'2024 Legal Max'!T114</f>
        <v>17.5</v>
      </c>
      <c r="E113" s="118" t="str">
        <f t="shared" si="1"/>
        <v>Yes</v>
      </c>
      <c r="F113" s="114" t="str">
        <f>'2024 Legal Max'!AZ114</f>
        <v>A</v>
      </c>
      <c r="G113" s="113">
        <v>344</v>
      </c>
      <c r="H113" s="115" t="s">
        <v>933</v>
      </c>
      <c r="L113" s="1" t="s">
        <v>299</v>
      </c>
      <c r="M113" s="105" t="s">
        <v>49</v>
      </c>
      <c r="N113" s="105" t="s">
        <v>619</v>
      </c>
      <c r="O113" s="114">
        <f>'Preliminary SO66'!AH113</f>
        <v>1276.2</v>
      </c>
      <c r="P113" s="105">
        <f>SUMIF('PreliminaryHD AR - School Level'!$A$5:A497, "=" &amp; L113,'PreliminaryHD AR - School Level'!$M$5:M497)</f>
        <v>0</v>
      </c>
      <c r="Q113" s="114">
        <f>'2024 Legal Max'!AS114</f>
        <v>1265.2</v>
      </c>
      <c r="R113" s="105">
        <f>'2024 Legal Max'!AH114</f>
        <v>9.9</v>
      </c>
      <c r="U113" s="105" t="str">
        <f>'2024 Legal Max'!AZ114</f>
        <v>A</v>
      </c>
    </row>
    <row r="114" spans="1:21">
      <c r="A114" s="113">
        <v>313</v>
      </c>
      <c r="B114" s="105" t="s">
        <v>49</v>
      </c>
      <c r="C114" s="105" t="s">
        <v>620</v>
      </c>
      <c r="D114" s="118">
        <f>'2024 Legal Max'!T115</f>
        <v>28.5</v>
      </c>
      <c r="E114" s="118" t="str">
        <f t="shared" si="1"/>
        <v>Yes</v>
      </c>
      <c r="F114" s="114" t="str">
        <f>'2024 Legal Max'!AZ115</f>
        <v>A</v>
      </c>
      <c r="G114" s="113">
        <v>345</v>
      </c>
      <c r="H114" s="115" t="s">
        <v>933</v>
      </c>
      <c r="L114" s="1" t="s">
        <v>300</v>
      </c>
      <c r="M114" s="105" t="s">
        <v>49</v>
      </c>
      <c r="N114" s="105" t="s">
        <v>620</v>
      </c>
      <c r="O114" s="114">
        <f>'Preliminary SO66'!AH114</f>
        <v>2882.7</v>
      </c>
      <c r="P114" s="105">
        <f>SUMIF('PreliminaryHD AR - School Level'!$A$5:A498, "=" &amp; L114,'PreliminaryHD AR - School Level'!$M$5:M498)</f>
        <v>0</v>
      </c>
      <c r="Q114" s="114">
        <f>'2024 Legal Max'!AS115</f>
        <v>2877.3</v>
      </c>
      <c r="R114" s="105">
        <f>'2024 Legal Max'!AH115</f>
        <v>4</v>
      </c>
      <c r="U114" s="105" t="str">
        <f>'2024 Legal Max'!AZ115</f>
        <v>A</v>
      </c>
    </row>
    <row r="115" spans="1:21">
      <c r="A115" s="113">
        <v>314</v>
      </c>
      <c r="B115" s="105" t="s">
        <v>50</v>
      </c>
      <c r="C115" s="105" t="s">
        <v>621</v>
      </c>
      <c r="D115" s="118">
        <f>'2024 Legal Max'!T116</f>
        <v>1</v>
      </c>
      <c r="E115" s="118" t="e">
        <f t="shared" si="1"/>
        <v>#N/A</v>
      </c>
      <c r="F115" s="114" t="str">
        <f>'2024 Legal Max'!AZ116</f>
        <v>A</v>
      </c>
      <c r="G115" s="113">
        <v>346</v>
      </c>
      <c r="H115" s="115" t="s">
        <v>933</v>
      </c>
      <c r="L115" s="1" t="s">
        <v>301</v>
      </c>
      <c r="M115" s="105" t="s">
        <v>50</v>
      </c>
      <c r="N115" s="105" t="s">
        <v>621</v>
      </c>
      <c r="O115" s="114">
        <f>'Preliminary SO66'!AH115</f>
        <v>259.60000000000002</v>
      </c>
      <c r="P115" s="105">
        <f>SUMIF('PreliminaryHD AR - School Level'!$A$5:A499, "=" &amp; L115,'PreliminaryHD AR - School Level'!$M$5:M499)</f>
        <v>0</v>
      </c>
      <c r="Q115" s="114">
        <f>'2024 Legal Max'!AS116</f>
        <v>255.7</v>
      </c>
      <c r="R115" s="105">
        <f>'2024 Legal Max'!AH116</f>
        <v>0</v>
      </c>
      <c r="U115" s="105" t="str">
        <f>'2024 Legal Max'!AZ116</f>
        <v>A</v>
      </c>
    </row>
    <row r="116" spans="1:21">
      <c r="A116" s="113">
        <v>315</v>
      </c>
      <c r="B116" s="105" t="s">
        <v>50</v>
      </c>
      <c r="C116" s="105" t="s">
        <v>622</v>
      </c>
      <c r="D116" s="118">
        <f>'2024 Legal Max'!T117</f>
        <v>9</v>
      </c>
      <c r="E116" s="118" t="str">
        <f t="shared" si="1"/>
        <v>Yes</v>
      </c>
      <c r="F116" s="114" t="str">
        <f>'2024 Legal Max'!AZ117</f>
        <v>A</v>
      </c>
      <c r="G116" s="113">
        <v>347</v>
      </c>
      <c r="H116" s="115" t="s">
        <v>933</v>
      </c>
      <c r="L116" s="1" t="s">
        <v>302</v>
      </c>
      <c r="M116" s="105" t="s">
        <v>50</v>
      </c>
      <c r="N116" s="105" t="s">
        <v>622</v>
      </c>
      <c r="O116" s="114">
        <f>'Preliminary SO66'!AH116</f>
        <v>1415</v>
      </c>
      <c r="P116" s="105">
        <f>SUMIF('PreliminaryHD AR - School Level'!$A$5:A500, "=" &amp; L116,'PreliminaryHD AR - School Level'!$M$5:M500)</f>
        <v>0</v>
      </c>
      <c r="Q116" s="114">
        <f>'2024 Legal Max'!AS117</f>
        <v>1414.5</v>
      </c>
      <c r="R116" s="105">
        <f>'2024 Legal Max'!AH117</f>
        <v>0</v>
      </c>
      <c r="U116" s="105" t="str">
        <f>'2024 Legal Max'!AZ117</f>
        <v>A</v>
      </c>
    </row>
    <row r="117" spans="1:21">
      <c r="A117" s="113">
        <v>316</v>
      </c>
      <c r="B117" s="105" t="s">
        <v>50</v>
      </c>
      <c r="C117" s="105" t="s">
        <v>623</v>
      </c>
      <c r="D117" s="118">
        <f>'2024 Legal Max'!T118</f>
        <v>3.5</v>
      </c>
      <c r="E117" s="118" t="str">
        <f t="shared" si="1"/>
        <v>Yes</v>
      </c>
      <c r="F117" s="114" t="str">
        <f>'2024 Legal Max'!AZ118</f>
        <v>A</v>
      </c>
      <c r="G117" s="113">
        <v>348</v>
      </c>
      <c r="H117" s="115" t="s">
        <v>933</v>
      </c>
      <c r="L117" s="1" t="s">
        <v>303</v>
      </c>
      <c r="M117" s="105" t="s">
        <v>50</v>
      </c>
      <c r="N117" s="105" t="s">
        <v>623</v>
      </c>
      <c r="O117" s="114">
        <f>'Preliminary SO66'!AH117</f>
        <v>385.3</v>
      </c>
      <c r="P117" s="105">
        <f>SUMIF('PreliminaryHD AR - School Level'!$A$5:A500, "=" &amp; L117,'PreliminaryHD AR - School Level'!$M$5:M500)</f>
        <v>0</v>
      </c>
      <c r="Q117" s="114">
        <f>'2024 Legal Max'!AS118</f>
        <v>384</v>
      </c>
      <c r="R117" s="105">
        <f>'2024 Legal Max'!AH118</f>
        <v>9.5</v>
      </c>
      <c r="U117" s="105" t="str">
        <f>'2024 Legal Max'!AZ118</f>
        <v>A</v>
      </c>
    </row>
    <row r="118" spans="1:21">
      <c r="A118" s="113">
        <v>320</v>
      </c>
      <c r="B118" s="105" t="s">
        <v>52</v>
      </c>
      <c r="C118" s="105" t="s">
        <v>624</v>
      </c>
      <c r="D118" s="118">
        <f>'2024 Legal Max'!T119</f>
        <v>0</v>
      </c>
      <c r="E118" s="118" t="e">
        <f t="shared" si="1"/>
        <v>#N/A</v>
      </c>
      <c r="F118" s="114" t="str">
        <f>'2024 Legal Max'!AZ119</f>
        <v>A</v>
      </c>
      <c r="G118" s="113">
        <v>349</v>
      </c>
      <c r="H118" s="115" t="s">
        <v>933</v>
      </c>
      <c r="L118" s="1" t="s">
        <v>304</v>
      </c>
      <c r="M118" s="105" t="s">
        <v>52</v>
      </c>
      <c r="N118" s="105" t="s">
        <v>624</v>
      </c>
      <c r="O118" s="114">
        <f>'Preliminary SO66'!AH118</f>
        <v>1999.7</v>
      </c>
      <c r="P118" s="105">
        <f>SUMIF('PreliminaryHD AR - School Level'!$A$5:A501, "=" &amp; L118,'PreliminaryHD AR - School Level'!$M$5:M501)</f>
        <v>0</v>
      </c>
      <c r="Q118" s="114">
        <f>'2024 Legal Max'!AS119</f>
        <v>1986.4</v>
      </c>
      <c r="R118" s="105">
        <f>'2024 Legal Max'!AH119</f>
        <v>0</v>
      </c>
      <c r="U118" s="105" t="str">
        <f>'2024 Legal Max'!AZ119</f>
        <v>A</v>
      </c>
    </row>
    <row r="119" spans="1:21">
      <c r="A119" s="113">
        <v>321</v>
      </c>
      <c r="B119" s="105" t="s">
        <v>52</v>
      </c>
      <c r="C119" s="105" t="s">
        <v>625</v>
      </c>
      <c r="D119" s="118">
        <f>'2024 Legal Max'!T120</f>
        <v>13</v>
      </c>
      <c r="E119" s="118" t="str">
        <f t="shared" si="1"/>
        <v>Yes</v>
      </c>
      <c r="F119" s="114" t="str">
        <f>'2024 Legal Max'!AZ120</f>
        <v>A</v>
      </c>
      <c r="G119" s="113">
        <v>350</v>
      </c>
      <c r="H119" s="115" t="s">
        <v>933</v>
      </c>
      <c r="L119" s="1" t="s">
        <v>305</v>
      </c>
      <c r="M119" s="105" t="s">
        <v>52</v>
      </c>
      <c r="N119" s="105" t="s">
        <v>625</v>
      </c>
      <c r="O119" s="114">
        <f>'Preliminary SO66'!AH119</f>
        <v>1548.1</v>
      </c>
      <c r="P119" s="105">
        <f>SUMIF('PreliminaryHD AR - School Level'!$A$5:A502, "=" &amp; L119,'PreliminaryHD AR - School Level'!$M$5:M502)</f>
        <v>0</v>
      </c>
      <c r="Q119" s="114">
        <f>'2024 Legal Max'!AS120</f>
        <v>1555.3</v>
      </c>
      <c r="R119" s="105">
        <f>'2024 Legal Max'!AH120</f>
        <v>1.3</v>
      </c>
      <c r="U119" s="105" t="str">
        <f>'2024 Legal Max'!AZ120</f>
        <v>A</v>
      </c>
    </row>
    <row r="120" spans="1:21">
      <c r="A120" s="113">
        <v>322</v>
      </c>
      <c r="B120" s="105" t="s">
        <v>52</v>
      </c>
      <c r="C120" s="105" t="s">
        <v>626</v>
      </c>
      <c r="D120" s="118">
        <f>'2024 Legal Max'!T121</f>
        <v>6</v>
      </c>
      <c r="E120" s="118" t="str">
        <f t="shared" si="1"/>
        <v>Yes</v>
      </c>
      <c r="F120" s="114" t="str">
        <f>'2024 Legal Max'!AZ121</f>
        <v>A</v>
      </c>
      <c r="G120" s="113">
        <v>351</v>
      </c>
      <c r="H120" s="115" t="s">
        <v>933</v>
      </c>
      <c r="L120" s="1" t="s">
        <v>306</v>
      </c>
      <c r="M120" s="105" t="s">
        <v>52</v>
      </c>
      <c r="N120" s="105" t="s">
        <v>626</v>
      </c>
      <c r="O120" s="114">
        <f>'Preliminary SO66'!AH120</f>
        <v>562.70000000000005</v>
      </c>
      <c r="P120" s="105">
        <f>SUMIF('PreliminaryHD AR - School Level'!$A$5:A503, "=" &amp; L120,'PreliminaryHD AR - School Level'!$M$5:M503)</f>
        <v>0</v>
      </c>
      <c r="Q120" s="114">
        <f>'2024 Legal Max'!AS121</f>
        <v>564.29999999999995</v>
      </c>
      <c r="R120" s="105">
        <f>'2024 Legal Max'!AH121</f>
        <v>3.3</v>
      </c>
      <c r="U120" s="105" t="str">
        <f>'2024 Legal Max'!AZ121</f>
        <v>A</v>
      </c>
    </row>
    <row r="121" spans="1:21">
      <c r="A121" s="113">
        <v>323</v>
      </c>
      <c r="B121" s="105" t="s">
        <v>52</v>
      </c>
      <c r="C121" s="105" t="s">
        <v>627</v>
      </c>
      <c r="D121" s="118">
        <f>'2024 Legal Max'!T122</f>
        <v>11</v>
      </c>
      <c r="E121" s="118" t="str">
        <f t="shared" si="1"/>
        <v>Yes</v>
      </c>
      <c r="F121" s="114" t="str">
        <f>'2024 Legal Max'!AZ122</f>
        <v>A</v>
      </c>
      <c r="G121" s="113">
        <v>352</v>
      </c>
      <c r="H121" s="115" t="s">
        <v>933</v>
      </c>
      <c r="L121" s="1" t="s">
        <v>307</v>
      </c>
      <c r="M121" s="105" t="s">
        <v>52</v>
      </c>
      <c r="N121" s="105" t="s">
        <v>627</v>
      </c>
      <c r="O121" s="114">
        <f>'Preliminary SO66'!AH121</f>
        <v>1814.3</v>
      </c>
      <c r="P121" s="105">
        <f>SUMIF('PreliminaryHD AR - School Level'!$A$5:A504, "=" &amp; L121,'PreliminaryHD AR - School Level'!$M$5:M504)</f>
        <v>0</v>
      </c>
      <c r="Q121" s="114">
        <f>'2024 Legal Max'!AS122</f>
        <v>1804.4</v>
      </c>
      <c r="R121" s="105">
        <f>'2024 Legal Max'!AH122</f>
        <v>0</v>
      </c>
      <c r="U121" s="105" t="str">
        <f>'2024 Legal Max'!AZ122</f>
        <v>A</v>
      </c>
    </row>
    <row r="122" spans="1:21">
      <c r="A122" s="113">
        <v>325</v>
      </c>
      <c r="B122" s="105" t="s">
        <v>53</v>
      </c>
      <c r="C122" s="105" t="s">
        <v>628</v>
      </c>
      <c r="D122" s="118">
        <f>'2024 Legal Max'!T123</f>
        <v>4</v>
      </c>
      <c r="E122" s="118" t="e">
        <f t="shared" si="1"/>
        <v>#N/A</v>
      </c>
      <c r="F122" s="114" t="str">
        <f>'2024 Legal Max'!AZ123</f>
        <v>A</v>
      </c>
      <c r="G122" s="113">
        <v>353</v>
      </c>
      <c r="H122" s="115" t="s">
        <v>933</v>
      </c>
      <c r="L122" s="1" t="s">
        <v>308</v>
      </c>
      <c r="M122" s="105" t="s">
        <v>53</v>
      </c>
      <c r="N122" s="105" t="s">
        <v>628</v>
      </c>
      <c r="O122" s="114">
        <f>'Preliminary SO66'!AH122</f>
        <v>958.2</v>
      </c>
      <c r="P122" s="105">
        <f>SUMIF('PreliminaryHD AR - School Level'!$A$5:A505, "=" &amp; L122,'PreliminaryHD AR - School Level'!$M$5:M505)</f>
        <v>0</v>
      </c>
      <c r="Q122" s="114">
        <f>'2024 Legal Max'!AS123</f>
        <v>957.4</v>
      </c>
      <c r="R122" s="105">
        <f>'2024 Legal Max'!AH123</f>
        <v>8.1999999999999993</v>
      </c>
      <c r="U122" s="105" t="str">
        <f>'2024 Legal Max'!AZ123</f>
        <v>A</v>
      </c>
    </row>
    <row r="123" spans="1:21">
      <c r="A123" s="113">
        <v>326</v>
      </c>
      <c r="B123" s="105" t="s">
        <v>53</v>
      </c>
      <c r="C123" s="105" t="s">
        <v>629</v>
      </c>
      <c r="D123" s="118">
        <f>'2024 Legal Max'!T124</f>
        <v>1.5</v>
      </c>
      <c r="E123" s="118" t="str">
        <f t="shared" si="1"/>
        <v>Yes</v>
      </c>
      <c r="F123" s="114" t="str">
        <f>'2024 Legal Max'!AZ124</f>
        <v>A</v>
      </c>
      <c r="G123" s="113">
        <v>356</v>
      </c>
      <c r="H123" s="115" t="s">
        <v>933</v>
      </c>
      <c r="L123" s="1" t="s">
        <v>309</v>
      </c>
      <c r="M123" s="105" t="s">
        <v>53</v>
      </c>
      <c r="N123" s="105" t="s">
        <v>629</v>
      </c>
      <c r="O123" s="114">
        <f>'Preliminary SO66'!AH123</f>
        <v>289.39999999999998</v>
      </c>
      <c r="P123" s="105">
        <f>SUMIF('PreliminaryHD AR - School Level'!$A$5:A506, "=" &amp; L123,'PreliminaryHD AR - School Level'!$M$5:M506)</f>
        <v>0</v>
      </c>
      <c r="Q123" s="114">
        <f>'2024 Legal Max'!AS124</f>
        <v>298.3</v>
      </c>
      <c r="R123" s="105">
        <f>'2024 Legal Max'!AH124</f>
        <v>5.0999999999999996</v>
      </c>
      <c r="U123" s="105" t="str">
        <f>'2024 Legal Max'!AZ124</f>
        <v>A</v>
      </c>
    </row>
    <row r="124" spans="1:21">
      <c r="A124" s="113">
        <v>327</v>
      </c>
      <c r="B124" s="105" t="s">
        <v>54</v>
      </c>
      <c r="C124" s="105" t="s">
        <v>630</v>
      </c>
      <c r="D124" s="118">
        <f>'2024 Legal Max'!T125</f>
        <v>0</v>
      </c>
      <c r="E124" s="118" t="e">
        <f t="shared" si="1"/>
        <v>#N/A</v>
      </c>
      <c r="F124" s="114" t="str">
        <f>'2024 Legal Max'!AZ125</f>
        <v>A</v>
      </c>
      <c r="G124" s="113">
        <v>357</v>
      </c>
      <c r="H124" s="115" t="s">
        <v>933</v>
      </c>
      <c r="L124" s="1" t="s">
        <v>310</v>
      </c>
      <c r="M124" s="105" t="s">
        <v>54</v>
      </c>
      <c r="N124" s="105" t="s">
        <v>630</v>
      </c>
      <c r="O124" s="114">
        <f>'Preliminary SO66'!AH124</f>
        <v>1038.9000000000001</v>
      </c>
      <c r="P124" s="105">
        <f>SUMIF('PreliminaryHD AR - School Level'!$A$5:A507, "=" &amp; L124,'PreliminaryHD AR - School Level'!$M$5:M507)</f>
        <v>0</v>
      </c>
      <c r="Q124" s="114">
        <f>'2024 Legal Max'!AS125</f>
        <v>1038</v>
      </c>
      <c r="R124" s="105">
        <f>'2024 Legal Max'!AH125</f>
        <v>0</v>
      </c>
      <c r="U124" s="105" t="str">
        <f>'2024 Legal Max'!AZ125</f>
        <v>A</v>
      </c>
    </row>
    <row r="125" spans="1:21">
      <c r="A125" s="113">
        <v>329</v>
      </c>
      <c r="B125" s="105" t="s">
        <v>55</v>
      </c>
      <c r="C125" s="105" t="s">
        <v>631</v>
      </c>
      <c r="D125" s="118">
        <f>'2024 Legal Max'!T126</f>
        <v>8</v>
      </c>
      <c r="E125" s="118" t="str">
        <f t="shared" si="1"/>
        <v>Yes</v>
      </c>
      <c r="F125" s="114" t="str">
        <f>'2024 Legal Max'!AZ126</f>
        <v>A</v>
      </c>
      <c r="G125" s="113">
        <v>358</v>
      </c>
      <c r="H125" s="115" t="s">
        <v>933</v>
      </c>
      <c r="L125" s="1" t="s">
        <v>311</v>
      </c>
      <c r="M125" s="105" t="s">
        <v>55</v>
      </c>
      <c r="N125" s="105" t="s">
        <v>631</v>
      </c>
      <c r="O125" s="114">
        <f>'Preliminary SO66'!AH125</f>
        <v>697.1</v>
      </c>
      <c r="P125" s="105">
        <f>SUMIF('PreliminaryHD AR - School Level'!$A$5:A508, "=" &amp; L125,'PreliminaryHD AR - School Level'!$M$5:M508)</f>
        <v>0</v>
      </c>
      <c r="Q125" s="114">
        <f>'2024 Legal Max'!AS126</f>
        <v>693.5</v>
      </c>
      <c r="R125" s="105">
        <f>'2024 Legal Max'!AH126</f>
        <v>0</v>
      </c>
      <c r="U125" s="105" t="str">
        <f>'2024 Legal Max'!AZ126</f>
        <v>A</v>
      </c>
    </row>
    <row r="126" spans="1:21">
      <c r="A126" s="113">
        <v>330</v>
      </c>
      <c r="B126" s="105" t="s">
        <v>55</v>
      </c>
      <c r="C126" s="105" t="s">
        <v>632</v>
      </c>
      <c r="D126" s="118">
        <f>'2024 Legal Max'!T127</f>
        <v>8</v>
      </c>
      <c r="E126" s="118" t="e">
        <f t="shared" si="1"/>
        <v>#N/A</v>
      </c>
      <c r="F126" s="114" t="str">
        <f>'2024 Legal Max'!AZ127</f>
        <v>A</v>
      </c>
      <c r="G126" s="113">
        <v>359</v>
      </c>
      <c r="H126" s="115" t="s">
        <v>933</v>
      </c>
      <c r="L126" s="1" t="s">
        <v>312</v>
      </c>
      <c r="M126" s="105" t="s">
        <v>55</v>
      </c>
      <c r="N126" s="105" t="s">
        <v>632</v>
      </c>
      <c r="O126" s="114">
        <f>'Preliminary SO66'!AH126</f>
        <v>798</v>
      </c>
      <c r="P126" s="105">
        <f>SUMIF('PreliminaryHD AR - School Level'!$A$5:A509, "=" &amp; L126,'PreliminaryHD AR - School Level'!$M$5:M509)</f>
        <v>0</v>
      </c>
      <c r="Q126" s="114">
        <f>'2024 Legal Max'!AS127</f>
        <v>796</v>
      </c>
      <c r="R126" s="105">
        <f>'2024 Legal Max'!AH127</f>
        <v>0</v>
      </c>
      <c r="U126" s="105" t="str">
        <f>'2024 Legal Max'!AZ127</f>
        <v>A</v>
      </c>
    </row>
    <row r="127" spans="1:21">
      <c r="A127" s="113">
        <v>331</v>
      </c>
      <c r="B127" s="105" t="s">
        <v>56</v>
      </c>
      <c r="C127" s="105" t="s">
        <v>633</v>
      </c>
      <c r="D127" s="118">
        <f>'2024 Legal Max'!T128</f>
        <v>13.5</v>
      </c>
      <c r="E127" s="118" t="str">
        <f t="shared" si="1"/>
        <v>Yes</v>
      </c>
      <c r="F127" s="114" t="str">
        <f>'2024 Legal Max'!AZ128</f>
        <v>A</v>
      </c>
      <c r="G127" s="113">
        <v>360</v>
      </c>
      <c r="H127" s="115" t="s">
        <v>933</v>
      </c>
      <c r="L127" s="1" t="s">
        <v>313</v>
      </c>
      <c r="M127" s="105" t="s">
        <v>56</v>
      </c>
      <c r="N127" s="105" t="s">
        <v>633</v>
      </c>
      <c r="O127" s="114">
        <f>'Preliminary SO66'!AH127</f>
        <v>1409.9</v>
      </c>
      <c r="P127" s="105">
        <f>SUMIF('PreliminaryHD AR - School Level'!$A$5:A510, "=" &amp; L127,'PreliminaryHD AR - School Level'!$M$5:M510)</f>
        <v>0</v>
      </c>
      <c r="Q127" s="114">
        <f>'2024 Legal Max'!AS128</f>
        <v>1404.6</v>
      </c>
      <c r="R127" s="105">
        <f>'2024 Legal Max'!AH128</f>
        <v>25.2</v>
      </c>
      <c r="U127" s="105" t="str">
        <f>'2024 Legal Max'!AZ128</f>
        <v>A</v>
      </c>
    </row>
    <row r="128" spans="1:21">
      <c r="A128" s="113">
        <v>332</v>
      </c>
      <c r="B128" s="105" t="s">
        <v>56</v>
      </c>
      <c r="C128" s="105" t="s">
        <v>634</v>
      </c>
      <c r="D128" s="118">
        <f>'2024 Legal Max'!T129</f>
        <v>7</v>
      </c>
      <c r="E128" s="118" t="str">
        <f t="shared" si="1"/>
        <v>Yes</v>
      </c>
      <c r="F128" s="114" t="str">
        <f>'2024 Legal Max'!AZ129</f>
        <v>A</v>
      </c>
      <c r="G128" s="113">
        <v>361</v>
      </c>
      <c r="H128" s="115" t="s">
        <v>933</v>
      </c>
      <c r="L128" s="1" t="s">
        <v>314</v>
      </c>
      <c r="M128" s="105" t="s">
        <v>56</v>
      </c>
      <c r="N128" s="105" t="s">
        <v>634</v>
      </c>
      <c r="O128" s="114">
        <f>'Preliminary SO66'!AH128</f>
        <v>427.7</v>
      </c>
      <c r="P128" s="105">
        <f>SUMIF('PreliminaryHD AR - School Level'!$A$5:A511, "=" &amp; L128,'PreliminaryHD AR - School Level'!$M$5:M511)</f>
        <v>0</v>
      </c>
      <c r="Q128" s="114">
        <f>'2024 Legal Max'!AS129</f>
        <v>426.4</v>
      </c>
      <c r="R128" s="105">
        <f>'2024 Legal Max'!AH129</f>
        <v>0</v>
      </c>
      <c r="U128" s="105" t="str">
        <f>'2024 Legal Max'!AZ129</f>
        <v>A</v>
      </c>
    </row>
    <row r="129" spans="1:21">
      <c r="A129" s="113">
        <v>333</v>
      </c>
      <c r="B129" s="105" t="s">
        <v>57</v>
      </c>
      <c r="C129" s="105" t="s">
        <v>635</v>
      </c>
      <c r="D129" s="118">
        <f>'2024 Legal Max'!T130</f>
        <v>15.5</v>
      </c>
      <c r="E129" s="118" t="str">
        <f t="shared" si="1"/>
        <v>Yes</v>
      </c>
      <c r="F129" s="114" t="str">
        <f>'2024 Legal Max'!AZ130</f>
        <v>A</v>
      </c>
      <c r="G129" s="113">
        <v>363</v>
      </c>
      <c r="H129" s="115" t="s">
        <v>933</v>
      </c>
      <c r="L129" s="1" t="s">
        <v>315</v>
      </c>
      <c r="M129" s="105" t="s">
        <v>57</v>
      </c>
      <c r="N129" s="105" t="s">
        <v>635</v>
      </c>
      <c r="O129" s="114">
        <f>'Preliminary SO66'!AH129</f>
        <v>1709.9</v>
      </c>
      <c r="P129" s="105">
        <f>SUMIF('PreliminaryHD AR - School Level'!$A$5:A512, "=" &amp; L129,'PreliminaryHD AR - School Level'!$M$5:M512)</f>
        <v>0</v>
      </c>
      <c r="Q129" s="114">
        <f>'2024 Legal Max'!AS130</f>
        <v>1701</v>
      </c>
      <c r="R129" s="105">
        <f>'2024 Legal Max'!AH130</f>
        <v>37.4</v>
      </c>
      <c r="U129" s="105" t="str">
        <f>'2024 Legal Max'!AZ130</f>
        <v>A</v>
      </c>
    </row>
    <row r="130" spans="1:21">
      <c r="A130" s="113">
        <v>334</v>
      </c>
      <c r="B130" s="105" t="s">
        <v>57</v>
      </c>
      <c r="C130" s="105" t="s">
        <v>636</v>
      </c>
      <c r="D130" s="118">
        <f>'2024 Legal Max'!T131</f>
        <v>0</v>
      </c>
      <c r="E130" s="118" t="e">
        <f t="shared" si="1"/>
        <v>#N/A</v>
      </c>
      <c r="F130" s="114" t="str">
        <f>'2024 Legal Max'!AZ131</f>
        <v>A</v>
      </c>
      <c r="G130" s="113">
        <v>364</v>
      </c>
      <c r="H130" s="115" t="s">
        <v>933</v>
      </c>
      <c r="L130" s="1" t="s">
        <v>316</v>
      </c>
      <c r="M130" s="105" t="s">
        <v>57</v>
      </c>
      <c r="N130" s="105" t="s">
        <v>636</v>
      </c>
      <c r="O130" s="114">
        <f>'Preliminary SO66'!AH130</f>
        <v>347.3</v>
      </c>
      <c r="P130" s="105">
        <f>SUMIF('PreliminaryHD AR - School Level'!$A$5:A513, "=" &amp; L130,'PreliminaryHD AR - School Level'!$M$5:M513)</f>
        <v>0</v>
      </c>
      <c r="Q130" s="114">
        <f>'2024 Legal Max'!AS131</f>
        <v>345.7</v>
      </c>
      <c r="R130" s="105">
        <f>'2024 Legal Max'!AH131</f>
        <v>8.1999999999999993</v>
      </c>
      <c r="U130" s="105" t="str">
        <f>'2024 Legal Max'!AZ131</f>
        <v>A</v>
      </c>
    </row>
    <row r="131" spans="1:21">
      <c r="A131" s="113">
        <v>335</v>
      </c>
      <c r="B131" s="105" t="s">
        <v>58</v>
      </c>
      <c r="C131" s="105" t="s">
        <v>637</v>
      </c>
      <c r="D131" s="118">
        <f>'2024 Legal Max'!T132</f>
        <v>17.5</v>
      </c>
      <c r="E131" s="118" t="str">
        <f t="shared" si="1"/>
        <v>Yes</v>
      </c>
      <c r="F131" s="114" t="str">
        <f>'2024 Legal Max'!AZ132</f>
        <v>A</v>
      </c>
      <c r="G131" s="113">
        <v>365</v>
      </c>
      <c r="H131" s="115" t="s">
        <v>933</v>
      </c>
      <c r="L131" s="1" t="s">
        <v>317</v>
      </c>
      <c r="M131" s="105" t="s">
        <v>58</v>
      </c>
      <c r="N131" s="105" t="s">
        <v>637</v>
      </c>
      <c r="O131" s="114">
        <f>'Preliminary SO66'!AH131</f>
        <v>733.4</v>
      </c>
      <c r="P131" s="105">
        <f>SUMIF('PreliminaryHD AR - School Level'!$A$5:A514, "=" &amp; L131,'PreliminaryHD AR - School Level'!$M$5:M514)</f>
        <v>0</v>
      </c>
      <c r="Q131" s="114">
        <f>'2024 Legal Max'!AS132</f>
        <v>727.1</v>
      </c>
      <c r="R131" s="105">
        <f>'2024 Legal Max'!AH132</f>
        <v>6.5</v>
      </c>
      <c r="U131" s="105" t="str">
        <f>'2024 Legal Max'!AZ132</f>
        <v>A</v>
      </c>
    </row>
    <row r="132" spans="1:21">
      <c r="A132" s="113">
        <v>336</v>
      </c>
      <c r="B132" s="105" t="s">
        <v>58</v>
      </c>
      <c r="C132" s="105" t="s">
        <v>638</v>
      </c>
      <c r="D132" s="118">
        <f>'2024 Legal Max'!T133</f>
        <v>14</v>
      </c>
      <c r="E132" s="118" t="str">
        <f t="shared" si="1"/>
        <v>Yes</v>
      </c>
      <c r="F132" s="114" t="str">
        <f>'2024 Legal Max'!AZ133</f>
        <v>A</v>
      </c>
      <c r="G132" s="113">
        <v>366</v>
      </c>
      <c r="H132" s="115" t="s">
        <v>933</v>
      </c>
      <c r="L132" s="1" t="s">
        <v>318</v>
      </c>
      <c r="M132" s="105" t="s">
        <v>58</v>
      </c>
      <c r="N132" s="105" t="s">
        <v>638</v>
      </c>
      <c r="O132" s="114">
        <f>'Preliminary SO66'!AH132</f>
        <v>1605.9</v>
      </c>
      <c r="P132" s="105">
        <f>SUMIF('PreliminaryHD AR - School Level'!$A$5:A515, "=" &amp; L132,'PreliminaryHD AR - School Level'!$M$5:M515)</f>
        <v>0</v>
      </c>
      <c r="Q132" s="114">
        <f>'2024 Legal Max'!AS133</f>
        <v>1599.8</v>
      </c>
      <c r="R132" s="105">
        <f>'2024 Legal Max'!AH133</f>
        <v>26.3</v>
      </c>
      <c r="U132" s="105" t="str">
        <f>'2024 Legal Max'!AZ133</f>
        <v>A</v>
      </c>
    </row>
    <row r="133" spans="1:21">
      <c r="A133" s="113">
        <v>337</v>
      </c>
      <c r="B133" s="105" t="s">
        <v>58</v>
      </c>
      <c r="C133" s="105" t="s">
        <v>639</v>
      </c>
      <c r="D133" s="118">
        <f>'2024 Legal Max'!T134</f>
        <v>9</v>
      </c>
      <c r="E133" s="118" t="str">
        <f t="shared" ref="E133:E196" si="2">VLOOKUP(A133,$G$4:$H$299,2,FALSE)</f>
        <v>Yes</v>
      </c>
      <c r="F133" s="114" t="str">
        <f>'2024 Legal Max'!AZ134</f>
        <v>A</v>
      </c>
      <c r="G133" s="113">
        <v>367</v>
      </c>
      <c r="H133" s="115" t="s">
        <v>933</v>
      </c>
      <c r="L133" s="1" t="s">
        <v>319</v>
      </c>
      <c r="M133" s="105" t="s">
        <v>58</v>
      </c>
      <c r="N133" s="105" t="s">
        <v>639</v>
      </c>
      <c r="O133" s="114">
        <f>'Preliminary SO66'!AH133</f>
        <v>1407.5</v>
      </c>
      <c r="P133" s="105">
        <f>SUMIF('PreliminaryHD AR - School Level'!$A$5:A516, "=" &amp; L133,'PreliminaryHD AR - School Level'!$M$5:M516)</f>
        <v>0</v>
      </c>
      <c r="Q133" s="114">
        <f>'2024 Legal Max'!AS134</f>
        <v>1405.4</v>
      </c>
      <c r="R133" s="105">
        <f>'2024 Legal Max'!AH134</f>
        <v>25.3</v>
      </c>
      <c r="U133" s="105" t="str">
        <f>'2024 Legal Max'!AZ134</f>
        <v>A</v>
      </c>
    </row>
    <row r="134" spans="1:21">
      <c r="A134" s="113">
        <v>338</v>
      </c>
      <c r="B134" s="105" t="s">
        <v>59</v>
      </c>
      <c r="C134" s="105" t="s">
        <v>640</v>
      </c>
      <c r="D134" s="118">
        <f>'2024 Legal Max'!T135</f>
        <v>3</v>
      </c>
      <c r="E134" s="118" t="str">
        <f t="shared" si="2"/>
        <v>Yes</v>
      </c>
      <c r="F134" s="114" t="str">
        <f>'2024 Legal Max'!AZ135</f>
        <v>A</v>
      </c>
      <c r="G134" s="113">
        <v>369</v>
      </c>
      <c r="H134" s="115" t="s">
        <v>933</v>
      </c>
      <c r="L134" s="1" t="s">
        <v>320</v>
      </c>
      <c r="M134" s="105" t="s">
        <v>59</v>
      </c>
      <c r="N134" s="105" t="s">
        <v>640</v>
      </c>
      <c r="O134" s="114">
        <f>'Preliminary SO66'!AH134</f>
        <v>661.2</v>
      </c>
      <c r="P134" s="105">
        <f>SUMIF('PreliminaryHD AR - School Level'!$A$5:A517, "=" &amp; L134,'PreliminaryHD AR - School Level'!$M$5:M517)</f>
        <v>0</v>
      </c>
      <c r="Q134" s="114">
        <f>'2024 Legal Max'!AS135</f>
        <v>652.79999999999995</v>
      </c>
      <c r="R134" s="105">
        <f>'2024 Legal Max'!AH135</f>
        <v>0</v>
      </c>
      <c r="U134" s="105" t="str">
        <f>'2024 Legal Max'!AZ135</f>
        <v>A</v>
      </c>
    </row>
    <row r="135" spans="1:21">
      <c r="A135" s="113">
        <v>339</v>
      </c>
      <c r="B135" s="105" t="s">
        <v>59</v>
      </c>
      <c r="C135" s="105" t="s">
        <v>641</v>
      </c>
      <c r="D135" s="118">
        <f>'2024 Legal Max'!T136</f>
        <v>5.5</v>
      </c>
      <c r="E135" s="118" t="str">
        <f t="shared" si="2"/>
        <v>Yes</v>
      </c>
      <c r="F135" s="114" t="str">
        <f>'2024 Legal Max'!AZ136</f>
        <v>A</v>
      </c>
      <c r="G135" s="113">
        <v>371</v>
      </c>
      <c r="H135" s="115" t="s">
        <v>933</v>
      </c>
      <c r="L135" s="1" t="s">
        <v>321</v>
      </c>
      <c r="M135" s="105" t="s">
        <v>59</v>
      </c>
      <c r="N135" s="105" t="s">
        <v>641</v>
      </c>
      <c r="O135" s="114">
        <f>'Preliminary SO66'!AH135</f>
        <v>746.7</v>
      </c>
      <c r="P135" s="105">
        <f>SUMIF('PreliminaryHD AR - School Level'!$A$5:A518, "=" &amp; L135,'PreliminaryHD AR - School Level'!$M$5:M518)</f>
        <v>0</v>
      </c>
      <c r="Q135" s="114">
        <f>'2024 Legal Max'!AS136</f>
        <v>742.6</v>
      </c>
      <c r="R135" s="105">
        <f>'2024 Legal Max'!AH136</f>
        <v>0</v>
      </c>
      <c r="U135" s="105" t="str">
        <f>'2024 Legal Max'!AZ136</f>
        <v>A</v>
      </c>
    </row>
    <row r="136" spans="1:21">
      <c r="A136" s="113">
        <v>340</v>
      </c>
      <c r="B136" s="105" t="s">
        <v>59</v>
      </c>
      <c r="C136" s="105" t="s">
        <v>642</v>
      </c>
      <c r="D136" s="118">
        <f>'2024 Legal Max'!T137</f>
        <v>0</v>
      </c>
      <c r="E136" s="118" t="e">
        <f t="shared" si="2"/>
        <v>#N/A</v>
      </c>
      <c r="F136" s="114" t="str">
        <f>'2024 Legal Max'!AZ137</f>
        <v>A</v>
      </c>
      <c r="G136" s="113">
        <v>372</v>
      </c>
      <c r="H136" s="115" t="s">
        <v>933</v>
      </c>
      <c r="L136" s="1" t="s">
        <v>322</v>
      </c>
      <c r="M136" s="105" t="s">
        <v>59</v>
      </c>
      <c r="N136" s="105" t="s">
        <v>642</v>
      </c>
      <c r="O136" s="114">
        <f>'Preliminary SO66'!AH136</f>
        <v>1265.3</v>
      </c>
      <c r="P136" s="105">
        <f>SUMIF('PreliminaryHD AR - School Level'!$A$5:A519, "=" &amp; L136,'PreliminaryHD AR - School Level'!$M$5:M519)</f>
        <v>0</v>
      </c>
      <c r="Q136" s="114">
        <f>'2024 Legal Max'!AS137</f>
        <v>1261.4000000000001</v>
      </c>
      <c r="R136" s="105">
        <f>'2024 Legal Max'!AH137</f>
        <v>0</v>
      </c>
      <c r="U136" s="105" t="str">
        <f>'2024 Legal Max'!AZ137</f>
        <v>A</v>
      </c>
    </row>
    <row r="137" spans="1:21">
      <c r="A137" s="113">
        <v>341</v>
      </c>
      <c r="B137" s="105" t="s">
        <v>59</v>
      </c>
      <c r="C137" s="105" t="s">
        <v>643</v>
      </c>
      <c r="D137" s="118">
        <f>'2024 Legal Max'!T138</f>
        <v>12</v>
      </c>
      <c r="E137" s="118" t="str">
        <f t="shared" si="2"/>
        <v>Yes</v>
      </c>
      <c r="F137" s="114" t="str">
        <f>'2024 Legal Max'!AZ138</f>
        <v>A</v>
      </c>
      <c r="G137" s="113">
        <v>373</v>
      </c>
      <c r="H137" s="115" t="s">
        <v>933</v>
      </c>
      <c r="L137" s="1" t="s">
        <v>323</v>
      </c>
      <c r="M137" s="105" t="s">
        <v>59</v>
      </c>
      <c r="N137" s="105" t="s">
        <v>643</v>
      </c>
      <c r="O137" s="114">
        <f>'Preliminary SO66'!AH137</f>
        <v>956.5</v>
      </c>
      <c r="P137" s="105">
        <f>SUMIF('PreliminaryHD AR - School Level'!$A$5:A520, "=" &amp; L137,'PreliminaryHD AR - School Level'!$M$5:M520)</f>
        <v>0</v>
      </c>
      <c r="Q137" s="114">
        <f>'2024 Legal Max'!AS138</f>
        <v>951.3</v>
      </c>
      <c r="R137" s="105">
        <f>'2024 Legal Max'!AH138</f>
        <v>2.6</v>
      </c>
      <c r="U137" s="105" t="str">
        <f>'2024 Legal Max'!AZ138</f>
        <v>A</v>
      </c>
    </row>
    <row r="138" spans="1:21">
      <c r="A138" s="113">
        <v>342</v>
      </c>
      <c r="B138" s="105" t="s">
        <v>59</v>
      </c>
      <c r="C138" s="105" t="s">
        <v>644</v>
      </c>
      <c r="D138" s="118">
        <f>'2024 Legal Max'!T139</f>
        <v>12</v>
      </c>
      <c r="E138" s="118" t="str">
        <f t="shared" si="2"/>
        <v>Yes</v>
      </c>
      <c r="F138" s="114" t="str">
        <f>'2024 Legal Max'!AZ139</f>
        <v>A</v>
      </c>
      <c r="G138" s="113">
        <v>374</v>
      </c>
      <c r="H138" s="115" t="s">
        <v>933</v>
      </c>
      <c r="L138" s="1" t="s">
        <v>324</v>
      </c>
      <c r="M138" s="105" t="s">
        <v>59</v>
      </c>
      <c r="N138" s="105" t="s">
        <v>644</v>
      </c>
      <c r="O138" s="114">
        <f>'Preliminary SO66'!AH138</f>
        <v>780.3</v>
      </c>
      <c r="P138" s="105">
        <f>SUMIF('PreliminaryHD AR - School Level'!$A$5:A521, "=" &amp; L138,'PreliminaryHD AR - School Level'!$M$5:M521)</f>
        <v>0</v>
      </c>
      <c r="Q138" s="114">
        <f>'2024 Legal Max'!AS139</f>
        <v>777.4</v>
      </c>
      <c r="R138" s="105">
        <f>'2024 Legal Max'!AH139</f>
        <v>6.3</v>
      </c>
      <c r="U138" s="105" t="str">
        <f>'2024 Legal Max'!AZ139</f>
        <v>A</v>
      </c>
    </row>
    <row r="139" spans="1:21">
      <c r="A139" s="113">
        <v>343</v>
      </c>
      <c r="B139" s="105" t="s">
        <v>59</v>
      </c>
      <c r="C139" s="105" t="s">
        <v>645</v>
      </c>
      <c r="D139" s="118">
        <f>'2024 Legal Max'!T140</f>
        <v>1.5</v>
      </c>
      <c r="E139" s="118" t="str">
        <f t="shared" si="2"/>
        <v>Yes</v>
      </c>
      <c r="F139" s="114" t="str">
        <f>'2024 Legal Max'!AZ140</f>
        <v>A</v>
      </c>
      <c r="G139" s="113">
        <v>375</v>
      </c>
      <c r="H139" s="115" t="s">
        <v>933</v>
      </c>
      <c r="L139" s="1" t="s">
        <v>325</v>
      </c>
      <c r="M139" s="105" t="s">
        <v>59</v>
      </c>
      <c r="N139" s="105" t="s">
        <v>645</v>
      </c>
      <c r="O139" s="114">
        <f>'Preliminary SO66'!AH139</f>
        <v>1207.7</v>
      </c>
      <c r="P139" s="105">
        <f>SUMIF('PreliminaryHD AR - School Level'!$A$5:A522, "=" &amp; L139,'PreliminaryHD AR - School Level'!$M$5:M522)</f>
        <v>0</v>
      </c>
      <c r="Q139" s="114">
        <f>'2024 Legal Max'!AS140</f>
        <v>1199.7</v>
      </c>
      <c r="R139" s="105">
        <f>'2024 Legal Max'!AH140</f>
        <v>1.3</v>
      </c>
      <c r="U139" s="105" t="str">
        <f>'2024 Legal Max'!AZ140</f>
        <v>A</v>
      </c>
    </row>
    <row r="140" spans="1:21">
      <c r="A140" s="113">
        <v>344</v>
      </c>
      <c r="B140" s="105" t="s">
        <v>60</v>
      </c>
      <c r="C140" s="105" t="s">
        <v>646</v>
      </c>
      <c r="D140" s="118">
        <f>'2024 Legal Max'!T141</f>
        <v>10</v>
      </c>
      <c r="E140" s="118" t="str">
        <f t="shared" si="2"/>
        <v>Yes</v>
      </c>
      <c r="F140" s="114" t="str">
        <f>'2024 Legal Max'!AZ141</f>
        <v>A</v>
      </c>
      <c r="G140" s="113">
        <v>376</v>
      </c>
      <c r="H140" s="115" t="s">
        <v>933</v>
      </c>
      <c r="L140" s="1" t="s">
        <v>326</v>
      </c>
      <c r="M140" s="105" t="s">
        <v>60</v>
      </c>
      <c r="N140" s="105" t="s">
        <v>646</v>
      </c>
      <c r="O140" s="114">
        <f>'Preliminary SO66'!AH140</f>
        <v>631.20000000000005</v>
      </c>
      <c r="P140" s="105">
        <f>SUMIF('PreliminaryHD AR - School Level'!$A$5:A523, "=" &amp; L140,'PreliminaryHD AR - School Level'!$M$5:M523)</f>
        <v>0</v>
      </c>
      <c r="Q140" s="114">
        <f>'2024 Legal Max'!AS141</f>
        <v>627.9</v>
      </c>
      <c r="R140" s="105">
        <f>'2024 Legal Max'!AH141</f>
        <v>12</v>
      </c>
      <c r="U140" s="105" t="str">
        <f>'2024 Legal Max'!AZ141</f>
        <v>A</v>
      </c>
    </row>
    <row r="141" spans="1:21">
      <c r="A141" s="113">
        <v>345</v>
      </c>
      <c r="B141" s="105" t="s">
        <v>61</v>
      </c>
      <c r="C141" s="105" t="s">
        <v>647</v>
      </c>
      <c r="D141" s="118">
        <f>'2024 Legal Max'!T142</f>
        <v>59.5</v>
      </c>
      <c r="E141" s="118" t="str">
        <f t="shared" si="2"/>
        <v>Yes</v>
      </c>
      <c r="F141" s="114" t="str">
        <f>'2024 Legal Max'!AZ142</f>
        <v>A</v>
      </c>
      <c r="G141" s="113">
        <v>377</v>
      </c>
      <c r="H141" s="115" t="s">
        <v>933</v>
      </c>
      <c r="L141" s="1" t="s">
        <v>327</v>
      </c>
      <c r="M141" s="105" t="s">
        <v>61</v>
      </c>
      <c r="N141" s="105" t="s">
        <v>647</v>
      </c>
      <c r="O141" s="114">
        <f>'Preliminary SO66'!AH141</f>
        <v>4853.1000000000004</v>
      </c>
      <c r="P141" s="105">
        <f>SUMIF('PreliminaryHD AR - School Level'!$A$5:A524, "=" &amp; L141,'PreliminaryHD AR - School Level'!$M$5:M524)</f>
        <v>0</v>
      </c>
      <c r="Q141" s="114">
        <f>'2024 Legal Max'!AS142</f>
        <v>4807.5</v>
      </c>
      <c r="R141" s="105">
        <f>'2024 Legal Max'!AH142</f>
        <v>35.4</v>
      </c>
      <c r="U141" s="105" t="str">
        <f>'2024 Legal Max'!AZ142</f>
        <v>A</v>
      </c>
    </row>
    <row r="142" spans="1:21">
      <c r="A142" s="113">
        <v>346</v>
      </c>
      <c r="B142" s="105" t="s">
        <v>60</v>
      </c>
      <c r="C142" s="105" t="s">
        <v>648</v>
      </c>
      <c r="D142" s="118">
        <f>'2024 Legal Max'!T143</f>
        <v>11</v>
      </c>
      <c r="E142" s="118" t="str">
        <f t="shared" si="2"/>
        <v>Yes</v>
      </c>
      <c r="F142" s="114" t="str">
        <f>'2024 Legal Max'!AZ143</f>
        <v>A</v>
      </c>
      <c r="G142" s="113">
        <v>379</v>
      </c>
      <c r="H142" s="115" t="s">
        <v>933</v>
      </c>
      <c r="L142" s="1" t="s">
        <v>328</v>
      </c>
      <c r="M142" s="105" t="s">
        <v>60</v>
      </c>
      <c r="N142" s="105" t="s">
        <v>648</v>
      </c>
      <c r="O142" s="114">
        <f>'Preliminary SO66'!AH142</f>
        <v>1041.9000000000001</v>
      </c>
      <c r="P142" s="105">
        <f>SUMIF('PreliminaryHD AR - School Level'!$A$5:A525, "=" &amp; L142,'PreliminaryHD AR - School Level'!$M$5:M525)</f>
        <v>0</v>
      </c>
      <c r="Q142" s="114">
        <f>'2024 Legal Max'!AS143</f>
        <v>1035.0999999999999</v>
      </c>
      <c r="R142" s="105">
        <f>'2024 Legal Max'!AH143</f>
        <v>25.5</v>
      </c>
      <c r="U142" s="105" t="str">
        <f>'2024 Legal Max'!AZ143</f>
        <v>A</v>
      </c>
    </row>
    <row r="143" spans="1:21">
      <c r="A143" s="113">
        <v>347</v>
      </c>
      <c r="B143" s="105" t="s">
        <v>62</v>
      </c>
      <c r="C143" s="105" t="s">
        <v>649</v>
      </c>
      <c r="D143" s="118">
        <f>'2024 Legal Max'!T144</f>
        <v>5</v>
      </c>
      <c r="E143" s="118" t="str">
        <f t="shared" si="2"/>
        <v>Yes</v>
      </c>
      <c r="F143" s="114" t="str">
        <f>'2024 Legal Max'!AZ144</f>
        <v>A</v>
      </c>
      <c r="G143" s="113">
        <v>380</v>
      </c>
      <c r="H143" s="115" t="s">
        <v>933</v>
      </c>
      <c r="L143" s="1" t="s">
        <v>329</v>
      </c>
      <c r="M143" s="105" t="s">
        <v>62</v>
      </c>
      <c r="N143" s="105" t="s">
        <v>649</v>
      </c>
      <c r="O143" s="114">
        <f>'Preliminary SO66'!AH143</f>
        <v>552.6</v>
      </c>
      <c r="P143" s="105">
        <f>SUMIF('PreliminaryHD AR - School Level'!$A$5:A526, "=" &amp; L143,'PreliminaryHD AR - School Level'!$M$5:M526)</f>
        <v>0</v>
      </c>
      <c r="Q143" s="114">
        <f>'2024 Legal Max'!AS144</f>
        <v>552.6</v>
      </c>
      <c r="R143" s="105">
        <f>'2024 Legal Max'!AH144</f>
        <v>8.9</v>
      </c>
      <c r="U143" s="105" t="str">
        <f>'2024 Legal Max'!AZ144</f>
        <v>A</v>
      </c>
    </row>
    <row r="144" spans="1:21">
      <c r="A144" s="113">
        <v>348</v>
      </c>
      <c r="B144" s="105" t="s">
        <v>63</v>
      </c>
      <c r="C144" s="105" t="s">
        <v>650</v>
      </c>
      <c r="D144" s="118">
        <f>'2024 Legal Max'!T145</f>
        <v>26.5</v>
      </c>
      <c r="E144" s="118" t="str">
        <f t="shared" si="2"/>
        <v>Yes</v>
      </c>
      <c r="F144" s="114" t="str">
        <f>'2024 Legal Max'!AZ145</f>
        <v>A</v>
      </c>
      <c r="G144" s="113">
        <v>381</v>
      </c>
      <c r="H144" s="115" t="s">
        <v>933</v>
      </c>
      <c r="L144" s="1" t="s">
        <v>330</v>
      </c>
      <c r="M144" s="105" t="s">
        <v>63</v>
      </c>
      <c r="N144" s="105" t="s">
        <v>650</v>
      </c>
      <c r="O144" s="114">
        <f>'Preliminary SO66'!AH144</f>
        <v>1776.5</v>
      </c>
      <c r="P144" s="105">
        <f>SUMIF('PreliminaryHD AR - School Level'!$A$5:A527, "=" &amp; L144,'PreliminaryHD AR - School Level'!$M$5:M527)</f>
        <v>0</v>
      </c>
      <c r="Q144" s="114">
        <f>'2024 Legal Max'!AS145</f>
        <v>1771.4</v>
      </c>
      <c r="R144" s="105">
        <f>'2024 Legal Max'!AH145</f>
        <v>0</v>
      </c>
      <c r="U144" s="105" t="str">
        <f>'2024 Legal Max'!AZ145</f>
        <v>A</v>
      </c>
    </row>
    <row r="145" spans="1:21">
      <c r="A145" s="113">
        <v>349</v>
      </c>
      <c r="B145" s="105" t="s">
        <v>64</v>
      </c>
      <c r="C145" s="105" t="s">
        <v>651</v>
      </c>
      <c r="D145" s="118">
        <f>'2024 Legal Max'!T146</f>
        <v>6.5</v>
      </c>
      <c r="E145" s="118" t="str">
        <f t="shared" si="2"/>
        <v>Yes</v>
      </c>
      <c r="F145" s="114" t="str">
        <f>'2024 Legal Max'!AZ146</f>
        <v>A</v>
      </c>
      <c r="G145" s="113">
        <v>382</v>
      </c>
      <c r="H145" s="115" t="s">
        <v>933</v>
      </c>
      <c r="L145" s="1" t="s">
        <v>331</v>
      </c>
      <c r="M145" s="105" t="s">
        <v>64</v>
      </c>
      <c r="N145" s="105" t="s">
        <v>651</v>
      </c>
      <c r="O145" s="114">
        <f>'Preliminary SO66'!AH145</f>
        <v>510.5</v>
      </c>
      <c r="P145" s="105">
        <f>SUMIF('PreliminaryHD AR - School Level'!$A$5:A528, "=" &amp; L145,'PreliminaryHD AR - School Level'!$M$5:M528)</f>
        <v>0</v>
      </c>
      <c r="Q145" s="114">
        <f>'2024 Legal Max'!AS146</f>
        <v>511.1</v>
      </c>
      <c r="R145" s="105">
        <f>'2024 Legal Max'!AH146</f>
        <v>13.7</v>
      </c>
      <c r="U145" s="105" t="str">
        <f>'2024 Legal Max'!AZ146</f>
        <v>A</v>
      </c>
    </row>
    <row r="146" spans="1:21">
      <c r="A146" s="113">
        <v>350</v>
      </c>
      <c r="B146" s="105" t="s">
        <v>64</v>
      </c>
      <c r="C146" s="105" t="s">
        <v>652</v>
      </c>
      <c r="D146" s="118">
        <f>'2024 Legal Max'!T147</f>
        <v>5</v>
      </c>
      <c r="E146" s="118" t="str">
        <f t="shared" si="2"/>
        <v>Yes</v>
      </c>
      <c r="F146" s="114" t="str">
        <f>'2024 Legal Max'!AZ147</f>
        <v>A</v>
      </c>
      <c r="G146" s="113">
        <v>383</v>
      </c>
      <c r="H146" s="115" t="s">
        <v>933</v>
      </c>
      <c r="L146" s="1" t="s">
        <v>332</v>
      </c>
      <c r="M146" s="105" t="s">
        <v>64</v>
      </c>
      <c r="N146" s="105" t="s">
        <v>652</v>
      </c>
      <c r="O146" s="114">
        <f>'Preliminary SO66'!AH146</f>
        <v>564.9</v>
      </c>
      <c r="P146" s="105">
        <f>SUMIF('PreliminaryHD AR - School Level'!$A$5:A529, "=" &amp; L146,'PreliminaryHD AR - School Level'!$M$5:M529)</f>
        <v>0</v>
      </c>
      <c r="Q146" s="114">
        <f>'2024 Legal Max'!AS147</f>
        <v>556.4</v>
      </c>
      <c r="R146" s="105">
        <f>'2024 Legal Max'!AH147</f>
        <v>4.2</v>
      </c>
      <c r="U146" s="105" t="str">
        <f>'2024 Legal Max'!AZ147</f>
        <v>A</v>
      </c>
    </row>
    <row r="147" spans="1:21">
      <c r="A147" s="113">
        <v>351</v>
      </c>
      <c r="B147" s="105" t="s">
        <v>64</v>
      </c>
      <c r="C147" s="105" t="s">
        <v>653</v>
      </c>
      <c r="D147" s="118">
        <f>'2024 Legal Max'!T148</f>
        <v>5.5</v>
      </c>
      <c r="E147" s="118" t="str">
        <f t="shared" si="2"/>
        <v>Yes</v>
      </c>
      <c r="F147" s="114" t="str">
        <f>'2024 Legal Max'!AZ148</f>
        <v>A</v>
      </c>
      <c r="G147" s="113">
        <v>384</v>
      </c>
      <c r="H147" s="115" t="s">
        <v>933</v>
      </c>
      <c r="L147" s="1" t="s">
        <v>333</v>
      </c>
      <c r="M147" s="105" t="s">
        <v>64</v>
      </c>
      <c r="N147" s="105" t="s">
        <v>653</v>
      </c>
      <c r="O147" s="114">
        <f>'Preliminary SO66'!AH147</f>
        <v>423.8</v>
      </c>
      <c r="P147" s="105">
        <f>SUMIF('PreliminaryHD AR - School Level'!$A$5:A530, "=" &amp; L147,'PreliminaryHD AR - School Level'!$M$5:M530)</f>
        <v>0</v>
      </c>
      <c r="Q147" s="114">
        <f>'2024 Legal Max'!AS148</f>
        <v>419.1</v>
      </c>
      <c r="R147" s="105">
        <f>'2024 Legal Max'!AH148</f>
        <v>10.3</v>
      </c>
      <c r="U147" s="105" t="str">
        <f>'2024 Legal Max'!AZ148</f>
        <v>A</v>
      </c>
    </row>
    <row r="148" spans="1:21">
      <c r="A148" s="113">
        <v>352</v>
      </c>
      <c r="B148" s="105" t="s">
        <v>65</v>
      </c>
      <c r="C148" s="105" t="s">
        <v>654</v>
      </c>
      <c r="D148" s="118">
        <f>'2024 Legal Max'!T149</f>
        <v>13</v>
      </c>
      <c r="E148" s="118" t="str">
        <f t="shared" si="2"/>
        <v>Yes</v>
      </c>
      <c r="F148" s="114" t="str">
        <f>'2024 Legal Max'!AZ149</f>
        <v>A</v>
      </c>
      <c r="G148" s="113">
        <v>385</v>
      </c>
      <c r="H148" s="115" t="s">
        <v>933</v>
      </c>
      <c r="L148" s="1" t="s">
        <v>334</v>
      </c>
      <c r="M148" s="105" t="s">
        <v>65</v>
      </c>
      <c r="N148" s="105" t="s">
        <v>654</v>
      </c>
      <c r="O148" s="114">
        <f>'Preliminary SO66'!AH148</f>
        <v>1439.6</v>
      </c>
      <c r="P148" s="105">
        <f>SUMIF('PreliminaryHD AR - School Level'!$A$5:A531, "=" &amp; L148,'PreliminaryHD AR - School Level'!$M$5:M531)</f>
        <v>0</v>
      </c>
      <c r="Q148" s="114">
        <f>'2024 Legal Max'!AS149</f>
        <v>1440.5</v>
      </c>
      <c r="R148" s="105">
        <f>'2024 Legal Max'!AH149</f>
        <v>31.3</v>
      </c>
      <c r="U148" s="105" t="str">
        <f>'2024 Legal Max'!AZ149</f>
        <v>A</v>
      </c>
    </row>
    <row r="149" spans="1:21">
      <c r="A149" s="113">
        <v>353</v>
      </c>
      <c r="B149" s="105" t="s">
        <v>66</v>
      </c>
      <c r="C149" s="105" t="s">
        <v>655</v>
      </c>
      <c r="D149" s="118">
        <f>'2024 Legal Max'!T150</f>
        <v>10</v>
      </c>
      <c r="E149" s="118" t="str">
        <f t="shared" si="2"/>
        <v>Yes</v>
      </c>
      <c r="F149" s="114" t="str">
        <f>'2024 Legal Max'!AZ150</f>
        <v>A</v>
      </c>
      <c r="G149" s="113">
        <v>386</v>
      </c>
      <c r="H149" s="115" t="s">
        <v>933</v>
      </c>
      <c r="L149" s="1" t="s">
        <v>335</v>
      </c>
      <c r="M149" s="105" t="s">
        <v>66</v>
      </c>
      <c r="N149" s="105" t="s">
        <v>655</v>
      </c>
      <c r="O149" s="114">
        <f>'Preliminary SO66'!AH149</f>
        <v>2163</v>
      </c>
      <c r="P149" s="105">
        <f>SUMIF('PreliminaryHD AR - School Level'!$A$5:A532, "=" &amp; L149,'PreliminaryHD AR - School Level'!$M$5:M532)</f>
        <v>0</v>
      </c>
      <c r="Q149" s="114">
        <f>'2024 Legal Max'!AS150</f>
        <v>2154.5</v>
      </c>
      <c r="R149" s="105">
        <f>'2024 Legal Max'!AH150</f>
        <v>77.099999999999994</v>
      </c>
      <c r="U149" s="105" t="str">
        <f>'2024 Legal Max'!AZ150</f>
        <v>A</v>
      </c>
    </row>
    <row r="150" spans="1:21">
      <c r="A150" s="113">
        <v>355</v>
      </c>
      <c r="B150" s="105" t="s">
        <v>67</v>
      </c>
      <c r="C150" s="105" t="s">
        <v>656</v>
      </c>
      <c r="D150" s="118">
        <f>'2024 Legal Max'!T151</f>
        <v>0.5</v>
      </c>
      <c r="E150" s="118" t="e">
        <f t="shared" si="2"/>
        <v>#N/A</v>
      </c>
      <c r="F150" s="114" t="str">
        <f>'2024 Legal Max'!AZ151</f>
        <v>A</v>
      </c>
      <c r="G150" s="113">
        <v>387</v>
      </c>
      <c r="H150" s="115" t="s">
        <v>933</v>
      </c>
      <c r="L150" s="1" t="s">
        <v>336</v>
      </c>
      <c r="M150" s="105" t="s">
        <v>67</v>
      </c>
      <c r="N150" s="105" t="s">
        <v>656</v>
      </c>
      <c r="O150" s="114">
        <f>'Preliminary SO66'!AH150</f>
        <v>727.7</v>
      </c>
      <c r="P150" s="105">
        <f>SUMIF('PreliminaryHD AR - School Level'!$A$5:A533, "=" &amp; L150,'PreliminaryHD AR - School Level'!$M$5:M533)</f>
        <v>0</v>
      </c>
      <c r="Q150" s="114">
        <f>'2024 Legal Max'!AS151</f>
        <v>729.2</v>
      </c>
      <c r="R150" s="105">
        <f>'2024 Legal Max'!AH151</f>
        <v>1</v>
      </c>
      <c r="U150" s="105" t="str">
        <f>'2024 Legal Max'!AZ151</f>
        <v>A</v>
      </c>
    </row>
    <row r="151" spans="1:21">
      <c r="A151" s="113">
        <v>356</v>
      </c>
      <c r="B151" s="105" t="s">
        <v>66</v>
      </c>
      <c r="C151" s="105" t="s">
        <v>657</v>
      </c>
      <c r="D151" s="118">
        <f>'2024 Legal Max'!T152</f>
        <v>4</v>
      </c>
      <c r="E151" s="118" t="str">
        <f t="shared" si="2"/>
        <v>Yes</v>
      </c>
      <c r="F151" s="114" t="str">
        <f>'2024 Legal Max'!AZ152</f>
        <v>A</v>
      </c>
      <c r="G151" s="113">
        <v>389</v>
      </c>
      <c r="H151" s="115" t="s">
        <v>933</v>
      </c>
      <c r="L151" s="1" t="s">
        <v>337</v>
      </c>
      <c r="M151" s="105" t="s">
        <v>66</v>
      </c>
      <c r="N151" s="105" t="s">
        <v>657</v>
      </c>
      <c r="O151" s="114">
        <f>'Preliminary SO66'!AH151</f>
        <v>667.8</v>
      </c>
      <c r="P151" s="105">
        <f>SUMIF('PreliminaryHD AR - School Level'!$A$5:A534, "=" &amp; L151,'PreliminaryHD AR - School Level'!$M$5:M534)</f>
        <v>0</v>
      </c>
      <c r="Q151" s="114">
        <f>'2024 Legal Max'!AS152</f>
        <v>666.2</v>
      </c>
      <c r="R151" s="105">
        <f>'2024 Legal Max'!AH152</f>
        <v>0</v>
      </c>
      <c r="U151" s="105" t="str">
        <f>'2024 Legal Max'!AZ152</f>
        <v>A</v>
      </c>
    </row>
    <row r="152" spans="1:21">
      <c r="A152" s="113">
        <v>357</v>
      </c>
      <c r="B152" s="105" t="s">
        <v>66</v>
      </c>
      <c r="C152" s="105" t="s">
        <v>658</v>
      </c>
      <c r="D152" s="118">
        <f>'2024 Legal Max'!T153</f>
        <v>10.5</v>
      </c>
      <c r="E152" s="118" t="str">
        <f t="shared" si="2"/>
        <v>Yes</v>
      </c>
      <c r="F152" s="114" t="str">
        <f>'2024 Legal Max'!AZ153</f>
        <v>A</v>
      </c>
      <c r="G152" s="113">
        <v>390</v>
      </c>
      <c r="H152" s="115" t="s">
        <v>933</v>
      </c>
      <c r="L152" s="1" t="s">
        <v>338</v>
      </c>
      <c r="M152" s="105" t="s">
        <v>66</v>
      </c>
      <c r="N152" s="105" t="s">
        <v>658</v>
      </c>
      <c r="O152" s="114">
        <f>'Preliminary SO66'!AH152</f>
        <v>963.1</v>
      </c>
      <c r="P152" s="105">
        <f>SUMIF('PreliminaryHD AR - School Level'!$A$5:A535, "=" &amp; L152,'PreliminaryHD AR - School Level'!$M$5:M535)</f>
        <v>0</v>
      </c>
      <c r="Q152" s="114">
        <f>'2024 Legal Max'!AS153</f>
        <v>964.3</v>
      </c>
      <c r="R152" s="105">
        <f>'2024 Legal Max'!AH153</f>
        <v>10.3</v>
      </c>
      <c r="U152" s="105" t="str">
        <f>'2024 Legal Max'!AZ153</f>
        <v>A</v>
      </c>
    </row>
    <row r="153" spans="1:21">
      <c r="A153" s="113">
        <v>358</v>
      </c>
      <c r="B153" s="105" t="s">
        <v>66</v>
      </c>
      <c r="C153" s="105" t="s">
        <v>659</v>
      </c>
      <c r="D153" s="118">
        <f>'2024 Legal Max'!T154</f>
        <v>4.5</v>
      </c>
      <c r="E153" s="118" t="str">
        <f t="shared" si="2"/>
        <v>Yes</v>
      </c>
      <c r="F153" s="114" t="str">
        <f>'2024 Legal Max'!AZ154</f>
        <v>A</v>
      </c>
      <c r="G153" s="113">
        <v>392</v>
      </c>
      <c r="H153" s="115" t="s">
        <v>933</v>
      </c>
      <c r="L153" s="1" t="s">
        <v>339</v>
      </c>
      <c r="M153" s="105" t="s">
        <v>66</v>
      </c>
      <c r="N153" s="105" t="s">
        <v>659</v>
      </c>
      <c r="O153" s="114">
        <f>'Preliminary SO66'!AH153</f>
        <v>657.1</v>
      </c>
      <c r="P153" s="105">
        <f>SUMIF('PreliminaryHD AR - School Level'!$A$5:A536, "=" &amp; L153,'PreliminaryHD AR - School Level'!$M$5:M536)</f>
        <v>0</v>
      </c>
      <c r="Q153" s="114">
        <f>'2024 Legal Max'!AS154</f>
        <v>654.6</v>
      </c>
      <c r="R153" s="105">
        <f>'2024 Legal Max'!AH154</f>
        <v>1.4</v>
      </c>
      <c r="U153" s="105" t="str">
        <f>'2024 Legal Max'!AZ154</f>
        <v>A</v>
      </c>
    </row>
    <row r="154" spans="1:21">
      <c r="A154" s="113">
        <v>359</v>
      </c>
      <c r="B154" s="105" t="s">
        <v>66</v>
      </c>
      <c r="C154" s="105" t="s">
        <v>660</v>
      </c>
      <c r="D154" s="118">
        <f>'2024 Legal Max'!T155</f>
        <v>2.5</v>
      </c>
      <c r="E154" s="118" t="str">
        <f t="shared" si="2"/>
        <v>Yes</v>
      </c>
      <c r="F154" s="114" t="str">
        <f>'2024 Legal Max'!AZ155</f>
        <v>A</v>
      </c>
      <c r="G154" s="113">
        <v>393</v>
      </c>
      <c r="H154" s="115" t="s">
        <v>933</v>
      </c>
      <c r="L154" s="1" t="s">
        <v>340</v>
      </c>
      <c r="M154" s="105" t="s">
        <v>66</v>
      </c>
      <c r="N154" s="105" t="s">
        <v>660</v>
      </c>
      <c r="O154" s="114">
        <f>'Preliminary SO66'!AH154</f>
        <v>343.8</v>
      </c>
      <c r="P154" s="105">
        <f>SUMIF('PreliminaryHD AR - School Level'!$A$5:A537, "=" &amp; L154,'PreliminaryHD AR - School Level'!$M$5:M537)</f>
        <v>0</v>
      </c>
      <c r="Q154" s="114">
        <f>'2024 Legal Max'!AS155</f>
        <v>343</v>
      </c>
      <c r="R154" s="105">
        <f>'2024 Legal Max'!AH155</f>
        <v>2.7</v>
      </c>
      <c r="U154" s="105" t="str">
        <f>'2024 Legal Max'!AZ155</f>
        <v>A</v>
      </c>
    </row>
    <row r="155" spans="1:21">
      <c r="A155" s="113">
        <v>360</v>
      </c>
      <c r="B155" s="105" t="s">
        <v>66</v>
      </c>
      <c r="C155" s="105" t="s">
        <v>661</v>
      </c>
      <c r="D155" s="118">
        <f>'2024 Legal Max'!T156</f>
        <v>3.5</v>
      </c>
      <c r="E155" s="118" t="str">
        <f t="shared" si="2"/>
        <v>Yes</v>
      </c>
      <c r="F155" s="114" t="str">
        <f>'2024 Legal Max'!AZ156</f>
        <v>A</v>
      </c>
      <c r="G155" s="113">
        <v>394</v>
      </c>
      <c r="H155" s="115" t="s">
        <v>933</v>
      </c>
      <c r="L155" s="1" t="s">
        <v>341</v>
      </c>
      <c r="M155" s="105" t="s">
        <v>66</v>
      </c>
      <c r="N155" s="105" t="s">
        <v>661</v>
      </c>
      <c r="O155" s="114">
        <f>'Preliminary SO66'!AH155</f>
        <v>481.1</v>
      </c>
      <c r="P155" s="105">
        <f>SUMIF('PreliminaryHD AR - School Level'!$A$5:A538, "=" &amp; L155,'PreliminaryHD AR - School Level'!$M$5:M538)</f>
        <v>0</v>
      </c>
      <c r="Q155" s="114">
        <f>'2024 Legal Max'!AS156</f>
        <v>481.2</v>
      </c>
      <c r="R155" s="105">
        <f>'2024 Legal Max'!AH156</f>
        <v>14.7</v>
      </c>
      <c r="U155" s="105" t="str">
        <f>'2024 Legal Max'!AZ156</f>
        <v>A</v>
      </c>
    </row>
    <row r="156" spans="1:21">
      <c r="A156" s="113">
        <v>361</v>
      </c>
      <c r="B156" s="105" t="s">
        <v>68</v>
      </c>
      <c r="C156" s="105" t="s">
        <v>662</v>
      </c>
      <c r="D156" s="118">
        <f>'2024 Legal Max'!T157</f>
        <v>13</v>
      </c>
      <c r="E156" s="118" t="str">
        <f t="shared" si="2"/>
        <v>Yes</v>
      </c>
      <c r="F156" s="114" t="str">
        <f>'2024 Legal Max'!AZ157</f>
        <v>A</v>
      </c>
      <c r="G156" s="113">
        <v>396</v>
      </c>
      <c r="H156" s="115" t="s">
        <v>933</v>
      </c>
      <c r="L156" s="1" t="s">
        <v>342</v>
      </c>
      <c r="M156" s="105" t="s">
        <v>68</v>
      </c>
      <c r="N156" s="105" t="s">
        <v>662</v>
      </c>
      <c r="O156" s="114">
        <f>'Preliminary SO66'!AH156</f>
        <v>1423.5</v>
      </c>
      <c r="P156" s="105">
        <f>SUMIF('PreliminaryHD AR - School Level'!$A$5:A539, "=" &amp; L156,'PreliminaryHD AR - School Level'!$M$5:M539)</f>
        <v>0</v>
      </c>
      <c r="Q156" s="114">
        <f>'2024 Legal Max'!AS157</f>
        <v>1418.1</v>
      </c>
      <c r="R156" s="105">
        <f>'2024 Legal Max'!AH157</f>
        <v>46.2</v>
      </c>
      <c r="U156" s="105" t="str">
        <f>'2024 Legal Max'!AZ157</f>
        <v>A</v>
      </c>
    </row>
    <row r="157" spans="1:21">
      <c r="A157" s="113">
        <v>362</v>
      </c>
      <c r="B157" s="105" t="s">
        <v>60</v>
      </c>
      <c r="C157" s="105" t="s">
        <v>663</v>
      </c>
      <c r="D157" s="118">
        <f>'2024 Legal Max'!T158</f>
        <v>18</v>
      </c>
      <c r="E157" s="118" t="e">
        <f t="shared" si="2"/>
        <v>#N/A</v>
      </c>
      <c r="F157" s="114" t="str">
        <f>'2024 Legal Max'!AZ158</f>
        <v>A</v>
      </c>
      <c r="G157" s="113">
        <v>397</v>
      </c>
      <c r="H157" s="115" t="s">
        <v>933</v>
      </c>
      <c r="L157" s="1" t="s">
        <v>343</v>
      </c>
      <c r="M157" s="105" t="s">
        <v>60</v>
      </c>
      <c r="N157" s="105" t="s">
        <v>663</v>
      </c>
      <c r="O157" s="114">
        <f>'Preliminary SO66'!AH157</f>
        <v>1462.8</v>
      </c>
      <c r="P157" s="105">
        <f>SUMIF('PreliminaryHD AR - School Level'!$A$5:A540, "=" &amp; L157,'PreliminaryHD AR - School Level'!$M$5:M540)</f>
        <v>0</v>
      </c>
      <c r="Q157" s="114">
        <f>'2024 Legal Max'!AS158</f>
        <v>1425.1</v>
      </c>
      <c r="R157" s="105">
        <f>'2024 Legal Max'!AH158</f>
        <v>8.4</v>
      </c>
      <c r="U157" s="105" t="str">
        <f>'2024 Legal Max'!AZ158</f>
        <v>A</v>
      </c>
    </row>
    <row r="158" spans="1:21">
      <c r="A158" s="113">
        <v>363</v>
      </c>
      <c r="B158" s="105" t="s">
        <v>69</v>
      </c>
      <c r="C158" s="105" t="s">
        <v>664</v>
      </c>
      <c r="D158" s="118">
        <f>'2024 Legal Max'!T159</f>
        <v>20.5</v>
      </c>
      <c r="E158" s="118" t="str">
        <f t="shared" si="2"/>
        <v>Yes</v>
      </c>
      <c r="F158" s="114" t="str">
        <f>'2024 Legal Max'!AZ159</f>
        <v>A</v>
      </c>
      <c r="G158" s="113">
        <v>398</v>
      </c>
      <c r="H158" s="115" t="s">
        <v>933</v>
      </c>
      <c r="L158" s="1" t="s">
        <v>344</v>
      </c>
      <c r="M158" s="105" t="s">
        <v>69</v>
      </c>
      <c r="N158" s="105" t="s">
        <v>664</v>
      </c>
      <c r="O158" s="114">
        <f>'Preliminary SO66'!AH158</f>
        <v>1526.1</v>
      </c>
      <c r="P158" s="105">
        <f>SUMIF('PreliminaryHD AR - School Level'!$A$5:A541, "=" &amp; L158,'PreliminaryHD AR - School Level'!$M$5:M541)</f>
        <v>0</v>
      </c>
      <c r="Q158" s="114">
        <f>'2024 Legal Max'!AS159</f>
        <v>1527.2</v>
      </c>
      <c r="R158" s="105">
        <f>'2024 Legal Max'!AH159</f>
        <v>38.299999999999997</v>
      </c>
      <c r="U158" s="105" t="str">
        <f>'2024 Legal Max'!AZ159</f>
        <v>A</v>
      </c>
    </row>
    <row r="159" spans="1:21">
      <c r="A159" s="113">
        <v>364</v>
      </c>
      <c r="B159" s="105" t="s">
        <v>70</v>
      </c>
      <c r="C159" s="105" t="s">
        <v>665</v>
      </c>
      <c r="D159" s="118">
        <f>'2024 Legal Max'!T160</f>
        <v>17.5</v>
      </c>
      <c r="E159" s="118" t="str">
        <f t="shared" si="2"/>
        <v>Yes</v>
      </c>
      <c r="F159" s="114" t="str">
        <f>'2024 Legal Max'!AZ160</f>
        <v>A</v>
      </c>
      <c r="G159" s="113">
        <v>399</v>
      </c>
      <c r="H159" s="115" t="s">
        <v>933</v>
      </c>
      <c r="L159" s="1" t="s">
        <v>345</v>
      </c>
      <c r="M159" s="105" t="s">
        <v>70</v>
      </c>
      <c r="N159" s="105" t="s">
        <v>665</v>
      </c>
      <c r="O159" s="114">
        <f>'Preliminary SO66'!AH159</f>
        <v>1291.5</v>
      </c>
      <c r="P159" s="105">
        <f>SUMIF('PreliminaryHD AR - School Level'!$A$5:A542, "=" &amp; L159,'PreliminaryHD AR - School Level'!$M$5:M542)</f>
        <v>0</v>
      </c>
      <c r="Q159" s="114">
        <f>'2024 Legal Max'!AS160</f>
        <v>1288</v>
      </c>
      <c r="R159" s="105">
        <f>'2024 Legal Max'!AH160</f>
        <v>22.5</v>
      </c>
      <c r="U159" s="105" t="str">
        <f>'2024 Legal Max'!AZ160</f>
        <v>A</v>
      </c>
    </row>
    <row r="160" spans="1:21">
      <c r="A160" s="113">
        <v>365</v>
      </c>
      <c r="B160" s="105" t="s">
        <v>71</v>
      </c>
      <c r="C160" s="105" t="s">
        <v>666</v>
      </c>
      <c r="D160" s="118">
        <f>'2024 Legal Max'!T161</f>
        <v>14.5</v>
      </c>
      <c r="E160" s="118" t="str">
        <f t="shared" si="2"/>
        <v>Yes</v>
      </c>
      <c r="F160" s="114" t="str">
        <f>'2024 Legal Max'!AZ161</f>
        <v>A</v>
      </c>
      <c r="G160" s="113">
        <v>400</v>
      </c>
      <c r="H160" s="115" t="s">
        <v>933</v>
      </c>
      <c r="L160" s="1" t="s">
        <v>346</v>
      </c>
      <c r="M160" s="105" t="s">
        <v>71</v>
      </c>
      <c r="N160" s="105" t="s">
        <v>666</v>
      </c>
      <c r="O160" s="114">
        <f>'Preliminary SO66'!AH160</f>
        <v>1492</v>
      </c>
      <c r="P160" s="105">
        <f>SUMIF('PreliminaryHD AR - School Level'!$A$5:A543, "=" &amp; L160,'PreliminaryHD AR - School Level'!$M$5:M543)</f>
        <v>0</v>
      </c>
      <c r="Q160" s="114">
        <f>'2024 Legal Max'!AS161</f>
        <v>1492.1</v>
      </c>
      <c r="R160" s="105">
        <f>'2024 Legal Max'!AH161</f>
        <v>24.6</v>
      </c>
      <c r="U160" s="105" t="str">
        <f>'2024 Legal Max'!AZ161</f>
        <v>A</v>
      </c>
    </row>
    <row r="161" spans="1:21">
      <c r="A161" s="113">
        <v>366</v>
      </c>
      <c r="B161" s="105" t="s">
        <v>72</v>
      </c>
      <c r="C161" s="105" t="s">
        <v>667</v>
      </c>
      <c r="D161" s="118">
        <f>'2024 Legal Max'!T162</f>
        <v>12</v>
      </c>
      <c r="E161" s="118" t="str">
        <f t="shared" si="2"/>
        <v>Yes</v>
      </c>
      <c r="F161" s="114" t="str">
        <f>'2024 Legal Max'!AZ162</f>
        <v>A</v>
      </c>
      <c r="G161" s="113">
        <v>401</v>
      </c>
      <c r="H161" s="115" t="s">
        <v>933</v>
      </c>
      <c r="L161" s="1" t="s">
        <v>347</v>
      </c>
      <c r="M161" s="105" t="s">
        <v>72</v>
      </c>
      <c r="N161" s="105" t="s">
        <v>667</v>
      </c>
      <c r="O161" s="114">
        <f>'Preliminary SO66'!AH161</f>
        <v>735.1</v>
      </c>
      <c r="P161" s="105">
        <f>SUMIF('PreliminaryHD AR - School Level'!$A$5:A544, "=" &amp; L161,'PreliminaryHD AR - School Level'!$M$5:M544)</f>
        <v>0</v>
      </c>
      <c r="Q161" s="114">
        <f>'2024 Legal Max'!AS162</f>
        <v>726.7</v>
      </c>
      <c r="R161" s="105">
        <f>'2024 Legal Max'!AH162</f>
        <v>14.4</v>
      </c>
      <c r="U161" s="105" t="str">
        <f>'2024 Legal Max'!AZ162</f>
        <v>A</v>
      </c>
    </row>
    <row r="162" spans="1:21">
      <c r="A162" s="113">
        <v>367</v>
      </c>
      <c r="B162" s="105" t="s">
        <v>73</v>
      </c>
      <c r="C162" s="105" t="s">
        <v>668</v>
      </c>
      <c r="D162" s="118">
        <f>'2024 Legal Max'!T163</f>
        <v>20</v>
      </c>
      <c r="E162" s="118" t="str">
        <f t="shared" si="2"/>
        <v>Yes</v>
      </c>
      <c r="F162" s="114" t="str">
        <f>'2024 Legal Max'!AZ163</f>
        <v>A</v>
      </c>
      <c r="G162" s="113">
        <v>402</v>
      </c>
      <c r="H162" s="115" t="s">
        <v>933</v>
      </c>
      <c r="L162" s="1" t="s">
        <v>348</v>
      </c>
      <c r="M162" s="105" t="s">
        <v>73</v>
      </c>
      <c r="N162" s="105" t="s">
        <v>668</v>
      </c>
      <c r="O162" s="114">
        <f>'Preliminary SO66'!AH162</f>
        <v>1658.8</v>
      </c>
      <c r="P162" s="105">
        <f>SUMIF('PreliminaryHD AR - School Level'!$A$5:A545, "=" &amp; L162,'PreliminaryHD AR - School Level'!$M$5:M545)</f>
        <v>0</v>
      </c>
      <c r="Q162" s="114">
        <f>'2024 Legal Max'!AS163</f>
        <v>1643.1</v>
      </c>
      <c r="R162" s="105">
        <f>'2024 Legal Max'!AH163</f>
        <v>52.8</v>
      </c>
      <c r="U162" s="105" t="str">
        <f>'2024 Legal Max'!AZ163</f>
        <v>A</v>
      </c>
    </row>
    <row r="163" spans="1:21">
      <c r="A163" s="113">
        <v>368</v>
      </c>
      <c r="B163" s="105" t="s">
        <v>73</v>
      </c>
      <c r="C163" s="105" t="s">
        <v>669</v>
      </c>
      <c r="D163" s="118">
        <f>'2024 Legal Max'!T164</f>
        <v>0</v>
      </c>
      <c r="E163" s="118" t="e">
        <f t="shared" si="2"/>
        <v>#N/A</v>
      </c>
      <c r="F163" s="114" t="str">
        <f>'2024 Legal Max'!AZ164</f>
        <v>A</v>
      </c>
      <c r="G163" s="113">
        <v>403</v>
      </c>
      <c r="H163" s="115" t="s">
        <v>933</v>
      </c>
      <c r="L163" s="1" t="s">
        <v>349</v>
      </c>
      <c r="M163" s="105" t="s">
        <v>73</v>
      </c>
      <c r="N163" s="105" t="s">
        <v>669</v>
      </c>
      <c r="O163" s="114">
        <f>'Preliminary SO66'!AH163</f>
        <v>2309.5</v>
      </c>
      <c r="P163" s="105">
        <f>SUMIF('PreliminaryHD AR - School Level'!$A$5:A546, "=" &amp; L163,'PreliminaryHD AR - School Level'!$M$5:M546)</f>
        <v>0</v>
      </c>
      <c r="Q163" s="114">
        <f>'2024 Legal Max'!AS164</f>
        <v>2306</v>
      </c>
      <c r="R163" s="105">
        <f>'2024 Legal Max'!AH164</f>
        <v>1.5</v>
      </c>
      <c r="U163" s="105" t="str">
        <f>'2024 Legal Max'!AZ164</f>
        <v>A</v>
      </c>
    </row>
    <row r="164" spans="1:21">
      <c r="A164" s="113">
        <v>369</v>
      </c>
      <c r="B164" s="105" t="s">
        <v>74</v>
      </c>
      <c r="C164" s="105" t="s">
        <v>670</v>
      </c>
      <c r="D164" s="118">
        <f>'2024 Legal Max'!T165</f>
        <v>2.5</v>
      </c>
      <c r="E164" s="118" t="str">
        <f t="shared" si="2"/>
        <v>Yes</v>
      </c>
      <c r="F164" s="114" t="str">
        <f>'2024 Legal Max'!AZ165</f>
        <v>A</v>
      </c>
      <c r="G164" s="113">
        <v>404</v>
      </c>
      <c r="H164" s="115" t="s">
        <v>933</v>
      </c>
      <c r="L164" s="1" t="s">
        <v>350</v>
      </c>
      <c r="M164" s="105" t="s">
        <v>74</v>
      </c>
      <c r="N164" s="105" t="s">
        <v>670</v>
      </c>
      <c r="O164" s="114">
        <f>'Preliminary SO66'!AH164</f>
        <v>371.6</v>
      </c>
      <c r="P164" s="105">
        <f>SUMIF('PreliminaryHD AR - School Level'!$A$5:A546, "=" &amp; L164,'PreliminaryHD AR - School Level'!$M$5:M546)</f>
        <v>0</v>
      </c>
      <c r="Q164" s="114">
        <f>'2024 Legal Max'!AS165</f>
        <v>368.8</v>
      </c>
      <c r="R164" s="105">
        <f>'2024 Legal Max'!AH165</f>
        <v>3.9</v>
      </c>
      <c r="U164" s="105" t="str">
        <f>'2024 Legal Max'!AZ165</f>
        <v>A</v>
      </c>
    </row>
    <row r="165" spans="1:21">
      <c r="A165" s="113">
        <v>371</v>
      </c>
      <c r="B165" s="105" t="s">
        <v>5</v>
      </c>
      <c r="C165" s="105" t="s">
        <v>671</v>
      </c>
      <c r="D165" s="118">
        <f>'2024 Legal Max'!T166</f>
        <v>2</v>
      </c>
      <c r="E165" s="118" t="str">
        <f t="shared" si="2"/>
        <v>Yes</v>
      </c>
      <c r="F165" s="114" t="str">
        <f>'2024 Legal Max'!AZ166</f>
        <v>A</v>
      </c>
      <c r="G165" s="113">
        <v>405</v>
      </c>
      <c r="H165" s="115" t="s">
        <v>933</v>
      </c>
      <c r="L165" s="1" t="s">
        <v>351</v>
      </c>
      <c r="M165" s="105" t="s">
        <v>5</v>
      </c>
      <c r="N165" s="105" t="s">
        <v>671</v>
      </c>
      <c r="O165" s="114">
        <f>'Preliminary SO66'!AH165</f>
        <v>393.2</v>
      </c>
      <c r="P165" s="105">
        <f>SUMIF('PreliminaryHD AR - School Level'!$A$5:A547, "=" &amp; L165,'PreliminaryHD AR - School Level'!$M$5:M547)</f>
        <v>0</v>
      </c>
      <c r="Q165" s="114">
        <f>'2024 Legal Max'!AS166</f>
        <v>388.3</v>
      </c>
      <c r="R165" s="105">
        <f>'2024 Legal Max'!AH166</f>
        <v>0</v>
      </c>
      <c r="U165" s="105" t="str">
        <f>'2024 Legal Max'!AZ166</f>
        <v>A</v>
      </c>
    </row>
    <row r="166" spans="1:21">
      <c r="A166" s="113">
        <v>372</v>
      </c>
      <c r="B166" s="105" t="s">
        <v>61</v>
      </c>
      <c r="C166" s="105" t="s">
        <v>672</v>
      </c>
      <c r="D166" s="118">
        <f>'2024 Legal Max'!T167</f>
        <v>8.5</v>
      </c>
      <c r="E166" s="118" t="str">
        <f t="shared" si="2"/>
        <v>Yes</v>
      </c>
      <c r="F166" s="114" t="str">
        <f>'2024 Legal Max'!AZ167</f>
        <v>A</v>
      </c>
      <c r="G166" s="113">
        <v>407</v>
      </c>
      <c r="H166" s="115" t="s">
        <v>933</v>
      </c>
      <c r="L166" s="1" t="s">
        <v>352</v>
      </c>
      <c r="M166" s="105" t="s">
        <v>61</v>
      </c>
      <c r="N166" s="105" t="s">
        <v>672</v>
      </c>
      <c r="O166" s="114">
        <f>'Preliminary SO66'!AH166</f>
        <v>1059.5</v>
      </c>
      <c r="P166" s="105">
        <f>SUMIF('PreliminaryHD AR - School Level'!$A$5:A548, "=" &amp; L166,'PreliminaryHD AR - School Level'!$M$5:M548)</f>
        <v>0</v>
      </c>
      <c r="Q166" s="114">
        <f>'2024 Legal Max'!AS167</f>
        <v>1060.4000000000001</v>
      </c>
      <c r="R166" s="105">
        <f>'2024 Legal Max'!AH167</f>
        <v>0</v>
      </c>
      <c r="U166" s="105" t="str">
        <f>'2024 Legal Max'!AZ167</f>
        <v>A</v>
      </c>
    </row>
    <row r="167" spans="1:21">
      <c r="A167" s="113">
        <v>373</v>
      </c>
      <c r="B167" s="105" t="s">
        <v>74</v>
      </c>
      <c r="C167" s="105" t="s">
        <v>673</v>
      </c>
      <c r="D167" s="118">
        <f>'2024 Legal Max'!T168</f>
        <v>61</v>
      </c>
      <c r="E167" s="118" t="str">
        <f t="shared" si="2"/>
        <v>Yes</v>
      </c>
      <c r="F167" s="114" t="str">
        <f>'2024 Legal Max'!AZ168</f>
        <v>A</v>
      </c>
      <c r="G167" s="113">
        <v>408</v>
      </c>
      <c r="H167" s="115" t="s">
        <v>933</v>
      </c>
      <c r="L167" s="1" t="s">
        <v>353</v>
      </c>
      <c r="M167" s="105" t="s">
        <v>74</v>
      </c>
      <c r="N167" s="105" t="s">
        <v>673</v>
      </c>
      <c r="O167" s="114">
        <f>'Preliminary SO66'!AH167</f>
        <v>4323.3999999999996</v>
      </c>
      <c r="P167" s="105">
        <f>SUMIF('PreliminaryHD AR - School Level'!$A$5:A549, "=" &amp; L167,'PreliminaryHD AR - School Level'!$M$5:M549)</f>
        <v>0</v>
      </c>
      <c r="Q167" s="114">
        <f>'2024 Legal Max'!AS168</f>
        <v>4291</v>
      </c>
      <c r="R167" s="105">
        <f>'2024 Legal Max'!AH168</f>
        <v>132.6</v>
      </c>
      <c r="U167" s="105" t="str">
        <f>'2024 Legal Max'!AZ168</f>
        <v>A</v>
      </c>
    </row>
    <row r="168" spans="1:21">
      <c r="A168" s="113">
        <v>374</v>
      </c>
      <c r="B168" s="105" t="s">
        <v>75</v>
      </c>
      <c r="C168" s="105" t="s">
        <v>674</v>
      </c>
      <c r="D168" s="118">
        <f>'2024 Legal Max'!T169</f>
        <v>10.5</v>
      </c>
      <c r="E168" s="118" t="str">
        <f t="shared" si="2"/>
        <v>Yes</v>
      </c>
      <c r="F168" s="114" t="str">
        <f>'2024 Legal Max'!AZ169</f>
        <v>A</v>
      </c>
      <c r="G168" s="113">
        <v>409</v>
      </c>
      <c r="H168" s="115" t="s">
        <v>933</v>
      </c>
      <c r="L168" s="1" t="s">
        <v>354</v>
      </c>
      <c r="M168" s="105" t="s">
        <v>75</v>
      </c>
      <c r="N168" s="105" t="s">
        <v>674</v>
      </c>
      <c r="O168" s="114">
        <f>'Preliminary SO66'!AH168</f>
        <v>758.5</v>
      </c>
      <c r="P168" s="105">
        <f>SUMIF('PreliminaryHD AR - School Level'!$A$5:A550, "=" &amp; L168,'PreliminaryHD AR - School Level'!$M$5:M550)</f>
        <v>0</v>
      </c>
      <c r="Q168" s="114">
        <f>'2024 Legal Max'!AS169</f>
        <v>757.6</v>
      </c>
      <c r="R168" s="105">
        <f>'2024 Legal Max'!AH169</f>
        <v>24.3</v>
      </c>
      <c r="U168" s="105" t="str">
        <f>'2024 Legal Max'!AZ169</f>
        <v>A</v>
      </c>
    </row>
    <row r="169" spans="1:21">
      <c r="A169" s="113">
        <v>375</v>
      </c>
      <c r="B169" s="105" t="s">
        <v>10</v>
      </c>
      <c r="C169" s="105" t="s">
        <v>675</v>
      </c>
      <c r="D169" s="118">
        <f>'2024 Legal Max'!T170</f>
        <v>19</v>
      </c>
      <c r="E169" s="118" t="str">
        <f t="shared" si="2"/>
        <v>Yes</v>
      </c>
      <c r="F169" s="114" t="str">
        <f>'2024 Legal Max'!AZ170</f>
        <v>A</v>
      </c>
      <c r="G169" s="113">
        <v>410</v>
      </c>
      <c r="H169" s="115" t="s">
        <v>933</v>
      </c>
      <c r="L169" s="1" t="s">
        <v>355</v>
      </c>
      <c r="M169" s="105" t="s">
        <v>10</v>
      </c>
      <c r="N169" s="105" t="s">
        <v>675</v>
      </c>
      <c r="O169" s="114">
        <f>'Preliminary SO66'!AH169</f>
        <v>2524.9</v>
      </c>
      <c r="P169" s="105">
        <f>SUMIF('PreliminaryHD AR - School Level'!$A$5:A551, "=" &amp; L169,'PreliminaryHD AR - School Level'!$M$5:M551)</f>
        <v>0</v>
      </c>
      <c r="Q169" s="114">
        <f>'2024 Legal Max'!AS170</f>
        <v>2516.8000000000002</v>
      </c>
      <c r="R169" s="105">
        <f>'2024 Legal Max'!AH170</f>
        <v>11.4</v>
      </c>
      <c r="U169" s="105" t="str">
        <f>'2024 Legal Max'!AZ170</f>
        <v>A</v>
      </c>
    </row>
    <row r="170" spans="1:21">
      <c r="A170" s="113">
        <v>376</v>
      </c>
      <c r="B170" s="105" t="s">
        <v>76</v>
      </c>
      <c r="C170" s="105" t="s">
        <v>676</v>
      </c>
      <c r="D170" s="118">
        <f>'2024 Legal Max'!T171</f>
        <v>4.5</v>
      </c>
      <c r="E170" s="118" t="str">
        <f t="shared" si="2"/>
        <v>Yes</v>
      </c>
      <c r="F170" s="114" t="str">
        <f>'2024 Legal Max'!AZ171</f>
        <v>A</v>
      </c>
      <c r="G170" s="113">
        <v>411</v>
      </c>
      <c r="H170" s="115" t="s">
        <v>933</v>
      </c>
      <c r="L170" s="1" t="s">
        <v>356</v>
      </c>
      <c r="M170" s="105" t="s">
        <v>76</v>
      </c>
      <c r="N170" s="105" t="s">
        <v>676</v>
      </c>
      <c r="O170" s="114">
        <f>'Preliminary SO66'!AH170</f>
        <v>787.1</v>
      </c>
      <c r="P170" s="105">
        <f>SUMIF('PreliminaryHD AR - School Level'!$A$5:A552, "=" &amp; L170,'PreliminaryHD AR - School Level'!$M$5:M552)</f>
        <v>0</v>
      </c>
      <c r="Q170" s="114">
        <f>'2024 Legal Max'!AS171</f>
        <v>771.9</v>
      </c>
      <c r="R170" s="105">
        <f>'2024 Legal Max'!AH171</f>
        <v>0</v>
      </c>
      <c r="U170" s="105" t="str">
        <f>'2024 Legal Max'!AZ171</f>
        <v>A</v>
      </c>
    </row>
    <row r="171" spans="1:21">
      <c r="A171" s="113">
        <v>377</v>
      </c>
      <c r="B171" s="105" t="s">
        <v>77</v>
      </c>
      <c r="C171" s="105" t="s">
        <v>677</v>
      </c>
      <c r="D171" s="118">
        <f>'2024 Legal Max'!T172</f>
        <v>6</v>
      </c>
      <c r="E171" s="118" t="str">
        <f t="shared" si="2"/>
        <v>Yes</v>
      </c>
      <c r="F171" s="114" t="str">
        <f>'2024 Legal Max'!AZ172</f>
        <v>A</v>
      </c>
      <c r="G171" s="113">
        <v>413</v>
      </c>
      <c r="H171" s="115" t="s">
        <v>933</v>
      </c>
      <c r="L171" s="1" t="s">
        <v>357</v>
      </c>
      <c r="M171" s="105" t="s">
        <v>77</v>
      </c>
      <c r="N171" s="105" t="s">
        <v>677</v>
      </c>
      <c r="O171" s="114">
        <f>'Preliminary SO66'!AH171</f>
        <v>893.4</v>
      </c>
      <c r="P171" s="105">
        <f>SUMIF('PreliminaryHD AR - School Level'!$A$5:A553, "=" &amp; L171,'PreliminaryHD AR - School Level'!$M$5:M553)</f>
        <v>0</v>
      </c>
      <c r="Q171" s="114">
        <f>'2024 Legal Max'!AS172</f>
        <v>894.5</v>
      </c>
      <c r="R171" s="105">
        <f>'2024 Legal Max'!AH172</f>
        <v>9.8000000000000007</v>
      </c>
      <c r="U171" s="105" t="str">
        <f>'2024 Legal Max'!AZ172</f>
        <v>A</v>
      </c>
    </row>
    <row r="172" spans="1:21">
      <c r="A172" s="113">
        <v>378</v>
      </c>
      <c r="B172" s="105" t="s">
        <v>78</v>
      </c>
      <c r="C172" s="105" t="s">
        <v>678</v>
      </c>
      <c r="D172" s="118">
        <f>'2024 Legal Max'!T173</f>
        <v>3</v>
      </c>
      <c r="E172" s="118" t="e">
        <f t="shared" si="2"/>
        <v>#N/A</v>
      </c>
      <c r="F172" s="114" t="str">
        <f>'2024 Legal Max'!AZ173</f>
        <v>A</v>
      </c>
      <c r="G172" s="113">
        <v>415</v>
      </c>
      <c r="H172" s="115" t="s">
        <v>933</v>
      </c>
      <c r="L172" s="1" t="s">
        <v>358</v>
      </c>
      <c r="M172" s="105" t="s">
        <v>78</v>
      </c>
      <c r="N172" s="105" t="s">
        <v>678</v>
      </c>
      <c r="O172" s="114">
        <f>'Preliminary SO66'!AH172</f>
        <v>1082.9000000000001</v>
      </c>
      <c r="P172" s="105">
        <f>SUMIF('PreliminaryHD AR - School Level'!$A$5:A554, "=" &amp; L172,'PreliminaryHD AR - School Level'!$M$5:M554)</f>
        <v>0</v>
      </c>
      <c r="Q172" s="114">
        <f>'2024 Legal Max'!AS173</f>
        <v>1072.3</v>
      </c>
      <c r="R172" s="105">
        <f>'2024 Legal Max'!AH173</f>
        <v>0</v>
      </c>
      <c r="U172" s="105" t="str">
        <f>'2024 Legal Max'!AZ173</f>
        <v>A</v>
      </c>
    </row>
    <row r="173" spans="1:21">
      <c r="A173" s="113">
        <v>379</v>
      </c>
      <c r="B173" s="105" t="s">
        <v>79</v>
      </c>
      <c r="C173" s="105" t="s">
        <v>679</v>
      </c>
      <c r="D173" s="118">
        <f>'2024 Legal Max'!T174</f>
        <v>14.5</v>
      </c>
      <c r="E173" s="118" t="str">
        <f t="shared" si="2"/>
        <v>Yes</v>
      </c>
      <c r="F173" s="114" t="str">
        <f>'2024 Legal Max'!AZ174</f>
        <v>A</v>
      </c>
      <c r="G173" s="113">
        <v>416</v>
      </c>
      <c r="H173" s="115" t="s">
        <v>933</v>
      </c>
      <c r="L173" s="1" t="s">
        <v>359</v>
      </c>
      <c r="M173" s="105" t="s">
        <v>79</v>
      </c>
      <c r="N173" s="105" t="s">
        <v>679</v>
      </c>
      <c r="O173" s="114">
        <f>'Preliminary SO66'!AH173</f>
        <v>1876.9</v>
      </c>
      <c r="P173" s="105">
        <f>SUMIF('PreliminaryHD AR - School Level'!$A$5:A555, "=" &amp; L173,'PreliminaryHD AR - School Level'!$M$5:M555)</f>
        <v>0</v>
      </c>
      <c r="Q173" s="114">
        <f>'2024 Legal Max'!AS174</f>
        <v>1870</v>
      </c>
      <c r="R173" s="105">
        <f>'2024 Legal Max'!AH174</f>
        <v>15.9</v>
      </c>
      <c r="U173" s="105" t="str">
        <f>'2024 Legal Max'!AZ174</f>
        <v>A</v>
      </c>
    </row>
    <row r="174" spans="1:21">
      <c r="A174" s="113">
        <v>380</v>
      </c>
      <c r="B174" s="105" t="s">
        <v>70</v>
      </c>
      <c r="C174" s="105" t="s">
        <v>680</v>
      </c>
      <c r="D174" s="118">
        <f>'2024 Legal Max'!T175</f>
        <v>19.5</v>
      </c>
      <c r="E174" s="118" t="str">
        <f t="shared" si="2"/>
        <v>Yes</v>
      </c>
      <c r="F174" s="114" t="str">
        <f>'2024 Legal Max'!AZ175</f>
        <v>A</v>
      </c>
      <c r="G174" s="113">
        <v>417</v>
      </c>
      <c r="H174" s="115" t="s">
        <v>933</v>
      </c>
      <c r="L174" s="1" t="s">
        <v>360</v>
      </c>
      <c r="M174" s="105" t="s">
        <v>70</v>
      </c>
      <c r="N174" s="105" t="s">
        <v>680</v>
      </c>
      <c r="O174" s="114">
        <f>'Preliminary SO66'!AH174</f>
        <v>1000.6</v>
      </c>
      <c r="P174" s="105">
        <f>SUMIF('PreliminaryHD AR - School Level'!$A$5:A556, "=" &amp; L174,'PreliminaryHD AR - School Level'!$M$5:M556)</f>
        <v>0</v>
      </c>
      <c r="Q174" s="114">
        <f>'2024 Legal Max'!AS175</f>
        <v>991.5</v>
      </c>
      <c r="R174" s="105">
        <f>'2024 Legal Max'!AH175</f>
        <v>0</v>
      </c>
      <c r="U174" s="105" t="str">
        <f>'2024 Legal Max'!AZ175</f>
        <v>A</v>
      </c>
    </row>
    <row r="175" spans="1:21">
      <c r="A175" s="113">
        <v>381</v>
      </c>
      <c r="B175" s="105" t="s">
        <v>80</v>
      </c>
      <c r="C175" s="105" t="s">
        <v>681</v>
      </c>
      <c r="D175" s="118">
        <f>'2024 Legal Max'!T176</f>
        <v>2</v>
      </c>
      <c r="E175" s="118" t="str">
        <f t="shared" si="2"/>
        <v>Yes</v>
      </c>
      <c r="F175" s="114" t="str">
        <f>'2024 Legal Max'!AZ176</f>
        <v>A</v>
      </c>
      <c r="G175" s="113">
        <v>418</v>
      </c>
      <c r="H175" s="115" t="s">
        <v>933</v>
      </c>
      <c r="L175" s="1" t="s">
        <v>361</v>
      </c>
      <c r="M175" s="105" t="s">
        <v>80</v>
      </c>
      <c r="N175" s="105" t="s">
        <v>681</v>
      </c>
      <c r="O175" s="114">
        <f>'Preliminary SO66'!AH175</f>
        <v>555.1</v>
      </c>
      <c r="P175" s="105">
        <f>SUMIF('PreliminaryHD AR - School Level'!$A$5:A557, "=" &amp; L175,'PreliminaryHD AR - School Level'!$M$5:M557)</f>
        <v>0</v>
      </c>
      <c r="Q175" s="114">
        <f>'2024 Legal Max'!AS176</f>
        <v>555.29999999999995</v>
      </c>
      <c r="R175" s="105">
        <f>'2024 Legal Max'!AH176</f>
        <v>0</v>
      </c>
      <c r="U175" s="105" t="str">
        <f>'2024 Legal Max'!AZ176</f>
        <v>A</v>
      </c>
    </row>
    <row r="176" spans="1:21">
      <c r="A176" s="113">
        <v>382</v>
      </c>
      <c r="B176" s="105" t="s">
        <v>81</v>
      </c>
      <c r="C176" s="105" t="s">
        <v>682</v>
      </c>
      <c r="D176" s="118">
        <f>'2024 Legal Max'!T177</f>
        <v>15.5</v>
      </c>
      <c r="E176" s="118" t="str">
        <f t="shared" si="2"/>
        <v>Yes</v>
      </c>
      <c r="F176" s="114" t="str">
        <f>'2024 Legal Max'!AZ177</f>
        <v>A</v>
      </c>
      <c r="G176" s="113">
        <v>419</v>
      </c>
      <c r="H176" s="115" t="s">
        <v>933</v>
      </c>
      <c r="L176" s="1" t="s">
        <v>362</v>
      </c>
      <c r="M176" s="105" t="s">
        <v>81</v>
      </c>
      <c r="N176" s="105" t="s">
        <v>682</v>
      </c>
      <c r="O176" s="114">
        <f>'Preliminary SO66'!AH176</f>
        <v>1707.4</v>
      </c>
      <c r="P176" s="105">
        <f>SUMIF('PreliminaryHD AR - School Level'!$A$5:A558, "=" &amp; L176,'PreliminaryHD AR - School Level'!$M$5:M558)</f>
        <v>0</v>
      </c>
      <c r="Q176" s="114">
        <f>'2024 Legal Max'!AS177</f>
        <v>1697.9</v>
      </c>
      <c r="R176" s="105">
        <f>'2024 Legal Max'!AH177</f>
        <v>30.3</v>
      </c>
      <c r="U176" s="105" t="str">
        <f>'2024 Legal Max'!AZ177</f>
        <v>A</v>
      </c>
    </row>
    <row r="177" spans="1:21">
      <c r="A177" s="113">
        <v>383</v>
      </c>
      <c r="B177" s="105" t="s">
        <v>78</v>
      </c>
      <c r="C177" s="105" t="s">
        <v>683</v>
      </c>
      <c r="D177" s="118">
        <f>'2024 Legal Max'!T178</f>
        <v>96.5</v>
      </c>
      <c r="E177" s="118" t="str">
        <f t="shared" si="2"/>
        <v>Yes</v>
      </c>
      <c r="F177" s="114" t="str">
        <f>'2024 Legal Max'!AZ178</f>
        <v>A</v>
      </c>
      <c r="G177" s="113">
        <v>420</v>
      </c>
      <c r="H177" s="115" t="s">
        <v>933</v>
      </c>
      <c r="L177" s="1" t="s">
        <v>363</v>
      </c>
      <c r="M177" s="105" t="s">
        <v>78</v>
      </c>
      <c r="N177" s="105" t="s">
        <v>683</v>
      </c>
      <c r="O177" s="114">
        <f>'Preliminary SO66'!AH177</f>
        <v>8823.5</v>
      </c>
      <c r="P177" s="105">
        <f>SUMIF('PreliminaryHD AR - School Level'!$A$5:A558, "=" &amp; L177,'PreliminaryHD AR - School Level'!$M$5:M558)</f>
        <v>0</v>
      </c>
      <c r="Q177" s="114">
        <f>'2024 Legal Max'!AS178</f>
        <v>8804.9</v>
      </c>
      <c r="R177" s="105">
        <f>'2024 Legal Max'!AH178</f>
        <v>125.6</v>
      </c>
      <c r="U177" s="105" t="str">
        <f>'2024 Legal Max'!AZ178</f>
        <v>A</v>
      </c>
    </row>
    <row r="178" spans="1:21">
      <c r="A178" s="113">
        <v>384</v>
      </c>
      <c r="B178" s="105" t="s">
        <v>78</v>
      </c>
      <c r="C178" s="105" t="s">
        <v>548</v>
      </c>
      <c r="D178" s="118">
        <f>'2024 Legal Max'!T179</f>
        <v>4.5</v>
      </c>
      <c r="E178" s="118" t="str">
        <f t="shared" si="2"/>
        <v>Yes</v>
      </c>
      <c r="F178" s="114" t="str">
        <f>'2024 Legal Max'!AZ179</f>
        <v>A</v>
      </c>
      <c r="G178" s="113">
        <v>421</v>
      </c>
      <c r="H178" s="115" t="s">
        <v>933</v>
      </c>
      <c r="L178" s="1" t="s">
        <v>364</v>
      </c>
      <c r="M178" s="105" t="s">
        <v>78</v>
      </c>
      <c r="N178" s="105" t="s">
        <v>548</v>
      </c>
      <c r="O178" s="114">
        <f>'Preliminary SO66'!AH178</f>
        <v>478.6</v>
      </c>
      <c r="P178" s="105">
        <f>SUMIF('PreliminaryHD AR - School Level'!$A$5:A559, "=" &amp; L178,'PreliminaryHD AR - School Level'!$M$5:M559)</f>
        <v>0</v>
      </c>
      <c r="Q178" s="114">
        <f>'2024 Legal Max'!AS179</f>
        <v>477.5</v>
      </c>
      <c r="R178" s="105">
        <f>'2024 Legal Max'!AH179</f>
        <v>0</v>
      </c>
      <c r="U178" s="105" t="str">
        <f>'2024 Legal Max'!AZ179</f>
        <v>A</v>
      </c>
    </row>
    <row r="179" spans="1:21">
      <c r="A179" s="113">
        <v>385</v>
      </c>
      <c r="B179" s="105" t="s">
        <v>10</v>
      </c>
      <c r="C179" s="105" t="s">
        <v>684</v>
      </c>
      <c r="D179" s="118">
        <f>'2024 Legal Max'!T180</f>
        <v>38</v>
      </c>
      <c r="E179" s="118" t="str">
        <f t="shared" si="2"/>
        <v>Yes</v>
      </c>
      <c r="F179" s="114" t="str">
        <f>'2024 Legal Max'!AZ180</f>
        <v>A</v>
      </c>
      <c r="G179" s="113">
        <v>422</v>
      </c>
      <c r="H179" s="115" t="s">
        <v>933</v>
      </c>
      <c r="L179" s="1" t="s">
        <v>365</v>
      </c>
      <c r="M179" s="105" t="s">
        <v>10</v>
      </c>
      <c r="N179" s="105" t="s">
        <v>684</v>
      </c>
      <c r="O179" s="114">
        <f>'Preliminary SO66'!AH179</f>
        <v>6675.3</v>
      </c>
      <c r="P179" s="105">
        <f>SUMIF('PreliminaryHD AR - School Level'!$A$5:A560, "=" &amp; L179,'PreliminaryHD AR - School Level'!$M$5:M560)</f>
        <v>0</v>
      </c>
      <c r="Q179" s="114">
        <f>'2024 Legal Max'!AS180</f>
        <v>6668.8</v>
      </c>
      <c r="R179" s="105">
        <f>'2024 Legal Max'!AH180</f>
        <v>0</v>
      </c>
      <c r="U179" s="105" t="str">
        <f>'2024 Legal Max'!AZ180</f>
        <v>A</v>
      </c>
    </row>
    <row r="180" spans="1:21">
      <c r="A180" s="113">
        <v>386</v>
      </c>
      <c r="B180" s="105" t="s">
        <v>82</v>
      </c>
      <c r="C180" s="105" t="s">
        <v>685</v>
      </c>
      <c r="D180" s="118">
        <f>'2024 Legal Max'!T181</f>
        <v>5</v>
      </c>
      <c r="E180" s="118" t="str">
        <f t="shared" si="2"/>
        <v>Yes</v>
      </c>
      <c r="F180" s="114" t="str">
        <f>'2024 Legal Max'!AZ181</f>
        <v>A</v>
      </c>
      <c r="G180" s="113">
        <v>423</v>
      </c>
      <c r="H180" s="115" t="s">
        <v>933</v>
      </c>
      <c r="L180" s="1" t="s">
        <v>366</v>
      </c>
      <c r="M180" s="105" t="s">
        <v>82</v>
      </c>
      <c r="N180" s="105" t="s">
        <v>685</v>
      </c>
      <c r="O180" s="114">
        <f>'Preliminary SO66'!AH180</f>
        <v>443.2</v>
      </c>
      <c r="P180" s="105">
        <f>SUMIF('PreliminaryHD AR - School Level'!$A$5:A561, "=" &amp; L180,'PreliminaryHD AR - School Level'!$M$5:M561)</f>
        <v>0</v>
      </c>
      <c r="Q180" s="114">
        <f>'2024 Legal Max'!AS181</f>
        <v>448.2</v>
      </c>
      <c r="R180" s="105">
        <f>'2024 Legal Max'!AH181</f>
        <v>2.5</v>
      </c>
      <c r="U180" s="105" t="str">
        <f>'2024 Legal Max'!AZ181</f>
        <v>A</v>
      </c>
    </row>
    <row r="181" spans="1:21">
      <c r="A181" s="113">
        <v>387</v>
      </c>
      <c r="B181" s="105" t="s">
        <v>83</v>
      </c>
      <c r="C181" s="105" t="s">
        <v>686</v>
      </c>
      <c r="D181" s="118">
        <f>'2024 Legal Max'!T182</f>
        <v>4.5</v>
      </c>
      <c r="E181" s="118" t="str">
        <f t="shared" si="2"/>
        <v>Yes</v>
      </c>
      <c r="F181" s="114" t="str">
        <f>'2024 Legal Max'!AZ182</f>
        <v>A</v>
      </c>
      <c r="G181" s="113">
        <v>426</v>
      </c>
      <c r="H181" s="115" t="s">
        <v>933</v>
      </c>
      <c r="L181" s="1" t="s">
        <v>367</v>
      </c>
      <c r="M181" s="105" t="s">
        <v>83</v>
      </c>
      <c r="N181" s="105" t="s">
        <v>686</v>
      </c>
      <c r="O181" s="114">
        <f>'Preliminary SO66'!AH181</f>
        <v>376.7</v>
      </c>
      <c r="P181" s="105">
        <f>SUMIF('PreliminaryHD AR - School Level'!$A$5:A562, "=" &amp; L181,'PreliminaryHD AR - School Level'!$M$5:M562)</f>
        <v>0</v>
      </c>
      <c r="Q181" s="114">
        <f>'2024 Legal Max'!AS182</f>
        <v>374.1</v>
      </c>
      <c r="R181" s="105">
        <f>'2024 Legal Max'!AH182</f>
        <v>9.9</v>
      </c>
      <c r="U181" s="105" t="str">
        <f>'2024 Legal Max'!AZ182</f>
        <v>A</v>
      </c>
    </row>
    <row r="182" spans="1:21">
      <c r="A182" s="113">
        <v>388</v>
      </c>
      <c r="B182" s="105" t="s">
        <v>84</v>
      </c>
      <c r="C182" s="105" t="s">
        <v>687</v>
      </c>
      <c r="D182" s="118">
        <f>'2024 Legal Max'!T183</f>
        <v>3</v>
      </c>
      <c r="E182" s="118" t="e">
        <f t="shared" si="2"/>
        <v>#N/A</v>
      </c>
      <c r="F182" s="114" t="str">
        <f>'2024 Legal Max'!AZ183</f>
        <v>A</v>
      </c>
      <c r="G182" s="113">
        <v>428</v>
      </c>
      <c r="H182" s="115" t="s">
        <v>933</v>
      </c>
      <c r="L182" s="1" t="s">
        <v>368</v>
      </c>
      <c r="M182" s="105" t="s">
        <v>84</v>
      </c>
      <c r="N182" s="105" t="s">
        <v>687</v>
      </c>
      <c r="O182" s="114">
        <f>'Preliminary SO66'!AH182</f>
        <v>566.1</v>
      </c>
      <c r="P182" s="105">
        <f>SUMIF('PreliminaryHD AR - School Level'!$A$5:A563, "=" &amp; L182,'PreliminaryHD AR - School Level'!$M$5:M563)</f>
        <v>0</v>
      </c>
      <c r="Q182" s="114">
        <f>'2024 Legal Max'!AS183</f>
        <v>563.70000000000005</v>
      </c>
      <c r="R182" s="105">
        <f>'2024 Legal Max'!AH183</f>
        <v>0</v>
      </c>
      <c r="U182" s="105" t="str">
        <f>'2024 Legal Max'!AZ183</f>
        <v>A</v>
      </c>
    </row>
    <row r="183" spans="1:21">
      <c r="A183" s="113">
        <v>389</v>
      </c>
      <c r="B183" s="105" t="s">
        <v>82</v>
      </c>
      <c r="C183" s="105" t="s">
        <v>688</v>
      </c>
      <c r="D183" s="118">
        <f>'2024 Legal Max'!T184</f>
        <v>6</v>
      </c>
      <c r="E183" s="118" t="str">
        <f t="shared" si="2"/>
        <v>Yes</v>
      </c>
      <c r="F183" s="114" t="str">
        <f>'2024 Legal Max'!AZ184</f>
        <v>A</v>
      </c>
      <c r="G183" s="113">
        <v>430</v>
      </c>
      <c r="H183" s="115" t="s">
        <v>933</v>
      </c>
      <c r="L183" s="1" t="s">
        <v>369</v>
      </c>
      <c r="M183" s="105" t="s">
        <v>82</v>
      </c>
      <c r="N183" s="105" t="s">
        <v>688</v>
      </c>
      <c r="O183" s="114">
        <f>'Preliminary SO66'!AH183</f>
        <v>1051.3</v>
      </c>
      <c r="P183" s="105">
        <f>SUMIF('PreliminaryHD AR - School Level'!$A$5:A564, "=" &amp; L183,'PreliminaryHD AR - School Level'!$M$5:M564)</f>
        <v>0</v>
      </c>
      <c r="Q183" s="114">
        <f>'2024 Legal Max'!AS184</f>
        <v>1041.9000000000001</v>
      </c>
      <c r="R183" s="105">
        <f>'2024 Legal Max'!AH184</f>
        <v>34.799999999999997</v>
      </c>
      <c r="U183" s="105" t="str">
        <f>'2024 Legal Max'!AZ184</f>
        <v>A</v>
      </c>
    </row>
    <row r="184" spans="1:21">
      <c r="A184" s="113">
        <v>390</v>
      </c>
      <c r="B184" s="105" t="s">
        <v>82</v>
      </c>
      <c r="C184" s="105" t="s">
        <v>689</v>
      </c>
      <c r="D184" s="118">
        <f>'2024 Legal Max'!T185</f>
        <v>0.5</v>
      </c>
      <c r="E184" s="118" t="str">
        <f t="shared" si="2"/>
        <v>Yes</v>
      </c>
      <c r="F184" s="114" t="str">
        <f>'2024 Legal Max'!AZ185</f>
        <v>A</v>
      </c>
      <c r="G184" s="113">
        <v>431</v>
      </c>
      <c r="H184" s="115" t="s">
        <v>933</v>
      </c>
      <c r="L184" s="1" t="s">
        <v>370</v>
      </c>
      <c r="M184" s="105" t="s">
        <v>82</v>
      </c>
      <c r="N184" s="105" t="s">
        <v>689</v>
      </c>
      <c r="O184" s="114">
        <f>'Preliminary SO66'!AH184</f>
        <v>233.8</v>
      </c>
      <c r="P184" s="105">
        <f>SUMIF('PreliminaryHD AR - School Level'!$A$5:A565, "=" &amp; L184,'PreliminaryHD AR - School Level'!$M$5:M565)</f>
        <v>0</v>
      </c>
      <c r="Q184" s="114">
        <f>'2024 Legal Max'!AS185</f>
        <v>233.8</v>
      </c>
      <c r="R184" s="105">
        <f>'2024 Legal Max'!AH185</f>
        <v>5.3</v>
      </c>
      <c r="U184" s="105" t="str">
        <f>'2024 Legal Max'!AZ185</f>
        <v>A</v>
      </c>
    </row>
    <row r="185" spans="1:21">
      <c r="A185" s="113">
        <v>392</v>
      </c>
      <c r="B185" s="105" t="s">
        <v>86</v>
      </c>
      <c r="C185" s="105" t="s">
        <v>690</v>
      </c>
      <c r="D185" s="118">
        <f>'2024 Legal Max'!T186</f>
        <v>14</v>
      </c>
      <c r="E185" s="118" t="str">
        <f t="shared" si="2"/>
        <v>Yes</v>
      </c>
      <c r="F185" s="114" t="str">
        <f>'2024 Legal Max'!AZ186</f>
        <v>A</v>
      </c>
      <c r="G185" s="113">
        <v>434</v>
      </c>
      <c r="H185" s="115" t="s">
        <v>933</v>
      </c>
      <c r="L185" s="1" t="s">
        <v>371</v>
      </c>
      <c r="M185" s="105" t="s">
        <v>86</v>
      </c>
      <c r="N185" s="105" t="s">
        <v>690</v>
      </c>
      <c r="O185" s="114">
        <f>'Preliminary SO66'!AH185</f>
        <v>604.70000000000005</v>
      </c>
      <c r="P185" s="105">
        <f>SUMIF('PreliminaryHD AR - School Level'!$A$5:A566, "=" &amp; L185,'PreliminaryHD AR - School Level'!$M$5:M566)</f>
        <v>0</v>
      </c>
      <c r="Q185" s="114">
        <f>'2024 Legal Max'!AS186</f>
        <v>607.6</v>
      </c>
      <c r="R185" s="105">
        <f>'2024 Legal Max'!AH186</f>
        <v>4.7</v>
      </c>
      <c r="U185" s="105" t="str">
        <f>'2024 Legal Max'!AZ186</f>
        <v>A</v>
      </c>
    </row>
    <row r="186" spans="1:21">
      <c r="A186" s="113">
        <v>393</v>
      </c>
      <c r="B186" s="105" t="s">
        <v>87</v>
      </c>
      <c r="C186" s="105" t="s">
        <v>691</v>
      </c>
      <c r="D186" s="118">
        <f>'2024 Legal Max'!T187</f>
        <v>4</v>
      </c>
      <c r="E186" s="118" t="str">
        <f t="shared" si="2"/>
        <v>Yes</v>
      </c>
      <c r="F186" s="114" t="str">
        <f>'2024 Legal Max'!AZ187</f>
        <v>A</v>
      </c>
      <c r="G186" s="113">
        <v>435</v>
      </c>
      <c r="H186" s="115" t="s">
        <v>933</v>
      </c>
      <c r="L186" s="1" t="s">
        <v>372</v>
      </c>
      <c r="M186" s="105" t="s">
        <v>87</v>
      </c>
      <c r="N186" s="105" t="s">
        <v>691</v>
      </c>
      <c r="O186" s="114">
        <f>'Preliminary SO66'!AH186</f>
        <v>656.7</v>
      </c>
      <c r="P186" s="105">
        <f>SUMIF('PreliminaryHD AR - School Level'!$A$5:A567, "=" &amp; L186,'PreliminaryHD AR - School Level'!$M$5:M567)</f>
        <v>0</v>
      </c>
      <c r="Q186" s="114">
        <f>'2024 Legal Max'!AS187</f>
        <v>651.20000000000005</v>
      </c>
      <c r="R186" s="105">
        <f>'2024 Legal Max'!AH187</f>
        <v>17</v>
      </c>
      <c r="U186" s="105" t="str">
        <f>'2024 Legal Max'!AZ187</f>
        <v>A</v>
      </c>
    </row>
    <row r="187" spans="1:21">
      <c r="A187" s="113">
        <v>394</v>
      </c>
      <c r="B187" s="105" t="s">
        <v>10</v>
      </c>
      <c r="C187" s="105" t="s">
        <v>692</v>
      </c>
      <c r="D187" s="118">
        <f>'2024 Legal Max'!T188</f>
        <v>32.5</v>
      </c>
      <c r="E187" s="118" t="str">
        <f t="shared" si="2"/>
        <v>Yes</v>
      </c>
      <c r="F187" s="114" t="str">
        <f>'2024 Legal Max'!AZ188</f>
        <v>A</v>
      </c>
      <c r="G187" s="113">
        <v>436</v>
      </c>
      <c r="H187" s="115" t="s">
        <v>933</v>
      </c>
      <c r="L187" s="1" t="s">
        <v>373</v>
      </c>
      <c r="M187" s="105" t="s">
        <v>10</v>
      </c>
      <c r="N187" s="105" t="s">
        <v>692</v>
      </c>
      <c r="O187" s="114">
        <f>'Preliminary SO66'!AH187</f>
        <v>2014.9</v>
      </c>
      <c r="P187" s="105">
        <f>SUMIF('PreliminaryHD AR - School Level'!$A$5:A568, "=" &amp; L187,'PreliminaryHD AR - School Level'!$M$5:M568)</f>
        <v>0</v>
      </c>
      <c r="Q187" s="114">
        <f>'2024 Legal Max'!AS188</f>
        <v>2006.4</v>
      </c>
      <c r="R187" s="105">
        <f>'2024 Legal Max'!AH188</f>
        <v>0</v>
      </c>
      <c r="U187" s="105" t="str">
        <f>'2024 Legal Max'!AZ188</f>
        <v>A</v>
      </c>
    </row>
    <row r="188" spans="1:21">
      <c r="A188" s="113">
        <v>395</v>
      </c>
      <c r="B188" s="105" t="s">
        <v>88</v>
      </c>
      <c r="C188" s="105" t="s">
        <v>693</v>
      </c>
      <c r="D188" s="118">
        <f>'2024 Legal Max'!T189</f>
        <v>0</v>
      </c>
      <c r="E188" s="118" t="e">
        <f t="shared" si="2"/>
        <v>#N/A</v>
      </c>
      <c r="F188" s="114" t="str">
        <f>'2024 Legal Max'!AZ189</f>
        <v>A</v>
      </c>
      <c r="G188" s="113">
        <v>437</v>
      </c>
      <c r="H188" s="115" t="s">
        <v>933</v>
      </c>
      <c r="L188" s="1" t="s">
        <v>374</v>
      </c>
      <c r="M188" s="105" t="s">
        <v>88</v>
      </c>
      <c r="N188" s="105" t="s">
        <v>693</v>
      </c>
      <c r="O188" s="114">
        <f>'Preliminary SO66'!AH188</f>
        <v>539.1</v>
      </c>
      <c r="P188" s="105">
        <f>SUMIF('PreliminaryHD AR - School Level'!$A$5:A569, "=" &amp; L188,'PreliminaryHD AR - School Level'!$M$5:M569)</f>
        <v>0</v>
      </c>
      <c r="Q188" s="114">
        <f>'2024 Legal Max'!AS189</f>
        <v>535.9</v>
      </c>
      <c r="R188" s="105">
        <f>'2024 Legal Max'!AH189</f>
        <v>5</v>
      </c>
      <c r="U188" s="105" t="str">
        <f>'2024 Legal Max'!AZ189</f>
        <v>A</v>
      </c>
    </row>
    <row r="189" spans="1:21">
      <c r="A189" s="113">
        <v>396</v>
      </c>
      <c r="B189" s="105" t="s">
        <v>10</v>
      </c>
      <c r="C189" s="105" t="s">
        <v>694</v>
      </c>
      <c r="D189" s="118">
        <f>'2024 Legal Max'!T190</f>
        <v>6.5</v>
      </c>
      <c r="E189" s="118" t="str">
        <f t="shared" si="2"/>
        <v>Yes</v>
      </c>
      <c r="F189" s="114" t="str">
        <f>'2024 Legal Max'!AZ190</f>
        <v>A</v>
      </c>
      <c r="G189" s="113">
        <v>438</v>
      </c>
      <c r="H189" s="115" t="s">
        <v>933</v>
      </c>
      <c r="L189" s="1" t="s">
        <v>375</v>
      </c>
      <c r="M189" s="105" t="s">
        <v>10</v>
      </c>
      <c r="N189" s="105" t="s">
        <v>694</v>
      </c>
      <c r="O189" s="114">
        <f>'Preliminary SO66'!AH189</f>
        <v>1029.8</v>
      </c>
      <c r="P189" s="105">
        <f>SUMIF('PreliminaryHD AR - School Level'!$A$5:A570, "=" &amp; L189,'PreliminaryHD AR - School Level'!$M$5:M570)</f>
        <v>0</v>
      </c>
      <c r="Q189" s="114">
        <f>'2024 Legal Max'!AS190</f>
        <v>1026.7</v>
      </c>
      <c r="R189" s="105">
        <f>'2024 Legal Max'!AH190</f>
        <v>7</v>
      </c>
      <c r="U189" s="105" t="str">
        <f>'2024 Legal Max'!AZ190</f>
        <v>A</v>
      </c>
    </row>
    <row r="190" spans="1:21">
      <c r="A190" s="113">
        <v>397</v>
      </c>
      <c r="B190" s="105" t="s">
        <v>89</v>
      </c>
      <c r="C190" s="105" t="s">
        <v>695</v>
      </c>
      <c r="D190" s="118">
        <f>'2024 Legal Max'!T191</f>
        <v>1.5</v>
      </c>
      <c r="E190" s="118" t="str">
        <f t="shared" si="2"/>
        <v>Yes</v>
      </c>
      <c r="F190" s="114" t="str">
        <f>'2024 Legal Max'!AZ191</f>
        <v>A</v>
      </c>
      <c r="G190" s="113">
        <v>439</v>
      </c>
      <c r="H190" s="115" t="s">
        <v>933</v>
      </c>
      <c r="L190" s="1" t="s">
        <v>376</v>
      </c>
      <c r="M190" s="105" t="s">
        <v>89</v>
      </c>
      <c r="N190" s="105" t="s">
        <v>695</v>
      </c>
      <c r="O190" s="114">
        <f>'Preliminary SO66'!AH190</f>
        <v>401</v>
      </c>
      <c r="P190" s="105">
        <f>SUMIF('PreliminaryHD AR - School Level'!$A$5:A571, "=" &amp; L190,'PreliminaryHD AR - School Level'!$M$5:M571)</f>
        <v>0</v>
      </c>
      <c r="Q190" s="114">
        <f>'2024 Legal Max'!AS191</f>
        <v>401.3</v>
      </c>
      <c r="R190" s="105">
        <f>'2024 Legal Max'!AH191</f>
        <v>2.1</v>
      </c>
      <c r="U190" s="105" t="str">
        <f>'2024 Legal Max'!AZ191</f>
        <v>A</v>
      </c>
    </row>
    <row r="191" spans="1:21">
      <c r="A191" s="113">
        <v>398</v>
      </c>
      <c r="B191" s="105" t="s">
        <v>89</v>
      </c>
      <c r="C191" s="105" t="s">
        <v>696</v>
      </c>
      <c r="D191" s="118">
        <f>'2024 Legal Max'!T192</f>
        <v>7</v>
      </c>
      <c r="E191" s="118" t="str">
        <f t="shared" si="2"/>
        <v>Yes</v>
      </c>
      <c r="F191" s="114" t="str">
        <f>'2024 Legal Max'!AZ192</f>
        <v>A</v>
      </c>
      <c r="G191" s="113">
        <v>440</v>
      </c>
      <c r="H191" s="115" t="s">
        <v>933</v>
      </c>
      <c r="L191" s="1" t="s">
        <v>377</v>
      </c>
      <c r="M191" s="105" t="s">
        <v>89</v>
      </c>
      <c r="N191" s="105" t="s">
        <v>696</v>
      </c>
      <c r="O191" s="114">
        <f>'Preliminary SO66'!AH191</f>
        <v>441.1</v>
      </c>
      <c r="P191" s="105">
        <f>SUMIF('PreliminaryHD AR - School Level'!$A$5:A572, "=" &amp; L191,'PreliminaryHD AR - School Level'!$M$5:M572)</f>
        <v>0</v>
      </c>
      <c r="Q191" s="114">
        <f>'2024 Legal Max'!AS192</f>
        <v>438.4</v>
      </c>
      <c r="R191" s="105">
        <f>'2024 Legal Max'!AH192</f>
        <v>8.8000000000000007</v>
      </c>
      <c r="U191" s="105" t="str">
        <f>'2024 Legal Max'!AZ192</f>
        <v>A</v>
      </c>
    </row>
    <row r="192" spans="1:21">
      <c r="A192" s="113">
        <v>399</v>
      </c>
      <c r="B192" s="105" t="s">
        <v>90</v>
      </c>
      <c r="C192" s="105" t="s">
        <v>697</v>
      </c>
      <c r="D192" s="118">
        <f>'2024 Legal Max'!T193</f>
        <v>1</v>
      </c>
      <c r="E192" s="118" t="str">
        <f t="shared" si="2"/>
        <v>Yes</v>
      </c>
      <c r="F192" s="114" t="str">
        <f>'2024 Legal Max'!AZ193</f>
        <v>A</v>
      </c>
      <c r="G192" s="113">
        <v>443</v>
      </c>
      <c r="H192" s="115" t="s">
        <v>933</v>
      </c>
      <c r="L192" s="1" t="s">
        <v>378</v>
      </c>
      <c r="M192" s="105" t="s">
        <v>90</v>
      </c>
      <c r="N192" s="105" t="s">
        <v>697</v>
      </c>
      <c r="O192" s="114">
        <f>'Preliminary SO66'!AH192</f>
        <v>265.3</v>
      </c>
      <c r="P192" s="105">
        <f>SUMIF('PreliminaryHD AR - School Level'!$A$5:A573, "=" &amp; L192,'PreliminaryHD AR - School Level'!$M$5:M573)</f>
        <v>0</v>
      </c>
      <c r="Q192" s="114">
        <f>'2024 Legal Max'!AS193</f>
        <v>265.39999999999998</v>
      </c>
      <c r="R192" s="105">
        <f>'2024 Legal Max'!AH193</f>
        <v>1.9</v>
      </c>
      <c r="U192" s="105" t="str">
        <f>'2024 Legal Max'!AZ193</f>
        <v>A</v>
      </c>
    </row>
    <row r="193" spans="1:21">
      <c r="A193" s="113">
        <v>400</v>
      </c>
      <c r="B193" s="105" t="s">
        <v>91</v>
      </c>
      <c r="C193" s="105" t="s">
        <v>698</v>
      </c>
      <c r="D193" s="118">
        <f>'2024 Legal Max'!T194</f>
        <v>18.5</v>
      </c>
      <c r="E193" s="118" t="str">
        <f t="shared" si="2"/>
        <v>Yes</v>
      </c>
      <c r="F193" s="114" t="str">
        <f>'2024 Legal Max'!AZ194</f>
        <v>A</v>
      </c>
      <c r="G193" s="113">
        <v>444</v>
      </c>
      <c r="H193" s="115" t="s">
        <v>933</v>
      </c>
      <c r="L193" s="1" t="s">
        <v>379</v>
      </c>
      <c r="M193" s="105" t="s">
        <v>91</v>
      </c>
      <c r="N193" s="105" t="s">
        <v>698</v>
      </c>
      <c r="O193" s="114">
        <f>'Preliminary SO66'!AH193</f>
        <v>1254.5</v>
      </c>
      <c r="P193" s="105">
        <f>SUMIF('PreliminaryHD AR - School Level'!$A$5:A574, "=" &amp; L193,'PreliminaryHD AR - School Level'!$M$5:M574)</f>
        <v>0</v>
      </c>
      <c r="Q193" s="114">
        <f>'2024 Legal Max'!AS194</f>
        <v>1250.4000000000001</v>
      </c>
      <c r="R193" s="105">
        <f>'2024 Legal Max'!AH194</f>
        <v>0</v>
      </c>
      <c r="U193" s="105" t="str">
        <f>'2024 Legal Max'!AZ194</f>
        <v>A</v>
      </c>
    </row>
    <row r="194" spans="1:21">
      <c r="A194" s="113">
        <v>401</v>
      </c>
      <c r="B194" s="105" t="s">
        <v>76</v>
      </c>
      <c r="C194" s="105" t="s">
        <v>699</v>
      </c>
      <c r="D194" s="118">
        <f>'2024 Legal Max'!T195</f>
        <v>5.5</v>
      </c>
      <c r="E194" s="118" t="str">
        <f t="shared" si="2"/>
        <v>Yes</v>
      </c>
      <c r="F194" s="114" t="str">
        <f>'2024 Legal Max'!AZ195</f>
        <v>A</v>
      </c>
      <c r="G194" s="113">
        <v>445</v>
      </c>
      <c r="H194" s="115" t="s">
        <v>933</v>
      </c>
      <c r="L194" s="1" t="s">
        <v>380</v>
      </c>
      <c r="M194" s="105" t="s">
        <v>76</v>
      </c>
      <c r="N194" s="105" t="s">
        <v>699</v>
      </c>
      <c r="O194" s="114">
        <f>'Preliminary SO66'!AH194</f>
        <v>341.9</v>
      </c>
      <c r="P194" s="105">
        <f>SUMIF('PreliminaryHD AR - School Level'!$A$5:A575, "=" &amp; L194,'PreliminaryHD AR - School Level'!$M$5:M575)</f>
        <v>0</v>
      </c>
      <c r="Q194" s="114">
        <f>'2024 Legal Max'!AS195</f>
        <v>338.8</v>
      </c>
      <c r="R194" s="105">
        <f>'2024 Legal Max'!AH195</f>
        <v>10</v>
      </c>
      <c r="U194" s="105" t="str">
        <f>'2024 Legal Max'!AZ195</f>
        <v>A</v>
      </c>
    </row>
    <row r="195" spans="1:21">
      <c r="A195" s="113">
        <v>402</v>
      </c>
      <c r="B195" s="105" t="s">
        <v>10</v>
      </c>
      <c r="C195" s="105" t="s">
        <v>700</v>
      </c>
      <c r="D195" s="118">
        <f>'2024 Legal Max'!T196</f>
        <v>27.5</v>
      </c>
      <c r="E195" s="118" t="str">
        <f t="shared" si="2"/>
        <v>Yes</v>
      </c>
      <c r="F195" s="114" t="str">
        <f>'2024 Legal Max'!AZ196</f>
        <v>A</v>
      </c>
      <c r="G195" s="113">
        <v>446</v>
      </c>
      <c r="H195" s="115" t="s">
        <v>933</v>
      </c>
      <c r="L195" s="1" t="s">
        <v>381</v>
      </c>
      <c r="M195" s="105" t="s">
        <v>10</v>
      </c>
      <c r="N195" s="105" t="s">
        <v>700</v>
      </c>
      <c r="O195" s="114">
        <f>'Preliminary SO66'!AH195</f>
        <v>2533.6999999999998</v>
      </c>
      <c r="P195" s="105">
        <f>SUMIF('PreliminaryHD AR - School Level'!$A$5:A576, "=" &amp; L195,'PreliminaryHD AR - School Level'!$M$5:M576)</f>
        <v>0</v>
      </c>
      <c r="Q195" s="114">
        <f>'2024 Legal Max'!AS196</f>
        <v>2524.6999999999998</v>
      </c>
      <c r="R195" s="105">
        <f>'2024 Legal Max'!AH196</f>
        <v>15.1</v>
      </c>
      <c r="U195" s="105" t="str">
        <f>'2024 Legal Max'!AZ196</f>
        <v>A</v>
      </c>
    </row>
    <row r="196" spans="1:21">
      <c r="A196" s="113">
        <v>403</v>
      </c>
      <c r="B196" s="105" t="s">
        <v>88</v>
      </c>
      <c r="C196" s="105" t="s">
        <v>701</v>
      </c>
      <c r="D196" s="118">
        <f>'2024 Legal Max'!T197</f>
        <v>3</v>
      </c>
      <c r="E196" s="118" t="str">
        <f t="shared" si="2"/>
        <v>Yes</v>
      </c>
      <c r="F196" s="114" t="str">
        <f>'2024 Legal Max'!AZ197</f>
        <v>A</v>
      </c>
      <c r="G196" s="113">
        <v>447</v>
      </c>
      <c r="H196" s="115" t="s">
        <v>933</v>
      </c>
      <c r="L196" s="1" t="s">
        <v>382</v>
      </c>
      <c r="M196" s="105" t="s">
        <v>88</v>
      </c>
      <c r="N196" s="105" t="s">
        <v>701</v>
      </c>
      <c r="O196" s="114">
        <f>'Preliminary SO66'!AH196</f>
        <v>419.5</v>
      </c>
      <c r="P196" s="105">
        <f>SUMIF('PreliminaryHD AR - School Level'!$A$5:A576, "=" &amp; L196,'PreliminaryHD AR - School Level'!$M$5:M576)</f>
        <v>0</v>
      </c>
      <c r="Q196" s="114">
        <f>'2024 Legal Max'!AS197</f>
        <v>416.4</v>
      </c>
      <c r="R196" s="105">
        <f>'2024 Legal Max'!AH197</f>
        <v>1</v>
      </c>
      <c r="U196" s="105" t="str">
        <f>'2024 Legal Max'!AZ197</f>
        <v>A</v>
      </c>
    </row>
    <row r="197" spans="1:21">
      <c r="A197" s="113">
        <v>404</v>
      </c>
      <c r="B197" s="105" t="s">
        <v>29</v>
      </c>
      <c r="C197" s="105" t="s">
        <v>702</v>
      </c>
      <c r="D197" s="118">
        <f>'2024 Legal Max'!T198</f>
        <v>8.5</v>
      </c>
      <c r="E197" s="118" t="str">
        <f t="shared" ref="E197:E260" si="3">VLOOKUP(A197,$G$4:$H$299,2,FALSE)</f>
        <v>Yes</v>
      </c>
      <c r="F197" s="114" t="str">
        <f>'2024 Legal Max'!AZ198</f>
        <v>A</v>
      </c>
      <c r="G197" s="113">
        <v>448</v>
      </c>
      <c r="H197" s="115" t="s">
        <v>933</v>
      </c>
      <c r="L197" s="1" t="s">
        <v>383</v>
      </c>
      <c r="M197" s="105" t="s">
        <v>29</v>
      </c>
      <c r="N197" s="105" t="s">
        <v>702</v>
      </c>
      <c r="O197" s="114">
        <f>'Preliminary SO66'!AH197</f>
        <v>1169.9000000000001</v>
      </c>
      <c r="P197" s="105">
        <f>SUMIF('PreliminaryHD AR - School Level'!$A$5:A577, "=" &amp; L197,'PreliminaryHD AR - School Level'!$M$5:M577)</f>
        <v>0</v>
      </c>
      <c r="Q197" s="114">
        <f>'2024 Legal Max'!AS198</f>
        <v>1165.5</v>
      </c>
      <c r="R197" s="105">
        <f>'2024 Legal Max'!AH198</f>
        <v>28</v>
      </c>
      <c r="U197" s="105" t="str">
        <f>'2024 Legal Max'!AZ198</f>
        <v>A</v>
      </c>
    </row>
    <row r="198" spans="1:21">
      <c r="A198" s="113">
        <v>405</v>
      </c>
      <c r="B198" s="105" t="s">
        <v>76</v>
      </c>
      <c r="C198" s="105" t="s">
        <v>703</v>
      </c>
      <c r="D198" s="118">
        <f>'2024 Legal Max'!T199</f>
        <v>10</v>
      </c>
      <c r="E198" s="118" t="str">
        <f t="shared" si="3"/>
        <v>Yes</v>
      </c>
      <c r="F198" s="114" t="str">
        <f>'2024 Legal Max'!AZ199</f>
        <v>A</v>
      </c>
      <c r="G198" s="113">
        <v>449</v>
      </c>
      <c r="H198" s="115" t="s">
        <v>933</v>
      </c>
      <c r="L198" s="1" t="s">
        <v>384</v>
      </c>
      <c r="M198" s="105" t="s">
        <v>76</v>
      </c>
      <c r="N198" s="105" t="s">
        <v>703</v>
      </c>
      <c r="O198" s="114">
        <f>'Preliminary SO66'!AH198</f>
        <v>1342.6</v>
      </c>
      <c r="P198" s="105">
        <f>SUMIF('PreliminaryHD AR - School Level'!$A$5:A578, "=" &amp; L198,'PreliminaryHD AR - School Level'!$M$5:M578)</f>
        <v>0</v>
      </c>
      <c r="Q198" s="114">
        <f>'2024 Legal Max'!AS199</f>
        <v>1333.7</v>
      </c>
      <c r="R198" s="105">
        <f>'2024 Legal Max'!AH199</f>
        <v>48.7</v>
      </c>
      <c r="U198" s="105" t="str">
        <f>'2024 Legal Max'!AZ199</f>
        <v>A</v>
      </c>
    </row>
    <row r="199" spans="1:21">
      <c r="A199" s="113">
        <v>407</v>
      </c>
      <c r="B199" s="105" t="s">
        <v>90</v>
      </c>
      <c r="C199" s="105" t="s">
        <v>704</v>
      </c>
      <c r="D199" s="118">
        <f>'2024 Legal Max'!T200</f>
        <v>9.5</v>
      </c>
      <c r="E199" s="118" t="str">
        <f t="shared" si="3"/>
        <v>Yes</v>
      </c>
      <c r="F199" s="114" t="str">
        <f>'2024 Legal Max'!AZ200</f>
        <v>A</v>
      </c>
      <c r="G199" s="113">
        <v>450</v>
      </c>
      <c r="H199" s="115" t="s">
        <v>933</v>
      </c>
      <c r="L199" s="1" t="s">
        <v>385</v>
      </c>
      <c r="M199" s="105" t="s">
        <v>90</v>
      </c>
      <c r="N199" s="105" t="s">
        <v>704</v>
      </c>
      <c r="O199" s="114">
        <f>'Preliminary SO66'!AH199</f>
        <v>1304.5999999999999</v>
      </c>
      <c r="P199" s="105">
        <f>SUMIF('PreliminaryHD AR - School Level'!$A$5:A579, "=" &amp; L199,'PreliminaryHD AR - School Level'!$M$5:M579)</f>
        <v>0</v>
      </c>
      <c r="Q199" s="114">
        <f>'2024 Legal Max'!AS200</f>
        <v>1298.7</v>
      </c>
      <c r="R199" s="105">
        <f>'2024 Legal Max'!AH200</f>
        <v>24.6</v>
      </c>
      <c r="U199" s="105" t="str">
        <f>'2024 Legal Max'!AZ200</f>
        <v>A</v>
      </c>
    </row>
    <row r="200" spans="1:21">
      <c r="A200" s="113">
        <v>408</v>
      </c>
      <c r="B200" s="105" t="s">
        <v>89</v>
      </c>
      <c r="C200" s="105" t="s">
        <v>705</v>
      </c>
      <c r="D200" s="118">
        <f>'2024 Legal Max'!T201</f>
        <v>11.5</v>
      </c>
      <c r="E200" s="118" t="str">
        <f t="shared" si="3"/>
        <v>Yes</v>
      </c>
      <c r="F200" s="114" t="str">
        <f>'2024 Legal Max'!AZ201</f>
        <v>A</v>
      </c>
      <c r="G200" s="113">
        <v>452</v>
      </c>
      <c r="H200" s="115" t="s">
        <v>933</v>
      </c>
      <c r="L200" s="1" t="s">
        <v>386</v>
      </c>
      <c r="M200" s="105" t="s">
        <v>89</v>
      </c>
      <c r="N200" s="105" t="s">
        <v>705</v>
      </c>
      <c r="O200" s="114">
        <f>'Preliminary SO66'!AH200</f>
        <v>889.8</v>
      </c>
      <c r="P200" s="105">
        <f>SUMIF('PreliminaryHD AR - School Level'!$A$5:A580, "=" &amp; L200,'PreliminaryHD AR - School Level'!$M$5:M580)</f>
        <v>0</v>
      </c>
      <c r="Q200" s="114">
        <f>'2024 Legal Max'!AS201</f>
        <v>889.1</v>
      </c>
      <c r="R200" s="105">
        <f>'2024 Legal Max'!AH201</f>
        <v>11.6</v>
      </c>
      <c r="U200" s="105" t="str">
        <f>'2024 Legal Max'!AZ201</f>
        <v>A</v>
      </c>
    </row>
    <row r="201" spans="1:21">
      <c r="A201" s="113">
        <v>409</v>
      </c>
      <c r="B201" s="105" t="s">
        <v>77</v>
      </c>
      <c r="C201" s="105" t="s">
        <v>706</v>
      </c>
      <c r="D201" s="118">
        <f>'2024 Legal Max'!T202</f>
        <v>17.3</v>
      </c>
      <c r="E201" s="118" t="str">
        <f t="shared" si="3"/>
        <v>Yes</v>
      </c>
      <c r="F201" s="114" t="str">
        <f>'2024 Legal Max'!AZ202</f>
        <v>A</v>
      </c>
      <c r="G201" s="113">
        <v>453</v>
      </c>
      <c r="H201" s="115" t="s">
        <v>933</v>
      </c>
      <c r="L201" s="1" t="s">
        <v>387</v>
      </c>
      <c r="M201" s="105" t="s">
        <v>77</v>
      </c>
      <c r="N201" s="105" t="s">
        <v>706</v>
      </c>
      <c r="O201" s="114">
        <f>'Preliminary SO66'!AH201</f>
        <v>2156.5</v>
      </c>
      <c r="P201" s="105">
        <f>SUMIF('PreliminaryHD AR - School Level'!$A$5:A581, "=" &amp; L201,'PreliminaryHD AR - School Level'!$M$5:M581)</f>
        <v>0</v>
      </c>
      <c r="Q201" s="114">
        <f>'2024 Legal Max'!AS202</f>
        <v>2180.8000000000002</v>
      </c>
      <c r="R201" s="105">
        <f>'2024 Legal Max'!AH202</f>
        <v>87.5</v>
      </c>
      <c r="U201" s="105" t="str">
        <f>'2024 Legal Max'!AZ202</f>
        <v>A</v>
      </c>
    </row>
    <row r="202" spans="1:21">
      <c r="A202" s="113">
        <v>410</v>
      </c>
      <c r="B202" s="105" t="s">
        <v>89</v>
      </c>
      <c r="C202" s="105" t="s">
        <v>707</v>
      </c>
      <c r="D202" s="118">
        <f>'2024 Legal Max'!T203</f>
        <v>10.5</v>
      </c>
      <c r="E202" s="118" t="str">
        <f t="shared" si="3"/>
        <v>Yes</v>
      </c>
      <c r="F202" s="114" t="str">
        <f>'2024 Legal Max'!AZ203</f>
        <v>A</v>
      </c>
      <c r="G202" s="113">
        <v>454</v>
      </c>
      <c r="H202" s="115" t="s">
        <v>933</v>
      </c>
      <c r="L202" s="1" t="s">
        <v>388</v>
      </c>
      <c r="M202" s="105" t="s">
        <v>89</v>
      </c>
      <c r="N202" s="105" t="s">
        <v>707</v>
      </c>
      <c r="O202" s="114">
        <f>'Preliminary SO66'!AH202</f>
        <v>1009.8</v>
      </c>
      <c r="P202" s="105">
        <f>SUMIF('PreliminaryHD AR - School Level'!$A$5:A582, "=" &amp; L202,'PreliminaryHD AR - School Level'!$M$5:M582)</f>
        <v>0</v>
      </c>
      <c r="Q202" s="114">
        <f>'2024 Legal Max'!AS203</f>
        <v>1006.4</v>
      </c>
      <c r="R202" s="105">
        <f>'2024 Legal Max'!AH203</f>
        <v>8.6</v>
      </c>
      <c r="U202" s="105" t="str">
        <f>'2024 Legal Max'!AZ203</f>
        <v>A</v>
      </c>
    </row>
    <row r="203" spans="1:21">
      <c r="A203" s="113">
        <v>411</v>
      </c>
      <c r="B203" s="105" t="s">
        <v>89</v>
      </c>
      <c r="C203" s="105" t="s">
        <v>708</v>
      </c>
      <c r="D203" s="118">
        <f>'2024 Legal Max'!T204</f>
        <v>7.5</v>
      </c>
      <c r="E203" s="118" t="str">
        <f t="shared" si="3"/>
        <v>Yes</v>
      </c>
      <c r="F203" s="114" t="str">
        <f>'2024 Legal Max'!AZ204</f>
        <v>A</v>
      </c>
      <c r="G203" s="113">
        <v>456</v>
      </c>
      <c r="H203" s="115" t="s">
        <v>933</v>
      </c>
      <c r="L203" s="1" t="s">
        <v>389</v>
      </c>
      <c r="M203" s="105" t="s">
        <v>89</v>
      </c>
      <c r="N203" s="105" t="s">
        <v>708</v>
      </c>
      <c r="O203" s="114">
        <f>'Preliminary SO66'!AH203</f>
        <v>497.7</v>
      </c>
      <c r="P203" s="105">
        <f>SUMIF('PreliminaryHD AR - School Level'!$A$5:A583, "=" &amp; L203,'PreliminaryHD AR - School Level'!$M$5:M583)</f>
        <v>0</v>
      </c>
      <c r="Q203" s="114">
        <f>'2024 Legal Max'!AS204</f>
        <v>497.5</v>
      </c>
      <c r="R203" s="105">
        <f>'2024 Legal Max'!AH204</f>
        <v>0</v>
      </c>
      <c r="U203" s="105" t="str">
        <f>'2024 Legal Max'!AZ204</f>
        <v>A</v>
      </c>
    </row>
    <row r="204" spans="1:21">
      <c r="A204" s="113">
        <v>412</v>
      </c>
      <c r="B204" s="105" t="s">
        <v>93</v>
      </c>
      <c r="C204" s="105" t="s">
        <v>709</v>
      </c>
      <c r="D204" s="118">
        <f>'2024 Legal Max'!T205</f>
        <v>6</v>
      </c>
      <c r="E204" s="118" t="e">
        <f t="shared" si="3"/>
        <v>#N/A</v>
      </c>
      <c r="F204" s="114" t="str">
        <f>'2024 Legal Max'!AZ205</f>
        <v>A</v>
      </c>
      <c r="G204" s="113">
        <v>457</v>
      </c>
      <c r="H204" s="115" t="s">
        <v>933</v>
      </c>
      <c r="L204" s="1" t="s">
        <v>390</v>
      </c>
      <c r="M204" s="105" t="s">
        <v>93</v>
      </c>
      <c r="N204" s="105" t="s">
        <v>709</v>
      </c>
      <c r="O204" s="114">
        <f>'Preliminary SO66'!AH204</f>
        <v>703</v>
      </c>
      <c r="P204" s="105">
        <f>SUMIF('PreliminaryHD AR - School Level'!$A$5:A584, "=" &amp; L204,'PreliminaryHD AR - School Level'!$M$5:M584)</f>
        <v>0</v>
      </c>
      <c r="Q204" s="114">
        <f>'2024 Legal Max'!AS205</f>
        <v>698.3</v>
      </c>
      <c r="R204" s="105">
        <f>'2024 Legal Max'!AH205</f>
        <v>0</v>
      </c>
      <c r="U204" s="105" t="str">
        <f>'2024 Legal Max'!AZ205</f>
        <v>A</v>
      </c>
    </row>
    <row r="205" spans="1:21">
      <c r="A205" s="113">
        <v>413</v>
      </c>
      <c r="B205" s="105" t="s">
        <v>4</v>
      </c>
      <c r="C205" s="105" t="s">
        <v>710</v>
      </c>
      <c r="D205" s="118">
        <f>'2024 Legal Max'!T206</f>
        <v>39</v>
      </c>
      <c r="E205" s="118" t="str">
        <f t="shared" si="3"/>
        <v>Yes</v>
      </c>
      <c r="F205" s="114" t="str">
        <f>'2024 Legal Max'!AZ206</f>
        <v>A</v>
      </c>
      <c r="G205" s="113">
        <v>458</v>
      </c>
      <c r="H205" s="115" t="s">
        <v>933</v>
      </c>
      <c r="L205" s="1" t="s">
        <v>391</v>
      </c>
      <c r="M205" s="105" t="s">
        <v>4</v>
      </c>
      <c r="N205" s="105" t="s">
        <v>710</v>
      </c>
      <c r="O205" s="114">
        <f>'Preliminary SO66'!AH205</f>
        <v>2526.4</v>
      </c>
      <c r="P205" s="105">
        <f>SUMIF('PreliminaryHD AR - School Level'!$A$5:A585, "=" &amp; L205,'PreliminaryHD AR - School Level'!$M$5:M585)</f>
        <v>0</v>
      </c>
      <c r="Q205" s="114">
        <f>'2024 Legal Max'!AS206</f>
        <v>2505.1999999999998</v>
      </c>
      <c r="R205" s="105">
        <f>'2024 Legal Max'!AH206</f>
        <v>87.3</v>
      </c>
      <c r="U205" s="105" t="str">
        <f>'2024 Legal Max'!AZ206</f>
        <v>A</v>
      </c>
    </row>
    <row r="206" spans="1:21">
      <c r="A206" s="113">
        <v>415</v>
      </c>
      <c r="B206" s="105" t="s">
        <v>94</v>
      </c>
      <c r="C206" s="105" t="s">
        <v>711</v>
      </c>
      <c r="D206" s="118">
        <f>'2024 Legal Max'!T207</f>
        <v>6.5</v>
      </c>
      <c r="E206" s="118" t="str">
        <f t="shared" si="3"/>
        <v>Yes</v>
      </c>
      <c r="F206" s="114" t="str">
        <f>'2024 Legal Max'!AZ207</f>
        <v>A</v>
      </c>
      <c r="G206" s="113">
        <v>459</v>
      </c>
      <c r="H206" s="115" t="s">
        <v>933</v>
      </c>
      <c r="L206" s="1" t="s">
        <v>392</v>
      </c>
      <c r="M206" s="105" t="s">
        <v>94</v>
      </c>
      <c r="N206" s="105" t="s">
        <v>711</v>
      </c>
      <c r="O206" s="114">
        <f>'Preliminary SO66'!AH206</f>
        <v>1488.2</v>
      </c>
      <c r="P206" s="105">
        <f>SUMIF('PreliminaryHD AR - School Level'!$A$5:A586, "=" &amp; L206,'PreliminaryHD AR - School Level'!$M$5:M586)</f>
        <v>0</v>
      </c>
      <c r="Q206" s="114">
        <f>'2024 Legal Max'!AS207</f>
        <v>1471</v>
      </c>
      <c r="R206" s="105">
        <f>'2024 Legal Max'!AH207</f>
        <v>31.9</v>
      </c>
      <c r="U206" s="105" t="str">
        <f>'2024 Legal Max'!AZ207</f>
        <v>A</v>
      </c>
    </row>
    <row r="207" spans="1:21">
      <c r="A207" s="113">
        <v>416</v>
      </c>
      <c r="B207" s="105" t="s">
        <v>73</v>
      </c>
      <c r="C207" s="105" t="s">
        <v>712</v>
      </c>
      <c r="D207" s="118">
        <f>'2024 Legal Max'!T208</f>
        <v>7</v>
      </c>
      <c r="E207" s="118" t="str">
        <f t="shared" si="3"/>
        <v>Yes</v>
      </c>
      <c r="F207" s="114" t="str">
        <f>'2024 Legal Max'!AZ208</f>
        <v>A</v>
      </c>
      <c r="G207" s="113">
        <v>461</v>
      </c>
      <c r="H207" s="115" t="s">
        <v>933</v>
      </c>
      <c r="L207" s="1" t="s">
        <v>393</v>
      </c>
      <c r="M207" s="105" t="s">
        <v>73</v>
      </c>
      <c r="N207" s="105" t="s">
        <v>712</v>
      </c>
      <c r="O207" s="114">
        <f>'Preliminary SO66'!AH207</f>
        <v>2056.8000000000002</v>
      </c>
      <c r="P207" s="105">
        <f>SUMIF('PreliminaryHD AR - School Level'!$A$5:A587, "=" &amp; L207,'PreliminaryHD AR - School Level'!$M$5:M587)</f>
        <v>0</v>
      </c>
      <c r="Q207" s="114">
        <f>'2024 Legal Max'!AS208</f>
        <v>2146.9</v>
      </c>
      <c r="R207" s="105">
        <f>'2024 Legal Max'!AH208</f>
        <v>0</v>
      </c>
      <c r="U207" s="105" t="str">
        <f>'2024 Legal Max'!AZ208</f>
        <v>A</v>
      </c>
    </row>
    <row r="208" spans="1:21">
      <c r="A208" s="113">
        <v>417</v>
      </c>
      <c r="B208" s="105" t="s">
        <v>95</v>
      </c>
      <c r="C208" s="105" t="s">
        <v>713</v>
      </c>
      <c r="D208" s="118">
        <f>'2024 Legal Max'!T209</f>
        <v>12</v>
      </c>
      <c r="E208" s="118" t="str">
        <f t="shared" si="3"/>
        <v>Yes</v>
      </c>
      <c r="F208" s="114" t="str">
        <f>'2024 Legal Max'!AZ209</f>
        <v>A</v>
      </c>
      <c r="G208" s="113">
        <v>462</v>
      </c>
      <c r="H208" s="115" t="s">
        <v>933</v>
      </c>
      <c r="L208" s="1" t="s">
        <v>394</v>
      </c>
      <c r="M208" s="105" t="s">
        <v>95</v>
      </c>
      <c r="N208" s="105" t="s">
        <v>713</v>
      </c>
      <c r="O208" s="114">
        <f>'Preliminary SO66'!AH208</f>
        <v>1316.9</v>
      </c>
      <c r="P208" s="105">
        <f>SUMIF('PreliminaryHD AR - School Level'!$A$5:A588, "=" &amp; L208,'PreliminaryHD AR - School Level'!$M$5:M588)</f>
        <v>0</v>
      </c>
      <c r="Q208" s="114">
        <f>'2024 Legal Max'!AS209</f>
        <v>1308.9000000000001</v>
      </c>
      <c r="R208" s="105">
        <f>'2024 Legal Max'!AH209</f>
        <v>35.4</v>
      </c>
      <c r="U208" s="105" t="str">
        <f>'2024 Legal Max'!AZ209</f>
        <v>A</v>
      </c>
    </row>
    <row r="209" spans="1:21">
      <c r="A209" s="113">
        <v>418</v>
      </c>
      <c r="B209" s="105" t="s">
        <v>91</v>
      </c>
      <c r="C209" s="105" t="s">
        <v>714</v>
      </c>
      <c r="D209" s="118">
        <f>'2024 Legal Max'!T210</f>
        <v>37.5</v>
      </c>
      <c r="E209" s="118" t="str">
        <f t="shared" si="3"/>
        <v>Yes</v>
      </c>
      <c r="F209" s="114" t="str">
        <f>'2024 Legal Max'!AZ210</f>
        <v>A</v>
      </c>
      <c r="G209" s="113">
        <v>463</v>
      </c>
      <c r="H209" s="115" t="s">
        <v>933</v>
      </c>
      <c r="L209" s="1" t="s">
        <v>395</v>
      </c>
      <c r="M209" s="105" t="s">
        <v>91</v>
      </c>
      <c r="N209" s="105" t="s">
        <v>714</v>
      </c>
      <c r="O209" s="114">
        <f>'Preliminary SO66'!AH209</f>
        <v>2886.2</v>
      </c>
      <c r="P209" s="105">
        <f>SUMIF('PreliminaryHD AR - School Level'!$A$5:A589, "=" &amp; L209,'PreliminaryHD AR - School Level'!$M$5:M589)</f>
        <v>0</v>
      </c>
      <c r="Q209" s="114">
        <f>'2024 Legal Max'!AS210</f>
        <v>2879.7</v>
      </c>
      <c r="R209" s="105">
        <f>'2024 Legal Max'!AH210</f>
        <v>35.6</v>
      </c>
      <c r="U209" s="105" t="str">
        <f>'2024 Legal Max'!AZ210</f>
        <v>A</v>
      </c>
    </row>
    <row r="210" spans="1:21">
      <c r="A210" s="113">
        <v>419</v>
      </c>
      <c r="B210" s="105" t="s">
        <v>91</v>
      </c>
      <c r="C210" s="105" t="s">
        <v>715</v>
      </c>
      <c r="D210" s="118">
        <f>'2024 Legal Max'!T211</f>
        <v>6.5</v>
      </c>
      <c r="E210" s="118" t="str">
        <f t="shared" si="3"/>
        <v>Yes</v>
      </c>
      <c r="F210" s="114" t="str">
        <f>'2024 Legal Max'!AZ211</f>
        <v>A</v>
      </c>
      <c r="G210" s="113">
        <v>464</v>
      </c>
      <c r="H210" s="115" t="s">
        <v>933</v>
      </c>
      <c r="L210" s="1" t="s">
        <v>396</v>
      </c>
      <c r="M210" s="105" t="s">
        <v>91</v>
      </c>
      <c r="N210" s="105" t="s">
        <v>715</v>
      </c>
      <c r="O210" s="114">
        <f>'Preliminary SO66'!AH210</f>
        <v>574.9</v>
      </c>
      <c r="P210" s="105">
        <f>SUMIF('PreliminaryHD AR - School Level'!$A$5:A590, "=" &amp; L210,'PreliminaryHD AR - School Level'!$M$5:M590)</f>
        <v>0</v>
      </c>
      <c r="Q210" s="114">
        <f>'2024 Legal Max'!AS211</f>
        <v>572</v>
      </c>
      <c r="R210" s="105">
        <f>'2024 Legal Max'!AH211</f>
        <v>1</v>
      </c>
      <c r="U210" s="105" t="str">
        <f>'2024 Legal Max'!AZ211</f>
        <v>A</v>
      </c>
    </row>
    <row r="211" spans="1:21">
      <c r="A211" s="113">
        <v>420</v>
      </c>
      <c r="B211" s="105" t="s">
        <v>96</v>
      </c>
      <c r="C211" s="105" t="s">
        <v>716</v>
      </c>
      <c r="D211" s="118">
        <f>'2024 Legal Max'!T212</f>
        <v>11.5</v>
      </c>
      <c r="E211" s="118" t="str">
        <f t="shared" si="3"/>
        <v>Yes</v>
      </c>
      <c r="F211" s="114" t="str">
        <f>'2024 Legal Max'!AZ212</f>
        <v>A</v>
      </c>
      <c r="G211" s="113">
        <v>465</v>
      </c>
      <c r="H211" s="115" t="s">
        <v>933</v>
      </c>
      <c r="L211" s="1" t="s">
        <v>397</v>
      </c>
      <c r="M211" s="105" t="s">
        <v>96</v>
      </c>
      <c r="N211" s="105" t="s">
        <v>716</v>
      </c>
      <c r="O211" s="114">
        <f>'Preliminary SO66'!AH211</f>
        <v>1150.5999999999999</v>
      </c>
      <c r="P211" s="105">
        <f>SUMIF('PreliminaryHD AR - School Level'!$A$5:A591, "=" &amp; L211,'PreliminaryHD AR - School Level'!$M$5:M591)</f>
        <v>0</v>
      </c>
      <c r="Q211" s="114">
        <f>'2024 Legal Max'!AS212</f>
        <v>1145.8</v>
      </c>
      <c r="R211" s="105">
        <f>'2024 Legal Max'!AH212</f>
        <v>25.8</v>
      </c>
      <c r="U211" s="105" t="str">
        <f>'2024 Legal Max'!AZ212</f>
        <v>A</v>
      </c>
    </row>
    <row r="212" spans="1:21">
      <c r="A212" s="113">
        <v>421</v>
      </c>
      <c r="B212" s="105" t="s">
        <v>96</v>
      </c>
      <c r="C212" s="105" t="s">
        <v>717</v>
      </c>
      <c r="D212" s="118">
        <f>'2024 Legal Max'!T213</f>
        <v>5.5</v>
      </c>
      <c r="E212" s="118" t="str">
        <f t="shared" si="3"/>
        <v>Yes</v>
      </c>
      <c r="F212" s="114" t="str">
        <f>'2024 Legal Max'!AZ213</f>
        <v>A</v>
      </c>
      <c r="G212" s="113">
        <v>466</v>
      </c>
      <c r="H212" s="115" t="s">
        <v>933</v>
      </c>
      <c r="L212" s="1" t="s">
        <v>398</v>
      </c>
      <c r="M212" s="105" t="s">
        <v>96</v>
      </c>
      <c r="N212" s="105" t="s">
        <v>717</v>
      </c>
      <c r="O212" s="114">
        <f>'Preliminary SO66'!AH212</f>
        <v>712.4</v>
      </c>
      <c r="P212" s="105">
        <f>SUMIF('PreliminaryHD AR - School Level'!$A$5:A592, "=" &amp; L212,'PreliminaryHD AR - School Level'!$M$5:M592)</f>
        <v>0</v>
      </c>
      <c r="Q212" s="114">
        <f>'2024 Legal Max'!AS213</f>
        <v>711.1</v>
      </c>
      <c r="R212" s="105">
        <f>'2024 Legal Max'!AH213</f>
        <v>0</v>
      </c>
      <c r="U212" s="105" t="str">
        <f>'2024 Legal Max'!AZ213</f>
        <v>A</v>
      </c>
    </row>
    <row r="213" spans="1:21">
      <c r="A213" s="113">
        <v>422</v>
      </c>
      <c r="B213" s="105" t="s">
        <v>97</v>
      </c>
      <c r="C213" s="105" t="s">
        <v>718</v>
      </c>
      <c r="D213" s="118">
        <f>'2024 Legal Max'!T214</f>
        <v>5</v>
      </c>
      <c r="E213" s="118" t="str">
        <f t="shared" si="3"/>
        <v>Yes</v>
      </c>
      <c r="F213" s="114" t="str">
        <f>'2024 Legal Max'!AZ214</f>
        <v>A</v>
      </c>
      <c r="G213" s="113">
        <v>467</v>
      </c>
      <c r="H213" s="115" t="s">
        <v>933</v>
      </c>
      <c r="L213" s="1" t="s">
        <v>399</v>
      </c>
      <c r="M213" s="105" t="s">
        <v>97</v>
      </c>
      <c r="N213" s="105" t="s">
        <v>718</v>
      </c>
      <c r="O213" s="114">
        <f>'Preliminary SO66'!AH213</f>
        <v>530.70000000000005</v>
      </c>
      <c r="P213" s="105">
        <f>SUMIF('PreliminaryHD AR - School Level'!$A$5:A593, "=" &amp; L213,'PreliminaryHD AR - School Level'!$M$5:M593)</f>
        <v>0</v>
      </c>
      <c r="Q213" s="114">
        <f>'2024 Legal Max'!AS214</f>
        <v>531.1</v>
      </c>
      <c r="R213" s="105">
        <f>'2024 Legal Max'!AH214</f>
        <v>3.4</v>
      </c>
      <c r="U213" s="105" t="str">
        <f>'2024 Legal Max'!AZ214</f>
        <v>A</v>
      </c>
    </row>
    <row r="214" spans="1:21">
      <c r="A214" s="113">
        <v>423</v>
      </c>
      <c r="B214" s="105" t="s">
        <v>91</v>
      </c>
      <c r="C214" s="105" t="s">
        <v>719</v>
      </c>
      <c r="D214" s="118">
        <f>'2024 Legal Max'!T215</f>
        <v>13</v>
      </c>
      <c r="E214" s="118" t="str">
        <f t="shared" si="3"/>
        <v>Yes</v>
      </c>
      <c r="F214" s="114" t="str">
        <f>'2024 Legal Max'!AZ215</f>
        <v>A</v>
      </c>
      <c r="G214" s="113">
        <v>469</v>
      </c>
      <c r="H214" s="115" t="s">
        <v>933</v>
      </c>
      <c r="L214" s="1" t="s">
        <v>400</v>
      </c>
      <c r="M214" s="105" t="s">
        <v>91</v>
      </c>
      <c r="N214" s="105" t="s">
        <v>719</v>
      </c>
      <c r="O214" s="114">
        <f>'Preliminary SO66'!AH214</f>
        <v>787.4</v>
      </c>
      <c r="P214" s="105">
        <f>SUMIF('PreliminaryHD AR - School Level'!$A$5:A594, "=" &amp; L214,'PreliminaryHD AR - School Level'!$M$5:M594)</f>
        <v>0</v>
      </c>
      <c r="Q214" s="114">
        <f>'2024 Legal Max'!AS215</f>
        <v>789.7</v>
      </c>
      <c r="R214" s="105">
        <f>'2024 Legal Max'!AH215</f>
        <v>1</v>
      </c>
      <c r="U214" s="105" t="str">
        <f>'2024 Legal Max'!AZ215</f>
        <v>A</v>
      </c>
    </row>
    <row r="215" spans="1:21">
      <c r="A215" s="113">
        <v>426</v>
      </c>
      <c r="B215" s="105" t="s">
        <v>98</v>
      </c>
      <c r="C215" s="105" t="s">
        <v>720</v>
      </c>
      <c r="D215" s="118">
        <f>'2024 Legal Max'!T216</f>
        <v>5.5</v>
      </c>
      <c r="E215" s="118" t="str">
        <f t="shared" si="3"/>
        <v>Yes</v>
      </c>
      <c r="F215" s="114" t="str">
        <f>'2024 Legal Max'!AZ216</f>
        <v>A</v>
      </c>
      <c r="G215" s="113">
        <v>470</v>
      </c>
      <c r="H215" s="115" t="s">
        <v>933</v>
      </c>
      <c r="L215" s="1" t="s">
        <v>401</v>
      </c>
      <c r="M215" s="105" t="s">
        <v>98</v>
      </c>
      <c r="N215" s="105" t="s">
        <v>720</v>
      </c>
      <c r="O215" s="114">
        <f>'Preliminary SO66'!AH215</f>
        <v>423</v>
      </c>
      <c r="P215" s="105">
        <f>SUMIF('PreliminaryHD AR - School Level'!$A$5:A595, "=" &amp; L215,'PreliminaryHD AR - School Level'!$M$5:M595)</f>
        <v>0</v>
      </c>
      <c r="Q215" s="114">
        <f>'2024 Legal Max'!AS216</f>
        <v>419.8</v>
      </c>
      <c r="R215" s="105">
        <f>'2024 Legal Max'!AH216</f>
        <v>0</v>
      </c>
      <c r="U215" s="105" t="str">
        <f>'2024 Legal Max'!AZ216</f>
        <v>A</v>
      </c>
    </row>
    <row r="216" spans="1:21">
      <c r="A216" s="113">
        <v>428</v>
      </c>
      <c r="B216" s="105" t="s">
        <v>67</v>
      </c>
      <c r="C216" s="105" t="s">
        <v>721</v>
      </c>
      <c r="D216" s="118">
        <f>'2024 Legal Max'!T217</f>
        <v>49.5</v>
      </c>
      <c r="E216" s="118" t="str">
        <f t="shared" si="3"/>
        <v>Yes</v>
      </c>
      <c r="F216" s="114" t="str">
        <f>'2024 Legal Max'!AZ217</f>
        <v>A</v>
      </c>
      <c r="G216" s="113">
        <v>475</v>
      </c>
      <c r="H216" s="115" t="s">
        <v>933</v>
      </c>
      <c r="L216" s="1" t="s">
        <v>402</v>
      </c>
      <c r="M216" s="105" t="s">
        <v>67</v>
      </c>
      <c r="N216" s="105" t="s">
        <v>721</v>
      </c>
      <c r="O216" s="114">
        <f>'Preliminary SO66'!AH216</f>
        <v>4137</v>
      </c>
      <c r="P216" s="105">
        <f>SUMIF('PreliminaryHD AR - School Level'!$A$5:A596, "=" &amp; L216,'PreliminaryHD AR - School Level'!$M$5:M596)</f>
        <v>0</v>
      </c>
      <c r="Q216" s="114">
        <f>'2024 Legal Max'!AS217</f>
        <v>4122</v>
      </c>
      <c r="R216" s="105">
        <f>'2024 Legal Max'!AH217</f>
        <v>173.3</v>
      </c>
      <c r="U216" s="105" t="str">
        <f>'2024 Legal Max'!AZ217</f>
        <v>A</v>
      </c>
    </row>
    <row r="217" spans="1:21">
      <c r="A217" s="113">
        <v>429</v>
      </c>
      <c r="B217" s="105" t="s">
        <v>92</v>
      </c>
      <c r="C217" s="105" t="s">
        <v>722</v>
      </c>
      <c r="D217" s="118">
        <f>'2024 Legal Max'!T218</f>
        <v>1.5</v>
      </c>
      <c r="E217" s="118" t="e">
        <f t="shared" si="3"/>
        <v>#N/A</v>
      </c>
      <c r="F217" s="114" t="str">
        <f>'2024 Legal Max'!AZ218</f>
        <v>A</v>
      </c>
      <c r="G217" s="113">
        <v>476</v>
      </c>
      <c r="H217" s="115" t="s">
        <v>933</v>
      </c>
      <c r="L217" s="1" t="s">
        <v>403</v>
      </c>
      <c r="M217" s="105" t="s">
        <v>92</v>
      </c>
      <c r="N217" s="105" t="s">
        <v>722</v>
      </c>
      <c r="O217" s="114">
        <f>'Preliminary SO66'!AH217</f>
        <v>527.4</v>
      </c>
      <c r="P217" s="105">
        <f>SUMIF('PreliminaryHD AR - School Level'!$A$5:A597, "=" &amp; L217,'PreliminaryHD AR - School Level'!$M$5:M597)</f>
        <v>0</v>
      </c>
      <c r="Q217" s="114">
        <f>'2024 Legal Max'!AS218</f>
        <v>528.29999999999995</v>
      </c>
      <c r="R217" s="105">
        <f>'2024 Legal Max'!AH218</f>
        <v>0</v>
      </c>
      <c r="U217" s="105" t="str">
        <f>'2024 Legal Max'!AZ218</f>
        <v>A</v>
      </c>
    </row>
    <row r="218" spans="1:21">
      <c r="A218" s="113">
        <v>430</v>
      </c>
      <c r="B218" s="105" t="s">
        <v>94</v>
      </c>
      <c r="C218" s="105" t="s">
        <v>723</v>
      </c>
      <c r="D218" s="118">
        <f>'2024 Legal Max'!T219</f>
        <v>5</v>
      </c>
      <c r="E218" s="118" t="str">
        <f t="shared" si="3"/>
        <v>Yes</v>
      </c>
      <c r="F218" s="114" t="str">
        <f>'2024 Legal Max'!AZ219</f>
        <v>A</v>
      </c>
      <c r="G218" s="113">
        <v>477</v>
      </c>
      <c r="H218" s="115" t="s">
        <v>933</v>
      </c>
      <c r="L218" s="1" t="s">
        <v>404</v>
      </c>
      <c r="M218" s="105" t="s">
        <v>94</v>
      </c>
      <c r="N218" s="105" t="s">
        <v>723</v>
      </c>
      <c r="O218" s="114">
        <f>'Preliminary SO66'!AH218</f>
        <v>962.3</v>
      </c>
      <c r="P218" s="105">
        <f>SUMIF('PreliminaryHD AR - School Level'!$A$5:A598, "=" &amp; L218,'PreliminaryHD AR - School Level'!$M$5:M598)</f>
        <v>0</v>
      </c>
      <c r="Q218" s="114">
        <f>'2024 Legal Max'!AS219</f>
        <v>947</v>
      </c>
      <c r="R218" s="105">
        <f>'2024 Legal Max'!AH219</f>
        <v>28.8</v>
      </c>
      <c r="U218" s="105" t="str">
        <f>'2024 Legal Max'!AZ219</f>
        <v>A</v>
      </c>
    </row>
    <row r="219" spans="1:21">
      <c r="A219" s="113">
        <v>431</v>
      </c>
      <c r="B219" s="105" t="s">
        <v>67</v>
      </c>
      <c r="C219" s="105" t="s">
        <v>724</v>
      </c>
      <c r="D219" s="118">
        <f>'2024 Legal Max'!T220</f>
        <v>10.5</v>
      </c>
      <c r="E219" s="118" t="str">
        <f t="shared" si="3"/>
        <v>Yes</v>
      </c>
      <c r="F219" s="114" t="str">
        <f>'2024 Legal Max'!AZ220</f>
        <v>A</v>
      </c>
      <c r="G219" s="113">
        <v>479</v>
      </c>
      <c r="H219" s="115" t="s">
        <v>933</v>
      </c>
      <c r="L219" s="1" t="s">
        <v>405</v>
      </c>
      <c r="M219" s="105" t="s">
        <v>67</v>
      </c>
      <c r="N219" s="105" t="s">
        <v>724</v>
      </c>
      <c r="O219" s="114">
        <f>'Preliminary SO66'!AH219</f>
        <v>1237.7</v>
      </c>
      <c r="P219" s="105">
        <f>SUMIF('PreliminaryHD AR - School Level'!$A$5:A599, "=" &amp; L219,'PreliminaryHD AR - School Level'!$M$5:M599)</f>
        <v>0</v>
      </c>
      <c r="Q219" s="114">
        <f>'2024 Legal Max'!AS220</f>
        <v>1211.3</v>
      </c>
      <c r="R219" s="105">
        <f>'2024 Legal Max'!AH220</f>
        <v>19.600000000000001</v>
      </c>
      <c r="U219" s="105" t="str">
        <f>'2024 Legal Max'!AZ220</f>
        <v>A</v>
      </c>
    </row>
    <row r="220" spans="1:21">
      <c r="A220" s="113">
        <v>432</v>
      </c>
      <c r="B220" s="105" t="s">
        <v>84</v>
      </c>
      <c r="C220" s="105" t="s">
        <v>725</v>
      </c>
      <c r="D220" s="118">
        <f>'2024 Legal Max'!T221</f>
        <v>1.5</v>
      </c>
      <c r="E220" s="118" t="e">
        <f t="shared" si="3"/>
        <v>#N/A</v>
      </c>
      <c r="F220" s="114" t="str">
        <f>'2024 Legal Max'!AZ221</f>
        <v>A</v>
      </c>
      <c r="G220" s="113">
        <v>480</v>
      </c>
      <c r="H220" s="115" t="s">
        <v>933</v>
      </c>
      <c r="L220" s="1" t="s">
        <v>406</v>
      </c>
      <c r="M220" s="105" t="s">
        <v>84</v>
      </c>
      <c r="N220" s="105" t="s">
        <v>725</v>
      </c>
      <c r="O220" s="114">
        <f>'Preliminary SO66'!AH220</f>
        <v>477.4</v>
      </c>
      <c r="P220" s="105">
        <f>SUMIF('PreliminaryHD AR - School Level'!$A$5:A600, "=" &amp; L220,'PreliminaryHD AR - School Level'!$M$5:M600)</f>
        <v>0</v>
      </c>
      <c r="Q220" s="114">
        <f>'2024 Legal Max'!AS221</f>
        <v>476.9</v>
      </c>
      <c r="R220" s="105">
        <f>'2024 Legal Max'!AH221</f>
        <v>0</v>
      </c>
      <c r="U220" s="105" t="str">
        <f>'2024 Legal Max'!AZ221</f>
        <v>A</v>
      </c>
    </row>
    <row r="221" spans="1:21">
      <c r="A221" s="113">
        <v>434</v>
      </c>
      <c r="B221" s="105" t="s">
        <v>96</v>
      </c>
      <c r="C221" s="105" t="s">
        <v>726</v>
      </c>
      <c r="D221" s="118">
        <f>'2024 Legal Max'!T222</f>
        <v>11.5</v>
      </c>
      <c r="E221" s="118" t="str">
        <f t="shared" si="3"/>
        <v>Yes</v>
      </c>
      <c r="F221" s="114" t="str">
        <f>'2024 Legal Max'!AZ222</f>
        <v>A</v>
      </c>
      <c r="G221" s="113">
        <v>481</v>
      </c>
      <c r="H221" s="115" t="s">
        <v>933</v>
      </c>
      <c r="L221" s="1" t="s">
        <v>407</v>
      </c>
      <c r="M221" s="105" t="s">
        <v>96</v>
      </c>
      <c r="N221" s="105" t="s">
        <v>726</v>
      </c>
      <c r="O221" s="114">
        <f>'Preliminary SO66'!AH221</f>
        <v>1594.1</v>
      </c>
      <c r="P221" s="105">
        <f>SUMIF('PreliminaryHD AR - School Level'!$A$5:A601, "=" &amp; L221,'PreliminaryHD AR - School Level'!$M$5:M601)</f>
        <v>0</v>
      </c>
      <c r="Q221" s="114">
        <f>'2024 Legal Max'!AS222</f>
        <v>1598.7</v>
      </c>
      <c r="R221" s="105">
        <f>'2024 Legal Max'!AH222</f>
        <v>10.4</v>
      </c>
      <c r="U221" s="105" t="str">
        <f>'2024 Legal Max'!AZ222</f>
        <v>A</v>
      </c>
    </row>
    <row r="222" spans="1:21">
      <c r="A222" s="113">
        <v>435</v>
      </c>
      <c r="B222" s="105" t="s">
        <v>87</v>
      </c>
      <c r="C222" s="105" t="s">
        <v>727</v>
      </c>
      <c r="D222" s="118">
        <f>'2024 Legal Max'!T223</f>
        <v>18</v>
      </c>
      <c r="E222" s="118" t="str">
        <f t="shared" si="3"/>
        <v>Yes</v>
      </c>
      <c r="F222" s="114" t="str">
        <f>'2024 Legal Max'!AZ223</f>
        <v>A</v>
      </c>
      <c r="G222" s="113">
        <v>482</v>
      </c>
      <c r="H222" s="115" t="s">
        <v>933</v>
      </c>
      <c r="L222" s="1" t="s">
        <v>408</v>
      </c>
      <c r="M222" s="105" t="s">
        <v>87</v>
      </c>
      <c r="N222" s="105" t="s">
        <v>727</v>
      </c>
      <c r="O222" s="114">
        <f>'Preliminary SO66'!AH222</f>
        <v>1960.2</v>
      </c>
      <c r="P222" s="105">
        <f>SUMIF('PreliminaryHD AR - School Level'!$A$5:A602, "=" &amp; L222,'PreliminaryHD AR - School Level'!$M$5:M602)</f>
        <v>0</v>
      </c>
      <c r="Q222" s="114">
        <f>'2024 Legal Max'!AS223</f>
        <v>1953.1</v>
      </c>
      <c r="R222" s="105">
        <f>'2024 Legal Max'!AH223</f>
        <v>21.8</v>
      </c>
      <c r="U222" s="105" t="str">
        <f>'2024 Legal Max'!AZ223</f>
        <v>A</v>
      </c>
    </row>
    <row r="223" spans="1:21">
      <c r="A223" s="113">
        <v>436</v>
      </c>
      <c r="B223" s="105" t="s">
        <v>99</v>
      </c>
      <c r="C223" s="105" t="s">
        <v>728</v>
      </c>
      <c r="D223" s="118">
        <f>'2024 Legal Max'!T224</f>
        <v>7</v>
      </c>
      <c r="E223" s="118" t="str">
        <f t="shared" si="3"/>
        <v>Yes</v>
      </c>
      <c r="F223" s="114" t="str">
        <f>'2024 Legal Max'!AZ224</f>
        <v>A</v>
      </c>
      <c r="G223" s="113">
        <v>483</v>
      </c>
      <c r="H223" s="115" t="s">
        <v>933</v>
      </c>
      <c r="L223" s="1" t="s">
        <v>409</v>
      </c>
      <c r="M223" s="105" t="s">
        <v>99</v>
      </c>
      <c r="N223" s="105" t="s">
        <v>728</v>
      </c>
      <c r="O223" s="114">
        <f>'Preliminary SO66'!AH223</f>
        <v>1239.9000000000001</v>
      </c>
      <c r="P223" s="105">
        <f>SUMIF('PreliminaryHD AR - School Level'!$A$5:A603, "=" &amp; L223,'PreliminaryHD AR - School Level'!$M$5:M603)</f>
        <v>0</v>
      </c>
      <c r="Q223" s="114">
        <f>'2024 Legal Max'!AS224</f>
        <v>1238.4000000000001</v>
      </c>
      <c r="R223" s="105">
        <f>'2024 Legal Max'!AH224</f>
        <v>11.2</v>
      </c>
      <c r="U223" s="105" t="str">
        <f>'2024 Legal Max'!AZ224</f>
        <v>A</v>
      </c>
    </row>
    <row r="224" spans="1:21">
      <c r="A224" s="113">
        <v>437</v>
      </c>
      <c r="B224" s="105" t="s">
        <v>61</v>
      </c>
      <c r="C224" s="105" t="s">
        <v>729</v>
      </c>
      <c r="D224" s="118">
        <f>'2024 Legal Max'!T225</f>
        <v>40.5</v>
      </c>
      <c r="E224" s="118" t="str">
        <f t="shared" si="3"/>
        <v>Yes</v>
      </c>
      <c r="F224" s="114" t="str">
        <f>'2024 Legal Max'!AZ225</f>
        <v>A</v>
      </c>
      <c r="G224" s="113">
        <v>484</v>
      </c>
      <c r="H224" s="115" t="s">
        <v>933</v>
      </c>
      <c r="L224" s="1" t="s">
        <v>410</v>
      </c>
      <c r="M224" s="105" t="s">
        <v>61</v>
      </c>
      <c r="N224" s="105" t="s">
        <v>729</v>
      </c>
      <c r="O224" s="114">
        <f>'Preliminary SO66'!AH224</f>
        <v>7717.5</v>
      </c>
      <c r="P224" s="105">
        <f>SUMIF('PreliminaryHD AR - School Level'!$A$5:A604, "=" &amp; L224,'PreliminaryHD AR - School Level'!$M$5:M604)</f>
        <v>0</v>
      </c>
      <c r="Q224" s="114">
        <f>'2024 Legal Max'!AS225</f>
        <v>7710.2</v>
      </c>
      <c r="R224" s="105">
        <f>'2024 Legal Max'!AH225</f>
        <v>47.7</v>
      </c>
      <c r="U224" s="105" t="str">
        <f>'2024 Legal Max'!AZ225</f>
        <v>A</v>
      </c>
    </row>
    <row r="225" spans="1:21">
      <c r="A225" s="113">
        <v>438</v>
      </c>
      <c r="B225" s="105" t="s">
        <v>81</v>
      </c>
      <c r="C225" s="105" t="s">
        <v>730</v>
      </c>
      <c r="D225" s="118">
        <f>'2024 Legal Max'!T226</f>
        <v>6.5</v>
      </c>
      <c r="E225" s="118" t="str">
        <f t="shared" si="3"/>
        <v>Yes</v>
      </c>
      <c r="F225" s="114" t="str">
        <f>'2024 Legal Max'!AZ226</f>
        <v>A</v>
      </c>
      <c r="G225" s="113">
        <v>487</v>
      </c>
      <c r="H225" s="115" t="s">
        <v>933</v>
      </c>
      <c r="L225" s="1" t="s">
        <v>411</v>
      </c>
      <c r="M225" s="105" t="s">
        <v>81</v>
      </c>
      <c r="N225" s="105" t="s">
        <v>730</v>
      </c>
      <c r="O225" s="114">
        <f>'Preliminary SO66'!AH225</f>
        <v>651.4</v>
      </c>
      <c r="P225" s="105">
        <f>SUMIF('PreliminaryHD AR - School Level'!$A$5:A605, "=" &amp; L225,'PreliminaryHD AR - School Level'!$M$5:M605)</f>
        <v>0</v>
      </c>
      <c r="Q225" s="114">
        <f>'2024 Legal Max'!AS226</f>
        <v>656.1</v>
      </c>
      <c r="R225" s="105">
        <f>'2024 Legal Max'!AH226</f>
        <v>12.5</v>
      </c>
      <c r="U225" s="105" t="str">
        <f>'2024 Legal Max'!AZ226</f>
        <v>A</v>
      </c>
    </row>
    <row r="226" spans="1:21">
      <c r="A226" s="113">
        <v>439</v>
      </c>
      <c r="B226" s="105" t="s">
        <v>74</v>
      </c>
      <c r="C226" s="105" t="s">
        <v>731</v>
      </c>
      <c r="D226" s="118">
        <f>'2024 Legal Max'!T227</f>
        <v>9.5</v>
      </c>
      <c r="E226" s="118" t="str">
        <f t="shared" si="3"/>
        <v>Yes</v>
      </c>
      <c r="F226" s="114" t="str">
        <f>'2024 Legal Max'!AZ227</f>
        <v>A</v>
      </c>
      <c r="G226" s="113">
        <v>489</v>
      </c>
      <c r="H226" s="115" t="s">
        <v>933</v>
      </c>
      <c r="L226" s="1" t="s">
        <v>412</v>
      </c>
      <c r="M226" s="105" t="s">
        <v>74</v>
      </c>
      <c r="N226" s="105" t="s">
        <v>731</v>
      </c>
      <c r="O226" s="114">
        <f>'Preliminary SO66'!AH226</f>
        <v>802</v>
      </c>
      <c r="P226" s="105">
        <f>SUMIF('PreliminaryHD AR - School Level'!$A$5:A606, "=" &amp; L226,'PreliminaryHD AR - School Level'!$M$5:M606)</f>
        <v>0</v>
      </c>
      <c r="Q226" s="114">
        <f>'2024 Legal Max'!AS227</f>
        <v>800.4</v>
      </c>
      <c r="R226" s="105">
        <f>'2024 Legal Max'!AH227</f>
        <v>0.4</v>
      </c>
      <c r="U226" s="105" t="str">
        <f>'2024 Legal Max'!AZ227</f>
        <v>A</v>
      </c>
    </row>
    <row r="227" spans="1:21">
      <c r="A227" s="113">
        <v>440</v>
      </c>
      <c r="B227" s="105" t="s">
        <v>74</v>
      </c>
      <c r="C227" s="105" t="s">
        <v>732</v>
      </c>
      <c r="D227" s="118">
        <f>'2024 Legal Max'!T228</f>
        <v>16</v>
      </c>
      <c r="E227" s="118" t="str">
        <f t="shared" si="3"/>
        <v>Yes</v>
      </c>
      <c r="F227" s="114" t="str">
        <f>'2024 Legal Max'!AZ228</f>
        <v>A</v>
      </c>
      <c r="G227" s="113">
        <v>490</v>
      </c>
      <c r="H227" s="115" t="s">
        <v>933</v>
      </c>
      <c r="L227" s="1" t="s">
        <v>413</v>
      </c>
      <c r="M227" s="105" t="s">
        <v>74</v>
      </c>
      <c r="N227" s="105" t="s">
        <v>732</v>
      </c>
      <c r="O227" s="114">
        <f>'Preliminary SO66'!AH227</f>
        <v>1282.8</v>
      </c>
      <c r="P227" s="105">
        <f>SUMIF('PreliminaryHD AR - School Level'!$A$5:A607, "=" &amp; L227,'PreliminaryHD AR - School Level'!$M$5:M607)</f>
        <v>0</v>
      </c>
      <c r="Q227" s="114">
        <f>'2024 Legal Max'!AS228</f>
        <v>1274.5</v>
      </c>
      <c r="R227" s="105">
        <f>'2024 Legal Max'!AH228</f>
        <v>4.2</v>
      </c>
      <c r="U227" s="105" t="str">
        <f>'2024 Legal Max'!AZ228</f>
        <v>A</v>
      </c>
    </row>
    <row r="228" spans="1:21">
      <c r="A228" s="113">
        <v>443</v>
      </c>
      <c r="B228" s="105" t="s">
        <v>80</v>
      </c>
      <c r="C228" s="105" t="s">
        <v>733</v>
      </c>
      <c r="D228" s="118">
        <f>'2024 Legal Max'!T229</f>
        <v>168.5</v>
      </c>
      <c r="E228" s="118" t="str">
        <f t="shared" si="3"/>
        <v>Yes</v>
      </c>
      <c r="F228" s="114" t="str">
        <f>'2024 Legal Max'!AZ229</f>
        <v>A</v>
      </c>
      <c r="G228" s="113">
        <v>491</v>
      </c>
      <c r="H228" s="115" t="s">
        <v>933</v>
      </c>
      <c r="L228" s="1" t="s">
        <v>414</v>
      </c>
      <c r="M228" s="105" t="s">
        <v>80</v>
      </c>
      <c r="N228" s="105" t="s">
        <v>733</v>
      </c>
      <c r="O228" s="114">
        <f>'Preliminary SO66'!AH228</f>
        <v>11637.2</v>
      </c>
      <c r="P228" s="105">
        <f>SUMIF('PreliminaryHD AR - School Level'!$A$5:A608, "=" &amp; L228,'PreliminaryHD AR - School Level'!$M$5:M608)</f>
        <v>0</v>
      </c>
      <c r="Q228" s="114">
        <f>'2024 Legal Max'!AS229</f>
        <v>11589</v>
      </c>
      <c r="R228" s="105">
        <f>'2024 Legal Max'!AH229</f>
        <v>527.5</v>
      </c>
      <c r="U228" s="105" t="str">
        <f>'2024 Legal Max'!AZ229</f>
        <v>A</v>
      </c>
    </row>
    <row r="229" spans="1:21">
      <c r="A229" s="113">
        <v>444</v>
      </c>
      <c r="B229" s="105" t="s">
        <v>76</v>
      </c>
      <c r="C229" s="105" t="s">
        <v>734</v>
      </c>
      <c r="D229" s="118">
        <f>'2024 Legal Max'!T230</f>
        <v>4</v>
      </c>
      <c r="E229" s="118" t="str">
        <f t="shared" si="3"/>
        <v>Yes</v>
      </c>
      <c r="F229" s="114" t="str">
        <f>'2024 Legal Max'!AZ230</f>
        <v>A</v>
      </c>
      <c r="G229" s="113">
        <v>492</v>
      </c>
      <c r="H229" s="115" t="s">
        <v>933</v>
      </c>
      <c r="L229" s="1" t="s">
        <v>415</v>
      </c>
      <c r="M229" s="105" t="s">
        <v>76</v>
      </c>
      <c r="N229" s="105" t="s">
        <v>734</v>
      </c>
      <c r="O229" s="114">
        <f>'Preliminary SO66'!AH229</f>
        <v>510.1</v>
      </c>
      <c r="P229" s="105">
        <f>SUMIF('PreliminaryHD AR - School Level'!$A$5:A609, "=" &amp; L229,'PreliminaryHD AR - School Level'!$M$5:M609)</f>
        <v>0</v>
      </c>
      <c r="Q229" s="114">
        <f>'2024 Legal Max'!AS230</f>
        <v>507.1</v>
      </c>
      <c r="R229" s="105">
        <f>'2024 Legal Max'!AH230</f>
        <v>0</v>
      </c>
      <c r="U229" s="105" t="str">
        <f>'2024 Legal Max'!AZ230</f>
        <v>A</v>
      </c>
    </row>
    <row r="230" spans="1:21">
      <c r="A230" s="113">
        <v>445</v>
      </c>
      <c r="B230" s="105" t="s">
        <v>99</v>
      </c>
      <c r="C230" s="105" t="s">
        <v>735</v>
      </c>
      <c r="D230" s="118">
        <f>'2024 Legal Max'!T231</f>
        <v>56</v>
      </c>
      <c r="E230" s="118" t="str">
        <f t="shared" si="3"/>
        <v>Yes</v>
      </c>
      <c r="F230" s="114" t="str">
        <f>'2024 Legal Max'!AZ231</f>
        <v>A</v>
      </c>
      <c r="G230" s="113">
        <v>493</v>
      </c>
      <c r="H230" s="115" t="s">
        <v>933</v>
      </c>
      <c r="L230" s="1" t="s">
        <v>416</v>
      </c>
      <c r="M230" s="105" t="s">
        <v>99</v>
      </c>
      <c r="N230" s="105" t="s">
        <v>735</v>
      </c>
      <c r="O230" s="114">
        <f>'Preliminary SO66'!AH230</f>
        <v>2512.6999999999998</v>
      </c>
      <c r="P230" s="105">
        <f>SUMIF('PreliminaryHD AR - School Level'!$A$5:A610, "=" &amp; L230,'PreliminaryHD AR - School Level'!$M$5:M610)</f>
        <v>0</v>
      </c>
      <c r="Q230" s="114">
        <f>'2024 Legal Max'!AS231</f>
        <v>2502</v>
      </c>
      <c r="R230" s="105">
        <f>'2024 Legal Max'!AH231</f>
        <v>108.9</v>
      </c>
      <c r="U230" s="105" t="str">
        <f>'2024 Legal Max'!AZ231</f>
        <v>A</v>
      </c>
    </row>
    <row r="231" spans="1:21">
      <c r="A231" s="113">
        <v>446</v>
      </c>
      <c r="B231" s="105" t="s">
        <v>99</v>
      </c>
      <c r="C231" s="105" t="s">
        <v>736</v>
      </c>
      <c r="D231" s="118">
        <f>'2024 Legal Max'!T232</f>
        <v>31.5</v>
      </c>
      <c r="E231" s="118" t="str">
        <f t="shared" si="3"/>
        <v>Yes</v>
      </c>
      <c r="F231" s="114" t="str">
        <f>'2024 Legal Max'!AZ232</f>
        <v>A</v>
      </c>
      <c r="G231" s="113">
        <v>494</v>
      </c>
      <c r="H231" s="115" t="s">
        <v>933</v>
      </c>
      <c r="L231" s="1" t="s">
        <v>417</v>
      </c>
      <c r="M231" s="105" t="s">
        <v>99</v>
      </c>
      <c r="N231" s="105" t="s">
        <v>736</v>
      </c>
      <c r="O231" s="114">
        <f>'Preliminary SO66'!AH231</f>
        <v>2672.7</v>
      </c>
      <c r="P231" s="105">
        <f>SUMIF('PreliminaryHD AR - School Level'!$A$5:A611, "=" &amp; L231,'PreliminaryHD AR - School Level'!$M$5:M611)</f>
        <v>0</v>
      </c>
      <c r="Q231" s="114">
        <f>'2024 Legal Max'!AS232</f>
        <v>2651.6</v>
      </c>
      <c r="R231" s="105">
        <f>'2024 Legal Max'!AH232</f>
        <v>103.5</v>
      </c>
      <c r="U231" s="105" t="str">
        <f>'2024 Legal Max'!AZ232</f>
        <v>A</v>
      </c>
    </row>
    <row r="232" spans="1:21">
      <c r="A232" s="113">
        <v>447</v>
      </c>
      <c r="B232" s="105" t="s">
        <v>99</v>
      </c>
      <c r="C232" s="105" t="s">
        <v>737</v>
      </c>
      <c r="D232" s="118">
        <f>'2024 Legal Max'!T233</f>
        <v>12</v>
      </c>
      <c r="E232" s="118" t="str">
        <f t="shared" si="3"/>
        <v>Yes</v>
      </c>
      <c r="F232" s="114" t="str">
        <f>'2024 Legal Max'!AZ233</f>
        <v>A</v>
      </c>
      <c r="G232" s="113">
        <v>495</v>
      </c>
      <c r="H232" s="115" t="s">
        <v>933</v>
      </c>
      <c r="L232" s="1" t="s">
        <v>418</v>
      </c>
      <c r="M232" s="105" t="s">
        <v>99</v>
      </c>
      <c r="N232" s="105" t="s">
        <v>737</v>
      </c>
      <c r="O232" s="114">
        <f>'Preliminary SO66'!AH232</f>
        <v>1261.2</v>
      </c>
      <c r="P232" s="105">
        <f>SUMIF('PreliminaryHD AR - School Level'!$A$5:A612, "=" &amp; L232,'PreliminaryHD AR - School Level'!$M$5:M612)</f>
        <v>0</v>
      </c>
      <c r="Q232" s="114">
        <f>'2024 Legal Max'!AS233</f>
        <v>1253.9000000000001</v>
      </c>
      <c r="R232" s="105">
        <f>'2024 Legal Max'!AH233</f>
        <v>40.4</v>
      </c>
      <c r="U232" s="105" t="str">
        <f>'2024 Legal Max'!AZ233</f>
        <v>A</v>
      </c>
    </row>
    <row r="233" spans="1:21">
      <c r="A233" s="113">
        <v>448</v>
      </c>
      <c r="B233" s="105" t="s">
        <v>91</v>
      </c>
      <c r="C233" s="105" t="s">
        <v>738</v>
      </c>
      <c r="D233" s="118">
        <f>'2024 Legal Max'!T234</f>
        <v>9</v>
      </c>
      <c r="E233" s="118" t="str">
        <f t="shared" si="3"/>
        <v>Yes</v>
      </c>
      <c r="F233" s="114" t="str">
        <f>'2024 Legal Max'!AZ234</f>
        <v>A</v>
      </c>
      <c r="G233" s="113">
        <v>497</v>
      </c>
      <c r="H233" s="115" t="s">
        <v>933</v>
      </c>
      <c r="L233" s="1" t="s">
        <v>419</v>
      </c>
      <c r="M233" s="105" t="s">
        <v>91</v>
      </c>
      <c r="N233" s="105" t="s">
        <v>738</v>
      </c>
      <c r="O233" s="114">
        <f>'Preliminary SO66'!AH233</f>
        <v>692.9</v>
      </c>
      <c r="P233" s="105">
        <f>SUMIF('PreliminaryHD AR - School Level'!$A$5:A613, "=" &amp; L233,'PreliminaryHD AR - School Level'!$M$5:M613)</f>
        <v>0</v>
      </c>
      <c r="Q233" s="114">
        <f>'2024 Legal Max'!AS234</f>
        <v>691.5</v>
      </c>
      <c r="R233" s="105">
        <f>'2024 Legal Max'!AH234</f>
        <v>0.9</v>
      </c>
      <c r="U233" s="105" t="str">
        <f>'2024 Legal Max'!AZ234</f>
        <v>A</v>
      </c>
    </row>
    <row r="234" spans="1:21">
      <c r="A234" s="113">
        <v>449</v>
      </c>
      <c r="B234" s="105" t="s">
        <v>11</v>
      </c>
      <c r="C234" s="105" t="s">
        <v>739</v>
      </c>
      <c r="D234" s="118">
        <f>'2024 Legal Max'!T235</f>
        <v>14</v>
      </c>
      <c r="E234" s="118" t="str">
        <f t="shared" si="3"/>
        <v>Yes</v>
      </c>
      <c r="F234" s="114" t="str">
        <f>'2024 Legal Max'!AZ235</f>
        <v>A</v>
      </c>
      <c r="G234" s="113">
        <v>498</v>
      </c>
      <c r="H234" s="115" t="s">
        <v>933</v>
      </c>
      <c r="L234" s="1" t="s">
        <v>420</v>
      </c>
      <c r="M234" s="105" t="s">
        <v>11</v>
      </c>
      <c r="N234" s="105" t="s">
        <v>739</v>
      </c>
      <c r="O234" s="114">
        <f>'Preliminary SO66'!AH234</f>
        <v>1010.2</v>
      </c>
      <c r="P234" s="105">
        <f>SUMIF('PreliminaryHD AR - School Level'!$A$5:A614, "=" &amp; L234,'PreliminaryHD AR - School Level'!$M$5:M614)</f>
        <v>0</v>
      </c>
      <c r="Q234" s="114">
        <f>'2024 Legal Max'!AS235</f>
        <v>1007.8</v>
      </c>
      <c r="R234" s="105">
        <f>'2024 Legal Max'!AH235</f>
        <v>0</v>
      </c>
      <c r="U234" s="105" t="str">
        <f>'2024 Legal Max'!AZ235</f>
        <v>A</v>
      </c>
    </row>
    <row r="235" spans="1:21">
      <c r="A235" s="113">
        <v>450</v>
      </c>
      <c r="B235" s="105" t="s">
        <v>61</v>
      </c>
      <c r="C235" s="105" t="s">
        <v>740</v>
      </c>
      <c r="D235" s="118">
        <f>'2024 Legal Max'!T236</f>
        <v>19</v>
      </c>
      <c r="E235" s="118" t="str">
        <f t="shared" si="3"/>
        <v>Yes</v>
      </c>
      <c r="F235" s="114" t="str">
        <f>'2024 Legal Max'!AZ236</f>
        <v>A</v>
      </c>
      <c r="G235" s="113">
        <v>499</v>
      </c>
      <c r="H235" s="115" t="s">
        <v>933</v>
      </c>
      <c r="L235" s="1" t="s">
        <v>421</v>
      </c>
      <c r="M235" s="105" t="s">
        <v>61</v>
      </c>
      <c r="N235" s="105" t="s">
        <v>740</v>
      </c>
      <c r="O235" s="114">
        <f>'Preliminary SO66'!AH235</f>
        <v>4742.3999999999996</v>
      </c>
      <c r="P235" s="105">
        <f>SUMIF('PreliminaryHD AR - School Level'!$A$5:A615, "=" &amp; L235,'PreliminaryHD AR - School Level'!$M$5:M615)</f>
        <v>0</v>
      </c>
      <c r="Q235" s="114">
        <f>'2024 Legal Max'!AS236</f>
        <v>4719.8999999999996</v>
      </c>
      <c r="R235" s="105">
        <f>'2024 Legal Max'!AH236</f>
        <v>15.9</v>
      </c>
      <c r="U235" s="105" t="str">
        <f>'2024 Legal Max'!AZ236</f>
        <v>A</v>
      </c>
    </row>
    <row r="236" spans="1:21">
      <c r="A236" s="113">
        <v>452</v>
      </c>
      <c r="B236" s="105" t="s">
        <v>101</v>
      </c>
      <c r="C236" s="105" t="s">
        <v>741</v>
      </c>
      <c r="D236" s="118">
        <f>'2024 Legal Max'!T237</f>
        <v>8.5</v>
      </c>
      <c r="E236" s="118" t="str">
        <f t="shared" si="3"/>
        <v>Yes</v>
      </c>
      <c r="F236" s="114" t="str">
        <f>'2024 Legal Max'!AZ237</f>
        <v>A</v>
      </c>
      <c r="G236" s="113">
        <v>500</v>
      </c>
      <c r="H236" s="115" t="s">
        <v>933</v>
      </c>
      <c r="L236" s="1" t="s">
        <v>422</v>
      </c>
      <c r="M236" s="105" t="s">
        <v>101</v>
      </c>
      <c r="N236" s="105" t="s">
        <v>741</v>
      </c>
      <c r="O236" s="114">
        <f>'Preliminary SO66'!AH236</f>
        <v>791.3</v>
      </c>
      <c r="P236" s="105">
        <f>SUMIF('PreliminaryHD AR - School Level'!$A$5:A616, "=" &amp; L236,'PreliminaryHD AR - School Level'!$M$5:M616)</f>
        <v>0</v>
      </c>
      <c r="Q236" s="114">
        <f>'2024 Legal Max'!AS237</f>
        <v>793.2</v>
      </c>
      <c r="R236" s="105">
        <f>'2024 Legal Max'!AH237</f>
        <v>20.3</v>
      </c>
      <c r="U236" s="105" t="str">
        <f>'2024 Legal Max'!AZ237</f>
        <v>A</v>
      </c>
    </row>
    <row r="237" spans="1:21">
      <c r="A237" s="113">
        <v>453</v>
      </c>
      <c r="B237" s="105" t="s">
        <v>11</v>
      </c>
      <c r="C237" s="105" t="s">
        <v>742</v>
      </c>
      <c r="D237" s="118">
        <f>'2024 Legal Max'!T238</f>
        <v>26.5</v>
      </c>
      <c r="E237" s="118" t="str">
        <f t="shared" si="3"/>
        <v>Yes</v>
      </c>
      <c r="F237" s="114" t="str">
        <f>'2024 Legal Max'!AZ238</f>
        <v>A</v>
      </c>
      <c r="G237" s="113">
        <v>501</v>
      </c>
      <c r="H237" s="115" t="s">
        <v>933</v>
      </c>
      <c r="L237" s="1" t="s">
        <v>423</v>
      </c>
      <c r="M237" s="105" t="s">
        <v>11</v>
      </c>
      <c r="N237" s="105" t="s">
        <v>742</v>
      </c>
      <c r="O237" s="114">
        <f>'Preliminary SO66'!AH237</f>
        <v>4803</v>
      </c>
      <c r="P237" s="105">
        <f>SUMIF('PreliminaryHD AR - School Level'!$A$5:A617, "=" &amp; L237,'PreliminaryHD AR - School Level'!$M$5:M617)</f>
        <v>0</v>
      </c>
      <c r="Q237" s="114">
        <f>'2024 Legal Max'!AS238</f>
        <v>4757.3999999999996</v>
      </c>
      <c r="R237" s="105">
        <f>'2024 Legal Max'!AH238</f>
        <v>133.9</v>
      </c>
      <c r="U237" s="105" t="str">
        <f>'2024 Legal Max'!AZ238</f>
        <v>A</v>
      </c>
    </row>
    <row r="238" spans="1:21">
      <c r="A238" s="113">
        <v>454</v>
      </c>
      <c r="B238" s="105" t="s">
        <v>96</v>
      </c>
      <c r="C238" s="105" t="s">
        <v>743</v>
      </c>
      <c r="D238" s="118">
        <f>'2024 Legal Max'!T239</f>
        <v>2.5</v>
      </c>
      <c r="E238" s="118" t="str">
        <f t="shared" si="3"/>
        <v>Yes</v>
      </c>
      <c r="F238" s="114" t="str">
        <f>'2024 Legal Max'!AZ239</f>
        <v>A</v>
      </c>
      <c r="G238" s="113">
        <v>502</v>
      </c>
      <c r="H238" s="115" t="s">
        <v>933</v>
      </c>
      <c r="L238" s="1" t="s">
        <v>424</v>
      </c>
      <c r="M238" s="105" t="s">
        <v>96</v>
      </c>
      <c r="N238" s="105" t="s">
        <v>743</v>
      </c>
      <c r="O238" s="114">
        <f>'Preliminary SO66'!AH238</f>
        <v>518</v>
      </c>
      <c r="P238" s="105">
        <f>SUMIF('PreliminaryHD AR - School Level'!$A$5:A618, "=" &amp; L238,'PreliminaryHD AR - School Level'!$M$5:M618)</f>
        <v>0</v>
      </c>
      <c r="Q238" s="114">
        <f>'2024 Legal Max'!AS239</f>
        <v>514.9</v>
      </c>
      <c r="R238" s="105">
        <f>'2024 Legal Max'!AH239</f>
        <v>8</v>
      </c>
      <c r="U238" s="105" t="str">
        <f>'2024 Legal Max'!AZ239</f>
        <v>A</v>
      </c>
    </row>
    <row r="239" spans="1:21">
      <c r="A239" s="113">
        <v>456</v>
      </c>
      <c r="B239" s="105" t="s">
        <v>96</v>
      </c>
      <c r="C239" s="105" t="s">
        <v>744</v>
      </c>
      <c r="D239" s="118">
        <f>'2024 Legal Max'!T240</f>
        <v>4</v>
      </c>
      <c r="E239" s="118" t="str">
        <f t="shared" si="3"/>
        <v>Yes</v>
      </c>
      <c r="F239" s="114" t="str">
        <f>'2024 Legal Max'!AZ240</f>
        <v>A</v>
      </c>
      <c r="G239" s="113">
        <v>503</v>
      </c>
      <c r="H239" s="115" t="s">
        <v>933</v>
      </c>
      <c r="L239" s="1" t="s">
        <v>425</v>
      </c>
      <c r="M239" s="105" t="s">
        <v>96</v>
      </c>
      <c r="N239" s="105" t="s">
        <v>744</v>
      </c>
      <c r="O239" s="114">
        <f>'Preliminary SO66'!AH239</f>
        <v>542</v>
      </c>
      <c r="P239" s="105">
        <f>SUMIF('PreliminaryHD AR - School Level'!$A$5:A619, "=" &amp; L239,'PreliminaryHD AR - School Level'!$M$5:M619)</f>
        <v>0</v>
      </c>
      <c r="Q239" s="114">
        <f>'2024 Legal Max'!AS240</f>
        <v>454.6</v>
      </c>
      <c r="R239" s="105">
        <f>'2024 Legal Max'!AH240</f>
        <v>11.1</v>
      </c>
      <c r="U239" s="105" t="str">
        <f>'2024 Legal Max'!AZ240</f>
        <v>A</v>
      </c>
    </row>
    <row r="240" spans="1:21">
      <c r="A240" s="113">
        <v>457</v>
      </c>
      <c r="B240" s="105" t="s">
        <v>69</v>
      </c>
      <c r="C240" s="105" t="s">
        <v>745</v>
      </c>
      <c r="D240" s="118">
        <f>'2024 Legal Max'!T241</f>
        <v>171.5</v>
      </c>
      <c r="E240" s="118" t="str">
        <f t="shared" si="3"/>
        <v>Yes</v>
      </c>
      <c r="F240" s="114" t="str">
        <f>'2024 Legal Max'!AZ241</f>
        <v>A</v>
      </c>
      <c r="G240" s="113">
        <v>504</v>
      </c>
      <c r="H240" s="115" t="s">
        <v>933</v>
      </c>
      <c r="L240" s="1" t="s">
        <v>426</v>
      </c>
      <c r="M240" s="105" t="s">
        <v>69</v>
      </c>
      <c r="N240" s="105" t="s">
        <v>745</v>
      </c>
      <c r="O240" s="114">
        <f>'Preliminary SO66'!AH240</f>
        <v>10448.4</v>
      </c>
      <c r="P240" s="105">
        <f>SUMIF('PreliminaryHD AR - School Level'!$A$5:A620, "=" &amp; L240,'PreliminaryHD AR - School Level'!$M$5:M620)</f>
        <v>0</v>
      </c>
      <c r="Q240" s="114">
        <f>'2024 Legal Max'!AS241</f>
        <v>10793</v>
      </c>
      <c r="R240" s="105">
        <f>'2024 Legal Max'!AH241</f>
        <v>459.2</v>
      </c>
      <c r="U240" s="105" t="str">
        <f>'2024 Legal Max'!AZ241</f>
        <v>A</v>
      </c>
    </row>
    <row r="241" spans="1:21">
      <c r="A241" s="113">
        <v>458</v>
      </c>
      <c r="B241" s="105" t="s">
        <v>11</v>
      </c>
      <c r="C241" s="105" t="s">
        <v>746</v>
      </c>
      <c r="D241" s="118">
        <f>'2024 Legal Max'!T242</f>
        <v>21</v>
      </c>
      <c r="E241" s="118" t="str">
        <f t="shared" si="3"/>
        <v>Yes</v>
      </c>
      <c r="F241" s="114" t="str">
        <f>'2024 Legal Max'!AZ242</f>
        <v>A</v>
      </c>
      <c r="G241" s="113">
        <v>505</v>
      </c>
      <c r="H241" s="115" t="s">
        <v>933</v>
      </c>
      <c r="L241" s="1" t="s">
        <v>427</v>
      </c>
      <c r="M241" s="105" t="s">
        <v>11</v>
      </c>
      <c r="N241" s="105" t="s">
        <v>746</v>
      </c>
      <c r="O241" s="114">
        <f>'Preliminary SO66'!AH241</f>
        <v>3372.8</v>
      </c>
      <c r="P241" s="105">
        <f>SUMIF('PreliminaryHD AR - School Level'!$A$5:A621, "=" &amp; L241,'PreliminaryHD AR - School Level'!$M$5:M621)</f>
        <v>0</v>
      </c>
      <c r="Q241" s="114">
        <f>'2024 Legal Max'!AS242</f>
        <v>3355</v>
      </c>
      <c r="R241" s="105">
        <f>'2024 Legal Max'!AH242</f>
        <v>0</v>
      </c>
      <c r="U241" s="105" t="str">
        <f>'2024 Legal Max'!AZ242</f>
        <v>A</v>
      </c>
    </row>
    <row r="242" spans="1:21">
      <c r="A242" s="113">
        <v>459</v>
      </c>
      <c r="B242" s="105" t="s">
        <v>80</v>
      </c>
      <c r="C242" s="105" t="s">
        <v>747</v>
      </c>
      <c r="D242" s="118">
        <f>'2024 Legal Max'!T243</f>
        <v>8</v>
      </c>
      <c r="E242" s="118" t="str">
        <f t="shared" si="3"/>
        <v>Yes</v>
      </c>
      <c r="F242" s="114" t="str">
        <f>'2024 Legal Max'!AZ243</f>
        <v>A</v>
      </c>
      <c r="G242" s="113">
        <v>506</v>
      </c>
      <c r="H242" s="115" t="s">
        <v>933</v>
      </c>
      <c r="L242" s="1" t="s">
        <v>428</v>
      </c>
      <c r="M242" s="105" t="s">
        <v>80</v>
      </c>
      <c r="N242" s="105" t="s">
        <v>747</v>
      </c>
      <c r="O242" s="114">
        <f>'Preliminary SO66'!AH242</f>
        <v>458.9</v>
      </c>
      <c r="P242" s="105">
        <f>SUMIF('PreliminaryHD AR - School Level'!$A$5:A622, "=" &amp; L242,'PreliminaryHD AR - School Level'!$M$5:M622)</f>
        <v>0</v>
      </c>
      <c r="Q242" s="114">
        <f>'2024 Legal Max'!AS243</f>
        <v>458.7</v>
      </c>
      <c r="R242" s="105">
        <f>'2024 Legal Max'!AH243</f>
        <v>6.8</v>
      </c>
      <c r="U242" s="105" t="str">
        <f>'2024 Legal Max'!AZ243</f>
        <v>A</v>
      </c>
    </row>
    <row r="243" spans="1:21">
      <c r="A243" s="113">
        <v>460</v>
      </c>
      <c r="B243" s="105" t="s">
        <v>74</v>
      </c>
      <c r="C243" s="105" t="s">
        <v>748</v>
      </c>
      <c r="D243" s="118">
        <f>'2024 Legal Max'!T244</f>
        <v>0</v>
      </c>
      <c r="E243" s="118" t="e">
        <f t="shared" si="3"/>
        <v>#N/A</v>
      </c>
      <c r="F243" s="114" t="str">
        <f>'2024 Legal Max'!AZ244</f>
        <v>A</v>
      </c>
      <c r="G243" s="113">
        <v>507</v>
      </c>
      <c r="H243" s="115" t="s">
        <v>933</v>
      </c>
      <c r="L243" s="1" t="s">
        <v>429</v>
      </c>
      <c r="M243" s="105" t="s">
        <v>74</v>
      </c>
      <c r="N243" s="105" t="s">
        <v>748</v>
      </c>
      <c r="O243" s="114">
        <f>'Preliminary SO66'!AH243</f>
        <v>1232.4000000000001</v>
      </c>
      <c r="P243" s="105">
        <f>SUMIF('PreliminaryHD AR - School Level'!$A$5:A623, "=" &amp; L243,'PreliminaryHD AR - School Level'!$M$5:M623)</f>
        <v>0</v>
      </c>
      <c r="Q243" s="114">
        <f>'2024 Legal Max'!AS244</f>
        <v>1229.8</v>
      </c>
      <c r="R243" s="105">
        <f>'2024 Legal Max'!AH244</f>
        <v>0</v>
      </c>
      <c r="U243" s="105" t="str">
        <f>'2024 Legal Max'!AZ244</f>
        <v>A</v>
      </c>
    </row>
    <row r="244" spans="1:21">
      <c r="A244" s="113">
        <v>461</v>
      </c>
      <c r="B244" s="105" t="s">
        <v>83</v>
      </c>
      <c r="C244" s="105" t="s">
        <v>749</v>
      </c>
      <c r="D244" s="118">
        <f>'2024 Legal Max'!T245</f>
        <v>12.5</v>
      </c>
      <c r="E244" s="118" t="str">
        <f t="shared" si="3"/>
        <v>Yes</v>
      </c>
      <c r="F244" s="114" t="str">
        <f>'2024 Legal Max'!AZ245</f>
        <v>A</v>
      </c>
      <c r="G244" s="113">
        <v>508</v>
      </c>
      <c r="H244" s="115" t="s">
        <v>933</v>
      </c>
      <c r="L244" s="1" t="s">
        <v>430</v>
      </c>
      <c r="M244" s="105" t="s">
        <v>83</v>
      </c>
      <c r="N244" s="105" t="s">
        <v>749</v>
      </c>
      <c r="O244" s="114">
        <f>'Preliminary SO66'!AH244</f>
        <v>1242.5</v>
      </c>
      <c r="P244" s="105">
        <f>SUMIF('PreliminaryHD AR - School Level'!$A$5:A624, "=" &amp; L244,'PreliminaryHD AR - School Level'!$M$5:M624)</f>
        <v>0</v>
      </c>
      <c r="Q244" s="114">
        <f>'2024 Legal Max'!AS245</f>
        <v>1196.5</v>
      </c>
      <c r="R244" s="105">
        <f>'2024 Legal Max'!AH245</f>
        <v>26.4</v>
      </c>
      <c r="U244" s="105" t="str">
        <f>'2024 Legal Max'!AZ245</f>
        <v>A</v>
      </c>
    </row>
    <row r="245" spans="1:21">
      <c r="A245" s="113">
        <v>462</v>
      </c>
      <c r="B245" s="105" t="s">
        <v>102</v>
      </c>
      <c r="C245" s="105" t="s">
        <v>750</v>
      </c>
      <c r="D245" s="118">
        <f>'2024 Legal Max'!T246</f>
        <v>5</v>
      </c>
      <c r="E245" s="118" t="str">
        <f t="shared" si="3"/>
        <v>Yes</v>
      </c>
      <c r="F245" s="114" t="str">
        <f>'2024 Legal Max'!AZ246</f>
        <v>A</v>
      </c>
      <c r="G245" s="113">
        <v>509</v>
      </c>
      <c r="H245" s="115" t="s">
        <v>933</v>
      </c>
      <c r="L245" s="1" t="s">
        <v>431</v>
      </c>
      <c r="M245" s="105" t="s">
        <v>102</v>
      </c>
      <c r="N245" s="105" t="s">
        <v>750</v>
      </c>
      <c r="O245" s="114">
        <f>'Preliminary SO66'!AH245</f>
        <v>557.5</v>
      </c>
      <c r="P245" s="105">
        <f>SUMIF('PreliminaryHD AR - School Level'!$A$5:A624, "=" &amp; L245,'PreliminaryHD AR - School Level'!$M$5:M624)</f>
        <v>0</v>
      </c>
      <c r="Q245" s="114">
        <f>'2024 Legal Max'!AS246</f>
        <v>556.29999999999995</v>
      </c>
      <c r="R245" s="105">
        <f>'2024 Legal Max'!AH246</f>
        <v>13.5</v>
      </c>
      <c r="U245" s="105" t="str">
        <f>'2024 Legal Max'!AZ246</f>
        <v>A</v>
      </c>
    </row>
    <row r="246" spans="1:21">
      <c r="A246" s="113">
        <v>463</v>
      </c>
      <c r="B246" s="105" t="s">
        <v>102</v>
      </c>
      <c r="C246" s="105" t="s">
        <v>751</v>
      </c>
      <c r="D246" s="118">
        <f>'2024 Legal Max'!T247</f>
        <v>5</v>
      </c>
      <c r="E246" s="118" t="str">
        <f t="shared" si="3"/>
        <v>Yes</v>
      </c>
      <c r="F246" s="114" t="str">
        <f>'2024 Legal Max'!AZ247</f>
        <v>A</v>
      </c>
      <c r="G246" s="113">
        <v>511</v>
      </c>
      <c r="H246" s="115" t="s">
        <v>933</v>
      </c>
      <c r="L246" s="1" t="s">
        <v>432</v>
      </c>
      <c r="M246" s="105" t="s">
        <v>102</v>
      </c>
      <c r="N246" s="105" t="s">
        <v>751</v>
      </c>
      <c r="O246" s="114">
        <f>'Preliminary SO66'!AH246</f>
        <v>586</v>
      </c>
      <c r="P246" s="105">
        <f>SUMIF('PreliminaryHD AR - School Level'!$A$5:A625, "=" &amp; L246,'PreliminaryHD AR - School Level'!$M$5:M625)</f>
        <v>0</v>
      </c>
      <c r="Q246" s="114">
        <f>'2024 Legal Max'!AS247</f>
        <v>583.9</v>
      </c>
      <c r="R246" s="105">
        <f>'2024 Legal Max'!AH247</f>
        <v>7.1</v>
      </c>
      <c r="U246" s="105" t="str">
        <f>'2024 Legal Max'!AZ247</f>
        <v>A</v>
      </c>
    </row>
    <row r="247" spans="1:21">
      <c r="A247" s="113">
        <v>464</v>
      </c>
      <c r="B247" s="105" t="s">
        <v>11</v>
      </c>
      <c r="C247" s="105" t="s">
        <v>752</v>
      </c>
      <c r="D247" s="118">
        <f>'2024 Legal Max'!T248</f>
        <v>14.5</v>
      </c>
      <c r="E247" s="118" t="str">
        <f t="shared" si="3"/>
        <v>Yes</v>
      </c>
      <c r="F247" s="114" t="str">
        <f>'2024 Legal Max'!AZ248</f>
        <v>A</v>
      </c>
      <c r="G247" s="113">
        <v>512</v>
      </c>
      <c r="H247" s="115" t="s">
        <v>933</v>
      </c>
      <c r="L247" s="1" t="s">
        <v>433</v>
      </c>
      <c r="M247" s="105" t="s">
        <v>11</v>
      </c>
      <c r="N247" s="105" t="s">
        <v>752</v>
      </c>
      <c r="O247" s="114">
        <f>'Preliminary SO66'!AH247</f>
        <v>2362</v>
      </c>
      <c r="P247" s="105">
        <f>SUMIF('PreliminaryHD AR - School Level'!$A$5:A626, "=" &amp; L247,'PreliminaryHD AR - School Level'!$M$5:M626)</f>
        <v>0</v>
      </c>
      <c r="Q247" s="114">
        <f>'2024 Legal Max'!AS248</f>
        <v>2347.5</v>
      </c>
      <c r="R247" s="105">
        <f>'2024 Legal Max'!AH248</f>
        <v>0</v>
      </c>
      <c r="U247" s="105" t="str">
        <f>'2024 Legal Max'!AZ248</f>
        <v>A</v>
      </c>
    </row>
    <row r="248" spans="1:21">
      <c r="A248" s="113">
        <v>465</v>
      </c>
      <c r="B248" s="105" t="s">
        <v>102</v>
      </c>
      <c r="C248" s="105" t="s">
        <v>753</v>
      </c>
      <c r="D248" s="118">
        <f>'2024 Legal Max'!T249</f>
        <v>18.5</v>
      </c>
      <c r="E248" s="118" t="str">
        <f t="shared" si="3"/>
        <v>Yes</v>
      </c>
      <c r="F248" s="114" t="str">
        <f>'2024 Legal Max'!AZ249</f>
        <v>A</v>
      </c>
      <c r="G248" s="114"/>
      <c r="L248" s="1" t="s">
        <v>434</v>
      </c>
      <c r="M248" s="105" t="s">
        <v>102</v>
      </c>
      <c r="N248" s="105" t="s">
        <v>753</v>
      </c>
      <c r="O248" s="114">
        <f>'Preliminary SO66'!AH248</f>
        <v>2963.2</v>
      </c>
      <c r="P248" s="105">
        <f>SUMIF('PreliminaryHD AR - School Level'!$A$5:A627, "=" &amp; L248,'PreliminaryHD AR - School Level'!$M$5:M627)</f>
        <v>0</v>
      </c>
      <c r="Q248" s="114">
        <f>'2024 Legal Max'!AS249</f>
        <v>2920.6</v>
      </c>
      <c r="R248" s="105">
        <f>'2024 Legal Max'!AH249</f>
        <v>85</v>
      </c>
      <c r="U248" s="105" t="str">
        <f>'2024 Legal Max'!AZ249</f>
        <v>A</v>
      </c>
    </row>
    <row r="249" spans="1:21">
      <c r="A249" s="113">
        <v>466</v>
      </c>
      <c r="B249" s="105" t="s">
        <v>103</v>
      </c>
      <c r="C249" s="105" t="s">
        <v>754</v>
      </c>
      <c r="D249" s="118">
        <f>'2024 Legal Max'!T250</f>
        <v>7</v>
      </c>
      <c r="E249" s="118" t="str">
        <f t="shared" si="3"/>
        <v>Yes</v>
      </c>
      <c r="F249" s="114" t="str">
        <f>'2024 Legal Max'!AZ250</f>
        <v>A</v>
      </c>
      <c r="G249" s="114"/>
      <c r="L249" s="1" t="s">
        <v>435</v>
      </c>
      <c r="M249" s="105" t="s">
        <v>103</v>
      </c>
      <c r="N249" s="105" t="s">
        <v>754</v>
      </c>
      <c r="O249" s="114">
        <f>'Preliminary SO66'!AH249</f>
        <v>1510.4</v>
      </c>
      <c r="P249" s="105">
        <f>SUMIF('PreliminaryHD AR - School Level'!$A$5:A628, "=" &amp; L249,'PreliminaryHD AR - School Level'!$M$5:M628)</f>
        <v>0</v>
      </c>
      <c r="Q249" s="114">
        <f>'2024 Legal Max'!AS250</f>
        <v>1496.8</v>
      </c>
      <c r="R249" s="105">
        <f>'2024 Legal Max'!AH250</f>
        <v>24.1</v>
      </c>
      <c r="U249" s="105" t="str">
        <f>'2024 Legal Max'!AZ250</f>
        <v>A</v>
      </c>
    </row>
    <row r="250" spans="1:21">
      <c r="A250" s="113">
        <v>467</v>
      </c>
      <c r="B250" s="105" t="s">
        <v>34</v>
      </c>
      <c r="C250" s="105" t="s">
        <v>755</v>
      </c>
      <c r="D250" s="118">
        <f>'2024 Legal Max'!T251</f>
        <v>4</v>
      </c>
      <c r="E250" s="118" t="str">
        <f t="shared" si="3"/>
        <v>Yes</v>
      </c>
      <c r="F250" s="114" t="str">
        <f>'2024 Legal Max'!AZ251</f>
        <v>A</v>
      </c>
      <c r="G250" s="114"/>
      <c r="L250" s="1" t="s">
        <v>436</v>
      </c>
      <c r="M250" s="105" t="s">
        <v>34</v>
      </c>
      <c r="N250" s="105" t="s">
        <v>755</v>
      </c>
      <c r="O250" s="114">
        <f>'Preliminary SO66'!AH250</f>
        <v>668.9</v>
      </c>
      <c r="P250" s="105">
        <f>SUMIF('PreliminaryHD AR - School Level'!$A$5:A629, "=" &amp; L250,'PreliminaryHD AR - School Level'!$M$5:M629)</f>
        <v>0</v>
      </c>
      <c r="Q250" s="114">
        <f>'2024 Legal Max'!AS251</f>
        <v>666.7</v>
      </c>
      <c r="R250" s="105">
        <f>'2024 Legal Max'!AH251</f>
        <v>3.3</v>
      </c>
      <c r="U250" s="105" t="str">
        <f>'2024 Legal Max'!AZ251</f>
        <v>A</v>
      </c>
    </row>
    <row r="251" spans="1:21">
      <c r="A251" s="113">
        <v>468</v>
      </c>
      <c r="B251" s="105" t="s">
        <v>104</v>
      </c>
      <c r="C251" s="105" t="s">
        <v>756</v>
      </c>
      <c r="D251" s="118">
        <f>'2024 Legal Max'!T252</f>
        <v>0</v>
      </c>
      <c r="E251" s="118" t="e">
        <f t="shared" si="3"/>
        <v>#N/A</v>
      </c>
      <c r="F251" s="114" t="str">
        <f>'2024 Legal Max'!AZ252</f>
        <v>A</v>
      </c>
      <c r="G251" s="114"/>
      <c r="L251" s="1" t="s">
        <v>437</v>
      </c>
      <c r="M251" s="105" t="s">
        <v>104</v>
      </c>
      <c r="N251" s="105" t="s">
        <v>756</v>
      </c>
      <c r="O251" s="114">
        <f>'Preliminary SO66'!AH251</f>
        <v>93.9</v>
      </c>
      <c r="P251" s="105">
        <f>SUMIF('PreliminaryHD AR - School Level'!$A$5:A630, "=" &amp; L251,'PreliminaryHD AR - School Level'!$M$5:M630)</f>
        <v>0</v>
      </c>
      <c r="Q251" s="114">
        <f>'2024 Legal Max'!AS252</f>
        <v>91.4</v>
      </c>
      <c r="R251" s="105">
        <f>'2024 Legal Max'!AH252</f>
        <v>1.4</v>
      </c>
      <c r="U251" s="105" t="str">
        <f>'2024 Legal Max'!AZ252</f>
        <v>A</v>
      </c>
    </row>
    <row r="252" spans="1:21">
      <c r="A252" s="113">
        <v>469</v>
      </c>
      <c r="B252" s="105" t="s">
        <v>11</v>
      </c>
      <c r="C252" s="105" t="s">
        <v>757</v>
      </c>
      <c r="D252" s="118">
        <f>'2024 Legal Max'!T253</f>
        <v>10</v>
      </c>
      <c r="E252" s="118" t="str">
        <f t="shared" si="3"/>
        <v>Yes</v>
      </c>
      <c r="F252" s="114" t="str">
        <f>'2024 Legal Max'!AZ253</f>
        <v>A</v>
      </c>
      <c r="G252" s="114"/>
      <c r="L252" s="1" t="s">
        <v>438</v>
      </c>
      <c r="M252" s="105" t="s">
        <v>11</v>
      </c>
      <c r="N252" s="105" t="s">
        <v>757</v>
      </c>
      <c r="O252" s="114">
        <f>'Preliminary SO66'!AH252</f>
        <v>3280.7</v>
      </c>
      <c r="P252" s="105">
        <f>SUMIF('PreliminaryHD AR - School Level'!$A$5:A631, "=" &amp; L252,'PreliminaryHD AR - School Level'!$M$5:M631)</f>
        <v>0</v>
      </c>
      <c r="Q252" s="114">
        <f>'2024 Legal Max'!AS253</f>
        <v>3257.4</v>
      </c>
      <c r="R252" s="105">
        <f>'2024 Legal Max'!AH253</f>
        <v>3</v>
      </c>
      <c r="U252" s="105" t="str">
        <f>'2024 Legal Max'!AZ253</f>
        <v>A</v>
      </c>
    </row>
    <row r="253" spans="1:21">
      <c r="A253" s="113">
        <v>470</v>
      </c>
      <c r="B253" s="105" t="s">
        <v>102</v>
      </c>
      <c r="C253" s="105" t="s">
        <v>758</v>
      </c>
      <c r="D253" s="118">
        <f>'2024 Legal Max'!T254</f>
        <v>62</v>
      </c>
      <c r="E253" s="118" t="str">
        <f t="shared" si="3"/>
        <v>Yes</v>
      </c>
      <c r="F253" s="114" t="str">
        <f>'2024 Legal Max'!AZ254</f>
        <v>A</v>
      </c>
      <c r="G253" s="114"/>
      <c r="L253" s="1" t="s">
        <v>439</v>
      </c>
      <c r="M253" s="105" t="s">
        <v>102</v>
      </c>
      <c r="N253" s="105" t="s">
        <v>758</v>
      </c>
      <c r="O253" s="114">
        <f>'Preliminary SO66'!AH253</f>
        <v>4232.1000000000004</v>
      </c>
      <c r="P253" s="105">
        <f>SUMIF('PreliminaryHD AR - School Level'!$A$5:A632, "=" &amp; L253,'PreliminaryHD AR - School Level'!$M$5:M632)</f>
        <v>0</v>
      </c>
      <c r="Q253" s="114">
        <f>'2024 Legal Max'!AS254</f>
        <v>4217.7</v>
      </c>
      <c r="R253" s="105">
        <f>'2024 Legal Max'!AH254</f>
        <v>194.7</v>
      </c>
      <c r="U253" s="105" t="str">
        <f>'2024 Legal Max'!AZ254</f>
        <v>A</v>
      </c>
    </row>
    <row r="254" spans="1:21">
      <c r="A254" s="113">
        <v>471</v>
      </c>
      <c r="B254" s="105" t="s">
        <v>102</v>
      </c>
      <c r="C254" s="105" t="s">
        <v>759</v>
      </c>
      <c r="D254" s="118">
        <f>'2024 Legal Max'!T255</f>
        <v>0</v>
      </c>
      <c r="E254" s="118" t="e">
        <f t="shared" si="3"/>
        <v>#N/A</v>
      </c>
      <c r="F254" s="114" t="str">
        <f>'2024 Legal Max'!AZ255</f>
        <v>A</v>
      </c>
      <c r="G254" s="114"/>
      <c r="L254" s="1" t="s">
        <v>440</v>
      </c>
      <c r="M254" s="105" t="s">
        <v>102</v>
      </c>
      <c r="N254" s="105" t="s">
        <v>759</v>
      </c>
      <c r="O254" s="114">
        <f>'Preliminary SO66'!AH254</f>
        <v>490.6</v>
      </c>
      <c r="P254" s="105">
        <f>SUMIF('PreliminaryHD AR - School Level'!$A$5:A633, "=" &amp; L254,'PreliminaryHD AR - School Level'!$M$5:M633)</f>
        <v>0</v>
      </c>
      <c r="Q254" s="114">
        <f>'2024 Legal Max'!AS255</f>
        <v>488.8</v>
      </c>
      <c r="R254" s="105">
        <f>'2024 Legal Max'!AH255</f>
        <v>2.1</v>
      </c>
      <c r="U254" s="105" t="str">
        <f>'2024 Legal Max'!AZ255</f>
        <v>A</v>
      </c>
    </row>
    <row r="255" spans="1:21">
      <c r="A255" s="113">
        <v>473</v>
      </c>
      <c r="B255" s="105" t="s">
        <v>87</v>
      </c>
      <c r="C255" s="105" t="s">
        <v>760</v>
      </c>
      <c r="D255" s="118">
        <f>'2024 Legal Max'!T256</f>
        <v>4</v>
      </c>
      <c r="E255" s="118" t="e">
        <f t="shared" si="3"/>
        <v>#N/A</v>
      </c>
      <c r="F255" s="114" t="str">
        <f>'2024 Legal Max'!AZ256</f>
        <v>A</v>
      </c>
      <c r="G255" s="114"/>
      <c r="L255" s="1" t="s">
        <v>441</v>
      </c>
      <c r="M255" s="105" t="s">
        <v>87</v>
      </c>
      <c r="N255" s="105" t="s">
        <v>760</v>
      </c>
      <c r="O255" s="114">
        <f>'Preliminary SO66'!AH255</f>
        <v>1684.4</v>
      </c>
      <c r="P255" s="105">
        <f>SUMIF('PreliminaryHD AR - School Level'!$A$5:A634, "=" &amp; L255,'PreliminaryHD AR - School Level'!$M$5:M634)</f>
        <v>0</v>
      </c>
      <c r="Q255" s="114">
        <f>'2024 Legal Max'!AS256</f>
        <v>1685</v>
      </c>
      <c r="R255" s="105">
        <f>'2024 Legal Max'!AH256</f>
        <v>5.0999999999999996</v>
      </c>
      <c r="U255" s="105" t="str">
        <f>'2024 Legal Max'!AZ256</f>
        <v>A</v>
      </c>
    </row>
    <row r="256" spans="1:21">
      <c r="A256" s="113">
        <v>474</v>
      </c>
      <c r="B256" s="105" t="s">
        <v>97</v>
      </c>
      <c r="C256" s="105" t="s">
        <v>761</v>
      </c>
      <c r="D256" s="118">
        <f>'2024 Legal Max'!T257</f>
        <v>2.5</v>
      </c>
      <c r="E256" s="118" t="e">
        <f t="shared" si="3"/>
        <v>#N/A</v>
      </c>
      <c r="F256" s="114" t="str">
        <f>'2024 Legal Max'!AZ257</f>
        <v>A</v>
      </c>
      <c r="G256" s="114"/>
      <c r="L256" s="1" t="s">
        <v>442</v>
      </c>
      <c r="M256" s="105" t="s">
        <v>97</v>
      </c>
      <c r="N256" s="105" t="s">
        <v>761</v>
      </c>
      <c r="O256" s="114">
        <f>'Preliminary SO66'!AH256</f>
        <v>201.7</v>
      </c>
      <c r="P256" s="105">
        <f>SUMIF('PreliminaryHD AR - School Level'!$A$5:A635, "=" &amp; L256,'PreliminaryHD AR - School Level'!$M$5:M635)</f>
        <v>0</v>
      </c>
      <c r="Q256" s="114">
        <f>'2024 Legal Max'!AS257</f>
        <v>200</v>
      </c>
      <c r="R256" s="105">
        <f>'2024 Legal Max'!AH257</f>
        <v>0.9</v>
      </c>
      <c r="U256" s="105" t="str">
        <f>'2024 Legal Max'!AZ257</f>
        <v>A</v>
      </c>
    </row>
    <row r="257" spans="1:21">
      <c r="A257" s="113">
        <v>475</v>
      </c>
      <c r="B257" s="105" t="s">
        <v>105</v>
      </c>
      <c r="C257" s="105" t="s">
        <v>762</v>
      </c>
      <c r="D257" s="118">
        <f>'2024 Legal Max'!T258</f>
        <v>128.5</v>
      </c>
      <c r="E257" s="118" t="str">
        <f t="shared" si="3"/>
        <v>Yes</v>
      </c>
      <c r="F257" s="114" t="str">
        <f>'2024 Legal Max'!AZ258</f>
        <v>A</v>
      </c>
      <c r="G257" s="114"/>
      <c r="L257" s="1" t="s">
        <v>443</v>
      </c>
      <c r="M257" s="105" t="s">
        <v>105</v>
      </c>
      <c r="N257" s="105" t="s">
        <v>762</v>
      </c>
      <c r="O257" s="114">
        <f>'Preliminary SO66'!AH257</f>
        <v>9779.1</v>
      </c>
      <c r="P257" s="105">
        <f>SUMIF('PreliminaryHD AR - School Level'!$A$5:A636, "=" &amp; L257,'PreliminaryHD AR - School Level'!$M$5:M636)</f>
        <v>0</v>
      </c>
      <c r="Q257" s="114">
        <f>'2024 Legal Max'!AS258</f>
        <v>9729.2999999999993</v>
      </c>
      <c r="R257" s="105">
        <f>'2024 Legal Max'!AH258</f>
        <v>155.80000000000001</v>
      </c>
      <c r="U257" s="105" t="str">
        <f>'2024 Legal Max'!AZ258</f>
        <v>A</v>
      </c>
    </row>
    <row r="258" spans="1:21">
      <c r="A258" s="113">
        <v>476</v>
      </c>
      <c r="B258" s="105" t="s">
        <v>5</v>
      </c>
      <c r="C258" s="105" t="s">
        <v>763</v>
      </c>
      <c r="D258" s="118">
        <f>'2024 Legal Max'!T259</f>
        <v>2</v>
      </c>
      <c r="E258" s="118" t="str">
        <f t="shared" si="3"/>
        <v>Yes</v>
      </c>
      <c r="F258" s="114" t="str">
        <f>'2024 Legal Max'!AZ259</f>
        <v>A</v>
      </c>
      <c r="G258" s="114"/>
      <c r="L258" s="1" t="s">
        <v>444</v>
      </c>
      <c r="M258" s="105" t="s">
        <v>5</v>
      </c>
      <c r="N258" s="105" t="s">
        <v>763</v>
      </c>
      <c r="O258" s="114">
        <f>'Preliminary SO66'!AH258</f>
        <v>231.2</v>
      </c>
      <c r="P258" s="105">
        <f>SUMIF('PreliminaryHD AR - School Level'!$A$5:A637, "=" &amp; L258,'PreliminaryHD AR - School Level'!$M$5:M637)</f>
        <v>0</v>
      </c>
      <c r="Q258" s="114">
        <f>'2024 Legal Max'!AS259</f>
        <v>231.5</v>
      </c>
      <c r="R258" s="105">
        <f>'2024 Legal Max'!AH259</f>
        <v>0.3</v>
      </c>
      <c r="U258" s="105" t="str">
        <f>'2024 Legal Max'!AZ259</f>
        <v>A</v>
      </c>
    </row>
    <row r="259" spans="1:21">
      <c r="A259" s="113">
        <v>477</v>
      </c>
      <c r="B259" s="105" t="s">
        <v>5</v>
      </c>
      <c r="C259" s="105" t="s">
        <v>764</v>
      </c>
      <c r="D259" s="118">
        <f>'2024 Legal Max'!T260</f>
        <v>4</v>
      </c>
      <c r="E259" s="118" t="str">
        <f t="shared" si="3"/>
        <v>Yes</v>
      </c>
      <c r="F259" s="114" t="str">
        <f>'2024 Legal Max'!AZ260</f>
        <v>A</v>
      </c>
      <c r="G259" s="114"/>
      <c r="L259" s="1" t="s">
        <v>445</v>
      </c>
      <c r="M259" s="105" t="s">
        <v>5</v>
      </c>
      <c r="N259" s="105" t="s">
        <v>764</v>
      </c>
      <c r="O259" s="114">
        <f>'Preliminary SO66'!AH259</f>
        <v>442.4</v>
      </c>
      <c r="P259" s="105">
        <f>SUMIF('PreliminaryHD AR - School Level'!$A$5:A638, "=" &amp; L259,'PreliminaryHD AR - School Level'!$M$5:M638)</f>
        <v>0</v>
      </c>
      <c r="Q259" s="114">
        <f>'2024 Legal Max'!AS260</f>
        <v>438</v>
      </c>
      <c r="R259" s="105">
        <f>'2024 Legal Max'!AH260</f>
        <v>0</v>
      </c>
      <c r="U259" s="105" t="str">
        <f>'2024 Legal Max'!AZ260</f>
        <v>A</v>
      </c>
    </row>
    <row r="260" spans="1:21">
      <c r="A260" s="113">
        <v>479</v>
      </c>
      <c r="B260" s="105" t="s">
        <v>71</v>
      </c>
      <c r="C260" s="105" t="s">
        <v>765</v>
      </c>
      <c r="D260" s="118">
        <f>'2024 Legal Max'!T261</f>
        <v>4</v>
      </c>
      <c r="E260" s="118" t="str">
        <f t="shared" si="3"/>
        <v>Yes</v>
      </c>
      <c r="F260" s="114" t="str">
        <f>'2024 Legal Max'!AZ261</f>
        <v>A</v>
      </c>
      <c r="G260" s="114"/>
      <c r="L260" s="1" t="s">
        <v>446</v>
      </c>
      <c r="M260" s="105" t="s">
        <v>71</v>
      </c>
      <c r="N260" s="105" t="s">
        <v>765</v>
      </c>
      <c r="O260" s="114">
        <f>'Preliminary SO66'!AH260</f>
        <v>503.3</v>
      </c>
      <c r="P260" s="105">
        <f>SUMIF('PreliminaryHD AR - School Level'!$A$5:A639, "=" &amp; L260,'PreliminaryHD AR - School Level'!$M$5:M639)</f>
        <v>0</v>
      </c>
      <c r="Q260" s="114">
        <f>'2024 Legal Max'!AS261</f>
        <v>501.3</v>
      </c>
      <c r="R260" s="105">
        <f>'2024 Legal Max'!AH261</f>
        <v>10.1</v>
      </c>
      <c r="U260" s="105" t="str">
        <f>'2024 Legal Max'!AZ261</f>
        <v>A</v>
      </c>
    </row>
    <row r="261" spans="1:21">
      <c r="A261" s="113">
        <v>480</v>
      </c>
      <c r="B261" s="105" t="s">
        <v>106</v>
      </c>
      <c r="C261" s="105" t="s">
        <v>766</v>
      </c>
      <c r="D261" s="118">
        <f>'2024 Legal Max'!T262</f>
        <v>82.5</v>
      </c>
      <c r="E261" s="118" t="str">
        <f t="shared" ref="E261:E289" si="4">VLOOKUP(A261,$G$4:$H$299,2,FALSE)</f>
        <v>Yes</v>
      </c>
      <c r="F261" s="114" t="str">
        <f>'2024 Legal Max'!AZ262</f>
        <v>A</v>
      </c>
      <c r="G261" s="114"/>
      <c r="L261" s="1" t="s">
        <v>447</v>
      </c>
      <c r="M261" s="105" t="s">
        <v>106</v>
      </c>
      <c r="N261" s="105" t="s">
        <v>766</v>
      </c>
      <c r="O261" s="114">
        <f>'Preliminary SO66'!AH261</f>
        <v>7254.3</v>
      </c>
      <c r="P261" s="105">
        <f>SUMIF('PreliminaryHD AR - School Level'!$A$5:A640, "=" &amp; L261,'PreliminaryHD AR - School Level'!$M$5:M640)</f>
        <v>0</v>
      </c>
      <c r="Q261" s="114">
        <f>'2024 Legal Max'!AS262</f>
        <v>7265</v>
      </c>
      <c r="R261" s="105">
        <f>'2024 Legal Max'!AH262</f>
        <v>366</v>
      </c>
      <c r="U261" s="105" t="str">
        <f>'2024 Legal Max'!AZ262</f>
        <v>A</v>
      </c>
    </row>
    <row r="262" spans="1:21">
      <c r="A262" s="113">
        <v>481</v>
      </c>
      <c r="B262" s="105" t="s">
        <v>87</v>
      </c>
      <c r="C262" s="105" t="s">
        <v>767</v>
      </c>
      <c r="D262" s="118">
        <f>'2024 Legal Max'!T263</f>
        <v>4.5</v>
      </c>
      <c r="E262" s="118" t="str">
        <f t="shared" si="4"/>
        <v>Yes</v>
      </c>
      <c r="F262" s="114" t="str">
        <f>'2024 Legal Max'!AZ263</f>
        <v>A</v>
      </c>
      <c r="G262" s="114"/>
      <c r="L262" s="1" t="s">
        <v>448</v>
      </c>
      <c r="M262" s="105" t="s">
        <v>87</v>
      </c>
      <c r="N262" s="105" t="s">
        <v>767</v>
      </c>
      <c r="O262" s="114">
        <f>'Preliminary SO66'!AH262</f>
        <v>508.2</v>
      </c>
      <c r="P262" s="105">
        <f>SUMIF('PreliminaryHD AR - School Level'!$A$5:A641, "=" &amp; L262,'PreliminaryHD AR - School Level'!$M$5:M641)</f>
        <v>0</v>
      </c>
      <c r="Q262" s="114">
        <f>'2024 Legal Max'!AS263</f>
        <v>507.4</v>
      </c>
      <c r="R262" s="105">
        <f>'2024 Legal Max'!AH263</f>
        <v>4</v>
      </c>
      <c r="U262" s="105" t="str">
        <f>'2024 Legal Max'!AZ263</f>
        <v>A</v>
      </c>
    </row>
    <row r="263" spans="1:21">
      <c r="A263" s="113">
        <v>482</v>
      </c>
      <c r="B263" s="105" t="s">
        <v>104</v>
      </c>
      <c r="C263" s="105" t="s">
        <v>768</v>
      </c>
      <c r="D263" s="118">
        <f>'2024 Legal Max'!T264</f>
        <v>3</v>
      </c>
      <c r="E263" s="118" t="str">
        <f t="shared" si="4"/>
        <v>Yes</v>
      </c>
      <c r="F263" s="114" t="str">
        <f>'2024 Legal Max'!AZ264</f>
        <v>A</v>
      </c>
      <c r="G263" s="114"/>
      <c r="L263" s="1" t="s">
        <v>449</v>
      </c>
      <c r="M263" s="105" t="s">
        <v>104</v>
      </c>
      <c r="N263" s="105" t="s">
        <v>768</v>
      </c>
      <c r="O263" s="114">
        <f>'Preliminary SO66'!AH263</f>
        <v>468</v>
      </c>
      <c r="P263" s="105">
        <f>SUMIF('PreliminaryHD AR - School Level'!$A$5:A642, "=" &amp; L263,'PreliminaryHD AR - School Level'!$M$5:M642)</f>
        <v>0</v>
      </c>
      <c r="Q263" s="114">
        <f>'2024 Legal Max'!AS264</f>
        <v>462.1</v>
      </c>
      <c r="R263" s="105">
        <f>'2024 Legal Max'!AH264</f>
        <v>4.0999999999999996</v>
      </c>
      <c r="U263" s="105" t="str">
        <f>'2024 Legal Max'!AZ264</f>
        <v>A</v>
      </c>
    </row>
    <row r="264" spans="1:21">
      <c r="A264" s="113">
        <v>483</v>
      </c>
      <c r="B264" s="105" t="s">
        <v>106</v>
      </c>
      <c r="C264" s="105" t="s">
        <v>769</v>
      </c>
      <c r="D264" s="118">
        <f>'2024 Legal Max'!T265</f>
        <v>20.5</v>
      </c>
      <c r="E264" s="118" t="str">
        <f t="shared" si="4"/>
        <v>Yes</v>
      </c>
      <c r="F264" s="114" t="str">
        <f>'2024 Legal Max'!AZ265</f>
        <v>A</v>
      </c>
      <c r="G264" s="114"/>
      <c r="L264" s="1" t="s">
        <v>450</v>
      </c>
      <c r="M264" s="105" t="s">
        <v>106</v>
      </c>
      <c r="N264" s="105" t="s">
        <v>769</v>
      </c>
      <c r="O264" s="114">
        <f>'Preliminary SO66'!AH264</f>
        <v>1231.7</v>
      </c>
      <c r="P264" s="105">
        <f>SUMIF('PreliminaryHD AR - School Level'!$A$5:A643, "=" &amp; L264,'PreliminaryHD AR - School Level'!$M$5:M643)</f>
        <v>0</v>
      </c>
      <c r="Q264" s="114">
        <f>'2024 Legal Max'!AS265</f>
        <v>1225.7</v>
      </c>
      <c r="R264" s="105">
        <f>'2024 Legal Max'!AH265</f>
        <v>36.1</v>
      </c>
      <c r="U264" s="105" t="str">
        <f>'2024 Legal Max'!AZ265</f>
        <v>A</v>
      </c>
    </row>
    <row r="265" spans="1:21">
      <c r="A265" s="113">
        <v>484</v>
      </c>
      <c r="B265" s="105" t="s">
        <v>83</v>
      </c>
      <c r="C265" s="105" t="s">
        <v>770</v>
      </c>
      <c r="D265" s="118">
        <f>'2024 Legal Max'!T266</f>
        <v>7.5</v>
      </c>
      <c r="E265" s="118" t="str">
        <f t="shared" si="4"/>
        <v>Yes</v>
      </c>
      <c r="F265" s="114" t="str">
        <f>'2024 Legal Max'!AZ266</f>
        <v>A</v>
      </c>
      <c r="G265" s="114"/>
      <c r="L265" s="1" t="s">
        <v>451</v>
      </c>
      <c r="M265" s="105" t="s">
        <v>83</v>
      </c>
      <c r="N265" s="105" t="s">
        <v>770</v>
      </c>
      <c r="O265" s="114">
        <f>'Preliminary SO66'!AH265</f>
        <v>1086.4000000000001</v>
      </c>
      <c r="P265" s="105">
        <f>SUMIF('PreliminaryHD AR - School Level'!$A$5:A644, "=" &amp; L265,'PreliminaryHD AR - School Level'!$M$5:M644)</f>
        <v>0</v>
      </c>
      <c r="Q265" s="114">
        <f>'2024 Legal Max'!AS266</f>
        <v>1080.9000000000001</v>
      </c>
      <c r="R265" s="105">
        <f>'2024 Legal Max'!AH266</f>
        <v>16.3</v>
      </c>
      <c r="U265" s="105" t="str">
        <f>'2024 Legal Max'!AZ266</f>
        <v>A</v>
      </c>
    </row>
    <row r="266" spans="1:21">
      <c r="A266" s="113">
        <v>487</v>
      </c>
      <c r="B266" s="105" t="s">
        <v>87</v>
      </c>
      <c r="C266" s="105" t="s">
        <v>771</v>
      </c>
      <c r="D266" s="118">
        <f>'2024 Legal Max'!T267</f>
        <v>8</v>
      </c>
      <c r="E266" s="118" t="str">
        <f t="shared" si="4"/>
        <v>Yes</v>
      </c>
      <c r="F266" s="114" t="str">
        <f>'2024 Legal Max'!AZ267</f>
        <v>A</v>
      </c>
      <c r="G266" s="114"/>
      <c r="L266" s="1" t="s">
        <v>452</v>
      </c>
      <c r="M266" s="105" t="s">
        <v>87</v>
      </c>
      <c r="N266" s="105" t="s">
        <v>771</v>
      </c>
      <c r="O266" s="114">
        <f>'Preliminary SO66'!AH266</f>
        <v>777.5</v>
      </c>
      <c r="P266" s="105">
        <f>SUMIF('PreliminaryHD AR - School Level'!$A$5:A645, "=" &amp; L266,'PreliminaryHD AR - School Level'!$M$5:M645)</f>
        <v>0</v>
      </c>
      <c r="Q266" s="114">
        <f>'2024 Legal Max'!AS267</f>
        <v>769.1</v>
      </c>
      <c r="R266" s="105">
        <f>'2024 Legal Max'!AH267</f>
        <v>26.3</v>
      </c>
      <c r="U266" s="105" t="str">
        <f>'2024 Legal Max'!AZ267</f>
        <v>A</v>
      </c>
    </row>
    <row r="267" spans="1:21">
      <c r="A267" s="113">
        <v>489</v>
      </c>
      <c r="B267" s="105" t="s">
        <v>84</v>
      </c>
      <c r="C267" s="105" t="s">
        <v>772</v>
      </c>
      <c r="D267" s="118">
        <f>'2024 Legal Max'!T268</f>
        <v>43</v>
      </c>
      <c r="E267" s="118" t="str">
        <f t="shared" si="4"/>
        <v>Yes</v>
      </c>
      <c r="F267" s="114" t="str">
        <f>'2024 Legal Max'!AZ268</f>
        <v>A</v>
      </c>
      <c r="G267" s="114"/>
      <c r="L267" s="1" t="s">
        <v>453</v>
      </c>
      <c r="M267" s="105" t="s">
        <v>84</v>
      </c>
      <c r="N267" s="105" t="s">
        <v>772</v>
      </c>
      <c r="O267" s="114">
        <f>'Preliminary SO66'!AH267</f>
        <v>4099</v>
      </c>
      <c r="P267" s="105">
        <f>SUMIF('PreliminaryHD AR - School Level'!$A$5:A646, "=" &amp; L267,'PreliminaryHD AR - School Level'!$M$5:M646)</f>
        <v>0</v>
      </c>
      <c r="Q267" s="114">
        <f>'2024 Legal Max'!AS268</f>
        <v>4088.3</v>
      </c>
      <c r="R267" s="105">
        <f>'2024 Legal Max'!AH268</f>
        <v>16.100000000000001</v>
      </c>
      <c r="U267" s="105" t="str">
        <f>'2024 Legal Max'!AZ268</f>
        <v>A</v>
      </c>
    </row>
    <row r="268" spans="1:21">
      <c r="A268" s="113">
        <v>490</v>
      </c>
      <c r="B268" s="105" t="s">
        <v>10</v>
      </c>
      <c r="C268" s="105" t="s">
        <v>773</v>
      </c>
      <c r="D268" s="118">
        <f>'2024 Legal Max'!T269</f>
        <v>32</v>
      </c>
      <c r="E268" s="118" t="str">
        <f t="shared" si="4"/>
        <v>Yes</v>
      </c>
      <c r="F268" s="114" t="str">
        <f>'2024 Legal Max'!AZ269</f>
        <v>A</v>
      </c>
      <c r="G268" s="114"/>
      <c r="L268" s="1" t="s">
        <v>454</v>
      </c>
      <c r="M268" s="105" t="s">
        <v>10</v>
      </c>
      <c r="N268" s="105" t="s">
        <v>773</v>
      </c>
      <c r="O268" s="114">
        <f>'Preliminary SO66'!AH268</f>
        <v>2574.6999999999998</v>
      </c>
      <c r="P268" s="105">
        <f>SUMIF('PreliminaryHD AR - School Level'!$A$5:A647, "=" &amp; L268,'PreliminaryHD AR - School Level'!$M$5:M647)</f>
        <v>0</v>
      </c>
      <c r="Q268" s="114">
        <f>'2024 Legal Max'!AS269</f>
        <v>2562.5</v>
      </c>
      <c r="R268" s="105">
        <f>'2024 Legal Max'!AH269</f>
        <v>95.9</v>
      </c>
      <c r="U268" s="105" t="str">
        <f>'2024 Legal Max'!AZ269</f>
        <v>A</v>
      </c>
    </row>
    <row r="269" spans="1:21">
      <c r="A269" s="113">
        <v>491</v>
      </c>
      <c r="B269" s="105" t="s">
        <v>63</v>
      </c>
      <c r="C269" s="105" t="s">
        <v>774</v>
      </c>
      <c r="D269" s="118">
        <f>'2024 Legal Max'!T270</f>
        <v>14.5</v>
      </c>
      <c r="E269" s="118" t="str">
        <f t="shared" si="4"/>
        <v>Yes</v>
      </c>
      <c r="F269" s="114" t="str">
        <f>'2024 Legal Max'!AZ270</f>
        <v>A</v>
      </c>
      <c r="G269" s="114"/>
      <c r="L269" s="1" t="s">
        <v>455</v>
      </c>
      <c r="M269" s="105" t="s">
        <v>63</v>
      </c>
      <c r="N269" s="105" t="s">
        <v>774</v>
      </c>
      <c r="O269" s="114">
        <f>'Preliminary SO66'!AH269</f>
        <v>2031.8</v>
      </c>
      <c r="P269" s="105">
        <f>SUMIF('PreliminaryHD AR - School Level'!$A$5:A648, "=" &amp; L269,'PreliminaryHD AR - School Level'!$M$5:M648)</f>
        <v>0</v>
      </c>
      <c r="Q269" s="114">
        <f>'2024 Legal Max'!AS270</f>
        <v>2030.3</v>
      </c>
      <c r="R269" s="105">
        <f>'2024 Legal Max'!AH270</f>
        <v>0</v>
      </c>
      <c r="U269" s="105" t="str">
        <f>'2024 Legal Max'!AZ270</f>
        <v>A</v>
      </c>
    </row>
    <row r="270" spans="1:21">
      <c r="A270" s="113">
        <v>492</v>
      </c>
      <c r="B270" s="105" t="s">
        <v>10</v>
      </c>
      <c r="C270" s="105" t="s">
        <v>775</v>
      </c>
      <c r="D270" s="118">
        <f>'2024 Legal Max'!T271</f>
        <v>5</v>
      </c>
      <c r="E270" s="118" t="str">
        <f t="shared" si="4"/>
        <v>Yes</v>
      </c>
      <c r="F270" s="114" t="str">
        <f>'2024 Legal Max'!AZ271</f>
        <v>A</v>
      </c>
      <c r="G270" s="114"/>
      <c r="L270" s="1" t="s">
        <v>456</v>
      </c>
      <c r="M270" s="105" t="s">
        <v>10</v>
      </c>
      <c r="N270" s="105" t="s">
        <v>775</v>
      </c>
      <c r="O270" s="114">
        <f>'Preliminary SO66'!AH270</f>
        <v>545.4</v>
      </c>
      <c r="P270" s="105">
        <f>SUMIF('PreliminaryHD AR - School Level'!$A$5:A649, "=" &amp; L270,'PreliminaryHD AR - School Level'!$M$5:M649)</f>
        <v>0</v>
      </c>
      <c r="Q270" s="114">
        <f>'2024 Legal Max'!AS271</f>
        <v>540.79999999999995</v>
      </c>
      <c r="R270" s="105">
        <f>'2024 Legal Max'!AH271</f>
        <v>6.4</v>
      </c>
      <c r="U270" s="105" t="str">
        <f>'2024 Legal Max'!AZ271</f>
        <v>A</v>
      </c>
    </row>
    <row r="271" spans="1:21">
      <c r="A271" s="113">
        <v>493</v>
      </c>
      <c r="B271" s="105" t="s">
        <v>29</v>
      </c>
      <c r="C271" s="105" t="s">
        <v>776</v>
      </c>
      <c r="D271" s="118">
        <f>'2024 Legal Max'!T272</f>
        <v>15</v>
      </c>
      <c r="E271" s="118" t="str">
        <f t="shared" si="4"/>
        <v>Yes</v>
      </c>
      <c r="F271" s="114" t="str">
        <f>'2024 Legal Max'!AZ272</f>
        <v>A</v>
      </c>
      <c r="G271" s="114"/>
      <c r="L271" s="1" t="s">
        <v>457</v>
      </c>
      <c r="M271" s="105" t="s">
        <v>29</v>
      </c>
      <c r="N271" s="105" t="s">
        <v>776</v>
      </c>
      <c r="O271" s="114">
        <f>'Preliminary SO66'!AH271</f>
        <v>1562.4</v>
      </c>
      <c r="P271" s="105">
        <f>SUMIF('PreliminaryHD AR - School Level'!$A$5:A650, "=" &amp; L271,'PreliminaryHD AR - School Level'!$M$5:M650)</f>
        <v>0</v>
      </c>
      <c r="Q271" s="114">
        <f>'2024 Legal Max'!AS272</f>
        <v>1551</v>
      </c>
      <c r="R271" s="105">
        <f>'2024 Legal Max'!AH272</f>
        <v>48.1</v>
      </c>
      <c r="U271" s="105" t="str">
        <f>'2024 Legal Max'!AZ272</f>
        <v>A</v>
      </c>
    </row>
    <row r="272" spans="1:21">
      <c r="A272" s="113">
        <v>494</v>
      </c>
      <c r="B272" s="105" t="s">
        <v>85</v>
      </c>
      <c r="C272" s="105" t="s">
        <v>777</v>
      </c>
      <c r="D272" s="118">
        <f>'2024 Legal Max'!T273</f>
        <v>7</v>
      </c>
      <c r="E272" s="118" t="str">
        <f t="shared" si="4"/>
        <v>Yes</v>
      </c>
      <c r="F272" s="114" t="str">
        <f>'2024 Legal Max'!AZ273</f>
        <v>A</v>
      </c>
      <c r="G272" s="114"/>
      <c r="L272" s="1" t="s">
        <v>458</v>
      </c>
      <c r="M272" s="105" t="s">
        <v>85</v>
      </c>
      <c r="N272" s="105" t="s">
        <v>777</v>
      </c>
      <c r="O272" s="114">
        <f>'Preliminary SO66'!AH272</f>
        <v>1055.4000000000001</v>
      </c>
      <c r="P272" s="105">
        <f>SUMIF('PreliminaryHD AR - School Level'!$A$5:A651, "=" &amp; L272,'PreliminaryHD AR - School Level'!$M$5:M651)</f>
        <v>0</v>
      </c>
      <c r="Q272" s="114">
        <f>'2024 Legal Max'!AS273</f>
        <v>1050.8</v>
      </c>
      <c r="R272" s="105">
        <f>'2024 Legal Max'!AH273</f>
        <v>34.200000000000003</v>
      </c>
      <c r="U272" s="105" t="str">
        <f>'2024 Legal Max'!AZ273</f>
        <v>A</v>
      </c>
    </row>
    <row r="273" spans="1:21">
      <c r="A273" s="113">
        <v>495</v>
      </c>
      <c r="B273" s="105" t="s">
        <v>107</v>
      </c>
      <c r="C273" s="105" t="s">
        <v>778</v>
      </c>
      <c r="D273" s="118">
        <f>'2024 Legal Max'!T274</f>
        <v>33.5</v>
      </c>
      <c r="E273" s="118" t="str">
        <f t="shared" si="4"/>
        <v>Yes</v>
      </c>
      <c r="F273" s="114" t="str">
        <f>'2024 Legal Max'!AZ274</f>
        <v>A</v>
      </c>
      <c r="G273" s="114"/>
      <c r="L273" s="1" t="s">
        <v>459</v>
      </c>
      <c r="M273" s="105" t="s">
        <v>107</v>
      </c>
      <c r="N273" s="105" t="s">
        <v>778</v>
      </c>
      <c r="O273" s="114">
        <f>'Preliminary SO66'!AH273</f>
        <v>1393</v>
      </c>
      <c r="P273" s="105">
        <f>SUMIF('PreliminaryHD AR - School Level'!$A$5:A652, "=" &amp; L273,'PreliminaryHD AR - School Level'!$M$5:M652)</f>
        <v>0</v>
      </c>
      <c r="Q273" s="114">
        <f>'2024 Legal Max'!AS274</f>
        <v>1378.5</v>
      </c>
      <c r="R273" s="105">
        <f>'2024 Legal Max'!AH274</f>
        <v>29.9</v>
      </c>
      <c r="U273" s="105" t="str">
        <f>'2024 Legal Max'!AZ274</f>
        <v>A</v>
      </c>
    </row>
    <row r="274" spans="1:21">
      <c r="A274" s="113">
        <v>496</v>
      </c>
      <c r="B274" s="105" t="s">
        <v>107</v>
      </c>
      <c r="C274" s="105" t="s">
        <v>779</v>
      </c>
      <c r="D274" s="118">
        <f>'2024 Legal Max'!T275</f>
        <v>2.5</v>
      </c>
      <c r="E274" s="118" t="e">
        <f t="shared" si="4"/>
        <v>#N/A</v>
      </c>
      <c r="F274" s="114" t="str">
        <f>'2024 Legal Max'!AZ275</f>
        <v>A</v>
      </c>
      <c r="G274" s="114"/>
      <c r="L274" s="1" t="s">
        <v>460</v>
      </c>
      <c r="M274" s="105" t="s">
        <v>107</v>
      </c>
      <c r="N274" s="105" t="s">
        <v>779</v>
      </c>
      <c r="O274" s="114">
        <f>'Preliminary SO66'!AH274</f>
        <v>307.5</v>
      </c>
      <c r="P274" s="105">
        <f>SUMIF('PreliminaryHD AR - School Level'!$A$5:A653, "=" &amp; L274,'PreliminaryHD AR - School Level'!$M$5:M653)</f>
        <v>0</v>
      </c>
      <c r="Q274" s="114">
        <f>'2024 Legal Max'!AS275</f>
        <v>306.8</v>
      </c>
      <c r="R274" s="105">
        <f>'2024 Legal Max'!AH275</f>
        <v>1</v>
      </c>
      <c r="U274" s="105" t="str">
        <f>'2024 Legal Max'!AZ275</f>
        <v>A</v>
      </c>
    </row>
    <row r="275" spans="1:21">
      <c r="A275" s="113">
        <v>497</v>
      </c>
      <c r="B275" s="105" t="s">
        <v>63</v>
      </c>
      <c r="C275" s="105" t="s">
        <v>780</v>
      </c>
      <c r="D275" s="118">
        <f>'2024 Legal Max'!T276</f>
        <v>29</v>
      </c>
      <c r="E275" s="118" t="str">
        <f t="shared" si="4"/>
        <v>Yes</v>
      </c>
      <c r="F275" s="114" t="str">
        <f>'2024 Legal Max'!AZ276</f>
        <v>A</v>
      </c>
      <c r="G275" s="114"/>
      <c r="L275" s="1" t="s">
        <v>461</v>
      </c>
      <c r="M275" s="105" t="s">
        <v>63</v>
      </c>
      <c r="N275" s="105" t="s">
        <v>780</v>
      </c>
      <c r="O275" s="114">
        <f>'Preliminary SO66'!AH275</f>
        <v>12925.2</v>
      </c>
      <c r="P275" s="105">
        <f>SUMIF('PreliminaryHD AR - School Level'!$A$5:A654, "=" &amp; L275,'PreliminaryHD AR - School Level'!$M$5:M654)</f>
        <v>0</v>
      </c>
      <c r="Q275" s="114">
        <f>'2024 Legal Max'!AS276</f>
        <v>13367.6</v>
      </c>
      <c r="R275" s="105">
        <f>'2024 Legal Max'!AH276</f>
        <v>167.2</v>
      </c>
      <c r="U275" s="105" t="str">
        <f>'2024 Legal Max'!AZ276</f>
        <v>A</v>
      </c>
    </row>
    <row r="276" spans="1:21">
      <c r="A276" s="113">
        <v>498</v>
      </c>
      <c r="B276" s="105" t="s">
        <v>70</v>
      </c>
      <c r="C276" s="105" t="s">
        <v>781</v>
      </c>
      <c r="D276" s="118">
        <f>'2024 Legal Max'!T277</f>
        <v>6</v>
      </c>
      <c r="E276" s="118" t="str">
        <f t="shared" si="4"/>
        <v>Yes</v>
      </c>
      <c r="F276" s="114" t="str">
        <f>'2024 Legal Max'!AZ277</f>
        <v>A</v>
      </c>
      <c r="G276" s="114"/>
      <c r="L276" s="1" t="s">
        <v>462</v>
      </c>
      <c r="M276" s="105" t="s">
        <v>70</v>
      </c>
      <c r="N276" s="105" t="s">
        <v>781</v>
      </c>
      <c r="O276" s="114">
        <f>'Preliminary SO66'!AH276</f>
        <v>737.9</v>
      </c>
      <c r="P276" s="105">
        <f>SUMIF('PreliminaryHD AR - School Level'!$A$5:A655, "=" &amp; L276,'PreliminaryHD AR - School Level'!$M$5:M655)</f>
        <v>0</v>
      </c>
      <c r="Q276" s="114">
        <f>'2024 Legal Max'!AS277</f>
        <v>738.1</v>
      </c>
      <c r="R276" s="105">
        <f>'2024 Legal Max'!AH277</f>
        <v>7.2</v>
      </c>
      <c r="U276" s="105" t="str">
        <f>'2024 Legal Max'!AZ277</f>
        <v>A</v>
      </c>
    </row>
    <row r="277" spans="1:21">
      <c r="A277" s="113">
        <v>499</v>
      </c>
      <c r="B277" s="105" t="s">
        <v>29</v>
      </c>
      <c r="C277" s="105" t="s">
        <v>782</v>
      </c>
      <c r="D277" s="118">
        <f>'2024 Legal Max'!T278</f>
        <v>12.6</v>
      </c>
      <c r="E277" s="118" t="str">
        <f t="shared" si="4"/>
        <v>Yes</v>
      </c>
      <c r="F277" s="114" t="str">
        <f>'2024 Legal Max'!AZ278</f>
        <v>A</v>
      </c>
      <c r="G277" s="114"/>
      <c r="L277" s="1" t="s">
        <v>463</v>
      </c>
      <c r="M277" s="105" t="s">
        <v>29</v>
      </c>
      <c r="N277" s="105" t="s">
        <v>782</v>
      </c>
      <c r="O277" s="114">
        <f>'Preliminary SO66'!AH277</f>
        <v>1307.5999999999999</v>
      </c>
      <c r="P277" s="105">
        <f>SUMIF('PreliminaryHD AR - School Level'!$A$5:A656, "=" &amp; L277,'PreliminaryHD AR - School Level'!$M$5:M656)</f>
        <v>0</v>
      </c>
      <c r="Q277" s="114">
        <f>'2024 Legal Max'!AS278</f>
        <v>1303.8</v>
      </c>
      <c r="R277" s="105">
        <f>'2024 Legal Max'!AH278</f>
        <v>46.9</v>
      </c>
      <c r="U277" s="105" t="str">
        <f>'2024 Legal Max'!AZ278</f>
        <v>A</v>
      </c>
    </row>
    <row r="278" spans="1:21">
      <c r="A278" s="113">
        <v>500</v>
      </c>
      <c r="B278" s="105" t="s">
        <v>9</v>
      </c>
      <c r="C278" s="105" t="s">
        <v>783</v>
      </c>
      <c r="D278" s="118">
        <f>'2024 Legal Max'!T279</f>
        <v>494.5</v>
      </c>
      <c r="E278" s="118" t="str">
        <f t="shared" si="4"/>
        <v>Yes</v>
      </c>
      <c r="F278" s="114" t="str">
        <f>'2024 Legal Max'!AZ279</f>
        <v>A</v>
      </c>
      <c r="G278" s="114"/>
      <c r="L278" s="1" t="s">
        <v>464</v>
      </c>
      <c r="M278" s="105" t="s">
        <v>9</v>
      </c>
      <c r="N278" s="105" t="s">
        <v>783</v>
      </c>
      <c r="O278" s="114">
        <f>'Preliminary SO66'!AH278</f>
        <v>32535.1</v>
      </c>
      <c r="P278" s="105">
        <f>SUMIF('PreliminaryHD AR - School Level'!$A$5:A657, "=" &amp; L278,'PreliminaryHD AR - School Level'!$M$5:M657)</f>
        <v>0</v>
      </c>
      <c r="Q278" s="114">
        <f>'2024 Legal Max'!AS279</f>
        <v>32405.200000000001</v>
      </c>
      <c r="R278" s="105">
        <f>'2024 Legal Max'!AH279</f>
        <v>1585.2</v>
      </c>
      <c r="U278" s="105" t="str">
        <f>'2024 Legal Max'!AZ279</f>
        <v>A</v>
      </c>
    </row>
    <row r="279" spans="1:21">
      <c r="A279" s="113">
        <v>501</v>
      </c>
      <c r="B279" s="105" t="s">
        <v>61</v>
      </c>
      <c r="C279" s="105" t="s">
        <v>784</v>
      </c>
      <c r="D279" s="118">
        <f>'2024 Legal Max'!T280</f>
        <v>230.5</v>
      </c>
      <c r="E279" s="118" t="str">
        <f t="shared" si="4"/>
        <v>Yes</v>
      </c>
      <c r="F279" s="114" t="str">
        <f>'2024 Legal Max'!AZ280</f>
        <v>A</v>
      </c>
      <c r="G279" s="114"/>
      <c r="L279" s="1" t="s">
        <v>465</v>
      </c>
      <c r="M279" s="105" t="s">
        <v>61</v>
      </c>
      <c r="N279" s="105" t="s">
        <v>784</v>
      </c>
      <c r="O279" s="114">
        <f>'Preliminary SO66'!AH279</f>
        <v>18065.2</v>
      </c>
      <c r="P279" s="105">
        <f>SUMIF('PreliminaryHD AR - School Level'!$A$5:A658, "=" &amp; L279,'PreliminaryHD AR - School Level'!$M$5:M658)</f>
        <v>0</v>
      </c>
      <c r="Q279" s="114">
        <f>'2024 Legal Max'!AS280</f>
        <v>17971.8</v>
      </c>
      <c r="R279" s="105">
        <f>'2024 Legal Max'!AH280</f>
        <v>835.7</v>
      </c>
      <c r="U279" s="105" t="str">
        <f>'2024 Legal Max'!AZ280</f>
        <v>A</v>
      </c>
    </row>
    <row r="280" spans="1:21">
      <c r="A280" s="113">
        <v>502</v>
      </c>
      <c r="B280" s="105" t="s">
        <v>62</v>
      </c>
      <c r="C280" s="105" t="s">
        <v>785</v>
      </c>
      <c r="D280" s="118">
        <f>'2024 Legal Max'!T281</f>
        <v>4</v>
      </c>
      <c r="E280" s="118" t="str">
        <f t="shared" si="4"/>
        <v>Yes</v>
      </c>
      <c r="F280" s="114" t="str">
        <f>'2024 Legal Max'!AZ281</f>
        <v>A</v>
      </c>
      <c r="G280" s="114"/>
      <c r="L280" s="1" t="s">
        <v>466</v>
      </c>
      <c r="M280" s="105" t="s">
        <v>62</v>
      </c>
      <c r="N280" s="105" t="s">
        <v>785</v>
      </c>
      <c r="O280" s="114">
        <f>'Preliminary SO66'!AH280</f>
        <v>301.8</v>
      </c>
      <c r="P280" s="105">
        <f>SUMIF('PreliminaryHD AR - School Level'!$A$5:A658, "=" &amp; L280,'PreliminaryHD AR - School Level'!$M$5:M658)</f>
        <v>0</v>
      </c>
      <c r="Q280" s="114">
        <f>'2024 Legal Max'!AS281</f>
        <v>303.8</v>
      </c>
      <c r="R280" s="105">
        <f>'2024 Legal Max'!AH281</f>
        <v>4</v>
      </c>
      <c r="U280" s="105" t="str">
        <f>'2024 Legal Max'!AZ281</f>
        <v>A</v>
      </c>
    </row>
    <row r="281" spans="1:21">
      <c r="A281" s="113">
        <v>503</v>
      </c>
      <c r="B281" s="105" t="s">
        <v>108</v>
      </c>
      <c r="C281" s="105" t="s">
        <v>786</v>
      </c>
      <c r="D281" s="118">
        <f>'2024 Legal Max'!T282</f>
        <v>27</v>
      </c>
      <c r="E281" s="118" t="str">
        <f t="shared" si="4"/>
        <v>Yes</v>
      </c>
      <c r="F281" s="114" t="str">
        <f>'2024 Legal Max'!AZ282</f>
        <v>A</v>
      </c>
      <c r="G281" s="114"/>
      <c r="L281" s="1" t="s">
        <v>467</v>
      </c>
      <c r="M281" s="105" t="s">
        <v>108</v>
      </c>
      <c r="N281" s="105" t="s">
        <v>786</v>
      </c>
      <c r="O281" s="114">
        <f>'Preliminary SO66'!AH281</f>
        <v>2047.9</v>
      </c>
      <c r="P281" s="105">
        <f>SUMIF('PreliminaryHD AR - School Level'!$A$5:A659, "=" &amp; L281,'PreliminaryHD AR - School Level'!$M$5:M659)</f>
        <v>0</v>
      </c>
      <c r="Q281" s="114">
        <f>'2024 Legal Max'!AS282</f>
        <v>2053.5</v>
      </c>
      <c r="R281" s="105">
        <f>'2024 Legal Max'!AH282</f>
        <v>94.1</v>
      </c>
      <c r="U281" s="105" t="str">
        <f>'2024 Legal Max'!AZ282</f>
        <v>A</v>
      </c>
    </row>
    <row r="282" spans="1:21">
      <c r="A282" s="113">
        <v>504</v>
      </c>
      <c r="B282" s="105" t="s">
        <v>108</v>
      </c>
      <c r="C282" s="105" t="s">
        <v>787</v>
      </c>
      <c r="D282" s="118">
        <f>'2024 Legal Max'!T283</f>
        <v>6.5</v>
      </c>
      <c r="E282" s="118" t="str">
        <f t="shared" si="4"/>
        <v>Yes</v>
      </c>
      <c r="F282" s="114" t="str">
        <f>'2024 Legal Max'!AZ283</f>
        <v>A</v>
      </c>
      <c r="G282" s="114"/>
      <c r="L282" s="1" t="s">
        <v>468</v>
      </c>
      <c r="M282" s="105" t="s">
        <v>108</v>
      </c>
      <c r="N282" s="105" t="s">
        <v>787</v>
      </c>
      <c r="O282" s="114">
        <f>'Preliminary SO66'!AH282</f>
        <v>849.6</v>
      </c>
      <c r="P282" s="105">
        <f>SUMIF('PreliminaryHD AR - School Level'!$A$5:A660, "=" &amp; L282,'PreliminaryHD AR - School Level'!$M$5:M660)</f>
        <v>0</v>
      </c>
      <c r="Q282" s="114">
        <f>'2024 Legal Max'!AS283</f>
        <v>847.3</v>
      </c>
      <c r="R282" s="105">
        <f>'2024 Legal Max'!AH283</f>
        <v>23.5</v>
      </c>
      <c r="U282" s="105" t="str">
        <f>'2024 Legal Max'!AZ283</f>
        <v>A</v>
      </c>
    </row>
    <row r="283" spans="1:21">
      <c r="A283" s="113">
        <v>505</v>
      </c>
      <c r="B283" s="105" t="s">
        <v>108</v>
      </c>
      <c r="C283" s="105" t="s">
        <v>788</v>
      </c>
      <c r="D283" s="118">
        <f>'2024 Legal Max'!T284</f>
        <v>6</v>
      </c>
      <c r="E283" s="118" t="str">
        <f t="shared" si="4"/>
        <v>Yes</v>
      </c>
      <c r="F283" s="114" t="str">
        <f>'2024 Legal Max'!AZ284</f>
        <v>A</v>
      </c>
      <c r="G283" s="114"/>
      <c r="L283" s="1" t="s">
        <v>469</v>
      </c>
      <c r="M283" s="105" t="s">
        <v>108</v>
      </c>
      <c r="N283" s="105" t="s">
        <v>788</v>
      </c>
      <c r="O283" s="114">
        <f>'Preliminary SO66'!AH283</f>
        <v>673.3</v>
      </c>
      <c r="P283" s="105">
        <f>SUMIF('PreliminaryHD AR - School Level'!$A$5:A661, "=" &amp; L283,'PreliminaryHD AR - School Level'!$M$5:M661)</f>
        <v>0</v>
      </c>
      <c r="Q283" s="114">
        <f>'2024 Legal Max'!AS284</f>
        <v>666.8</v>
      </c>
      <c r="R283" s="105">
        <f>'2024 Legal Max'!AH284</f>
        <v>11.8</v>
      </c>
      <c r="U283" s="105" t="str">
        <f>'2024 Legal Max'!AZ284</f>
        <v>A</v>
      </c>
    </row>
    <row r="284" spans="1:21">
      <c r="A284" s="113">
        <v>506</v>
      </c>
      <c r="B284" s="105" t="s">
        <v>108</v>
      </c>
      <c r="C284" s="105" t="s">
        <v>789</v>
      </c>
      <c r="D284" s="118">
        <f>'2024 Legal Max'!T285</f>
        <v>21</v>
      </c>
      <c r="E284" s="118" t="str">
        <f t="shared" si="4"/>
        <v>Yes</v>
      </c>
      <c r="F284" s="114" t="str">
        <f>'2024 Legal Max'!AZ285</f>
        <v>A</v>
      </c>
      <c r="G284" s="114"/>
      <c r="L284" s="1" t="s">
        <v>470</v>
      </c>
      <c r="M284" s="105" t="s">
        <v>108</v>
      </c>
      <c r="N284" s="105" t="s">
        <v>789</v>
      </c>
      <c r="O284" s="114">
        <f>'Preliminary SO66'!AH284</f>
        <v>2200.5</v>
      </c>
      <c r="P284" s="105">
        <f>SUMIF('PreliminaryHD AR - School Level'!$A$5:A662, "=" &amp; L284,'PreliminaryHD AR - School Level'!$M$5:M662)</f>
        <v>0</v>
      </c>
      <c r="Q284" s="114">
        <f>'2024 Legal Max'!AS285</f>
        <v>2156.5</v>
      </c>
      <c r="R284" s="105">
        <f>'2024 Legal Max'!AH285</f>
        <v>54.3</v>
      </c>
      <c r="U284" s="105" t="str">
        <f>'2024 Legal Max'!AZ285</f>
        <v>A</v>
      </c>
    </row>
    <row r="285" spans="1:21">
      <c r="A285" s="113">
        <v>507</v>
      </c>
      <c r="B285" s="105" t="s">
        <v>75</v>
      </c>
      <c r="C285" s="105" t="s">
        <v>790</v>
      </c>
      <c r="D285" s="118">
        <f>'2024 Legal Max'!T286</f>
        <v>6.5</v>
      </c>
      <c r="E285" s="118" t="str">
        <f t="shared" si="4"/>
        <v>Yes</v>
      </c>
      <c r="F285" s="114" t="str">
        <f>'2024 Legal Max'!AZ286</f>
        <v>A</v>
      </c>
      <c r="G285" s="114"/>
      <c r="L285" s="1" t="s">
        <v>471</v>
      </c>
      <c r="M285" s="105" t="s">
        <v>75</v>
      </c>
      <c r="N285" s="105" t="s">
        <v>790</v>
      </c>
      <c r="O285" s="114">
        <f>'Preliminary SO66'!AH285</f>
        <v>539.79999999999995</v>
      </c>
      <c r="P285" s="105">
        <f>SUMIF('PreliminaryHD AR - School Level'!$A$5:A663, "=" &amp; L285,'PreliminaryHD AR - School Level'!$M$5:M663)</f>
        <v>0</v>
      </c>
      <c r="Q285" s="114">
        <f>'2024 Legal Max'!AS286</f>
        <v>538.1</v>
      </c>
      <c r="R285" s="105">
        <f>'2024 Legal Max'!AH286</f>
        <v>14.9</v>
      </c>
      <c r="U285" s="105" t="str">
        <f>'2024 Legal Max'!AZ286</f>
        <v>A</v>
      </c>
    </row>
    <row r="286" spans="1:21">
      <c r="A286" s="113">
        <v>508</v>
      </c>
      <c r="B286" s="105" t="s">
        <v>29</v>
      </c>
      <c r="C286" s="105" t="s">
        <v>791</v>
      </c>
      <c r="D286" s="118">
        <f>'2024 Legal Max'!T287</f>
        <v>21.3</v>
      </c>
      <c r="E286" s="118" t="str">
        <f t="shared" si="4"/>
        <v>Yes</v>
      </c>
      <c r="F286" s="114" t="str">
        <f>'2024 Legal Max'!AZ287</f>
        <v>A</v>
      </c>
      <c r="G286" s="114"/>
      <c r="L286" s="1" t="s">
        <v>472</v>
      </c>
      <c r="M286" s="105" t="s">
        <v>29</v>
      </c>
      <c r="N286" s="105" t="s">
        <v>791</v>
      </c>
      <c r="O286" s="114">
        <f>'Preliminary SO66'!AH286</f>
        <v>1367.3</v>
      </c>
      <c r="P286" s="105">
        <f>SUMIF('PreliminaryHD AR - School Level'!$A$5:A664, "=" &amp; L286,'PreliminaryHD AR - School Level'!$M$5:M664)</f>
        <v>0</v>
      </c>
      <c r="Q286" s="114">
        <f>'2024 Legal Max'!AS287</f>
        <v>1356.1</v>
      </c>
      <c r="R286" s="105">
        <f>'2024 Legal Max'!AH287</f>
        <v>47.8</v>
      </c>
      <c r="U286" s="105" t="str">
        <f>'2024 Legal Max'!AZ287</f>
        <v>A</v>
      </c>
    </row>
    <row r="287" spans="1:21">
      <c r="A287" s="113">
        <v>509</v>
      </c>
      <c r="B287" s="105" t="s">
        <v>66</v>
      </c>
      <c r="C287" s="105" t="s">
        <v>792</v>
      </c>
      <c r="D287" s="118">
        <f>'2024 Legal Max'!T288</f>
        <v>2.8</v>
      </c>
      <c r="E287" s="118" t="str">
        <f t="shared" si="4"/>
        <v>Yes</v>
      </c>
      <c r="F287" s="114" t="str">
        <f>'2024 Legal Max'!AZ288</f>
        <v>A</v>
      </c>
      <c r="G287" s="114"/>
      <c r="L287" s="1" t="s">
        <v>473</v>
      </c>
      <c r="M287" s="105" t="s">
        <v>66</v>
      </c>
      <c r="N287" s="105" t="s">
        <v>792</v>
      </c>
      <c r="O287" s="114">
        <f>'Preliminary SO66'!AH287</f>
        <v>407.4</v>
      </c>
      <c r="P287" s="105">
        <f>SUMIF('PreliminaryHD AR - School Level'!$A$5:A665, "=" &amp; L287,'PreliminaryHD AR - School Level'!$M$5:M665)</f>
        <v>0</v>
      </c>
      <c r="Q287" s="114">
        <f>'2024 Legal Max'!AS288</f>
        <v>408.7</v>
      </c>
      <c r="R287" s="105">
        <f>'2024 Legal Max'!AH288</f>
        <v>1</v>
      </c>
      <c r="U287" s="105" t="str">
        <f>'2024 Legal Max'!AZ288</f>
        <v>A</v>
      </c>
    </row>
    <row r="288" spans="1:21">
      <c r="A288" s="113">
        <v>511</v>
      </c>
      <c r="B288" s="105" t="s">
        <v>68</v>
      </c>
      <c r="C288" s="105" t="s">
        <v>793</v>
      </c>
      <c r="D288" s="118">
        <f>'2024 Legal Max'!T289</f>
        <v>4</v>
      </c>
      <c r="E288" s="118" t="str">
        <f t="shared" si="4"/>
        <v>Yes</v>
      </c>
      <c r="F288" s="114" t="str">
        <f>'2024 Legal Max'!AZ289</f>
        <v>A</v>
      </c>
      <c r="G288" s="114"/>
      <c r="L288" s="1" t="s">
        <v>474</v>
      </c>
      <c r="M288" s="105" t="s">
        <v>68</v>
      </c>
      <c r="N288" s="105" t="s">
        <v>793</v>
      </c>
      <c r="O288" s="114">
        <f>'Preliminary SO66'!AH288</f>
        <v>352.6</v>
      </c>
      <c r="P288" s="105">
        <f>SUMIF('PreliminaryHD AR - School Level'!$A$5:A666, "=" &amp; L288,'PreliminaryHD AR - School Level'!$M$5:M666)</f>
        <v>0</v>
      </c>
      <c r="Q288" s="114">
        <f>'2024 Legal Max'!AS289</f>
        <v>345.8</v>
      </c>
      <c r="R288" s="105">
        <f>'2024 Legal Max'!AH289</f>
        <v>2.6</v>
      </c>
      <c r="U288" s="105" t="str">
        <f>'2024 Legal Max'!AZ289</f>
        <v>A</v>
      </c>
    </row>
    <row r="289" spans="1:21">
      <c r="A289" s="113">
        <v>512</v>
      </c>
      <c r="B289" s="105" t="s">
        <v>22</v>
      </c>
      <c r="C289" s="105" t="s">
        <v>794</v>
      </c>
      <c r="D289" s="118">
        <f>'2024 Legal Max'!T290</f>
        <v>143</v>
      </c>
      <c r="E289" s="118" t="str">
        <f t="shared" si="4"/>
        <v>Yes</v>
      </c>
      <c r="F289" s="114" t="str">
        <f>'2024 Legal Max'!AZ290</f>
        <v>A</v>
      </c>
      <c r="G289" s="114"/>
      <c r="L289" s="1" t="s">
        <v>475</v>
      </c>
      <c r="M289" s="105" t="s">
        <v>22</v>
      </c>
      <c r="N289" s="105" t="s">
        <v>794</v>
      </c>
      <c r="O289" s="114">
        <f>'Preliminary SO66'!AH289</f>
        <v>36130.400000000001</v>
      </c>
      <c r="P289" s="105">
        <f>SUMIF('PreliminaryHD AR - School Level'!$A$5:A667, "=" &amp; L289,'PreliminaryHD AR - School Level'!$M$5:M667)</f>
        <v>0</v>
      </c>
      <c r="Q289" s="114">
        <f>'2024 Legal Max'!AS290</f>
        <v>35798.9</v>
      </c>
      <c r="R289" s="105">
        <f>'2024 Legal Max'!AH290</f>
        <v>431.3</v>
      </c>
      <c r="U289" s="105" t="str">
        <f>'2024 Legal Max'!AZ290</f>
        <v>A</v>
      </c>
    </row>
  </sheetData>
  <mergeCells count="2">
    <mergeCell ref="A1:H1"/>
    <mergeCell ref="L1:U1"/>
  </mergeCells>
  <conditionalFormatting sqref="G4:G247">
    <cfRule type="duplicateValues" dxfId="0" priority="1"/>
  </conditionalFormatting>
  <pageMargins left="0.7" right="0.7" top="0.75" bottom="0.75" header="0.3" footer="0.3"/>
  <pageSetup orientation="portrait"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615FB-D3C4-42EA-8849-458C815ADC5C}">
  <sheetPr codeName="Sheet13"/>
  <dimension ref="A4"/>
  <sheetViews>
    <sheetView workbookViewId="0">
      <selection activeCell="A10" sqref="A10"/>
    </sheetView>
  </sheetViews>
  <sheetFormatPr defaultRowHeight="13.2"/>
  <cols>
    <col min="1" max="1" width="156" customWidth="1"/>
  </cols>
  <sheetData>
    <row r="4" spans="1:1">
      <c r="A4" t="s">
        <v>1017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2024 Legal Max</vt:lpstr>
      <vt:lpstr>Weighting Factors</vt:lpstr>
      <vt:lpstr>Transportation</vt:lpstr>
      <vt:lpstr>Required Transfers</vt:lpstr>
      <vt:lpstr>LOB%</vt:lpstr>
      <vt:lpstr>Military Provision</vt:lpstr>
      <vt:lpstr>Audit Values</vt:lpstr>
      <vt:lpstr>Audit HD AR - School Level</vt:lpstr>
      <vt:lpstr>Exceptions</vt:lpstr>
      <vt:lpstr>Preliminary SO66</vt:lpstr>
      <vt:lpstr>PreliminaryHD AR - School Level</vt:lpstr>
      <vt:lpstr>Low-High ENRL- 2023 HSubSB 113</vt:lpstr>
      <vt:lpstr>Validations</vt:lpstr>
      <vt:lpstr>Notes</vt:lpstr>
      <vt:lpstr>Database</vt:lpstr>
      <vt:lpstr>'2024 Legal Max'!Print_Area</vt:lpstr>
      <vt:lpstr>'2024 Legal Max'!Print_Titles</vt:lpstr>
      <vt:lpstr>'LOB%'!Print_Titles</vt:lpstr>
      <vt:lpstr>'PreliminaryHD AR - School Level'!Print_Titles</vt:lpstr>
      <vt:lpstr>'Required Transfers'!Print_Titles</vt:lpstr>
      <vt:lpstr>Transportation!Print_Titles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ksbe</dc:creator>
  <cp:lastModifiedBy>RoseMary Ireland</cp:lastModifiedBy>
  <cp:lastPrinted>2024-06-27T12:55:21Z</cp:lastPrinted>
  <dcterms:created xsi:type="dcterms:W3CDTF">1999-09-14T20:54:03Z</dcterms:created>
  <dcterms:modified xsi:type="dcterms:W3CDTF">2026-02-24T17:34:25Z</dcterms:modified>
</cp:coreProperties>
</file>